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7.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always" codeName="ThisWorkbook"/>
  <mc:AlternateContent xmlns:mc="http://schemas.openxmlformats.org/markup-compatibility/2006">
    <mc:Choice Requires="x15">
      <x15ac:absPath xmlns:x15ac="http://schemas.microsoft.com/office/spreadsheetml/2010/11/ac" url="https://d.docs.live.net/22f37de78705f4b7/MC/Investimenti/PMS/PMS 3.1/"/>
    </mc:Choice>
  </mc:AlternateContent>
  <xr:revisionPtr revIDLastSave="64238" documentId="13_ncr:1_{2187CAAA-3404-4A84-A860-B37EB1087D56}" xr6:coauthVersionLast="47" xr6:coauthVersionMax="47" xr10:uidLastSave="{CC915EAB-3E62-4BF3-B17E-1B518CC12850}"/>
  <bookViews>
    <workbookView xWindow="28680" yWindow="-120" windowWidth="29040" windowHeight="15720" tabRatio="664" activeTab="8" xr2:uid="{AF038704-919D-4063-AF9C-5E417CD13314}"/>
  </bookViews>
  <sheets>
    <sheet name="Contatti" sheetId="1" r:id="rId1"/>
    <sheet name="Registro Ordini" sheetId="12" r:id="rId2"/>
    <sheet name="CHF M" sheetId="4" r:id="rId3"/>
    <sheet name="CHF MA" sheetId="5" r:id="rId4"/>
    <sheet name="EUR MB" sheetId="7" r:id="rId5"/>
    <sheet name="EUR M" sheetId="8" r:id="rId6"/>
    <sheet name="AGCO" sheetId="9" r:id="rId7"/>
    <sheet name="Valori" sheetId="3" r:id="rId8"/>
    <sheet name="Posizioni" sheetId="79" r:id="rId9"/>
    <sheet name="Ordini" sheetId="39" r:id="rId10"/>
    <sheet name="Porfolio_Positions" sheetId="72" r:id="rId11"/>
    <sheet name="Transazioni" sheetId="2" r:id="rId12"/>
    <sheet name="Entry Levels" sheetId="13" r:id="rId13"/>
    <sheet name="lukb_exchanges_tbl" sheetId="80" r:id="rId14"/>
  </sheets>
  <functionGroups builtInGroupCount="19"/>
  <definedNames>
    <definedName name="_xlnm._FilterDatabase" localSheetId="6" hidden="1">AGCO!$A$14:$BQ$175</definedName>
    <definedName name="_xlnm._FilterDatabase" localSheetId="2" hidden="1">'CHF M'!$A$15:$FU$205</definedName>
    <definedName name="_xlnm._FilterDatabase" localSheetId="3" hidden="1">'CHF MA'!$A$14:$AR$123</definedName>
    <definedName name="_xlnm._FilterDatabase" localSheetId="5" hidden="1">'EUR M'!$A$16:$CX$123</definedName>
    <definedName name="_xlnm._FilterDatabase" localSheetId="4" hidden="1">'EUR MB'!$AA$16:$AS$16</definedName>
    <definedName name="_xleta.AND" hidden="1" xlm="1">#NAME?</definedName>
    <definedName name="_xleta.COUNT" hidden="1" xlm="1">#NAME?</definedName>
    <definedName name="_xleta.IF" hidden="1" xlm="1">#NAME?</definedName>
    <definedName name="_xleta.IFERROR" hidden="1" xlm="1">#NAME?</definedName>
    <definedName name="_xleta.NA" hidden="1" xlm="1">#NAME?</definedName>
    <definedName name="_xleta.NOT" hidden="1" xlm="1">#NAME?</definedName>
    <definedName name="_xleta.SUM" hidden="1" xlm="1">#NAME?</definedName>
    <definedName name="_xleta.SUMIF" hidden="1" xlm="1">#NAME?</definedName>
    <definedName name="_xleta.T" hidden="1" xlm="1">#NAME?</definedName>
    <definedName name="_xleta.TODAY"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clPrice" localSheetId="6">AGCO!$AC:$AC</definedName>
    <definedName name="clPrice" localSheetId="2">'CHF M'!$X:$X</definedName>
    <definedName name="clPrice" localSheetId="3">'CHF MA'!$X:$X</definedName>
    <definedName name="clPrice" localSheetId="5">'EUR M'!$X:$X</definedName>
    <definedName name="clPrice" localSheetId="4">'EUR MB'!$X:$X</definedName>
    <definedName name="col_ID" localSheetId="6">AGCO!$C:$C</definedName>
    <definedName name="col_ID" localSheetId="2">'CHF M'!$C:$C</definedName>
    <definedName name="col_ID" localSheetId="3">'CHF MA'!$C:$C</definedName>
    <definedName name="col_ID" localSheetId="5">'EUR M'!$C:$C</definedName>
    <definedName name="col_ID" localSheetId="4">'EUR MB'!$C:$C</definedName>
    <definedName name="col_ID" localSheetId="8">Posizioni!$A:$A</definedName>
    <definedName name="col_ID" localSheetId="7">Valori!$A:$A</definedName>
    <definedName name="_xlnm.Criteria" localSheetId="6">AGCO!#REF!</definedName>
    <definedName name="DatiEsterni_7" localSheetId="10" hidden="1">Porfolio_Positions!$A$1:$A$247</definedName>
    <definedName name="Descrizioni">Valori[Descrizione]</definedName>
    <definedName name="ExternalData_1" localSheetId="13" hidden="1">lukb_exchanges_tbl!$A$1:$C$96</definedName>
    <definedName name="ExternalData_1" localSheetId="8" hidden="1">Posizioni!$A$3:$AG$401</definedName>
    <definedName name="fields_types">Posizioni!$C$1:$AF$1</definedName>
    <definedName name="filtra_database" localSheetId="6" hidden="1">AGCO!$A$14:$BQ$175</definedName>
    <definedName name="filtra_database" localSheetId="2" hidden="1">'CHF M'!$A$15:$FT$205</definedName>
    <definedName name="filtra_database" localSheetId="3" hidden="1">'CHF MA'!$A$14:$AR$123</definedName>
    <definedName name="filtra_database" localSheetId="5" hidden="1">'EUR M'!$A$16:$CW$123</definedName>
    <definedName name="filtra_database" localSheetId="4" hidden="1">'EUR MB'!$A$16:$AR$107</definedName>
    <definedName name="FiltroDati_AC">#N/A</definedName>
    <definedName name="FiltroDati_Crncy">#N/A</definedName>
    <definedName name="FiltroDati_SMO">#N/A</definedName>
    <definedName name="FiltroDati_Tema">#N/A</definedName>
    <definedName name="Intestazioni">Valori[#Headers]</definedName>
    <definedName name="ISIN">Valori!$A$3:$A$400</definedName>
    <definedName name="LUKB_ids">Valori[LUKB_id]</definedName>
    <definedName name="LUKB_Name">Valori[LUKB Name]</definedName>
    <definedName name="MRif" localSheetId="6">AGCO!$O$4</definedName>
    <definedName name="MRif" localSheetId="2">'CHF M'!$R$1</definedName>
    <definedName name="MRif" localSheetId="3">'CHF MA'!$U$1</definedName>
    <definedName name="MRif" localSheetId="5">'EUR M'!$R$1</definedName>
    <definedName name="MRif" localSheetId="4">'EUR MB'!$R$1</definedName>
    <definedName name="Origine">Valori[[#Headers],[smo_id]]</definedName>
    <definedName name="PDescrizioni">Posizioni[smo_id]</definedName>
    <definedName name="PID">Posizioni[LUKB_id]</definedName>
    <definedName name="PIntestazioni">Posizioni[#Headers]</definedName>
    <definedName name="PLabel">Posizioni[#Headers]</definedName>
    <definedName name="POrigin">Posizioni[[#Headers],[smo_id]]</definedName>
    <definedName name="Posizione" localSheetId="6">AGCO!$Q$15:$Q$170</definedName>
    <definedName name="Posizione" localSheetId="2">'CHF M'!$Q$16:$Q$193</definedName>
    <definedName name="Posizione" localSheetId="3">'CHF MA'!$T$15:$T$118</definedName>
    <definedName name="Posizione" localSheetId="5">'EUR M'!$Q$17:$Q$118</definedName>
    <definedName name="Posizione" localSheetId="4">'EUR MB'!$Q$17:$Q$102</definedName>
    <definedName name="_xlnm.Print_Area" localSheetId="6">AGCO!$AF:$AW</definedName>
    <definedName name="_xlnm.Print_Area" localSheetId="2">'CHF M'!$AT:$AY</definedName>
    <definedName name="_xlnm.Print_Area" localSheetId="3">'CHF MA'!$AA:$AF</definedName>
    <definedName name="_xlnm.Print_Area" localSheetId="5">'EUR M'!$BM:$BR</definedName>
    <definedName name="_xlnm.Print_Area" localSheetId="4">'EUR MB'!$AA:$AF</definedName>
    <definedName name="_xlnm.Print_Area" localSheetId="1">'Registro Ordini'!$A:$X</definedName>
    <definedName name="print_range" localSheetId="2">'CHF M'!$FC:$FT</definedName>
    <definedName name="print_range" localSheetId="3">'CHF MA'!$A$14:$Z$121</definedName>
    <definedName name="print_range" localSheetId="5">'EUR M'!$AA:$AF</definedName>
    <definedName name="_xlnm.Print_Titles" localSheetId="6">AGCO!$A:$AE,AGCO!$13:$14</definedName>
    <definedName name="_xlnm.Print_Titles" localSheetId="2">'CHF M'!$A:$Z,'CHF M'!$14:$15</definedName>
    <definedName name="_xlnm.Print_Titles" localSheetId="3">'CHF MA'!$A:$Z,'CHF MA'!$1:$14</definedName>
    <definedName name="_xlnm.Print_Titles" localSheetId="5">'EUR M'!$A:$Z,'EUR M'!$15:$16</definedName>
    <definedName name="_xlnm.Print_Titles" localSheetId="4">'EUR MB'!$A:$Z,'EUR MB'!$15:$16</definedName>
    <definedName name="_xlnm.Print_Titles" localSheetId="1">'Registro Ordini'!$1:$1</definedName>
    <definedName name="prt_title" localSheetId="6">AGCO!$A:$AE,AGCO!$1:$14</definedName>
    <definedName name="prt_title" localSheetId="2">'CHF M'!$A:$Z,'CHF M'!$1:$15</definedName>
    <definedName name="prt_title" localSheetId="5">'EUR M'!$A:$Z</definedName>
    <definedName name="prt_title" localSheetId="4">'EUR MB'!$A:$Z</definedName>
    <definedName name="rwIntestazioni" localSheetId="6">AGCO!$14:$14</definedName>
    <definedName name="rwIntestazioni" localSheetId="2">'CHF M'!$15:$15</definedName>
    <definedName name="rwIntestazioni" localSheetId="3">'CHF MA'!$14:$14</definedName>
    <definedName name="rwIntestazioni" localSheetId="5">'EUR M'!$16:$16</definedName>
    <definedName name="rwIntestazioni" localSheetId="4">'EUR MB'!$16:$16</definedName>
    <definedName name="rwIntestazioni" localSheetId="8">Posizioni!$3:$3</definedName>
    <definedName name="rwIntestazioni" localSheetId="1">'Registro Ordini'!$1:$1</definedName>
    <definedName name="rwIntestazioni" localSheetId="7">Valori!$2:$2</definedName>
    <definedName name="smo_id" localSheetId="6">AGCO!$C$15:$C$170</definedName>
    <definedName name="smo_id" localSheetId="2">'CHF M'!$C$16:$C$193</definedName>
    <definedName name="smo_id" localSheetId="3">'CHF MA'!$C$15:$C$118</definedName>
    <definedName name="smo_id" localSheetId="5">'EUR M'!$C$17:$C$118</definedName>
    <definedName name="smo_id" localSheetId="4">'EUR MB'!$C$17:$C$102</definedName>
    <definedName name="smo_ids">Valori[smo_id]</definedName>
    <definedName name="VID">Valori[smo_id]</definedName>
  </definedNames>
  <calcPr calcId="191029" calcOnSave="0"/>
  <extLst>
    <ext xmlns:x14="http://schemas.microsoft.com/office/spreadsheetml/2009/9/main" uri="{8193D73E-4604-4355-AFF4-8A2333D13BE4}">
      <x14:definedNames>
        <x14:definedName name="GetElementById">
          <x14:argumentDescriptions count="3">
            <x14:argumentDescription index="0">The URL of the HTML page to scrape</x14:argumentDescription>
            <x14:argumentDescription index="1">The id of the HTML element to scrape</x14:argumentDescription>
            <x14:argumentDescription index="2">Sets this formula to Volatile. Will cause the formula to refresh if any cell is changed on the sheet. Do not be careless with this! Default: False</x14:argumentDescription>
          </x14:argumentDescriptions>
        </x14:definedName>
        <x14:definedName name="GetElementBy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ByRegex">
          <x14:argumentDescriptions count="5">
            <x14:argumentDescription index="0">The URL of the HTML page to scrape</x14:argumentDescription>
            <x14:argumentDescription index="1">A regular expression with 1 capture group '()'</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 index="4">If true then the output will be somewhat minified (removed scripts, comments and newlines in the head). Default: False</x14:argumentDescription>
          </x14:argumentDescriptions>
        </x14:definedName>
        <x14:definedName name="GetElemen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Tex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Regex">
          <x14:argumentDescriptions count="3">
            <x14:argumentDescription index="0">The source string in which the regex is to be found</x14:argumentDescription>
            <x14:argumentDescription index="1">A regular expression with 1 capture group '()'</x14:argumentDescription>
            <x14:argumentDescription index="2">If more than one match is found the index can be specified. Default: 0</x14:argumentDescription>
          </x14:argumentDescriptions>
        </x14:definedName>
        <x14:definedName name="RegexReplace">
          <x14:argumentDescriptions count="3">
            <x14:argumentDescription index="0">The source string in which the patterns are to be replaced</x14:argumentDescription>
            <x14:argumentDescription index="1">A regular expression with 1 capture group '()'</x14:argumentDescription>
            <x14:argumentDescription index="2">Replace all found matches with this string</x14:argumentDescription>
          </x14:argumentDescriptions>
        </x14:definedName>
      </x14:definedNam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12" l="1"/>
  <c r="M2" i="12" s="1"/>
  <c r="AA49" i="5"/>
  <c r="K3" i="12"/>
  <c r="M3" i="12" s="1"/>
  <c r="CF89" i="4"/>
  <c r="K4" i="12"/>
  <c r="M4" i="12" s="1"/>
  <c r="BM89" i="4"/>
  <c r="K5" i="12"/>
  <c r="M5" i="12" s="1"/>
  <c r="AT89" i="4"/>
  <c r="K6" i="12"/>
  <c r="M6" i="12" s="1"/>
  <c r="AA89" i="4"/>
  <c r="K7" i="12"/>
  <c r="M7" i="12" s="1"/>
  <c r="CY89" i="4"/>
  <c r="K8" i="12"/>
  <c r="M8" i="12" s="1"/>
  <c r="DR89" i="4"/>
  <c r="K9" i="12"/>
  <c r="M9" i="12" s="1"/>
  <c r="CY18" i="4"/>
  <c r="K10" i="12"/>
  <c r="M10" i="12" s="1"/>
  <c r="CY23" i="4"/>
  <c r="K11" i="12" l="1"/>
  <c r="M11" i="12" s="1"/>
  <c r="DR80" i="4"/>
  <c r="EF80" i="4" s="1"/>
  <c r="FQ80" i="4"/>
  <c r="EX80" i="4"/>
  <c r="DM80" i="4"/>
  <c r="CT80" i="4"/>
  <c r="CA80" i="4"/>
  <c r="BH80" i="4"/>
  <c r="K12" i="12"/>
  <c r="M12" i="12" s="1"/>
  <c r="CF82" i="4"/>
  <c r="K13" i="12"/>
  <c r="M13" i="12" s="1"/>
  <c r="BM82" i="4"/>
  <c r="K14" i="12"/>
  <c r="M14" i="12" s="1"/>
  <c r="AT82" i="4"/>
  <c r="BH82" i="4" s="1"/>
  <c r="K15" i="12"/>
  <c r="M15" i="12" s="1"/>
  <c r="AA82" i="4"/>
  <c r="K16" i="12"/>
  <c r="M16" i="12" s="1"/>
  <c r="DR82" i="4"/>
  <c r="K17" i="12"/>
  <c r="M17" i="12" s="1"/>
  <c r="CY82" i="4"/>
  <c r="DM82" i="4" s="1"/>
  <c r="K18" i="12"/>
  <c r="M18" i="12" s="1"/>
  <c r="CF83" i="4"/>
  <c r="K19" i="12"/>
  <c r="M19" i="12" s="1"/>
  <c r="BM83" i="4"/>
  <c r="K20" i="12"/>
  <c r="M20" i="12" s="1"/>
  <c r="AT83" i="4"/>
  <c r="K21" i="12"/>
  <c r="M21" i="12" s="1"/>
  <c r="AA83" i="4"/>
  <c r="K22" i="12"/>
  <c r="M22" i="12" s="1"/>
  <c r="CY83" i="4"/>
  <c r="FQ82" i="4"/>
  <c r="EX82" i="4"/>
  <c r="K23" i="12"/>
  <c r="M23" i="12" s="1"/>
  <c r="AA43" i="5"/>
  <c r="K24" i="12"/>
  <c r="M24" i="12" s="1"/>
  <c r="AA39" i="5"/>
  <c r="AO43" i="5"/>
  <c r="V43" i="5"/>
  <c r="T43" i="5"/>
  <c r="AA40" i="5"/>
  <c r="AO40" i="5" s="1"/>
  <c r="V40" i="5"/>
  <c r="T40" i="5"/>
  <c r="AX238" i="3"/>
  <c r="BM7" i="4"/>
  <c r="BM8" i="4" s="1"/>
  <c r="K25" i="12"/>
  <c r="M25" i="12" s="1"/>
  <c r="K26" i="12"/>
  <c r="M26" i="12" s="1"/>
  <c r="K27" i="12"/>
  <c r="M27" i="12" s="1"/>
  <c r="K28" i="12"/>
  <c r="M28" i="12" s="1"/>
  <c r="AA23" i="7"/>
  <c r="Q23" i="7"/>
  <c r="K29" i="12"/>
  <c r="M29" i="12" s="1"/>
  <c r="AO22" i="5"/>
  <c r="T22" i="5"/>
  <c r="V22" i="5"/>
  <c r="K30" i="12"/>
  <c r="M30" i="12" s="1"/>
  <c r="K31" i="12"/>
  <c r="M31" i="12" s="1"/>
  <c r="K32" i="12"/>
  <c r="M32" i="12" s="1"/>
  <c r="K33" i="12"/>
  <c r="M33" i="12" s="1"/>
  <c r="K34" i="12"/>
  <c r="M34" i="12" s="1"/>
  <c r="K35" i="12"/>
  <c r="M35" i="12" s="1"/>
  <c r="AO80" i="4" l="1"/>
  <c r="AO82" i="4"/>
  <c r="EF82" i="4"/>
  <c r="CT82" i="4"/>
  <c r="CA82" i="4"/>
  <c r="AO23" i="7"/>
  <c r="K36" i="12"/>
  <c r="M36" i="12" s="1"/>
  <c r="K37" i="12"/>
  <c r="M37" i="12" s="1"/>
  <c r="K38" i="12"/>
  <c r="M38" i="12" s="1"/>
  <c r="K39" i="12"/>
  <c r="M39" i="12" s="1"/>
  <c r="DR174" i="4"/>
  <c r="K40" i="12"/>
  <c r="M40" i="12" s="1"/>
  <c r="CF97" i="8"/>
  <c r="K41" i="12"/>
  <c r="M41" i="12" s="1"/>
  <c r="BM97" i="8"/>
  <c r="K42" i="12"/>
  <c r="M42" i="12" s="1"/>
  <c r="AT97" i="8"/>
  <c r="K43" i="12"/>
  <c r="M43" i="12" s="1"/>
  <c r="AA97" i="8"/>
  <c r="K44" i="12"/>
  <c r="M44" i="12" s="1"/>
  <c r="AA98" i="5"/>
  <c r="K45" i="12"/>
  <c r="M45" i="12" s="1"/>
  <c r="CF159" i="4"/>
  <c r="K46" i="12"/>
  <c r="M46" i="12" s="1"/>
  <c r="BM159" i="4"/>
  <c r="K47" i="12"/>
  <c r="M47" i="12" s="1"/>
  <c r="AT159" i="4"/>
  <c r="K48" i="12"/>
  <c r="M48" i="12" s="1"/>
  <c r="AA159" i="4"/>
  <c r="K49" i="12"/>
  <c r="M49" i="12" s="1"/>
  <c r="DR159" i="4"/>
  <c r="K50" i="12"/>
  <c r="M50" i="12" s="1"/>
  <c r="CY159" i="4"/>
  <c r="K51" i="12"/>
  <c r="M51" i="12" s="1"/>
  <c r="BM109" i="8"/>
  <c r="K52" i="12"/>
  <c r="M52" i="12" s="1"/>
  <c r="BM110" i="8"/>
  <c r="K53" i="12"/>
  <c r="M53" i="12" s="1"/>
  <c r="B238" i="3" a="1"/>
  <c r="B238" i="3" s="1"/>
  <c r="Q238" i="3"/>
  <c r="R238" i="3"/>
  <c r="S238" i="3"/>
  <c r="T238" i="3"/>
  <c r="K54" i="12"/>
  <c r="M54" i="12" s="1"/>
  <c r="CY171" i="4"/>
  <c r="K55" i="12"/>
  <c r="M55" i="12" s="1"/>
  <c r="K56" i="12"/>
  <c r="M56" i="12" s="1"/>
  <c r="K57" i="12"/>
  <c r="M57" i="12" s="1"/>
  <c r="K58" i="12"/>
  <c r="M58" i="12" s="1"/>
  <c r="K59" i="12"/>
  <c r="M59" i="12" s="1"/>
  <c r="K60" i="12"/>
  <c r="M60" i="12" s="1"/>
  <c r="K61" i="12"/>
  <c r="M61" i="12" s="1"/>
  <c r="AA42" i="5"/>
  <c r="T42" i="5" s="1"/>
  <c r="K107" i="12"/>
  <c r="M107" i="12" s="1"/>
  <c r="EJ7" i="4"/>
  <c r="EJ8" i="4" s="1"/>
  <c r="CF7" i="4"/>
  <c r="CF8" i="4" s="1"/>
  <c r="K62" i="12"/>
  <c r="M62" i="12" s="1"/>
  <c r="CF81" i="4"/>
  <c r="K63" i="12"/>
  <c r="M63" i="12" s="1"/>
  <c r="BM81" i="4"/>
  <c r="CA81" i="4" s="1"/>
  <c r="K64" i="12"/>
  <c r="M64" i="12" s="1"/>
  <c r="AT81" i="4"/>
  <c r="BH81" i="4" s="1"/>
  <c r="K65" i="12"/>
  <c r="M65" i="12" s="1"/>
  <c r="AA81" i="4"/>
  <c r="K66" i="12"/>
  <c r="M66" i="12" s="1"/>
  <c r="CY81" i="4"/>
  <c r="DM81" i="4" s="1"/>
  <c r="K67" i="12"/>
  <c r="M67" i="12" s="1"/>
  <c r="DR81" i="4"/>
  <c r="EF81" i="4" s="1"/>
  <c r="V42" i="5"/>
  <c r="FQ81" i="4"/>
  <c r="EX81" i="4"/>
  <c r="FQ90" i="4"/>
  <c r="EX90" i="4"/>
  <c r="EF90" i="4"/>
  <c r="DM90" i="4"/>
  <c r="CT90" i="4"/>
  <c r="CA90" i="4"/>
  <c r="BH90" i="4"/>
  <c r="K68" i="12"/>
  <c r="M68" i="12" s="1"/>
  <c r="CF71" i="8"/>
  <c r="K69" i="12"/>
  <c r="M69" i="12" s="1"/>
  <c r="BM70" i="8"/>
  <c r="CA70" i="8" s="1"/>
  <c r="K70" i="12"/>
  <c r="M70" i="12" s="1"/>
  <c r="AT70" i="8"/>
  <c r="BH70" i="8" s="1"/>
  <c r="K71" i="12"/>
  <c r="M71" i="12" s="1"/>
  <c r="AA70" i="8"/>
  <c r="AO70" i="8" s="1"/>
  <c r="K72" i="12"/>
  <c r="M72" i="12" s="1"/>
  <c r="AA75" i="5"/>
  <c r="AO75" i="5" s="1"/>
  <c r="K73" i="12"/>
  <c r="M73" i="12" s="1"/>
  <c r="CF124" i="4"/>
  <c r="K74" i="12"/>
  <c r="M74" i="12" s="1"/>
  <c r="BM124" i="4"/>
  <c r="CA124" i="4" s="1"/>
  <c r="K75" i="12"/>
  <c r="M75" i="12" s="1"/>
  <c r="AT124" i="4"/>
  <c r="BH124" i="4" s="1"/>
  <c r="K76" i="12"/>
  <c r="M76" i="12" s="1"/>
  <c r="AA124" i="4"/>
  <c r="K77" i="12"/>
  <c r="M77" i="12" s="1"/>
  <c r="BM67" i="8"/>
  <c r="K78" i="12"/>
  <c r="M78" i="12" s="1"/>
  <c r="AT67" i="8"/>
  <c r="K79" i="12"/>
  <c r="M79" i="12" s="1"/>
  <c r="AA67" i="8"/>
  <c r="K80" i="12"/>
  <c r="M80" i="12" s="1"/>
  <c r="AA72" i="5"/>
  <c r="K81" i="12"/>
  <c r="M81" i="12" s="1"/>
  <c r="CF121" i="4"/>
  <c r="K82" i="12"/>
  <c r="M82" i="12" s="1"/>
  <c r="BM121" i="4"/>
  <c r="K83" i="12"/>
  <c r="M83" i="12" s="1"/>
  <c r="AT121" i="4"/>
  <c r="K84" i="12"/>
  <c r="M84" i="12" s="1"/>
  <c r="AA121" i="4"/>
  <c r="K85" i="12"/>
  <c r="M85" i="12" s="1"/>
  <c r="CF78" i="8"/>
  <c r="K86" i="12"/>
  <c r="M86" i="12" s="1"/>
  <c r="BM78" i="8"/>
  <c r="K87" i="12"/>
  <c r="M87" i="12" s="1"/>
  <c r="AT78" i="8"/>
  <c r="K88" i="12"/>
  <c r="M88" i="12" s="1"/>
  <c r="AA78" i="8"/>
  <c r="K89" i="12"/>
  <c r="M89" i="12" s="1"/>
  <c r="AA66" i="7"/>
  <c r="K90" i="12"/>
  <c r="M90" i="12" s="1"/>
  <c r="AA81" i="5"/>
  <c r="K91" i="12"/>
  <c r="M91" i="12" s="1"/>
  <c r="CF134" i="4"/>
  <c r="K92" i="12"/>
  <c r="M92" i="12" s="1"/>
  <c r="BM134" i="4"/>
  <c r="K93" i="12"/>
  <c r="M93" i="12" s="1"/>
  <c r="AT134" i="4"/>
  <c r="K94" i="12"/>
  <c r="M94" i="12" s="1"/>
  <c r="AA134" i="4"/>
  <c r="K95" i="12"/>
  <c r="M95" i="12" s="1"/>
  <c r="K96" i="12"/>
  <c r="M96" i="12" s="1"/>
  <c r="DR134" i="4"/>
  <c r="K97" i="12"/>
  <c r="M97" i="12" s="1"/>
  <c r="DR124" i="4"/>
  <c r="EF124" i="4" s="1"/>
  <c r="K98" i="12"/>
  <c r="M98" i="12" s="1"/>
  <c r="CY124" i="4"/>
  <c r="DM124" i="4" s="1"/>
  <c r="K99" i="12"/>
  <c r="M99" i="12" s="1"/>
  <c r="DR83" i="4"/>
  <c r="CT70" i="8"/>
  <c r="V70" i="8"/>
  <c r="V75" i="5"/>
  <c r="FQ124" i="4"/>
  <c r="EX124" i="4"/>
  <c r="K100" i="12"/>
  <c r="M100" i="12" s="1"/>
  <c r="CF125" i="4"/>
  <c r="K101" i="12"/>
  <c r="M101" i="12" s="1"/>
  <c r="BM125" i="4"/>
  <c r="K102" i="12"/>
  <c r="M102" i="12" s="1"/>
  <c r="AT125" i="4"/>
  <c r="K103" i="12"/>
  <c r="M103" i="12" s="1"/>
  <c r="AA125" i="4"/>
  <c r="K104" i="12"/>
  <c r="M104" i="12" s="1"/>
  <c r="CY134" i="4"/>
  <c r="K154" i="12"/>
  <c r="M154" i="12" s="1"/>
  <c r="K105" i="12"/>
  <c r="M105" i="12" s="1"/>
  <c r="DR92" i="4"/>
  <c r="K106" i="12"/>
  <c r="M106" i="12" s="1"/>
  <c r="K108" i="12"/>
  <c r="M108" i="12" s="1"/>
  <c r="K109" i="12"/>
  <c r="M109" i="12" s="1"/>
  <c r="K110" i="12"/>
  <c r="M110" i="12" s="1"/>
  <c r="K111" i="12"/>
  <c r="M111" i="12" s="1"/>
  <c r="K112" i="12"/>
  <c r="M112" i="12" s="1"/>
  <c r="K113" i="12"/>
  <c r="M113" i="12" s="1"/>
  <c r="K114" i="12"/>
  <c r="M114" i="12" s="1"/>
  <c r="DR143" i="4"/>
  <c r="K115" i="12"/>
  <c r="M115" i="12" s="1"/>
  <c r="DR129" i="4"/>
  <c r="EF129" i="4" s="1"/>
  <c r="FQ129" i="4"/>
  <c r="EX129" i="4"/>
  <c r="DM129" i="4"/>
  <c r="CT129" i="4"/>
  <c r="CA129" i="4"/>
  <c r="BH129" i="4"/>
  <c r="AO129" i="4"/>
  <c r="B218" i="3" a="1"/>
  <c r="B218" i="3" s="1"/>
  <c r="Q218" i="3"/>
  <c r="R218" i="3"/>
  <c r="S218" i="3"/>
  <c r="AX218" i="3"/>
  <c r="T218" i="3" s="1"/>
  <c r="AO24" i="4"/>
  <c r="K116" i="12"/>
  <c r="M116" i="12" s="1"/>
  <c r="AF117" i="9"/>
  <c r="K117" i="12"/>
  <c r="M117" i="12" s="1"/>
  <c r="AF84" i="9"/>
  <c r="K118" i="12"/>
  <c r="M118" i="12" s="1"/>
  <c r="AF101" i="9"/>
  <c r="AT101" i="9" s="1"/>
  <c r="K119" i="12"/>
  <c r="M119" i="12" s="1"/>
  <c r="AF99" i="9"/>
  <c r="K120" i="12"/>
  <c r="M120" i="12" s="1"/>
  <c r="AF98" i="9"/>
  <c r="BM101" i="9"/>
  <c r="BM77" i="9"/>
  <c r="AT77" i="9"/>
  <c r="BM79" i="9"/>
  <c r="AT79" i="9"/>
  <c r="BM60" i="9"/>
  <c r="AT60" i="9"/>
  <c r="BM52" i="9"/>
  <c r="AT52" i="9"/>
  <c r="BM49" i="9"/>
  <c r="AT49" i="9"/>
  <c r="BM50" i="9"/>
  <c r="AT50" i="9"/>
  <c r="AO42" i="5" l="1"/>
  <c r="Q70" i="8"/>
  <c r="AN238" i="3"/>
  <c r="AE238" i="3" a="1"/>
  <c r="AE238" i="3" s="1"/>
  <c r="X238" i="3" a="1"/>
  <c r="X238" i="3" s="1"/>
  <c r="AW238" i="3"/>
  <c r="P238" i="3" s="1"/>
  <c r="U238" i="3" a="1"/>
  <c r="U238" i="3" s="1"/>
  <c r="AK238" i="3"/>
  <c r="W238" i="3" a="1"/>
  <c r="W238" i="3" s="1"/>
  <c r="C238" i="3"/>
  <c r="AB238" i="3" a="1"/>
  <c r="AB238" i="3" s="1"/>
  <c r="AF238" i="3" a="1"/>
  <c r="AF238" i="3" s="1"/>
  <c r="AI238" i="3"/>
  <c r="AL238" i="3"/>
  <c r="D238" i="3" a="1"/>
  <c r="D238" i="3" s="1"/>
  <c r="M238" i="3" s="1" a="1"/>
  <c r="M238" i="3" s="1"/>
  <c r="Y238" i="3" a="1"/>
  <c r="Y238" i="3" s="1"/>
  <c r="Z238" i="3" a="1"/>
  <c r="Z238" i="3" s="1"/>
  <c r="AA238" i="3" a="1"/>
  <c r="AA238" i="3" s="1"/>
  <c r="AC238" i="3" a="1"/>
  <c r="AC238" i="3" s="1"/>
  <c r="AG238" i="3" a="1"/>
  <c r="AG238" i="3" s="1"/>
  <c r="AH238" i="3" a="1"/>
  <c r="AH238" i="3" s="1"/>
  <c r="E238" i="3" a="1"/>
  <c r="E238" i="3" s="1"/>
  <c r="F238" i="3" a="1"/>
  <c r="F238" i="3" s="1"/>
  <c r="G238" i="3" a="1"/>
  <c r="G238" i="3" s="1"/>
  <c r="H238" i="3"/>
  <c r="I238" i="3" a="1"/>
  <c r="I238" i="3" s="1"/>
  <c r="AD238" i="3" a="1"/>
  <c r="AD238" i="3" s="1"/>
  <c r="AJ238" i="3"/>
  <c r="AM238" i="3"/>
  <c r="T75" i="5"/>
  <c r="CT81" i="4"/>
  <c r="AO81" i="4"/>
  <c r="AO90" i="4"/>
  <c r="AO124" i="4"/>
  <c r="CT124" i="4"/>
  <c r="X218" i="3" a="1"/>
  <c r="X218" i="3" s="1"/>
  <c r="AW218" i="3"/>
  <c r="P218" i="3" s="1"/>
  <c r="C218" i="3"/>
  <c r="U218" i="3" a="1"/>
  <c r="U218" i="3" s="1"/>
  <c r="D218" i="3" a="1"/>
  <c r="D218" i="3" s="1"/>
  <c r="M218" i="3" s="1" a="1"/>
  <c r="M218" i="3" s="1"/>
  <c r="Y218" i="3" a="1"/>
  <c r="Y218" i="3" s="1"/>
  <c r="AA218" i="3" a="1"/>
  <c r="AA218" i="3" s="1"/>
  <c r="AB218" i="3" a="1"/>
  <c r="AB218" i="3" s="1"/>
  <c r="AC218" i="3" a="1"/>
  <c r="AC218" i="3" s="1"/>
  <c r="I218" i="3" a="1"/>
  <c r="I218" i="3" s="1"/>
  <c r="AD218" i="3" a="1"/>
  <c r="AD218" i="3" s="1"/>
  <c r="F218" i="3" a="1"/>
  <c r="F218" i="3" s="1"/>
  <c r="AE218" i="3" a="1"/>
  <c r="AE218" i="3" s="1"/>
  <c r="AF218" i="3" a="1"/>
  <c r="AF218" i="3" s="1"/>
  <c r="AG218" i="3" a="1"/>
  <c r="AG218" i="3" s="1"/>
  <c r="AL218" i="3"/>
  <c r="E218" i="3" a="1"/>
  <c r="E218" i="3" s="1"/>
  <c r="Z218" i="3" a="1"/>
  <c r="Z218" i="3" s="1"/>
  <c r="G218" i="3" a="1"/>
  <c r="G218" i="3" s="1"/>
  <c r="H218" i="3"/>
  <c r="AI218" i="3"/>
  <c r="AJ218" i="3"/>
  <c r="W218" i="3" a="1"/>
  <c r="W218" i="3" s="1"/>
  <c r="AN218" i="3"/>
  <c r="AM218" i="3"/>
  <c r="AH218" i="3" a="1"/>
  <c r="AH218" i="3" s="1"/>
  <c r="AK218" i="3"/>
  <c r="K121" i="12"/>
  <c r="M121" i="12" s="1"/>
  <c r="K122" i="12"/>
  <c r="M122" i="12" s="1"/>
  <c r="K123" i="12"/>
  <c r="M123" i="12" s="1"/>
  <c r="DR120" i="4"/>
  <c r="K124" i="12"/>
  <c r="M124" i="12" s="1"/>
  <c r="AA73" i="5"/>
  <c r="AO73" i="5" s="1"/>
  <c r="K125" i="12"/>
  <c r="M125" i="12" s="1"/>
  <c r="DR122" i="4"/>
  <c r="EF122" i="4" s="1"/>
  <c r="K126" i="12"/>
  <c r="M126" i="12" s="1"/>
  <c r="CY122" i="4"/>
  <c r="DM122" i="4" s="1"/>
  <c r="K127" i="12"/>
  <c r="M127" i="12" s="1"/>
  <c r="CF122" i="4"/>
  <c r="CT122" i="4" s="1"/>
  <c r="K128" i="12"/>
  <c r="M128" i="12" s="1"/>
  <c r="BM122" i="4"/>
  <c r="CA122" i="4" s="1"/>
  <c r="K129" i="12"/>
  <c r="M129" i="12" s="1"/>
  <c r="AT122" i="4"/>
  <c r="BH122" i="4" s="1"/>
  <c r="K130" i="12"/>
  <c r="M130" i="12" s="1"/>
  <c r="AA122" i="4"/>
  <c r="AO122" i="4" s="1"/>
  <c r="K131" i="12"/>
  <c r="M131" i="12" s="1"/>
  <c r="K132" i="12"/>
  <c r="M132" i="12" s="1"/>
  <c r="K133" i="12"/>
  <c r="M133" i="12" s="1"/>
  <c r="CA68" i="8"/>
  <c r="K134" i="12"/>
  <c r="M134" i="12" s="1"/>
  <c r="AA64" i="7"/>
  <c r="K135" i="12"/>
  <c r="M135" i="12" s="1"/>
  <c r="CF73" i="8"/>
  <c r="K136" i="12"/>
  <c r="M136" i="12" s="1"/>
  <c r="BM73" i="8"/>
  <c r="K137" i="12"/>
  <c r="M137" i="12" s="1"/>
  <c r="AT73" i="8"/>
  <c r="K138" i="12"/>
  <c r="M138" i="12" s="1"/>
  <c r="AA73" i="8"/>
  <c r="K139" i="12"/>
  <c r="M139" i="12" s="1"/>
  <c r="AA77" i="5"/>
  <c r="K140" i="12"/>
  <c r="M140" i="12" s="1"/>
  <c r="CY128" i="4"/>
  <c r="K141" i="12"/>
  <c r="M141" i="12" s="1"/>
  <c r="CF128" i="4"/>
  <c r="K142" i="12"/>
  <c r="M142" i="12" s="1"/>
  <c r="BM128" i="4"/>
  <c r="K143" i="12"/>
  <c r="M143" i="12" s="1"/>
  <c r="AT128" i="4"/>
  <c r="K144" i="12"/>
  <c r="M144" i="12" s="1"/>
  <c r="AA128" i="4"/>
  <c r="K145" i="12"/>
  <c r="M145" i="12" s="1"/>
  <c r="BM69" i="8"/>
  <c r="K146" i="12"/>
  <c r="M146" i="12" s="1"/>
  <c r="AT69" i="8"/>
  <c r="K147" i="12"/>
  <c r="M147" i="12" s="1"/>
  <c r="AA69" i="8"/>
  <c r="K148" i="12"/>
  <c r="M148" i="12" s="1"/>
  <c r="AA74" i="5"/>
  <c r="K149" i="12"/>
  <c r="M149" i="12" s="1"/>
  <c r="CY123" i="4"/>
  <c r="K150" i="12"/>
  <c r="M150" i="12" s="1"/>
  <c r="CF123" i="4"/>
  <c r="K151" i="12"/>
  <c r="M151" i="12" s="1"/>
  <c r="BM123" i="4"/>
  <c r="K152" i="12"/>
  <c r="M152" i="12" s="1"/>
  <c r="AT123" i="4"/>
  <c r="K153" i="12"/>
  <c r="M153" i="12" s="1"/>
  <c r="AA123" i="4"/>
  <c r="CT68" i="8"/>
  <c r="BH68" i="8"/>
  <c r="AO68" i="8"/>
  <c r="V68" i="8"/>
  <c r="Q68" i="8"/>
  <c r="V73" i="5"/>
  <c r="FQ131" i="4"/>
  <c r="EX131" i="4"/>
  <c r="EF131" i="4"/>
  <c r="DM131" i="4"/>
  <c r="CT131" i="4"/>
  <c r="CA131" i="4"/>
  <c r="BH131" i="4"/>
  <c r="AO131" i="4"/>
  <c r="AO132" i="4"/>
  <c r="BH132" i="4"/>
  <c r="CA132" i="4"/>
  <c r="CT132" i="4"/>
  <c r="DM132" i="4"/>
  <c r="EF132" i="4"/>
  <c r="EX132" i="4"/>
  <c r="FQ132" i="4"/>
  <c r="B246" i="3" a="1"/>
  <c r="B246" i="3" s="1"/>
  <c r="Q246" i="3"/>
  <c r="R246" i="3"/>
  <c r="S246" i="3"/>
  <c r="AX246" i="3"/>
  <c r="T246" i="3" s="1"/>
  <c r="FQ122" i="4"/>
  <c r="EX122" i="4"/>
  <c r="T56" i="5"/>
  <c r="V56" i="5"/>
  <c r="AO56" i="5"/>
  <c r="K155" i="12"/>
  <c r="M155" i="12" s="1"/>
  <c r="CT44" i="8"/>
  <c r="CA44" i="8"/>
  <c r="BH44" i="8"/>
  <c r="AO44" i="8"/>
  <c r="V44" i="8"/>
  <c r="FQ99" i="4"/>
  <c r="EX99" i="4"/>
  <c r="EF99" i="4"/>
  <c r="CY99" i="4"/>
  <c r="DM99" i="4" s="1"/>
  <c r="CF99" i="4"/>
  <c r="CT99" i="4" s="1"/>
  <c r="BM99" i="4"/>
  <c r="CA99" i="4" s="1"/>
  <c r="BH99" i="4"/>
  <c r="AA99" i="4"/>
  <c r="V238" i="3" l="1"/>
  <c r="V218" i="3"/>
  <c r="T73" i="5"/>
  <c r="X246" i="3" a="1"/>
  <c r="X246" i="3" s="1"/>
  <c r="AW246" i="3"/>
  <c r="P246" i="3" s="1"/>
  <c r="Z246" i="3" a="1"/>
  <c r="Z246" i="3" s="1"/>
  <c r="AA246" i="3" a="1"/>
  <c r="AA246" i="3" s="1"/>
  <c r="G246" i="3" a="1"/>
  <c r="G246" i="3" s="1"/>
  <c r="U246" i="3" a="1"/>
  <c r="U246" i="3" s="1"/>
  <c r="AL246" i="3"/>
  <c r="W246" i="3" a="1"/>
  <c r="W246" i="3" s="1"/>
  <c r="C246" i="3"/>
  <c r="H246" i="3"/>
  <c r="AF246" i="3" a="1"/>
  <c r="AF246" i="3" s="1"/>
  <c r="AI246" i="3"/>
  <c r="AJ246" i="3"/>
  <c r="AM246" i="3"/>
  <c r="AN246" i="3"/>
  <c r="D246" i="3" a="1"/>
  <c r="D246" i="3" s="1"/>
  <c r="M246" i="3" s="1" a="1"/>
  <c r="M246" i="3" s="1"/>
  <c r="Y246" i="3" a="1"/>
  <c r="Y246" i="3" s="1"/>
  <c r="F246" i="3" a="1"/>
  <c r="F246" i="3" s="1"/>
  <c r="I246" i="3" a="1"/>
  <c r="I246" i="3" s="1"/>
  <c r="E246" i="3" a="1"/>
  <c r="E246" i="3" s="1"/>
  <c r="AB246" i="3" a="1"/>
  <c r="AB246" i="3" s="1"/>
  <c r="AC246" i="3" a="1"/>
  <c r="AC246" i="3" s="1"/>
  <c r="AD246" i="3" a="1"/>
  <c r="AD246" i="3" s="1"/>
  <c r="AE246" i="3" a="1"/>
  <c r="AE246" i="3" s="1"/>
  <c r="AG246" i="3" a="1"/>
  <c r="AG246" i="3" s="1"/>
  <c r="AH246" i="3" a="1"/>
  <c r="AH246" i="3" s="1"/>
  <c r="AK246" i="3"/>
  <c r="Q44" i="8"/>
  <c r="AO99" i="4"/>
  <c r="EM19" i="4"/>
  <c r="FQ98" i="4"/>
  <c r="EX98" i="4"/>
  <c r="EF98" i="4"/>
  <c r="DM98" i="4"/>
  <c r="CT98" i="4"/>
  <c r="CA98" i="4"/>
  <c r="BH98" i="4"/>
  <c r="K156" i="12"/>
  <c r="M156" i="12" s="1"/>
  <c r="BM56" i="8"/>
  <c r="K157" i="12"/>
  <c r="M157" i="12" s="1"/>
  <c r="AT56" i="8"/>
  <c r="K158" i="12"/>
  <c r="M158" i="12" s="1"/>
  <c r="AA56" i="8"/>
  <c r="K159" i="12"/>
  <c r="M159" i="12" s="1"/>
  <c r="DR104" i="4"/>
  <c r="EF104" i="4" s="1"/>
  <c r="K160" i="12"/>
  <c r="M160" i="12" s="1"/>
  <c r="CY104" i="4"/>
  <c r="DM104" i="4" s="1"/>
  <c r="K161" i="12"/>
  <c r="M161" i="12" s="1"/>
  <c r="CF104" i="4"/>
  <c r="K162" i="12"/>
  <c r="M162" i="12" s="1"/>
  <c r="BM104" i="4"/>
  <c r="CA104" i="4" s="1"/>
  <c r="K163" i="12"/>
  <c r="M163" i="12" s="1"/>
  <c r="AT104" i="4"/>
  <c r="BH104" i="4" s="1"/>
  <c r="K164" i="12"/>
  <c r="M164" i="12" s="1"/>
  <c r="AA104" i="4"/>
  <c r="K165" i="12"/>
  <c r="M165" i="12" s="1"/>
  <c r="AA61" i="5"/>
  <c r="AO61" i="5" s="1"/>
  <c r="K166" i="12"/>
  <c r="M166" i="12" s="1"/>
  <c r="BM55" i="8"/>
  <c r="K167" i="12"/>
  <c r="M167" i="12" s="1"/>
  <c r="AT55" i="8"/>
  <c r="K168" i="12"/>
  <c r="M168" i="12" s="1"/>
  <c r="AA55" i="8"/>
  <c r="K169" i="12"/>
  <c r="M169" i="12" s="1"/>
  <c r="CF55" i="8"/>
  <c r="V61" i="5"/>
  <c r="FQ104" i="4"/>
  <c r="EX104" i="4"/>
  <c r="K170" i="12"/>
  <c r="M170" i="12" s="1"/>
  <c r="AA50" i="5"/>
  <c r="AO50" i="5" s="1"/>
  <c r="K171" i="12"/>
  <c r="M171" i="12" s="1"/>
  <c r="AA46" i="5"/>
  <c r="K172" i="12"/>
  <c r="M172" i="12" s="1"/>
  <c r="AA41" i="5"/>
  <c r="T41" i="5" s="1"/>
  <c r="K173" i="12"/>
  <c r="M173" i="12" s="1"/>
  <c r="AA52" i="5"/>
  <c r="K174" i="12"/>
  <c r="M174" i="12" s="1"/>
  <c r="EF92" i="4"/>
  <c r="K175" i="12"/>
  <c r="M175" i="12" s="1"/>
  <c r="CY92" i="4"/>
  <c r="DM92" i="4" s="1"/>
  <c r="K176" i="12"/>
  <c r="M176" i="12" s="1"/>
  <c r="CF92" i="4"/>
  <c r="CT92" i="4" s="1"/>
  <c r="K177" i="12"/>
  <c r="M177" i="12" s="1"/>
  <c r="BM92" i="4"/>
  <c r="CA92" i="4" s="1"/>
  <c r="K178" i="12"/>
  <c r="M178" i="12" s="1"/>
  <c r="AT92" i="4"/>
  <c r="BH92" i="4" s="1"/>
  <c r="K179" i="12"/>
  <c r="M179" i="12" s="1"/>
  <c r="AA92" i="4"/>
  <c r="K180" i="12"/>
  <c r="M180" i="12" s="1"/>
  <c r="DR88" i="4"/>
  <c r="EF88" i="4" s="1"/>
  <c r="K181" i="12"/>
  <c r="M181" i="12" s="1"/>
  <c r="CY88" i="4"/>
  <c r="DM88" i="4" s="1"/>
  <c r="K182" i="12"/>
  <c r="M182" i="12" s="1"/>
  <c r="CF88" i="4"/>
  <c r="K183" i="12"/>
  <c r="M183" i="12" s="1"/>
  <c r="BM88" i="4"/>
  <c r="K184" i="12"/>
  <c r="M184" i="12" s="1"/>
  <c r="AT88" i="4"/>
  <c r="BH88" i="4" s="1"/>
  <c r="K185" i="12"/>
  <c r="M185" i="12" s="1"/>
  <c r="AA88" i="4"/>
  <c r="K186" i="12"/>
  <c r="M186" i="12" s="1"/>
  <c r="K187" i="12"/>
  <c r="M187" i="12" s="1"/>
  <c r="CY93" i="4"/>
  <c r="K188" i="12"/>
  <c r="M188" i="12" s="1"/>
  <c r="CF93" i="4"/>
  <c r="K189" i="12"/>
  <c r="M189" i="12" s="1"/>
  <c r="BM93" i="4"/>
  <c r="K190" i="12"/>
  <c r="M190" i="12" s="1"/>
  <c r="AT93" i="4"/>
  <c r="K191" i="12"/>
  <c r="M191" i="12" s="1"/>
  <c r="AA93" i="4"/>
  <c r="K192" i="12"/>
  <c r="M192" i="12" s="1"/>
  <c r="AA45" i="5"/>
  <c r="T45" i="5" s="1"/>
  <c r="K193" i="12"/>
  <c r="M193" i="12" s="1"/>
  <c r="DR84" i="4"/>
  <c r="EF84" i="4" s="1"/>
  <c r="K194" i="12"/>
  <c r="M194" i="12" s="1"/>
  <c r="CY84" i="4"/>
  <c r="DM84" i="4" s="1"/>
  <c r="K195" i="12"/>
  <c r="M195" i="12" s="1"/>
  <c r="CF84" i="4"/>
  <c r="CT84" i="4" s="1"/>
  <c r="K196" i="12"/>
  <c r="M196" i="12" s="1"/>
  <c r="BM84" i="4"/>
  <c r="CA84" i="4" s="1"/>
  <c r="K197" i="12"/>
  <c r="M197" i="12" s="1"/>
  <c r="AT84" i="4"/>
  <c r="BH84" i="4" s="1"/>
  <c r="K198" i="12"/>
  <c r="M198" i="12" s="1"/>
  <c r="AA84" i="4"/>
  <c r="K199" i="12"/>
  <c r="M199" i="12" s="1"/>
  <c r="K200" i="12"/>
  <c r="M200" i="12" s="1"/>
  <c r="K201" i="12"/>
  <c r="M201" i="12" s="1"/>
  <c r="K202" i="12"/>
  <c r="M202" i="12" s="1"/>
  <c r="K203" i="12"/>
  <c r="M203" i="12" s="1"/>
  <c r="K204" i="12"/>
  <c r="M204" i="12" s="1"/>
  <c r="K205" i="12"/>
  <c r="M205" i="12" s="1"/>
  <c r="K206" i="12"/>
  <c r="M206" i="12" s="1"/>
  <c r="T39" i="5"/>
  <c r="K207" i="12"/>
  <c r="M207" i="12" s="1"/>
  <c r="DR79" i="4"/>
  <c r="K208" i="12"/>
  <c r="M208" i="12" s="1"/>
  <c r="CY79" i="4"/>
  <c r="K209" i="12"/>
  <c r="M209" i="12" s="1"/>
  <c r="CF79" i="4"/>
  <c r="K210" i="12"/>
  <c r="M210" i="12" s="1"/>
  <c r="BM79" i="4"/>
  <c r="K211" i="12"/>
  <c r="M211" i="12" s="1"/>
  <c r="AT79" i="4"/>
  <c r="K212" i="12"/>
  <c r="M212" i="12" s="1"/>
  <c r="AA79" i="4"/>
  <c r="K213" i="12"/>
  <c r="M213" i="12" s="1"/>
  <c r="K214" i="12"/>
  <c r="M214" i="12" s="1"/>
  <c r="K215" i="12"/>
  <c r="M215" i="12" s="1"/>
  <c r="K216" i="12"/>
  <c r="M216" i="12" s="1"/>
  <c r="K217" i="12"/>
  <c r="M217" i="12" s="1"/>
  <c r="K218" i="12"/>
  <c r="M218" i="12" s="1"/>
  <c r="K219" i="12"/>
  <c r="M219" i="12" s="1"/>
  <c r="B379" i="3" a="1"/>
  <c r="B379" i="3" s="1"/>
  <c r="Q379" i="3"/>
  <c r="R379" i="3"/>
  <c r="S379" i="3"/>
  <c r="AX379" i="3"/>
  <c r="T379" i="3" s="1"/>
  <c r="V50" i="5"/>
  <c r="FQ88" i="4"/>
  <c r="EX88" i="4"/>
  <c r="V45" i="5"/>
  <c r="FQ84" i="4"/>
  <c r="EX84" i="4"/>
  <c r="B353" i="3" a="1"/>
  <c r="B353" i="3" s="1"/>
  <c r="Q353" i="3"/>
  <c r="R353" i="3"/>
  <c r="S353" i="3"/>
  <c r="AX353" i="3"/>
  <c r="T353" i="3" s="1"/>
  <c r="V41" i="5"/>
  <c r="V39" i="5"/>
  <c r="B313" i="3" a="1"/>
  <c r="B313" i="3" s="1"/>
  <c r="Q313" i="3"/>
  <c r="R313" i="3"/>
  <c r="S313" i="3"/>
  <c r="AX313" i="3"/>
  <c r="T313" i="3" s="1"/>
  <c r="FQ92" i="4"/>
  <c r="EX92" i="4"/>
  <c r="K220" i="12"/>
  <c r="M220" i="12" s="1"/>
  <c r="K221" i="12"/>
  <c r="M221" i="12" s="1"/>
  <c r="K222" i="12"/>
  <c r="M222" i="12" s="1"/>
  <c r="K223" i="12"/>
  <c r="M223" i="12" s="1"/>
  <c r="K224" i="12"/>
  <c r="M224" i="12" s="1"/>
  <c r="K225" i="12"/>
  <c r="M225" i="12" s="1"/>
  <c r="K226" i="12"/>
  <c r="M226" i="12" s="1"/>
  <c r="K227" i="12"/>
  <c r="M227" i="12" s="1"/>
  <c r="K228" i="12"/>
  <c r="M228" i="12" s="1"/>
  <c r="K229" i="12"/>
  <c r="M229" i="12" s="1"/>
  <c r="K230" i="12"/>
  <c r="M230" i="12" s="1"/>
  <c r="K231" i="12"/>
  <c r="M231" i="12" s="1"/>
  <c r="K232" i="12"/>
  <c r="M232" i="12" s="1"/>
  <c r="K233" i="12"/>
  <c r="M233" i="12" s="1"/>
  <c r="K234" i="12"/>
  <c r="M234" i="12" s="1"/>
  <c r="K235" i="12"/>
  <c r="M235" i="12" s="1"/>
  <c r="K236" i="12"/>
  <c r="M236" i="12" s="1"/>
  <c r="AF6" i="9"/>
  <c r="AF7" i="9" s="1"/>
  <c r="V246" i="3" l="1"/>
  <c r="AO41" i="5"/>
  <c r="AO98" i="4"/>
  <c r="T61" i="5"/>
  <c r="AO45" i="5"/>
  <c r="AO39" i="5"/>
  <c r="T50" i="5"/>
  <c r="CT104" i="4"/>
  <c r="AO104" i="4"/>
  <c r="AN379" i="3"/>
  <c r="X379" i="3" a="1"/>
  <c r="X379" i="3" s="1"/>
  <c r="AW379" i="3"/>
  <c r="P379" i="3" s="1"/>
  <c r="Z379" i="3" a="1"/>
  <c r="Z379" i="3" s="1"/>
  <c r="AB379" i="3" a="1"/>
  <c r="AB379" i="3" s="1"/>
  <c r="I379" i="3" a="1"/>
  <c r="I379" i="3" s="1"/>
  <c r="C379" i="3"/>
  <c r="F379" i="3" a="1"/>
  <c r="F379" i="3" s="1"/>
  <c r="AD379" i="3" a="1"/>
  <c r="AD379" i="3" s="1"/>
  <c r="D379" i="3" a="1"/>
  <c r="D379" i="3" s="1"/>
  <c r="M379" i="3" s="1" a="1"/>
  <c r="M379" i="3" s="1"/>
  <c r="Y379" i="3" a="1"/>
  <c r="Y379" i="3" s="1"/>
  <c r="AA379" i="3" a="1"/>
  <c r="AA379" i="3" s="1"/>
  <c r="G379" i="3" a="1"/>
  <c r="G379" i="3" s="1"/>
  <c r="AC379" i="3" a="1"/>
  <c r="AC379" i="3" s="1"/>
  <c r="AE379" i="3" a="1"/>
  <c r="AE379" i="3" s="1"/>
  <c r="AL379" i="3"/>
  <c r="AM379" i="3"/>
  <c r="E379" i="3" a="1"/>
  <c r="E379" i="3" s="1"/>
  <c r="AH379" i="3" a="1"/>
  <c r="AH379" i="3" s="1"/>
  <c r="U379" i="3" a="1"/>
  <c r="U379" i="3" s="1"/>
  <c r="H379" i="3"/>
  <c r="AF379" i="3" a="1"/>
  <c r="AF379" i="3" s="1"/>
  <c r="AG379" i="3" a="1"/>
  <c r="AG379" i="3" s="1"/>
  <c r="AI379" i="3"/>
  <c r="AJ379" i="3"/>
  <c r="AK379" i="3"/>
  <c r="W379" i="3" a="1"/>
  <c r="W379" i="3" s="1"/>
  <c r="AO88" i="4"/>
  <c r="CT88" i="4"/>
  <c r="CA88" i="4"/>
  <c r="AO84" i="4"/>
  <c r="X353" i="3" a="1"/>
  <c r="X353" i="3" s="1"/>
  <c r="AW353" i="3"/>
  <c r="P353" i="3" s="1"/>
  <c r="D353" i="3" a="1"/>
  <c r="D353" i="3" s="1"/>
  <c r="M353" i="3" s="1" a="1"/>
  <c r="M353" i="3" s="1"/>
  <c r="AB353" i="3" a="1"/>
  <c r="AB353" i="3" s="1"/>
  <c r="H353" i="3"/>
  <c r="AD353" i="3" a="1"/>
  <c r="AD353" i="3" s="1"/>
  <c r="C353" i="3"/>
  <c r="Y353" i="3" a="1"/>
  <c r="Y353" i="3" s="1"/>
  <c r="AC353" i="3" a="1"/>
  <c r="AC353" i="3" s="1"/>
  <c r="AE353" i="3" a="1"/>
  <c r="AE353" i="3" s="1"/>
  <c r="AN353" i="3"/>
  <c r="F353" i="3" a="1"/>
  <c r="F353" i="3" s="1"/>
  <c r="E353" i="3" a="1"/>
  <c r="E353" i="3" s="1"/>
  <c r="Z353" i="3" a="1"/>
  <c r="Z353" i="3" s="1"/>
  <c r="AA353" i="3" a="1"/>
  <c r="AA353" i="3" s="1"/>
  <c r="G353" i="3" a="1"/>
  <c r="G353" i="3" s="1"/>
  <c r="I353" i="3" a="1"/>
  <c r="I353" i="3" s="1"/>
  <c r="AG353" i="3" a="1"/>
  <c r="AG353" i="3" s="1"/>
  <c r="AI353" i="3"/>
  <c r="U353" i="3" a="1"/>
  <c r="U353" i="3" s="1"/>
  <c r="AJ353" i="3"/>
  <c r="AK353" i="3"/>
  <c r="AL353" i="3"/>
  <c r="W353" i="3" a="1"/>
  <c r="W353" i="3" s="1"/>
  <c r="AF353" i="3" a="1"/>
  <c r="AF353" i="3" s="1"/>
  <c r="AM353" i="3"/>
  <c r="AH353" i="3" a="1"/>
  <c r="AH353" i="3" s="1"/>
  <c r="X313" i="3" a="1"/>
  <c r="X313" i="3" s="1"/>
  <c r="AW313" i="3"/>
  <c r="P313" i="3" s="1"/>
  <c r="Y313" i="3" a="1"/>
  <c r="Y313" i="3" s="1"/>
  <c r="Z313" i="3" a="1"/>
  <c r="Z313" i="3" s="1"/>
  <c r="F313" i="3" a="1"/>
  <c r="F313" i="3" s="1"/>
  <c r="AB313" i="3" a="1"/>
  <c r="AB313" i="3" s="1"/>
  <c r="H313" i="3"/>
  <c r="C313" i="3"/>
  <c r="D313" i="3" a="1"/>
  <c r="D313" i="3" s="1"/>
  <c r="M313" i="3" s="1" a="1"/>
  <c r="M313" i="3" s="1"/>
  <c r="AA313" i="3" a="1"/>
  <c r="AA313" i="3" s="1"/>
  <c r="G313" i="3" a="1"/>
  <c r="G313" i="3" s="1"/>
  <c r="AC313" i="3" a="1"/>
  <c r="AC313" i="3" s="1"/>
  <c r="AD313" i="3" a="1"/>
  <c r="AD313" i="3" s="1"/>
  <c r="AE313" i="3" a="1"/>
  <c r="AE313" i="3" s="1"/>
  <c r="I313" i="3" a="1"/>
  <c r="I313" i="3" s="1"/>
  <c r="AG313" i="3" a="1"/>
  <c r="AG313" i="3" s="1"/>
  <c r="U313" i="3" a="1"/>
  <c r="U313" i="3" s="1"/>
  <c r="W313" i="3" a="1"/>
  <c r="W313" i="3" s="1"/>
  <c r="AN313" i="3"/>
  <c r="E313" i="3" a="1"/>
  <c r="E313" i="3" s="1"/>
  <c r="AF313" i="3" a="1"/>
  <c r="AF313" i="3" s="1"/>
  <c r="AH313" i="3" a="1"/>
  <c r="AH313" i="3" s="1"/>
  <c r="AI313" i="3"/>
  <c r="AJ313" i="3"/>
  <c r="AK313" i="3"/>
  <c r="AL313" i="3"/>
  <c r="AM313" i="3"/>
  <c r="AO92" i="4"/>
  <c r="CF6" i="8"/>
  <c r="CF7" i="8" s="1"/>
  <c r="BM7" i="8"/>
  <c r="AT6" i="8"/>
  <c r="AT7" i="8" s="1"/>
  <c r="AA6" i="8"/>
  <c r="AA7" i="8" s="1"/>
  <c r="AA6" i="7"/>
  <c r="AA7" i="7" s="1"/>
  <c r="AA6" i="5"/>
  <c r="AA7" i="5" s="1"/>
  <c r="FC7" i="4"/>
  <c r="FC8" i="4" s="1"/>
  <c r="AA7" i="4"/>
  <c r="AA8" i="4" s="1"/>
  <c r="AT7" i="4"/>
  <c r="AT8" i="4" s="1"/>
  <c r="FQ63" i="4"/>
  <c r="EX63" i="4"/>
  <c r="EF63" i="4"/>
  <c r="DM63" i="4"/>
  <c r="CT63" i="4"/>
  <c r="CA63" i="4"/>
  <c r="BH63" i="4"/>
  <c r="AO63" i="4"/>
  <c r="K237" i="12"/>
  <c r="M237" i="12" s="1"/>
  <c r="AF149" i="9"/>
  <c r="K238" i="12"/>
  <c r="M238" i="12" s="1"/>
  <c r="AF161" i="9"/>
  <c r="AT161" i="9" s="1"/>
  <c r="K239" i="12"/>
  <c r="M239" i="12" s="1"/>
  <c r="AF160" i="9"/>
  <c r="AT160" i="9" s="1"/>
  <c r="K240" i="12"/>
  <c r="M240" i="12" s="1"/>
  <c r="AF154" i="9"/>
  <c r="BM160" i="9"/>
  <c r="BM161" i="9"/>
  <c r="M288" i="3" a="1"/>
  <c r="M288" i="3" s="1"/>
  <c r="C288" i="3"/>
  <c r="D288" i="3" a="1"/>
  <c r="D288" i="3" s="1"/>
  <c r="E288" i="3" a="1"/>
  <c r="E288" i="3" s="1"/>
  <c r="F288" i="3" a="1"/>
  <c r="F288" i="3" s="1"/>
  <c r="G288" i="3" a="1"/>
  <c r="G288" i="3" s="1"/>
  <c r="H288" i="3"/>
  <c r="I288" i="3" a="1"/>
  <c r="I288" i="3" s="1"/>
  <c r="Q288" i="3"/>
  <c r="R288" i="3"/>
  <c r="S288" i="3"/>
  <c r="U288" i="3" a="1"/>
  <c r="U288" i="3" s="1"/>
  <c r="W288" i="3" a="1"/>
  <c r="W288" i="3" s="1"/>
  <c r="X288" i="3" a="1"/>
  <c r="X288" i="3" s="1"/>
  <c r="Y288" i="3" a="1"/>
  <c r="Y288" i="3" s="1"/>
  <c r="Z288" i="3" a="1"/>
  <c r="Z288" i="3" s="1"/>
  <c r="AA288" i="3" a="1"/>
  <c r="AA288" i="3" s="1"/>
  <c r="AB288" i="3" a="1"/>
  <c r="AB288" i="3" s="1"/>
  <c r="AC288" i="3" a="1"/>
  <c r="AC288" i="3" s="1"/>
  <c r="AD288" i="3" a="1"/>
  <c r="AD288" i="3" s="1"/>
  <c r="AE288" i="3" a="1"/>
  <c r="AE288" i="3" s="1"/>
  <c r="AF288" i="3" a="1"/>
  <c r="AF288" i="3" s="1"/>
  <c r="AG288" i="3" a="1"/>
  <c r="AG288" i="3" s="1"/>
  <c r="AH288" i="3" a="1"/>
  <c r="AH288" i="3" s="1"/>
  <c r="AI288" i="3"/>
  <c r="AJ288" i="3"/>
  <c r="AK288" i="3"/>
  <c r="AL288" i="3"/>
  <c r="AM288" i="3"/>
  <c r="AN288" i="3"/>
  <c r="AW288" i="3"/>
  <c r="P288" i="3" s="1"/>
  <c r="AX288" i="3"/>
  <c r="T288" i="3" s="1"/>
  <c r="K241" i="12"/>
  <c r="M241" i="12" s="1"/>
  <c r="K242" i="12"/>
  <c r="M242" i="12" s="1"/>
  <c r="K244" i="12"/>
  <c r="M244" i="12" s="1"/>
  <c r="FC144" i="4"/>
  <c r="K243" i="12"/>
  <c r="M243" i="12" s="1"/>
  <c r="FC107" i="4"/>
  <c r="K245" i="12"/>
  <c r="M245" i="12" s="1"/>
  <c r="CF53" i="8"/>
  <c r="CT53" i="8" s="1"/>
  <c r="K246" i="12"/>
  <c r="M246" i="12" s="1"/>
  <c r="BM53" i="8"/>
  <c r="CA53" i="8" s="1"/>
  <c r="K247" i="12"/>
  <c r="M247" i="12" s="1"/>
  <c r="AT53" i="8"/>
  <c r="K248" i="12"/>
  <c r="M248" i="12" s="1"/>
  <c r="AA53" i="8"/>
  <c r="K249" i="12"/>
  <c r="M249" i="12" s="1"/>
  <c r="AA50" i="7"/>
  <c r="Q50" i="7" s="1"/>
  <c r="K250" i="12"/>
  <c r="M250" i="12" s="1"/>
  <c r="AA60" i="5"/>
  <c r="AO60" i="5" s="1"/>
  <c r="K251" i="12"/>
  <c r="M251" i="12" s="1"/>
  <c r="CF102" i="4"/>
  <c r="K252" i="12"/>
  <c r="M252" i="12" s="1"/>
  <c r="BM102" i="4"/>
  <c r="K253" i="12"/>
  <c r="M253" i="12" s="1"/>
  <c r="AT102" i="4"/>
  <c r="K254" i="12"/>
  <c r="M254" i="12" s="1"/>
  <c r="AA102" i="4"/>
  <c r="K255" i="12"/>
  <c r="M255" i="12" s="1"/>
  <c r="CY102" i="4"/>
  <c r="K256" i="12"/>
  <c r="M256" i="12" s="1"/>
  <c r="DR102" i="4"/>
  <c r="V53" i="8"/>
  <c r="K257" i="12"/>
  <c r="M257" i="12" s="1"/>
  <c r="AA53" i="7"/>
  <c r="K258" i="12"/>
  <c r="M258" i="12" s="1"/>
  <c r="CA69" i="8"/>
  <c r="K259" i="12"/>
  <c r="M259" i="12" s="1"/>
  <c r="BH69" i="8"/>
  <c r="K260" i="12"/>
  <c r="M260" i="12" s="1"/>
  <c r="AO69" i="8"/>
  <c r="K261" i="12"/>
  <c r="M261" i="12" s="1"/>
  <c r="T74" i="5"/>
  <c r="K262" i="12"/>
  <c r="M262" i="12" s="1"/>
  <c r="K263" i="12"/>
  <c r="M263" i="12" s="1"/>
  <c r="K264" i="12"/>
  <c r="M264" i="12" s="1"/>
  <c r="K265" i="12"/>
  <c r="M265" i="12" s="1"/>
  <c r="K266" i="12"/>
  <c r="M266" i="12" s="1"/>
  <c r="K267" i="12"/>
  <c r="M267" i="12" s="1"/>
  <c r="V69" i="8"/>
  <c r="V60" i="5"/>
  <c r="V74" i="5"/>
  <c r="FQ64" i="4"/>
  <c r="EX64" i="4"/>
  <c r="EF64" i="4"/>
  <c r="DM64" i="4"/>
  <c r="CT64" i="4"/>
  <c r="CA64" i="4"/>
  <c r="BH64" i="4"/>
  <c r="AO64" i="4"/>
  <c r="B106" i="3" a="1"/>
  <c r="B106" i="3" s="1"/>
  <c r="Q106" i="3"/>
  <c r="R106" i="3"/>
  <c r="S106" i="3"/>
  <c r="AX106" i="3"/>
  <c r="T106" i="3" s="1"/>
  <c r="K268" i="12"/>
  <c r="M268" i="12" s="1"/>
  <c r="AA24" i="5"/>
  <c r="AO24" i="5" s="1"/>
  <c r="K269" i="12"/>
  <c r="M269" i="12" s="1"/>
  <c r="CF52" i="4"/>
  <c r="K270" i="12"/>
  <c r="M270" i="12" s="1"/>
  <c r="BM52" i="4"/>
  <c r="K271" i="12"/>
  <c r="M271" i="12" s="1"/>
  <c r="AT52" i="4"/>
  <c r="K272" i="12"/>
  <c r="M272" i="12" s="1"/>
  <c r="AA52" i="4"/>
  <c r="K273" i="12"/>
  <c r="M273" i="12" s="1"/>
  <c r="DR52" i="4"/>
  <c r="V24" i="5"/>
  <c r="DM52" i="4"/>
  <c r="DM53" i="4"/>
  <c r="DM55" i="4"/>
  <c r="DM57" i="4"/>
  <c r="V379" i="3" l="1"/>
  <c r="V353" i="3"/>
  <c r="V313" i="3"/>
  <c r="Q53" i="8"/>
  <c r="V288" i="3"/>
  <c r="T60" i="5"/>
  <c r="AO53" i="8"/>
  <c r="AO74" i="5"/>
  <c r="Q69" i="8"/>
  <c r="BH53" i="8"/>
  <c r="AO50" i="7"/>
  <c r="CT69" i="8"/>
  <c r="T24" i="5"/>
  <c r="X106" i="3" a="1"/>
  <c r="X106" i="3" s="1"/>
  <c r="AW106" i="3"/>
  <c r="P106" i="3" s="1"/>
  <c r="Y106" i="3" a="1"/>
  <c r="Y106" i="3" s="1"/>
  <c r="AA106" i="3" a="1"/>
  <c r="AA106" i="3" s="1"/>
  <c r="AB106" i="3" a="1"/>
  <c r="AB106" i="3" s="1"/>
  <c r="AC106" i="3" a="1"/>
  <c r="AC106" i="3" s="1"/>
  <c r="I106" i="3" a="1"/>
  <c r="I106" i="3" s="1"/>
  <c r="AD106" i="3" a="1"/>
  <c r="AD106" i="3" s="1"/>
  <c r="AE106" i="3" a="1"/>
  <c r="AE106" i="3" s="1"/>
  <c r="C106" i="3"/>
  <c r="D106" i="3" a="1"/>
  <c r="D106" i="3" s="1"/>
  <c r="M106" i="3" s="1" a="1"/>
  <c r="M106" i="3" s="1"/>
  <c r="AF106" i="3" a="1"/>
  <c r="AF106" i="3" s="1"/>
  <c r="AG106" i="3" a="1"/>
  <c r="AG106" i="3" s="1"/>
  <c r="AI106" i="3"/>
  <c r="AJ106" i="3"/>
  <c r="AK106" i="3"/>
  <c r="AL106" i="3"/>
  <c r="AM106" i="3"/>
  <c r="Z106" i="3" a="1"/>
  <c r="Z106" i="3" s="1"/>
  <c r="F106" i="3" a="1"/>
  <c r="F106" i="3" s="1"/>
  <c r="G106" i="3" a="1"/>
  <c r="G106" i="3" s="1"/>
  <c r="H106" i="3"/>
  <c r="U106" i="3" a="1"/>
  <c r="U106" i="3" s="1"/>
  <c r="W106" i="3" a="1"/>
  <c r="W106" i="3" s="1"/>
  <c r="AN106" i="3"/>
  <c r="E106" i="3" a="1"/>
  <c r="E106" i="3" s="1"/>
  <c r="AH106" i="3" a="1"/>
  <c r="AH106" i="3" s="1"/>
  <c r="FQ52" i="4"/>
  <c r="EX52" i="4"/>
  <c r="EF52" i="4"/>
  <c r="CT52" i="4"/>
  <c r="CA52" i="4"/>
  <c r="BH52" i="4"/>
  <c r="AO52" i="4"/>
  <c r="V106" i="3" l="1"/>
  <c r="B61" i="3" a="1"/>
  <c r="B61" i="3" s="1"/>
  <c r="Q61" i="3"/>
  <c r="R61" i="3"/>
  <c r="S61" i="3"/>
  <c r="AX61" i="3"/>
  <c r="T61" i="3" s="1"/>
  <c r="AN61" i="3" l="1"/>
  <c r="D61" i="3" a="1"/>
  <c r="D61" i="3" s="1"/>
  <c r="G61" i="3" a="1"/>
  <c r="G61" i="3" s="1"/>
  <c r="AE61" i="3" a="1"/>
  <c r="AE61" i="3" s="1"/>
  <c r="X61" i="3" a="1"/>
  <c r="X61" i="3" s="1"/>
  <c r="AW61" i="3"/>
  <c r="P61" i="3" s="1"/>
  <c r="AB61" i="3" a="1"/>
  <c r="AB61" i="3" s="1"/>
  <c r="C61" i="3"/>
  <c r="Y61" i="3" a="1"/>
  <c r="Y61" i="3" s="1"/>
  <c r="E61" i="3" a="1"/>
  <c r="E61" i="3" s="1"/>
  <c r="Z61" i="3" a="1"/>
  <c r="Z61" i="3" s="1"/>
  <c r="F61" i="3" a="1"/>
  <c r="F61" i="3" s="1"/>
  <c r="AA61" i="3" a="1"/>
  <c r="AA61" i="3" s="1"/>
  <c r="AC61" i="3" a="1"/>
  <c r="AC61" i="3" s="1"/>
  <c r="AD61" i="3" a="1"/>
  <c r="AD61" i="3" s="1"/>
  <c r="AG61" i="3" a="1"/>
  <c r="AG61" i="3" s="1"/>
  <c r="AI61" i="3"/>
  <c r="AJ61" i="3"/>
  <c r="AK61" i="3"/>
  <c r="AH61" i="3" a="1"/>
  <c r="AH61" i="3" s="1"/>
  <c r="U61" i="3" a="1"/>
  <c r="U61" i="3" s="1"/>
  <c r="AF61" i="3" a="1"/>
  <c r="AF61" i="3" s="1"/>
  <c r="AL61" i="3"/>
  <c r="W61" i="3" a="1"/>
  <c r="W61" i="3" s="1"/>
  <c r="AM61" i="3"/>
  <c r="H61" i="3"/>
  <c r="I61" i="3" a="1"/>
  <c r="I61" i="3" s="1"/>
  <c r="M61" i="3" l="1" a="1"/>
  <c r="M61" i="3" s="1"/>
  <c r="V61" i="3"/>
  <c r="K274" i="12" l="1"/>
  <c r="M274" i="12" s="1"/>
  <c r="AT102" i="9"/>
  <c r="K275" i="12"/>
  <c r="M275" i="12" s="1"/>
  <c r="AF100" i="9"/>
  <c r="BM102" i="9"/>
  <c r="BM106" i="9" l="1"/>
  <c r="AF106" i="9"/>
  <c r="AT106" i="9" s="1"/>
  <c r="BM25" i="9" l="1"/>
  <c r="AF25" i="9"/>
  <c r="AT25" i="9" s="1"/>
  <c r="FQ79" i="4"/>
  <c r="EX79" i="4"/>
  <c r="EF79" i="4"/>
  <c r="DM79" i="4"/>
  <c r="CT79" i="4"/>
  <c r="CA79" i="4"/>
  <c r="BH79" i="4"/>
  <c r="AO79" i="4"/>
  <c r="K278" i="12"/>
  <c r="M278" i="12" s="1"/>
  <c r="FC176" i="4"/>
  <c r="K276" i="12"/>
  <c r="M276" i="12" s="1"/>
  <c r="AF150" i="9"/>
  <c r="K277" i="12"/>
  <c r="M277" i="12" s="1"/>
  <c r="FQ102" i="4"/>
  <c r="EX102" i="4"/>
  <c r="EF102" i="4"/>
  <c r="DM102" i="4"/>
  <c r="CT102" i="4"/>
  <c r="CA102" i="4"/>
  <c r="BH102" i="4"/>
  <c r="AO102" i="4"/>
  <c r="B369" i="3" a="1"/>
  <c r="B369" i="3" s="1"/>
  <c r="Q369" i="3"/>
  <c r="R369" i="3"/>
  <c r="S369" i="3"/>
  <c r="AX369" i="3"/>
  <c r="T369" i="3" s="1"/>
  <c r="AO65" i="7"/>
  <c r="Q65" i="7"/>
  <c r="AO64" i="7"/>
  <c r="AO80" i="5"/>
  <c r="V80" i="5"/>
  <c r="T80" i="5"/>
  <c r="B245" i="3" a="1"/>
  <c r="B245" i="3" s="1"/>
  <c r="Q245" i="3"/>
  <c r="R245" i="3"/>
  <c r="S245" i="3"/>
  <c r="AX245" i="3"/>
  <c r="T245" i="3" s="1"/>
  <c r="CT77" i="8"/>
  <c r="BM77" i="8"/>
  <c r="CA77" i="8" s="1"/>
  <c r="BH77" i="8"/>
  <c r="AA77" i="8"/>
  <c r="AO77" i="8" s="1"/>
  <c r="V77" i="8"/>
  <c r="B244" i="3" a="1"/>
  <c r="B244" i="3" s="1"/>
  <c r="Q244" i="3"/>
  <c r="R244" i="3"/>
  <c r="S244" i="3"/>
  <c r="AX244" i="3"/>
  <c r="T244" i="3" s="1"/>
  <c r="FQ133" i="4"/>
  <c r="EX133" i="4"/>
  <c r="EF133" i="4"/>
  <c r="DM133" i="4"/>
  <c r="CF133" i="4"/>
  <c r="BM133" i="4"/>
  <c r="CA133" i="4" s="1"/>
  <c r="BH133" i="4"/>
  <c r="AO133" i="4"/>
  <c r="B219" i="3" a="1"/>
  <c r="B219" i="3" s="1"/>
  <c r="Q219" i="3"/>
  <c r="R219" i="3"/>
  <c r="S219" i="3"/>
  <c r="AX219" i="3"/>
  <c r="T219" i="3" s="1"/>
  <c r="B152" i="3" a="1"/>
  <c r="B152" i="3" s="1"/>
  <c r="B318" i="3" a="1"/>
  <c r="B318" i="3" s="1"/>
  <c r="Q318" i="3"/>
  <c r="R318" i="3"/>
  <c r="S318" i="3"/>
  <c r="AX318" i="3"/>
  <c r="T318" i="3" s="1"/>
  <c r="K279" i="12"/>
  <c r="M279" i="12" s="1"/>
  <c r="CF52" i="8"/>
  <c r="K280" i="12"/>
  <c r="M280" i="12" s="1"/>
  <c r="BM52" i="8"/>
  <c r="CA52" i="8" s="1"/>
  <c r="K281" i="12"/>
  <c r="M281" i="12" s="1"/>
  <c r="AT52" i="8"/>
  <c r="K282" i="12"/>
  <c r="M282" i="12" s="1"/>
  <c r="AA52" i="8"/>
  <c r="AO52" i="8" s="1"/>
  <c r="K283" i="12"/>
  <c r="M283" i="12" s="1"/>
  <c r="AA59" i="5"/>
  <c r="AO59" i="5" s="1"/>
  <c r="K284" i="12"/>
  <c r="M284" i="12" s="1"/>
  <c r="DR100" i="4"/>
  <c r="K285" i="12"/>
  <c r="M285" i="12" s="1"/>
  <c r="CY100" i="4"/>
  <c r="K286" i="12"/>
  <c r="M286" i="12" s="1"/>
  <c r="CF100" i="4"/>
  <c r="K287" i="12"/>
  <c r="M287" i="12" s="1"/>
  <c r="BM100" i="4"/>
  <c r="K288" i="12"/>
  <c r="M288" i="12" s="1"/>
  <c r="AT100" i="4"/>
  <c r="K289" i="12"/>
  <c r="M289" i="12" s="1"/>
  <c r="AA100" i="4"/>
  <c r="K290" i="12"/>
  <c r="M290" i="12" s="1"/>
  <c r="CF57" i="8"/>
  <c r="V52" i="8"/>
  <c r="AA51" i="7"/>
  <c r="AO51" i="7" s="1"/>
  <c r="V59" i="5"/>
  <c r="M370" i="3" a="1"/>
  <c r="M370" i="3" s="1"/>
  <c r="B321" i="3" a="1"/>
  <c r="B321" i="3" s="1"/>
  <c r="Q321" i="3"/>
  <c r="R321" i="3"/>
  <c r="S321" i="3"/>
  <c r="AX321" i="3"/>
  <c r="T321" i="3" s="1"/>
  <c r="B343" i="3" a="1"/>
  <c r="B343" i="3" s="1"/>
  <c r="Q343" i="3"/>
  <c r="R343" i="3"/>
  <c r="S343" i="3"/>
  <c r="AX343" i="3"/>
  <c r="T343" i="3" s="1"/>
  <c r="B370" i="3" a="1"/>
  <c r="B370" i="3" s="1"/>
  <c r="Q370" i="3"/>
  <c r="R370" i="3"/>
  <c r="S370" i="3"/>
  <c r="AX370" i="3"/>
  <c r="T370" i="3" s="1"/>
  <c r="CT45" i="8"/>
  <c r="BM45" i="8"/>
  <c r="CA45" i="8" s="1"/>
  <c r="AT45" i="8"/>
  <c r="BH45" i="8" s="1"/>
  <c r="AA45" i="8"/>
  <c r="AO45" i="8" s="1"/>
  <c r="V45" i="8"/>
  <c r="N42" i="8"/>
  <c r="K291" i="12"/>
  <c r="M291" i="12" s="1"/>
  <c r="AF130" i="9"/>
  <c r="L292" i="12"/>
  <c r="M292" i="12" s="1"/>
  <c r="BQ172" i="9"/>
  <c r="AX39" i="9"/>
  <c r="AX171" i="9"/>
  <c r="AX172" i="9"/>
  <c r="K293" i="12"/>
  <c r="M293" i="12" s="1"/>
  <c r="AF124" i="9"/>
  <c r="AT124" i="9" s="1"/>
  <c r="K294" i="12"/>
  <c r="M294" i="12" s="1"/>
  <c r="K295" i="12"/>
  <c r="M295" i="12" s="1"/>
  <c r="AF103" i="9"/>
  <c r="BM54" i="9"/>
  <c r="AT54" i="9"/>
  <c r="BM76" i="9"/>
  <c r="AT76" i="9"/>
  <c r="BM124" i="9"/>
  <c r="Q64" i="7" l="1"/>
  <c r="Q77" i="8"/>
  <c r="AN369" i="3"/>
  <c r="X369" i="3" a="1"/>
  <c r="X369" i="3" s="1"/>
  <c r="AW369" i="3"/>
  <c r="P369" i="3" s="1"/>
  <c r="U369" i="3" a="1"/>
  <c r="U369" i="3" s="1"/>
  <c r="W369" i="3" a="1"/>
  <c r="W369" i="3" s="1"/>
  <c r="C369" i="3"/>
  <c r="AI369" i="3"/>
  <c r="AM369" i="3"/>
  <c r="D369" i="3" a="1"/>
  <c r="D369" i="3" s="1"/>
  <c r="M369" i="3" s="1" a="1"/>
  <c r="M369" i="3" s="1"/>
  <c r="Y369" i="3" a="1"/>
  <c r="Y369" i="3" s="1"/>
  <c r="AH369" i="3" a="1"/>
  <c r="AH369" i="3" s="1"/>
  <c r="AJ369" i="3"/>
  <c r="AL369" i="3"/>
  <c r="E369" i="3" a="1"/>
  <c r="E369" i="3" s="1"/>
  <c r="Z369" i="3" a="1"/>
  <c r="Z369" i="3" s="1"/>
  <c r="H369" i="3"/>
  <c r="AC369" i="3" a="1"/>
  <c r="AC369" i="3" s="1"/>
  <c r="F369" i="3" a="1"/>
  <c r="F369" i="3" s="1"/>
  <c r="AA369" i="3" a="1"/>
  <c r="AA369" i="3" s="1"/>
  <c r="AE369" i="3" a="1"/>
  <c r="AE369" i="3" s="1"/>
  <c r="AG369" i="3" a="1"/>
  <c r="AG369" i="3" s="1"/>
  <c r="G369" i="3" a="1"/>
  <c r="G369" i="3" s="1"/>
  <c r="AB369" i="3" a="1"/>
  <c r="AB369" i="3" s="1"/>
  <c r="AD369" i="3" a="1"/>
  <c r="AD369" i="3" s="1"/>
  <c r="AF369" i="3" a="1"/>
  <c r="AF369" i="3" s="1"/>
  <c r="I369" i="3" a="1"/>
  <c r="I369" i="3" s="1"/>
  <c r="AK369" i="3"/>
  <c r="AN245" i="3"/>
  <c r="X245" i="3" a="1"/>
  <c r="X245" i="3" s="1"/>
  <c r="AW245" i="3"/>
  <c r="P245" i="3" s="1"/>
  <c r="C245" i="3"/>
  <c r="AD245" i="3" a="1"/>
  <c r="AD245" i="3" s="1"/>
  <c r="AE245" i="3" a="1"/>
  <c r="AE245" i="3" s="1"/>
  <c r="D245" i="3" a="1"/>
  <c r="D245" i="3" s="1"/>
  <c r="M245" i="3" s="1" a="1"/>
  <c r="M245" i="3" s="1"/>
  <c r="Y245" i="3" a="1"/>
  <c r="Y245" i="3" s="1"/>
  <c r="F245" i="3" a="1"/>
  <c r="F245" i="3" s="1"/>
  <c r="AC245" i="3" a="1"/>
  <c r="AC245" i="3" s="1"/>
  <c r="AG245" i="3" a="1"/>
  <c r="AG245" i="3" s="1"/>
  <c r="AH245" i="3" a="1"/>
  <c r="AH245" i="3" s="1"/>
  <c r="AJ245" i="3"/>
  <c r="W245" i="3" a="1"/>
  <c r="W245" i="3" s="1"/>
  <c r="E245" i="3" a="1"/>
  <c r="E245" i="3" s="1"/>
  <c r="Z245" i="3" a="1"/>
  <c r="Z245" i="3" s="1"/>
  <c r="AA245" i="3" a="1"/>
  <c r="AA245" i="3" s="1"/>
  <c r="H245" i="3"/>
  <c r="AF245" i="3" a="1"/>
  <c r="AF245" i="3" s="1"/>
  <c r="U245" i="3" a="1"/>
  <c r="U245" i="3" s="1"/>
  <c r="AK245" i="3"/>
  <c r="AL245" i="3"/>
  <c r="AI245" i="3"/>
  <c r="G245" i="3" a="1"/>
  <c r="G245" i="3" s="1"/>
  <c r="AB245" i="3" a="1"/>
  <c r="AB245" i="3" s="1"/>
  <c r="I245" i="3" a="1"/>
  <c r="I245" i="3" s="1"/>
  <c r="AM245" i="3"/>
  <c r="X244" i="3" a="1"/>
  <c r="X244" i="3" s="1"/>
  <c r="AW244" i="3"/>
  <c r="P244" i="3" s="1"/>
  <c r="C244" i="3"/>
  <c r="AA244" i="3" a="1"/>
  <c r="AA244" i="3" s="1"/>
  <c r="AB244" i="3" a="1"/>
  <c r="AB244" i="3" s="1"/>
  <c r="H244" i="3"/>
  <c r="I244" i="3" a="1"/>
  <c r="I244" i="3" s="1"/>
  <c r="AD244" i="3" a="1"/>
  <c r="AD244" i="3" s="1"/>
  <c r="AE244" i="3" a="1"/>
  <c r="AE244" i="3" s="1"/>
  <c r="AI244" i="3"/>
  <c r="AN244" i="3"/>
  <c r="D244" i="3" a="1"/>
  <c r="D244" i="3" s="1"/>
  <c r="M244" i="3" s="1" a="1"/>
  <c r="M244" i="3" s="1"/>
  <c r="Y244" i="3" a="1"/>
  <c r="Y244" i="3" s="1"/>
  <c r="AL244" i="3"/>
  <c r="G244" i="3" a="1"/>
  <c r="G244" i="3" s="1"/>
  <c r="AH244" i="3" a="1"/>
  <c r="AH244" i="3" s="1"/>
  <c r="U244" i="3" a="1"/>
  <c r="U244" i="3" s="1"/>
  <c r="AK244" i="3"/>
  <c r="W244" i="3" a="1"/>
  <c r="W244" i="3" s="1"/>
  <c r="E244" i="3" a="1"/>
  <c r="E244" i="3" s="1"/>
  <c r="Z244" i="3" a="1"/>
  <c r="Z244" i="3" s="1"/>
  <c r="AC244" i="3" a="1"/>
  <c r="AC244" i="3" s="1"/>
  <c r="F244" i="3" a="1"/>
  <c r="F244" i="3" s="1"/>
  <c r="AF244" i="3" a="1"/>
  <c r="AF244" i="3" s="1"/>
  <c r="AG244" i="3" a="1"/>
  <c r="AG244" i="3" s="1"/>
  <c r="AJ244" i="3"/>
  <c r="AM244" i="3"/>
  <c r="CT133" i="4"/>
  <c r="AN219" i="3"/>
  <c r="AG219" i="3" a="1"/>
  <c r="AG219" i="3" s="1"/>
  <c r="AI219" i="3"/>
  <c r="AL219" i="3"/>
  <c r="AM219" i="3"/>
  <c r="X219" i="3" a="1"/>
  <c r="X219" i="3" s="1"/>
  <c r="AW219" i="3"/>
  <c r="P219" i="3" s="1"/>
  <c r="AH219" i="3" a="1"/>
  <c r="AH219" i="3" s="1"/>
  <c r="AK219" i="3"/>
  <c r="C219" i="3"/>
  <c r="E219" i="3" a="1"/>
  <c r="E219" i="3" s="1"/>
  <c r="Z219" i="3" a="1"/>
  <c r="Z219" i="3" s="1"/>
  <c r="F219" i="3" a="1"/>
  <c r="F219" i="3" s="1"/>
  <c r="AA219" i="3" a="1"/>
  <c r="AA219" i="3" s="1"/>
  <c r="AB219" i="3" a="1"/>
  <c r="AB219" i="3" s="1"/>
  <c r="I219" i="3" a="1"/>
  <c r="I219" i="3" s="1"/>
  <c r="AF219" i="3" a="1"/>
  <c r="AF219" i="3" s="1"/>
  <c r="U219" i="3" a="1"/>
  <c r="U219" i="3" s="1"/>
  <c r="W219" i="3" a="1"/>
  <c r="W219" i="3" s="1"/>
  <c r="D219" i="3" a="1"/>
  <c r="D219" i="3" s="1"/>
  <c r="M219" i="3" s="1" a="1"/>
  <c r="M219" i="3" s="1"/>
  <c r="Y219" i="3" a="1"/>
  <c r="Y219" i="3" s="1"/>
  <c r="AC219" i="3" a="1"/>
  <c r="AC219" i="3" s="1"/>
  <c r="AE219" i="3" a="1"/>
  <c r="AE219" i="3" s="1"/>
  <c r="G219" i="3" a="1"/>
  <c r="G219" i="3" s="1"/>
  <c r="H219" i="3"/>
  <c r="AD219" i="3" a="1"/>
  <c r="AD219" i="3" s="1"/>
  <c r="AJ219" i="3"/>
  <c r="T59" i="5"/>
  <c r="AN318" i="3"/>
  <c r="U318" i="3" a="1"/>
  <c r="U318" i="3" s="1"/>
  <c r="X318" i="3" a="1"/>
  <c r="X318" i="3" s="1"/>
  <c r="AI318" i="3"/>
  <c r="AJ318" i="3"/>
  <c r="AK318" i="3"/>
  <c r="AL318" i="3"/>
  <c r="AM318" i="3"/>
  <c r="W318" i="3" a="1"/>
  <c r="W318" i="3" s="1"/>
  <c r="AH318" i="3" a="1"/>
  <c r="AH318" i="3" s="1"/>
  <c r="AW318" i="3"/>
  <c r="P318" i="3" s="1"/>
  <c r="AG318" i="3" a="1"/>
  <c r="AG318" i="3" s="1"/>
  <c r="AF318" i="3" a="1"/>
  <c r="AF318" i="3" s="1"/>
  <c r="E318" i="3" a="1"/>
  <c r="E318" i="3" s="1"/>
  <c r="AE318" i="3" a="1"/>
  <c r="AE318" i="3" s="1"/>
  <c r="AD318" i="3" a="1"/>
  <c r="AD318" i="3" s="1"/>
  <c r="H318" i="3"/>
  <c r="F318" i="3" a="1"/>
  <c r="F318" i="3" s="1"/>
  <c r="I318" i="3" a="1"/>
  <c r="I318" i="3" s="1"/>
  <c r="AC318" i="3" a="1"/>
  <c r="AC318" i="3" s="1"/>
  <c r="G318" i="3" a="1"/>
  <c r="G318" i="3" s="1"/>
  <c r="AA318" i="3" a="1"/>
  <c r="AA318" i="3" s="1"/>
  <c r="Z318" i="3" a="1"/>
  <c r="Z318" i="3" s="1"/>
  <c r="Y318" i="3" a="1"/>
  <c r="Y318" i="3" s="1"/>
  <c r="D318" i="3" a="1"/>
  <c r="D318" i="3" s="1"/>
  <c r="M318" i="3" s="1" a="1"/>
  <c r="M318" i="3" s="1"/>
  <c r="AB318" i="3" a="1"/>
  <c r="AB318" i="3" s="1"/>
  <c r="C318" i="3"/>
  <c r="Q51" i="7"/>
  <c r="Q52" i="8"/>
  <c r="BH52" i="8"/>
  <c r="CT52" i="8"/>
  <c r="X321" i="3" a="1"/>
  <c r="X321" i="3" s="1"/>
  <c r="AW321" i="3"/>
  <c r="P321" i="3" s="1"/>
  <c r="I321" i="3" a="1"/>
  <c r="I321" i="3" s="1"/>
  <c r="AD321" i="3" a="1"/>
  <c r="AD321" i="3" s="1"/>
  <c r="AE321" i="3" a="1"/>
  <c r="AE321" i="3" s="1"/>
  <c r="C321" i="3"/>
  <c r="G321" i="3" a="1"/>
  <c r="G321" i="3" s="1"/>
  <c r="AG321" i="3" a="1"/>
  <c r="AG321" i="3" s="1"/>
  <c r="AI321" i="3"/>
  <c r="AJ321" i="3"/>
  <c r="AK321" i="3"/>
  <c r="W321" i="3" a="1"/>
  <c r="W321" i="3" s="1"/>
  <c r="AN321" i="3"/>
  <c r="D321" i="3" a="1"/>
  <c r="D321" i="3" s="1"/>
  <c r="M321" i="3" s="1" a="1"/>
  <c r="M321" i="3" s="1"/>
  <c r="Y321" i="3" a="1"/>
  <c r="Y321" i="3" s="1"/>
  <c r="AA321" i="3" a="1"/>
  <c r="AA321" i="3" s="1"/>
  <c r="H321" i="3"/>
  <c r="E321" i="3" a="1"/>
  <c r="E321" i="3" s="1"/>
  <c r="Z321" i="3" a="1"/>
  <c r="Z321" i="3" s="1"/>
  <c r="AB321" i="3" a="1"/>
  <c r="AB321" i="3" s="1"/>
  <c r="AC321" i="3" a="1"/>
  <c r="AC321" i="3" s="1"/>
  <c r="AF321" i="3" a="1"/>
  <c r="AF321" i="3" s="1"/>
  <c r="AH321" i="3" a="1"/>
  <c r="AH321" i="3" s="1"/>
  <c r="AL321" i="3"/>
  <c r="F321" i="3" a="1"/>
  <c r="F321" i="3" s="1"/>
  <c r="U321" i="3" a="1"/>
  <c r="U321" i="3" s="1"/>
  <c r="AM321" i="3"/>
  <c r="X343" i="3" a="1"/>
  <c r="X343" i="3" s="1"/>
  <c r="AW343" i="3"/>
  <c r="P343" i="3" s="1"/>
  <c r="AC343" i="3" a="1"/>
  <c r="AC343" i="3" s="1"/>
  <c r="AD343" i="3" a="1"/>
  <c r="AD343" i="3" s="1"/>
  <c r="AE343" i="3" a="1"/>
  <c r="AE343" i="3" s="1"/>
  <c r="AF343" i="3" a="1"/>
  <c r="AF343" i="3" s="1"/>
  <c r="AH343" i="3" a="1"/>
  <c r="AH343" i="3" s="1"/>
  <c r="AI343" i="3"/>
  <c r="U343" i="3" a="1"/>
  <c r="U343" i="3" s="1"/>
  <c r="AK343" i="3"/>
  <c r="AL343" i="3"/>
  <c r="W343" i="3" a="1"/>
  <c r="W343" i="3" s="1"/>
  <c r="AM343" i="3"/>
  <c r="AN343" i="3"/>
  <c r="C343" i="3"/>
  <c r="D343" i="3" a="1"/>
  <c r="D343" i="3" s="1"/>
  <c r="M343" i="3" s="1" a="1"/>
  <c r="M343" i="3" s="1"/>
  <c r="Y343" i="3" a="1"/>
  <c r="Y343" i="3" s="1"/>
  <c r="I343" i="3" a="1"/>
  <c r="I343" i="3" s="1"/>
  <c r="F343" i="3" a="1"/>
  <c r="F343" i="3" s="1"/>
  <c r="AG343" i="3" a="1"/>
  <c r="AG343" i="3" s="1"/>
  <c r="AJ343" i="3"/>
  <c r="E343" i="3" a="1"/>
  <c r="E343" i="3" s="1"/>
  <c r="Z343" i="3" a="1"/>
  <c r="Z343" i="3" s="1"/>
  <c r="AA343" i="3" a="1"/>
  <c r="AA343" i="3" s="1"/>
  <c r="G343" i="3" a="1"/>
  <c r="G343" i="3" s="1"/>
  <c r="AB343" i="3" a="1"/>
  <c r="AB343" i="3" s="1"/>
  <c r="H343" i="3"/>
  <c r="X370" i="3" a="1"/>
  <c r="X370" i="3" s="1"/>
  <c r="AW370" i="3"/>
  <c r="P370" i="3" s="1"/>
  <c r="F370" i="3" a="1"/>
  <c r="F370" i="3" s="1"/>
  <c r="AC370" i="3" a="1"/>
  <c r="AC370" i="3" s="1"/>
  <c r="AD370" i="3" a="1"/>
  <c r="AD370" i="3" s="1"/>
  <c r="AE370" i="3" a="1"/>
  <c r="AE370" i="3" s="1"/>
  <c r="AF370" i="3" a="1"/>
  <c r="AF370" i="3" s="1"/>
  <c r="AH370" i="3" a="1"/>
  <c r="AH370" i="3" s="1"/>
  <c r="U370" i="3" a="1"/>
  <c r="U370" i="3" s="1"/>
  <c r="AJ370" i="3"/>
  <c r="C370" i="3"/>
  <c r="H370" i="3"/>
  <c r="D370" i="3" a="1"/>
  <c r="D370" i="3" s="1"/>
  <c r="Y370" i="3" a="1"/>
  <c r="Y370" i="3" s="1"/>
  <c r="AA370" i="3" a="1"/>
  <c r="AA370" i="3" s="1"/>
  <c r="G370" i="3" a="1"/>
  <c r="G370" i="3" s="1"/>
  <c r="I370" i="3" a="1"/>
  <c r="I370" i="3" s="1"/>
  <c r="Z370" i="3" a="1"/>
  <c r="Z370" i="3" s="1"/>
  <c r="AB370" i="3" a="1"/>
  <c r="AB370" i="3" s="1"/>
  <c r="AG370" i="3" a="1"/>
  <c r="AG370" i="3" s="1"/>
  <c r="AI370" i="3"/>
  <c r="AK370" i="3"/>
  <c r="AL370" i="3"/>
  <c r="AM370" i="3"/>
  <c r="AN370" i="3"/>
  <c r="E370" i="3" a="1"/>
  <c r="E370" i="3" s="1"/>
  <c r="W370" i="3" a="1"/>
  <c r="W370" i="3" s="1"/>
  <c r="Q45" i="8"/>
  <c r="FQ126" i="4"/>
  <c r="EX126" i="4"/>
  <c r="EF126" i="4"/>
  <c r="DM126" i="4"/>
  <c r="CT126" i="4"/>
  <c r="CA126" i="4"/>
  <c r="BH126" i="4"/>
  <c r="B129" i="3" a="1"/>
  <c r="B129" i="3" s="1"/>
  <c r="Q129" i="3"/>
  <c r="R129" i="3"/>
  <c r="S129" i="3"/>
  <c r="AX129" i="3"/>
  <c r="T129" i="3" s="1"/>
  <c r="V369" i="3" l="1"/>
  <c r="V245" i="3"/>
  <c r="V244" i="3"/>
  <c r="V219" i="3"/>
  <c r="V318" i="3"/>
  <c r="V321" i="3"/>
  <c r="V343" i="3"/>
  <c r="V370" i="3"/>
  <c r="AO126" i="4"/>
  <c r="AN129" i="3"/>
  <c r="X129" i="3" a="1"/>
  <c r="X129" i="3" s="1"/>
  <c r="AW129" i="3"/>
  <c r="P129" i="3" s="1"/>
  <c r="AD129" i="3" a="1"/>
  <c r="AD129" i="3" s="1"/>
  <c r="C129" i="3"/>
  <c r="D129" i="3" a="1"/>
  <c r="D129" i="3" s="1"/>
  <c r="M129" i="3" s="1" a="1"/>
  <c r="M129" i="3" s="1"/>
  <c r="Y129" i="3" a="1"/>
  <c r="Y129" i="3" s="1"/>
  <c r="E129" i="3" a="1"/>
  <c r="E129" i="3" s="1"/>
  <c r="Z129" i="3" a="1"/>
  <c r="Z129" i="3" s="1"/>
  <c r="AM129" i="3"/>
  <c r="F129" i="3" a="1"/>
  <c r="F129" i="3" s="1"/>
  <c r="AA129" i="3" a="1"/>
  <c r="AA129" i="3" s="1"/>
  <c r="G129" i="3" a="1"/>
  <c r="G129" i="3" s="1"/>
  <c r="AB129" i="3" a="1"/>
  <c r="AB129" i="3" s="1"/>
  <c r="H129" i="3"/>
  <c r="AC129" i="3" a="1"/>
  <c r="AC129" i="3" s="1"/>
  <c r="I129" i="3" a="1"/>
  <c r="I129" i="3" s="1"/>
  <c r="AF129" i="3" a="1"/>
  <c r="AF129" i="3" s="1"/>
  <c r="AE129" i="3" a="1"/>
  <c r="AE129" i="3" s="1"/>
  <c r="AG129" i="3" a="1"/>
  <c r="AG129" i="3" s="1"/>
  <c r="AK129" i="3"/>
  <c r="AH129" i="3" a="1"/>
  <c r="AH129" i="3" s="1"/>
  <c r="AL129" i="3"/>
  <c r="W129" i="3" a="1"/>
  <c r="W129" i="3" s="1"/>
  <c r="AI129" i="3"/>
  <c r="U129" i="3" a="1"/>
  <c r="U129" i="3" s="1"/>
  <c r="AJ129" i="3"/>
  <c r="V129" i="3" l="1"/>
  <c r="K296" i="12" l="1"/>
  <c r="M296" i="12" s="1"/>
  <c r="K297" i="12"/>
  <c r="M297" i="12" s="1"/>
  <c r="K298" i="12"/>
  <c r="M298" i="12" s="1"/>
  <c r="K299" i="12"/>
  <c r="M299" i="12" s="1"/>
  <c r="K300" i="12"/>
  <c r="M300" i="12" s="1"/>
  <c r="K301" i="12"/>
  <c r="M301" i="12" s="1"/>
  <c r="K302" i="12"/>
  <c r="M302" i="12" s="1"/>
  <c r="K303" i="12"/>
  <c r="M303" i="12" s="1"/>
  <c r="K304" i="12"/>
  <c r="M304" i="12" s="1"/>
  <c r="K305" i="12"/>
  <c r="M305" i="12" s="1"/>
  <c r="K306" i="12"/>
  <c r="M306" i="12" s="1"/>
  <c r="K307" i="12"/>
  <c r="M307" i="12" s="1"/>
  <c r="K308" i="12"/>
  <c r="M308" i="12" s="1"/>
  <c r="K309" i="12"/>
  <c r="M309" i="12" s="1"/>
  <c r="K310" i="12"/>
  <c r="M310" i="12" s="1"/>
  <c r="DR123" i="4"/>
  <c r="K311" i="12"/>
  <c r="M311" i="12" s="1"/>
  <c r="K312" i="12"/>
  <c r="M312" i="12" s="1"/>
  <c r="K313" i="12"/>
  <c r="M313" i="12" s="1"/>
  <c r="K314" i="12"/>
  <c r="M314" i="12" s="1"/>
  <c r="K315" i="12"/>
  <c r="M315" i="12" s="1"/>
  <c r="K316" i="12"/>
  <c r="M316" i="12" s="1"/>
  <c r="K317" i="12"/>
  <c r="M317" i="12" s="1"/>
  <c r="K318" i="12"/>
  <c r="M318" i="12" s="1"/>
  <c r="K319" i="12"/>
  <c r="M319" i="12" s="1"/>
  <c r="K320" i="12"/>
  <c r="M320" i="12" s="1"/>
  <c r="K321" i="12"/>
  <c r="M321" i="12" s="1"/>
  <c r="AO86" i="5"/>
  <c r="V86" i="5"/>
  <c r="T86" i="5"/>
  <c r="AA87" i="5"/>
  <c r="T87" i="5" s="1"/>
  <c r="V87" i="5"/>
  <c r="K322" i="12"/>
  <c r="M322" i="12" s="1"/>
  <c r="CF83" i="8"/>
  <c r="CT83" i="8" s="1"/>
  <c r="K323" i="12"/>
  <c r="M323" i="12" s="1"/>
  <c r="BM83" i="8"/>
  <c r="K324" i="12"/>
  <c r="M324" i="12" s="1"/>
  <c r="AT83" i="8"/>
  <c r="K325" i="12"/>
  <c r="M325" i="12" s="1"/>
  <c r="AA83" i="8"/>
  <c r="K326" i="12"/>
  <c r="M326" i="12" s="1"/>
  <c r="K327" i="12"/>
  <c r="M327" i="12" s="1"/>
  <c r="CF143" i="4"/>
  <c r="CT143" i="4" s="1"/>
  <c r="K328" i="12"/>
  <c r="M328" i="12" s="1"/>
  <c r="AT143" i="4"/>
  <c r="BH143" i="4" s="1"/>
  <c r="K329" i="12"/>
  <c r="M329" i="12" s="1"/>
  <c r="AA143" i="4"/>
  <c r="AO143" i="4" s="1"/>
  <c r="K330" i="12"/>
  <c r="M330" i="12" s="1"/>
  <c r="EF143" i="4"/>
  <c r="K331" i="12"/>
  <c r="M331" i="12" s="1"/>
  <c r="CY143" i="4"/>
  <c r="DM143" i="4" s="1"/>
  <c r="AO134" i="4"/>
  <c r="BH134" i="4"/>
  <c r="CA134" i="4"/>
  <c r="CT134" i="4"/>
  <c r="DM134" i="4"/>
  <c r="EF134" i="4"/>
  <c r="EX134" i="4"/>
  <c r="FQ134" i="4"/>
  <c r="V85" i="8"/>
  <c r="AO85" i="8"/>
  <c r="BH85" i="8"/>
  <c r="BM85" i="8"/>
  <c r="CA85" i="8" s="1"/>
  <c r="CT85" i="8"/>
  <c r="CT91" i="8"/>
  <c r="CA91" i="8"/>
  <c r="BH91" i="8"/>
  <c r="AO91" i="8"/>
  <c r="V91" i="8"/>
  <c r="Q91" i="8"/>
  <c r="CT84" i="8"/>
  <c r="BM84" i="8"/>
  <c r="CA84" i="8" s="1"/>
  <c r="BH84" i="8"/>
  <c r="AO84" i="8"/>
  <c r="V84" i="8"/>
  <c r="AA91" i="5"/>
  <c r="AO91" i="5" s="1"/>
  <c r="V91" i="5"/>
  <c r="AO92" i="5"/>
  <c r="V92" i="5"/>
  <c r="T92" i="5"/>
  <c r="FQ143" i="4"/>
  <c r="EX143" i="4"/>
  <c r="CA143" i="4"/>
  <c r="B100" i="3" a="1"/>
  <c r="B100" i="3" s="1"/>
  <c r="Q100" i="3"/>
  <c r="R100" i="3"/>
  <c r="S100" i="3"/>
  <c r="AX100" i="3"/>
  <c r="T100" i="3" s="1"/>
  <c r="K332" i="12"/>
  <c r="M332" i="12" s="1"/>
  <c r="FQ100" i="4"/>
  <c r="EX100" i="4"/>
  <c r="EF100" i="4"/>
  <c r="DM100" i="4"/>
  <c r="CT100" i="4"/>
  <c r="CA100" i="4"/>
  <c r="BH100" i="4"/>
  <c r="AO100" i="4"/>
  <c r="CT26" i="8"/>
  <c r="CA26" i="8"/>
  <c r="AO26" i="8"/>
  <c r="V26" i="8"/>
  <c r="Q26" i="8"/>
  <c r="B127" i="3" a="1"/>
  <c r="B127" i="3" s="1"/>
  <c r="Q127" i="3"/>
  <c r="R127" i="3"/>
  <c r="S127" i="3"/>
  <c r="AX127" i="3"/>
  <c r="T127" i="3" s="1"/>
  <c r="AX241" i="3"/>
  <c r="T241" i="3" s="1"/>
  <c r="S241" i="3"/>
  <c r="R241" i="3"/>
  <c r="Q241" i="3"/>
  <c r="B241" i="3" a="1"/>
  <c r="B241" i="3" s="1"/>
  <c r="K333" i="12"/>
  <c r="M333" i="12" s="1"/>
  <c r="K334" i="12"/>
  <c r="M334" i="12" s="1"/>
  <c r="K335" i="12"/>
  <c r="M335" i="12" s="1"/>
  <c r="K336" i="12"/>
  <c r="M336" i="12" s="1"/>
  <c r="K337" i="12"/>
  <c r="M337" i="12" s="1"/>
  <c r="K338" i="12"/>
  <c r="M338" i="12" s="1"/>
  <c r="K339" i="12"/>
  <c r="M339" i="12" s="1"/>
  <c r="K340" i="12"/>
  <c r="M340" i="12" s="1"/>
  <c r="K341" i="12"/>
  <c r="M341" i="12" s="1"/>
  <c r="K342" i="12"/>
  <c r="M342" i="12" s="1"/>
  <c r="Q84" i="8" l="1"/>
  <c r="AO87" i="5"/>
  <c r="Q85" i="8"/>
  <c r="T91" i="5"/>
  <c r="AN100" i="3"/>
  <c r="AL100" i="3"/>
  <c r="X100" i="3" a="1"/>
  <c r="X100" i="3" s="1"/>
  <c r="AW100" i="3"/>
  <c r="P100" i="3" s="1"/>
  <c r="Z100" i="3" a="1"/>
  <c r="Z100" i="3" s="1"/>
  <c r="I100" i="3" a="1"/>
  <c r="I100" i="3" s="1"/>
  <c r="AH100" i="3" a="1"/>
  <c r="AH100" i="3" s="1"/>
  <c r="AI100" i="3"/>
  <c r="U100" i="3" a="1"/>
  <c r="U100" i="3" s="1"/>
  <c r="AJ100" i="3"/>
  <c r="AK100" i="3"/>
  <c r="W100" i="3" a="1"/>
  <c r="W100" i="3" s="1"/>
  <c r="C100" i="3"/>
  <c r="E100" i="3" a="1"/>
  <c r="E100" i="3" s="1"/>
  <c r="F100" i="3" a="1"/>
  <c r="F100" i="3" s="1"/>
  <c r="AA100" i="3" a="1"/>
  <c r="AA100" i="3" s="1"/>
  <c r="G100" i="3" a="1"/>
  <c r="G100" i="3" s="1"/>
  <c r="AB100" i="3" a="1"/>
  <c r="AB100" i="3" s="1"/>
  <c r="AC100" i="3" a="1"/>
  <c r="AC100" i="3" s="1"/>
  <c r="AD100" i="3" a="1"/>
  <c r="AD100" i="3" s="1"/>
  <c r="D100" i="3" a="1"/>
  <c r="D100" i="3" s="1"/>
  <c r="M100" i="3" s="1" a="1"/>
  <c r="M100" i="3" s="1"/>
  <c r="Y100" i="3" a="1"/>
  <c r="Y100" i="3" s="1"/>
  <c r="H100" i="3"/>
  <c r="AE100" i="3" a="1"/>
  <c r="AE100" i="3" s="1"/>
  <c r="AF100" i="3" a="1"/>
  <c r="AF100" i="3" s="1"/>
  <c r="AG100" i="3" a="1"/>
  <c r="AG100" i="3" s="1"/>
  <c r="AM100" i="3"/>
  <c r="BH26" i="8"/>
  <c r="AN127" i="3"/>
  <c r="AA127" i="3" a="1"/>
  <c r="AA127" i="3" s="1"/>
  <c r="G127" i="3" a="1"/>
  <c r="G127" i="3" s="1"/>
  <c r="AG127" i="3" a="1"/>
  <c r="AG127" i="3" s="1"/>
  <c r="AH127" i="3" a="1"/>
  <c r="AH127" i="3" s="1"/>
  <c r="AI127" i="3"/>
  <c r="X127" i="3" a="1"/>
  <c r="X127" i="3" s="1"/>
  <c r="AW127" i="3"/>
  <c r="P127" i="3" s="1"/>
  <c r="Y127" i="3" a="1"/>
  <c r="Y127" i="3" s="1"/>
  <c r="F127" i="3" a="1"/>
  <c r="F127" i="3" s="1"/>
  <c r="AB127" i="3" a="1"/>
  <c r="AB127" i="3" s="1"/>
  <c r="H127" i="3"/>
  <c r="U127" i="3" a="1"/>
  <c r="U127" i="3" s="1"/>
  <c r="AM127" i="3"/>
  <c r="C127" i="3"/>
  <c r="D127" i="3" a="1"/>
  <c r="D127" i="3" s="1"/>
  <c r="M127" i="3" s="1" a="1"/>
  <c r="M127" i="3" s="1"/>
  <c r="AC127" i="3" a="1"/>
  <c r="AC127" i="3" s="1"/>
  <c r="AE127" i="3" a="1"/>
  <c r="AE127" i="3" s="1"/>
  <c r="AF127" i="3" a="1"/>
  <c r="AF127" i="3" s="1"/>
  <c r="AJ127" i="3"/>
  <c r="AK127" i="3"/>
  <c r="W127" i="3" a="1"/>
  <c r="W127" i="3" s="1"/>
  <c r="E127" i="3" a="1"/>
  <c r="E127" i="3" s="1"/>
  <c r="Z127" i="3" a="1"/>
  <c r="Z127" i="3" s="1"/>
  <c r="I127" i="3" a="1"/>
  <c r="I127" i="3" s="1"/>
  <c r="AD127" i="3" a="1"/>
  <c r="AD127" i="3" s="1"/>
  <c r="AL127" i="3"/>
  <c r="X241" i="3" a="1"/>
  <c r="X241" i="3" s="1"/>
  <c r="C241" i="3"/>
  <c r="AJ241" i="3"/>
  <c r="AG241" i="3" a="1"/>
  <c r="AG241" i="3" s="1"/>
  <c r="AF241" i="3" a="1"/>
  <c r="AF241" i="3" s="1"/>
  <c r="H241" i="3"/>
  <c r="G241" i="3" a="1"/>
  <c r="G241" i="3" s="1"/>
  <c r="F241" i="3" a="1"/>
  <c r="F241" i="3" s="1"/>
  <c r="E241" i="3" a="1"/>
  <c r="E241" i="3" s="1"/>
  <c r="Y241" i="3" a="1"/>
  <c r="Y241" i="3" s="1"/>
  <c r="AW241" i="3"/>
  <c r="P241" i="3" s="1"/>
  <c r="AN241" i="3"/>
  <c r="W241" i="3" a="1"/>
  <c r="W241" i="3" s="1"/>
  <c r="U241" i="3" a="1"/>
  <c r="U241" i="3" s="1"/>
  <c r="AI241" i="3"/>
  <c r="AH241" i="3" a="1"/>
  <c r="AH241" i="3" s="1"/>
  <c r="AE241" i="3" a="1"/>
  <c r="AE241" i="3" s="1"/>
  <c r="AD241" i="3" a="1"/>
  <c r="AD241" i="3" s="1"/>
  <c r="AC241" i="3" a="1"/>
  <c r="AC241" i="3" s="1"/>
  <c r="AB241" i="3" a="1"/>
  <c r="AB241" i="3" s="1"/>
  <c r="AA241" i="3" a="1"/>
  <c r="AA241" i="3" s="1"/>
  <c r="Z241" i="3" a="1"/>
  <c r="Z241" i="3" s="1"/>
  <c r="D241" i="3" a="1"/>
  <c r="D241" i="3" s="1"/>
  <c r="M241" i="3" s="1" a="1"/>
  <c r="M241" i="3" s="1"/>
  <c r="AM241" i="3"/>
  <c r="AK241" i="3"/>
  <c r="AL241" i="3"/>
  <c r="I241" i="3" a="1"/>
  <c r="I241" i="3" s="1"/>
  <c r="B390" i="3" a="1"/>
  <c r="B390" i="3" s="1"/>
  <c r="Q390" i="3"/>
  <c r="R390" i="3"/>
  <c r="S390" i="3"/>
  <c r="AX390" i="3"/>
  <c r="T390" i="3" s="1"/>
  <c r="CT80" i="8"/>
  <c r="CA80" i="8"/>
  <c r="BH80" i="8"/>
  <c r="AO80" i="8"/>
  <c r="V80" i="8"/>
  <c r="Q80" i="8"/>
  <c r="K343" i="12"/>
  <c r="M343" i="12" s="1"/>
  <c r="AO49" i="5"/>
  <c r="K344" i="12"/>
  <c r="M344" i="12" s="1"/>
  <c r="EF89" i="4"/>
  <c r="K346" i="12"/>
  <c r="M346" i="12" s="1"/>
  <c r="DM89" i="4"/>
  <c r="K345" i="12"/>
  <c r="M345" i="12" s="1"/>
  <c r="CT89" i="4"/>
  <c r="K347" i="12"/>
  <c r="M347" i="12" s="1"/>
  <c r="CA89" i="4"/>
  <c r="K348" i="12"/>
  <c r="M348" i="12" s="1"/>
  <c r="BH89" i="4"/>
  <c r="K349" i="12"/>
  <c r="M349" i="12" s="1"/>
  <c r="FQ89" i="4"/>
  <c r="EX89" i="4"/>
  <c r="V49" i="5"/>
  <c r="CT43" i="8"/>
  <c r="V43" i="8"/>
  <c r="K350" i="12"/>
  <c r="M350" i="12" s="1"/>
  <c r="K351" i="12"/>
  <c r="M351" i="12" s="1"/>
  <c r="K352" i="12"/>
  <c r="M352" i="12" s="1"/>
  <c r="K353" i="12"/>
  <c r="M353" i="12" s="1"/>
  <c r="K354" i="12"/>
  <c r="M354" i="12" s="1"/>
  <c r="K355" i="12"/>
  <c r="M355" i="12" s="1"/>
  <c r="K356" i="12"/>
  <c r="M356" i="12" s="1"/>
  <c r="K357" i="12"/>
  <c r="M357" i="12" s="1"/>
  <c r="K358" i="12"/>
  <c r="M358" i="12" s="1"/>
  <c r="K359" i="12"/>
  <c r="M359" i="12" s="1"/>
  <c r="K360" i="12"/>
  <c r="M360" i="12" s="1"/>
  <c r="CY199" i="4"/>
  <c r="K361" i="12"/>
  <c r="M361" i="12" s="1"/>
  <c r="BM36" i="9"/>
  <c r="AT36" i="9"/>
  <c r="B66" i="3" a="1"/>
  <c r="B66" i="3" s="1"/>
  <c r="Q66" i="3"/>
  <c r="R66" i="3"/>
  <c r="S66" i="3"/>
  <c r="AX66" i="3"/>
  <c r="T66" i="3" s="1"/>
  <c r="B63" i="3" a="1"/>
  <c r="B63" i="3" s="1"/>
  <c r="Q63" i="3"/>
  <c r="R63" i="3"/>
  <c r="S63" i="3"/>
  <c r="AX63" i="3"/>
  <c r="T63" i="3" s="1"/>
  <c r="V100" i="3" l="1"/>
  <c r="T49" i="5"/>
  <c r="V127" i="3"/>
  <c r="V241" i="3"/>
  <c r="X390" i="3" a="1"/>
  <c r="X390" i="3" s="1"/>
  <c r="AW390" i="3"/>
  <c r="P390" i="3" s="1"/>
  <c r="Y390" i="3" a="1"/>
  <c r="Y390" i="3" s="1"/>
  <c r="Z390" i="3" a="1"/>
  <c r="Z390" i="3" s="1"/>
  <c r="F390" i="3" a="1"/>
  <c r="F390" i="3" s="1"/>
  <c r="AA390" i="3" a="1"/>
  <c r="AA390" i="3" s="1"/>
  <c r="H390" i="3"/>
  <c r="C390" i="3"/>
  <c r="AH390" i="3" a="1"/>
  <c r="AH390" i="3" s="1"/>
  <c r="D390" i="3" a="1"/>
  <c r="D390" i="3" s="1"/>
  <c r="M390" i="3" s="1" a="1"/>
  <c r="M390" i="3" s="1"/>
  <c r="AE390" i="3" a="1"/>
  <c r="AE390" i="3" s="1"/>
  <c r="AF390" i="3" a="1"/>
  <c r="AF390" i="3" s="1"/>
  <c r="AG390" i="3" a="1"/>
  <c r="AG390" i="3" s="1"/>
  <c r="AI390" i="3"/>
  <c r="AK390" i="3"/>
  <c r="AL390" i="3"/>
  <c r="AN390" i="3"/>
  <c r="E390" i="3" a="1"/>
  <c r="E390" i="3" s="1"/>
  <c r="G390" i="3" a="1"/>
  <c r="G390" i="3" s="1"/>
  <c r="AB390" i="3" a="1"/>
  <c r="AB390" i="3" s="1"/>
  <c r="AC390" i="3" a="1"/>
  <c r="AC390" i="3" s="1"/>
  <c r="I390" i="3" a="1"/>
  <c r="I390" i="3" s="1"/>
  <c r="AD390" i="3" a="1"/>
  <c r="AD390" i="3" s="1"/>
  <c r="U390" i="3" a="1"/>
  <c r="U390" i="3" s="1"/>
  <c r="W390" i="3" a="1"/>
  <c r="W390" i="3" s="1"/>
  <c r="AJ390" i="3"/>
  <c r="AM390" i="3"/>
  <c r="Q43" i="8"/>
  <c r="AO89" i="4"/>
  <c r="CA43" i="8"/>
  <c r="BH43" i="8"/>
  <c r="AO43" i="8"/>
  <c r="AN66" i="3"/>
  <c r="X66" i="3" a="1"/>
  <c r="X66" i="3" s="1"/>
  <c r="AW66" i="3"/>
  <c r="P66" i="3" s="1"/>
  <c r="C66" i="3"/>
  <c r="E66" i="3" a="1"/>
  <c r="E66" i="3" s="1"/>
  <c r="Z66" i="3" a="1"/>
  <c r="Z66" i="3" s="1"/>
  <c r="D66" i="3" a="1"/>
  <c r="D66" i="3" s="1"/>
  <c r="Y66" i="3" a="1"/>
  <c r="Y66" i="3" s="1"/>
  <c r="F66" i="3" a="1"/>
  <c r="F66" i="3" s="1"/>
  <c r="AA66" i="3" a="1"/>
  <c r="AA66" i="3" s="1"/>
  <c r="G66" i="3" a="1"/>
  <c r="G66" i="3" s="1"/>
  <c r="AB66" i="3" a="1"/>
  <c r="AB66" i="3" s="1"/>
  <c r="H66" i="3"/>
  <c r="AC66" i="3" a="1"/>
  <c r="AC66" i="3" s="1"/>
  <c r="AD66" i="3" a="1"/>
  <c r="AD66" i="3" s="1"/>
  <c r="I66" i="3" a="1"/>
  <c r="I66" i="3" s="1"/>
  <c r="AE66" i="3" a="1"/>
  <c r="AE66" i="3" s="1"/>
  <c r="AF66" i="3" a="1"/>
  <c r="AF66" i="3" s="1"/>
  <c r="AK66" i="3"/>
  <c r="AG66" i="3" a="1"/>
  <c r="AG66" i="3" s="1"/>
  <c r="AH66" i="3" a="1"/>
  <c r="AH66" i="3" s="1"/>
  <c r="AJ66" i="3"/>
  <c r="AI66" i="3"/>
  <c r="U66" i="3" a="1"/>
  <c r="U66" i="3" s="1"/>
  <c r="AL66" i="3"/>
  <c r="W66" i="3" a="1"/>
  <c r="W66" i="3" s="1"/>
  <c r="AM66" i="3"/>
  <c r="AN63" i="3"/>
  <c r="C63" i="3"/>
  <c r="AM63" i="3"/>
  <c r="X63" i="3" a="1"/>
  <c r="X63" i="3" s="1"/>
  <c r="AW63" i="3"/>
  <c r="P63" i="3" s="1"/>
  <c r="AA63" i="3" a="1"/>
  <c r="AA63" i="3" s="1"/>
  <c r="D63" i="3" a="1"/>
  <c r="D63" i="3" s="1"/>
  <c r="Y63" i="3" a="1"/>
  <c r="Y63" i="3" s="1"/>
  <c r="AL63" i="3"/>
  <c r="E63" i="3" a="1"/>
  <c r="E63" i="3" s="1"/>
  <c r="Z63" i="3" a="1"/>
  <c r="Z63" i="3" s="1"/>
  <c r="F63" i="3" a="1"/>
  <c r="F63" i="3" s="1"/>
  <c r="G63" i="3" a="1"/>
  <c r="G63" i="3" s="1"/>
  <c r="AB63" i="3" a="1"/>
  <c r="AB63" i="3" s="1"/>
  <c r="H63" i="3"/>
  <c r="AC63" i="3" a="1"/>
  <c r="AC63" i="3" s="1"/>
  <c r="I63" i="3" a="1"/>
  <c r="I63" i="3" s="1"/>
  <c r="AD63" i="3" a="1"/>
  <c r="AD63" i="3" s="1"/>
  <c r="AE63" i="3" a="1"/>
  <c r="AE63" i="3" s="1"/>
  <c r="AK63" i="3"/>
  <c r="AF63" i="3" a="1"/>
  <c r="AF63" i="3" s="1"/>
  <c r="AG63" i="3" a="1"/>
  <c r="AG63" i="3" s="1"/>
  <c r="AH63" i="3" a="1"/>
  <c r="AH63" i="3" s="1"/>
  <c r="AI63" i="3"/>
  <c r="U63" i="3" a="1"/>
  <c r="U63" i="3" s="1"/>
  <c r="AJ63" i="3"/>
  <c r="W63" i="3" a="1"/>
  <c r="W63" i="3" s="1"/>
  <c r="V390" i="3" l="1"/>
  <c r="M63" i="3" a="1"/>
  <c r="M63" i="3" s="1"/>
  <c r="M66" i="3" a="1"/>
  <c r="M66" i="3" s="1"/>
  <c r="V66" i="3"/>
  <c r="V63" i="3"/>
  <c r="BM33" i="9"/>
  <c r="AT33" i="9"/>
  <c r="BM38" i="9"/>
  <c r="AT38" i="9"/>
  <c r="FQ149" i="4" l="1"/>
  <c r="EX149" i="4"/>
  <c r="EF149" i="4"/>
  <c r="DM149" i="4"/>
  <c r="CT149" i="4"/>
  <c r="CA149" i="4"/>
  <c r="BH149" i="4"/>
  <c r="AO149" i="4"/>
  <c r="FQ142" i="4"/>
  <c r="EX142" i="4"/>
  <c r="EF142" i="4"/>
  <c r="DM142" i="4"/>
  <c r="CT142" i="4"/>
  <c r="CA142" i="4"/>
  <c r="BH142" i="4"/>
  <c r="AO142" i="4"/>
  <c r="FQ151" i="4"/>
  <c r="EX151" i="4"/>
  <c r="EF151" i="4"/>
  <c r="DM151" i="4"/>
  <c r="CT151" i="4"/>
  <c r="CA151" i="4"/>
  <c r="BH151" i="4"/>
  <c r="AO151" i="4"/>
  <c r="FQ136" i="4"/>
  <c r="EX136" i="4"/>
  <c r="EF136" i="4"/>
  <c r="DM136" i="4"/>
  <c r="CT136" i="4"/>
  <c r="CA136" i="4"/>
  <c r="BH136" i="4"/>
  <c r="AO136" i="4"/>
  <c r="K394" i="12"/>
  <c r="M394" i="12" s="1"/>
  <c r="EF174" i="4"/>
  <c r="B185" i="3" a="1"/>
  <c r="B185" i="3" s="1"/>
  <c r="Q185" i="3"/>
  <c r="R185" i="3"/>
  <c r="S185" i="3"/>
  <c r="AX185" i="3"/>
  <c r="T185" i="3" s="1"/>
  <c r="FQ174" i="4"/>
  <c r="EX174" i="4"/>
  <c r="DM174" i="4"/>
  <c r="CT174" i="4"/>
  <c r="CA174" i="4"/>
  <c r="BH174" i="4"/>
  <c r="AO174" i="4"/>
  <c r="F23" i="4"/>
  <c r="F22" i="4"/>
  <c r="F24" i="4"/>
  <c r="K362" i="12"/>
  <c r="M362" i="12" s="1"/>
  <c r="DM56" i="4"/>
  <c r="K363" i="12"/>
  <c r="M363" i="12" s="1"/>
  <c r="CY48" i="4"/>
  <c r="K364" i="12"/>
  <c r="M364" i="12" s="1"/>
  <c r="DR55" i="4"/>
  <c r="K365" i="12"/>
  <c r="M365" i="12" s="1"/>
  <c r="CF55" i="4"/>
  <c r="K366" i="12"/>
  <c r="M366" i="12" s="1"/>
  <c r="BM55" i="4"/>
  <c r="K367" i="12"/>
  <c r="M367" i="12" s="1"/>
  <c r="AT55" i="4"/>
  <c r="K368" i="12"/>
  <c r="M368" i="12" s="1"/>
  <c r="AA55" i="4"/>
  <c r="K395" i="12"/>
  <c r="M395" i="12" s="1"/>
  <c r="K369" i="12"/>
  <c r="M369" i="12" s="1"/>
  <c r="BM28" i="8"/>
  <c r="CA28" i="8" s="1"/>
  <c r="K370" i="12"/>
  <c r="M370" i="12" s="1"/>
  <c r="AT28" i="8"/>
  <c r="BH28" i="8" s="1"/>
  <c r="K371" i="12"/>
  <c r="M371" i="12" s="1"/>
  <c r="AA28" i="8"/>
  <c r="AO28" i="8" s="1"/>
  <c r="K372" i="12"/>
  <c r="M372" i="12" s="1"/>
  <c r="CF29" i="8"/>
  <c r="CT29" i="8" s="1"/>
  <c r="K373" i="12"/>
  <c r="M373" i="12" s="1"/>
  <c r="BM29" i="8"/>
  <c r="CA29" i="8" s="1"/>
  <c r="K374" i="12"/>
  <c r="M374" i="12" s="1"/>
  <c r="AT29" i="8"/>
  <c r="BH29" i="8" s="1"/>
  <c r="K375" i="12"/>
  <c r="M375" i="12" s="1"/>
  <c r="AA29" i="8"/>
  <c r="AO29" i="8" s="1"/>
  <c r="K376" i="12"/>
  <c r="M376" i="12" s="1"/>
  <c r="AA30" i="7"/>
  <c r="K377" i="12"/>
  <c r="M377" i="12" s="1"/>
  <c r="AA29" i="7"/>
  <c r="AO29" i="7" s="1"/>
  <c r="K399" i="12"/>
  <c r="M399" i="12" s="1"/>
  <c r="BM30" i="4"/>
  <c r="K398" i="12"/>
  <c r="M398" i="12" s="1"/>
  <c r="AT30" i="4"/>
  <c r="K397" i="12"/>
  <c r="M397" i="12" s="1"/>
  <c r="AA30" i="4"/>
  <c r="K378" i="12"/>
  <c r="M378" i="12" s="1"/>
  <c r="CF30" i="8"/>
  <c r="CT30" i="8" s="1"/>
  <c r="K379" i="12"/>
  <c r="M379" i="12" s="1"/>
  <c r="BM30" i="8"/>
  <c r="CA30" i="8" s="1"/>
  <c r="K380" i="12"/>
  <c r="M380" i="12" s="1"/>
  <c r="AT30" i="8"/>
  <c r="BH30" i="8" s="1"/>
  <c r="K381" i="12"/>
  <c r="M381" i="12" s="1"/>
  <c r="AA30" i="8"/>
  <c r="AO30" i="8" s="1"/>
  <c r="V30" i="8"/>
  <c r="V29" i="8"/>
  <c r="CT28" i="8"/>
  <c r="V28" i="8"/>
  <c r="B75" i="3" a="1"/>
  <c r="B75" i="3" s="1"/>
  <c r="Q75" i="3"/>
  <c r="R75" i="3"/>
  <c r="S75" i="3"/>
  <c r="AX75" i="3"/>
  <c r="T75" i="3" s="1"/>
  <c r="B73" i="3" a="1"/>
  <c r="B73" i="3" s="1"/>
  <c r="Q73" i="3"/>
  <c r="R73" i="3"/>
  <c r="S73" i="3"/>
  <c r="AX73" i="3"/>
  <c r="T73" i="3" s="1"/>
  <c r="B65" i="3" a="1"/>
  <c r="B65" i="3" s="1"/>
  <c r="Q65" i="3"/>
  <c r="R65" i="3"/>
  <c r="S65" i="3"/>
  <c r="AX65" i="3"/>
  <c r="T65" i="3" s="1"/>
  <c r="B70" i="3" a="1"/>
  <c r="B70" i="3" s="1"/>
  <c r="Q70" i="3"/>
  <c r="R70" i="3"/>
  <c r="S70" i="3"/>
  <c r="AX70" i="3"/>
  <c r="T70" i="3" s="1"/>
  <c r="Q29" i="8" l="1"/>
  <c r="AN185" i="3"/>
  <c r="F185" i="3" a="1"/>
  <c r="F185" i="3" s="1"/>
  <c r="AB185" i="3" a="1"/>
  <c r="AB185" i="3" s="1"/>
  <c r="AC185" i="3" a="1"/>
  <c r="AC185" i="3" s="1"/>
  <c r="I185" i="3" a="1"/>
  <c r="I185" i="3" s="1"/>
  <c r="AD185" i="3" a="1"/>
  <c r="AD185" i="3" s="1"/>
  <c r="AG185" i="3" a="1"/>
  <c r="AG185" i="3" s="1"/>
  <c r="AL185" i="3"/>
  <c r="W185" i="3" a="1"/>
  <c r="W185" i="3" s="1"/>
  <c r="AM185" i="3"/>
  <c r="X185" i="3" a="1"/>
  <c r="X185" i="3" s="1"/>
  <c r="AW185" i="3"/>
  <c r="P185" i="3" s="1"/>
  <c r="D185" i="3" a="1"/>
  <c r="D185" i="3" s="1"/>
  <c r="M185" i="3" s="1" a="1"/>
  <c r="M185" i="3" s="1"/>
  <c r="Y185" i="3" a="1"/>
  <c r="Y185" i="3" s="1"/>
  <c r="G185" i="3" a="1"/>
  <c r="G185" i="3" s="1"/>
  <c r="H185" i="3"/>
  <c r="C185" i="3"/>
  <c r="E185" i="3" a="1"/>
  <c r="E185" i="3" s="1"/>
  <c r="Z185" i="3" a="1"/>
  <c r="Z185" i="3" s="1"/>
  <c r="AA185" i="3" a="1"/>
  <c r="AA185" i="3" s="1"/>
  <c r="AE185" i="3" a="1"/>
  <c r="AE185" i="3" s="1"/>
  <c r="AF185" i="3" a="1"/>
  <c r="AF185" i="3" s="1"/>
  <c r="AH185" i="3" a="1"/>
  <c r="AH185" i="3" s="1"/>
  <c r="AI185" i="3"/>
  <c r="U185" i="3" a="1"/>
  <c r="U185" i="3" s="1"/>
  <c r="AJ185" i="3"/>
  <c r="AK185" i="3"/>
  <c r="Q29" i="7"/>
  <c r="Q28" i="8"/>
  <c r="Q30" i="8"/>
  <c r="Q30" i="7"/>
  <c r="AO30" i="7"/>
  <c r="AN75" i="3"/>
  <c r="Z75" i="3" a="1"/>
  <c r="Z75" i="3" s="1"/>
  <c r="X75" i="3" a="1"/>
  <c r="X75" i="3" s="1"/>
  <c r="AW75" i="3"/>
  <c r="P75" i="3" s="1"/>
  <c r="C75" i="3"/>
  <c r="D75" i="3" a="1"/>
  <c r="D75" i="3" s="1"/>
  <c r="Y75" i="3" a="1"/>
  <c r="Y75" i="3" s="1"/>
  <c r="F75" i="3" a="1"/>
  <c r="F75" i="3" s="1"/>
  <c r="E75" i="3" a="1"/>
  <c r="E75" i="3" s="1"/>
  <c r="I75" i="3" a="1"/>
  <c r="I75" i="3" s="1"/>
  <c r="AD75" i="3" a="1"/>
  <c r="AD75" i="3" s="1"/>
  <c r="AE75" i="3" a="1"/>
  <c r="AE75" i="3" s="1"/>
  <c r="AB75" i="3" a="1"/>
  <c r="AB75" i="3" s="1"/>
  <c r="AC75" i="3" a="1"/>
  <c r="AC75" i="3" s="1"/>
  <c r="AF75" i="3" a="1"/>
  <c r="AF75" i="3" s="1"/>
  <c r="AG75" i="3" a="1"/>
  <c r="AG75" i="3" s="1"/>
  <c r="AH75" i="3" a="1"/>
  <c r="AH75" i="3" s="1"/>
  <c r="AI75" i="3"/>
  <c r="U75" i="3" a="1"/>
  <c r="U75" i="3" s="1"/>
  <c r="AJ75" i="3"/>
  <c r="AA75" i="3" a="1"/>
  <c r="AA75" i="3" s="1"/>
  <c r="G75" i="3" a="1"/>
  <c r="G75" i="3" s="1"/>
  <c r="H75" i="3"/>
  <c r="AK75" i="3"/>
  <c r="AL75" i="3"/>
  <c r="W75" i="3" a="1"/>
  <c r="W75" i="3" s="1"/>
  <c r="AM75" i="3"/>
  <c r="AN73" i="3"/>
  <c r="X73" i="3" a="1"/>
  <c r="X73" i="3" s="1"/>
  <c r="AW73" i="3"/>
  <c r="P73" i="3" s="1"/>
  <c r="F73" i="3" a="1"/>
  <c r="F73" i="3" s="1"/>
  <c r="C73" i="3"/>
  <c r="D73" i="3" a="1"/>
  <c r="D73" i="3" s="1"/>
  <c r="Y73" i="3" a="1"/>
  <c r="Y73" i="3" s="1"/>
  <c r="AE73" i="3" a="1"/>
  <c r="AE73" i="3" s="1"/>
  <c r="G73" i="3" a="1"/>
  <c r="G73" i="3" s="1"/>
  <c r="E73" i="3" a="1"/>
  <c r="E73" i="3" s="1"/>
  <c r="Z73" i="3" a="1"/>
  <c r="Z73" i="3" s="1"/>
  <c r="AA73" i="3" a="1"/>
  <c r="AA73" i="3" s="1"/>
  <c r="AB73" i="3" a="1"/>
  <c r="AB73" i="3" s="1"/>
  <c r="H73" i="3"/>
  <c r="AC73" i="3" a="1"/>
  <c r="AC73" i="3" s="1"/>
  <c r="I73" i="3" a="1"/>
  <c r="I73" i="3" s="1"/>
  <c r="AD73" i="3" a="1"/>
  <c r="AD73" i="3" s="1"/>
  <c r="AF73" i="3" a="1"/>
  <c r="AF73" i="3" s="1"/>
  <c r="AG73" i="3" a="1"/>
  <c r="AG73" i="3" s="1"/>
  <c r="AI73" i="3"/>
  <c r="AM73" i="3"/>
  <c r="AH73" i="3" a="1"/>
  <c r="AH73" i="3" s="1"/>
  <c r="U73" i="3" a="1"/>
  <c r="U73" i="3" s="1"/>
  <c r="AK73" i="3"/>
  <c r="W73" i="3" a="1"/>
  <c r="W73" i="3" s="1"/>
  <c r="AL73" i="3"/>
  <c r="AJ73" i="3"/>
  <c r="AN65" i="3"/>
  <c r="Y65" i="3" a="1"/>
  <c r="Y65" i="3" s="1"/>
  <c r="W65" i="3" a="1"/>
  <c r="W65" i="3" s="1"/>
  <c r="X65" i="3" a="1"/>
  <c r="X65" i="3" s="1"/>
  <c r="AW65" i="3"/>
  <c r="P65" i="3" s="1"/>
  <c r="C65" i="3"/>
  <c r="D65" i="3" a="1"/>
  <c r="D65" i="3" s="1"/>
  <c r="U65" i="3" a="1"/>
  <c r="U65" i="3" s="1"/>
  <c r="E65" i="3" a="1"/>
  <c r="E65" i="3" s="1"/>
  <c r="Z65" i="3" a="1"/>
  <c r="Z65" i="3" s="1"/>
  <c r="AC65" i="3" a="1"/>
  <c r="AC65" i="3" s="1"/>
  <c r="F65" i="3" a="1"/>
  <c r="F65" i="3" s="1"/>
  <c r="AA65" i="3" a="1"/>
  <c r="AA65" i="3" s="1"/>
  <c r="AJ65" i="3"/>
  <c r="G65" i="3" a="1"/>
  <c r="G65" i="3" s="1"/>
  <c r="AB65" i="3" a="1"/>
  <c r="AB65" i="3" s="1"/>
  <c r="H65" i="3"/>
  <c r="I65" i="3" a="1"/>
  <c r="I65" i="3" s="1"/>
  <c r="AD65" i="3" a="1"/>
  <c r="AD65" i="3" s="1"/>
  <c r="AI65" i="3"/>
  <c r="AK65" i="3"/>
  <c r="AE65" i="3" a="1"/>
  <c r="AE65" i="3" s="1"/>
  <c r="AF65" i="3" a="1"/>
  <c r="AF65" i="3" s="1"/>
  <c r="AL65" i="3"/>
  <c r="AG65" i="3" a="1"/>
  <c r="AG65" i="3" s="1"/>
  <c r="AH65" i="3" a="1"/>
  <c r="AH65" i="3" s="1"/>
  <c r="AM65" i="3"/>
  <c r="AN70" i="3"/>
  <c r="X70" i="3" a="1"/>
  <c r="X70" i="3" s="1"/>
  <c r="AW70" i="3"/>
  <c r="P70" i="3" s="1"/>
  <c r="AA70" i="3" a="1"/>
  <c r="AA70" i="3" s="1"/>
  <c r="C70" i="3"/>
  <c r="F70" i="3" a="1"/>
  <c r="F70" i="3" s="1"/>
  <c r="D70" i="3" a="1"/>
  <c r="D70" i="3" s="1"/>
  <c r="Y70" i="3" a="1"/>
  <c r="Y70" i="3" s="1"/>
  <c r="AB70" i="3" a="1"/>
  <c r="AB70" i="3" s="1"/>
  <c r="AC70" i="3" a="1"/>
  <c r="AC70" i="3" s="1"/>
  <c r="E70" i="3" a="1"/>
  <c r="E70" i="3" s="1"/>
  <c r="Z70" i="3" a="1"/>
  <c r="Z70" i="3" s="1"/>
  <c r="G70" i="3" a="1"/>
  <c r="G70" i="3" s="1"/>
  <c r="H70" i="3"/>
  <c r="AM70" i="3"/>
  <c r="I70" i="3" a="1"/>
  <c r="I70" i="3" s="1"/>
  <c r="AE70" i="3" a="1"/>
  <c r="AE70" i="3" s="1"/>
  <c r="AD70" i="3" a="1"/>
  <c r="AD70" i="3" s="1"/>
  <c r="AF70" i="3" a="1"/>
  <c r="AF70" i="3" s="1"/>
  <c r="U70" i="3" a="1"/>
  <c r="U70" i="3" s="1"/>
  <c r="AK70" i="3"/>
  <c r="W70" i="3" a="1"/>
  <c r="W70" i="3" s="1"/>
  <c r="AG70" i="3" a="1"/>
  <c r="AG70" i="3" s="1"/>
  <c r="AH70" i="3" a="1"/>
  <c r="AH70" i="3" s="1"/>
  <c r="AI70" i="3"/>
  <c r="AJ70" i="3"/>
  <c r="AL70" i="3"/>
  <c r="V185" i="3" l="1"/>
  <c r="M75" i="3" a="1"/>
  <c r="M75" i="3" s="1"/>
  <c r="V75" i="3"/>
  <c r="M73" i="3" a="1"/>
  <c r="M73" i="3" s="1"/>
  <c r="M65" i="3" a="1"/>
  <c r="M65" i="3" s="1"/>
  <c r="V73" i="3"/>
  <c r="V65" i="3"/>
  <c r="M70" i="3" a="1"/>
  <c r="M70" i="3" s="1"/>
  <c r="V70" i="3"/>
  <c r="K382" i="12" l="1"/>
  <c r="M382" i="12" s="1"/>
  <c r="CY54" i="4"/>
  <c r="DM54" i="4" s="1"/>
  <c r="FQ56" i="4"/>
  <c r="EX56" i="4"/>
  <c r="EF56" i="4"/>
  <c r="CT56" i="4"/>
  <c r="CA56" i="4"/>
  <c r="BH56" i="4"/>
  <c r="AO56" i="4"/>
  <c r="K383" i="12"/>
  <c r="M383" i="12" s="1"/>
  <c r="K384" i="12"/>
  <c r="M384" i="12" s="1"/>
  <c r="L385" i="12"/>
  <c r="K385" i="12"/>
  <c r="K386" i="12"/>
  <c r="M386" i="12" s="1"/>
  <c r="AO27" i="5"/>
  <c r="V27" i="5"/>
  <c r="T27" i="5"/>
  <c r="K387" i="12"/>
  <c r="M387" i="12" s="1"/>
  <c r="CF48" i="4"/>
  <c r="CT48" i="4" s="1"/>
  <c r="K389" i="12"/>
  <c r="M389" i="12" s="1"/>
  <c r="AT48" i="4"/>
  <c r="BH48" i="4" s="1"/>
  <c r="K388" i="12"/>
  <c r="M388" i="12" s="1"/>
  <c r="AA48" i="4"/>
  <c r="AO48" i="4" s="1"/>
  <c r="K390" i="12"/>
  <c r="M390" i="12" s="1"/>
  <c r="DR54" i="4"/>
  <c r="EF54" i="4" s="1"/>
  <c r="K391" i="12"/>
  <c r="M391" i="12" s="1"/>
  <c r="CF54" i="4"/>
  <c r="CT54" i="4" s="1"/>
  <c r="K393" i="12"/>
  <c r="M393" i="12" s="1"/>
  <c r="AT54" i="4"/>
  <c r="BH54" i="4" s="1"/>
  <c r="K392" i="12"/>
  <c r="M392" i="12" s="1"/>
  <c r="AO54" i="4"/>
  <c r="CA48" i="4"/>
  <c r="K396" i="12"/>
  <c r="M396" i="12" s="1"/>
  <c r="FQ54" i="4"/>
  <c r="EX54" i="4"/>
  <c r="CA54" i="4"/>
  <c r="AO23" i="5"/>
  <c r="V23" i="5"/>
  <c r="T23" i="5"/>
  <c r="K400" i="12"/>
  <c r="M400" i="12" s="1"/>
  <c r="DR48" i="4"/>
  <c r="EF48" i="4" s="1"/>
  <c r="FQ48" i="4"/>
  <c r="EX48" i="4"/>
  <c r="DM48" i="4"/>
  <c r="B71" i="3" a="1"/>
  <c r="B71" i="3" s="1"/>
  <c r="B74" i="3" a="1"/>
  <c r="B74" i="3" s="1"/>
  <c r="B72" i="3" a="1"/>
  <c r="B72" i="3" s="1"/>
  <c r="Q72" i="3"/>
  <c r="R72" i="3"/>
  <c r="S72" i="3"/>
  <c r="AX72" i="3"/>
  <c r="T72" i="3" s="1"/>
  <c r="Q74" i="3"/>
  <c r="R74" i="3"/>
  <c r="S74" i="3"/>
  <c r="AX74" i="3"/>
  <c r="T74" i="3" s="1"/>
  <c r="Q71" i="3"/>
  <c r="R71" i="3"/>
  <c r="S71" i="3"/>
  <c r="AX71" i="3"/>
  <c r="T71" i="3" s="1"/>
  <c r="B68" i="3" a="1"/>
  <c r="B68" i="3" s="1"/>
  <c r="Q68" i="3"/>
  <c r="R68" i="3"/>
  <c r="S68" i="3"/>
  <c r="AX68" i="3"/>
  <c r="T68" i="3" s="1"/>
  <c r="B64" i="3" a="1"/>
  <c r="B64" i="3" s="1"/>
  <c r="Q64" i="3"/>
  <c r="R64" i="3"/>
  <c r="S64" i="3"/>
  <c r="AX64" i="3"/>
  <c r="T64" i="3" s="1"/>
  <c r="B53" i="3" a="1"/>
  <c r="B53" i="3" s="1"/>
  <c r="Q53" i="3"/>
  <c r="R53" i="3"/>
  <c r="S53" i="3"/>
  <c r="AX53" i="3"/>
  <c r="T53" i="3" s="1"/>
  <c r="B52" i="3" a="1"/>
  <c r="B52" i="3" s="1"/>
  <c r="Q52" i="3"/>
  <c r="R52" i="3"/>
  <c r="S52" i="3"/>
  <c r="AX52" i="3"/>
  <c r="T52" i="3" s="1"/>
  <c r="M385" i="12" l="1"/>
  <c r="AN72" i="3"/>
  <c r="X72" i="3" a="1"/>
  <c r="X72" i="3" s="1"/>
  <c r="AW72" i="3"/>
  <c r="P72" i="3" s="1"/>
  <c r="AK72" i="3"/>
  <c r="C72" i="3"/>
  <c r="D72" i="3" a="1"/>
  <c r="D72" i="3" s="1"/>
  <c r="Y72" i="3" a="1"/>
  <c r="Y72" i="3" s="1"/>
  <c r="AA72" i="3" a="1"/>
  <c r="AA72" i="3" s="1"/>
  <c r="E72" i="3" a="1"/>
  <c r="E72" i="3" s="1"/>
  <c r="Z72" i="3" a="1"/>
  <c r="Z72" i="3" s="1"/>
  <c r="F72" i="3" a="1"/>
  <c r="F72" i="3" s="1"/>
  <c r="G72" i="3" a="1"/>
  <c r="G72" i="3" s="1"/>
  <c r="AB72" i="3" a="1"/>
  <c r="AB72" i="3" s="1"/>
  <c r="H72" i="3"/>
  <c r="AC72" i="3" a="1"/>
  <c r="AC72" i="3" s="1"/>
  <c r="AF72" i="3" a="1"/>
  <c r="AF72" i="3" s="1"/>
  <c r="I72" i="3" a="1"/>
  <c r="I72" i="3" s="1"/>
  <c r="AD72" i="3" a="1"/>
  <c r="AD72" i="3" s="1"/>
  <c r="AE72" i="3" a="1"/>
  <c r="AE72" i="3" s="1"/>
  <c r="AJ72" i="3"/>
  <c r="AG72" i="3" a="1"/>
  <c r="AG72" i="3" s="1"/>
  <c r="AI72" i="3"/>
  <c r="U72" i="3" a="1"/>
  <c r="U72" i="3" s="1"/>
  <c r="AH72" i="3" a="1"/>
  <c r="AH72" i="3" s="1"/>
  <c r="AL72" i="3"/>
  <c r="W72" i="3" a="1"/>
  <c r="W72" i="3" s="1"/>
  <c r="AM72" i="3"/>
  <c r="AN74" i="3"/>
  <c r="E74" i="3" a="1"/>
  <c r="E74" i="3" s="1"/>
  <c r="G74" i="3" a="1"/>
  <c r="G74" i="3" s="1"/>
  <c r="H74" i="3"/>
  <c r="X74" i="3" a="1"/>
  <c r="X74" i="3" s="1"/>
  <c r="AW74" i="3"/>
  <c r="P74" i="3" s="1"/>
  <c r="Z74" i="3" a="1"/>
  <c r="Z74" i="3" s="1"/>
  <c r="F74" i="3" a="1"/>
  <c r="F74" i="3" s="1"/>
  <c r="C74" i="3"/>
  <c r="AA74" i="3" a="1"/>
  <c r="AA74" i="3" s="1"/>
  <c r="D74" i="3" a="1"/>
  <c r="D74" i="3" s="1"/>
  <c r="Y74" i="3" a="1"/>
  <c r="Y74" i="3" s="1"/>
  <c r="AB74" i="3" a="1"/>
  <c r="AB74" i="3" s="1"/>
  <c r="I74" i="3" a="1"/>
  <c r="I74" i="3" s="1"/>
  <c r="AC74" i="3" a="1"/>
  <c r="AC74" i="3" s="1"/>
  <c r="AF74" i="3" a="1"/>
  <c r="AF74" i="3" s="1"/>
  <c r="AE74" i="3" a="1"/>
  <c r="AE74" i="3" s="1"/>
  <c r="AG74" i="3" a="1"/>
  <c r="AG74" i="3" s="1"/>
  <c r="AH74" i="3" a="1"/>
  <c r="AH74" i="3" s="1"/>
  <c r="AI74" i="3"/>
  <c r="U74" i="3" a="1"/>
  <c r="U74" i="3" s="1"/>
  <c r="AJ74" i="3"/>
  <c r="AK74" i="3"/>
  <c r="AD74" i="3" a="1"/>
  <c r="AD74" i="3" s="1"/>
  <c r="AL74" i="3"/>
  <c r="W74" i="3" a="1"/>
  <c r="W74" i="3" s="1"/>
  <c r="AM74" i="3"/>
  <c r="AN71" i="3"/>
  <c r="X71" i="3" a="1"/>
  <c r="X71" i="3" s="1"/>
  <c r="AW71" i="3"/>
  <c r="P71" i="3" s="1"/>
  <c r="Z71" i="3" a="1"/>
  <c r="Z71" i="3" s="1"/>
  <c r="AA71" i="3" a="1"/>
  <c r="AA71" i="3" s="1"/>
  <c r="AB71" i="3" a="1"/>
  <c r="AB71" i="3" s="1"/>
  <c r="C71" i="3"/>
  <c r="E71" i="3" a="1"/>
  <c r="E71" i="3" s="1"/>
  <c r="G71" i="3" a="1"/>
  <c r="G71" i="3" s="1"/>
  <c r="H71" i="3"/>
  <c r="I71" i="3" a="1"/>
  <c r="I71" i="3" s="1"/>
  <c r="AE71" i="3" a="1"/>
  <c r="AE71" i="3" s="1"/>
  <c r="D71" i="3" a="1"/>
  <c r="D71" i="3" s="1"/>
  <c r="Y71" i="3" a="1"/>
  <c r="Y71" i="3" s="1"/>
  <c r="F71" i="3" a="1"/>
  <c r="F71" i="3" s="1"/>
  <c r="AC71" i="3" a="1"/>
  <c r="AC71" i="3" s="1"/>
  <c r="AD71" i="3" a="1"/>
  <c r="AD71" i="3" s="1"/>
  <c r="AF71" i="3" a="1"/>
  <c r="AF71" i="3" s="1"/>
  <c r="AJ71" i="3"/>
  <c r="AK71" i="3"/>
  <c r="AL71" i="3"/>
  <c r="AM71" i="3"/>
  <c r="AG71" i="3" a="1"/>
  <c r="AG71" i="3" s="1"/>
  <c r="AH71" i="3" a="1"/>
  <c r="AH71" i="3" s="1"/>
  <c r="AI71" i="3"/>
  <c r="U71" i="3" a="1"/>
  <c r="U71" i="3" s="1"/>
  <c r="W71" i="3" a="1"/>
  <c r="W71" i="3" s="1"/>
  <c r="AN68" i="3"/>
  <c r="AL68" i="3"/>
  <c r="AM68" i="3"/>
  <c r="X68" i="3" a="1"/>
  <c r="X68" i="3" s="1"/>
  <c r="AW68" i="3"/>
  <c r="P68" i="3" s="1"/>
  <c r="AC68" i="3" a="1"/>
  <c r="AC68" i="3" s="1"/>
  <c r="C68" i="3"/>
  <c r="H68" i="3"/>
  <c r="D68" i="3" a="1"/>
  <c r="D68" i="3" s="1"/>
  <c r="Y68" i="3" a="1"/>
  <c r="Y68" i="3" s="1"/>
  <c r="G68" i="3" a="1"/>
  <c r="G68" i="3" s="1"/>
  <c r="AB68" i="3" a="1"/>
  <c r="AB68" i="3" s="1"/>
  <c r="AF68" i="3" a="1"/>
  <c r="AF68" i="3" s="1"/>
  <c r="E68" i="3" a="1"/>
  <c r="E68" i="3" s="1"/>
  <c r="Z68" i="3" a="1"/>
  <c r="Z68" i="3" s="1"/>
  <c r="F68" i="3" a="1"/>
  <c r="F68" i="3" s="1"/>
  <c r="AA68" i="3" a="1"/>
  <c r="AA68" i="3" s="1"/>
  <c r="I68" i="3" a="1"/>
  <c r="I68" i="3" s="1"/>
  <c r="AD68" i="3" a="1"/>
  <c r="AD68" i="3" s="1"/>
  <c r="AE68" i="3" a="1"/>
  <c r="AE68" i="3" s="1"/>
  <c r="AG68" i="3" a="1"/>
  <c r="AG68" i="3" s="1"/>
  <c r="AH68" i="3" a="1"/>
  <c r="AH68" i="3" s="1"/>
  <c r="AI68" i="3"/>
  <c r="AK68" i="3"/>
  <c r="U68" i="3" a="1"/>
  <c r="U68" i="3" s="1"/>
  <c r="AJ68" i="3"/>
  <c r="W68" i="3" a="1"/>
  <c r="W68" i="3" s="1"/>
  <c r="AN64" i="3"/>
  <c r="F64" i="3" a="1"/>
  <c r="F64" i="3" s="1"/>
  <c r="X64" i="3" a="1"/>
  <c r="X64" i="3" s="1"/>
  <c r="AW64" i="3"/>
  <c r="P64" i="3" s="1"/>
  <c r="C64" i="3"/>
  <c r="AB64" i="3" a="1"/>
  <c r="AB64" i="3" s="1"/>
  <c r="AD64" i="3" a="1"/>
  <c r="AD64" i="3" s="1"/>
  <c r="D64" i="3" a="1"/>
  <c r="D64" i="3" s="1"/>
  <c r="Y64" i="3" a="1"/>
  <c r="Y64" i="3" s="1"/>
  <c r="E64" i="3" a="1"/>
  <c r="E64" i="3" s="1"/>
  <c r="AA64" i="3" a="1"/>
  <c r="AA64" i="3" s="1"/>
  <c r="Z64" i="3" a="1"/>
  <c r="Z64" i="3" s="1"/>
  <c r="I64" i="3" a="1"/>
  <c r="I64" i="3" s="1"/>
  <c r="G64" i="3" a="1"/>
  <c r="G64" i="3" s="1"/>
  <c r="H64" i="3"/>
  <c r="AC64" i="3" a="1"/>
  <c r="AC64" i="3" s="1"/>
  <c r="AE64" i="3" a="1"/>
  <c r="AE64" i="3" s="1"/>
  <c r="AF64" i="3" a="1"/>
  <c r="AF64" i="3" s="1"/>
  <c r="AG64" i="3" a="1"/>
  <c r="AG64" i="3" s="1"/>
  <c r="AM64" i="3"/>
  <c r="AH64" i="3" a="1"/>
  <c r="AH64" i="3" s="1"/>
  <c r="AI64" i="3"/>
  <c r="W64" i="3" a="1"/>
  <c r="W64" i="3" s="1"/>
  <c r="AK64" i="3"/>
  <c r="U64" i="3" a="1"/>
  <c r="U64" i="3" s="1"/>
  <c r="AJ64" i="3"/>
  <c r="AL64" i="3"/>
  <c r="AN53" i="3"/>
  <c r="X53" i="3" a="1"/>
  <c r="X53" i="3" s="1"/>
  <c r="AW53" i="3"/>
  <c r="P53" i="3" s="1"/>
  <c r="C53" i="3"/>
  <c r="AB53" i="3" a="1"/>
  <c r="AB53" i="3" s="1"/>
  <c r="D53" i="3" a="1"/>
  <c r="D53" i="3" s="1"/>
  <c r="Y53" i="3" a="1"/>
  <c r="Y53" i="3" s="1"/>
  <c r="G53" i="3" a="1"/>
  <c r="G53" i="3" s="1"/>
  <c r="E53" i="3" a="1"/>
  <c r="E53" i="3" s="1"/>
  <c r="Z53" i="3" a="1"/>
  <c r="Z53" i="3" s="1"/>
  <c r="F53" i="3" a="1"/>
  <c r="F53" i="3" s="1"/>
  <c r="AA53" i="3" a="1"/>
  <c r="AA53" i="3" s="1"/>
  <c r="H53" i="3"/>
  <c r="AC53" i="3" a="1"/>
  <c r="AC53" i="3" s="1"/>
  <c r="AF53" i="3" a="1"/>
  <c r="AF53" i="3" s="1"/>
  <c r="I53" i="3" a="1"/>
  <c r="I53" i="3" s="1"/>
  <c r="AD53" i="3" a="1"/>
  <c r="AD53" i="3" s="1"/>
  <c r="AE53" i="3" a="1"/>
  <c r="AE53" i="3" s="1"/>
  <c r="AG53" i="3" a="1"/>
  <c r="AG53" i="3" s="1"/>
  <c r="AK53" i="3"/>
  <c r="AH53" i="3" a="1"/>
  <c r="AH53" i="3" s="1"/>
  <c r="AJ53" i="3"/>
  <c r="AI53" i="3"/>
  <c r="U53" i="3" a="1"/>
  <c r="U53" i="3" s="1"/>
  <c r="AL53" i="3"/>
  <c r="W53" i="3" a="1"/>
  <c r="W53" i="3" s="1"/>
  <c r="AM53" i="3"/>
  <c r="AN52" i="3"/>
  <c r="G52" i="3" a="1"/>
  <c r="G52" i="3" s="1"/>
  <c r="X52" i="3" a="1"/>
  <c r="X52" i="3" s="1"/>
  <c r="AW52" i="3"/>
  <c r="P52" i="3" s="1"/>
  <c r="AA52" i="3" a="1"/>
  <c r="AA52" i="3" s="1"/>
  <c r="C52" i="3"/>
  <c r="D52" i="3" a="1"/>
  <c r="D52" i="3" s="1"/>
  <c r="Y52" i="3" a="1"/>
  <c r="Y52" i="3" s="1"/>
  <c r="F52" i="3" a="1"/>
  <c r="F52" i="3" s="1"/>
  <c r="AB52" i="3" a="1"/>
  <c r="AB52" i="3" s="1"/>
  <c r="H52" i="3"/>
  <c r="E52" i="3" a="1"/>
  <c r="E52" i="3" s="1"/>
  <c r="Z52" i="3" a="1"/>
  <c r="Z52" i="3" s="1"/>
  <c r="I52" i="3" a="1"/>
  <c r="I52" i="3" s="1"/>
  <c r="AF52" i="3" a="1"/>
  <c r="AF52" i="3" s="1"/>
  <c r="AC52" i="3" a="1"/>
  <c r="AC52" i="3" s="1"/>
  <c r="AE52" i="3" a="1"/>
  <c r="AE52" i="3" s="1"/>
  <c r="AH52" i="3" a="1"/>
  <c r="AH52" i="3" s="1"/>
  <c r="AG52" i="3" a="1"/>
  <c r="AG52" i="3" s="1"/>
  <c r="AD52" i="3" a="1"/>
  <c r="AD52" i="3" s="1"/>
  <c r="AI52" i="3"/>
  <c r="AM52" i="3"/>
  <c r="U52" i="3" a="1"/>
  <c r="U52" i="3" s="1"/>
  <c r="AJ52" i="3"/>
  <c r="AL52" i="3"/>
  <c r="W52" i="3" a="1"/>
  <c r="W52" i="3" s="1"/>
  <c r="AK52" i="3"/>
  <c r="M72" i="3" l="1" a="1"/>
  <c r="M72" i="3" s="1"/>
  <c r="V72" i="3"/>
  <c r="M71" i="3" a="1"/>
  <c r="M71" i="3" s="1"/>
  <c r="M74" i="3" a="1"/>
  <c r="M74" i="3" s="1"/>
  <c r="V74" i="3"/>
  <c r="M68" i="3" a="1"/>
  <c r="M68" i="3" s="1"/>
  <c r="M64" i="3" a="1"/>
  <c r="M64" i="3" s="1"/>
  <c r="V71" i="3"/>
  <c r="V68" i="3"/>
  <c r="M52" i="3" a="1"/>
  <c r="M52" i="3" s="1"/>
  <c r="M53" i="3" a="1"/>
  <c r="M53" i="3" s="1"/>
  <c r="V64" i="3"/>
  <c r="V53" i="3"/>
  <c r="V52" i="3"/>
  <c r="K401" i="12" l="1"/>
  <c r="M401" i="12" s="1"/>
  <c r="K403" i="12"/>
  <c r="M403" i="12" s="1"/>
  <c r="K402" i="12"/>
  <c r="M402" i="12" s="1"/>
  <c r="K404" i="12"/>
  <c r="M404" i="12" s="1"/>
  <c r="K405" i="12"/>
  <c r="M405" i="12" s="1"/>
  <c r="K406" i="12"/>
  <c r="M406" i="12" s="1"/>
  <c r="K407" i="12"/>
  <c r="M407" i="12" s="1"/>
  <c r="BM130" i="4"/>
  <c r="K408" i="12"/>
  <c r="M408" i="12" s="1"/>
  <c r="K409" i="12"/>
  <c r="M409" i="12" s="1"/>
  <c r="B331" i="3" a="1"/>
  <c r="B331" i="3" s="1"/>
  <c r="Q331" i="3"/>
  <c r="R331" i="3"/>
  <c r="S331" i="3"/>
  <c r="AX331" i="3"/>
  <c r="T331" i="3" s="1"/>
  <c r="K410" i="12"/>
  <c r="M410" i="12" s="1"/>
  <c r="K411" i="12"/>
  <c r="M411" i="12" s="1"/>
  <c r="K412" i="12"/>
  <c r="M412" i="12" s="1"/>
  <c r="CA73" i="8"/>
  <c r="K413" i="12"/>
  <c r="M413" i="12" s="1"/>
  <c r="BH73" i="8"/>
  <c r="K414" i="12"/>
  <c r="M414" i="12" s="1"/>
  <c r="K415" i="12"/>
  <c r="M415" i="12" s="1"/>
  <c r="AO77" i="5"/>
  <c r="K416" i="12"/>
  <c r="M416" i="12" s="1"/>
  <c r="EF128" i="4"/>
  <c r="K417" i="12"/>
  <c r="M417" i="12" s="1"/>
  <c r="DM128" i="4"/>
  <c r="K418" i="12"/>
  <c r="M418" i="12" s="1"/>
  <c r="CT128" i="4"/>
  <c r="K420" i="12"/>
  <c r="M420" i="12" s="1"/>
  <c r="CA128" i="4"/>
  <c r="K419" i="12"/>
  <c r="M419" i="12" s="1"/>
  <c r="BH128" i="4"/>
  <c r="K421" i="12"/>
  <c r="M421" i="12" s="1"/>
  <c r="AO128" i="4"/>
  <c r="K422" i="12"/>
  <c r="M422" i="12" s="1"/>
  <c r="K423" i="12"/>
  <c r="M423" i="12" s="1"/>
  <c r="K424" i="12"/>
  <c r="M424" i="12" s="1"/>
  <c r="K425" i="12"/>
  <c r="M425" i="12" s="1"/>
  <c r="K427" i="12"/>
  <c r="M427" i="12" s="1"/>
  <c r="K426" i="12"/>
  <c r="M426" i="12" s="1"/>
  <c r="K428" i="12"/>
  <c r="M428" i="12" s="1"/>
  <c r="K429" i="12"/>
  <c r="M429" i="12" s="1"/>
  <c r="K430" i="12"/>
  <c r="M430" i="12" s="1"/>
  <c r="K431" i="12"/>
  <c r="M431" i="12" s="1"/>
  <c r="K432" i="12"/>
  <c r="M432" i="12" s="1"/>
  <c r="K433" i="12"/>
  <c r="M433" i="12" s="1"/>
  <c r="K434" i="12"/>
  <c r="M434" i="12" s="1"/>
  <c r="K435" i="12"/>
  <c r="M435" i="12" s="1"/>
  <c r="K436" i="12"/>
  <c r="M436" i="12" s="1"/>
  <c r="K438" i="12"/>
  <c r="M438" i="12" s="1"/>
  <c r="K437" i="12"/>
  <c r="M437" i="12" s="1"/>
  <c r="K439" i="12"/>
  <c r="M439" i="12" s="1"/>
  <c r="CT73" i="8"/>
  <c r="V73" i="8"/>
  <c r="V77" i="5"/>
  <c r="B102" i="3" a="1"/>
  <c r="B102" i="3" s="1"/>
  <c r="Q102" i="3"/>
  <c r="R102" i="3"/>
  <c r="S102" i="3"/>
  <c r="AX102" i="3"/>
  <c r="T102" i="3" s="1"/>
  <c r="FQ128" i="4"/>
  <c r="EX128" i="4"/>
  <c r="B101" i="3" a="1"/>
  <c r="B101" i="3" s="1"/>
  <c r="Q101" i="3"/>
  <c r="R101" i="3"/>
  <c r="S101" i="3"/>
  <c r="AX101" i="3"/>
  <c r="T101" i="3" s="1"/>
  <c r="B388" i="3" a="1"/>
  <c r="B388" i="3" s="1"/>
  <c r="Q388" i="3"/>
  <c r="R388" i="3"/>
  <c r="S388" i="3"/>
  <c r="AX388" i="3"/>
  <c r="T388" i="3" s="1"/>
  <c r="B356" i="3" a="1"/>
  <c r="B356" i="3" s="1"/>
  <c r="Q356" i="3"/>
  <c r="R356" i="3"/>
  <c r="S356" i="3"/>
  <c r="AX356" i="3"/>
  <c r="T356" i="3" s="1"/>
  <c r="K440" i="12"/>
  <c r="M440" i="12" s="1"/>
  <c r="CF46" i="8"/>
  <c r="K441" i="12"/>
  <c r="M441" i="12" s="1"/>
  <c r="AA54" i="5"/>
  <c r="K442" i="12"/>
  <c r="M442" i="12" s="1"/>
  <c r="CY94" i="4"/>
  <c r="K443" i="12"/>
  <c r="M443" i="12" s="1"/>
  <c r="CF94" i="4"/>
  <c r="K444" i="12"/>
  <c r="M444" i="12" s="1"/>
  <c r="AT94" i="4"/>
  <c r="K445" i="12"/>
  <c r="M445" i="12" s="1"/>
  <c r="AA94" i="4"/>
  <c r="K446" i="12"/>
  <c r="M446" i="12" s="1"/>
  <c r="K447" i="12"/>
  <c r="M447" i="12" s="1"/>
  <c r="CY24" i="4"/>
  <c r="K448" i="12"/>
  <c r="M448" i="12" s="1"/>
  <c r="K449" i="12"/>
  <c r="M449" i="12" s="1"/>
  <c r="K450" i="12"/>
  <c r="M450" i="12" s="1"/>
  <c r="K451" i="12"/>
  <c r="M451" i="12" s="1"/>
  <c r="B167" i="3" a="1"/>
  <c r="B167" i="3" s="1"/>
  <c r="Q167" i="3"/>
  <c r="R167" i="3"/>
  <c r="S167" i="3"/>
  <c r="AX167" i="3"/>
  <c r="T167" i="3" s="1"/>
  <c r="B166" i="3" a="1"/>
  <c r="B166" i="3" s="1"/>
  <c r="Q166" i="3"/>
  <c r="R166" i="3"/>
  <c r="S166" i="3"/>
  <c r="AX166" i="3"/>
  <c r="T166" i="3" s="1"/>
  <c r="K452" i="12"/>
  <c r="M452" i="12" s="1"/>
  <c r="CY121" i="4"/>
  <c r="DM121" i="4" s="1"/>
  <c r="K455" i="12"/>
  <c r="M455" i="12" s="1"/>
  <c r="K454" i="12"/>
  <c r="M454" i="12" s="1"/>
  <c r="K453" i="12"/>
  <c r="M453" i="12" s="1"/>
  <c r="K456" i="12"/>
  <c r="M456" i="12" s="1"/>
  <c r="AT103" i="9"/>
  <c r="K457" i="12"/>
  <c r="M457" i="12" s="1"/>
  <c r="AT100" i="9"/>
  <c r="K458" i="12"/>
  <c r="M458" i="12" s="1"/>
  <c r="AT99" i="9"/>
  <c r="BM99" i="9"/>
  <c r="BM100" i="9"/>
  <c r="K459" i="12"/>
  <c r="M459" i="12" s="1"/>
  <c r="AF80" i="9"/>
  <c r="AT80" i="9" s="1"/>
  <c r="K460" i="12"/>
  <c r="M460" i="12" s="1"/>
  <c r="AF73" i="9"/>
  <c r="K461" i="12"/>
  <c r="M461" i="12" s="1"/>
  <c r="K462" i="12"/>
  <c r="M462" i="12" s="1"/>
  <c r="AF56" i="9"/>
  <c r="BM80" i="9"/>
  <c r="BM55" i="9"/>
  <c r="AT55" i="9"/>
  <c r="B361" i="3" a="1"/>
  <c r="B361" i="3" s="1"/>
  <c r="Q361" i="3"/>
  <c r="R361" i="3"/>
  <c r="S361" i="3"/>
  <c r="AX361" i="3"/>
  <c r="T361" i="3" s="1"/>
  <c r="K463" i="12"/>
  <c r="M463" i="12" s="1"/>
  <c r="AA110" i="5"/>
  <c r="K464" i="12"/>
  <c r="M464" i="12" s="1"/>
  <c r="DR171" i="4"/>
  <c r="EF171" i="4" s="1"/>
  <c r="K465" i="12"/>
  <c r="M465" i="12" s="1"/>
  <c r="AT145" i="4"/>
  <c r="K466" i="12"/>
  <c r="M466" i="12" s="1"/>
  <c r="AT86" i="8"/>
  <c r="K467" i="12"/>
  <c r="M467" i="12" s="1"/>
  <c r="AA88" i="5"/>
  <c r="K468" i="12"/>
  <c r="M468" i="12" s="1"/>
  <c r="BM93" i="8"/>
  <c r="K469" i="12"/>
  <c r="M469" i="12" s="1"/>
  <c r="AT93" i="8"/>
  <c r="K470" i="12"/>
  <c r="M470" i="12" s="1"/>
  <c r="AA93" i="8"/>
  <c r="K471" i="12"/>
  <c r="M471" i="12" s="1"/>
  <c r="AA94" i="5"/>
  <c r="K472" i="12"/>
  <c r="M472" i="12" s="1"/>
  <c r="CF153" i="4"/>
  <c r="K473" i="12"/>
  <c r="M473" i="12" s="1"/>
  <c r="AT153" i="4"/>
  <c r="DR5" i="4"/>
  <c r="FQ38" i="4"/>
  <c r="EX38" i="4"/>
  <c r="EF38" i="4"/>
  <c r="DM38" i="4"/>
  <c r="CT38" i="4"/>
  <c r="CA38" i="4"/>
  <c r="BH38" i="4"/>
  <c r="AO38" i="4"/>
  <c r="EF40" i="4"/>
  <c r="FQ32" i="4"/>
  <c r="EX32" i="4"/>
  <c r="EF32" i="4"/>
  <c r="DM32" i="4"/>
  <c r="CT32" i="4"/>
  <c r="CA32" i="4"/>
  <c r="BH32" i="4"/>
  <c r="AO32" i="4"/>
  <c r="B25" i="3" a="1"/>
  <c r="B25" i="3" s="1"/>
  <c r="Q25" i="3"/>
  <c r="R25" i="3"/>
  <c r="S25" i="3"/>
  <c r="AX25" i="3"/>
  <c r="T25" i="3" s="1"/>
  <c r="B37" i="3" a="1"/>
  <c r="B37" i="3" s="1"/>
  <c r="Q37" i="3"/>
  <c r="R37" i="3"/>
  <c r="S37" i="3"/>
  <c r="AX37" i="3"/>
  <c r="T37" i="3" s="1"/>
  <c r="EB200" i="4"/>
  <c r="EC199" i="4"/>
  <c r="DR200" i="4"/>
  <c r="EB197" i="4"/>
  <c r="DR197" i="4"/>
  <c r="EF196" i="4"/>
  <c r="EC196" i="4"/>
  <c r="DU196" i="4"/>
  <c r="EG196" i="4" s="1"/>
  <c r="EH194" i="4"/>
  <c r="DV194" i="4"/>
  <c r="EF191" i="4"/>
  <c r="EF190" i="4"/>
  <c r="EF188" i="4"/>
  <c r="EF186" i="4"/>
  <c r="EF185" i="4"/>
  <c r="EF184" i="4"/>
  <c r="EF183" i="4"/>
  <c r="EF182" i="4"/>
  <c r="EF181" i="4"/>
  <c r="EF180" i="4"/>
  <c r="EF179" i="4"/>
  <c r="EF178" i="4"/>
  <c r="EF177" i="4"/>
  <c r="EF176" i="4"/>
  <c r="EF175" i="4"/>
  <c r="EF173" i="4"/>
  <c r="EF172" i="4"/>
  <c r="EF169" i="4"/>
  <c r="EF168" i="4"/>
  <c r="EF167" i="4"/>
  <c r="EF164" i="4"/>
  <c r="EF162" i="4"/>
  <c r="EF159" i="4"/>
  <c r="EF158" i="4"/>
  <c r="EF157" i="4"/>
  <c r="EF156" i="4"/>
  <c r="EF154" i="4"/>
  <c r="EF153" i="4"/>
  <c r="EF145" i="4"/>
  <c r="EF144" i="4"/>
  <c r="EF148" i="4"/>
  <c r="EF146" i="4"/>
  <c r="EF147" i="4"/>
  <c r="EF150" i="4"/>
  <c r="EF140" i="4"/>
  <c r="EF139" i="4"/>
  <c r="EF138" i="4"/>
  <c r="EF137" i="4"/>
  <c r="EF130" i="4"/>
  <c r="EF127" i="4"/>
  <c r="EF125" i="4"/>
  <c r="EF121" i="4"/>
  <c r="EF120" i="4"/>
  <c r="EF123" i="4"/>
  <c r="EF119" i="4"/>
  <c r="EF117" i="4"/>
  <c r="EF116" i="4"/>
  <c r="EF115" i="4"/>
  <c r="EF113" i="4"/>
  <c r="EF112" i="4"/>
  <c r="EF111" i="4"/>
  <c r="EF110" i="4"/>
  <c r="EF108" i="4"/>
  <c r="EF107" i="4"/>
  <c r="EF106" i="4"/>
  <c r="EF105" i="4"/>
  <c r="EF101" i="4"/>
  <c r="EF103" i="4"/>
  <c r="EF96" i="4"/>
  <c r="EF95" i="4"/>
  <c r="EF93" i="4"/>
  <c r="EF91" i="4"/>
  <c r="EF87" i="4"/>
  <c r="EF86" i="4"/>
  <c r="EF85" i="4"/>
  <c r="EF83" i="4"/>
  <c r="DR76" i="4"/>
  <c r="EF75" i="4"/>
  <c r="EF74" i="4"/>
  <c r="DR73" i="4"/>
  <c r="EF73" i="4" s="1"/>
  <c r="EF72" i="4"/>
  <c r="EF71" i="4"/>
  <c r="DR69" i="4"/>
  <c r="EF69" i="4" s="1"/>
  <c r="EF68" i="4"/>
  <c r="EF67" i="4"/>
  <c r="EF65" i="4"/>
  <c r="DR61" i="4"/>
  <c r="EF60" i="4"/>
  <c r="EF59" i="4"/>
  <c r="DS58" i="4"/>
  <c r="EF57" i="4"/>
  <c r="EF55" i="4"/>
  <c r="EF53" i="4"/>
  <c r="EF51" i="4"/>
  <c r="EF50" i="4"/>
  <c r="EF49" i="4"/>
  <c r="EF47" i="4"/>
  <c r="EF46" i="4"/>
  <c r="EF45" i="4"/>
  <c r="EF44" i="4"/>
  <c r="EF43" i="4"/>
  <c r="EF42" i="4"/>
  <c r="EF41" i="4"/>
  <c r="EF39" i="4"/>
  <c r="EF37" i="4"/>
  <c r="EF36" i="4"/>
  <c r="EF35" i="4"/>
  <c r="EF34" i="4"/>
  <c r="EF33" i="4"/>
  <c r="EF31" i="4"/>
  <c r="DR30" i="4"/>
  <c r="EF30" i="4" s="1"/>
  <c r="EF27" i="4"/>
  <c r="EC27" i="4"/>
  <c r="DU27" i="4"/>
  <c r="EF26" i="4"/>
  <c r="EC26" i="4"/>
  <c r="DU26" i="4"/>
  <c r="EF25" i="4"/>
  <c r="EF24" i="4"/>
  <c r="EF23" i="4"/>
  <c r="EF22" i="4"/>
  <c r="DU21" i="4"/>
  <c r="DU20" i="4"/>
  <c r="DU19" i="4"/>
  <c r="DU18" i="4"/>
  <c r="DU17" i="4"/>
  <c r="DR3" i="4"/>
  <c r="K499" i="12"/>
  <c r="M499" i="12" s="1"/>
  <c r="K483" i="12"/>
  <c r="M483" i="12" s="1"/>
  <c r="CF51" i="8"/>
  <c r="K484" i="12"/>
  <c r="M484" i="12" s="1"/>
  <c r="BM51" i="8"/>
  <c r="CA51" i="8" s="1"/>
  <c r="K482" i="12"/>
  <c r="M482" i="12" s="1"/>
  <c r="AT51" i="8"/>
  <c r="BH51" i="8" s="1"/>
  <c r="K480" i="12"/>
  <c r="M480" i="12" s="1"/>
  <c r="AA51" i="8"/>
  <c r="AO51" i="8" s="1"/>
  <c r="K474" i="12"/>
  <c r="M474" i="12" s="1"/>
  <c r="K475" i="12"/>
  <c r="M475" i="12" s="1"/>
  <c r="K476" i="12"/>
  <c r="M476" i="12" s="1"/>
  <c r="K477" i="12"/>
  <c r="M477" i="12" s="1"/>
  <c r="K479" i="12"/>
  <c r="M479" i="12" s="1"/>
  <c r="K478" i="12"/>
  <c r="M478" i="12" s="1"/>
  <c r="K481" i="12"/>
  <c r="M481" i="12" s="1"/>
  <c r="K485" i="12"/>
  <c r="M485" i="12" s="1"/>
  <c r="K486" i="12"/>
  <c r="M486" i="12" s="1"/>
  <c r="K487" i="12"/>
  <c r="M487" i="12" s="1"/>
  <c r="K488" i="12"/>
  <c r="M488" i="12" s="1"/>
  <c r="K489" i="12"/>
  <c r="M489" i="12" s="1"/>
  <c r="K490" i="12"/>
  <c r="M490" i="12" s="1"/>
  <c r="K491" i="12"/>
  <c r="M491" i="12" s="1"/>
  <c r="AA57" i="5"/>
  <c r="T57" i="5" s="1"/>
  <c r="K492" i="12"/>
  <c r="M492" i="12" s="1"/>
  <c r="K493" i="12"/>
  <c r="M493" i="12" s="1"/>
  <c r="K494" i="12"/>
  <c r="M494" i="12" s="1"/>
  <c r="V51" i="8"/>
  <c r="V57" i="5"/>
  <c r="B315" i="3" a="1"/>
  <c r="B315" i="3" s="1"/>
  <c r="Q315" i="3"/>
  <c r="R315" i="3"/>
  <c r="S315" i="3"/>
  <c r="AX315" i="3"/>
  <c r="T315" i="3" s="1"/>
  <c r="K495" i="12"/>
  <c r="M495" i="12" s="1"/>
  <c r="K496" i="12"/>
  <c r="M496" i="12" s="1"/>
  <c r="K497" i="12"/>
  <c r="M497" i="12" s="1"/>
  <c r="K498" i="12"/>
  <c r="M498" i="12" s="1"/>
  <c r="K500" i="12"/>
  <c r="M500" i="12" s="1"/>
  <c r="K501" i="12"/>
  <c r="M501" i="12" s="1"/>
  <c r="K502" i="12"/>
  <c r="M502" i="12" s="1"/>
  <c r="K503" i="12"/>
  <c r="M503" i="12" s="1"/>
  <c r="K504" i="12"/>
  <c r="M504" i="12" s="1"/>
  <c r="K505" i="12"/>
  <c r="M505" i="12" s="1"/>
  <c r="CT121" i="4"/>
  <c r="K507" i="12"/>
  <c r="M507" i="12" s="1"/>
  <c r="BH121" i="4"/>
  <c r="K506" i="12"/>
  <c r="M506" i="12" s="1"/>
  <c r="AO121" i="4"/>
  <c r="K508" i="12"/>
  <c r="M508" i="12" s="1"/>
  <c r="K509" i="12"/>
  <c r="M509" i="12" s="1"/>
  <c r="K510" i="12"/>
  <c r="M510" i="12" s="1"/>
  <c r="K511" i="12"/>
  <c r="M511" i="12" s="1"/>
  <c r="K512" i="12"/>
  <c r="M512" i="12" s="1"/>
  <c r="K513" i="12"/>
  <c r="M513" i="12" s="1"/>
  <c r="K514" i="12"/>
  <c r="M514" i="12" s="1"/>
  <c r="K515" i="12"/>
  <c r="M515" i="12" s="1"/>
  <c r="K516" i="12"/>
  <c r="M516" i="12" s="1"/>
  <c r="K517" i="12"/>
  <c r="M517" i="12" s="1"/>
  <c r="K518" i="12"/>
  <c r="M518" i="12" s="1"/>
  <c r="K519" i="12"/>
  <c r="M519" i="12" s="1"/>
  <c r="K520" i="12"/>
  <c r="M520" i="12" s="1"/>
  <c r="K521" i="12"/>
  <c r="M521" i="12" s="1"/>
  <c r="K522" i="12"/>
  <c r="M522" i="12" s="1"/>
  <c r="K523" i="12"/>
  <c r="M523" i="12" s="1"/>
  <c r="K524" i="12"/>
  <c r="M524" i="12" s="1"/>
  <c r="K525" i="12"/>
  <c r="M525" i="12" s="1"/>
  <c r="K526" i="12"/>
  <c r="M526" i="12" s="1"/>
  <c r="K527" i="12"/>
  <c r="M527" i="12" s="1"/>
  <c r="K528" i="12"/>
  <c r="M528" i="12" s="1"/>
  <c r="K529" i="12"/>
  <c r="M529" i="12" s="1"/>
  <c r="K530" i="12"/>
  <c r="M530" i="12" s="1"/>
  <c r="K531" i="12"/>
  <c r="M531" i="12" s="1"/>
  <c r="K532" i="12"/>
  <c r="M532" i="12" s="1"/>
  <c r="K533" i="12"/>
  <c r="M533" i="12" s="1"/>
  <c r="K534" i="12"/>
  <c r="M534" i="12" s="1"/>
  <c r="K535" i="12"/>
  <c r="M535" i="12" s="1"/>
  <c r="K536" i="12"/>
  <c r="M536" i="12" s="1"/>
  <c r="K537" i="12"/>
  <c r="M537" i="12" s="1"/>
  <c r="K538" i="12"/>
  <c r="M538" i="12" s="1"/>
  <c r="K539" i="12"/>
  <c r="M539" i="12" s="1"/>
  <c r="K540" i="12"/>
  <c r="M540" i="12" s="1"/>
  <c r="K541" i="12"/>
  <c r="M541" i="12" s="1"/>
  <c r="K542" i="12"/>
  <c r="M542" i="12" s="1"/>
  <c r="K543" i="12"/>
  <c r="M543" i="12" s="1"/>
  <c r="K544" i="12"/>
  <c r="M544" i="12" s="1"/>
  <c r="K545" i="12"/>
  <c r="M545" i="12" s="1"/>
  <c r="K546" i="12"/>
  <c r="M546" i="12" s="1"/>
  <c r="K547" i="12"/>
  <c r="M547" i="12" s="1"/>
  <c r="K548" i="12"/>
  <c r="M548" i="12" s="1"/>
  <c r="K549" i="12"/>
  <c r="M549" i="12" s="1"/>
  <c r="K550" i="12"/>
  <c r="M550" i="12" s="1"/>
  <c r="K551" i="12"/>
  <c r="M551" i="12" s="1"/>
  <c r="K552" i="12"/>
  <c r="M552" i="12" s="1"/>
  <c r="K553" i="12"/>
  <c r="M553" i="12" s="1"/>
  <c r="K554" i="12"/>
  <c r="M554" i="12" s="1"/>
  <c r="K555" i="12"/>
  <c r="M555" i="12" s="1"/>
  <c r="K556" i="12"/>
  <c r="M556" i="12" s="1"/>
  <c r="K557" i="12"/>
  <c r="M557" i="12" s="1"/>
  <c r="K558" i="12"/>
  <c r="M558" i="12" s="1"/>
  <c r="K559" i="12"/>
  <c r="M559" i="12" s="1"/>
  <c r="K560" i="12"/>
  <c r="M560" i="12" s="1"/>
  <c r="K561" i="12"/>
  <c r="M561" i="12" s="1"/>
  <c r="K562" i="12"/>
  <c r="M562" i="12" s="1"/>
  <c r="K563" i="12"/>
  <c r="M563" i="12" s="1"/>
  <c r="K564" i="12"/>
  <c r="M564" i="12" s="1"/>
  <c r="K565" i="12"/>
  <c r="M565" i="12" s="1"/>
  <c r="K566" i="12"/>
  <c r="M566" i="12" s="1"/>
  <c r="K567" i="12"/>
  <c r="M567" i="12" s="1"/>
  <c r="K568" i="12"/>
  <c r="M568" i="12" s="1"/>
  <c r="K569" i="12"/>
  <c r="M569" i="12" s="1"/>
  <c r="K570" i="12"/>
  <c r="M570" i="12" s="1"/>
  <c r="K571" i="12"/>
  <c r="M571" i="12" s="1"/>
  <c r="K572" i="12"/>
  <c r="M572" i="12" s="1"/>
  <c r="K573" i="12"/>
  <c r="M573" i="12" s="1"/>
  <c r="K574" i="12"/>
  <c r="M574" i="12" s="1"/>
  <c r="K575" i="12"/>
  <c r="M575" i="12" s="1"/>
  <c r="K576" i="12"/>
  <c r="M576" i="12" s="1"/>
  <c r="K577" i="12"/>
  <c r="M577" i="12" s="1"/>
  <c r="K578" i="12"/>
  <c r="M578" i="12" s="1"/>
  <c r="K579" i="12"/>
  <c r="M579" i="12" s="1"/>
  <c r="K580" i="12"/>
  <c r="M580" i="12" s="1"/>
  <c r="K581" i="12"/>
  <c r="M581" i="12" s="1"/>
  <c r="K582" i="12"/>
  <c r="M582" i="12" s="1"/>
  <c r="K583" i="12"/>
  <c r="M583" i="12" s="1"/>
  <c r="K584" i="12"/>
  <c r="M584" i="12" s="1"/>
  <c r="K585" i="12"/>
  <c r="M585" i="12" s="1"/>
  <c r="K586" i="12"/>
  <c r="M586" i="12" s="1"/>
  <c r="K587" i="12"/>
  <c r="M587" i="12" s="1"/>
  <c r="K588" i="12"/>
  <c r="M588" i="12" s="1"/>
  <c r="K589" i="12"/>
  <c r="M589" i="12" s="1"/>
  <c r="K590" i="12"/>
  <c r="M590" i="12" s="1"/>
  <c r="K591" i="12"/>
  <c r="M591" i="12" s="1"/>
  <c r="K592" i="12"/>
  <c r="M592" i="12" s="1"/>
  <c r="K593" i="12"/>
  <c r="M593" i="12" s="1"/>
  <c r="K594" i="12"/>
  <c r="M594" i="12" s="1"/>
  <c r="K595" i="12"/>
  <c r="M595" i="12" s="1"/>
  <c r="K596" i="12"/>
  <c r="M596" i="12" s="1"/>
  <c r="K597" i="12"/>
  <c r="M597" i="12" s="1"/>
  <c r="K598" i="12"/>
  <c r="M598" i="12" s="1"/>
  <c r="K599" i="12"/>
  <c r="M599" i="12" s="1"/>
  <c r="K600" i="12"/>
  <c r="M600" i="12" s="1"/>
  <c r="K601" i="12"/>
  <c r="M601" i="12" s="1"/>
  <c r="K602" i="12"/>
  <c r="M602" i="12" s="1"/>
  <c r="K603" i="12"/>
  <c r="M603" i="12" s="1"/>
  <c r="K604" i="12"/>
  <c r="M604" i="12" s="1"/>
  <c r="K605" i="12"/>
  <c r="M605" i="12" s="1"/>
  <c r="K606" i="12"/>
  <c r="M606" i="12" s="1"/>
  <c r="K607" i="12"/>
  <c r="M607" i="12" s="1"/>
  <c r="K608" i="12"/>
  <c r="M608" i="12" s="1"/>
  <c r="K609" i="12"/>
  <c r="M609" i="12" s="1"/>
  <c r="K610" i="12"/>
  <c r="M610" i="12" s="1"/>
  <c r="K611" i="12"/>
  <c r="M611" i="12" s="1"/>
  <c r="K612" i="12"/>
  <c r="M612" i="12" s="1"/>
  <c r="K613" i="12"/>
  <c r="M613" i="12" s="1"/>
  <c r="K614" i="12"/>
  <c r="M614" i="12" s="1"/>
  <c r="K615" i="12"/>
  <c r="M615" i="12" s="1"/>
  <c r="K616" i="12"/>
  <c r="M616" i="12" s="1"/>
  <c r="K617" i="12"/>
  <c r="M617" i="12" s="1"/>
  <c r="K618" i="12"/>
  <c r="M618" i="12" s="1"/>
  <c r="K619" i="12"/>
  <c r="M619" i="12" s="1"/>
  <c r="K620" i="12"/>
  <c r="M620" i="12" s="1"/>
  <c r="K621" i="12"/>
  <c r="M621" i="12" s="1"/>
  <c r="K622" i="12"/>
  <c r="M622" i="12" s="1"/>
  <c r="K623" i="12"/>
  <c r="M623" i="12" s="1"/>
  <c r="K624" i="12"/>
  <c r="M624" i="12" s="1"/>
  <c r="K625" i="12"/>
  <c r="M625" i="12" s="1"/>
  <c r="K626" i="12"/>
  <c r="M626" i="12" s="1"/>
  <c r="K627" i="12"/>
  <c r="M627" i="12" s="1"/>
  <c r="K628" i="12"/>
  <c r="M628" i="12" s="1"/>
  <c r="K629" i="12"/>
  <c r="M629" i="12" s="1"/>
  <c r="K630" i="12"/>
  <c r="M630" i="12" s="1"/>
  <c r="K631" i="12"/>
  <c r="M631" i="12" s="1"/>
  <c r="K632" i="12"/>
  <c r="M632" i="12" s="1"/>
  <c r="K633" i="12"/>
  <c r="M633" i="12" s="1"/>
  <c r="K634" i="12"/>
  <c r="M634" i="12" s="1"/>
  <c r="K635" i="12"/>
  <c r="M635" i="12" s="1"/>
  <c r="K636" i="12"/>
  <c r="M636" i="12" s="1"/>
  <c r="K637" i="12"/>
  <c r="M637" i="12" s="1"/>
  <c r="K638" i="12"/>
  <c r="M638" i="12" s="1"/>
  <c r="K639" i="12"/>
  <c r="M639" i="12" s="1"/>
  <c r="K640" i="12"/>
  <c r="M640" i="12" s="1"/>
  <c r="K641" i="12"/>
  <c r="M641" i="12" s="1"/>
  <c r="K642" i="12"/>
  <c r="M642" i="12" s="1"/>
  <c r="K643" i="12"/>
  <c r="M643" i="12" s="1"/>
  <c r="K644" i="12"/>
  <c r="M644" i="12" s="1"/>
  <c r="K645" i="12"/>
  <c r="M645" i="12" s="1"/>
  <c r="K646" i="12"/>
  <c r="M646" i="12" s="1"/>
  <c r="K647" i="12"/>
  <c r="M647" i="12" s="1"/>
  <c r="K648" i="12"/>
  <c r="M648" i="12" s="1"/>
  <c r="K649" i="12"/>
  <c r="M649" i="12" s="1"/>
  <c r="K650" i="12"/>
  <c r="M650" i="12" s="1"/>
  <c r="K651" i="12"/>
  <c r="M651" i="12" s="1"/>
  <c r="K652" i="12"/>
  <c r="M652" i="12" s="1"/>
  <c r="K653" i="12"/>
  <c r="M653" i="12" s="1"/>
  <c r="K654" i="12"/>
  <c r="M654" i="12" s="1"/>
  <c r="K655" i="12"/>
  <c r="M655" i="12" s="1"/>
  <c r="K656" i="12"/>
  <c r="M656" i="12" s="1"/>
  <c r="K657" i="12"/>
  <c r="M657" i="12" s="1"/>
  <c r="K658" i="12"/>
  <c r="M658" i="12" s="1"/>
  <c r="K659" i="12"/>
  <c r="M659" i="12" s="1"/>
  <c r="K660" i="12"/>
  <c r="M660" i="12" s="1"/>
  <c r="K661" i="12"/>
  <c r="M661" i="12" s="1"/>
  <c r="K662" i="12"/>
  <c r="M662" i="12" s="1"/>
  <c r="K663" i="12"/>
  <c r="M663" i="12" s="1"/>
  <c r="K664" i="12"/>
  <c r="M664" i="12" s="1"/>
  <c r="K665" i="12"/>
  <c r="M665" i="12" s="1"/>
  <c r="K666" i="12"/>
  <c r="M666" i="12" s="1"/>
  <c r="K667" i="12"/>
  <c r="M667" i="12" s="1"/>
  <c r="K668" i="12"/>
  <c r="M668" i="12" s="1"/>
  <c r="K669" i="12"/>
  <c r="M669" i="12" s="1"/>
  <c r="K670" i="12"/>
  <c r="M670" i="12" s="1"/>
  <c r="K671" i="12"/>
  <c r="M671" i="12" s="1"/>
  <c r="K672" i="12"/>
  <c r="M672" i="12" s="1"/>
  <c r="K673" i="12"/>
  <c r="M673" i="12" s="1"/>
  <c r="K674" i="12"/>
  <c r="M674" i="12" s="1"/>
  <c r="K675" i="12"/>
  <c r="M675" i="12" s="1"/>
  <c r="K676" i="12"/>
  <c r="M676" i="12" s="1"/>
  <c r="K677" i="12"/>
  <c r="M677" i="12" s="1"/>
  <c r="K678" i="12"/>
  <c r="M678" i="12" s="1"/>
  <c r="K679" i="12"/>
  <c r="M679" i="12" s="1"/>
  <c r="K680" i="12"/>
  <c r="M680" i="12" s="1"/>
  <c r="K681" i="12"/>
  <c r="M681" i="12" s="1"/>
  <c r="K682" i="12"/>
  <c r="M682" i="12" s="1"/>
  <c r="K683" i="12"/>
  <c r="M683" i="12" s="1"/>
  <c r="K684" i="12"/>
  <c r="M684" i="12" s="1"/>
  <c r="K685" i="12"/>
  <c r="M685" i="12" s="1"/>
  <c r="K686" i="12"/>
  <c r="M686" i="12" s="1"/>
  <c r="K687" i="12"/>
  <c r="M687" i="12" s="1"/>
  <c r="K688" i="12"/>
  <c r="M688" i="12" s="1"/>
  <c r="K689" i="12"/>
  <c r="M689" i="12" s="1"/>
  <c r="K690" i="12"/>
  <c r="M690" i="12" s="1"/>
  <c r="K691" i="12"/>
  <c r="M691" i="12" s="1"/>
  <c r="K692" i="12"/>
  <c r="M692" i="12" s="1"/>
  <c r="K693" i="12"/>
  <c r="M693" i="12" s="1"/>
  <c r="K694" i="12"/>
  <c r="M694" i="12" s="1"/>
  <c r="K695" i="12"/>
  <c r="M695" i="12" s="1"/>
  <c r="K696" i="12"/>
  <c r="M696" i="12" s="1"/>
  <c r="K697" i="12"/>
  <c r="M697" i="12" s="1"/>
  <c r="K698" i="12"/>
  <c r="M698" i="12" s="1"/>
  <c r="K699" i="12"/>
  <c r="M699" i="12" s="1"/>
  <c r="K700" i="12"/>
  <c r="M700" i="12" s="1"/>
  <c r="K701" i="12"/>
  <c r="M701" i="12" s="1"/>
  <c r="K702" i="12"/>
  <c r="M702" i="12" s="1"/>
  <c r="K703" i="12"/>
  <c r="M703" i="12" s="1"/>
  <c r="K704" i="12"/>
  <c r="M704" i="12" s="1"/>
  <c r="K705" i="12"/>
  <c r="M705" i="12" s="1"/>
  <c r="K706" i="12"/>
  <c r="M706" i="12" s="1"/>
  <c r="K707" i="12"/>
  <c r="M707" i="12" s="1"/>
  <c r="K708" i="12"/>
  <c r="M708" i="12" s="1"/>
  <c r="K709" i="12"/>
  <c r="M709" i="12" s="1"/>
  <c r="K710" i="12"/>
  <c r="M710" i="12" s="1"/>
  <c r="K711" i="12"/>
  <c r="M711" i="12" s="1"/>
  <c r="K712" i="12"/>
  <c r="M712" i="12" s="1"/>
  <c r="K713" i="12"/>
  <c r="M713" i="12" s="1"/>
  <c r="K714" i="12"/>
  <c r="M714" i="12" s="1"/>
  <c r="K715" i="12"/>
  <c r="M715" i="12" s="1"/>
  <c r="K716" i="12"/>
  <c r="M716" i="12" s="1"/>
  <c r="K717" i="12"/>
  <c r="M717" i="12" s="1"/>
  <c r="K718" i="12"/>
  <c r="M718" i="12" s="1"/>
  <c r="K719" i="12"/>
  <c r="M719" i="12" s="1"/>
  <c r="K720" i="12"/>
  <c r="M720" i="12" s="1"/>
  <c r="K721" i="12"/>
  <c r="M721" i="12" s="1"/>
  <c r="K722" i="12"/>
  <c r="M722" i="12" s="1"/>
  <c r="K723" i="12"/>
  <c r="M723" i="12" s="1"/>
  <c r="K724" i="12"/>
  <c r="M724" i="12" s="1"/>
  <c r="K725" i="12"/>
  <c r="M725" i="12" s="1"/>
  <c r="K726" i="12"/>
  <c r="M726" i="12" s="1"/>
  <c r="K727" i="12"/>
  <c r="M727" i="12" s="1"/>
  <c r="K728" i="12"/>
  <c r="M728" i="12" s="1"/>
  <c r="K729" i="12"/>
  <c r="M729" i="12" s="1"/>
  <c r="K730" i="12"/>
  <c r="M730" i="12" s="1"/>
  <c r="K731" i="12"/>
  <c r="M731" i="12" s="1"/>
  <c r="K732" i="12"/>
  <c r="M732" i="12" s="1"/>
  <c r="K733" i="12"/>
  <c r="M733" i="12" s="1"/>
  <c r="K734" i="12"/>
  <c r="M734" i="12" s="1"/>
  <c r="K735" i="12"/>
  <c r="M735" i="12" s="1"/>
  <c r="K736" i="12"/>
  <c r="M736" i="12" s="1"/>
  <c r="K737" i="12"/>
  <c r="M737" i="12" s="1"/>
  <c r="K738" i="12"/>
  <c r="M738" i="12" s="1"/>
  <c r="K739" i="12"/>
  <c r="M739" i="12" s="1"/>
  <c r="K740" i="12"/>
  <c r="M740" i="12" s="1"/>
  <c r="K741" i="12"/>
  <c r="M741" i="12" s="1"/>
  <c r="K742" i="12"/>
  <c r="M742" i="12" s="1"/>
  <c r="K743" i="12"/>
  <c r="M743" i="12" s="1"/>
  <c r="K744" i="12"/>
  <c r="M744" i="12" s="1"/>
  <c r="K745" i="12"/>
  <c r="M745" i="12" s="1"/>
  <c r="K746" i="12"/>
  <c r="M746" i="12" s="1"/>
  <c r="K747" i="12"/>
  <c r="M747" i="12" s="1"/>
  <c r="K748" i="12"/>
  <c r="M748" i="12" s="1"/>
  <c r="K749" i="12"/>
  <c r="M749" i="12" s="1"/>
  <c r="K750" i="12"/>
  <c r="M750" i="12" s="1"/>
  <c r="K751" i="12"/>
  <c r="M751" i="12" s="1"/>
  <c r="K752" i="12"/>
  <c r="M752" i="12" s="1"/>
  <c r="K753" i="12"/>
  <c r="M753" i="12" s="1"/>
  <c r="K754" i="12"/>
  <c r="M754" i="12" s="1"/>
  <c r="K755" i="12"/>
  <c r="M755" i="12" s="1"/>
  <c r="K756" i="12"/>
  <c r="M756" i="12" s="1"/>
  <c r="K757" i="12"/>
  <c r="M757" i="12" s="1"/>
  <c r="K758" i="12"/>
  <c r="M758" i="12" s="1"/>
  <c r="K759" i="12"/>
  <c r="M759" i="12" s="1"/>
  <c r="K760" i="12"/>
  <c r="M760" i="12" s="1"/>
  <c r="K762" i="12"/>
  <c r="M762" i="12" s="1"/>
  <c r="K763" i="12"/>
  <c r="M763" i="12" s="1"/>
  <c r="K764" i="12"/>
  <c r="M764" i="12" s="1"/>
  <c r="K765" i="12"/>
  <c r="M765" i="12" s="1"/>
  <c r="K766" i="12"/>
  <c r="M766" i="12" s="1"/>
  <c r="K767" i="12"/>
  <c r="M767" i="12" s="1"/>
  <c r="K768" i="12"/>
  <c r="M768" i="12" s="1"/>
  <c r="K769" i="12"/>
  <c r="M769" i="12" s="1"/>
  <c r="K770" i="12"/>
  <c r="M770" i="12" s="1"/>
  <c r="K771" i="12"/>
  <c r="M771" i="12" s="1"/>
  <c r="K772" i="12"/>
  <c r="M772" i="12" s="1"/>
  <c r="K773" i="12"/>
  <c r="M773" i="12" s="1"/>
  <c r="K774" i="12"/>
  <c r="M774" i="12" s="1"/>
  <c r="K775" i="12"/>
  <c r="M775" i="12" s="1"/>
  <c r="K776" i="12"/>
  <c r="M776" i="12" s="1"/>
  <c r="K777" i="12"/>
  <c r="M777" i="12" s="1"/>
  <c r="K778" i="12"/>
  <c r="M778" i="12" s="1"/>
  <c r="K779" i="12"/>
  <c r="M779" i="12" s="1"/>
  <c r="K780" i="12"/>
  <c r="M780" i="12" s="1"/>
  <c r="K781" i="12"/>
  <c r="M781" i="12" s="1"/>
  <c r="K782" i="12"/>
  <c r="M782" i="12" s="1"/>
  <c r="K783" i="12"/>
  <c r="M783" i="12" s="1"/>
  <c r="K784" i="12"/>
  <c r="M784" i="12" s="1"/>
  <c r="K785" i="12"/>
  <c r="M785" i="12" s="1"/>
  <c r="K786" i="12"/>
  <c r="M786" i="12" s="1"/>
  <c r="K787" i="12"/>
  <c r="M787" i="12" s="1"/>
  <c r="K788" i="12"/>
  <c r="M788" i="12" s="1"/>
  <c r="K789" i="12"/>
  <c r="M789" i="12" s="1"/>
  <c r="K790" i="12"/>
  <c r="M790" i="12" s="1"/>
  <c r="K791" i="12"/>
  <c r="M791" i="12" s="1"/>
  <c r="K792" i="12"/>
  <c r="M792" i="12" s="1"/>
  <c r="K793" i="12"/>
  <c r="M793" i="12" s="1"/>
  <c r="K794" i="12"/>
  <c r="M794" i="12" s="1"/>
  <c r="K795" i="12"/>
  <c r="M795" i="12" s="1"/>
  <c r="K796" i="12"/>
  <c r="M796" i="12" s="1"/>
  <c r="K797" i="12"/>
  <c r="M797" i="12" s="1"/>
  <c r="K798" i="12"/>
  <c r="M798" i="12" s="1"/>
  <c r="K799" i="12"/>
  <c r="M799" i="12" s="1"/>
  <c r="K800" i="12"/>
  <c r="M800" i="12" s="1"/>
  <c r="K801" i="12"/>
  <c r="M801" i="12" s="1"/>
  <c r="K802" i="12"/>
  <c r="M802" i="12" s="1"/>
  <c r="K803" i="12"/>
  <c r="M803" i="12" s="1"/>
  <c r="K804" i="12"/>
  <c r="M804" i="12" s="1"/>
  <c r="K805" i="12"/>
  <c r="M805" i="12" s="1"/>
  <c r="K806" i="12"/>
  <c r="M806" i="12" s="1"/>
  <c r="K807" i="12"/>
  <c r="M807" i="12" s="1"/>
  <c r="K808" i="12"/>
  <c r="M808" i="12" s="1"/>
  <c r="K809" i="12"/>
  <c r="M809" i="12" s="1"/>
  <c r="K810" i="12"/>
  <c r="M810" i="12" s="1"/>
  <c r="K811" i="12"/>
  <c r="M811" i="12" s="1"/>
  <c r="K812" i="12"/>
  <c r="M812" i="12" s="1"/>
  <c r="K813" i="12"/>
  <c r="M813" i="12" s="1"/>
  <c r="K814" i="12"/>
  <c r="M814" i="12" s="1"/>
  <c r="K815" i="12"/>
  <c r="M815" i="12" s="1"/>
  <c r="K816" i="12"/>
  <c r="M816" i="12" s="1"/>
  <c r="K817" i="12"/>
  <c r="M817" i="12" s="1"/>
  <c r="K818" i="12"/>
  <c r="M818" i="12" s="1"/>
  <c r="K819" i="12"/>
  <c r="M819" i="12" s="1"/>
  <c r="K820" i="12"/>
  <c r="M820" i="12" s="1"/>
  <c r="K821" i="12"/>
  <c r="M821" i="12" s="1"/>
  <c r="K822" i="12"/>
  <c r="M822" i="12" s="1"/>
  <c r="K823" i="12"/>
  <c r="M823" i="12" s="1"/>
  <c r="K824" i="12"/>
  <c r="M824" i="12" s="1"/>
  <c r="K825" i="12"/>
  <c r="M825" i="12" s="1"/>
  <c r="K826" i="12"/>
  <c r="M826" i="12" s="1"/>
  <c r="K827" i="12"/>
  <c r="M827" i="12" s="1"/>
  <c r="K828" i="12"/>
  <c r="M828" i="12" s="1"/>
  <c r="K829" i="12"/>
  <c r="M829" i="12" s="1"/>
  <c r="K830" i="12"/>
  <c r="M830" i="12" s="1"/>
  <c r="K831" i="12"/>
  <c r="M831" i="12" s="1"/>
  <c r="K832" i="12"/>
  <c r="M832" i="12" s="1"/>
  <c r="K833" i="12"/>
  <c r="M833" i="12" s="1"/>
  <c r="K834" i="12"/>
  <c r="M834" i="12" s="1"/>
  <c r="K835" i="12"/>
  <c r="M835" i="12" s="1"/>
  <c r="K836" i="12"/>
  <c r="M836" i="12" s="1"/>
  <c r="K837" i="12"/>
  <c r="M837" i="12" s="1"/>
  <c r="K838" i="12"/>
  <c r="M838" i="12" s="1"/>
  <c r="K839" i="12"/>
  <c r="M839" i="12" s="1"/>
  <c r="K841" i="12"/>
  <c r="M841" i="12" s="1"/>
  <c r="K842" i="12"/>
  <c r="M842" i="12" s="1"/>
  <c r="K844" i="12"/>
  <c r="M844" i="12" s="1"/>
  <c r="K845" i="12"/>
  <c r="M845" i="12" s="1"/>
  <c r="K846" i="12"/>
  <c r="M846" i="12" s="1"/>
  <c r="K847" i="12"/>
  <c r="M847" i="12" s="1"/>
  <c r="K848" i="12"/>
  <c r="M848" i="12" s="1"/>
  <c r="K849" i="12"/>
  <c r="M849" i="12" s="1"/>
  <c r="K850" i="12"/>
  <c r="M850" i="12" s="1"/>
  <c r="K851" i="12"/>
  <c r="M851" i="12" s="1"/>
  <c r="K852" i="12"/>
  <c r="M852" i="12" s="1"/>
  <c r="K853" i="12"/>
  <c r="M853" i="12" s="1"/>
  <c r="K854" i="12"/>
  <c r="M854" i="12" s="1"/>
  <c r="K855" i="12"/>
  <c r="M855" i="12" s="1"/>
  <c r="K856" i="12"/>
  <c r="M856" i="12" s="1"/>
  <c r="K857" i="12"/>
  <c r="M857" i="12" s="1"/>
  <c r="K858" i="12"/>
  <c r="M858" i="12" s="1"/>
  <c r="K859" i="12"/>
  <c r="M859" i="12" s="1"/>
  <c r="K860" i="12"/>
  <c r="M860" i="12" s="1"/>
  <c r="K861" i="12"/>
  <c r="M861" i="12" s="1"/>
  <c r="K862" i="12"/>
  <c r="M862" i="12" s="1"/>
  <c r="K863" i="12"/>
  <c r="M863" i="12" s="1"/>
  <c r="K864" i="12"/>
  <c r="M864" i="12" s="1"/>
  <c r="K865" i="12"/>
  <c r="M865" i="12" s="1"/>
  <c r="K866" i="12"/>
  <c r="M866" i="12" s="1"/>
  <c r="K867" i="12"/>
  <c r="M867" i="12" s="1"/>
  <c r="K868" i="12"/>
  <c r="M868" i="12" s="1"/>
  <c r="K869" i="12"/>
  <c r="M869" i="12" s="1"/>
  <c r="K870" i="12"/>
  <c r="M870" i="12" s="1"/>
  <c r="K871" i="12"/>
  <c r="M871" i="12" s="1"/>
  <c r="K872" i="12"/>
  <c r="M872" i="12" s="1"/>
  <c r="K873" i="12"/>
  <c r="M873" i="12" s="1"/>
  <c r="K874" i="12"/>
  <c r="M874" i="12" s="1"/>
  <c r="K875" i="12"/>
  <c r="M875" i="12" s="1"/>
  <c r="K876" i="12"/>
  <c r="M876" i="12" s="1"/>
  <c r="K877" i="12"/>
  <c r="M877" i="12" s="1"/>
  <c r="K878" i="12"/>
  <c r="M878" i="12" s="1"/>
  <c r="K879" i="12"/>
  <c r="K880" i="12"/>
  <c r="M880" i="12" s="1"/>
  <c r="K881" i="12"/>
  <c r="M881" i="12" s="1"/>
  <c r="K882" i="12"/>
  <c r="M882" i="12" s="1"/>
  <c r="K883" i="12"/>
  <c r="M883" i="12" s="1"/>
  <c r="K884" i="12"/>
  <c r="M884" i="12" s="1"/>
  <c r="K885" i="12"/>
  <c r="M885" i="12" s="1"/>
  <c r="K886" i="12"/>
  <c r="M886" i="12" s="1"/>
  <c r="K887" i="12"/>
  <c r="M887" i="12" s="1"/>
  <c r="K888" i="12"/>
  <c r="M888" i="12" s="1"/>
  <c r="K889" i="12"/>
  <c r="M889" i="12" s="1"/>
  <c r="K890" i="12"/>
  <c r="M890" i="12" s="1"/>
  <c r="K891" i="12"/>
  <c r="M891" i="12" s="1"/>
  <c r="K892" i="12"/>
  <c r="M892" i="12" s="1"/>
  <c r="K893" i="12"/>
  <c r="M893" i="12" s="1"/>
  <c r="K894" i="12"/>
  <c r="M894" i="12" s="1"/>
  <c r="K895" i="12"/>
  <c r="M895" i="12" s="1"/>
  <c r="K896" i="12"/>
  <c r="M896" i="12" s="1"/>
  <c r="K897" i="12"/>
  <c r="M897" i="12" s="1"/>
  <c r="K898" i="12"/>
  <c r="M898" i="12" s="1"/>
  <c r="K899" i="12"/>
  <c r="M899" i="12" s="1"/>
  <c r="K900" i="12"/>
  <c r="M900" i="12" s="1"/>
  <c r="K901" i="12"/>
  <c r="M901" i="12" s="1"/>
  <c r="K902" i="12"/>
  <c r="M902" i="12" s="1"/>
  <c r="K903" i="12"/>
  <c r="M903" i="12" s="1"/>
  <c r="K904" i="12"/>
  <c r="M904" i="12" s="1"/>
  <c r="K905" i="12"/>
  <c r="M905" i="12" s="1"/>
  <c r="K906" i="12"/>
  <c r="M906" i="12" s="1"/>
  <c r="K907" i="12"/>
  <c r="M907" i="12" s="1"/>
  <c r="K908" i="12"/>
  <c r="M908" i="12" s="1"/>
  <c r="K909" i="12"/>
  <c r="M909" i="12" s="1"/>
  <c r="K910" i="12"/>
  <c r="M910" i="12" s="1"/>
  <c r="K911" i="12"/>
  <c r="M911" i="12" s="1"/>
  <c r="K912" i="12"/>
  <c r="M912" i="12" s="1"/>
  <c r="K913" i="12"/>
  <c r="M913" i="12" s="1"/>
  <c r="K914" i="12"/>
  <c r="M914" i="12" s="1"/>
  <c r="K915" i="12"/>
  <c r="M915" i="12" s="1"/>
  <c r="K916" i="12"/>
  <c r="M916" i="12" s="1"/>
  <c r="K917" i="12"/>
  <c r="M917" i="12" s="1"/>
  <c r="K918" i="12"/>
  <c r="M918" i="12" s="1"/>
  <c r="K919" i="12"/>
  <c r="M919" i="12" s="1"/>
  <c r="K920" i="12"/>
  <c r="M920" i="12" s="1"/>
  <c r="K921" i="12"/>
  <c r="M921" i="12" s="1"/>
  <c r="K922" i="12"/>
  <c r="M922" i="12" s="1"/>
  <c r="K923" i="12"/>
  <c r="M923" i="12" s="1"/>
  <c r="K924" i="12"/>
  <c r="M924" i="12" s="1"/>
  <c r="K925" i="12"/>
  <c r="M925" i="12" s="1"/>
  <c r="K926" i="12"/>
  <c r="M926" i="12" s="1"/>
  <c r="K927" i="12"/>
  <c r="M927" i="12" s="1"/>
  <c r="K928" i="12"/>
  <c r="M928" i="12" s="1"/>
  <c r="K929" i="12"/>
  <c r="M929" i="12" s="1"/>
  <c r="K930" i="12"/>
  <c r="M930" i="12" s="1"/>
  <c r="K931" i="12"/>
  <c r="M931" i="12" s="1"/>
  <c r="K932" i="12"/>
  <c r="M932" i="12" s="1"/>
  <c r="K933" i="12"/>
  <c r="M933" i="12" s="1"/>
  <c r="K934" i="12"/>
  <c r="M934" i="12" s="1"/>
  <c r="K935" i="12"/>
  <c r="M935" i="12" s="1"/>
  <c r="K936" i="12"/>
  <c r="M936" i="12" s="1"/>
  <c r="K937" i="12"/>
  <c r="M937" i="12" s="1"/>
  <c r="K938" i="12"/>
  <c r="M938" i="12" s="1"/>
  <c r="K939" i="12"/>
  <c r="M939" i="12" s="1"/>
  <c r="K940" i="12"/>
  <c r="M940" i="12" s="1"/>
  <c r="K941" i="12"/>
  <c r="M941" i="12" s="1"/>
  <c r="K942" i="12"/>
  <c r="M942" i="12" s="1"/>
  <c r="K943" i="12"/>
  <c r="M943" i="12" s="1"/>
  <c r="K944" i="12"/>
  <c r="M944" i="12" s="1"/>
  <c r="K945" i="12"/>
  <c r="M945" i="12" s="1"/>
  <c r="K946" i="12"/>
  <c r="M946" i="12" s="1"/>
  <c r="K947" i="12"/>
  <c r="M947" i="12" s="1"/>
  <c r="K948" i="12"/>
  <c r="M948" i="12" s="1"/>
  <c r="K949" i="12"/>
  <c r="M949" i="12" s="1"/>
  <c r="K950" i="12"/>
  <c r="M950" i="12" s="1"/>
  <c r="K951" i="12"/>
  <c r="M951" i="12" s="1"/>
  <c r="K952" i="12"/>
  <c r="M952" i="12" s="1"/>
  <c r="K953" i="12"/>
  <c r="M953" i="12" s="1"/>
  <c r="K954" i="12"/>
  <c r="M954" i="12" s="1"/>
  <c r="K955" i="12"/>
  <c r="M955" i="12" s="1"/>
  <c r="K956" i="12"/>
  <c r="M956" i="12" s="1"/>
  <c r="K957" i="12"/>
  <c r="M957" i="12" s="1"/>
  <c r="K958" i="12"/>
  <c r="M958" i="12" s="1"/>
  <c r="K959" i="12"/>
  <c r="M959" i="12" s="1"/>
  <c r="K960" i="12"/>
  <c r="M960" i="12" s="1"/>
  <c r="K961" i="12"/>
  <c r="M961" i="12" s="1"/>
  <c r="K962" i="12"/>
  <c r="M962" i="12" s="1"/>
  <c r="K963" i="12"/>
  <c r="M963" i="12" s="1"/>
  <c r="K964" i="12"/>
  <c r="M964" i="12" s="1"/>
  <c r="K965" i="12"/>
  <c r="M965" i="12" s="1"/>
  <c r="K966" i="12"/>
  <c r="M966" i="12" s="1"/>
  <c r="K967" i="12"/>
  <c r="M967" i="12" s="1"/>
  <c r="K968" i="12"/>
  <c r="M968" i="12" s="1"/>
  <c r="K969" i="12"/>
  <c r="M969" i="12" s="1"/>
  <c r="K970" i="12"/>
  <c r="M970" i="12" s="1"/>
  <c r="K971" i="12"/>
  <c r="M971" i="12" s="1"/>
  <c r="K972" i="12"/>
  <c r="M972" i="12" s="1"/>
  <c r="K973" i="12"/>
  <c r="M973" i="12" s="1"/>
  <c r="K974" i="12"/>
  <c r="M974" i="12" s="1"/>
  <c r="K975" i="12"/>
  <c r="M975" i="12" s="1"/>
  <c r="K976" i="12"/>
  <c r="M976" i="12" s="1"/>
  <c r="K977" i="12"/>
  <c r="M977" i="12" s="1"/>
  <c r="K978" i="12"/>
  <c r="M978" i="12" s="1"/>
  <c r="K979" i="12"/>
  <c r="M979" i="12" s="1"/>
  <c r="K980" i="12"/>
  <c r="M980" i="12" s="1"/>
  <c r="K981" i="12"/>
  <c r="M981" i="12" s="1"/>
  <c r="K982" i="12"/>
  <c r="M982" i="12" s="1"/>
  <c r="K983" i="12"/>
  <c r="M983" i="12" s="1"/>
  <c r="K984" i="12"/>
  <c r="M984" i="12" s="1"/>
  <c r="K985" i="12"/>
  <c r="M985" i="12" s="1"/>
  <c r="K986" i="12"/>
  <c r="M986" i="12" s="1"/>
  <c r="K987" i="12"/>
  <c r="M987" i="12" s="1"/>
  <c r="K988" i="12"/>
  <c r="M988" i="12" s="1"/>
  <c r="K989" i="12"/>
  <c r="M989" i="12" s="1"/>
  <c r="K990" i="12"/>
  <c r="M990" i="12" s="1"/>
  <c r="K991" i="12"/>
  <c r="M991" i="12" s="1"/>
  <c r="K992" i="12"/>
  <c r="M992" i="12" s="1"/>
  <c r="K993" i="12"/>
  <c r="M993" i="12" s="1"/>
  <c r="K994" i="12"/>
  <c r="M994" i="12" s="1"/>
  <c r="K995" i="12"/>
  <c r="M995" i="12" s="1"/>
  <c r="K996" i="12"/>
  <c r="M996" i="12" s="1"/>
  <c r="K997" i="12"/>
  <c r="M997" i="12" s="1"/>
  <c r="K998" i="12"/>
  <c r="M998" i="12" s="1"/>
  <c r="K999" i="12"/>
  <c r="M999" i="12" s="1"/>
  <c r="K1000" i="12"/>
  <c r="M1000" i="12" s="1"/>
  <c r="K1001" i="12"/>
  <c r="M1001" i="12" s="1"/>
  <c r="K1002" i="12"/>
  <c r="M1002" i="12" s="1"/>
  <c r="K1003" i="12"/>
  <c r="M1003" i="12" s="1"/>
  <c r="K1004" i="12"/>
  <c r="M1004" i="12" s="1"/>
  <c r="K1005" i="12"/>
  <c r="M1005" i="12" s="1"/>
  <c r="K1006" i="12"/>
  <c r="M1006" i="12" s="1"/>
  <c r="K1007" i="12"/>
  <c r="M1007" i="12" s="1"/>
  <c r="K1008" i="12"/>
  <c r="M1008" i="12" s="1"/>
  <c r="K1009" i="12"/>
  <c r="M1009" i="12" s="1"/>
  <c r="K1010" i="12"/>
  <c r="M1010" i="12" s="1"/>
  <c r="K1011" i="12"/>
  <c r="M1011" i="12" s="1"/>
  <c r="K1012" i="12"/>
  <c r="M1012" i="12" s="1"/>
  <c r="K1013" i="12"/>
  <c r="M1013" i="12" s="1"/>
  <c r="K1014" i="12"/>
  <c r="M1014" i="12" s="1"/>
  <c r="K1015" i="12"/>
  <c r="M1015" i="12" s="1"/>
  <c r="K1016" i="12"/>
  <c r="M1016" i="12" s="1"/>
  <c r="K1017" i="12"/>
  <c r="M1017" i="12" s="1"/>
  <c r="K1018" i="12"/>
  <c r="M1018" i="12" s="1"/>
  <c r="K1019" i="12"/>
  <c r="M1019" i="12" s="1"/>
  <c r="K1020" i="12"/>
  <c r="M1020" i="12" s="1"/>
  <c r="K1021" i="12"/>
  <c r="M1021" i="12" s="1"/>
  <c r="K1022" i="12"/>
  <c r="M1022" i="12" s="1"/>
  <c r="K1023" i="12"/>
  <c r="M1023" i="12" s="1"/>
  <c r="K1024" i="12"/>
  <c r="M1024" i="12" s="1"/>
  <c r="K1025" i="12"/>
  <c r="M1025" i="12" s="1"/>
  <c r="K1026" i="12"/>
  <c r="M1026" i="12" s="1"/>
  <c r="K1027" i="12"/>
  <c r="M1027" i="12" s="1"/>
  <c r="K1028" i="12"/>
  <c r="M1028" i="12" s="1"/>
  <c r="K1029" i="12"/>
  <c r="M1029" i="12" s="1"/>
  <c r="K1030" i="12"/>
  <c r="M1030" i="12" s="1"/>
  <c r="K1031" i="12"/>
  <c r="M1031" i="12" s="1"/>
  <c r="K1032" i="12"/>
  <c r="M1032" i="12" s="1"/>
  <c r="K1033" i="12"/>
  <c r="M1033" i="12" s="1"/>
  <c r="K1034" i="12"/>
  <c r="M1034" i="12" s="1"/>
  <c r="K1035" i="12"/>
  <c r="M1035" i="12" s="1"/>
  <c r="K1036" i="12"/>
  <c r="M1036" i="12" s="1"/>
  <c r="K1037" i="12"/>
  <c r="M1037" i="12" s="1"/>
  <c r="K1038" i="12"/>
  <c r="M1038" i="12" s="1"/>
  <c r="K1039" i="12"/>
  <c r="M1039" i="12" s="1"/>
  <c r="K1040" i="12"/>
  <c r="M1040" i="12" s="1"/>
  <c r="K1041" i="12"/>
  <c r="M1041" i="12" s="1"/>
  <c r="K1042" i="12"/>
  <c r="M1042" i="12" s="1"/>
  <c r="K1043" i="12"/>
  <c r="M1043" i="12" s="1"/>
  <c r="K1044" i="12"/>
  <c r="M1044" i="12" s="1"/>
  <c r="K1045" i="12"/>
  <c r="M1045" i="12" s="1"/>
  <c r="K1046" i="12"/>
  <c r="M1046" i="12" s="1"/>
  <c r="K1047" i="12"/>
  <c r="M1047" i="12" s="1"/>
  <c r="K1048" i="12"/>
  <c r="M1048" i="12" s="1"/>
  <c r="K1049" i="12"/>
  <c r="M1049" i="12" s="1"/>
  <c r="K1050" i="12"/>
  <c r="M1050" i="12" s="1"/>
  <c r="K1051" i="12"/>
  <c r="M1051" i="12" s="1"/>
  <c r="K1052" i="12"/>
  <c r="M1052" i="12" s="1"/>
  <c r="K1053" i="12"/>
  <c r="M1053" i="12" s="1"/>
  <c r="K1054" i="12"/>
  <c r="M1054" i="12" s="1"/>
  <c r="K1055" i="12"/>
  <c r="M1055" i="12" s="1"/>
  <c r="K1056" i="12"/>
  <c r="M1056" i="12" s="1"/>
  <c r="K1057" i="12"/>
  <c r="M1057" i="12" s="1"/>
  <c r="K1058" i="12"/>
  <c r="M1058" i="12" s="1"/>
  <c r="K1059" i="12"/>
  <c r="M1059" i="12" s="1"/>
  <c r="K1060" i="12"/>
  <c r="M1060" i="12" s="1"/>
  <c r="K1061" i="12"/>
  <c r="M1061" i="12" s="1"/>
  <c r="K1062" i="12"/>
  <c r="M1062" i="12" s="1"/>
  <c r="K1063" i="12"/>
  <c r="M1063" i="12" s="1"/>
  <c r="K1064" i="12"/>
  <c r="M1064" i="12" s="1"/>
  <c r="K1065" i="12"/>
  <c r="M1065" i="12" s="1"/>
  <c r="K1066" i="12"/>
  <c r="M1066" i="12" s="1"/>
  <c r="K1067" i="12"/>
  <c r="M1067" i="12" s="1"/>
  <c r="K1068" i="12"/>
  <c r="M1068" i="12" s="1"/>
  <c r="K1069" i="12"/>
  <c r="M1069" i="12" s="1"/>
  <c r="K1070" i="12"/>
  <c r="M1070" i="12" s="1"/>
  <c r="K1071" i="12"/>
  <c r="M1071" i="12" s="1"/>
  <c r="K1072" i="12"/>
  <c r="M1072" i="12" s="1"/>
  <c r="K1073" i="12"/>
  <c r="M1073" i="12" s="1"/>
  <c r="K1074" i="12"/>
  <c r="M1074" i="12" s="1"/>
  <c r="K1075" i="12"/>
  <c r="M1075" i="12" s="1"/>
  <c r="K1076" i="12"/>
  <c r="M1076" i="12" s="1"/>
  <c r="K1077" i="12"/>
  <c r="M1077" i="12" s="1"/>
  <c r="K1078" i="12"/>
  <c r="M1078" i="12" s="1"/>
  <c r="K1079" i="12"/>
  <c r="M1079" i="12" s="1"/>
  <c r="K1080" i="12"/>
  <c r="M1080" i="12" s="1"/>
  <c r="K1081" i="12"/>
  <c r="M1081" i="12" s="1"/>
  <c r="K1082" i="12"/>
  <c r="M1082" i="12" s="1"/>
  <c r="K1083" i="12"/>
  <c r="M1083" i="12" s="1"/>
  <c r="K1084" i="12"/>
  <c r="M1084" i="12" s="1"/>
  <c r="K1085" i="12"/>
  <c r="M1085" i="12" s="1"/>
  <c r="K1086" i="12"/>
  <c r="M1086" i="12" s="1"/>
  <c r="K1087" i="12"/>
  <c r="M1087" i="12" s="1"/>
  <c r="K1088" i="12"/>
  <c r="M1088" i="12" s="1"/>
  <c r="K1089" i="12"/>
  <c r="M1089" i="12" s="1"/>
  <c r="K1090" i="12"/>
  <c r="M1090" i="12" s="1"/>
  <c r="K1091" i="12"/>
  <c r="M1091" i="12" s="1"/>
  <c r="K1092" i="12"/>
  <c r="M1092" i="12" s="1"/>
  <c r="K1093" i="12"/>
  <c r="M1093" i="12" s="1"/>
  <c r="K1094" i="12"/>
  <c r="M1094" i="12" s="1"/>
  <c r="K1095" i="12"/>
  <c r="M1095" i="12" s="1"/>
  <c r="K1096" i="12"/>
  <c r="M1096" i="12" s="1"/>
  <c r="K1097" i="12"/>
  <c r="M1097" i="12" s="1"/>
  <c r="K1098" i="12"/>
  <c r="M1098" i="12" s="1"/>
  <c r="K1099" i="12"/>
  <c r="M1099" i="12" s="1"/>
  <c r="K1100" i="12"/>
  <c r="M1100" i="12" s="1"/>
  <c r="K1101" i="12"/>
  <c r="M1101" i="12" s="1"/>
  <c r="K1102" i="12"/>
  <c r="M1102" i="12" s="1"/>
  <c r="K1103" i="12"/>
  <c r="M1103" i="12" s="1"/>
  <c r="K1104" i="12"/>
  <c r="M1104" i="12" s="1"/>
  <c r="K1105" i="12"/>
  <c r="M1105" i="12" s="1"/>
  <c r="K1106" i="12"/>
  <c r="M1106" i="12" s="1"/>
  <c r="K1107" i="12"/>
  <c r="M1107" i="12" s="1"/>
  <c r="K1108" i="12"/>
  <c r="M1108" i="12" s="1"/>
  <c r="K1109" i="12"/>
  <c r="M1109" i="12" s="1"/>
  <c r="K1110" i="12"/>
  <c r="M1110" i="12" s="1"/>
  <c r="K1111" i="12"/>
  <c r="M1111" i="12" s="1"/>
  <c r="K1112" i="12"/>
  <c r="M1112" i="12" s="1"/>
  <c r="K1113" i="12"/>
  <c r="M1113" i="12" s="1"/>
  <c r="K1114" i="12"/>
  <c r="M1114" i="12" s="1"/>
  <c r="K1115" i="12"/>
  <c r="M1115" i="12" s="1"/>
  <c r="K1116" i="12"/>
  <c r="M1116" i="12" s="1"/>
  <c r="K1117" i="12"/>
  <c r="M1117" i="12" s="1"/>
  <c r="K1118" i="12"/>
  <c r="M1118" i="12" s="1"/>
  <c r="K1119" i="12"/>
  <c r="M1119" i="12" s="1"/>
  <c r="K1120" i="12"/>
  <c r="M1120" i="12" s="1"/>
  <c r="K1121" i="12"/>
  <c r="M1121" i="12" s="1"/>
  <c r="K1122" i="12"/>
  <c r="M1122" i="12" s="1"/>
  <c r="K1123" i="12"/>
  <c r="M1123" i="12" s="1"/>
  <c r="K1124" i="12"/>
  <c r="M1124" i="12" s="1"/>
  <c r="K1125" i="12"/>
  <c r="M1125" i="12" s="1"/>
  <c r="K1126" i="12"/>
  <c r="M1126" i="12" s="1"/>
  <c r="K1127" i="12"/>
  <c r="M1127" i="12" s="1"/>
  <c r="K1128" i="12"/>
  <c r="M1128" i="12" s="1"/>
  <c r="K1129" i="12"/>
  <c r="M1129" i="12" s="1"/>
  <c r="K1130" i="12"/>
  <c r="M1130" i="12" s="1"/>
  <c r="K1131" i="12"/>
  <c r="M1131" i="12" s="1"/>
  <c r="K1132" i="12"/>
  <c r="M1132" i="12" s="1"/>
  <c r="K1133" i="12"/>
  <c r="M1133" i="12" s="1"/>
  <c r="K1134" i="12"/>
  <c r="M1134" i="12" s="1"/>
  <c r="K1135" i="12"/>
  <c r="M1135" i="12" s="1"/>
  <c r="K1136" i="12"/>
  <c r="M1136" i="12" s="1"/>
  <c r="K1137" i="12"/>
  <c r="M1137" i="12" s="1"/>
  <c r="K1138" i="12"/>
  <c r="M1138" i="12" s="1"/>
  <c r="K1139" i="12"/>
  <c r="M1139" i="12" s="1"/>
  <c r="K1140" i="12"/>
  <c r="M1140" i="12" s="1"/>
  <c r="K1141" i="12"/>
  <c r="M1141" i="12" s="1"/>
  <c r="K1142" i="12"/>
  <c r="M1142" i="12" s="1"/>
  <c r="K1143" i="12"/>
  <c r="M1143" i="12" s="1"/>
  <c r="K1144" i="12"/>
  <c r="M1144" i="12" s="1"/>
  <c r="K1145" i="12"/>
  <c r="M1145" i="12" s="1"/>
  <c r="K1146" i="12"/>
  <c r="M1146" i="12" s="1"/>
  <c r="K1147" i="12"/>
  <c r="M1147" i="12" s="1"/>
  <c r="K1148" i="12"/>
  <c r="M1148" i="12" s="1"/>
  <c r="K1149" i="12"/>
  <c r="M1149" i="12" s="1"/>
  <c r="K1150" i="12"/>
  <c r="M1150" i="12" s="1"/>
  <c r="K1151" i="12"/>
  <c r="M1151" i="12" s="1"/>
  <c r="K1152" i="12"/>
  <c r="M1152" i="12" s="1"/>
  <c r="K1153" i="12"/>
  <c r="M1153" i="12" s="1"/>
  <c r="K1154" i="12"/>
  <c r="M1154" i="12" s="1"/>
  <c r="K1155" i="12"/>
  <c r="M1155" i="12" s="1"/>
  <c r="K1156" i="12"/>
  <c r="M1156" i="12" s="1"/>
  <c r="K1157" i="12"/>
  <c r="M1157" i="12" s="1"/>
  <c r="K1158" i="12"/>
  <c r="M1158" i="12" s="1"/>
  <c r="K1159" i="12"/>
  <c r="M1159" i="12" s="1"/>
  <c r="K1160" i="12"/>
  <c r="M1160" i="12" s="1"/>
  <c r="K1161" i="12"/>
  <c r="M1161" i="12" s="1"/>
  <c r="K1162" i="12"/>
  <c r="M1162" i="12" s="1"/>
  <c r="K1163" i="12"/>
  <c r="M1163" i="12" s="1"/>
  <c r="K1164" i="12"/>
  <c r="M1164" i="12" s="1"/>
  <c r="K1165" i="12"/>
  <c r="M1165" i="12" s="1"/>
  <c r="K1166" i="12"/>
  <c r="M1166" i="12" s="1"/>
  <c r="K1167" i="12"/>
  <c r="M1167" i="12" s="1"/>
  <c r="K1168" i="12"/>
  <c r="M1168" i="12" s="1"/>
  <c r="K1169" i="12"/>
  <c r="M1169" i="12" s="1"/>
  <c r="K1170" i="12"/>
  <c r="M1170" i="12" s="1"/>
  <c r="K1171" i="12"/>
  <c r="M1171" i="12" s="1"/>
  <c r="K1172" i="12"/>
  <c r="M1172" i="12" s="1"/>
  <c r="K1173" i="12"/>
  <c r="M1173" i="12" s="1"/>
  <c r="K1174" i="12"/>
  <c r="M1174" i="12" s="1"/>
  <c r="K1175" i="12"/>
  <c r="M1175" i="12" s="1"/>
  <c r="K1176" i="12"/>
  <c r="M1176" i="12" s="1"/>
  <c r="K1177" i="12"/>
  <c r="M1177" i="12" s="1"/>
  <c r="K1178" i="12"/>
  <c r="M1178" i="12" s="1"/>
  <c r="K1179" i="12"/>
  <c r="M1179" i="12" s="1"/>
  <c r="K1180" i="12"/>
  <c r="M1180" i="12" s="1"/>
  <c r="K1181" i="12"/>
  <c r="M1181" i="12" s="1"/>
  <c r="K1182" i="12"/>
  <c r="M1182" i="12" s="1"/>
  <c r="K1183" i="12"/>
  <c r="M1183" i="12" s="1"/>
  <c r="K1184" i="12"/>
  <c r="M1184" i="12" s="1"/>
  <c r="K1185" i="12"/>
  <c r="M1185" i="12" s="1"/>
  <c r="K1186" i="12"/>
  <c r="M1186" i="12" s="1"/>
  <c r="K1187" i="12"/>
  <c r="M1187" i="12" s="1"/>
  <c r="K1188" i="12"/>
  <c r="M1188" i="12" s="1"/>
  <c r="K1189" i="12"/>
  <c r="M1189" i="12" s="1"/>
  <c r="K1190" i="12"/>
  <c r="M1190" i="12" s="1"/>
  <c r="K1191" i="12"/>
  <c r="M1191" i="12" s="1"/>
  <c r="K1192" i="12"/>
  <c r="M1192" i="12" s="1"/>
  <c r="K1193" i="12"/>
  <c r="M1193" i="12" s="1"/>
  <c r="K1194" i="12"/>
  <c r="M1194" i="12" s="1"/>
  <c r="K1195" i="12"/>
  <c r="M1195" i="12" s="1"/>
  <c r="K1196" i="12"/>
  <c r="M1196" i="12" s="1"/>
  <c r="K1197" i="12"/>
  <c r="M1197" i="12" s="1"/>
  <c r="K1198" i="12"/>
  <c r="M1198" i="12" s="1"/>
  <c r="K1199" i="12"/>
  <c r="M1199" i="12" s="1"/>
  <c r="K1200" i="12"/>
  <c r="M1200" i="12" s="1"/>
  <c r="K1201" i="12"/>
  <c r="M1201" i="12" s="1"/>
  <c r="K1202" i="12"/>
  <c r="M1202" i="12" s="1"/>
  <c r="K1203" i="12"/>
  <c r="M1203" i="12" s="1"/>
  <c r="K1204" i="12"/>
  <c r="M1204" i="12" s="1"/>
  <c r="K1205" i="12"/>
  <c r="M1205" i="12" s="1"/>
  <c r="K1206" i="12"/>
  <c r="M1206" i="12" s="1"/>
  <c r="K1207" i="12"/>
  <c r="M1207" i="12" s="1"/>
  <c r="K1208" i="12"/>
  <c r="M1208" i="12" s="1"/>
  <c r="K1209" i="12"/>
  <c r="M1209" i="12" s="1"/>
  <c r="K1210" i="12"/>
  <c r="M1210" i="12" s="1"/>
  <c r="K1211" i="12"/>
  <c r="M1211" i="12" s="1"/>
  <c r="K1212" i="12"/>
  <c r="M1212" i="12" s="1"/>
  <c r="K1213" i="12"/>
  <c r="M1213" i="12" s="1"/>
  <c r="K1214" i="12"/>
  <c r="M1214" i="12" s="1"/>
  <c r="K1215" i="12"/>
  <c r="M1215" i="12" s="1"/>
  <c r="K1216" i="12"/>
  <c r="M1216" i="12" s="1"/>
  <c r="K1217" i="12"/>
  <c r="M1217" i="12" s="1"/>
  <c r="K1218" i="12"/>
  <c r="M1218" i="12" s="1"/>
  <c r="K1219" i="12"/>
  <c r="M1219" i="12" s="1"/>
  <c r="K1220" i="12"/>
  <c r="M1220" i="12" s="1"/>
  <c r="K1221" i="12"/>
  <c r="M1221" i="12" s="1"/>
  <c r="K1222" i="12"/>
  <c r="M1222" i="12" s="1"/>
  <c r="K1223" i="12"/>
  <c r="M1223" i="12" s="1"/>
  <c r="K1224" i="12"/>
  <c r="M1224" i="12" s="1"/>
  <c r="K1225" i="12"/>
  <c r="M1225" i="12" s="1"/>
  <c r="K1226" i="12"/>
  <c r="M1226" i="12" s="1"/>
  <c r="K1227" i="12"/>
  <c r="M1227" i="12" s="1"/>
  <c r="K1228" i="12"/>
  <c r="M1228" i="12" s="1"/>
  <c r="K1229" i="12"/>
  <c r="M1229" i="12" s="1"/>
  <c r="K1230" i="12"/>
  <c r="M1230" i="12" s="1"/>
  <c r="K1231" i="12"/>
  <c r="M1231" i="12" s="1"/>
  <c r="K1232" i="12"/>
  <c r="M1232" i="12" s="1"/>
  <c r="K1233" i="12"/>
  <c r="M1233" i="12" s="1"/>
  <c r="K1234" i="12"/>
  <c r="M1234" i="12" s="1"/>
  <c r="K1235" i="12"/>
  <c r="M1235" i="12" s="1"/>
  <c r="K1236" i="12"/>
  <c r="M1236" i="12" s="1"/>
  <c r="K1237" i="12"/>
  <c r="M1237" i="12" s="1"/>
  <c r="K1238" i="12"/>
  <c r="M1238" i="12" s="1"/>
  <c r="K1239" i="12"/>
  <c r="M1239" i="12" s="1"/>
  <c r="K1240" i="12"/>
  <c r="M1240" i="12" s="1"/>
  <c r="K1241" i="12"/>
  <c r="M1241" i="12" s="1"/>
  <c r="K1242" i="12"/>
  <c r="M1242" i="12" s="1"/>
  <c r="K1243" i="12"/>
  <c r="M1243" i="12" s="1"/>
  <c r="K1244" i="12"/>
  <c r="M1244" i="12" s="1"/>
  <c r="K1245" i="12"/>
  <c r="M1245" i="12" s="1"/>
  <c r="K1246" i="12"/>
  <c r="M1246" i="12" s="1"/>
  <c r="K1247" i="12"/>
  <c r="M1247" i="12" s="1"/>
  <c r="K1248" i="12"/>
  <c r="M1248" i="12" s="1"/>
  <c r="K1249" i="12"/>
  <c r="M1249" i="12" s="1"/>
  <c r="K1250" i="12"/>
  <c r="M1250" i="12" s="1"/>
  <c r="K1251" i="12"/>
  <c r="M1251" i="12" s="1"/>
  <c r="K1252" i="12"/>
  <c r="M1252" i="12" s="1"/>
  <c r="K1253" i="12"/>
  <c r="M1253" i="12" s="1"/>
  <c r="K1254" i="12"/>
  <c r="M1254" i="12" s="1"/>
  <c r="K1255" i="12"/>
  <c r="M1255" i="12" s="1"/>
  <c r="K1256" i="12"/>
  <c r="M1256" i="12" s="1"/>
  <c r="K1257" i="12"/>
  <c r="M1257" i="12" s="1"/>
  <c r="K1258" i="12"/>
  <c r="M1258" i="12" s="1"/>
  <c r="K1259" i="12"/>
  <c r="M1259" i="12" s="1"/>
  <c r="K1260" i="12"/>
  <c r="M1260" i="12" s="1"/>
  <c r="K1261" i="12"/>
  <c r="M1261" i="12" s="1"/>
  <c r="K1262" i="12"/>
  <c r="M1262" i="12" s="1"/>
  <c r="K1263" i="12"/>
  <c r="M1263" i="12" s="1"/>
  <c r="K1264" i="12"/>
  <c r="M1264" i="12" s="1"/>
  <c r="K1265" i="12"/>
  <c r="M1265" i="12" s="1"/>
  <c r="K1266" i="12"/>
  <c r="M1266" i="12" s="1"/>
  <c r="K1267" i="12"/>
  <c r="M1267" i="12" s="1"/>
  <c r="K1268" i="12"/>
  <c r="M1268" i="12" s="1"/>
  <c r="K1269" i="12"/>
  <c r="M1269" i="12" s="1"/>
  <c r="K1270" i="12"/>
  <c r="M1270" i="12" s="1"/>
  <c r="K1271" i="12"/>
  <c r="M1271" i="12" s="1"/>
  <c r="K1272" i="12"/>
  <c r="M1272" i="12" s="1"/>
  <c r="K1273" i="12"/>
  <c r="M1273" i="12" s="1"/>
  <c r="K1274" i="12"/>
  <c r="M1274" i="12" s="1"/>
  <c r="K1275" i="12"/>
  <c r="M1275" i="12" s="1"/>
  <c r="K1276" i="12"/>
  <c r="M1276" i="12" s="1"/>
  <c r="K1277" i="12"/>
  <c r="M1277" i="12" s="1"/>
  <c r="K1278" i="12"/>
  <c r="M1278" i="12" s="1"/>
  <c r="K1279" i="12"/>
  <c r="M1279" i="12" s="1"/>
  <c r="K1280" i="12"/>
  <c r="M1280" i="12" s="1"/>
  <c r="K1281" i="12"/>
  <c r="M1281" i="12" s="1"/>
  <c r="K1282" i="12"/>
  <c r="M1282" i="12" s="1"/>
  <c r="K1283" i="12"/>
  <c r="M1283" i="12" s="1"/>
  <c r="K1284" i="12"/>
  <c r="M1284" i="12" s="1"/>
  <c r="K1285" i="12"/>
  <c r="M1285" i="12" s="1"/>
  <c r="K1286" i="12"/>
  <c r="M1286" i="12" s="1"/>
  <c r="K1287" i="12"/>
  <c r="M1287" i="12" s="1"/>
  <c r="K1288" i="12"/>
  <c r="M1288" i="12" s="1"/>
  <c r="K1289" i="12"/>
  <c r="M1289" i="12" s="1"/>
  <c r="K1290" i="12"/>
  <c r="M1290" i="12" s="1"/>
  <c r="K1291" i="12"/>
  <c r="M1291" i="12" s="1"/>
  <c r="K1292" i="12"/>
  <c r="M1292" i="12" s="1"/>
  <c r="K1293" i="12"/>
  <c r="M1293" i="12" s="1"/>
  <c r="K1294" i="12"/>
  <c r="M1294" i="12" s="1"/>
  <c r="K1295" i="12"/>
  <c r="M1295" i="12" s="1"/>
  <c r="K1296" i="12"/>
  <c r="M1296" i="12" s="1"/>
  <c r="K1297" i="12"/>
  <c r="M1297" i="12" s="1"/>
  <c r="K1298" i="12"/>
  <c r="M1298" i="12" s="1"/>
  <c r="K1299" i="12"/>
  <c r="M1299" i="12" s="1"/>
  <c r="K1300" i="12"/>
  <c r="M1300" i="12" s="1"/>
  <c r="K1301" i="12"/>
  <c r="M1301" i="12" s="1"/>
  <c r="K1302" i="12"/>
  <c r="M1302" i="12" s="1"/>
  <c r="K1303" i="12"/>
  <c r="M1303" i="12" s="1"/>
  <c r="K1304" i="12"/>
  <c r="M1304" i="12" s="1"/>
  <c r="K1305" i="12"/>
  <c r="M1305" i="12" s="1"/>
  <c r="K1306" i="12"/>
  <c r="M1306" i="12" s="1"/>
  <c r="K1307" i="12"/>
  <c r="M1307" i="12" s="1"/>
  <c r="K1308" i="12"/>
  <c r="M1308" i="12" s="1"/>
  <c r="K1309" i="12"/>
  <c r="M1309" i="12" s="1"/>
  <c r="K1310" i="12"/>
  <c r="M1310" i="12" s="1"/>
  <c r="K1311" i="12"/>
  <c r="M1311" i="12" s="1"/>
  <c r="K1312" i="12"/>
  <c r="M1312" i="12" s="1"/>
  <c r="K1313" i="12"/>
  <c r="M1313" i="12" s="1"/>
  <c r="K1314" i="12"/>
  <c r="M1314" i="12" s="1"/>
  <c r="K1315" i="12"/>
  <c r="M1315" i="12" s="1"/>
  <c r="K1316" i="12"/>
  <c r="M1316" i="12" s="1"/>
  <c r="K1317" i="12"/>
  <c r="M1317" i="12" s="1"/>
  <c r="K1318" i="12"/>
  <c r="M1318" i="12" s="1"/>
  <c r="K1319" i="12"/>
  <c r="M1319" i="12" s="1"/>
  <c r="K1320" i="12"/>
  <c r="M1320" i="12" s="1"/>
  <c r="K1321" i="12"/>
  <c r="M1321" i="12" s="1"/>
  <c r="K1322" i="12"/>
  <c r="M1322" i="12" s="1"/>
  <c r="K1323" i="12"/>
  <c r="M1323" i="12" s="1"/>
  <c r="K1324" i="12"/>
  <c r="M1324" i="12" s="1"/>
  <c r="K1325" i="12"/>
  <c r="M1325" i="12" s="1"/>
  <c r="K1326" i="12"/>
  <c r="M1326" i="12" s="1"/>
  <c r="K1327" i="12"/>
  <c r="M1327" i="12" s="1"/>
  <c r="K1328" i="12"/>
  <c r="M1328" i="12" s="1"/>
  <c r="K1329" i="12"/>
  <c r="M1329" i="12" s="1"/>
  <c r="K1330" i="12"/>
  <c r="M1330" i="12" s="1"/>
  <c r="K1331" i="12"/>
  <c r="M1331" i="12" s="1"/>
  <c r="K1332" i="12"/>
  <c r="M1332" i="12" s="1"/>
  <c r="K1333" i="12"/>
  <c r="M1333" i="12" s="1"/>
  <c r="K1334" i="12"/>
  <c r="M1334" i="12" s="1"/>
  <c r="K1335" i="12"/>
  <c r="M1335" i="12" s="1"/>
  <c r="K1336" i="12"/>
  <c r="M1336" i="12" s="1"/>
  <c r="K1337" i="12"/>
  <c r="M1337" i="12" s="1"/>
  <c r="K1338" i="12"/>
  <c r="M1338" i="12" s="1"/>
  <c r="K1339" i="12"/>
  <c r="M1339" i="12" s="1"/>
  <c r="K1340" i="12"/>
  <c r="M1340" i="12" s="1"/>
  <c r="K1341" i="12"/>
  <c r="M1341" i="12" s="1"/>
  <c r="K1342" i="12"/>
  <c r="M1342" i="12" s="1"/>
  <c r="K1343" i="12"/>
  <c r="M1343" i="12" s="1"/>
  <c r="K1344" i="12"/>
  <c r="M1344" i="12" s="1"/>
  <c r="K1345" i="12"/>
  <c r="M1345" i="12" s="1"/>
  <c r="K1346" i="12"/>
  <c r="M1346" i="12" s="1"/>
  <c r="K1347" i="12"/>
  <c r="M1347" i="12" s="1"/>
  <c r="K1348" i="12"/>
  <c r="M1348" i="12" s="1"/>
  <c r="K1349" i="12"/>
  <c r="M1349" i="12" s="1"/>
  <c r="K1350" i="12"/>
  <c r="M1350" i="12" s="1"/>
  <c r="K1351" i="12"/>
  <c r="M1351" i="12" s="1"/>
  <c r="K1352" i="12"/>
  <c r="M1352" i="12" s="1"/>
  <c r="K1353" i="12"/>
  <c r="M1353" i="12" s="1"/>
  <c r="K1354" i="12"/>
  <c r="M1354" i="12" s="1"/>
  <c r="K1355" i="12"/>
  <c r="M1355" i="12" s="1"/>
  <c r="K1356" i="12"/>
  <c r="M1356" i="12" s="1"/>
  <c r="K1357" i="12"/>
  <c r="M1357" i="12" s="1"/>
  <c r="K1358" i="12"/>
  <c r="M1358" i="12" s="1"/>
  <c r="K1359" i="12"/>
  <c r="M1359" i="12" s="1"/>
  <c r="K1360" i="12"/>
  <c r="M1360" i="12" s="1"/>
  <c r="K1361" i="12"/>
  <c r="M1361" i="12" s="1"/>
  <c r="K1362" i="12"/>
  <c r="M1362" i="12" s="1"/>
  <c r="K1363" i="12"/>
  <c r="M1363" i="12" s="1"/>
  <c r="K1364" i="12"/>
  <c r="M1364" i="12" s="1"/>
  <c r="K1365" i="12"/>
  <c r="M1365" i="12" s="1"/>
  <c r="K1366" i="12"/>
  <c r="M1366" i="12" s="1"/>
  <c r="K1367" i="12"/>
  <c r="M1367" i="12" s="1"/>
  <c r="K1368" i="12"/>
  <c r="M1368" i="12" s="1"/>
  <c r="K1369" i="12"/>
  <c r="M1369" i="12" s="1"/>
  <c r="K1370" i="12"/>
  <c r="M1370" i="12" s="1"/>
  <c r="K1371" i="12"/>
  <c r="M1371" i="12" s="1"/>
  <c r="K1372" i="12"/>
  <c r="M1372" i="12" s="1"/>
  <c r="K1373" i="12"/>
  <c r="M1373" i="12" s="1"/>
  <c r="K1374" i="12"/>
  <c r="M1374" i="12" s="1"/>
  <c r="K1375" i="12"/>
  <c r="M1375" i="12" s="1"/>
  <c r="K1376" i="12"/>
  <c r="M1376" i="12" s="1"/>
  <c r="K1377" i="12"/>
  <c r="M1377" i="12" s="1"/>
  <c r="K1378" i="12"/>
  <c r="M1378" i="12" s="1"/>
  <c r="K1379" i="12"/>
  <c r="M1379" i="12" s="1"/>
  <c r="K1380" i="12"/>
  <c r="M1380" i="12" s="1"/>
  <c r="K1381" i="12"/>
  <c r="M1381" i="12" s="1"/>
  <c r="K1382" i="12"/>
  <c r="M1382" i="12" s="1"/>
  <c r="K1383" i="12"/>
  <c r="M1383" i="12" s="1"/>
  <c r="K1384" i="12"/>
  <c r="M1384" i="12" s="1"/>
  <c r="K1385" i="12"/>
  <c r="M1385" i="12" s="1"/>
  <c r="K1386" i="12"/>
  <c r="M1386" i="12" s="1"/>
  <c r="K1387" i="12"/>
  <c r="M1387" i="12" s="1"/>
  <c r="K1388" i="12"/>
  <c r="M1388" i="12" s="1"/>
  <c r="K1389" i="12"/>
  <c r="M1389" i="12" s="1"/>
  <c r="K1390" i="12"/>
  <c r="M1390" i="12" s="1"/>
  <c r="K1391" i="12"/>
  <c r="M1391" i="12" s="1"/>
  <c r="K1392" i="12"/>
  <c r="M1392" i="12" s="1"/>
  <c r="K1393" i="12"/>
  <c r="M1393" i="12" s="1"/>
  <c r="K1394" i="12"/>
  <c r="M1394" i="12" s="1"/>
  <c r="K1395" i="12"/>
  <c r="M1395" i="12" s="1"/>
  <c r="K1396" i="12"/>
  <c r="M1396" i="12" s="1"/>
  <c r="K1397" i="12"/>
  <c r="M1397" i="12" s="1"/>
  <c r="K1398" i="12"/>
  <c r="M1398" i="12" s="1"/>
  <c r="K1399" i="12"/>
  <c r="M1399" i="12" s="1"/>
  <c r="K1400" i="12"/>
  <c r="M1400" i="12" s="1"/>
  <c r="K1401" i="12"/>
  <c r="M1401" i="12" s="1"/>
  <c r="K1402" i="12"/>
  <c r="M1402" i="12" s="1"/>
  <c r="K1403" i="12"/>
  <c r="M1403" i="12" s="1"/>
  <c r="K1404" i="12"/>
  <c r="M1404" i="12" s="1"/>
  <c r="K1405" i="12"/>
  <c r="M1405" i="12" s="1"/>
  <c r="K1406" i="12"/>
  <c r="M1406" i="12" s="1"/>
  <c r="K1407" i="12"/>
  <c r="M1407" i="12" s="1"/>
  <c r="K1408" i="12"/>
  <c r="M1408" i="12" s="1"/>
  <c r="K1409" i="12"/>
  <c r="M1409" i="12" s="1"/>
  <c r="K1410" i="12"/>
  <c r="M1410" i="12" s="1"/>
  <c r="K1411" i="12"/>
  <c r="M1411" i="12" s="1"/>
  <c r="K1412" i="12"/>
  <c r="M1412" i="12" s="1"/>
  <c r="K1413" i="12"/>
  <c r="M1413" i="12" s="1"/>
  <c r="K1414" i="12"/>
  <c r="M1414" i="12" s="1"/>
  <c r="K1415" i="12"/>
  <c r="M1415" i="12" s="1"/>
  <c r="K1416" i="12"/>
  <c r="M1416" i="12" s="1"/>
  <c r="K1417" i="12"/>
  <c r="M1417" i="12" s="1"/>
  <c r="K1418" i="12"/>
  <c r="M1418" i="12" s="1"/>
  <c r="K1419" i="12"/>
  <c r="M1419" i="12" s="1"/>
  <c r="K1420" i="12"/>
  <c r="M1420" i="12" s="1"/>
  <c r="K1421" i="12"/>
  <c r="M1421" i="12" s="1"/>
  <c r="K1422" i="12"/>
  <c r="M1422" i="12" s="1"/>
  <c r="K1423" i="12"/>
  <c r="M1423" i="12" s="1"/>
  <c r="K1424" i="12"/>
  <c r="M1424" i="12" s="1"/>
  <c r="K1425" i="12"/>
  <c r="M1425" i="12" s="1"/>
  <c r="K1426" i="12"/>
  <c r="M1426" i="12" s="1"/>
  <c r="K1427" i="12"/>
  <c r="M1427" i="12" s="1"/>
  <c r="K1428" i="12"/>
  <c r="M1428" i="12" s="1"/>
  <c r="K1429" i="12"/>
  <c r="M1429" i="12" s="1"/>
  <c r="K1430" i="12"/>
  <c r="M1430" i="12" s="1"/>
  <c r="K1431" i="12"/>
  <c r="M1431" i="12" s="1"/>
  <c r="K1432" i="12"/>
  <c r="M1432" i="12" s="1"/>
  <c r="K1433" i="12"/>
  <c r="M1433" i="12" s="1"/>
  <c r="K1434" i="12"/>
  <c r="M1434" i="12" s="1"/>
  <c r="K1435" i="12"/>
  <c r="M1435" i="12" s="1"/>
  <c r="K1436" i="12"/>
  <c r="M1436" i="12" s="1"/>
  <c r="K1437" i="12"/>
  <c r="M1437" i="12" s="1"/>
  <c r="K1438" i="12"/>
  <c r="M1438" i="12" s="1"/>
  <c r="K1439" i="12"/>
  <c r="M1439" i="12" s="1"/>
  <c r="K1440" i="12"/>
  <c r="M1440" i="12" s="1"/>
  <c r="K1441" i="12"/>
  <c r="M1441" i="12" s="1"/>
  <c r="K1442" i="12"/>
  <c r="M1442" i="12" s="1"/>
  <c r="K1443" i="12"/>
  <c r="M1443" i="12" s="1"/>
  <c r="K1444" i="12"/>
  <c r="M1444" i="12" s="1"/>
  <c r="K1445" i="12"/>
  <c r="M1445" i="12" s="1"/>
  <c r="K1446" i="12"/>
  <c r="M1446" i="12" s="1"/>
  <c r="K1447" i="12"/>
  <c r="M1447" i="12" s="1"/>
  <c r="K1448" i="12"/>
  <c r="M1448" i="12" s="1"/>
  <c r="K1449" i="12"/>
  <c r="M1449" i="12" s="1"/>
  <c r="K1450" i="12"/>
  <c r="M1450" i="12" s="1"/>
  <c r="K1451" i="12"/>
  <c r="M1451" i="12" s="1"/>
  <c r="K1452" i="12"/>
  <c r="M1452" i="12" s="1"/>
  <c r="K1453" i="12"/>
  <c r="M1453" i="12" s="1"/>
  <c r="K1454" i="12"/>
  <c r="M1454" i="12" s="1"/>
  <c r="K1455" i="12"/>
  <c r="M1455" i="12" s="1"/>
  <c r="K1456" i="12"/>
  <c r="M1456" i="12" s="1"/>
  <c r="K1457" i="12"/>
  <c r="M1457" i="12" s="1"/>
  <c r="K1458" i="12"/>
  <c r="M1458" i="12" s="1"/>
  <c r="K1459" i="12"/>
  <c r="M1459" i="12" s="1"/>
  <c r="K1460" i="12"/>
  <c r="M1460" i="12" s="1"/>
  <c r="K1461" i="12"/>
  <c r="M1461" i="12" s="1"/>
  <c r="K1462" i="12"/>
  <c r="M1462" i="12" s="1"/>
  <c r="K1463" i="12"/>
  <c r="M1463" i="12" s="1"/>
  <c r="K1464" i="12"/>
  <c r="M1464" i="12" s="1"/>
  <c r="K1465" i="12"/>
  <c r="M1465" i="12" s="1"/>
  <c r="K1466" i="12"/>
  <c r="M1466" i="12" s="1"/>
  <c r="K1467" i="12"/>
  <c r="M1467" i="12" s="1"/>
  <c r="K1468" i="12"/>
  <c r="M1468" i="12" s="1"/>
  <c r="K1469" i="12"/>
  <c r="M1469" i="12" s="1"/>
  <c r="K1470" i="12"/>
  <c r="M1470" i="12" s="1"/>
  <c r="K1471" i="12"/>
  <c r="M1471" i="12" s="1"/>
  <c r="K1472" i="12"/>
  <c r="M1472" i="12" s="1"/>
  <c r="K1473" i="12"/>
  <c r="M1473" i="12" s="1"/>
  <c r="K1474" i="12"/>
  <c r="M1474" i="12" s="1"/>
  <c r="K1475" i="12"/>
  <c r="M1475" i="12" s="1"/>
  <c r="K1476" i="12"/>
  <c r="M1476" i="12" s="1"/>
  <c r="K1477" i="12"/>
  <c r="M1477" i="12" s="1"/>
  <c r="K1478" i="12"/>
  <c r="M1478" i="12" s="1"/>
  <c r="K1479" i="12"/>
  <c r="M1479" i="12" s="1"/>
  <c r="K1480" i="12"/>
  <c r="M1480" i="12" s="1"/>
  <c r="K1481" i="12"/>
  <c r="M1481" i="12" s="1"/>
  <c r="K1482" i="12"/>
  <c r="M1482" i="12" s="1"/>
  <c r="K1483" i="12"/>
  <c r="M1483" i="12" s="1"/>
  <c r="K1484" i="12"/>
  <c r="M1484" i="12" s="1"/>
  <c r="K1485" i="12"/>
  <c r="M1485" i="12" s="1"/>
  <c r="K1486" i="12"/>
  <c r="M1486" i="12" s="1"/>
  <c r="K1487" i="12"/>
  <c r="M1487" i="12" s="1"/>
  <c r="K1488" i="12"/>
  <c r="M1488" i="12" s="1"/>
  <c r="K1489" i="12"/>
  <c r="M1489" i="12" s="1"/>
  <c r="K1490" i="12"/>
  <c r="M1490" i="12" s="1"/>
  <c r="K1491" i="12"/>
  <c r="M1491" i="12" s="1"/>
  <c r="CA121" i="4"/>
  <c r="FQ121" i="4"/>
  <c r="EX121" i="4"/>
  <c r="B393" i="3" a="1"/>
  <c r="B393" i="3" s="1"/>
  <c r="Q393" i="3"/>
  <c r="R393" i="3"/>
  <c r="S393" i="3"/>
  <c r="AX393" i="3"/>
  <c r="T393" i="3" s="1"/>
  <c r="B333" i="3" a="1"/>
  <c r="B333" i="3" s="1"/>
  <c r="Q333" i="3"/>
  <c r="R333" i="3"/>
  <c r="S333" i="3"/>
  <c r="AX333" i="3"/>
  <c r="T333" i="3" s="1"/>
  <c r="CY144" i="4"/>
  <c r="B317" i="3" a="1"/>
  <c r="B317" i="3" s="1"/>
  <c r="Q317" i="3"/>
  <c r="R317" i="3"/>
  <c r="S317" i="3"/>
  <c r="AX317" i="3"/>
  <c r="T317" i="3" s="1"/>
  <c r="CY101" i="4"/>
  <c r="AY16" i="9"/>
  <c r="AN331" i="3" l="1"/>
  <c r="X331" i="3" a="1"/>
  <c r="X331" i="3" s="1"/>
  <c r="AW331" i="3"/>
  <c r="P331" i="3" s="1"/>
  <c r="E331" i="3" a="1"/>
  <c r="E331" i="3" s="1"/>
  <c r="AA331" i="3" a="1"/>
  <c r="AA331" i="3" s="1"/>
  <c r="AB331" i="3" a="1"/>
  <c r="AB331" i="3" s="1"/>
  <c r="H331" i="3"/>
  <c r="C331" i="3"/>
  <c r="Z331" i="3" a="1"/>
  <c r="Z331" i="3" s="1"/>
  <c r="D331" i="3" a="1"/>
  <c r="D331" i="3" s="1"/>
  <c r="M331" i="3" s="1" a="1"/>
  <c r="M331" i="3" s="1"/>
  <c r="Y331" i="3" a="1"/>
  <c r="Y331" i="3" s="1"/>
  <c r="G331" i="3" a="1"/>
  <c r="G331" i="3" s="1"/>
  <c r="AC331" i="3" a="1"/>
  <c r="AC331" i="3" s="1"/>
  <c r="I331" i="3" a="1"/>
  <c r="I331" i="3" s="1"/>
  <c r="F331" i="3" a="1"/>
  <c r="F331" i="3" s="1"/>
  <c r="AD331" i="3" a="1"/>
  <c r="AD331" i="3" s="1"/>
  <c r="AF331" i="3" a="1"/>
  <c r="AF331" i="3" s="1"/>
  <c r="AE331" i="3" a="1"/>
  <c r="AE331" i="3" s="1"/>
  <c r="AG331" i="3" a="1"/>
  <c r="AG331" i="3" s="1"/>
  <c r="AM331" i="3"/>
  <c r="AH331" i="3" a="1"/>
  <c r="AH331" i="3" s="1"/>
  <c r="AI331" i="3"/>
  <c r="U331" i="3" a="1"/>
  <c r="U331" i="3" s="1"/>
  <c r="AJ331" i="3"/>
  <c r="AK331" i="3"/>
  <c r="AL331" i="3"/>
  <c r="W331" i="3" a="1"/>
  <c r="W331" i="3" s="1"/>
  <c r="Q73" i="8"/>
  <c r="T77" i="5"/>
  <c r="AO73" i="8"/>
  <c r="AN102" i="3"/>
  <c r="X102" i="3" a="1"/>
  <c r="X102" i="3" s="1"/>
  <c r="AW102" i="3"/>
  <c r="P102" i="3" s="1"/>
  <c r="Z102" i="3" a="1"/>
  <c r="Z102" i="3" s="1"/>
  <c r="F102" i="3" a="1"/>
  <c r="F102" i="3" s="1"/>
  <c r="G102" i="3" a="1"/>
  <c r="G102" i="3" s="1"/>
  <c r="AC102" i="3" a="1"/>
  <c r="AC102" i="3" s="1"/>
  <c r="C102" i="3"/>
  <c r="AB102" i="3" a="1"/>
  <c r="AB102" i="3" s="1"/>
  <c r="H102" i="3"/>
  <c r="D102" i="3" a="1"/>
  <c r="D102" i="3" s="1"/>
  <c r="M102" i="3" s="1" a="1"/>
  <c r="M102" i="3" s="1"/>
  <c r="Y102" i="3" a="1"/>
  <c r="Y102" i="3" s="1"/>
  <c r="E102" i="3" a="1"/>
  <c r="E102" i="3" s="1"/>
  <c r="AA102" i="3" a="1"/>
  <c r="AA102" i="3" s="1"/>
  <c r="I102" i="3" a="1"/>
  <c r="I102" i="3" s="1"/>
  <c r="AD102" i="3" a="1"/>
  <c r="AD102" i="3" s="1"/>
  <c r="AF102" i="3" a="1"/>
  <c r="AF102" i="3" s="1"/>
  <c r="AM102" i="3"/>
  <c r="AE102" i="3" a="1"/>
  <c r="AE102" i="3" s="1"/>
  <c r="W102" i="3" a="1"/>
  <c r="W102" i="3" s="1"/>
  <c r="AH102" i="3" a="1"/>
  <c r="AH102" i="3" s="1"/>
  <c r="AI102" i="3"/>
  <c r="AL102" i="3"/>
  <c r="AG102" i="3" a="1"/>
  <c r="AG102" i="3" s="1"/>
  <c r="AK102" i="3"/>
  <c r="U102" i="3" a="1"/>
  <c r="U102" i="3" s="1"/>
  <c r="AJ102" i="3"/>
  <c r="AN101" i="3"/>
  <c r="AB101" i="3" a="1"/>
  <c r="AB101" i="3" s="1"/>
  <c r="AE101" i="3" a="1"/>
  <c r="AE101" i="3" s="1"/>
  <c r="AF101" i="3" a="1"/>
  <c r="AF101" i="3" s="1"/>
  <c r="AL101" i="3"/>
  <c r="X101" i="3" a="1"/>
  <c r="X101" i="3" s="1"/>
  <c r="AW101" i="3"/>
  <c r="P101" i="3" s="1"/>
  <c r="F101" i="3" a="1"/>
  <c r="F101" i="3" s="1"/>
  <c r="C101" i="3"/>
  <c r="AA101" i="3" a="1"/>
  <c r="AA101" i="3" s="1"/>
  <c r="G101" i="3" a="1"/>
  <c r="G101" i="3" s="1"/>
  <c r="H101" i="3"/>
  <c r="AD101" i="3" a="1"/>
  <c r="AD101" i="3" s="1"/>
  <c r="D101" i="3" a="1"/>
  <c r="D101" i="3" s="1"/>
  <c r="M101" i="3" s="1" a="1"/>
  <c r="M101" i="3" s="1"/>
  <c r="Y101" i="3" a="1"/>
  <c r="Y101" i="3" s="1"/>
  <c r="AC101" i="3" a="1"/>
  <c r="AC101" i="3" s="1"/>
  <c r="I101" i="3" a="1"/>
  <c r="I101" i="3" s="1"/>
  <c r="E101" i="3" a="1"/>
  <c r="E101" i="3" s="1"/>
  <c r="Z101" i="3" a="1"/>
  <c r="Z101" i="3" s="1"/>
  <c r="W101" i="3" a="1"/>
  <c r="W101" i="3" s="1"/>
  <c r="AI101" i="3"/>
  <c r="AJ101" i="3"/>
  <c r="AK101" i="3"/>
  <c r="AG101" i="3" a="1"/>
  <c r="AG101" i="3" s="1"/>
  <c r="AH101" i="3" a="1"/>
  <c r="AH101" i="3" s="1"/>
  <c r="U101" i="3" a="1"/>
  <c r="U101" i="3" s="1"/>
  <c r="AM101" i="3"/>
  <c r="AN388" i="3"/>
  <c r="X388" i="3" a="1"/>
  <c r="X388" i="3" s="1"/>
  <c r="AW388" i="3"/>
  <c r="P388" i="3" s="1"/>
  <c r="H388" i="3"/>
  <c r="AE388" i="3" a="1"/>
  <c r="AE388" i="3" s="1"/>
  <c r="AF388" i="3" a="1"/>
  <c r="AF388" i="3" s="1"/>
  <c r="AM388" i="3"/>
  <c r="C388" i="3"/>
  <c r="I388" i="3" a="1"/>
  <c r="I388" i="3" s="1"/>
  <c r="D388" i="3" a="1"/>
  <c r="D388" i="3" s="1"/>
  <c r="M388" i="3" s="1" a="1"/>
  <c r="M388" i="3" s="1"/>
  <c r="Y388" i="3" a="1"/>
  <c r="Y388" i="3" s="1"/>
  <c r="AL388" i="3"/>
  <c r="AA388" i="3" a="1"/>
  <c r="AA388" i="3" s="1"/>
  <c r="AC388" i="3" a="1"/>
  <c r="AC388" i="3" s="1"/>
  <c r="E388" i="3" a="1"/>
  <c r="E388" i="3" s="1"/>
  <c r="Z388" i="3" a="1"/>
  <c r="Z388" i="3" s="1"/>
  <c r="F388" i="3" a="1"/>
  <c r="F388" i="3" s="1"/>
  <c r="G388" i="3" a="1"/>
  <c r="G388" i="3" s="1"/>
  <c r="AB388" i="3" a="1"/>
  <c r="AB388" i="3" s="1"/>
  <c r="AD388" i="3" a="1"/>
  <c r="AD388" i="3" s="1"/>
  <c r="W388" i="3" a="1"/>
  <c r="W388" i="3" s="1"/>
  <c r="AG388" i="3" a="1"/>
  <c r="AG388" i="3" s="1"/>
  <c r="AH388" i="3" a="1"/>
  <c r="AH388" i="3" s="1"/>
  <c r="AK388" i="3"/>
  <c r="AI388" i="3"/>
  <c r="U388" i="3" a="1"/>
  <c r="U388" i="3" s="1"/>
  <c r="AJ388" i="3"/>
  <c r="AN356" i="3"/>
  <c r="AE356" i="3" a="1"/>
  <c r="AE356" i="3" s="1"/>
  <c r="X356" i="3" a="1"/>
  <c r="X356" i="3" s="1"/>
  <c r="AW356" i="3"/>
  <c r="P356" i="3" s="1"/>
  <c r="C356" i="3"/>
  <c r="D356" i="3" a="1"/>
  <c r="D356" i="3" s="1"/>
  <c r="M356" i="3" s="1" a="1"/>
  <c r="M356" i="3" s="1"/>
  <c r="Y356" i="3" a="1"/>
  <c r="Y356" i="3" s="1"/>
  <c r="AA356" i="3" a="1"/>
  <c r="AA356" i="3" s="1"/>
  <c r="E356" i="3" a="1"/>
  <c r="E356" i="3" s="1"/>
  <c r="Z356" i="3" a="1"/>
  <c r="Z356" i="3" s="1"/>
  <c r="F356" i="3" a="1"/>
  <c r="F356" i="3" s="1"/>
  <c r="G356" i="3" a="1"/>
  <c r="G356" i="3" s="1"/>
  <c r="AB356" i="3" a="1"/>
  <c r="AB356" i="3" s="1"/>
  <c r="H356" i="3"/>
  <c r="AC356" i="3" a="1"/>
  <c r="AC356" i="3" s="1"/>
  <c r="I356" i="3" a="1"/>
  <c r="I356" i="3" s="1"/>
  <c r="AD356" i="3" a="1"/>
  <c r="AD356" i="3" s="1"/>
  <c r="AF356" i="3" a="1"/>
  <c r="AF356" i="3" s="1"/>
  <c r="AG356" i="3" a="1"/>
  <c r="AG356" i="3" s="1"/>
  <c r="AH356" i="3" a="1"/>
  <c r="AH356" i="3" s="1"/>
  <c r="AI356" i="3"/>
  <c r="U356" i="3" a="1"/>
  <c r="U356" i="3" s="1"/>
  <c r="AL356" i="3"/>
  <c r="AK356" i="3"/>
  <c r="W356" i="3" a="1"/>
  <c r="W356" i="3" s="1"/>
  <c r="AM356" i="3"/>
  <c r="AJ356" i="3"/>
  <c r="AN167" i="3"/>
  <c r="Z167" i="3" a="1"/>
  <c r="Z167" i="3" s="1"/>
  <c r="F167" i="3" a="1"/>
  <c r="F167" i="3" s="1"/>
  <c r="G167" i="3" a="1"/>
  <c r="G167" i="3" s="1"/>
  <c r="H167" i="3"/>
  <c r="X167" i="3" a="1"/>
  <c r="X167" i="3" s="1"/>
  <c r="AW167" i="3"/>
  <c r="P167" i="3" s="1"/>
  <c r="E167" i="3" a="1"/>
  <c r="E167" i="3" s="1"/>
  <c r="AD167" i="3" a="1"/>
  <c r="AD167" i="3" s="1"/>
  <c r="AE167" i="3" a="1"/>
  <c r="AE167" i="3" s="1"/>
  <c r="AF167" i="3" a="1"/>
  <c r="AF167" i="3" s="1"/>
  <c r="U167" i="3" a="1"/>
  <c r="U167" i="3" s="1"/>
  <c r="C167" i="3"/>
  <c r="I167" i="3" a="1"/>
  <c r="I167" i="3" s="1"/>
  <c r="AI167" i="3"/>
  <c r="AJ167" i="3"/>
  <c r="AL167" i="3"/>
  <c r="AM167" i="3"/>
  <c r="D167" i="3" a="1"/>
  <c r="D167" i="3" s="1"/>
  <c r="M167" i="3" s="1" a="1"/>
  <c r="M167" i="3" s="1"/>
  <c r="Y167" i="3" a="1"/>
  <c r="Y167" i="3" s="1"/>
  <c r="AA167" i="3" a="1"/>
  <c r="AA167" i="3" s="1"/>
  <c r="AB167" i="3" a="1"/>
  <c r="AB167" i="3" s="1"/>
  <c r="AC167" i="3" a="1"/>
  <c r="AC167" i="3" s="1"/>
  <c r="AH167" i="3" a="1"/>
  <c r="AH167" i="3" s="1"/>
  <c r="W167" i="3" a="1"/>
  <c r="W167" i="3" s="1"/>
  <c r="AG167" i="3" a="1"/>
  <c r="AG167" i="3" s="1"/>
  <c r="AK167" i="3"/>
  <c r="AN166" i="3"/>
  <c r="AC166" i="3" a="1"/>
  <c r="AC166" i="3" s="1"/>
  <c r="AD166" i="3" a="1"/>
  <c r="AD166" i="3" s="1"/>
  <c r="X166" i="3" a="1"/>
  <c r="X166" i="3" s="1"/>
  <c r="AW166" i="3"/>
  <c r="P166" i="3" s="1"/>
  <c r="AA166" i="3" a="1"/>
  <c r="AA166" i="3" s="1"/>
  <c r="H166" i="3"/>
  <c r="C166" i="3"/>
  <c r="Z166" i="3" a="1"/>
  <c r="Z166" i="3" s="1"/>
  <c r="AB166" i="3" a="1"/>
  <c r="AB166" i="3" s="1"/>
  <c r="D166" i="3" a="1"/>
  <c r="D166" i="3" s="1"/>
  <c r="M166" i="3" s="1" a="1"/>
  <c r="M166" i="3" s="1"/>
  <c r="Y166" i="3" a="1"/>
  <c r="Y166" i="3" s="1"/>
  <c r="AK166" i="3"/>
  <c r="F166" i="3" a="1"/>
  <c r="F166" i="3" s="1"/>
  <c r="E166" i="3" a="1"/>
  <c r="E166" i="3" s="1"/>
  <c r="I166" i="3" a="1"/>
  <c r="I166" i="3" s="1"/>
  <c r="G166" i="3" a="1"/>
  <c r="G166" i="3" s="1"/>
  <c r="AH166" i="3" a="1"/>
  <c r="AH166" i="3" s="1"/>
  <c r="AI166" i="3"/>
  <c r="U166" i="3" a="1"/>
  <c r="U166" i="3" s="1"/>
  <c r="AJ166" i="3"/>
  <c r="AL166" i="3"/>
  <c r="AF166" i="3" a="1"/>
  <c r="AF166" i="3" s="1"/>
  <c r="AG166" i="3" a="1"/>
  <c r="AG166" i="3" s="1"/>
  <c r="W166" i="3" a="1"/>
  <c r="W166" i="3" s="1"/>
  <c r="AM166" i="3"/>
  <c r="AE166" i="3" a="1"/>
  <c r="AE166" i="3" s="1"/>
  <c r="BM103" i="9"/>
  <c r="AN361" i="3"/>
  <c r="E361" i="3" a="1"/>
  <c r="E361" i="3" s="1"/>
  <c r="F361" i="3" a="1"/>
  <c r="F361" i="3" s="1"/>
  <c r="G361" i="3" a="1"/>
  <c r="G361" i="3" s="1"/>
  <c r="X361" i="3" a="1"/>
  <c r="X361" i="3" s="1"/>
  <c r="AW361" i="3"/>
  <c r="P361" i="3" s="1"/>
  <c r="AB361" i="3" a="1"/>
  <c r="AB361" i="3" s="1"/>
  <c r="C361" i="3"/>
  <c r="AA361" i="3" a="1"/>
  <c r="AA361" i="3" s="1"/>
  <c r="D361" i="3" a="1"/>
  <c r="D361" i="3" s="1"/>
  <c r="M361" i="3" s="1" a="1"/>
  <c r="M361" i="3" s="1"/>
  <c r="Y361" i="3" a="1"/>
  <c r="Y361" i="3" s="1"/>
  <c r="Z361" i="3" a="1"/>
  <c r="Z361" i="3" s="1"/>
  <c r="AE361" i="3" a="1"/>
  <c r="AE361" i="3" s="1"/>
  <c r="AF361" i="3" a="1"/>
  <c r="AF361" i="3" s="1"/>
  <c r="AI361" i="3"/>
  <c r="H361" i="3"/>
  <c r="AD361" i="3" a="1"/>
  <c r="AD361" i="3" s="1"/>
  <c r="AG361" i="3" a="1"/>
  <c r="AG361" i="3" s="1"/>
  <c r="AH361" i="3" a="1"/>
  <c r="AH361" i="3" s="1"/>
  <c r="AC361" i="3" a="1"/>
  <c r="AC361" i="3" s="1"/>
  <c r="U361" i="3" a="1"/>
  <c r="U361" i="3" s="1"/>
  <c r="AJ361" i="3"/>
  <c r="AK361" i="3"/>
  <c r="AL361" i="3"/>
  <c r="W361" i="3" a="1"/>
  <c r="W361" i="3" s="1"/>
  <c r="AM361" i="3"/>
  <c r="I361" i="3" a="1"/>
  <c r="I361" i="3" s="1"/>
  <c r="EF200" i="4"/>
  <c r="EF197" i="4"/>
  <c r="DU199" i="4"/>
  <c r="EG199" i="4" s="1"/>
  <c r="EF199" i="4"/>
  <c r="AN25" i="3"/>
  <c r="AF25" i="3" a="1"/>
  <c r="AF25" i="3" s="1"/>
  <c r="U25" i="3" a="1"/>
  <c r="U25" i="3" s="1"/>
  <c r="X25" i="3" a="1"/>
  <c r="X25" i="3" s="1"/>
  <c r="AW25" i="3"/>
  <c r="P25" i="3" s="1"/>
  <c r="Y25" i="3" a="1"/>
  <c r="Y25" i="3" s="1"/>
  <c r="C25" i="3"/>
  <c r="D25" i="3" a="1"/>
  <c r="D25" i="3" s="1"/>
  <c r="AD25" i="3" a="1"/>
  <c r="AD25" i="3" s="1"/>
  <c r="AE25" i="3" a="1"/>
  <c r="AE25" i="3" s="1"/>
  <c r="W25" i="3" a="1"/>
  <c r="W25" i="3" s="1"/>
  <c r="F25" i="3" a="1"/>
  <c r="F25" i="3" s="1"/>
  <c r="AB25" i="3" a="1"/>
  <c r="AB25" i="3" s="1"/>
  <c r="AC25" i="3" a="1"/>
  <c r="AC25" i="3" s="1"/>
  <c r="E25" i="3" a="1"/>
  <c r="E25" i="3" s="1"/>
  <c r="Z25" i="3" a="1"/>
  <c r="Z25" i="3" s="1"/>
  <c r="AA25" i="3" a="1"/>
  <c r="AA25" i="3" s="1"/>
  <c r="G25" i="3" a="1"/>
  <c r="G25" i="3" s="1"/>
  <c r="H25" i="3"/>
  <c r="I25" i="3" a="1"/>
  <c r="I25" i="3" s="1"/>
  <c r="AL25" i="3"/>
  <c r="AG25" i="3" a="1"/>
  <c r="AG25" i="3" s="1"/>
  <c r="AH25" i="3" a="1"/>
  <c r="AH25" i="3" s="1"/>
  <c r="AI25" i="3"/>
  <c r="AJ25" i="3"/>
  <c r="AK25" i="3"/>
  <c r="AM25" i="3"/>
  <c r="AN37" i="3"/>
  <c r="E37" i="3" a="1"/>
  <c r="E37" i="3" s="1"/>
  <c r="F37" i="3" a="1"/>
  <c r="F37" i="3" s="1"/>
  <c r="AC37" i="3" a="1"/>
  <c r="AC37" i="3" s="1"/>
  <c r="I37" i="3" a="1"/>
  <c r="I37" i="3" s="1"/>
  <c r="AK37" i="3"/>
  <c r="X37" i="3" a="1"/>
  <c r="X37" i="3" s="1"/>
  <c r="AW37" i="3"/>
  <c r="P37" i="3" s="1"/>
  <c r="Y37" i="3" a="1"/>
  <c r="Y37" i="3" s="1"/>
  <c r="AB37" i="3" a="1"/>
  <c r="AB37" i="3" s="1"/>
  <c r="U37" i="3" a="1"/>
  <c r="U37" i="3" s="1"/>
  <c r="C37" i="3"/>
  <c r="D37" i="3" a="1"/>
  <c r="D37" i="3" s="1"/>
  <c r="Z37" i="3" a="1"/>
  <c r="Z37" i="3" s="1"/>
  <c r="AA37" i="3" a="1"/>
  <c r="AA37" i="3" s="1"/>
  <c r="G37" i="3" a="1"/>
  <c r="G37" i="3" s="1"/>
  <c r="H37" i="3"/>
  <c r="AD37" i="3" a="1"/>
  <c r="AD37" i="3" s="1"/>
  <c r="AE37" i="3" a="1"/>
  <c r="AE37" i="3" s="1"/>
  <c r="AF37" i="3" a="1"/>
  <c r="AF37" i="3" s="1"/>
  <c r="W37" i="3" a="1"/>
  <c r="W37" i="3" s="1"/>
  <c r="AJ37" i="3"/>
  <c r="AM37" i="3"/>
  <c r="AG37" i="3" a="1"/>
  <c r="AG37" i="3" s="1"/>
  <c r="AH37" i="3" a="1"/>
  <c r="AH37" i="3" s="1"/>
  <c r="AI37" i="3"/>
  <c r="AL37" i="3"/>
  <c r="EF76" i="4"/>
  <c r="EF94" i="4"/>
  <c r="EF193" i="4"/>
  <c r="EG26" i="4"/>
  <c r="EF61" i="4"/>
  <c r="EG27" i="4"/>
  <c r="Q51" i="8"/>
  <c r="CT51" i="8"/>
  <c r="AO57" i="5"/>
  <c r="AN315" i="3"/>
  <c r="I315" i="3" a="1"/>
  <c r="I315" i="3" s="1"/>
  <c r="AL315" i="3"/>
  <c r="X315" i="3" a="1"/>
  <c r="X315" i="3" s="1"/>
  <c r="AW315" i="3"/>
  <c r="P315" i="3" s="1"/>
  <c r="AE315" i="3" a="1"/>
  <c r="AE315" i="3" s="1"/>
  <c r="AF315" i="3" a="1"/>
  <c r="AF315" i="3" s="1"/>
  <c r="W315" i="3" a="1"/>
  <c r="W315" i="3" s="1"/>
  <c r="C315" i="3"/>
  <c r="E315" i="3" a="1"/>
  <c r="E315" i="3" s="1"/>
  <c r="AG315" i="3" a="1"/>
  <c r="AG315" i="3" s="1"/>
  <c r="AH315" i="3" a="1"/>
  <c r="AH315" i="3" s="1"/>
  <c r="AJ315" i="3"/>
  <c r="D315" i="3" a="1"/>
  <c r="D315" i="3" s="1"/>
  <c r="M315" i="3" s="1" a="1"/>
  <c r="M315" i="3" s="1"/>
  <c r="Y315" i="3" a="1"/>
  <c r="Y315" i="3" s="1"/>
  <c r="Z315" i="3" a="1"/>
  <c r="Z315" i="3" s="1"/>
  <c r="G315" i="3" a="1"/>
  <c r="G315" i="3" s="1"/>
  <c r="H315" i="3"/>
  <c r="U315" i="3" a="1"/>
  <c r="U315" i="3" s="1"/>
  <c r="F315" i="3" a="1"/>
  <c r="F315" i="3" s="1"/>
  <c r="AA315" i="3" a="1"/>
  <c r="AA315" i="3" s="1"/>
  <c r="AB315" i="3" a="1"/>
  <c r="AB315" i="3" s="1"/>
  <c r="AC315" i="3" a="1"/>
  <c r="AC315" i="3" s="1"/>
  <c r="AD315" i="3" a="1"/>
  <c r="AD315" i="3" s="1"/>
  <c r="AI315" i="3"/>
  <c r="AM315" i="3"/>
  <c r="AK315" i="3"/>
  <c r="X393" i="3" a="1"/>
  <c r="X393" i="3" s="1"/>
  <c r="AW393" i="3"/>
  <c r="P393" i="3" s="1"/>
  <c r="AL393" i="3"/>
  <c r="AM393" i="3"/>
  <c r="C393" i="3"/>
  <c r="AA393" i="3" a="1"/>
  <c r="AA393" i="3" s="1"/>
  <c r="AF393" i="3" a="1"/>
  <c r="AF393" i="3" s="1"/>
  <c r="D393" i="3" a="1"/>
  <c r="D393" i="3" s="1"/>
  <c r="M393" i="3" s="1" a="1"/>
  <c r="M393" i="3" s="1"/>
  <c r="Y393" i="3" a="1"/>
  <c r="Y393" i="3" s="1"/>
  <c r="AB393" i="3" a="1"/>
  <c r="AB393" i="3" s="1"/>
  <c r="AC393" i="3" a="1"/>
  <c r="AC393" i="3" s="1"/>
  <c r="AD393" i="3" a="1"/>
  <c r="AD393" i="3" s="1"/>
  <c r="H393" i="3"/>
  <c r="AG393" i="3" a="1"/>
  <c r="AG393" i="3" s="1"/>
  <c r="AH393" i="3" a="1"/>
  <c r="AH393" i="3" s="1"/>
  <c r="AI393" i="3"/>
  <c r="U393" i="3" a="1"/>
  <c r="U393" i="3" s="1"/>
  <c r="AJ393" i="3"/>
  <c r="AK393" i="3"/>
  <c r="W393" i="3" a="1"/>
  <c r="W393" i="3" s="1"/>
  <c r="AN393" i="3"/>
  <c r="E393" i="3" a="1"/>
  <c r="E393" i="3" s="1"/>
  <c r="Z393" i="3" a="1"/>
  <c r="Z393" i="3" s="1"/>
  <c r="F393" i="3" a="1"/>
  <c r="F393" i="3" s="1"/>
  <c r="G393" i="3" a="1"/>
  <c r="G393" i="3" s="1"/>
  <c r="I393" i="3" a="1"/>
  <c r="I393" i="3" s="1"/>
  <c r="AE393" i="3" a="1"/>
  <c r="AE393" i="3" s="1"/>
  <c r="AN333" i="3"/>
  <c r="X333" i="3" a="1"/>
  <c r="X333" i="3" s="1"/>
  <c r="AW333" i="3"/>
  <c r="P333" i="3" s="1"/>
  <c r="Z333" i="3" a="1"/>
  <c r="Z333" i="3" s="1"/>
  <c r="F333" i="3" a="1"/>
  <c r="F333" i="3" s="1"/>
  <c r="G333" i="3" a="1"/>
  <c r="G333" i="3" s="1"/>
  <c r="H333" i="3"/>
  <c r="AC333" i="3" a="1"/>
  <c r="AC333" i="3" s="1"/>
  <c r="AE333" i="3" a="1"/>
  <c r="AE333" i="3" s="1"/>
  <c r="C333" i="3"/>
  <c r="AB333" i="3" a="1"/>
  <c r="AB333" i="3" s="1"/>
  <c r="I333" i="3" a="1"/>
  <c r="I333" i="3" s="1"/>
  <c r="AD333" i="3" a="1"/>
  <c r="AD333" i="3" s="1"/>
  <c r="AI333" i="3"/>
  <c r="AK333" i="3"/>
  <c r="W333" i="3" a="1"/>
  <c r="W333" i="3" s="1"/>
  <c r="D333" i="3" a="1"/>
  <c r="D333" i="3" s="1"/>
  <c r="M333" i="3" s="1" a="1"/>
  <c r="M333" i="3" s="1"/>
  <c r="Y333" i="3" a="1"/>
  <c r="Y333" i="3" s="1"/>
  <c r="E333" i="3" a="1"/>
  <c r="E333" i="3" s="1"/>
  <c r="AA333" i="3" a="1"/>
  <c r="AA333" i="3" s="1"/>
  <c r="AF333" i="3" a="1"/>
  <c r="AF333" i="3" s="1"/>
  <c r="AG333" i="3" a="1"/>
  <c r="AG333" i="3" s="1"/>
  <c r="AH333" i="3" a="1"/>
  <c r="AH333" i="3" s="1"/>
  <c r="U333" i="3" a="1"/>
  <c r="U333" i="3" s="1"/>
  <c r="AJ333" i="3"/>
  <c r="AL333" i="3"/>
  <c r="AM333" i="3"/>
  <c r="AN317" i="3"/>
  <c r="X317" i="3" a="1"/>
  <c r="X317" i="3" s="1"/>
  <c r="AW317" i="3"/>
  <c r="P317" i="3" s="1"/>
  <c r="C317" i="3"/>
  <c r="D317" i="3" a="1"/>
  <c r="D317" i="3" s="1"/>
  <c r="M317" i="3" s="1" a="1"/>
  <c r="M317" i="3" s="1"/>
  <c r="Y317" i="3" a="1"/>
  <c r="Y317" i="3" s="1"/>
  <c r="E317" i="3" a="1"/>
  <c r="E317" i="3" s="1"/>
  <c r="Z317" i="3" a="1"/>
  <c r="Z317" i="3" s="1"/>
  <c r="F317" i="3" a="1"/>
  <c r="F317" i="3" s="1"/>
  <c r="AA317" i="3" a="1"/>
  <c r="AA317" i="3" s="1"/>
  <c r="AF317" i="3" a="1"/>
  <c r="AF317" i="3" s="1"/>
  <c r="AG317" i="3" a="1"/>
  <c r="AG317" i="3" s="1"/>
  <c r="AH317" i="3" a="1"/>
  <c r="AH317" i="3" s="1"/>
  <c r="AI317" i="3"/>
  <c r="U317" i="3" a="1"/>
  <c r="U317" i="3" s="1"/>
  <c r="AJ317" i="3"/>
  <c r="AK317" i="3"/>
  <c r="AL317" i="3"/>
  <c r="W317" i="3" a="1"/>
  <c r="W317" i="3" s="1"/>
  <c r="AM317" i="3"/>
  <c r="AB317" i="3" a="1"/>
  <c r="AB317" i="3" s="1"/>
  <c r="H317" i="3"/>
  <c r="G317" i="3" a="1"/>
  <c r="G317" i="3" s="1"/>
  <c r="AC317" i="3" a="1"/>
  <c r="AC317" i="3" s="1"/>
  <c r="I317" i="3" a="1"/>
  <c r="I317" i="3" s="1"/>
  <c r="AD317" i="3" a="1"/>
  <c r="AD317" i="3" s="1"/>
  <c r="AE317" i="3" a="1"/>
  <c r="AE317" i="3" s="1"/>
  <c r="B300" i="3" a="1"/>
  <c r="B300" i="3" s="1"/>
  <c r="Q300" i="3"/>
  <c r="R300" i="3"/>
  <c r="S300" i="3"/>
  <c r="AX300" i="3"/>
  <c r="T300" i="3" s="1"/>
  <c r="CT56" i="8"/>
  <c r="CA56" i="8"/>
  <c r="BH56" i="8"/>
  <c r="AA51" i="5"/>
  <c r="AO51" i="5" s="1"/>
  <c r="CY91" i="4"/>
  <c r="DM91" i="4" s="1"/>
  <c r="CF91" i="4"/>
  <c r="CT91" i="4" s="1"/>
  <c r="AT91" i="4"/>
  <c r="BH91" i="4" s="1"/>
  <c r="AA91" i="4"/>
  <c r="AO91" i="4" s="1"/>
  <c r="V56" i="8"/>
  <c r="AA62" i="7"/>
  <c r="BM94" i="4"/>
  <c r="AA62" i="5"/>
  <c r="CF105" i="4"/>
  <c r="CT105" i="4" s="1"/>
  <c r="BM105" i="4"/>
  <c r="CA105" i="4" s="1"/>
  <c r="AT105" i="4"/>
  <c r="BH105" i="4" s="1"/>
  <c r="AA105" i="4"/>
  <c r="AO105" i="4" s="1"/>
  <c r="CF54" i="8"/>
  <c r="BM54" i="8"/>
  <c r="AT54" i="8"/>
  <c r="AA54" i="8"/>
  <c r="AA58" i="5"/>
  <c r="CF103" i="4"/>
  <c r="BM103" i="4"/>
  <c r="AT103" i="4"/>
  <c r="AA103" i="4"/>
  <c r="CA55" i="8"/>
  <c r="AO55" i="8"/>
  <c r="V55" i="8"/>
  <c r="V51" i="5"/>
  <c r="B125" i="3" a="1"/>
  <c r="B125" i="3" s="1"/>
  <c r="Q125" i="3"/>
  <c r="R125" i="3"/>
  <c r="S125" i="3"/>
  <c r="AX125" i="3"/>
  <c r="T125" i="3" s="1"/>
  <c r="B133" i="3" a="1"/>
  <c r="B133" i="3" s="1"/>
  <c r="Q133" i="3"/>
  <c r="R133" i="3"/>
  <c r="S133" i="3"/>
  <c r="AX133" i="3"/>
  <c r="T133" i="3" s="1"/>
  <c r="B134" i="3" a="1"/>
  <c r="B134" i="3" s="1"/>
  <c r="Q134" i="3"/>
  <c r="R134" i="3"/>
  <c r="S134" i="3"/>
  <c r="AX134" i="3"/>
  <c r="T134" i="3" s="1"/>
  <c r="B97" i="3" a="1"/>
  <c r="B97" i="3" s="1"/>
  <c r="Q97" i="3"/>
  <c r="R97" i="3"/>
  <c r="S97" i="3"/>
  <c r="AX97" i="3"/>
  <c r="T97" i="3" s="1"/>
  <c r="FQ116" i="4"/>
  <c r="EX116" i="4"/>
  <c r="DM116" i="4"/>
  <c r="CT116" i="4"/>
  <c r="CA116" i="4"/>
  <c r="BH116" i="4"/>
  <c r="AO116" i="4"/>
  <c r="FQ105" i="4"/>
  <c r="EX105" i="4"/>
  <c r="DM105" i="4"/>
  <c r="CY86" i="4"/>
  <c r="CF86" i="4"/>
  <c r="AT86" i="4"/>
  <c r="AA86" i="4"/>
  <c r="CF101" i="4"/>
  <c r="BM101" i="4"/>
  <c r="AT101" i="4"/>
  <c r="AA101" i="4"/>
  <c r="B354" i="3" a="1"/>
  <c r="B354" i="3" s="1"/>
  <c r="Q354" i="3"/>
  <c r="R354" i="3"/>
  <c r="S354" i="3"/>
  <c r="AX354" i="3"/>
  <c r="T354" i="3" s="1"/>
  <c r="FQ91" i="4"/>
  <c r="EX91" i="4"/>
  <c r="CA91" i="4"/>
  <c r="B394" i="3" a="1"/>
  <c r="B394" i="3" s="1"/>
  <c r="Q394" i="3"/>
  <c r="R394" i="3"/>
  <c r="S394" i="3"/>
  <c r="AX394" i="3"/>
  <c r="T394" i="3" s="1"/>
  <c r="B330" i="3" a="1"/>
  <c r="B330" i="3" s="1"/>
  <c r="Q330" i="3"/>
  <c r="R330" i="3"/>
  <c r="S330" i="3"/>
  <c r="AX330" i="3"/>
  <c r="T330" i="3" s="1"/>
  <c r="B323" i="3" a="1"/>
  <c r="B323" i="3" s="1"/>
  <c r="Q323" i="3"/>
  <c r="R323" i="3"/>
  <c r="S323" i="3"/>
  <c r="AX323" i="3"/>
  <c r="T323" i="3" s="1"/>
  <c r="CY120" i="4"/>
  <c r="C335" i="3"/>
  <c r="C152" i="3"/>
  <c r="Q152" i="3"/>
  <c r="R152" i="3"/>
  <c r="S152" i="3"/>
  <c r="AX152" i="3"/>
  <c r="T152" i="3" s="1"/>
  <c r="B159" i="3" a="1"/>
  <c r="B159" i="3" s="1"/>
  <c r="C159" i="3" s="1"/>
  <c r="Q159" i="3"/>
  <c r="R159" i="3"/>
  <c r="S159" i="3"/>
  <c r="AX159" i="3"/>
  <c r="T159" i="3" s="1"/>
  <c r="B158" i="3" a="1"/>
  <c r="B158" i="3" s="1"/>
  <c r="C158" i="3" s="1"/>
  <c r="Q158" i="3"/>
  <c r="R158" i="3"/>
  <c r="S158" i="3"/>
  <c r="AX158" i="3"/>
  <c r="T158" i="3" s="1"/>
  <c r="B164" i="3" a="1"/>
  <c r="B164" i="3" s="1"/>
  <c r="C164" i="3" s="1"/>
  <c r="Q164" i="3"/>
  <c r="R164" i="3"/>
  <c r="S164" i="3"/>
  <c r="AX164" i="3"/>
  <c r="T164" i="3" s="1"/>
  <c r="B161" i="3" a="1"/>
  <c r="B161" i="3" s="1"/>
  <c r="C161" i="3" s="1"/>
  <c r="Q161" i="3"/>
  <c r="R161" i="3"/>
  <c r="S161" i="3"/>
  <c r="AX161" i="3"/>
  <c r="T161" i="3" s="1"/>
  <c r="B155" i="3" a="1"/>
  <c r="B155" i="3" s="1"/>
  <c r="C155" i="3" s="1"/>
  <c r="Q155" i="3"/>
  <c r="R155" i="3"/>
  <c r="S155" i="3"/>
  <c r="AX155" i="3"/>
  <c r="T155" i="3" s="1"/>
  <c r="B154" i="3" a="1"/>
  <c r="B154" i="3" s="1"/>
  <c r="C154" i="3" s="1"/>
  <c r="Q154" i="3"/>
  <c r="R154" i="3"/>
  <c r="S154" i="3"/>
  <c r="AX154" i="3"/>
  <c r="T154" i="3" s="1"/>
  <c r="B162" i="3" a="1"/>
  <c r="B162" i="3" s="1"/>
  <c r="C162" i="3" s="1"/>
  <c r="Q162" i="3"/>
  <c r="R162" i="3"/>
  <c r="S162" i="3"/>
  <c r="AX162" i="3"/>
  <c r="T162" i="3" s="1"/>
  <c r="B156" i="3" a="1"/>
  <c r="B156" i="3" s="1"/>
  <c r="C156" i="3" s="1"/>
  <c r="Q156" i="3"/>
  <c r="R156" i="3"/>
  <c r="S156" i="3"/>
  <c r="AX156" i="3"/>
  <c r="T156" i="3" s="1"/>
  <c r="B151" i="3" a="1"/>
  <c r="B151" i="3" s="1"/>
  <c r="C151" i="3" s="1"/>
  <c r="Q151" i="3"/>
  <c r="R151" i="3"/>
  <c r="S151" i="3"/>
  <c r="AX151" i="3"/>
  <c r="T151" i="3" s="1"/>
  <c r="B149" i="3" a="1"/>
  <c r="B149" i="3" s="1"/>
  <c r="C149" i="3" s="1"/>
  <c r="Q149" i="3"/>
  <c r="R149" i="3"/>
  <c r="S149" i="3"/>
  <c r="AX149" i="3"/>
  <c r="T149" i="3" s="1"/>
  <c r="B153" i="3" a="1"/>
  <c r="B153" i="3" s="1"/>
  <c r="C153" i="3" s="1"/>
  <c r="Q153" i="3"/>
  <c r="R153" i="3"/>
  <c r="S153" i="3"/>
  <c r="AX153" i="3"/>
  <c r="T153" i="3" s="1"/>
  <c r="B163" i="3" a="1"/>
  <c r="B163" i="3" s="1"/>
  <c r="C163" i="3" s="1"/>
  <c r="Q163" i="3"/>
  <c r="R163" i="3"/>
  <c r="S163" i="3"/>
  <c r="AX163" i="3"/>
  <c r="T163" i="3" s="1"/>
  <c r="B165" i="3" a="1"/>
  <c r="B165" i="3" s="1"/>
  <c r="C165" i="3" s="1"/>
  <c r="Q165" i="3"/>
  <c r="R165" i="3"/>
  <c r="S165" i="3"/>
  <c r="AX165" i="3"/>
  <c r="T165" i="3" s="1"/>
  <c r="B157" i="3" a="1"/>
  <c r="B157" i="3" s="1"/>
  <c r="C157" i="3" s="1"/>
  <c r="Q157" i="3"/>
  <c r="R157" i="3"/>
  <c r="S157" i="3"/>
  <c r="AX157" i="3"/>
  <c r="T157" i="3" s="1"/>
  <c r="B160" i="3" a="1"/>
  <c r="B160" i="3" s="1"/>
  <c r="C160" i="3" s="1"/>
  <c r="Q160" i="3"/>
  <c r="R160" i="3"/>
  <c r="S160" i="3"/>
  <c r="AX160" i="3"/>
  <c r="T160" i="3" s="1"/>
  <c r="B150" i="3" a="1"/>
  <c r="B150" i="3" s="1"/>
  <c r="C150" i="3" s="1"/>
  <c r="Q150" i="3"/>
  <c r="R150" i="3"/>
  <c r="S150" i="3"/>
  <c r="AX150" i="3"/>
  <c r="T150" i="3" s="1"/>
  <c r="B148" i="3" a="1"/>
  <c r="B148" i="3" s="1"/>
  <c r="C148" i="3" s="1"/>
  <c r="Q148" i="3"/>
  <c r="R148" i="3"/>
  <c r="S148" i="3"/>
  <c r="AX148" i="3"/>
  <c r="T148" i="3" s="1"/>
  <c r="AF28" i="9"/>
  <c r="V331" i="3" l="1"/>
  <c r="V102" i="3"/>
  <c r="V101" i="3"/>
  <c r="V388" i="3"/>
  <c r="V356" i="3"/>
  <c r="V167" i="3"/>
  <c r="V166" i="3"/>
  <c r="V361" i="3"/>
  <c r="M37" i="3" a="1"/>
  <c r="M37" i="3" s="1"/>
  <c r="M25" i="3" a="1"/>
  <c r="M25" i="3" s="1"/>
  <c r="V25" i="3"/>
  <c r="V37" i="3"/>
  <c r="V315" i="3"/>
  <c r="V393" i="3"/>
  <c r="V333" i="3"/>
  <c r="V317" i="3"/>
  <c r="T51" i="5"/>
  <c r="AN300" i="3"/>
  <c r="AJ300" i="3"/>
  <c r="X300" i="3" a="1"/>
  <c r="X300" i="3" s="1"/>
  <c r="AW300" i="3"/>
  <c r="P300" i="3" s="1"/>
  <c r="W300" i="3" a="1"/>
  <c r="W300" i="3" s="1"/>
  <c r="C300" i="3"/>
  <c r="H300" i="3"/>
  <c r="AH300" i="3" a="1"/>
  <c r="AH300" i="3" s="1"/>
  <c r="D300" i="3" a="1"/>
  <c r="D300" i="3" s="1"/>
  <c r="M300" i="3" s="1" a="1"/>
  <c r="M300" i="3" s="1"/>
  <c r="Y300" i="3" a="1"/>
  <c r="Y300" i="3" s="1"/>
  <c r="AA300" i="3" a="1"/>
  <c r="AA300" i="3" s="1"/>
  <c r="I300" i="3" a="1"/>
  <c r="I300" i="3" s="1"/>
  <c r="AE300" i="3" a="1"/>
  <c r="AE300" i="3" s="1"/>
  <c r="AF300" i="3" a="1"/>
  <c r="AF300" i="3" s="1"/>
  <c r="AI300" i="3"/>
  <c r="E300" i="3" a="1"/>
  <c r="E300" i="3" s="1"/>
  <c r="Z300" i="3" a="1"/>
  <c r="Z300" i="3" s="1"/>
  <c r="G300" i="3" a="1"/>
  <c r="G300" i="3" s="1"/>
  <c r="AC300" i="3" a="1"/>
  <c r="AC300" i="3" s="1"/>
  <c r="F300" i="3" a="1"/>
  <c r="F300" i="3" s="1"/>
  <c r="AB300" i="3" a="1"/>
  <c r="AB300" i="3" s="1"/>
  <c r="AK300" i="3"/>
  <c r="AD300" i="3" a="1"/>
  <c r="AD300" i="3" s="1"/>
  <c r="AG300" i="3" a="1"/>
  <c r="AG300" i="3" s="1"/>
  <c r="U300" i="3" a="1"/>
  <c r="U300" i="3" s="1"/>
  <c r="AL300" i="3"/>
  <c r="AM300" i="3"/>
  <c r="AO56" i="8"/>
  <c r="Q56" i="8"/>
  <c r="Q55" i="8"/>
  <c r="CT55" i="8"/>
  <c r="BH55" i="8"/>
  <c r="AN125" i="3"/>
  <c r="H125" i="3"/>
  <c r="AC125" i="3" a="1"/>
  <c r="AC125" i="3" s="1"/>
  <c r="X125" i="3" a="1"/>
  <c r="X125" i="3" s="1"/>
  <c r="AW125" i="3"/>
  <c r="P125" i="3" s="1"/>
  <c r="C125" i="3"/>
  <c r="D125" i="3" a="1"/>
  <c r="D125" i="3" s="1"/>
  <c r="M125" i="3" s="1" a="1"/>
  <c r="M125" i="3" s="1"/>
  <c r="Y125" i="3" a="1"/>
  <c r="Y125" i="3" s="1"/>
  <c r="I125" i="3" a="1"/>
  <c r="I125" i="3" s="1"/>
  <c r="E125" i="3" a="1"/>
  <c r="E125" i="3" s="1"/>
  <c r="Z125" i="3" a="1"/>
  <c r="Z125" i="3" s="1"/>
  <c r="AD125" i="3" a="1"/>
  <c r="AD125" i="3" s="1"/>
  <c r="F125" i="3" a="1"/>
  <c r="F125" i="3" s="1"/>
  <c r="AA125" i="3" a="1"/>
  <c r="AA125" i="3" s="1"/>
  <c r="G125" i="3" a="1"/>
  <c r="G125" i="3" s="1"/>
  <c r="AB125" i="3" a="1"/>
  <c r="AB125" i="3" s="1"/>
  <c r="AE125" i="3" a="1"/>
  <c r="AE125" i="3" s="1"/>
  <c r="AI125" i="3"/>
  <c r="AG125" i="3" a="1"/>
  <c r="AG125" i="3" s="1"/>
  <c r="AH125" i="3" a="1"/>
  <c r="AH125" i="3" s="1"/>
  <c r="AF125" i="3" a="1"/>
  <c r="AF125" i="3" s="1"/>
  <c r="U125" i="3" a="1"/>
  <c r="U125" i="3" s="1"/>
  <c r="AJ125" i="3"/>
  <c r="AL125" i="3"/>
  <c r="W125" i="3" a="1"/>
  <c r="W125" i="3" s="1"/>
  <c r="AK125" i="3"/>
  <c r="AM125" i="3"/>
  <c r="AN133" i="3"/>
  <c r="AC133" i="3" a="1"/>
  <c r="AC133" i="3" s="1"/>
  <c r="AE133" i="3" a="1"/>
  <c r="AE133" i="3" s="1"/>
  <c r="AG133" i="3" a="1"/>
  <c r="AG133" i="3" s="1"/>
  <c r="X133" i="3" a="1"/>
  <c r="X133" i="3" s="1"/>
  <c r="AW133" i="3"/>
  <c r="P133" i="3" s="1"/>
  <c r="C133" i="3"/>
  <c r="AF133" i="3" a="1"/>
  <c r="AF133" i="3" s="1"/>
  <c r="D133" i="3" a="1"/>
  <c r="D133" i="3" s="1"/>
  <c r="M133" i="3" s="1" a="1"/>
  <c r="M133" i="3" s="1"/>
  <c r="Y133" i="3" a="1"/>
  <c r="Y133" i="3" s="1"/>
  <c r="AI133" i="3"/>
  <c r="F133" i="3" a="1"/>
  <c r="F133" i="3" s="1"/>
  <c r="AA133" i="3" a="1"/>
  <c r="AA133" i="3" s="1"/>
  <c r="H133" i="3"/>
  <c r="AJ133" i="3"/>
  <c r="E133" i="3" a="1"/>
  <c r="E133" i="3" s="1"/>
  <c r="Z133" i="3" a="1"/>
  <c r="Z133" i="3" s="1"/>
  <c r="AD133" i="3" a="1"/>
  <c r="AD133" i="3" s="1"/>
  <c r="AB133" i="3" a="1"/>
  <c r="AB133" i="3" s="1"/>
  <c r="U133" i="3" a="1"/>
  <c r="U133" i="3" s="1"/>
  <c r="G133" i="3" a="1"/>
  <c r="G133" i="3" s="1"/>
  <c r="AL133" i="3"/>
  <c r="I133" i="3" a="1"/>
  <c r="I133" i="3" s="1"/>
  <c r="AM133" i="3"/>
  <c r="AK133" i="3"/>
  <c r="AH133" i="3" a="1"/>
  <c r="AH133" i="3" s="1"/>
  <c r="W133" i="3" a="1"/>
  <c r="W133" i="3" s="1"/>
  <c r="AN134" i="3"/>
  <c r="AK134" i="3"/>
  <c r="X134" i="3" a="1"/>
  <c r="X134" i="3" s="1"/>
  <c r="AW134" i="3"/>
  <c r="P134" i="3" s="1"/>
  <c r="AL134" i="3"/>
  <c r="C134" i="3"/>
  <c r="D134" i="3" a="1"/>
  <c r="D134" i="3" s="1"/>
  <c r="M134" i="3" s="1" a="1"/>
  <c r="M134" i="3" s="1"/>
  <c r="Y134" i="3" a="1"/>
  <c r="Y134" i="3" s="1"/>
  <c r="AH134" i="3" a="1"/>
  <c r="AH134" i="3" s="1"/>
  <c r="AJ134" i="3"/>
  <c r="F134" i="3" a="1"/>
  <c r="F134" i="3" s="1"/>
  <c r="AA134" i="3" a="1"/>
  <c r="AA134" i="3" s="1"/>
  <c r="AC134" i="3" a="1"/>
  <c r="AC134" i="3" s="1"/>
  <c r="AE134" i="3" a="1"/>
  <c r="AE134" i="3" s="1"/>
  <c r="AF134" i="3" a="1"/>
  <c r="AF134" i="3" s="1"/>
  <c r="E134" i="3" a="1"/>
  <c r="E134" i="3" s="1"/>
  <c r="Z134" i="3" a="1"/>
  <c r="Z134" i="3" s="1"/>
  <c r="AD134" i="3" a="1"/>
  <c r="AD134" i="3" s="1"/>
  <c r="U134" i="3" a="1"/>
  <c r="U134" i="3" s="1"/>
  <c r="H134" i="3"/>
  <c r="G134" i="3" a="1"/>
  <c r="G134" i="3" s="1"/>
  <c r="AB134" i="3" a="1"/>
  <c r="AB134" i="3" s="1"/>
  <c r="I134" i="3" a="1"/>
  <c r="I134" i="3" s="1"/>
  <c r="AG134" i="3" a="1"/>
  <c r="AG134" i="3" s="1"/>
  <c r="W134" i="3" a="1"/>
  <c r="W134" i="3" s="1"/>
  <c r="AI134" i="3"/>
  <c r="AM134" i="3"/>
  <c r="AN97" i="3"/>
  <c r="AJ97" i="3"/>
  <c r="X97" i="3" a="1"/>
  <c r="X97" i="3" s="1"/>
  <c r="AW97" i="3"/>
  <c r="P97" i="3" s="1"/>
  <c r="C97" i="3"/>
  <c r="F97" i="3" a="1"/>
  <c r="F97" i="3" s="1"/>
  <c r="AE97" i="3" a="1"/>
  <c r="AE97" i="3" s="1"/>
  <c r="AL97" i="3"/>
  <c r="D97" i="3" a="1"/>
  <c r="D97" i="3" s="1"/>
  <c r="M97" i="3" s="1" a="1"/>
  <c r="M97" i="3" s="1"/>
  <c r="Y97" i="3" a="1"/>
  <c r="Y97" i="3" s="1"/>
  <c r="AB97" i="3" a="1"/>
  <c r="AB97" i="3" s="1"/>
  <c r="AC97" i="3" a="1"/>
  <c r="AC97" i="3" s="1"/>
  <c r="I97" i="3" a="1"/>
  <c r="I97" i="3" s="1"/>
  <c r="E97" i="3" a="1"/>
  <c r="E97" i="3" s="1"/>
  <c r="Z97" i="3" a="1"/>
  <c r="Z97" i="3" s="1"/>
  <c r="AA97" i="3" a="1"/>
  <c r="AA97" i="3" s="1"/>
  <c r="AG97" i="3" a="1"/>
  <c r="AG97" i="3" s="1"/>
  <c r="AH97" i="3" a="1"/>
  <c r="AH97" i="3" s="1"/>
  <c r="U97" i="3" a="1"/>
  <c r="U97" i="3" s="1"/>
  <c r="G97" i="3" a="1"/>
  <c r="G97" i="3" s="1"/>
  <c r="W97" i="3" a="1"/>
  <c r="W97" i="3" s="1"/>
  <c r="AD97" i="3" a="1"/>
  <c r="AD97" i="3" s="1"/>
  <c r="AF97" i="3" a="1"/>
  <c r="AF97" i="3" s="1"/>
  <c r="AI97" i="3"/>
  <c r="AK97" i="3"/>
  <c r="AM97" i="3"/>
  <c r="H97" i="3"/>
  <c r="AN354" i="3"/>
  <c r="U354" i="3" a="1"/>
  <c r="U354" i="3" s="1"/>
  <c r="X354" i="3" a="1"/>
  <c r="X354" i="3" s="1"/>
  <c r="AW354" i="3"/>
  <c r="P354" i="3" s="1"/>
  <c r="I354" i="3" a="1"/>
  <c r="I354" i="3" s="1"/>
  <c r="AJ354" i="3"/>
  <c r="W354" i="3" a="1"/>
  <c r="W354" i="3" s="1"/>
  <c r="C354" i="3"/>
  <c r="AD354" i="3" a="1"/>
  <c r="AD354" i="3" s="1"/>
  <c r="AE354" i="3" a="1"/>
  <c r="AE354" i="3" s="1"/>
  <c r="AG354" i="3" a="1"/>
  <c r="AG354" i="3" s="1"/>
  <c r="D354" i="3" a="1"/>
  <c r="D354" i="3" s="1"/>
  <c r="M354" i="3" s="1" a="1"/>
  <c r="M354" i="3" s="1"/>
  <c r="Y354" i="3" a="1"/>
  <c r="Y354" i="3" s="1"/>
  <c r="AB354" i="3" a="1"/>
  <c r="AB354" i="3" s="1"/>
  <c r="H354" i="3"/>
  <c r="AH354" i="3" a="1"/>
  <c r="AH354" i="3" s="1"/>
  <c r="AK354" i="3"/>
  <c r="AI354" i="3"/>
  <c r="AL354" i="3"/>
  <c r="E354" i="3" a="1"/>
  <c r="E354" i="3" s="1"/>
  <c r="Z354" i="3" a="1"/>
  <c r="Z354" i="3" s="1"/>
  <c r="G354" i="3" a="1"/>
  <c r="G354" i="3" s="1"/>
  <c r="AC354" i="3" a="1"/>
  <c r="AC354" i="3" s="1"/>
  <c r="F354" i="3" a="1"/>
  <c r="F354" i="3" s="1"/>
  <c r="AA354" i="3" a="1"/>
  <c r="AA354" i="3" s="1"/>
  <c r="AF354" i="3" a="1"/>
  <c r="AF354" i="3" s="1"/>
  <c r="AM354" i="3"/>
  <c r="AN394" i="3"/>
  <c r="G394" i="3" a="1"/>
  <c r="G394" i="3" s="1"/>
  <c r="H394" i="3"/>
  <c r="AF394" i="3" a="1"/>
  <c r="AF394" i="3" s="1"/>
  <c r="W394" i="3" a="1"/>
  <c r="W394" i="3" s="1"/>
  <c r="X394" i="3" a="1"/>
  <c r="X394" i="3" s="1"/>
  <c r="AW394" i="3"/>
  <c r="P394" i="3" s="1"/>
  <c r="AC394" i="3" a="1"/>
  <c r="AC394" i="3" s="1"/>
  <c r="AD394" i="3" a="1"/>
  <c r="AD394" i="3" s="1"/>
  <c r="C394" i="3"/>
  <c r="I394" i="3" a="1"/>
  <c r="I394" i="3" s="1"/>
  <c r="D394" i="3" a="1"/>
  <c r="D394" i="3" s="1"/>
  <c r="M394" i="3" s="1" a="1"/>
  <c r="M394" i="3" s="1"/>
  <c r="Y394" i="3" a="1"/>
  <c r="Y394" i="3" s="1"/>
  <c r="U394" i="3" a="1"/>
  <c r="U394" i="3" s="1"/>
  <c r="AH394" i="3" a="1"/>
  <c r="AH394" i="3" s="1"/>
  <c r="AL394" i="3"/>
  <c r="E394" i="3" a="1"/>
  <c r="E394" i="3" s="1"/>
  <c r="Z394" i="3" a="1"/>
  <c r="Z394" i="3" s="1"/>
  <c r="AE394" i="3" a="1"/>
  <c r="AE394" i="3" s="1"/>
  <c r="F394" i="3" a="1"/>
  <c r="F394" i="3" s="1"/>
  <c r="AA394" i="3" a="1"/>
  <c r="AA394" i="3" s="1"/>
  <c r="AB394" i="3" a="1"/>
  <c r="AB394" i="3" s="1"/>
  <c r="AK394" i="3"/>
  <c r="AG394" i="3" a="1"/>
  <c r="AG394" i="3" s="1"/>
  <c r="AI394" i="3"/>
  <c r="AJ394" i="3"/>
  <c r="AM394" i="3"/>
  <c r="AN330" i="3"/>
  <c r="G330" i="3" a="1"/>
  <c r="G330" i="3" s="1"/>
  <c r="AJ330" i="3"/>
  <c r="AK330" i="3"/>
  <c r="X330" i="3" a="1"/>
  <c r="X330" i="3" s="1"/>
  <c r="AW330" i="3"/>
  <c r="P330" i="3" s="1"/>
  <c r="AB330" i="3" a="1"/>
  <c r="AB330" i="3" s="1"/>
  <c r="AD330" i="3" a="1"/>
  <c r="AD330" i="3" s="1"/>
  <c r="AE330" i="3" a="1"/>
  <c r="AE330" i="3" s="1"/>
  <c r="AF330" i="3" a="1"/>
  <c r="AF330" i="3" s="1"/>
  <c r="AG330" i="3" a="1"/>
  <c r="AG330" i="3" s="1"/>
  <c r="C330" i="3"/>
  <c r="AA330" i="3" a="1"/>
  <c r="AA330" i="3" s="1"/>
  <c r="I330" i="3" a="1"/>
  <c r="I330" i="3" s="1"/>
  <c r="AH330" i="3" a="1"/>
  <c r="AH330" i="3" s="1"/>
  <c r="AI330" i="3"/>
  <c r="U330" i="3" a="1"/>
  <c r="U330" i="3" s="1"/>
  <c r="W330" i="3" a="1"/>
  <c r="W330" i="3" s="1"/>
  <c r="D330" i="3" a="1"/>
  <c r="D330" i="3" s="1"/>
  <c r="M330" i="3" s="1" a="1"/>
  <c r="M330" i="3" s="1"/>
  <c r="Y330" i="3" a="1"/>
  <c r="Y330" i="3" s="1"/>
  <c r="H330" i="3"/>
  <c r="E330" i="3" a="1"/>
  <c r="E330" i="3" s="1"/>
  <c r="Z330" i="3" a="1"/>
  <c r="Z330" i="3" s="1"/>
  <c r="AC330" i="3" a="1"/>
  <c r="AC330" i="3" s="1"/>
  <c r="AM330" i="3"/>
  <c r="F330" i="3" a="1"/>
  <c r="F330" i="3" s="1"/>
  <c r="AL330" i="3"/>
  <c r="AN323" i="3"/>
  <c r="D323" i="3" a="1"/>
  <c r="D323" i="3" s="1"/>
  <c r="M323" i="3" s="1" a="1"/>
  <c r="M323" i="3" s="1"/>
  <c r="AA323" i="3" a="1"/>
  <c r="AA323" i="3" s="1"/>
  <c r="AB323" i="3" a="1"/>
  <c r="AB323" i="3" s="1"/>
  <c r="I323" i="3" a="1"/>
  <c r="I323" i="3" s="1"/>
  <c r="AD323" i="3" a="1"/>
  <c r="AD323" i="3" s="1"/>
  <c r="AK323" i="3"/>
  <c r="W323" i="3" a="1"/>
  <c r="W323" i="3" s="1"/>
  <c r="X323" i="3" a="1"/>
  <c r="X323" i="3" s="1"/>
  <c r="AW323" i="3"/>
  <c r="P323" i="3" s="1"/>
  <c r="Y323" i="3" a="1"/>
  <c r="Y323" i="3" s="1"/>
  <c r="E323" i="3" a="1"/>
  <c r="E323" i="3" s="1"/>
  <c r="C323" i="3"/>
  <c r="Z323" i="3" a="1"/>
  <c r="Z323" i="3" s="1"/>
  <c r="H323" i="3"/>
  <c r="AE323" i="3" a="1"/>
  <c r="AE323" i="3" s="1"/>
  <c r="AI323" i="3"/>
  <c r="U323" i="3" a="1"/>
  <c r="U323" i="3" s="1"/>
  <c r="AH323" i="3" a="1"/>
  <c r="AH323" i="3" s="1"/>
  <c r="AJ323" i="3"/>
  <c r="F323" i="3" a="1"/>
  <c r="F323" i="3" s="1"/>
  <c r="AC323" i="3" a="1"/>
  <c r="AC323" i="3" s="1"/>
  <c r="AG323" i="3" a="1"/>
  <c r="AG323" i="3" s="1"/>
  <c r="AL323" i="3"/>
  <c r="AM323" i="3"/>
  <c r="G323" i="3" a="1"/>
  <c r="G323" i="3" s="1"/>
  <c r="AF323" i="3" a="1"/>
  <c r="AF323" i="3" s="1"/>
  <c r="AN152" i="3"/>
  <c r="AI152" i="3"/>
  <c r="AB152" i="3" a="1"/>
  <c r="AB152" i="3" s="1"/>
  <c r="AE152" i="3" a="1"/>
  <c r="AE152" i="3" s="1"/>
  <c r="AJ152" i="3"/>
  <c r="H152" i="3"/>
  <c r="U152" i="3" a="1"/>
  <c r="U152" i="3" s="1"/>
  <c r="AC152" i="3" a="1"/>
  <c r="AC152" i="3" s="1"/>
  <c r="AF152" i="3" a="1"/>
  <c r="AF152" i="3" s="1"/>
  <c r="E152" i="3" a="1"/>
  <c r="E152" i="3" s="1"/>
  <c r="AK152" i="3"/>
  <c r="G152" i="3" a="1"/>
  <c r="G152" i="3" s="1"/>
  <c r="AM152" i="3"/>
  <c r="I152" i="3" a="1"/>
  <c r="I152" i="3" s="1"/>
  <c r="X152" i="3" a="1"/>
  <c r="X152" i="3" s="1"/>
  <c r="AA152" i="3" a="1"/>
  <c r="AA152" i="3" s="1"/>
  <c r="AD152" i="3" a="1"/>
  <c r="AD152" i="3" s="1"/>
  <c r="F152" i="3" a="1"/>
  <c r="F152" i="3" s="1"/>
  <c r="AL152" i="3"/>
  <c r="AW152" i="3"/>
  <c r="P152" i="3" s="1"/>
  <c r="W152" i="3" a="1"/>
  <c r="W152" i="3" s="1"/>
  <c r="Z152" i="3" a="1"/>
  <c r="Z152" i="3" s="1"/>
  <c r="AG152" i="3" a="1"/>
  <c r="AG152" i="3" s="1"/>
  <c r="AH152" i="3" a="1"/>
  <c r="AH152" i="3" s="1"/>
  <c r="Y152" i="3" a="1"/>
  <c r="Y152" i="3" s="1"/>
  <c r="D152" i="3" a="1"/>
  <c r="D152" i="3" s="1"/>
  <c r="M152" i="3" s="1" a="1"/>
  <c r="M152" i="3" s="1"/>
  <c r="AN159" i="3"/>
  <c r="AB159" i="3" a="1"/>
  <c r="AB159" i="3" s="1"/>
  <c r="H159" i="3"/>
  <c r="AC159" i="3" a="1"/>
  <c r="AC159" i="3" s="1"/>
  <c r="AF159" i="3" a="1"/>
  <c r="AF159" i="3" s="1"/>
  <c r="W159" i="3" a="1"/>
  <c r="W159" i="3" s="1"/>
  <c r="X159" i="3" a="1"/>
  <c r="X159" i="3" s="1"/>
  <c r="AW159" i="3"/>
  <c r="P159" i="3" s="1"/>
  <c r="Z159" i="3" a="1"/>
  <c r="Z159" i="3" s="1"/>
  <c r="AA159" i="3" a="1"/>
  <c r="AA159" i="3" s="1"/>
  <c r="AG159" i="3" a="1"/>
  <c r="AG159" i="3" s="1"/>
  <c r="U159" i="3" a="1"/>
  <c r="U159" i="3" s="1"/>
  <c r="AJ159" i="3"/>
  <c r="AK159" i="3"/>
  <c r="E159" i="3" a="1"/>
  <c r="E159" i="3" s="1"/>
  <c r="F159" i="3" a="1"/>
  <c r="F159" i="3" s="1"/>
  <c r="AE159" i="3" a="1"/>
  <c r="AE159" i="3" s="1"/>
  <c r="D159" i="3" a="1"/>
  <c r="D159" i="3" s="1"/>
  <c r="M159" i="3" s="1" a="1"/>
  <c r="M159" i="3" s="1"/>
  <c r="Y159" i="3" a="1"/>
  <c r="Y159" i="3" s="1"/>
  <c r="I159" i="3" a="1"/>
  <c r="I159" i="3" s="1"/>
  <c r="AD159" i="3" a="1"/>
  <c r="AD159" i="3" s="1"/>
  <c r="AH159" i="3" a="1"/>
  <c r="AH159" i="3" s="1"/>
  <c r="AM159" i="3"/>
  <c r="AI159" i="3"/>
  <c r="AL159" i="3"/>
  <c r="G159" i="3" a="1"/>
  <c r="G159" i="3" s="1"/>
  <c r="AN158" i="3"/>
  <c r="Z158" i="3" a="1"/>
  <c r="Z158" i="3" s="1"/>
  <c r="H158" i="3"/>
  <c r="I158" i="3" a="1"/>
  <c r="I158" i="3" s="1"/>
  <c r="X158" i="3" a="1"/>
  <c r="X158" i="3" s="1"/>
  <c r="AW158" i="3"/>
  <c r="P158" i="3" s="1"/>
  <c r="E158" i="3" a="1"/>
  <c r="E158" i="3" s="1"/>
  <c r="AA158" i="3" a="1"/>
  <c r="AA158" i="3" s="1"/>
  <c r="G158" i="3" a="1"/>
  <c r="G158" i="3" s="1"/>
  <c r="AB158" i="3" a="1"/>
  <c r="AB158" i="3" s="1"/>
  <c r="AC158" i="3" a="1"/>
  <c r="AC158" i="3" s="1"/>
  <c r="D158" i="3" a="1"/>
  <c r="D158" i="3" s="1"/>
  <c r="M158" i="3" s="1" a="1"/>
  <c r="M158" i="3" s="1"/>
  <c r="Y158" i="3" a="1"/>
  <c r="Y158" i="3" s="1"/>
  <c r="F158" i="3" a="1"/>
  <c r="F158" i="3" s="1"/>
  <c r="AD158" i="3" a="1"/>
  <c r="AD158" i="3" s="1"/>
  <c r="AE158" i="3" a="1"/>
  <c r="AE158" i="3" s="1"/>
  <c r="AI158" i="3"/>
  <c r="AG158" i="3" a="1"/>
  <c r="AG158" i="3" s="1"/>
  <c r="U158" i="3" a="1"/>
  <c r="U158" i="3" s="1"/>
  <c r="AK158" i="3"/>
  <c r="AH158" i="3" a="1"/>
  <c r="AH158" i="3" s="1"/>
  <c r="AL158" i="3"/>
  <c r="AJ158" i="3"/>
  <c r="W158" i="3" a="1"/>
  <c r="W158" i="3" s="1"/>
  <c r="AM158" i="3"/>
  <c r="AF158" i="3" a="1"/>
  <c r="AF158" i="3" s="1"/>
  <c r="AN164" i="3"/>
  <c r="AA164" i="3" a="1"/>
  <c r="AA164" i="3" s="1"/>
  <c r="G164" i="3" a="1"/>
  <c r="G164" i="3" s="1"/>
  <c r="X164" i="3" a="1"/>
  <c r="X164" i="3" s="1"/>
  <c r="AW164" i="3"/>
  <c r="P164" i="3" s="1"/>
  <c r="E164" i="3" a="1"/>
  <c r="E164" i="3" s="1"/>
  <c r="AC164" i="3" a="1"/>
  <c r="AC164" i="3" s="1"/>
  <c r="I164" i="3" a="1"/>
  <c r="I164" i="3" s="1"/>
  <c r="AF164" i="3" a="1"/>
  <c r="AF164" i="3" s="1"/>
  <c r="U164" i="3" a="1"/>
  <c r="U164" i="3" s="1"/>
  <c r="AL164" i="3"/>
  <c r="AB164" i="3" a="1"/>
  <c r="AB164" i="3" s="1"/>
  <c r="H164" i="3"/>
  <c r="AE164" i="3" a="1"/>
  <c r="AE164" i="3" s="1"/>
  <c r="AJ164" i="3"/>
  <c r="AK164" i="3"/>
  <c r="W164" i="3" a="1"/>
  <c r="W164" i="3" s="1"/>
  <c r="D164" i="3" a="1"/>
  <c r="D164" i="3" s="1"/>
  <c r="M164" i="3" s="1" a="1"/>
  <c r="M164" i="3" s="1"/>
  <c r="Y164" i="3" a="1"/>
  <c r="Y164" i="3" s="1"/>
  <c r="Z164" i="3" a="1"/>
  <c r="Z164" i="3" s="1"/>
  <c r="F164" i="3" a="1"/>
  <c r="F164" i="3" s="1"/>
  <c r="AD164" i="3" a="1"/>
  <c r="AD164" i="3" s="1"/>
  <c r="AG164" i="3" a="1"/>
  <c r="AG164" i="3" s="1"/>
  <c r="AH164" i="3" a="1"/>
  <c r="AH164" i="3" s="1"/>
  <c r="AI164" i="3"/>
  <c r="AM164" i="3"/>
  <c r="AN161" i="3"/>
  <c r="I161" i="3" a="1"/>
  <c r="I161" i="3" s="1"/>
  <c r="AD161" i="3" a="1"/>
  <c r="AD161" i="3" s="1"/>
  <c r="X161" i="3" a="1"/>
  <c r="X161" i="3" s="1"/>
  <c r="AW161" i="3"/>
  <c r="P161" i="3" s="1"/>
  <c r="F161" i="3" a="1"/>
  <c r="F161" i="3" s="1"/>
  <c r="AB161" i="3" a="1"/>
  <c r="AB161" i="3" s="1"/>
  <c r="AC161" i="3" a="1"/>
  <c r="AC161" i="3" s="1"/>
  <c r="D161" i="3" a="1"/>
  <c r="D161" i="3" s="1"/>
  <c r="M161" i="3" s="1" a="1"/>
  <c r="M161" i="3" s="1"/>
  <c r="Y161" i="3" a="1"/>
  <c r="Y161" i="3" s="1"/>
  <c r="AA161" i="3" a="1"/>
  <c r="AA161" i="3" s="1"/>
  <c r="AM161" i="3"/>
  <c r="E161" i="3" a="1"/>
  <c r="E161" i="3" s="1"/>
  <c r="Z161" i="3" a="1"/>
  <c r="Z161" i="3" s="1"/>
  <c r="G161" i="3" a="1"/>
  <c r="G161" i="3" s="1"/>
  <c r="H161" i="3"/>
  <c r="AF161" i="3" a="1"/>
  <c r="AF161" i="3" s="1"/>
  <c r="AE161" i="3" a="1"/>
  <c r="AE161" i="3" s="1"/>
  <c r="AH161" i="3" a="1"/>
  <c r="AH161" i="3" s="1"/>
  <c r="AL161" i="3"/>
  <c r="AG161" i="3" a="1"/>
  <c r="AG161" i="3" s="1"/>
  <c r="AI161" i="3"/>
  <c r="U161" i="3" a="1"/>
  <c r="U161" i="3" s="1"/>
  <c r="AJ161" i="3"/>
  <c r="AK161" i="3"/>
  <c r="W161" i="3" a="1"/>
  <c r="W161" i="3" s="1"/>
  <c r="AN155" i="3"/>
  <c r="AA155" i="3" a="1"/>
  <c r="AA155" i="3" s="1"/>
  <c r="AC155" i="3" a="1"/>
  <c r="AC155" i="3" s="1"/>
  <c r="X155" i="3" a="1"/>
  <c r="X155" i="3" s="1"/>
  <c r="AW155" i="3"/>
  <c r="P155" i="3" s="1"/>
  <c r="Z155" i="3" a="1"/>
  <c r="Z155" i="3" s="1"/>
  <c r="H155" i="3"/>
  <c r="AD155" i="3" a="1"/>
  <c r="AD155" i="3" s="1"/>
  <c r="AJ155" i="3"/>
  <c r="AL155" i="3"/>
  <c r="E155" i="3" a="1"/>
  <c r="E155" i="3" s="1"/>
  <c r="F155" i="3" a="1"/>
  <c r="F155" i="3" s="1"/>
  <c r="I155" i="3" a="1"/>
  <c r="I155" i="3" s="1"/>
  <c r="AM155" i="3"/>
  <c r="D155" i="3" a="1"/>
  <c r="D155" i="3" s="1"/>
  <c r="M155" i="3" s="1" a="1"/>
  <c r="M155" i="3" s="1"/>
  <c r="Y155" i="3" a="1"/>
  <c r="Y155" i="3" s="1"/>
  <c r="U155" i="3" a="1"/>
  <c r="U155" i="3" s="1"/>
  <c r="AK155" i="3"/>
  <c r="W155" i="3" a="1"/>
  <c r="W155" i="3" s="1"/>
  <c r="AH155" i="3" a="1"/>
  <c r="AH155" i="3" s="1"/>
  <c r="G155" i="3" a="1"/>
  <c r="G155" i="3" s="1"/>
  <c r="AB155" i="3" a="1"/>
  <c r="AB155" i="3" s="1"/>
  <c r="AE155" i="3" a="1"/>
  <c r="AE155" i="3" s="1"/>
  <c r="AF155" i="3" a="1"/>
  <c r="AF155" i="3" s="1"/>
  <c r="AG155" i="3" a="1"/>
  <c r="AG155" i="3" s="1"/>
  <c r="AI155" i="3"/>
  <c r="AN154" i="3"/>
  <c r="Y154" i="3" a="1"/>
  <c r="Y154" i="3" s="1"/>
  <c r="E154" i="3" a="1"/>
  <c r="E154" i="3" s="1"/>
  <c r="Z154" i="3" a="1"/>
  <c r="Z154" i="3" s="1"/>
  <c r="F154" i="3" a="1"/>
  <c r="F154" i="3" s="1"/>
  <c r="G154" i="3" a="1"/>
  <c r="G154" i="3" s="1"/>
  <c r="AC154" i="3" a="1"/>
  <c r="AC154" i="3" s="1"/>
  <c r="X154" i="3" a="1"/>
  <c r="X154" i="3" s="1"/>
  <c r="AW154" i="3"/>
  <c r="P154" i="3" s="1"/>
  <c r="AA154" i="3" a="1"/>
  <c r="AA154" i="3" s="1"/>
  <c r="D154" i="3" a="1"/>
  <c r="D154" i="3" s="1"/>
  <c r="M154" i="3" s="1" a="1"/>
  <c r="M154" i="3" s="1"/>
  <c r="AF154" i="3" a="1"/>
  <c r="AF154" i="3" s="1"/>
  <c r="AB154" i="3" a="1"/>
  <c r="AB154" i="3" s="1"/>
  <c r="H154" i="3"/>
  <c r="I154" i="3" a="1"/>
  <c r="I154" i="3" s="1"/>
  <c r="AD154" i="3" a="1"/>
  <c r="AD154" i="3" s="1"/>
  <c r="AE154" i="3" a="1"/>
  <c r="AE154" i="3" s="1"/>
  <c r="AG154" i="3" a="1"/>
  <c r="AG154" i="3" s="1"/>
  <c r="AI154" i="3"/>
  <c r="U154" i="3" a="1"/>
  <c r="U154" i="3" s="1"/>
  <c r="W154" i="3" a="1"/>
  <c r="W154" i="3" s="1"/>
  <c r="AJ154" i="3"/>
  <c r="AK154" i="3"/>
  <c r="AM154" i="3"/>
  <c r="AH154" i="3" a="1"/>
  <c r="AH154" i="3" s="1"/>
  <c r="AL154" i="3"/>
  <c r="AN162" i="3"/>
  <c r="E162" i="3" a="1"/>
  <c r="E162" i="3" s="1"/>
  <c r="H162" i="3"/>
  <c r="AC162" i="3" a="1"/>
  <c r="AC162" i="3" s="1"/>
  <c r="X162" i="3" a="1"/>
  <c r="X162" i="3" s="1"/>
  <c r="AW162" i="3"/>
  <c r="P162" i="3" s="1"/>
  <c r="Z162" i="3" a="1"/>
  <c r="Z162" i="3" s="1"/>
  <c r="F162" i="3" a="1"/>
  <c r="F162" i="3" s="1"/>
  <c r="AA162" i="3" a="1"/>
  <c r="AA162" i="3" s="1"/>
  <c r="AB162" i="3" a="1"/>
  <c r="AB162" i="3" s="1"/>
  <c r="I162" i="3" a="1"/>
  <c r="I162" i="3" s="1"/>
  <c r="AD162" i="3" a="1"/>
  <c r="AD162" i="3" s="1"/>
  <c r="AI162" i="3"/>
  <c r="U162" i="3" a="1"/>
  <c r="U162" i="3" s="1"/>
  <c r="D162" i="3" a="1"/>
  <c r="D162" i="3" s="1"/>
  <c r="M162" i="3" s="1" a="1"/>
  <c r="M162" i="3" s="1"/>
  <c r="G162" i="3" a="1"/>
  <c r="G162" i="3" s="1"/>
  <c r="AE162" i="3" a="1"/>
  <c r="AE162" i="3" s="1"/>
  <c r="AG162" i="3" a="1"/>
  <c r="AG162" i="3" s="1"/>
  <c r="AH162" i="3" a="1"/>
  <c r="AH162" i="3" s="1"/>
  <c r="AJ162" i="3"/>
  <c r="AK162" i="3"/>
  <c r="AL162" i="3"/>
  <c r="W162" i="3" a="1"/>
  <c r="W162" i="3" s="1"/>
  <c r="Y162" i="3" a="1"/>
  <c r="Y162" i="3" s="1"/>
  <c r="AM162" i="3"/>
  <c r="AF162" i="3" a="1"/>
  <c r="AF162" i="3" s="1"/>
  <c r="AN156" i="3"/>
  <c r="I156" i="3" a="1"/>
  <c r="I156" i="3" s="1"/>
  <c r="AD156" i="3" a="1"/>
  <c r="AD156" i="3" s="1"/>
  <c r="AE156" i="3" a="1"/>
  <c r="AE156" i="3" s="1"/>
  <c r="AI156" i="3"/>
  <c r="AK156" i="3"/>
  <c r="W156" i="3" a="1"/>
  <c r="W156" i="3" s="1"/>
  <c r="X156" i="3" a="1"/>
  <c r="X156" i="3" s="1"/>
  <c r="AW156" i="3"/>
  <c r="P156" i="3" s="1"/>
  <c r="E156" i="3" a="1"/>
  <c r="E156" i="3" s="1"/>
  <c r="AA156" i="3" a="1"/>
  <c r="AA156" i="3" s="1"/>
  <c r="AB156" i="3" a="1"/>
  <c r="AB156" i="3" s="1"/>
  <c r="H156" i="3"/>
  <c r="AF156" i="3" a="1"/>
  <c r="AF156" i="3" s="1"/>
  <c r="AG156" i="3" a="1"/>
  <c r="AG156" i="3" s="1"/>
  <c r="AH156" i="3" a="1"/>
  <c r="AH156" i="3" s="1"/>
  <c r="AJ156" i="3"/>
  <c r="Y156" i="3" a="1"/>
  <c r="Y156" i="3" s="1"/>
  <c r="Z156" i="3" a="1"/>
  <c r="Z156" i="3" s="1"/>
  <c r="F156" i="3" a="1"/>
  <c r="F156" i="3" s="1"/>
  <c r="G156" i="3" a="1"/>
  <c r="G156" i="3" s="1"/>
  <c r="D156" i="3" a="1"/>
  <c r="D156" i="3" s="1"/>
  <c r="M156" i="3" s="1" a="1"/>
  <c r="M156" i="3" s="1"/>
  <c r="AC156" i="3" a="1"/>
  <c r="AC156" i="3" s="1"/>
  <c r="AM156" i="3"/>
  <c r="U156" i="3" a="1"/>
  <c r="U156" i="3" s="1"/>
  <c r="AL156" i="3"/>
  <c r="AN151" i="3"/>
  <c r="AB151" i="3" a="1"/>
  <c r="AB151" i="3" s="1"/>
  <c r="AC151" i="3" a="1"/>
  <c r="AC151" i="3" s="1"/>
  <c r="I151" i="3" a="1"/>
  <c r="I151" i="3" s="1"/>
  <c r="X151" i="3" a="1"/>
  <c r="X151" i="3" s="1"/>
  <c r="AW151" i="3"/>
  <c r="P151" i="3" s="1"/>
  <c r="Z151" i="3" a="1"/>
  <c r="Z151" i="3" s="1"/>
  <c r="F151" i="3" a="1"/>
  <c r="F151" i="3" s="1"/>
  <c r="G151" i="3" a="1"/>
  <c r="G151" i="3" s="1"/>
  <c r="H151" i="3"/>
  <c r="AD151" i="3" a="1"/>
  <c r="AD151" i="3" s="1"/>
  <c r="AG151" i="3" a="1"/>
  <c r="AG151" i="3" s="1"/>
  <c r="AF151" i="3" a="1"/>
  <c r="AF151" i="3" s="1"/>
  <c r="AH151" i="3" a="1"/>
  <c r="AH151" i="3" s="1"/>
  <c r="AI151" i="3"/>
  <c r="AL151" i="3"/>
  <c r="AM151" i="3"/>
  <c r="D151" i="3" a="1"/>
  <c r="D151" i="3" s="1"/>
  <c r="M151" i="3" s="1" a="1"/>
  <c r="M151" i="3" s="1"/>
  <c r="Y151" i="3" a="1"/>
  <c r="Y151" i="3" s="1"/>
  <c r="E151" i="3" a="1"/>
  <c r="E151" i="3" s="1"/>
  <c r="AA151" i="3" a="1"/>
  <c r="AA151" i="3" s="1"/>
  <c r="AE151" i="3" a="1"/>
  <c r="AE151" i="3" s="1"/>
  <c r="U151" i="3" a="1"/>
  <c r="U151" i="3" s="1"/>
  <c r="AK151" i="3"/>
  <c r="W151" i="3" a="1"/>
  <c r="W151" i="3" s="1"/>
  <c r="AJ151" i="3"/>
  <c r="X149" i="3" a="1"/>
  <c r="X149" i="3" s="1"/>
  <c r="AW149" i="3"/>
  <c r="P149" i="3" s="1"/>
  <c r="H149" i="3"/>
  <c r="AC149" i="3" a="1"/>
  <c r="AC149" i="3" s="1"/>
  <c r="I149" i="3" a="1"/>
  <c r="I149" i="3" s="1"/>
  <c r="AD149" i="3" a="1"/>
  <c r="AD149" i="3" s="1"/>
  <c r="D149" i="3" a="1"/>
  <c r="D149" i="3" s="1"/>
  <c r="M149" i="3" s="1" a="1"/>
  <c r="M149" i="3" s="1"/>
  <c r="Y149" i="3" a="1"/>
  <c r="Y149" i="3" s="1"/>
  <c r="F149" i="3" a="1"/>
  <c r="F149" i="3" s="1"/>
  <c r="AA149" i="3" a="1"/>
  <c r="AA149" i="3" s="1"/>
  <c r="E149" i="3" a="1"/>
  <c r="E149" i="3" s="1"/>
  <c r="Z149" i="3" a="1"/>
  <c r="Z149" i="3" s="1"/>
  <c r="G149" i="3" a="1"/>
  <c r="G149" i="3" s="1"/>
  <c r="AB149" i="3" a="1"/>
  <c r="AB149" i="3" s="1"/>
  <c r="AE149" i="3" a="1"/>
  <c r="AE149" i="3" s="1"/>
  <c r="AF149" i="3" a="1"/>
  <c r="AF149" i="3" s="1"/>
  <c r="AG149" i="3" a="1"/>
  <c r="AG149" i="3" s="1"/>
  <c r="AL149" i="3"/>
  <c r="AH149" i="3" a="1"/>
  <c r="AH149" i="3" s="1"/>
  <c r="AI149" i="3"/>
  <c r="U149" i="3" a="1"/>
  <c r="U149" i="3" s="1"/>
  <c r="AJ149" i="3"/>
  <c r="AK149" i="3"/>
  <c r="W149" i="3" a="1"/>
  <c r="W149" i="3" s="1"/>
  <c r="AM149" i="3"/>
  <c r="AN149" i="3"/>
  <c r="AN153" i="3"/>
  <c r="AW153" i="3"/>
  <c r="P153" i="3" s="1"/>
  <c r="X153" i="3" a="1"/>
  <c r="X153" i="3" s="1"/>
  <c r="E153" i="3" a="1"/>
  <c r="E153" i="3" s="1"/>
  <c r="Z153" i="3" a="1"/>
  <c r="Z153" i="3" s="1"/>
  <c r="F153" i="3" a="1"/>
  <c r="F153" i="3" s="1"/>
  <c r="AA153" i="3" a="1"/>
  <c r="AA153" i="3" s="1"/>
  <c r="G153" i="3" a="1"/>
  <c r="G153" i="3" s="1"/>
  <c r="AB153" i="3" a="1"/>
  <c r="AB153" i="3" s="1"/>
  <c r="AE153" i="3" a="1"/>
  <c r="AE153" i="3" s="1"/>
  <c r="U153" i="3" a="1"/>
  <c r="U153" i="3" s="1"/>
  <c r="D153" i="3" a="1"/>
  <c r="D153" i="3" s="1"/>
  <c r="M153" i="3" s="1" a="1"/>
  <c r="M153" i="3" s="1"/>
  <c r="Y153" i="3" a="1"/>
  <c r="Y153" i="3" s="1"/>
  <c r="H153" i="3"/>
  <c r="I153" i="3" a="1"/>
  <c r="I153" i="3" s="1"/>
  <c r="AD153" i="3" a="1"/>
  <c r="AD153" i="3" s="1"/>
  <c r="AF153" i="3" a="1"/>
  <c r="AF153" i="3" s="1"/>
  <c r="AH153" i="3" a="1"/>
  <c r="AH153" i="3" s="1"/>
  <c r="W153" i="3" a="1"/>
  <c r="W153" i="3" s="1"/>
  <c r="AC153" i="3" a="1"/>
  <c r="AC153" i="3" s="1"/>
  <c r="AG153" i="3" a="1"/>
  <c r="AG153" i="3" s="1"/>
  <c r="AI153" i="3"/>
  <c r="AK153" i="3"/>
  <c r="AL153" i="3"/>
  <c r="AM153" i="3"/>
  <c r="AJ153" i="3"/>
  <c r="AN163" i="3"/>
  <c r="X163" i="3" a="1"/>
  <c r="X163" i="3" s="1"/>
  <c r="AW163" i="3"/>
  <c r="P163" i="3" s="1"/>
  <c r="Y163" i="3" a="1"/>
  <c r="Y163" i="3" s="1"/>
  <c r="I163" i="3" a="1"/>
  <c r="I163" i="3" s="1"/>
  <c r="AD163" i="3" a="1"/>
  <c r="AD163" i="3" s="1"/>
  <c r="AF163" i="3" a="1"/>
  <c r="AF163" i="3" s="1"/>
  <c r="AG163" i="3" a="1"/>
  <c r="AG163" i="3" s="1"/>
  <c r="AH163" i="3" a="1"/>
  <c r="AH163" i="3" s="1"/>
  <c r="AI163" i="3"/>
  <c r="AJ163" i="3"/>
  <c r="AK163" i="3"/>
  <c r="AL163" i="3"/>
  <c r="W163" i="3" a="1"/>
  <c r="W163" i="3" s="1"/>
  <c r="AM163" i="3"/>
  <c r="D163" i="3" a="1"/>
  <c r="D163" i="3" s="1"/>
  <c r="M163" i="3" s="1" a="1"/>
  <c r="M163" i="3" s="1"/>
  <c r="E163" i="3" a="1"/>
  <c r="E163" i="3" s="1"/>
  <c r="Z163" i="3" a="1"/>
  <c r="Z163" i="3" s="1"/>
  <c r="F163" i="3" a="1"/>
  <c r="F163" i="3" s="1"/>
  <c r="AA163" i="3" a="1"/>
  <c r="AA163" i="3" s="1"/>
  <c r="G163" i="3" a="1"/>
  <c r="G163" i="3" s="1"/>
  <c r="AB163" i="3" a="1"/>
  <c r="AB163" i="3" s="1"/>
  <c r="H163" i="3"/>
  <c r="AE163" i="3" a="1"/>
  <c r="AE163" i="3" s="1"/>
  <c r="U163" i="3" a="1"/>
  <c r="U163" i="3" s="1"/>
  <c r="AC163" i="3" a="1"/>
  <c r="AC163" i="3" s="1"/>
  <c r="AN165" i="3"/>
  <c r="AH165" i="3" a="1"/>
  <c r="AH165" i="3" s="1"/>
  <c r="U165" i="3" a="1"/>
  <c r="U165" i="3" s="1"/>
  <c r="AM165" i="3"/>
  <c r="X165" i="3" a="1"/>
  <c r="X165" i="3" s="1"/>
  <c r="AW165" i="3"/>
  <c r="P165" i="3" s="1"/>
  <c r="Y165" i="3" a="1"/>
  <c r="Y165" i="3" s="1"/>
  <c r="D165" i="3" a="1"/>
  <c r="D165" i="3" s="1"/>
  <c r="M165" i="3" s="1" a="1"/>
  <c r="M165" i="3" s="1"/>
  <c r="Z165" i="3" a="1"/>
  <c r="Z165" i="3" s="1"/>
  <c r="F165" i="3" a="1"/>
  <c r="F165" i="3" s="1"/>
  <c r="AA165" i="3" a="1"/>
  <c r="AA165" i="3" s="1"/>
  <c r="AB165" i="3" a="1"/>
  <c r="AB165" i="3" s="1"/>
  <c r="AF165" i="3" a="1"/>
  <c r="AF165" i="3" s="1"/>
  <c r="AL165" i="3"/>
  <c r="H165" i="3"/>
  <c r="E165" i="3" a="1"/>
  <c r="E165" i="3" s="1"/>
  <c r="G165" i="3" a="1"/>
  <c r="G165" i="3" s="1"/>
  <c r="I165" i="3" a="1"/>
  <c r="I165" i="3" s="1"/>
  <c r="AD165" i="3" a="1"/>
  <c r="AD165" i="3" s="1"/>
  <c r="AC165" i="3" a="1"/>
  <c r="AC165" i="3" s="1"/>
  <c r="AE165" i="3" a="1"/>
  <c r="AE165" i="3" s="1"/>
  <c r="AG165" i="3" a="1"/>
  <c r="AG165" i="3" s="1"/>
  <c r="AI165" i="3"/>
  <c r="AK165" i="3"/>
  <c r="W165" i="3" a="1"/>
  <c r="W165" i="3" s="1"/>
  <c r="AJ165" i="3"/>
  <c r="AN157" i="3"/>
  <c r="AW157" i="3"/>
  <c r="P157" i="3" s="1"/>
  <c r="AE157" i="3" a="1"/>
  <c r="AE157" i="3" s="1"/>
  <c r="AF157" i="3" a="1"/>
  <c r="AF157" i="3" s="1"/>
  <c r="U157" i="3" a="1"/>
  <c r="U157" i="3" s="1"/>
  <c r="AK157" i="3"/>
  <c r="AL157" i="3"/>
  <c r="X157" i="3" a="1"/>
  <c r="X157" i="3" s="1"/>
  <c r="Y157" i="3" a="1"/>
  <c r="Y157" i="3" s="1"/>
  <c r="D157" i="3" a="1"/>
  <c r="D157" i="3" s="1"/>
  <c r="M157" i="3" s="1" a="1"/>
  <c r="M157" i="3" s="1"/>
  <c r="E157" i="3" a="1"/>
  <c r="E157" i="3" s="1"/>
  <c r="Z157" i="3" a="1"/>
  <c r="Z157" i="3" s="1"/>
  <c r="F157" i="3" a="1"/>
  <c r="F157" i="3" s="1"/>
  <c r="AA157" i="3" a="1"/>
  <c r="AA157" i="3" s="1"/>
  <c r="G157" i="3" a="1"/>
  <c r="G157" i="3" s="1"/>
  <c r="AB157" i="3" a="1"/>
  <c r="AB157" i="3" s="1"/>
  <c r="W157" i="3" a="1"/>
  <c r="W157" i="3" s="1"/>
  <c r="H157" i="3"/>
  <c r="AG157" i="3" a="1"/>
  <c r="AG157" i="3" s="1"/>
  <c r="AH157" i="3" a="1"/>
  <c r="AH157" i="3" s="1"/>
  <c r="AI157" i="3"/>
  <c r="AJ157" i="3"/>
  <c r="AM157" i="3"/>
  <c r="AC157" i="3" a="1"/>
  <c r="AC157" i="3" s="1"/>
  <c r="I157" i="3" a="1"/>
  <c r="I157" i="3" s="1"/>
  <c r="AD157" i="3" a="1"/>
  <c r="AD157" i="3" s="1"/>
  <c r="AN160" i="3"/>
  <c r="AB160" i="3" a="1"/>
  <c r="AB160" i="3" s="1"/>
  <c r="H160" i="3"/>
  <c r="AC160" i="3" a="1"/>
  <c r="AC160" i="3" s="1"/>
  <c r="I160" i="3" a="1"/>
  <c r="I160" i="3" s="1"/>
  <c r="AD160" i="3" a="1"/>
  <c r="AD160" i="3" s="1"/>
  <c r="AE160" i="3" a="1"/>
  <c r="AE160" i="3" s="1"/>
  <c r="W160" i="3" a="1"/>
  <c r="W160" i="3" s="1"/>
  <c r="X160" i="3" a="1"/>
  <c r="X160" i="3" s="1"/>
  <c r="AW160" i="3"/>
  <c r="P160" i="3" s="1"/>
  <c r="AK160" i="3"/>
  <c r="AM160" i="3"/>
  <c r="U160" i="3" a="1"/>
  <c r="U160" i="3" s="1"/>
  <c r="D160" i="3" a="1"/>
  <c r="D160" i="3" s="1"/>
  <c r="M160" i="3" s="1" a="1"/>
  <c r="M160" i="3" s="1"/>
  <c r="Y160" i="3" a="1"/>
  <c r="Y160" i="3" s="1"/>
  <c r="E160" i="3" a="1"/>
  <c r="E160" i="3" s="1"/>
  <c r="Z160" i="3" a="1"/>
  <c r="Z160" i="3" s="1"/>
  <c r="F160" i="3" a="1"/>
  <c r="F160" i="3" s="1"/>
  <c r="AA160" i="3" a="1"/>
  <c r="AA160" i="3" s="1"/>
  <c r="G160" i="3" a="1"/>
  <c r="G160" i="3" s="1"/>
  <c r="AF160" i="3" a="1"/>
  <c r="AF160" i="3" s="1"/>
  <c r="AG160" i="3" a="1"/>
  <c r="AG160" i="3" s="1"/>
  <c r="AH160" i="3" a="1"/>
  <c r="AH160" i="3" s="1"/>
  <c r="AI160" i="3"/>
  <c r="AL160" i="3"/>
  <c r="AJ160" i="3"/>
  <c r="AN150" i="3"/>
  <c r="AI150" i="3"/>
  <c r="U150" i="3" a="1"/>
  <c r="U150" i="3" s="1"/>
  <c r="AK150" i="3"/>
  <c r="AM150" i="3"/>
  <c r="X150" i="3" a="1"/>
  <c r="X150" i="3" s="1"/>
  <c r="AW150" i="3"/>
  <c r="P150" i="3" s="1"/>
  <c r="AF150" i="3" a="1"/>
  <c r="AF150" i="3" s="1"/>
  <c r="AG150" i="3" a="1"/>
  <c r="AG150" i="3" s="1"/>
  <c r="AH150" i="3" a="1"/>
  <c r="AH150" i="3" s="1"/>
  <c r="W150" i="3" a="1"/>
  <c r="W150" i="3" s="1"/>
  <c r="Y150" i="3" a="1"/>
  <c r="Y150" i="3" s="1"/>
  <c r="Z150" i="3" a="1"/>
  <c r="Z150" i="3" s="1"/>
  <c r="F150" i="3" a="1"/>
  <c r="F150" i="3" s="1"/>
  <c r="AA150" i="3" a="1"/>
  <c r="AA150" i="3" s="1"/>
  <c r="G150" i="3" a="1"/>
  <c r="G150" i="3" s="1"/>
  <c r="H150" i="3"/>
  <c r="I150" i="3" a="1"/>
  <c r="I150" i="3" s="1"/>
  <c r="AJ150" i="3"/>
  <c r="AL150" i="3"/>
  <c r="D150" i="3" a="1"/>
  <c r="D150" i="3" s="1"/>
  <c r="M150" i="3" s="1" a="1"/>
  <c r="M150" i="3" s="1"/>
  <c r="E150" i="3" a="1"/>
  <c r="E150" i="3" s="1"/>
  <c r="AB150" i="3" a="1"/>
  <c r="AB150" i="3" s="1"/>
  <c r="AC150" i="3" a="1"/>
  <c r="AC150" i="3" s="1"/>
  <c r="AD150" i="3" a="1"/>
  <c r="AD150" i="3" s="1"/>
  <c r="AE150" i="3" a="1"/>
  <c r="AE150" i="3" s="1"/>
  <c r="AN148" i="3"/>
  <c r="W148" i="3" a="1"/>
  <c r="W148" i="3" s="1"/>
  <c r="AF148" i="3" a="1"/>
  <c r="AF148" i="3" s="1"/>
  <c r="AG148" i="3" a="1"/>
  <c r="AG148" i="3" s="1"/>
  <c r="AH148" i="3" a="1"/>
  <c r="AH148" i="3" s="1"/>
  <c r="AJ148" i="3"/>
  <c r="AW148" i="3"/>
  <c r="P148" i="3" s="1"/>
  <c r="U148" i="3" a="1"/>
  <c r="U148" i="3" s="1"/>
  <c r="AL148" i="3"/>
  <c r="X148" i="3" a="1"/>
  <c r="X148" i="3" s="1"/>
  <c r="AI148" i="3"/>
  <c r="AM148" i="3"/>
  <c r="AK148" i="3"/>
  <c r="AE148" i="3" a="1"/>
  <c r="AE148" i="3" s="1"/>
  <c r="AD148" i="3" a="1"/>
  <c r="AD148" i="3" s="1"/>
  <c r="H148" i="3"/>
  <c r="G148" i="3" a="1"/>
  <c r="G148" i="3" s="1"/>
  <c r="F148" i="3" a="1"/>
  <c r="F148" i="3" s="1"/>
  <c r="E148" i="3" a="1"/>
  <c r="E148" i="3" s="1"/>
  <c r="Y148" i="3" a="1"/>
  <c r="Y148" i="3" s="1"/>
  <c r="D148" i="3" a="1"/>
  <c r="D148" i="3" s="1"/>
  <c r="M148" i="3" s="1" a="1"/>
  <c r="M148" i="3" s="1"/>
  <c r="I148" i="3" a="1"/>
  <c r="I148" i="3" s="1"/>
  <c r="AC148" i="3" a="1"/>
  <c r="AC148" i="3" s="1"/>
  <c r="AB148" i="3" a="1"/>
  <c r="AB148" i="3" s="1"/>
  <c r="AA148" i="3" a="1"/>
  <c r="AA148" i="3" s="1"/>
  <c r="Z148" i="3" a="1"/>
  <c r="Z148" i="3" s="1"/>
  <c r="BM46" i="8"/>
  <c r="AT46" i="8"/>
  <c r="AA46" i="8"/>
  <c r="AA47" i="7"/>
  <c r="AO53" i="7"/>
  <c r="Q53" i="7"/>
  <c r="AO62" i="5"/>
  <c r="V62" i="5"/>
  <c r="T62" i="5"/>
  <c r="AO52" i="5"/>
  <c r="V52" i="5"/>
  <c r="T52" i="5"/>
  <c r="B301" i="3" a="1"/>
  <c r="B301" i="3" s="1"/>
  <c r="C301" i="3" s="1"/>
  <c r="Q301" i="3"/>
  <c r="R301" i="3"/>
  <c r="S301" i="3"/>
  <c r="AX301" i="3"/>
  <c r="T301" i="3" s="1"/>
  <c r="B344" i="3" a="1"/>
  <c r="B344" i="3" s="1"/>
  <c r="C344" i="3" s="1"/>
  <c r="Q344" i="3"/>
  <c r="R344" i="3"/>
  <c r="S344" i="3"/>
  <c r="AX344" i="3"/>
  <c r="T344" i="3" s="1"/>
  <c r="B325" i="3" a="1"/>
  <c r="B325" i="3" s="1"/>
  <c r="C325" i="3" s="1"/>
  <c r="Q325" i="3"/>
  <c r="R325" i="3"/>
  <c r="S325" i="3"/>
  <c r="AX325" i="3"/>
  <c r="T325" i="3" s="1"/>
  <c r="B381" i="3" a="1"/>
  <c r="B381" i="3" s="1"/>
  <c r="C381" i="3" s="1"/>
  <c r="Q381" i="3"/>
  <c r="R381" i="3"/>
  <c r="S381" i="3"/>
  <c r="AX381" i="3"/>
  <c r="T381" i="3" s="1"/>
  <c r="AX204" i="3"/>
  <c r="T204" i="3" s="1"/>
  <c r="S204" i="3"/>
  <c r="R204" i="3"/>
  <c r="Q204" i="3"/>
  <c r="M204" i="3" a="1"/>
  <c r="M204" i="3" s="1"/>
  <c r="B204" i="3" a="1"/>
  <c r="B204" i="3" s="1"/>
  <c r="B326" i="3" a="1"/>
  <c r="B326" i="3" s="1"/>
  <c r="C326" i="3" s="1"/>
  <c r="Q326" i="3"/>
  <c r="R326" i="3"/>
  <c r="S326" i="3"/>
  <c r="AX326" i="3"/>
  <c r="T326" i="3" s="1"/>
  <c r="B391" i="3" a="1"/>
  <c r="B391" i="3" s="1"/>
  <c r="C391" i="3" s="1"/>
  <c r="Q391" i="3"/>
  <c r="R391" i="3"/>
  <c r="S391" i="3"/>
  <c r="AX391" i="3"/>
  <c r="T391" i="3" s="1"/>
  <c r="B328" i="3" a="1"/>
  <c r="B328" i="3" s="1"/>
  <c r="C328" i="3" s="1"/>
  <c r="Q328" i="3"/>
  <c r="R328" i="3"/>
  <c r="S328" i="3"/>
  <c r="AX328" i="3"/>
  <c r="T328" i="3" s="1"/>
  <c r="AF104" i="9"/>
  <c r="AF93" i="9"/>
  <c r="AT93" i="9" s="1"/>
  <c r="B175" i="3" a="1"/>
  <c r="B175" i="3" s="1"/>
  <c r="Q175" i="3"/>
  <c r="R175" i="3"/>
  <c r="S175" i="3"/>
  <c r="AX175" i="3"/>
  <c r="T175" i="3" s="1"/>
  <c r="B176" i="3" a="1"/>
  <c r="B176" i="3" s="1"/>
  <c r="Q176" i="3"/>
  <c r="R176" i="3"/>
  <c r="S176" i="3"/>
  <c r="AX176" i="3"/>
  <c r="T176" i="3" s="1"/>
  <c r="DM196" i="4"/>
  <c r="CY30" i="4"/>
  <c r="CP197" i="4"/>
  <c r="BM130" i="9"/>
  <c r="AT130" i="9"/>
  <c r="BM125" i="9"/>
  <c r="AT125" i="9"/>
  <c r="BM93" i="9"/>
  <c r="BM86" i="9"/>
  <c r="AT86" i="9"/>
  <c r="BM72" i="9"/>
  <c r="AF72" i="9"/>
  <c r="AT72" i="9" s="1"/>
  <c r="AF74" i="9"/>
  <c r="B310" i="3" a="1"/>
  <c r="B310" i="3" s="1"/>
  <c r="C310" i="3" s="1"/>
  <c r="Q310" i="3"/>
  <c r="R310" i="3"/>
  <c r="S310" i="3"/>
  <c r="AX310" i="3"/>
  <c r="T310" i="3" s="1"/>
  <c r="B308" i="3" a="1"/>
  <c r="B308" i="3" s="1"/>
  <c r="C308" i="3" s="1"/>
  <c r="Q308" i="3"/>
  <c r="R308" i="3"/>
  <c r="S308" i="3"/>
  <c r="AX308" i="3"/>
  <c r="T308" i="3" s="1"/>
  <c r="K761" i="12" l="1"/>
  <c r="M761" i="12" s="1"/>
  <c r="V300" i="3"/>
  <c r="V125" i="3"/>
  <c r="V133" i="3"/>
  <c r="V134" i="3"/>
  <c r="V97" i="3"/>
  <c r="V354" i="3"/>
  <c r="V394" i="3"/>
  <c r="V330" i="3"/>
  <c r="V323" i="3"/>
  <c r="V152" i="3"/>
  <c r="V159" i="3"/>
  <c r="V158" i="3"/>
  <c r="V164" i="3"/>
  <c r="V161" i="3"/>
  <c r="V155" i="3"/>
  <c r="V154" i="3"/>
  <c r="V162" i="3"/>
  <c r="V156" i="3"/>
  <c r="V151" i="3"/>
  <c r="V149" i="3"/>
  <c r="V153" i="3"/>
  <c r="V163" i="3"/>
  <c r="V165" i="3"/>
  <c r="V157" i="3"/>
  <c r="V160" i="3"/>
  <c r="V150" i="3"/>
  <c r="V148" i="3"/>
  <c r="AN301" i="3"/>
  <c r="AJ301" i="3"/>
  <c r="AB301" i="3" a="1"/>
  <c r="AB301" i="3" s="1"/>
  <c r="AE301" i="3" a="1"/>
  <c r="AE301" i="3" s="1"/>
  <c r="H301" i="3"/>
  <c r="I301" i="3" a="1"/>
  <c r="I301" i="3" s="1"/>
  <c r="AI301" i="3"/>
  <c r="AL301" i="3"/>
  <c r="AM301" i="3"/>
  <c r="AW301" i="3"/>
  <c r="P301" i="3" s="1"/>
  <c r="AC301" i="3" a="1"/>
  <c r="AC301" i="3" s="1"/>
  <c r="AD301" i="3" a="1"/>
  <c r="AD301" i="3" s="1"/>
  <c r="AG301" i="3" a="1"/>
  <c r="AG301" i="3" s="1"/>
  <c r="G301" i="3" a="1"/>
  <c r="G301" i="3" s="1"/>
  <c r="AH301" i="3" a="1"/>
  <c r="AH301" i="3" s="1"/>
  <c r="W301" i="3" a="1"/>
  <c r="W301" i="3" s="1"/>
  <c r="X301" i="3" a="1"/>
  <c r="X301" i="3" s="1"/>
  <c r="Z301" i="3" a="1"/>
  <c r="Z301" i="3" s="1"/>
  <c r="E301" i="3" a="1"/>
  <c r="E301" i="3" s="1"/>
  <c r="AF301" i="3" a="1"/>
  <c r="AF301" i="3" s="1"/>
  <c r="F301" i="3" a="1"/>
  <c r="F301" i="3" s="1"/>
  <c r="AK301" i="3"/>
  <c r="U301" i="3" a="1"/>
  <c r="U301" i="3" s="1"/>
  <c r="AA301" i="3" a="1"/>
  <c r="AA301" i="3" s="1"/>
  <c r="Y301" i="3" a="1"/>
  <c r="Y301" i="3" s="1"/>
  <c r="D301" i="3" a="1"/>
  <c r="D301" i="3" s="1"/>
  <c r="M301" i="3" s="1" a="1"/>
  <c r="M301" i="3" s="1"/>
  <c r="AN344" i="3"/>
  <c r="Z344" i="3" a="1"/>
  <c r="Z344" i="3" s="1"/>
  <c r="AE344" i="3" a="1"/>
  <c r="AE344" i="3" s="1"/>
  <c r="AI344" i="3"/>
  <c r="AM344" i="3"/>
  <c r="X344" i="3" a="1"/>
  <c r="X344" i="3" s="1"/>
  <c r="AA344" i="3" a="1"/>
  <c r="AA344" i="3" s="1"/>
  <c r="D344" i="3" a="1"/>
  <c r="D344" i="3" s="1"/>
  <c r="M344" i="3" s="1" a="1"/>
  <c r="M344" i="3" s="1"/>
  <c r="F344" i="3" a="1"/>
  <c r="F344" i="3" s="1"/>
  <c r="I344" i="3" a="1"/>
  <c r="I344" i="3" s="1"/>
  <c r="AK344" i="3"/>
  <c r="AB344" i="3" a="1"/>
  <c r="AB344" i="3" s="1"/>
  <c r="E344" i="3" a="1"/>
  <c r="E344" i="3" s="1"/>
  <c r="AC344" i="3" a="1"/>
  <c r="AC344" i="3" s="1"/>
  <c r="AD344" i="3" a="1"/>
  <c r="AD344" i="3" s="1"/>
  <c r="G344" i="3" a="1"/>
  <c r="G344" i="3" s="1"/>
  <c r="H344" i="3"/>
  <c r="AF344" i="3" a="1"/>
  <c r="AF344" i="3" s="1"/>
  <c r="AG344" i="3" a="1"/>
  <c r="AG344" i="3" s="1"/>
  <c r="AH344" i="3" a="1"/>
  <c r="AH344" i="3" s="1"/>
  <c r="AJ344" i="3"/>
  <c r="U344" i="3" a="1"/>
  <c r="U344" i="3" s="1"/>
  <c r="AW344" i="3"/>
  <c r="P344" i="3" s="1"/>
  <c r="W344" i="3" a="1"/>
  <c r="W344" i="3" s="1"/>
  <c r="Y344" i="3" a="1"/>
  <c r="Y344" i="3" s="1"/>
  <c r="AL344" i="3"/>
  <c r="AN325" i="3"/>
  <c r="AA325" i="3" a="1"/>
  <c r="AA325" i="3" s="1"/>
  <c r="AB325" i="3" a="1"/>
  <c r="AB325" i="3" s="1"/>
  <c r="H325" i="3"/>
  <c r="AC325" i="3" a="1"/>
  <c r="AC325" i="3" s="1"/>
  <c r="I325" i="3" a="1"/>
  <c r="I325" i="3" s="1"/>
  <c r="W325" i="3" a="1"/>
  <c r="W325" i="3" s="1"/>
  <c r="X325" i="3" a="1"/>
  <c r="X325" i="3" s="1"/>
  <c r="AW325" i="3"/>
  <c r="P325" i="3" s="1"/>
  <c r="D325" i="3" a="1"/>
  <c r="D325" i="3" s="1"/>
  <c r="M325" i="3" s="1" a="1"/>
  <c r="M325" i="3" s="1"/>
  <c r="Y325" i="3" a="1"/>
  <c r="Y325" i="3" s="1"/>
  <c r="E325" i="3" a="1"/>
  <c r="E325" i="3" s="1"/>
  <c r="Z325" i="3" a="1"/>
  <c r="Z325" i="3" s="1"/>
  <c r="F325" i="3" a="1"/>
  <c r="F325" i="3" s="1"/>
  <c r="G325" i="3" a="1"/>
  <c r="G325" i="3" s="1"/>
  <c r="AD325" i="3" a="1"/>
  <c r="AD325" i="3" s="1"/>
  <c r="AE325" i="3" a="1"/>
  <c r="AE325" i="3" s="1"/>
  <c r="AF325" i="3" a="1"/>
  <c r="AF325" i="3" s="1"/>
  <c r="AJ325" i="3"/>
  <c r="AK325" i="3"/>
  <c r="AL325" i="3"/>
  <c r="AM325" i="3"/>
  <c r="AG325" i="3" a="1"/>
  <c r="AG325" i="3" s="1"/>
  <c r="AH325" i="3" a="1"/>
  <c r="AH325" i="3" s="1"/>
  <c r="AI325" i="3"/>
  <c r="U325" i="3" a="1"/>
  <c r="U325" i="3" s="1"/>
  <c r="AN381" i="3"/>
  <c r="X381" i="3" a="1"/>
  <c r="X381" i="3" s="1"/>
  <c r="AW381" i="3"/>
  <c r="P381" i="3" s="1"/>
  <c r="AA381" i="3" a="1"/>
  <c r="AA381" i="3" s="1"/>
  <c r="AH381" i="3" a="1"/>
  <c r="AH381" i="3" s="1"/>
  <c r="AJ381" i="3"/>
  <c r="F381" i="3" a="1"/>
  <c r="F381" i="3" s="1"/>
  <c r="AB381" i="3" a="1"/>
  <c r="AB381" i="3" s="1"/>
  <c r="AG381" i="3" a="1"/>
  <c r="AG381" i="3" s="1"/>
  <c r="U381" i="3" a="1"/>
  <c r="U381" i="3" s="1"/>
  <c r="AL381" i="3"/>
  <c r="D381" i="3" a="1"/>
  <c r="D381" i="3" s="1"/>
  <c r="M381" i="3" s="1" a="1"/>
  <c r="M381" i="3" s="1"/>
  <c r="Y381" i="3" a="1"/>
  <c r="Y381" i="3" s="1"/>
  <c r="W381" i="3" a="1"/>
  <c r="W381" i="3" s="1"/>
  <c r="E381" i="3" a="1"/>
  <c r="E381" i="3" s="1"/>
  <c r="Z381" i="3" a="1"/>
  <c r="Z381" i="3" s="1"/>
  <c r="G381" i="3" a="1"/>
  <c r="G381" i="3" s="1"/>
  <c r="AM381" i="3"/>
  <c r="H381" i="3"/>
  <c r="AC381" i="3" a="1"/>
  <c r="AC381" i="3" s="1"/>
  <c r="I381" i="3" a="1"/>
  <c r="I381" i="3" s="1"/>
  <c r="AD381" i="3" a="1"/>
  <c r="AD381" i="3" s="1"/>
  <c r="AF381" i="3" a="1"/>
  <c r="AF381" i="3" s="1"/>
  <c r="AI381" i="3"/>
  <c r="AK381" i="3"/>
  <c r="AE381" i="3" a="1"/>
  <c r="AE381" i="3" s="1"/>
  <c r="C204" i="3"/>
  <c r="AD204" i="3" a="1"/>
  <c r="AD204" i="3" s="1"/>
  <c r="Y204" i="3" a="1"/>
  <c r="Y204" i="3" s="1"/>
  <c r="AW204" i="3"/>
  <c r="P204" i="3" s="1"/>
  <c r="X204" i="3" a="1"/>
  <c r="X204" i="3" s="1"/>
  <c r="AI204" i="3"/>
  <c r="AN204" i="3"/>
  <c r="Z204" i="3" a="1"/>
  <c r="Z204" i="3" s="1"/>
  <c r="AM204" i="3"/>
  <c r="W204" i="3" a="1"/>
  <c r="W204" i="3" s="1"/>
  <c r="AL204" i="3"/>
  <c r="U204" i="3" a="1"/>
  <c r="U204" i="3" s="1"/>
  <c r="AH204" i="3" a="1"/>
  <c r="AH204" i="3" s="1"/>
  <c r="AG204" i="3" a="1"/>
  <c r="AG204" i="3" s="1"/>
  <c r="AF204" i="3" a="1"/>
  <c r="AF204" i="3" s="1"/>
  <c r="H204" i="3"/>
  <c r="AB204" i="3" a="1"/>
  <c r="AB204" i="3" s="1"/>
  <c r="AA204" i="3" a="1"/>
  <c r="AA204" i="3" s="1"/>
  <c r="AE204" i="3" a="1"/>
  <c r="AE204" i="3" s="1"/>
  <c r="AC204" i="3" a="1"/>
  <c r="AC204" i="3" s="1"/>
  <c r="G204" i="3" a="1"/>
  <c r="G204" i="3" s="1"/>
  <c r="F204" i="3" a="1"/>
  <c r="F204" i="3" s="1"/>
  <c r="E204" i="3" a="1"/>
  <c r="E204" i="3" s="1"/>
  <c r="D204" i="3" a="1"/>
  <c r="D204" i="3" s="1"/>
  <c r="AK204" i="3"/>
  <c r="AJ204" i="3"/>
  <c r="I204" i="3" a="1"/>
  <c r="I204" i="3" s="1"/>
  <c r="AN326" i="3"/>
  <c r="AE326" i="3" a="1"/>
  <c r="AE326" i="3" s="1"/>
  <c r="AI326" i="3"/>
  <c r="U326" i="3" a="1"/>
  <c r="U326" i="3" s="1"/>
  <c r="AJ326" i="3"/>
  <c r="AK326" i="3"/>
  <c r="AL326" i="3"/>
  <c r="X326" i="3" a="1"/>
  <c r="X326" i="3" s="1"/>
  <c r="AW326" i="3"/>
  <c r="P326" i="3" s="1"/>
  <c r="AC326" i="3" a="1"/>
  <c r="AC326" i="3" s="1"/>
  <c r="I326" i="3" a="1"/>
  <c r="I326" i="3" s="1"/>
  <c r="AD326" i="3" a="1"/>
  <c r="AD326" i="3" s="1"/>
  <c r="AM326" i="3"/>
  <c r="D326" i="3" a="1"/>
  <c r="D326" i="3" s="1"/>
  <c r="M326" i="3" s="1" a="1"/>
  <c r="M326" i="3" s="1"/>
  <c r="Y326" i="3" a="1"/>
  <c r="Y326" i="3" s="1"/>
  <c r="H326" i="3"/>
  <c r="E326" i="3" a="1"/>
  <c r="E326" i="3" s="1"/>
  <c r="Z326" i="3" a="1"/>
  <c r="Z326" i="3" s="1"/>
  <c r="F326" i="3" a="1"/>
  <c r="F326" i="3" s="1"/>
  <c r="AA326" i="3" a="1"/>
  <c r="AA326" i="3" s="1"/>
  <c r="G326" i="3" a="1"/>
  <c r="G326" i="3" s="1"/>
  <c r="AB326" i="3" a="1"/>
  <c r="AB326" i="3" s="1"/>
  <c r="AF326" i="3" a="1"/>
  <c r="AF326" i="3" s="1"/>
  <c r="AG326" i="3" a="1"/>
  <c r="AG326" i="3" s="1"/>
  <c r="AH326" i="3" a="1"/>
  <c r="AH326" i="3" s="1"/>
  <c r="W326" i="3" a="1"/>
  <c r="W326" i="3" s="1"/>
  <c r="X391" i="3" a="1"/>
  <c r="X391" i="3" s="1"/>
  <c r="AW391" i="3"/>
  <c r="P391" i="3" s="1"/>
  <c r="F391" i="3" a="1"/>
  <c r="F391" i="3" s="1"/>
  <c r="G391" i="3" a="1"/>
  <c r="G391" i="3" s="1"/>
  <c r="AB391" i="3" a="1"/>
  <c r="AB391" i="3" s="1"/>
  <c r="H391" i="3"/>
  <c r="I391" i="3" a="1"/>
  <c r="I391" i="3" s="1"/>
  <c r="AD391" i="3" a="1"/>
  <c r="AD391" i="3" s="1"/>
  <c r="AE391" i="3" a="1"/>
  <c r="AE391" i="3" s="1"/>
  <c r="AF391" i="3" a="1"/>
  <c r="AF391" i="3" s="1"/>
  <c r="W391" i="3" a="1"/>
  <c r="W391" i="3" s="1"/>
  <c r="AN391" i="3"/>
  <c r="D391" i="3" a="1"/>
  <c r="D391" i="3" s="1"/>
  <c r="M391" i="3" s="1" a="1"/>
  <c r="M391" i="3" s="1"/>
  <c r="Y391" i="3" a="1"/>
  <c r="Y391" i="3" s="1"/>
  <c r="E391" i="3" a="1"/>
  <c r="E391" i="3" s="1"/>
  <c r="Z391" i="3" a="1"/>
  <c r="Z391" i="3" s="1"/>
  <c r="AA391" i="3" a="1"/>
  <c r="AA391" i="3" s="1"/>
  <c r="AC391" i="3" a="1"/>
  <c r="AC391" i="3" s="1"/>
  <c r="AG391" i="3" a="1"/>
  <c r="AG391" i="3" s="1"/>
  <c r="AH391" i="3" a="1"/>
  <c r="AH391" i="3" s="1"/>
  <c r="AI391" i="3"/>
  <c r="AJ391" i="3"/>
  <c r="AK391" i="3"/>
  <c r="AL391" i="3"/>
  <c r="AM391" i="3"/>
  <c r="U391" i="3" a="1"/>
  <c r="U391" i="3" s="1"/>
  <c r="AN328" i="3"/>
  <c r="AG328" i="3" a="1"/>
  <c r="AG328" i="3" s="1"/>
  <c r="AH328" i="3" a="1"/>
  <c r="AH328" i="3" s="1"/>
  <c r="AI328" i="3"/>
  <c r="U328" i="3" a="1"/>
  <c r="U328" i="3" s="1"/>
  <c r="AJ328" i="3"/>
  <c r="AK328" i="3"/>
  <c r="AL328" i="3"/>
  <c r="AM328" i="3"/>
  <c r="X328" i="3" a="1"/>
  <c r="X328" i="3" s="1"/>
  <c r="AW328" i="3"/>
  <c r="P328" i="3" s="1"/>
  <c r="Y328" i="3" a="1"/>
  <c r="Y328" i="3" s="1"/>
  <c r="F328" i="3" a="1"/>
  <c r="F328" i="3" s="1"/>
  <c r="G328" i="3" a="1"/>
  <c r="G328" i="3" s="1"/>
  <c r="AB328" i="3" a="1"/>
  <c r="AB328" i="3" s="1"/>
  <c r="H328" i="3"/>
  <c r="AC328" i="3" a="1"/>
  <c r="AC328" i="3" s="1"/>
  <c r="D328" i="3" a="1"/>
  <c r="D328" i="3" s="1"/>
  <c r="M328" i="3" s="1" a="1"/>
  <c r="M328" i="3" s="1"/>
  <c r="E328" i="3" a="1"/>
  <c r="E328" i="3" s="1"/>
  <c r="Z328" i="3" a="1"/>
  <c r="Z328" i="3" s="1"/>
  <c r="AA328" i="3" a="1"/>
  <c r="AA328" i="3" s="1"/>
  <c r="I328" i="3" a="1"/>
  <c r="I328" i="3" s="1"/>
  <c r="AD328" i="3" a="1"/>
  <c r="AD328" i="3" s="1"/>
  <c r="AE328" i="3" a="1"/>
  <c r="AE328" i="3" s="1"/>
  <c r="AF328" i="3" a="1"/>
  <c r="AF328" i="3" s="1"/>
  <c r="W328" i="3" a="1"/>
  <c r="W328" i="3" s="1"/>
  <c r="AN175" i="3"/>
  <c r="AG175" i="3" a="1"/>
  <c r="AG175" i="3" s="1"/>
  <c r="AH175" i="3" a="1"/>
  <c r="AH175" i="3" s="1"/>
  <c r="U175" i="3" a="1"/>
  <c r="U175" i="3" s="1"/>
  <c r="AL175" i="3"/>
  <c r="AM175" i="3"/>
  <c r="X175" i="3" a="1"/>
  <c r="X175" i="3" s="1"/>
  <c r="AW175" i="3"/>
  <c r="P175" i="3" s="1"/>
  <c r="D175" i="3" a="1"/>
  <c r="D175" i="3" s="1"/>
  <c r="M175" i="3" s="1" a="1"/>
  <c r="M175" i="3" s="1"/>
  <c r="AC175" i="3" a="1"/>
  <c r="AC175" i="3" s="1"/>
  <c r="C175" i="3"/>
  <c r="Y175" i="3" a="1"/>
  <c r="Y175" i="3" s="1"/>
  <c r="E175" i="3" a="1"/>
  <c r="E175" i="3" s="1"/>
  <c r="Z175" i="3" a="1"/>
  <c r="Z175" i="3" s="1"/>
  <c r="F175" i="3" a="1"/>
  <c r="F175" i="3" s="1"/>
  <c r="AA175" i="3" a="1"/>
  <c r="AA175" i="3" s="1"/>
  <c r="G175" i="3" a="1"/>
  <c r="G175" i="3" s="1"/>
  <c r="AB175" i="3" a="1"/>
  <c r="AB175" i="3" s="1"/>
  <c r="H175" i="3"/>
  <c r="I175" i="3" a="1"/>
  <c r="I175" i="3" s="1"/>
  <c r="AD175" i="3" a="1"/>
  <c r="AD175" i="3" s="1"/>
  <c r="AE175" i="3" a="1"/>
  <c r="AE175" i="3" s="1"/>
  <c r="AI175" i="3"/>
  <c r="AJ175" i="3"/>
  <c r="AK175" i="3"/>
  <c r="W175" i="3" a="1"/>
  <c r="W175" i="3" s="1"/>
  <c r="AF175" i="3" a="1"/>
  <c r="AF175" i="3" s="1"/>
  <c r="AN176" i="3"/>
  <c r="AI176" i="3"/>
  <c r="AJ176" i="3"/>
  <c r="AK176" i="3"/>
  <c r="AL176" i="3"/>
  <c r="AM176" i="3"/>
  <c r="X176" i="3" a="1"/>
  <c r="X176" i="3" s="1"/>
  <c r="AW176" i="3"/>
  <c r="P176" i="3" s="1"/>
  <c r="C176" i="3"/>
  <c r="E176" i="3" a="1"/>
  <c r="E176" i="3" s="1"/>
  <c r="AA176" i="3" a="1"/>
  <c r="AA176" i="3" s="1"/>
  <c r="G176" i="3" a="1"/>
  <c r="G176" i="3" s="1"/>
  <c r="AB176" i="3" a="1"/>
  <c r="AB176" i="3" s="1"/>
  <c r="AF176" i="3" a="1"/>
  <c r="AF176" i="3" s="1"/>
  <c r="AG176" i="3" a="1"/>
  <c r="AG176" i="3" s="1"/>
  <c r="AH176" i="3" a="1"/>
  <c r="AH176" i="3" s="1"/>
  <c r="U176" i="3" a="1"/>
  <c r="U176" i="3" s="1"/>
  <c r="W176" i="3" a="1"/>
  <c r="W176" i="3" s="1"/>
  <c r="D176" i="3" a="1"/>
  <c r="D176" i="3" s="1"/>
  <c r="M176" i="3" s="1" a="1"/>
  <c r="M176" i="3" s="1"/>
  <c r="Y176" i="3" a="1"/>
  <c r="Y176" i="3" s="1"/>
  <c r="Z176" i="3" a="1"/>
  <c r="Z176" i="3" s="1"/>
  <c r="F176" i="3" a="1"/>
  <c r="F176" i="3" s="1"/>
  <c r="H176" i="3"/>
  <c r="AC176" i="3" a="1"/>
  <c r="AC176" i="3" s="1"/>
  <c r="I176" i="3" a="1"/>
  <c r="I176" i="3" s="1"/>
  <c r="AD176" i="3" a="1"/>
  <c r="AD176" i="3" s="1"/>
  <c r="AE176" i="3" a="1"/>
  <c r="AE176" i="3" s="1"/>
  <c r="X310" i="3" a="1"/>
  <c r="X310" i="3" s="1"/>
  <c r="AW310" i="3"/>
  <c r="P310" i="3" s="1"/>
  <c r="Z310" i="3" a="1"/>
  <c r="Z310" i="3" s="1"/>
  <c r="AE310" i="3" a="1"/>
  <c r="AE310" i="3" s="1"/>
  <c r="AF310" i="3" a="1"/>
  <c r="AF310" i="3" s="1"/>
  <c r="AI310" i="3"/>
  <c r="U310" i="3" a="1"/>
  <c r="U310" i="3" s="1"/>
  <c r="AK310" i="3"/>
  <c r="AL310" i="3"/>
  <c r="W310" i="3" a="1"/>
  <c r="W310" i="3" s="1"/>
  <c r="AN310" i="3"/>
  <c r="AA310" i="3" a="1"/>
  <c r="AA310" i="3" s="1"/>
  <c r="H310" i="3"/>
  <c r="AG310" i="3" a="1"/>
  <c r="AG310" i="3" s="1"/>
  <c r="AJ310" i="3"/>
  <c r="AM310" i="3"/>
  <c r="D310" i="3" a="1"/>
  <c r="D310" i="3" s="1"/>
  <c r="M310" i="3" s="1" a="1"/>
  <c r="M310" i="3" s="1"/>
  <c r="Y310" i="3" a="1"/>
  <c r="Y310" i="3" s="1"/>
  <c r="G310" i="3" a="1"/>
  <c r="G310" i="3" s="1"/>
  <c r="E310" i="3" a="1"/>
  <c r="E310" i="3" s="1"/>
  <c r="F310" i="3" a="1"/>
  <c r="F310" i="3" s="1"/>
  <c r="AC310" i="3" a="1"/>
  <c r="AC310" i="3" s="1"/>
  <c r="I310" i="3" a="1"/>
  <c r="I310" i="3" s="1"/>
  <c r="AH310" i="3" a="1"/>
  <c r="AH310" i="3" s="1"/>
  <c r="AD310" i="3" a="1"/>
  <c r="AD310" i="3" s="1"/>
  <c r="AB310" i="3" a="1"/>
  <c r="AB310" i="3" s="1"/>
  <c r="X308" i="3" a="1"/>
  <c r="X308" i="3" s="1"/>
  <c r="AW308" i="3"/>
  <c r="P308" i="3" s="1"/>
  <c r="AM308" i="3"/>
  <c r="D308" i="3" a="1"/>
  <c r="D308" i="3" s="1"/>
  <c r="M308" i="3" s="1" a="1"/>
  <c r="M308" i="3" s="1"/>
  <c r="Y308" i="3" a="1"/>
  <c r="Y308" i="3" s="1"/>
  <c r="AA308" i="3" a="1"/>
  <c r="AA308" i="3" s="1"/>
  <c r="G308" i="3" a="1"/>
  <c r="G308" i="3" s="1"/>
  <c r="AB308" i="3" a="1"/>
  <c r="AB308" i="3" s="1"/>
  <c r="AC308" i="3" a="1"/>
  <c r="AC308" i="3" s="1"/>
  <c r="I308" i="3" a="1"/>
  <c r="I308" i="3" s="1"/>
  <c r="AD308" i="3" a="1"/>
  <c r="AD308" i="3" s="1"/>
  <c r="AE308" i="3" a="1"/>
  <c r="AE308" i="3" s="1"/>
  <c r="Z308" i="3" a="1"/>
  <c r="Z308" i="3" s="1"/>
  <c r="H308" i="3"/>
  <c r="E308" i="3" a="1"/>
  <c r="E308" i="3" s="1"/>
  <c r="AG308" i="3" a="1"/>
  <c r="AG308" i="3" s="1"/>
  <c r="AI308" i="3"/>
  <c r="U308" i="3" a="1"/>
  <c r="U308" i="3" s="1"/>
  <c r="AK308" i="3"/>
  <c r="F308" i="3" a="1"/>
  <c r="F308" i="3" s="1"/>
  <c r="AN308" i="3"/>
  <c r="AF308" i="3" a="1"/>
  <c r="AF308" i="3" s="1"/>
  <c r="W308" i="3" a="1"/>
  <c r="W308" i="3" s="1"/>
  <c r="AH308" i="3" a="1"/>
  <c r="AH308" i="3" s="1"/>
  <c r="AJ308" i="3"/>
  <c r="AL308" i="3"/>
  <c r="CF87" i="8"/>
  <c r="BM87" i="8"/>
  <c r="AT87" i="8"/>
  <c r="AA87" i="8"/>
  <c r="CF146" i="4"/>
  <c r="BM146" i="4"/>
  <c r="AT146" i="4"/>
  <c r="AA146" i="4"/>
  <c r="B368" i="3" a="1"/>
  <c r="B368" i="3" s="1"/>
  <c r="C368" i="3" s="1"/>
  <c r="Q368" i="3"/>
  <c r="R368" i="3"/>
  <c r="S368" i="3"/>
  <c r="AX368" i="3"/>
  <c r="T368" i="3" s="1"/>
  <c r="B347" i="3" a="1"/>
  <c r="B347" i="3" s="1"/>
  <c r="C347" i="3" s="1"/>
  <c r="Q347" i="3"/>
  <c r="R347" i="3"/>
  <c r="S347" i="3"/>
  <c r="AX347" i="3"/>
  <c r="T347" i="3" s="1"/>
  <c r="DM199" i="4"/>
  <c r="AF40" i="9"/>
  <c r="AT40" i="9" s="1"/>
  <c r="CF27" i="8"/>
  <c r="BM27" i="8"/>
  <c r="AT27" i="8"/>
  <c r="AA27" i="8"/>
  <c r="AA28" i="7"/>
  <c r="BM40" i="9"/>
  <c r="N34" i="5"/>
  <c r="N21" i="5"/>
  <c r="K840" i="12" l="1"/>
  <c r="M840" i="12" s="1"/>
  <c r="K843" i="12"/>
  <c r="M843" i="12" s="1"/>
  <c r="V301" i="3"/>
  <c r="V344" i="3"/>
  <c r="V325" i="3"/>
  <c r="V381" i="3"/>
  <c r="V204" i="3"/>
  <c r="V326" i="3"/>
  <c r="V391" i="3"/>
  <c r="V328" i="3"/>
  <c r="V175" i="3"/>
  <c r="V176" i="3"/>
  <c r="V310" i="3"/>
  <c r="V308" i="3"/>
  <c r="X368" i="3" a="1"/>
  <c r="X368" i="3" s="1"/>
  <c r="AW368" i="3"/>
  <c r="P368" i="3" s="1"/>
  <c r="AJ368" i="3"/>
  <c r="Y368" i="3" a="1"/>
  <c r="Y368" i="3" s="1"/>
  <c r="AF368" i="3" a="1"/>
  <c r="AF368" i="3" s="1"/>
  <c r="AG368" i="3" a="1"/>
  <c r="AG368" i="3" s="1"/>
  <c r="AH368" i="3" a="1"/>
  <c r="AH368" i="3" s="1"/>
  <c r="AI368" i="3"/>
  <c r="W368" i="3" a="1"/>
  <c r="W368" i="3" s="1"/>
  <c r="D368" i="3" a="1"/>
  <c r="D368" i="3" s="1"/>
  <c r="M368" i="3" s="1" a="1"/>
  <c r="M368" i="3" s="1"/>
  <c r="Z368" i="3" a="1"/>
  <c r="Z368" i="3" s="1"/>
  <c r="AC368" i="3" a="1"/>
  <c r="AC368" i="3" s="1"/>
  <c r="AD368" i="3" a="1"/>
  <c r="AD368" i="3" s="1"/>
  <c r="AK368" i="3"/>
  <c r="AM368" i="3"/>
  <c r="E368" i="3" a="1"/>
  <c r="E368" i="3" s="1"/>
  <c r="U368" i="3" a="1"/>
  <c r="U368" i="3" s="1"/>
  <c r="AN368" i="3"/>
  <c r="AA368" i="3" a="1"/>
  <c r="AA368" i="3" s="1"/>
  <c r="F368" i="3" a="1"/>
  <c r="F368" i="3" s="1"/>
  <c r="AB368" i="3" a="1"/>
  <c r="AB368" i="3" s="1"/>
  <c r="G368" i="3" a="1"/>
  <c r="G368" i="3" s="1"/>
  <c r="H368" i="3"/>
  <c r="I368" i="3" a="1"/>
  <c r="I368" i="3" s="1"/>
  <c r="AE368" i="3" a="1"/>
  <c r="AE368" i="3" s="1"/>
  <c r="AL368" i="3"/>
  <c r="X347" i="3" a="1"/>
  <c r="X347" i="3" s="1"/>
  <c r="AW347" i="3"/>
  <c r="P347" i="3" s="1"/>
  <c r="AI347" i="3"/>
  <c r="AJ347" i="3"/>
  <c r="AL347" i="3"/>
  <c r="AD347" i="3" a="1"/>
  <c r="AD347" i="3" s="1"/>
  <c r="AF347" i="3" a="1"/>
  <c r="AF347" i="3" s="1"/>
  <c r="U347" i="3" a="1"/>
  <c r="U347" i="3" s="1"/>
  <c r="AN347" i="3"/>
  <c r="Y347" i="3" a="1"/>
  <c r="Y347" i="3" s="1"/>
  <c r="AC347" i="3" a="1"/>
  <c r="AC347" i="3" s="1"/>
  <c r="I347" i="3" a="1"/>
  <c r="I347" i="3" s="1"/>
  <c r="AE347" i="3" a="1"/>
  <c r="AE347" i="3" s="1"/>
  <c r="D347" i="3" a="1"/>
  <c r="D347" i="3" s="1"/>
  <c r="M347" i="3" s="1" a="1"/>
  <c r="M347" i="3" s="1"/>
  <c r="AB347" i="3" a="1"/>
  <c r="AB347" i="3" s="1"/>
  <c r="H347" i="3"/>
  <c r="AG347" i="3" a="1"/>
  <c r="AG347" i="3" s="1"/>
  <c r="AH347" i="3" a="1"/>
  <c r="AH347" i="3" s="1"/>
  <c r="AM347" i="3"/>
  <c r="Z347" i="3" a="1"/>
  <c r="Z347" i="3" s="1"/>
  <c r="F347" i="3" a="1"/>
  <c r="F347" i="3" s="1"/>
  <c r="E347" i="3" a="1"/>
  <c r="E347" i="3" s="1"/>
  <c r="AA347" i="3" a="1"/>
  <c r="AA347" i="3" s="1"/>
  <c r="AK347" i="3"/>
  <c r="G347" i="3" a="1"/>
  <c r="G347" i="3" s="1"/>
  <c r="W347" i="3" a="1"/>
  <c r="W347" i="3" s="1"/>
  <c r="O20" i="5" a="1"/>
  <c r="O20" i="5" s="1"/>
  <c r="CF102" i="8"/>
  <c r="CT102" i="8" s="1"/>
  <c r="CT100" i="8"/>
  <c r="BM102" i="8"/>
  <c r="CA100" i="8"/>
  <c r="AT102" i="8"/>
  <c r="BH100" i="8"/>
  <c r="N49" i="8"/>
  <c r="O192" i="4"/>
  <c r="N192" i="4"/>
  <c r="O78" i="4"/>
  <c r="N78" i="4"/>
  <c r="DI197" i="4"/>
  <c r="DI200" i="4"/>
  <c r="FQ103" i="4"/>
  <c r="EX103" i="4"/>
  <c r="DM103" i="4"/>
  <c r="CT103" i="4"/>
  <c r="CA103" i="4"/>
  <c r="BH103" i="4"/>
  <c r="AO103" i="4"/>
  <c r="B334" i="3" a="1"/>
  <c r="B334" i="3" s="1"/>
  <c r="C334" i="3" s="1"/>
  <c r="Q334" i="3"/>
  <c r="R334" i="3"/>
  <c r="S334" i="3"/>
  <c r="AX334" i="3"/>
  <c r="T334" i="3" s="1"/>
  <c r="CT50" i="8"/>
  <c r="CA50" i="8"/>
  <c r="AO50" i="8"/>
  <c r="V50" i="8"/>
  <c r="CT27" i="8"/>
  <c r="CA27" i="8"/>
  <c r="BH27" i="8"/>
  <c r="AO27" i="8"/>
  <c r="V27" i="8"/>
  <c r="Q27" i="8"/>
  <c r="AO28" i="7"/>
  <c r="Q28" i="7"/>
  <c r="Q62" i="3"/>
  <c r="R62" i="3"/>
  <c r="S62" i="3"/>
  <c r="B62" i="3" a="1"/>
  <c r="B62" i="3" s="1"/>
  <c r="C62" i="3" s="1"/>
  <c r="AX62" i="3"/>
  <c r="T62" i="3" s="1"/>
  <c r="V368" i="3" l="1"/>
  <c r="V347" i="3"/>
  <c r="CA102" i="8"/>
  <c r="BH102" i="8"/>
  <c r="AA334" i="3" a="1"/>
  <c r="AA334" i="3" s="1"/>
  <c r="I334" i="3" a="1"/>
  <c r="I334" i="3" s="1"/>
  <c r="AG334" i="3" a="1"/>
  <c r="AG334" i="3" s="1"/>
  <c r="U334" i="3" a="1"/>
  <c r="U334" i="3" s="1"/>
  <c r="AK334" i="3"/>
  <c r="AM334" i="3"/>
  <c r="AN334" i="3"/>
  <c r="Y334" i="3" a="1"/>
  <c r="Y334" i="3" s="1"/>
  <c r="F334" i="3" a="1"/>
  <c r="F334" i="3" s="1"/>
  <c r="G334" i="3" a="1"/>
  <c r="G334" i="3" s="1"/>
  <c r="H334" i="3"/>
  <c r="D334" i="3" a="1"/>
  <c r="D334" i="3" s="1"/>
  <c r="M334" i="3" s="1" a="1"/>
  <c r="M334" i="3" s="1"/>
  <c r="Z334" i="3" a="1"/>
  <c r="Z334" i="3" s="1"/>
  <c r="AB334" i="3" a="1"/>
  <c r="AB334" i="3" s="1"/>
  <c r="AC334" i="3" a="1"/>
  <c r="AC334" i="3" s="1"/>
  <c r="AD334" i="3" a="1"/>
  <c r="AD334" i="3" s="1"/>
  <c r="AE334" i="3" a="1"/>
  <c r="AE334" i="3" s="1"/>
  <c r="AF334" i="3" a="1"/>
  <c r="AF334" i="3" s="1"/>
  <c r="AI334" i="3"/>
  <c r="AJ334" i="3"/>
  <c r="AL334" i="3"/>
  <c r="W334" i="3" a="1"/>
  <c r="W334" i="3" s="1"/>
  <c r="X334" i="3" a="1"/>
  <c r="X334" i="3" s="1"/>
  <c r="E334" i="3" a="1"/>
  <c r="E334" i="3" s="1"/>
  <c r="AH334" i="3" a="1"/>
  <c r="AH334" i="3" s="1"/>
  <c r="AW334" i="3"/>
  <c r="P334" i="3" s="1"/>
  <c r="Q50" i="8"/>
  <c r="BH50" i="8"/>
  <c r="X62" i="3" a="1"/>
  <c r="X62" i="3" s="1"/>
  <c r="H62" i="3"/>
  <c r="I62" i="3" a="1"/>
  <c r="I62" i="3" s="1"/>
  <c r="W62" i="3" a="1"/>
  <c r="W62" i="3" s="1"/>
  <c r="AC62" i="3" a="1"/>
  <c r="AC62" i="3" s="1"/>
  <c r="AD62" i="3" a="1"/>
  <c r="AD62" i="3" s="1"/>
  <c r="AE62" i="3" a="1"/>
  <c r="AE62" i="3" s="1"/>
  <c r="AF62" i="3" a="1"/>
  <c r="AF62" i="3" s="1"/>
  <c r="AG62" i="3" a="1"/>
  <c r="AG62" i="3" s="1"/>
  <c r="AH62" i="3" a="1"/>
  <c r="AH62" i="3" s="1"/>
  <c r="AK62" i="3"/>
  <c r="AL62" i="3"/>
  <c r="AM62" i="3"/>
  <c r="AN62" i="3"/>
  <c r="AJ62" i="3"/>
  <c r="U62" i="3" a="1"/>
  <c r="U62" i="3" s="1"/>
  <c r="AI62" i="3"/>
  <c r="G62" i="3" a="1"/>
  <c r="G62" i="3" s="1"/>
  <c r="AB62" i="3" a="1"/>
  <c r="AB62" i="3" s="1"/>
  <c r="F62" i="3" a="1"/>
  <c r="F62" i="3" s="1"/>
  <c r="AA62" i="3" a="1"/>
  <c r="AA62" i="3" s="1"/>
  <c r="E62" i="3" a="1"/>
  <c r="E62" i="3" s="1"/>
  <c r="Z62" i="3" a="1"/>
  <c r="Z62" i="3" s="1"/>
  <c r="D62" i="3" a="1"/>
  <c r="D62" i="3" s="1"/>
  <c r="Y62" i="3" a="1"/>
  <c r="Y62" i="3" s="1"/>
  <c r="AW62" i="3"/>
  <c r="P62" i="3" s="1"/>
  <c r="V334" i="3" l="1"/>
  <c r="M62" i="3" a="1"/>
  <c r="M62" i="3" s="1"/>
  <c r="V62" i="3"/>
  <c r="CY85" i="4" l="1"/>
  <c r="DM85" i="4" s="1"/>
  <c r="CF85" i="4"/>
  <c r="CT85" i="4" s="1"/>
  <c r="BM85" i="4"/>
  <c r="AT85" i="4"/>
  <c r="BH85" i="4" s="1"/>
  <c r="AA85" i="4"/>
  <c r="AO85" i="4" s="1"/>
  <c r="AO46" i="5"/>
  <c r="FQ85" i="4"/>
  <c r="EX85" i="4"/>
  <c r="V46" i="5"/>
  <c r="CY197" i="4"/>
  <c r="DM197" i="4" s="1"/>
  <c r="CY200" i="4"/>
  <c r="DB196" i="4"/>
  <c r="BM86" i="4"/>
  <c r="AY6" i="9"/>
  <c r="T46" i="5" l="1"/>
  <c r="CA85" i="4"/>
  <c r="CF23" i="8"/>
  <c r="CT23" i="8" s="1"/>
  <c r="BM23" i="8"/>
  <c r="CA23" i="8" s="1"/>
  <c r="AT23" i="8"/>
  <c r="BH23" i="8" s="1"/>
  <c r="V23" i="8"/>
  <c r="AA23" i="8"/>
  <c r="AO23" i="8" s="1"/>
  <c r="FQ30" i="4"/>
  <c r="EX30" i="4"/>
  <c r="DM30" i="4"/>
  <c r="CT30" i="4"/>
  <c r="CA30" i="4"/>
  <c r="BH30" i="4"/>
  <c r="AO30" i="4"/>
  <c r="L879" i="12"/>
  <c r="M879" i="12" s="1"/>
  <c r="AE3" i="3" a="1"/>
  <c r="AE3" i="3" s="1"/>
  <c r="AE4" i="3" a="1"/>
  <c r="AE4" i="3" s="1"/>
  <c r="AE6" i="3" a="1"/>
  <c r="AE6" i="3" s="1"/>
  <c r="AE8" i="3" a="1"/>
  <c r="AE8" i="3" s="1"/>
  <c r="AE11" i="3" a="1"/>
  <c r="AE11" i="3" s="1"/>
  <c r="AE10" i="3" a="1"/>
  <c r="AE10" i="3" s="1"/>
  <c r="AE13" i="3" a="1"/>
  <c r="AE13" i="3" s="1"/>
  <c r="AE12" i="3" a="1"/>
  <c r="AE12" i="3" s="1"/>
  <c r="AE21" i="3" a="1"/>
  <c r="AE21" i="3" s="1"/>
  <c r="AE20" i="3" a="1"/>
  <c r="AE20" i="3" s="1"/>
  <c r="AE24" i="3" a="1"/>
  <c r="AE24" i="3" s="1"/>
  <c r="AE78" i="3" a="1"/>
  <c r="AE78" i="3" s="1"/>
  <c r="AE80" i="3" a="1"/>
  <c r="AE80" i="3" s="1"/>
  <c r="AE81" i="3" a="1"/>
  <c r="AE81" i="3" s="1"/>
  <c r="AE84" i="3" a="1"/>
  <c r="AE84" i="3" s="1"/>
  <c r="AE92" i="3" a="1"/>
  <c r="AE92" i="3" s="1"/>
  <c r="AE223" i="3" a="1"/>
  <c r="AE223" i="3" s="1"/>
  <c r="AE227" i="3" a="1"/>
  <c r="AE227" i="3" s="1"/>
  <c r="AE228" i="3" a="1"/>
  <c r="AE228" i="3" s="1"/>
  <c r="AE229" i="3" a="1"/>
  <c r="AE229" i="3" s="1"/>
  <c r="AE253" i="3" a="1"/>
  <c r="AE253" i="3" s="1"/>
  <c r="AE254" i="3" a="1"/>
  <c r="AE254" i="3" s="1"/>
  <c r="AE259" i="3" a="1"/>
  <c r="AE259" i="3" s="1"/>
  <c r="AE261" i="3" a="1"/>
  <c r="AE261" i="3" s="1"/>
  <c r="AE265" i="3" a="1"/>
  <c r="AE265" i="3" s="1"/>
  <c r="AE266" i="3" a="1"/>
  <c r="AE266" i="3" s="1"/>
  <c r="AE268" i="3" a="1"/>
  <c r="AE268" i="3" s="1"/>
  <c r="AE269" i="3" a="1"/>
  <c r="AE269" i="3" s="1"/>
  <c r="AE271" i="3" a="1"/>
  <c r="AE271" i="3" s="1"/>
  <c r="AE274" i="3" a="1"/>
  <c r="AE274" i="3" s="1"/>
  <c r="AE278" i="3" a="1"/>
  <c r="AE278" i="3" s="1"/>
  <c r="AE279" i="3" a="1"/>
  <c r="AE279" i="3" s="1"/>
  <c r="AE280" i="3" a="1"/>
  <c r="AE280" i="3" s="1"/>
  <c r="AE281" i="3" a="1"/>
  <c r="AE281" i="3" s="1"/>
  <c r="AE283" i="3" a="1"/>
  <c r="AE283" i="3" s="1"/>
  <c r="AE284" i="3" a="1"/>
  <c r="AE284" i="3" s="1"/>
  <c r="AE285" i="3" a="1"/>
  <c r="AE285" i="3" s="1"/>
  <c r="AE286" i="3" a="1"/>
  <c r="AE286" i="3" s="1"/>
  <c r="AE335" i="3" a="1"/>
  <c r="AE335" i="3" s="1"/>
  <c r="AF157" i="9"/>
  <c r="AF61" i="9"/>
  <c r="Q23" i="8" l="1"/>
  <c r="AA87" i="7"/>
  <c r="AA48" i="5"/>
  <c r="CF81" i="8"/>
  <c r="V21" i="8"/>
  <c r="V20" i="8"/>
  <c r="V19" i="8"/>
  <c r="BM66" i="8"/>
  <c r="AT66" i="8"/>
  <c r="AA66" i="8"/>
  <c r="AA71" i="5"/>
  <c r="DM138" i="4" l="1"/>
  <c r="DM139" i="4"/>
  <c r="FQ120" i="4"/>
  <c r="EX120" i="4"/>
  <c r="DM120" i="4"/>
  <c r="CT120" i="4"/>
  <c r="CA120" i="4"/>
  <c r="BH120" i="4"/>
  <c r="AO120" i="4"/>
  <c r="AX272" i="3"/>
  <c r="T272" i="3" s="1"/>
  <c r="S272" i="3"/>
  <c r="R272" i="3"/>
  <c r="Q272" i="3"/>
  <c r="M272" i="3" a="1"/>
  <c r="M272" i="3" s="1"/>
  <c r="B272" i="3" a="1"/>
  <c r="B272" i="3" s="1"/>
  <c r="AE272" i="3" s="1" a="1"/>
  <c r="AE272" i="3" s="1"/>
  <c r="B273" i="3" a="1"/>
  <c r="B273" i="3" s="1"/>
  <c r="AE273" i="3" s="1" a="1"/>
  <c r="AE273" i="3" s="1"/>
  <c r="Q273" i="3"/>
  <c r="R273" i="3"/>
  <c r="S273" i="3"/>
  <c r="AX273" i="3"/>
  <c r="T273" i="3" s="1"/>
  <c r="C265" i="3"/>
  <c r="C266" i="3"/>
  <c r="C268" i="3"/>
  <c r="C269" i="3"/>
  <c r="C271" i="3"/>
  <c r="C274" i="3"/>
  <c r="C278" i="3"/>
  <c r="C279" i="3"/>
  <c r="C280" i="3"/>
  <c r="C281" i="3"/>
  <c r="C283" i="3"/>
  <c r="C284" i="3"/>
  <c r="C285" i="3"/>
  <c r="C286" i="3"/>
  <c r="B130" i="3" a="1"/>
  <c r="B130" i="3" s="1"/>
  <c r="AE130" i="3" s="1" a="1"/>
  <c r="AE130" i="3" s="1"/>
  <c r="Q130" i="3"/>
  <c r="R130" i="3"/>
  <c r="S130" i="3"/>
  <c r="AX130" i="3"/>
  <c r="T130" i="3" s="1"/>
  <c r="EJ156" i="4"/>
  <c r="CF139" i="4"/>
  <c r="AA27" i="7"/>
  <c r="AO27" i="7" s="1"/>
  <c r="AA26" i="7"/>
  <c r="AO26" i="7" s="1"/>
  <c r="AA25" i="7"/>
  <c r="AO25" i="7" s="1"/>
  <c r="B60" i="3" a="1"/>
  <c r="B60" i="3" s="1"/>
  <c r="AE60" i="3" s="1" a="1"/>
  <c r="AE60" i="3" s="1"/>
  <c r="Q60" i="3"/>
  <c r="R60" i="3"/>
  <c r="S60" i="3"/>
  <c r="AX60" i="3"/>
  <c r="T60" i="3" s="1"/>
  <c r="B50" i="3" a="1"/>
  <c r="B50" i="3" s="1"/>
  <c r="AE50" i="3" s="1" a="1"/>
  <c r="AE50" i="3" s="1"/>
  <c r="Q50" i="3"/>
  <c r="R50" i="3"/>
  <c r="S50" i="3"/>
  <c r="AX50" i="3"/>
  <c r="T50" i="3" s="1"/>
  <c r="B44" i="3" a="1"/>
  <c r="B44" i="3" s="1"/>
  <c r="AE44" i="3" s="1" a="1"/>
  <c r="AE44" i="3" s="1"/>
  <c r="Q44" i="3"/>
  <c r="R44" i="3"/>
  <c r="S44" i="3"/>
  <c r="AX44" i="3"/>
  <c r="T44" i="3" s="1"/>
  <c r="B397" i="3" a="1"/>
  <c r="B397" i="3" s="1"/>
  <c r="Q397" i="3"/>
  <c r="R397" i="3"/>
  <c r="S397" i="3"/>
  <c r="AX397" i="3"/>
  <c r="T397" i="3" s="1"/>
  <c r="B33" i="3" a="1"/>
  <c r="B33" i="3" s="1"/>
  <c r="AE33" i="3" s="1" a="1"/>
  <c r="AE33" i="3" s="1"/>
  <c r="Q33" i="3"/>
  <c r="R33" i="3"/>
  <c r="S33" i="3"/>
  <c r="AX33" i="3"/>
  <c r="T33" i="3" s="1"/>
  <c r="AA24" i="7"/>
  <c r="CF25" i="8"/>
  <c r="BM25" i="8"/>
  <c r="AT25" i="8"/>
  <c r="AA25" i="8"/>
  <c r="AE397" i="3" l="1" a="1"/>
  <c r="AE397" i="3" s="1"/>
  <c r="C397" i="3"/>
  <c r="C130" i="3"/>
  <c r="X272" i="3" a="1"/>
  <c r="X272" i="3" s="1"/>
  <c r="AW272" i="3"/>
  <c r="P272" i="3" s="1"/>
  <c r="AN272" i="3"/>
  <c r="W272" i="3" a="1"/>
  <c r="W272" i="3" s="1"/>
  <c r="AL272" i="3"/>
  <c r="AK272" i="3"/>
  <c r="U272" i="3" a="1"/>
  <c r="U272" i="3" s="1"/>
  <c r="AJ272" i="3"/>
  <c r="AI272" i="3"/>
  <c r="AH272" i="3" a="1"/>
  <c r="AH272" i="3" s="1"/>
  <c r="G272" i="3" a="1"/>
  <c r="G272" i="3" s="1"/>
  <c r="AG272" i="3" a="1"/>
  <c r="AG272" i="3" s="1"/>
  <c r="H272" i="3"/>
  <c r="AB272" i="3" a="1"/>
  <c r="AB272" i="3" s="1"/>
  <c r="AA272" i="3" a="1"/>
  <c r="AA272" i="3" s="1"/>
  <c r="AF272" i="3" a="1"/>
  <c r="AF272" i="3" s="1"/>
  <c r="I272" i="3" a="1"/>
  <c r="I272" i="3" s="1"/>
  <c r="Y272" i="3" a="1"/>
  <c r="Y272" i="3" s="1"/>
  <c r="AD272" i="3" a="1"/>
  <c r="AD272" i="3" s="1"/>
  <c r="AM272" i="3"/>
  <c r="D272" i="3" a="1"/>
  <c r="D272" i="3" s="1"/>
  <c r="AC272" i="3" a="1"/>
  <c r="AC272" i="3" s="1"/>
  <c r="F272" i="3" a="1"/>
  <c r="F272" i="3" s="1"/>
  <c r="C272" i="3"/>
  <c r="E272" i="3" a="1"/>
  <c r="E272" i="3" s="1"/>
  <c r="Z272" i="3" a="1"/>
  <c r="Z272" i="3" s="1"/>
  <c r="C273" i="3"/>
  <c r="Y273" i="3" a="1"/>
  <c r="Y273" i="3" s="1"/>
  <c r="D273" i="3" a="1"/>
  <c r="D273" i="3" s="1"/>
  <c r="M273" i="3" s="1" a="1"/>
  <c r="M273" i="3" s="1"/>
  <c r="Z273" i="3" a="1"/>
  <c r="Z273" i="3" s="1"/>
  <c r="E273" i="3" a="1"/>
  <c r="E273" i="3" s="1"/>
  <c r="AM273" i="3"/>
  <c r="AA273" i="3" a="1"/>
  <c r="AA273" i="3" s="1"/>
  <c r="F273" i="3" a="1"/>
  <c r="F273" i="3" s="1"/>
  <c r="AL273" i="3"/>
  <c r="AN273" i="3"/>
  <c r="AB273" i="3" a="1"/>
  <c r="AB273" i="3" s="1"/>
  <c r="AK273" i="3"/>
  <c r="X273" i="3" a="1"/>
  <c r="X273" i="3" s="1"/>
  <c r="G273" i="3" a="1"/>
  <c r="G273" i="3" s="1"/>
  <c r="AC273" i="3" a="1"/>
  <c r="AC273" i="3" s="1"/>
  <c r="AF273" i="3" a="1"/>
  <c r="AF273" i="3" s="1"/>
  <c r="H273" i="3"/>
  <c r="I273" i="3" a="1"/>
  <c r="I273" i="3" s="1"/>
  <c r="AD273" i="3" a="1"/>
  <c r="AD273" i="3" s="1"/>
  <c r="AI273" i="3"/>
  <c r="AW273" i="3"/>
  <c r="P273" i="3" s="1"/>
  <c r="AJ273" i="3"/>
  <c r="AG273" i="3" a="1"/>
  <c r="AG273" i="3" s="1"/>
  <c r="U273" i="3" a="1"/>
  <c r="U273" i="3" s="1"/>
  <c r="AH273" i="3" a="1"/>
  <c r="AH273" i="3" s="1"/>
  <c r="W273" i="3" a="1"/>
  <c r="W273" i="3" s="1"/>
  <c r="D130" i="3" a="1"/>
  <c r="D130" i="3" s="1"/>
  <c r="M130" i="3" s="1" a="1"/>
  <c r="M130" i="3" s="1"/>
  <c r="AA130" i="3" a="1"/>
  <c r="AA130" i="3" s="1"/>
  <c r="F130" i="3" a="1"/>
  <c r="F130" i="3" s="1"/>
  <c r="AB130" i="3" a="1"/>
  <c r="AB130" i="3" s="1"/>
  <c r="G130" i="3" a="1"/>
  <c r="G130" i="3" s="1"/>
  <c r="H130" i="3"/>
  <c r="I130" i="3" a="1"/>
  <c r="I130" i="3" s="1"/>
  <c r="AD130" i="3" a="1"/>
  <c r="AD130" i="3" s="1"/>
  <c r="AF130" i="3" a="1"/>
  <c r="AF130" i="3" s="1"/>
  <c r="U130" i="3" a="1"/>
  <c r="U130" i="3" s="1"/>
  <c r="AL130" i="3"/>
  <c r="AM130" i="3"/>
  <c r="AG130" i="3" a="1"/>
  <c r="AG130" i="3" s="1"/>
  <c r="AH130" i="3" a="1"/>
  <c r="AH130" i="3" s="1"/>
  <c r="AI130" i="3"/>
  <c r="AJ130" i="3"/>
  <c r="W130" i="3" a="1"/>
  <c r="W130" i="3" s="1"/>
  <c r="AW130" i="3"/>
  <c r="P130" i="3" s="1"/>
  <c r="Z130" i="3" a="1"/>
  <c r="Z130" i="3" s="1"/>
  <c r="E130" i="3" a="1"/>
  <c r="E130" i="3" s="1"/>
  <c r="AK130" i="3"/>
  <c r="AN130" i="3"/>
  <c r="X130" i="3" a="1"/>
  <c r="X130" i="3" s="1"/>
  <c r="Y130" i="3" a="1"/>
  <c r="Y130" i="3" s="1"/>
  <c r="AC130" i="3" a="1"/>
  <c r="AC130" i="3" s="1"/>
  <c r="Q27" i="7"/>
  <c r="Q26" i="7"/>
  <c r="AB60" i="3" a="1"/>
  <c r="AB60" i="3" s="1"/>
  <c r="F60" i="3" a="1"/>
  <c r="F60" i="3" s="1"/>
  <c r="AC60" i="3" a="1"/>
  <c r="AC60" i="3" s="1"/>
  <c r="H60" i="3"/>
  <c r="I60" i="3" a="1"/>
  <c r="I60" i="3" s="1"/>
  <c r="AF60" i="3" a="1"/>
  <c r="AF60" i="3" s="1"/>
  <c r="G60" i="3" a="1"/>
  <c r="G60" i="3" s="1"/>
  <c r="AG60" i="3" a="1"/>
  <c r="AG60" i="3" s="1"/>
  <c r="AH60" i="3" a="1"/>
  <c r="AH60" i="3" s="1"/>
  <c r="D60" i="3" a="1"/>
  <c r="D60" i="3" s="1"/>
  <c r="Z60" i="3" a="1"/>
  <c r="Z60" i="3" s="1"/>
  <c r="AI60" i="3"/>
  <c r="U60" i="3" a="1"/>
  <c r="U60" i="3" s="1"/>
  <c r="AJ60" i="3"/>
  <c r="AK60" i="3"/>
  <c r="X60" i="3" a="1"/>
  <c r="X60" i="3" s="1"/>
  <c r="AW60" i="3"/>
  <c r="P60" i="3" s="1"/>
  <c r="C60" i="3"/>
  <c r="Y60" i="3" a="1"/>
  <c r="Y60" i="3" s="1"/>
  <c r="E60" i="3" a="1"/>
  <c r="E60" i="3" s="1"/>
  <c r="AA60" i="3" a="1"/>
  <c r="AA60" i="3" s="1"/>
  <c r="AD60" i="3" a="1"/>
  <c r="AD60" i="3" s="1"/>
  <c r="AL60" i="3"/>
  <c r="W60" i="3" a="1"/>
  <c r="W60" i="3" s="1"/>
  <c r="AM60" i="3"/>
  <c r="AN60" i="3"/>
  <c r="C50" i="3"/>
  <c r="AF50" i="3" a="1"/>
  <c r="AF50" i="3" s="1"/>
  <c r="AM50" i="3"/>
  <c r="X50" i="3" a="1"/>
  <c r="X50" i="3" s="1"/>
  <c r="F50" i="3" a="1"/>
  <c r="F50" i="3" s="1"/>
  <c r="G50" i="3" a="1"/>
  <c r="G50" i="3" s="1"/>
  <c r="AC50" i="3" a="1"/>
  <c r="AC50" i="3" s="1"/>
  <c r="I50" i="3" a="1"/>
  <c r="I50" i="3" s="1"/>
  <c r="AG50" i="3" a="1"/>
  <c r="AG50" i="3" s="1"/>
  <c r="AW50" i="3"/>
  <c r="P50" i="3" s="1"/>
  <c r="D50" i="3" a="1"/>
  <c r="D50" i="3" s="1"/>
  <c r="E50" i="3" a="1"/>
  <c r="E50" i="3" s="1"/>
  <c r="AH50" i="3" a="1"/>
  <c r="AH50" i="3" s="1"/>
  <c r="Z50" i="3" a="1"/>
  <c r="Z50" i="3" s="1"/>
  <c r="AI50" i="3"/>
  <c r="AN50" i="3"/>
  <c r="U50" i="3" a="1"/>
  <c r="U50" i="3" s="1"/>
  <c r="AJ50" i="3"/>
  <c r="W50" i="3" a="1"/>
  <c r="W50" i="3" s="1"/>
  <c r="AB50" i="3" a="1"/>
  <c r="AB50" i="3" s="1"/>
  <c r="H50" i="3"/>
  <c r="AK50" i="3"/>
  <c r="AL50" i="3"/>
  <c r="Y50" i="3" a="1"/>
  <c r="Y50" i="3" s="1"/>
  <c r="AA50" i="3" a="1"/>
  <c r="AA50" i="3" s="1"/>
  <c r="AD50" i="3" a="1"/>
  <c r="AD50" i="3" s="1"/>
  <c r="AG44" i="3" a="1"/>
  <c r="AG44" i="3" s="1"/>
  <c r="AH44" i="3" a="1"/>
  <c r="AH44" i="3" s="1"/>
  <c r="U44" i="3" a="1"/>
  <c r="U44" i="3" s="1"/>
  <c r="AK44" i="3"/>
  <c r="F44" i="3" a="1"/>
  <c r="F44" i="3" s="1"/>
  <c r="G44" i="3" a="1"/>
  <c r="G44" i="3" s="1"/>
  <c r="I44" i="3" a="1"/>
  <c r="I44" i="3" s="1"/>
  <c r="AI44" i="3"/>
  <c r="AJ44" i="3"/>
  <c r="AB44" i="3" a="1"/>
  <c r="AB44" i="3" s="1"/>
  <c r="H44" i="3"/>
  <c r="AL44" i="3"/>
  <c r="AN44" i="3"/>
  <c r="AW44" i="3"/>
  <c r="P44" i="3" s="1"/>
  <c r="D44" i="3" a="1"/>
  <c r="D44" i="3" s="1"/>
  <c r="Z44" i="3" a="1"/>
  <c r="Z44" i="3" s="1"/>
  <c r="E44" i="3" a="1"/>
  <c r="E44" i="3" s="1"/>
  <c r="AA44" i="3" a="1"/>
  <c r="AA44" i="3" s="1"/>
  <c r="AC44" i="3" a="1"/>
  <c r="AC44" i="3" s="1"/>
  <c r="AD44" i="3" a="1"/>
  <c r="AD44" i="3" s="1"/>
  <c r="W44" i="3" a="1"/>
  <c r="W44" i="3" s="1"/>
  <c r="AM44" i="3"/>
  <c r="X44" i="3" a="1"/>
  <c r="X44" i="3" s="1"/>
  <c r="C44" i="3"/>
  <c r="Y44" i="3" a="1"/>
  <c r="Y44" i="3" s="1"/>
  <c r="AF44" i="3" a="1"/>
  <c r="AF44" i="3" s="1"/>
  <c r="Q25" i="7"/>
  <c r="F397" i="3" a="1"/>
  <c r="F397" i="3" s="1"/>
  <c r="AB397" i="3" a="1"/>
  <c r="AB397" i="3" s="1"/>
  <c r="G397" i="3" a="1"/>
  <c r="G397" i="3" s="1"/>
  <c r="AC397" i="3" a="1"/>
  <c r="AC397" i="3" s="1"/>
  <c r="H397" i="3"/>
  <c r="I397" i="3" a="1"/>
  <c r="I397" i="3" s="1"/>
  <c r="AD397" i="3" a="1"/>
  <c r="AD397" i="3" s="1"/>
  <c r="AG397" i="3" a="1"/>
  <c r="AG397" i="3" s="1"/>
  <c r="AH397" i="3" a="1"/>
  <c r="AH397" i="3" s="1"/>
  <c r="AI397" i="3"/>
  <c r="U397" i="3" a="1"/>
  <c r="U397" i="3" s="1"/>
  <c r="AJ397" i="3"/>
  <c r="AK397" i="3"/>
  <c r="AN397" i="3"/>
  <c r="AW397" i="3"/>
  <c r="P397" i="3" s="1"/>
  <c r="D397" i="3" a="1"/>
  <c r="D397" i="3" s="1"/>
  <c r="M397" i="3" s="1" a="1"/>
  <c r="M397" i="3" s="1"/>
  <c r="E397" i="3" a="1"/>
  <c r="E397" i="3" s="1"/>
  <c r="AM397" i="3"/>
  <c r="Y397" i="3" a="1"/>
  <c r="Y397" i="3" s="1"/>
  <c r="Z397" i="3" a="1"/>
  <c r="Z397" i="3" s="1"/>
  <c r="AA397" i="3" a="1"/>
  <c r="AA397" i="3" s="1"/>
  <c r="AF397" i="3" a="1"/>
  <c r="AF397" i="3" s="1"/>
  <c r="AL397" i="3"/>
  <c r="W397" i="3" a="1"/>
  <c r="W397" i="3" s="1"/>
  <c r="X397" i="3" a="1"/>
  <c r="X397" i="3" s="1"/>
  <c r="C33" i="3"/>
  <c r="Y33" i="3" a="1"/>
  <c r="Y33" i="3" s="1"/>
  <c r="F33" i="3" a="1"/>
  <c r="F33" i="3" s="1"/>
  <c r="AH33" i="3" a="1"/>
  <c r="AH33" i="3" s="1"/>
  <c r="AJ33" i="3"/>
  <c r="D33" i="3" a="1"/>
  <c r="D33" i="3" s="1"/>
  <c r="M33" i="3" s="1" a="1"/>
  <c r="M33" i="3" s="1"/>
  <c r="AA33" i="3" a="1"/>
  <c r="AA33" i="3" s="1"/>
  <c r="W33" i="3" a="1"/>
  <c r="W33" i="3" s="1"/>
  <c r="Z33" i="3" a="1"/>
  <c r="Z33" i="3" s="1"/>
  <c r="AG33" i="3" a="1"/>
  <c r="AG33" i="3" s="1"/>
  <c r="AK33" i="3"/>
  <c r="E33" i="3" a="1"/>
  <c r="E33" i="3" s="1"/>
  <c r="AB33" i="3" a="1"/>
  <c r="AB33" i="3" s="1"/>
  <c r="G33" i="3" a="1"/>
  <c r="G33" i="3" s="1"/>
  <c r="AC33" i="3" a="1"/>
  <c r="AC33" i="3" s="1"/>
  <c r="AI33" i="3"/>
  <c r="AN33" i="3"/>
  <c r="H33" i="3"/>
  <c r="I33" i="3" a="1"/>
  <c r="I33" i="3" s="1"/>
  <c r="AD33" i="3" a="1"/>
  <c r="AD33" i="3" s="1"/>
  <c r="AM33" i="3"/>
  <c r="AW33" i="3"/>
  <c r="P33" i="3" s="1"/>
  <c r="AF33" i="3" a="1"/>
  <c r="AF33" i="3" s="1"/>
  <c r="U33" i="3" a="1"/>
  <c r="U33" i="3" s="1"/>
  <c r="AL33" i="3"/>
  <c r="X33" i="3" a="1"/>
  <c r="X33" i="3" s="1"/>
  <c r="V272" i="3" l="1"/>
  <c r="V273" i="3"/>
  <c r="V130" i="3"/>
  <c r="M60" i="3" a="1"/>
  <c r="M60" i="3" s="1"/>
  <c r="V60" i="3"/>
  <c r="M44" i="3" a="1"/>
  <c r="M44" i="3" s="1"/>
  <c r="M50" i="3" a="1"/>
  <c r="M50" i="3" s="1"/>
  <c r="V50" i="3"/>
  <c r="V44" i="3"/>
  <c r="V397" i="3"/>
  <c r="V33" i="3"/>
  <c r="CT47" i="8"/>
  <c r="CA47" i="8"/>
  <c r="BH47" i="8"/>
  <c r="AO47" i="8"/>
  <c r="V47" i="8"/>
  <c r="Q47" i="8"/>
  <c r="B85" i="3" a="1"/>
  <c r="B85" i="3" s="1"/>
  <c r="AE85" i="3" s="1" a="1"/>
  <c r="AE85" i="3" s="1"/>
  <c r="Q85" i="3"/>
  <c r="R85" i="3"/>
  <c r="S85" i="3"/>
  <c r="AX85" i="3"/>
  <c r="T85" i="3" s="1"/>
  <c r="C85" i="3" l="1"/>
  <c r="Y85" i="3" a="1"/>
  <c r="Y85" i="3" s="1"/>
  <c r="D85" i="3" a="1"/>
  <c r="D85" i="3" s="1"/>
  <c r="M85" i="3" s="1" a="1"/>
  <c r="M85" i="3" s="1"/>
  <c r="Z85" i="3" a="1"/>
  <c r="Z85" i="3" s="1"/>
  <c r="E85" i="3" a="1"/>
  <c r="E85" i="3" s="1"/>
  <c r="AA85" i="3" a="1"/>
  <c r="AA85" i="3" s="1"/>
  <c r="F85" i="3" a="1"/>
  <c r="F85" i="3" s="1"/>
  <c r="AB85" i="3" a="1"/>
  <c r="AB85" i="3" s="1"/>
  <c r="G85" i="3" a="1"/>
  <c r="G85" i="3" s="1"/>
  <c r="AC85" i="3" a="1"/>
  <c r="AC85" i="3" s="1"/>
  <c r="H85" i="3"/>
  <c r="I85" i="3" a="1"/>
  <c r="I85" i="3" s="1"/>
  <c r="AD85" i="3" a="1"/>
  <c r="AD85" i="3" s="1"/>
  <c r="AG85" i="3" a="1"/>
  <c r="AG85" i="3" s="1"/>
  <c r="AH85" i="3" a="1"/>
  <c r="AH85" i="3" s="1"/>
  <c r="AI85" i="3"/>
  <c r="U85" i="3" a="1"/>
  <c r="U85" i="3" s="1"/>
  <c r="AJ85" i="3"/>
  <c r="AK85" i="3"/>
  <c r="W85" i="3" a="1"/>
  <c r="W85" i="3" s="1"/>
  <c r="AN85" i="3"/>
  <c r="X85" i="3" a="1"/>
  <c r="X85" i="3" s="1"/>
  <c r="AW85" i="3"/>
  <c r="P85" i="3" s="1"/>
  <c r="AF85" i="3" a="1"/>
  <c r="AF85" i="3" s="1"/>
  <c r="AL85" i="3"/>
  <c r="AM85" i="3"/>
  <c r="AX335" i="3"/>
  <c r="T335" i="3" s="1"/>
  <c r="S335" i="3"/>
  <c r="R335" i="3"/>
  <c r="Q335" i="3"/>
  <c r="M335" i="3" a="1"/>
  <c r="M335" i="3" s="1"/>
  <c r="CF144" i="4"/>
  <c r="BM144" i="4"/>
  <c r="AA144" i="4"/>
  <c r="BH87" i="8"/>
  <c r="CT87" i="8"/>
  <c r="CA87" i="8"/>
  <c r="V87" i="8"/>
  <c r="AX240" i="3"/>
  <c r="T240" i="3" s="1"/>
  <c r="S240" i="3"/>
  <c r="R240" i="3"/>
  <c r="Q240" i="3"/>
  <c r="B240" i="3" a="1"/>
  <c r="B240" i="3" s="1"/>
  <c r="AE240" i="3" s="1" a="1"/>
  <c r="AE240" i="3" s="1"/>
  <c r="B239" i="3" a="1"/>
  <c r="B239" i="3" s="1"/>
  <c r="AE239" i="3" s="1" a="1"/>
  <c r="AE239" i="3" s="1"/>
  <c r="Q239" i="3"/>
  <c r="R239" i="3"/>
  <c r="S239" i="3"/>
  <c r="AX239" i="3"/>
  <c r="T239" i="3" s="1"/>
  <c r="B91" i="3" a="1"/>
  <c r="B91" i="3" s="1"/>
  <c r="AE91" i="3" s="1" a="1"/>
  <c r="AE91" i="3" s="1"/>
  <c r="Q91" i="3"/>
  <c r="R91" i="3"/>
  <c r="S91" i="3"/>
  <c r="AX91" i="3"/>
  <c r="T91" i="3" s="1"/>
  <c r="FQ138" i="4"/>
  <c r="EX138" i="4"/>
  <c r="CT138" i="4"/>
  <c r="BH138" i="4"/>
  <c r="CT57" i="8"/>
  <c r="BM57" i="8"/>
  <c r="CA57" i="8" s="1"/>
  <c r="AT57" i="8"/>
  <c r="BH57" i="8" s="1"/>
  <c r="AA57" i="8"/>
  <c r="V57" i="8"/>
  <c r="AV320" i="3"/>
  <c r="AV319" i="3"/>
  <c r="CY130" i="4"/>
  <c r="CF72" i="8"/>
  <c r="BM72" i="8"/>
  <c r="AT72" i="8"/>
  <c r="AA72" i="8"/>
  <c r="CY127" i="4"/>
  <c r="CF127" i="4"/>
  <c r="BM127" i="4"/>
  <c r="AT127" i="4"/>
  <c r="AA127" i="4"/>
  <c r="CT75" i="8"/>
  <c r="BH75" i="8"/>
  <c r="AO75" i="8"/>
  <c r="V75" i="8"/>
  <c r="Q75" i="8"/>
  <c r="AO78" i="5"/>
  <c r="V78" i="5"/>
  <c r="T78" i="5"/>
  <c r="AX104" i="3"/>
  <c r="T104" i="3" s="1"/>
  <c r="S104" i="3"/>
  <c r="R104" i="3"/>
  <c r="Q104" i="3"/>
  <c r="B104" i="3" a="1"/>
  <c r="B104" i="3" s="1"/>
  <c r="AE104" i="3" s="1" a="1"/>
  <c r="AE104" i="3" s="1"/>
  <c r="B242" i="3" a="1"/>
  <c r="B242" i="3" s="1"/>
  <c r="AE242" i="3" s="1" a="1"/>
  <c r="AE242" i="3" s="1"/>
  <c r="Q242" i="3"/>
  <c r="R242" i="3"/>
  <c r="S242" i="3"/>
  <c r="AX242" i="3"/>
  <c r="T242" i="3" s="1"/>
  <c r="FQ119" i="4"/>
  <c r="EJ119" i="4"/>
  <c r="EX119" i="4" s="1"/>
  <c r="DM119" i="4"/>
  <c r="CT119" i="4"/>
  <c r="CA119" i="4"/>
  <c r="BH119" i="4"/>
  <c r="AO119" i="4"/>
  <c r="AT104" i="9"/>
  <c r="AY104" i="9"/>
  <c r="BM104" i="9" s="1"/>
  <c r="AY57" i="9"/>
  <c r="B124" i="3" a="1"/>
  <c r="B124" i="3" s="1"/>
  <c r="AE124" i="3" s="1" a="1"/>
  <c r="AE124" i="3" s="1"/>
  <c r="Q124" i="3"/>
  <c r="R124" i="3"/>
  <c r="S124" i="3"/>
  <c r="AX124" i="3"/>
  <c r="T124" i="3" s="1"/>
  <c r="BM113" i="8"/>
  <c r="AT113" i="8"/>
  <c r="AA113" i="8"/>
  <c r="AA114" i="5"/>
  <c r="CY188" i="4"/>
  <c r="CF188" i="4"/>
  <c r="BM188" i="4"/>
  <c r="AT188" i="4"/>
  <c r="AA188" i="4"/>
  <c r="B88" i="3" a="1"/>
  <c r="B88" i="3" s="1"/>
  <c r="AE88" i="3" s="1" a="1"/>
  <c r="AE88" i="3" s="1"/>
  <c r="Q88" i="3"/>
  <c r="R88" i="3"/>
  <c r="S88" i="3"/>
  <c r="AX88" i="3"/>
  <c r="T88" i="3" s="1"/>
  <c r="BM95" i="4"/>
  <c r="C88" i="3" l="1"/>
  <c r="V85" i="3"/>
  <c r="X335" i="3" a="1"/>
  <c r="X335" i="3" s="1"/>
  <c r="AW335" i="3"/>
  <c r="P335" i="3" s="1"/>
  <c r="AN335" i="3"/>
  <c r="W335" i="3" a="1"/>
  <c r="W335" i="3" s="1"/>
  <c r="AM335" i="3"/>
  <c r="AH335" i="3" a="1"/>
  <c r="AH335" i="3" s="1"/>
  <c r="Z335" i="3" a="1"/>
  <c r="Z335" i="3" s="1"/>
  <c r="AL335" i="3"/>
  <c r="AK335" i="3"/>
  <c r="U335" i="3" a="1"/>
  <c r="U335" i="3" s="1"/>
  <c r="AJ335" i="3"/>
  <c r="AI335" i="3"/>
  <c r="E335" i="3" a="1"/>
  <c r="E335" i="3" s="1"/>
  <c r="AB335" i="3" a="1"/>
  <c r="AB335" i="3" s="1"/>
  <c r="AA335" i="3" a="1"/>
  <c r="AA335" i="3" s="1"/>
  <c r="D335" i="3" a="1"/>
  <c r="D335" i="3" s="1"/>
  <c r="AD335" i="3" a="1"/>
  <c r="AD335" i="3" s="1"/>
  <c r="AC335" i="3" a="1"/>
  <c r="AC335" i="3" s="1"/>
  <c r="G335" i="3" a="1"/>
  <c r="G335" i="3" s="1"/>
  <c r="AG335" i="3" a="1"/>
  <c r="AG335" i="3" s="1"/>
  <c r="I335" i="3" a="1"/>
  <c r="I335" i="3" s="1"/>
  <c r="F335" i="3" a="1"/>
  <c r="F335" i="3" s="1"/>
  <c r="AF335" i="3" a="1"/>
  <c r="AF335" i="3" s="1"/>
  <c r="H335" i="3"/>
  <c r="Y335" i="3" a="1"/>
  <c r="Y335" i="3" s="1"/>
  <c r="AO87" i="8"/>
  <c r="Q87" i="8"/>
  <c r="AA240" i="3" a="1"/>
  <c r="AA240" i="3" s="1"/>
  <c r="AD240" i="3" a="1"/>
  <c r="AD240" i="3" s="1"/>
  <c r="I240" i="3" a="1"/>
  <c r="I240" i="3" s="1"/>
  <c r="U240" i="3" a="1"/>
  <c r="U240" i="3" s="1"/>
  <c r="AC240" i="3" a="1"/>
  <c r="AC240" i="3" s="1"/>
  <c r="H240" i="3"/>
  <c r="G240" i="3" a="1"/>
  <c r="G240" i="3" s="1"/>
  <c r="AB240" i="3" a="1"/>
  <c r="AB240" i="3" s="1"/>
  <c r="F240" i="3" a="1"/>
  <c r="F240" i="3" s="1"/>
  <c r="E240" i="3" a="1"/>
  <c r="E240" i="3" s="1"/>
  <c r="Z240" i="3" a="1"/>
  <c r="Z240" i="3" s="1"/>
  <c r="D240" i="3" a="1"/>
  <c r="D240" i="3" s="1"/>
  <c r="M240" i="3" s="1" a="1"/>
  <c r="M240" i="3" s="1"/>
  <c r="Y240" i="3" a="1"/>
  <c r="Y240" i="3" s="1"/>
  <c r="C240" i="3"/>
  <c r="X240" i="3" a="1"/>
  <c r="X240" i="3" s="1"/>
  <c r="AW240" i="3"/>
  <c r="P240" i="3" s="1"/>
  <c r="AN240" i="3"/>
  <c r="W240" i="3" a="1"/>
  <c r="W240" i="3" s="1"/>
  <c r="AM240" i="3"/>
  <c r="AL240" i="3"/>
  <c r="AK240" i="3"/>
  <c r="AJ240" i="3"/>
  <c r="AF240" i="3" a="1"/>
  <c r="AF240" i="3" s="1"/>
  <c r="AI240" i="3"/>
  <c r="AH240" i="3" a="1"/>
  <c r="AH240" i="3" s="1"/>
  <c r="AG240" i="3" a="1"/>
  <c r="AG240" i="3" s="1"/>
  <c r="X239" i="3" a="1"/>
  <c r="X239" i="3" s="1"/>
  <c r="AW239" i="3"/>
  <c r="P239" i="3" s="1"/>
  <c r="D239" i="3" a="1"/>
  <c r="D239" i="3" s="1"/>
  <c r="M239" i="3" s="1" a="1"/>
  <c r="M239" i="3" s="1"/>
  <c r="C239" i="3"/>
  <c r="Y239" i="3" a="1"/>
  <c r="Y239" i="3" s="1"/>
  <c r="Z239" i="3" a="1"/>
  <c r="Z239" i="3" s="1"/>
  <c r="E239" i="3" a="1"/>
  <c r="E239" i="3" s="1"/>
  <c r="AA239" i="3" a="1"/>
  <c r="AA239" i="3" s="1"/>
  <c r="F239" i="3" a="1"/>
  <c r="F239" i="3" s="1"/>
  <c r="AB239" i="3" a="1"/>
  <c r="AB239" i="3" s="1"/>
  <c r="G239" i="3" a="1"/>
  <c r="G239" i="3" s="1"/>
  <c r="AC239" i="3" a="1"/>
  <c r="AC239" i="3" s="1"/>
  <c r="H239" i="3"/>
  <c r="I239" i="3" a="1"/>
  <c r="I239" i="3" s="1"/>
  <c r="AD239" i="3" a="1"/>
  <c r="AD239" i="3" s="1"/>
  <c r="AF239" i="3" a="1"/>
  <c r="AF239" i="3" s="1"/>
  <c r="W239" i="3" a="1"/>
  <c r="W239" i="3" s="1"/>
  <c r="AG239" i="3" a="1"/>
  <c r="AG239" i="3" s="1"/>
  <c r="AJ239" i="3"/>
  <c r="AK239" i="3"/>
  <c r="AH239" i="3" a="1"/>
  <c r="AH239" i="3" s="1"/>
  <c r="U239" i="3" a="1"/>
  <c r="U239" i="3" s="1"/>
  <c r="AM239" i="3"/>
  <c r="AN239" i="3"/>
  <c r="AI239" i="3"/>
  <c r="AL239" i="3"/>
  <c r="Q57" i="8"/>
  <c r="C91" i="3"/>
  <c r="D91" i="3" a="1"/>
  <c r="D91" i="3" s="1"/>
  <c r="E91" i="3" a="1"/>
  <c r="E91" i="3" s="1"/>
  <c r="F91" i="3" a="1"/>
  <c r="F91" i="3" s="1"/>
  <c r="G91" i="3" a="1"/>
  <c r="G91" i="3" s="1"/>
  <c r="H91" i="3"/>
  <c r="I91" i="3" a="1"/>
  <c r="I91" i="3" s="1"/>
  <c r="AA91" i="3" a="1"/>
  <c r="AA91" i="3" s="1"/>
  <c r="AW91" i="3"/>
  <c r="P91" i="3" s="1"/>
  <c r="AN91" i="3"/>
  <c r="AM91" i="3"/>
  <c r="AL91" i="3"/>
  <c r="AK91" i="3"/>
  <c r="AJ91" i="3"/>
  <c r="AI91" i="3"/>
  <c r="AH91" i="3" a="1"/>
  <c r="AH91" i="3" s="1"/>
  <c r="AG91" i="3" a="1"/>
  <c r="AG91" i="3" s="1"/>
  <c r="AF91" i="3" a="1"/>
  <c r="AF91" i="3" s="1"/>
  <c r="AD91" i="3" a="1"/>
  <c r="AD91" i="3" s="1"/>
  <c r="AC91" i="3" a="1"/>
  <c r="AC91" i="3" s="1"/>
  <c r="Y91" i="3" a="1"/>
  <c r="Y91" i="3" s="1"/>
  <c r="X91" i="3" a="1"/>
  <c r="X91" i="3" s="1"/>
  <c r="U91" i="3" a="1"/>
  <c r="U91" i="3" s="1"/>
  <c r="AB91" i="3" a="1"/>
  <c r="AB91" i="3" s="1"/>
  <c r="Z91" i="3" a="1"/>
  <c r="Z91" i="3" s="1"/>
  <c r="W91" i="3" a="1"/>
  <c r="W91" i="3" s="1"/>
  <c r="M91" i="3" a="1"/>
  <c r="M91" i="3" s="1"/>
  <c r="CA138" i="4"/>
  <c r="AO138" i="4"/>
  <c r="AO57" i="8"/>
  <c r="CA75" i="8"/>
  <c r="X104" i="3" a="1"/>
  <c r="X104" i="3" s="1"/>
  <c r="AW104" i="3"/>
  <c r="P104" i="3" s="1"/>
  <c r="AN104" i="3"/>
  <c r="W104" i="3" a="1"/>
  <c r="W104" i="3" s="1"/>
  <c r="AM104" i="3"/>
  <c r="AL104" i="3"/>
  <c r="AK104" i="3"/>
  <c r="U104" i="3" a="1"/>
  <c r="U104" i="3" s="1"/>
  <c r="AJ104" i="3"/>
  <c r="AI104" i="3"/>
  <c r="AH104" i="3" a="1"/>
  <c r="AH104" i="3" s="1"/>
  <c r="AG104" i="3" a="1"/>
  <c r="AG104" i="3" s="1"/>
  <c r="AF104" i="3" a="1"/>
  <c r="AF104" i="3" s="1"/>
  <c r="AC104" i="3" a="1"/>
  <c r="AC104" i="3" s="1"/>
  <c r="H104" i="3"/>
  <c r="G104" i="3" a="1"/>
  <c r="G104" i="3" s="1"/>
  <c r="Y104" i="3" a="1"/>
  <c r="Y104" i="3" s="1"/>
  <c r="C104" i="3"/>
  <c r="AD104" i="3" a="1"/>
  <c r="AD104" i="3" s="1"/>
  <c r="I104" i="3" a="1"/>
  <c r="I104" i="3" s="1"/>
  <c r="D104" i="3" a="1"/>
  <c r="D104" i="3" s="1"/>
  <c r="M104" i="3" s="1" a="1"/>
  <c r="M104" i="3" s="1"/>
  <c r="AB104" i="3" a="1"/>
  <c r="AB104" i="3" s="1"/>
  <c r="AA104" i="3" a="1"/>
  <c r="AA104" i="3" s="1"/>
  <c r="F104" i="3" a="1"/>
  <c r="F104" i="3" s="1"/>
  <c r="E104" i="3" a="1"/>
  <c r="E104" i="3" s="1"/>
  <c r="Z104" i="3" a="1"/>
  <c r="Z104" i="3" s="1"/>
  <c r="X242" i="3" a="1"/>
  <c r="X242" i="3" s="1"/>
  <c r="W242" i="3" a="1"/>
  <c r="W242" i="3" s="1"/>
  <c r="Y242" i="3" a="1"/>
  <c r="Y242" i="3" s="1"/>
  <c r="AB242" i="3" a="1"/>
  <c r="AB242" i="3" s="1"/>
  <c r="AH242" i="3" a="1"/>
  <c r="AH242" i="3" s="1"/>
  <c r="AM242" i="3"/>
  <c r="AN242" i="3"/>
  <c r="AW242" i="3"/>
  <c r="P242" i="3" s="1"/>
  <c r="G242" i="3" a="1"/>
  <c r="G242" i="3" s="1"/>
  <c r="C242" i="3"/>
  <c r="AL242" i="3"/>
  <c r="AK242" i="3"/>
  <c r="AJ242" i="3"/>
  <c r="U242" i="3" a="1"/>
  <c r="U242" i="3" s="1"/>
  <c r="AI242" i="3"/>
  <c r="AG242" i="3" a="1"/>
  <c r="AG242" i="3" s="1"/>
  <c r="AF242" i="3" a="1"/>
  <c r="AF242" i="3" s="1"/>
  <c r="AD242" i="3" a="1"/>
  <c r="AD242" i="3" s="1"/>
  <c r="I242" i="3" a="1"/>
  <c r="I242" i="3" s="1"/>
  <c r="H242" i="3"/>
  <c r="AC242" i="3" a="1"/>
  <c r="AC242" i="3" s="1"/>
  <c r="F242" i="3" a="1"/>
  <c r="F242" i="3" s="1"/>
  <c r="AA242" i="3" a="1"/>
  <c r="AA242" i="3" s="1"/>
  <c r="E242" i="3" a="1"/>
  <c r="E242" i="3" s="1"/>
  <c r="Z242" i="3" a="1"/>
  <c r="Z242" i="3" s="1"/>
  <c r="D242" i="3" a="1"/>
  <c r="D242" i="3" s="1"/>
  <c r="M242" i="3" s="1" a="1"/>
  <c r="M242" i="3" s="1"/>
  <c r="AK124" i="3"/>
  <c r="AF124" i="3" a="1"/>
  <c r="AF124" i="3" s="1"/>
  <c r="AB124" i="3" a="1"/>
  <c r="AB124" i="3" s="1"/>
  <c r="X124" i="3" a="1"/>
  <c r="X124" i="3" s="1"/>
  <c r="H124" i="3"/>
  <c r="D124" i="3" a="1"/>
  <c r="D124" i="3" s="1"/>
  <c r="M124" i="3" s="1" a="1"/>
  <c r="M124" i="3" s="1"/>
  <c r="AN124" i="3"/>
  <c r="AW124" i="3"/>
  <c r="P124" i="3" s="1"/>
  <c r="AJ124" i="3"/>
  <c r="AA124" i="3" a="1"/>
  <c r="AA124" i="3" s="1"/>
  <c r="U124" i="3" a="1"/>
  <c r="U124" i="3" s="1"/>
  <c r="G124" i="3" a="1"/>
  <c r="G124" i="3" s="1"/>
  <c r="E124" i="3" a="1"/>
  <c r="E124" i="3" s="1"/>
  <c r="AI124" i="3"/>
  <c r="AD124" i="3" a="1"/>
  <c r="AD124" i="3" s="1"/>
  <c r="Z124" i="3" a="1"/>
  <c r="Z124" i="3" s="1"/>
  <c r="AL124" i="3"/>
  <c r="AG124" i="3" a="1"/>
  <c r="AG124" i="3" s="1"/>
  <c r="Y124" i="3" a="1"/>
  <c r="Y124" i="3" s="1"/>
  <c r="AM124" i="3"/>
  <c r="AH124" i="3" a="1"/>
  <c r="AH124" i="3" s="1"/>
  <c r="AC124" i="3" a="1"/>
  <c r="AC124" i="3" s="1"/>
  <c r="W124" i="3" a="1"/>
  <c r="W124" i="3" s="1"/>
  <c r="I124" i="3" a="1"/>
  <c r="I124" i="3" s="1"/>
  <c r="F124" i="3" a="1"/>
  <c r="F124" i="3" s="1"/>
  <c r="C124" i="3"/>
  <c r="AW88" i="3"/>
  <c r="P88" i="3" s="1"/>
  <c r="AN88" i="3"/>
  <c r="AM88" i="3"/>
  <c r="AL88" i="3"/>
  <c r="AK88" i="3"/>
  <c r="AJ88" i="3"/>
  <c r="AI88" i="3"/>
  <c r="AH88" i="3" a="1"/>
  <c r="AH88" i="3" s="1"/>
  <c r="AG88" i="3" a="1"/>
  <c r="AG88" i="3" s="1"/>
  <c r="AF88" i="3" a="1"/>
  <c r="AF88" i="3" s="1"/>
  <c r="AD88" i="3" a="1"/>
  <c r="AD88" i="3" s="1"/>
  <c r="AC88" i="3" a="1"/>
  <c r="AC88" i="3" s="1"/>
  <c r="AB88" i="3" a="1"/>
  <c r="AB88" i="3" s="1"/>
  <c r="AA88" i="3" a="1"/>
  <c r="AA88" i="3" s="1"/>
  <c r="Z88" i="3" a="1"/>
  <c r="Z88" i="3" s="1"/>
  <c r="Y88" i="3" a="1"/>
  <c r="Y88" i="3" s="1"/>
  <c r="U88" i="3" a="1"/>
  <c r="U88" i="3" s="1"/>
  <c r="I88" i="3" a="1"/>
  <c r="I88" i="3" s="1"/>
  <c r="H88" i="3"/>
  <c r="X88" i="3" a="1"/>
  <c r="X88" i="3" s="1"/>
  <c r="D88" i="3" a="1"/>
  <c r="D88" i="3" s="1"/>
  <c r="M88" i="3" s="1" a="1"/>
  <c r="M88" i="3" s="1"/>
  <c r="W88" i="3" a="1"/>
  <c r="W88" i="3" s="1"/>
  <c r="G88" i="3" a="1"/>
  <c r="G88" i="3" s="1"/>
  <c r="E88" i="3" a="1"/>
  <c r="E88" i="3" s="1"/>
  <c r="F88" i="3" a="1"/>
  <c r="F88" i="3" s="1"/>
  <c r="AP86" i="7"/>
  <c r="AP84" i="7"/>
  <c r="BM23" i="9"/>
  <c r="BN23" i="9" s="1"/>
  <c r="BJ23" i="9"/>
  <c r="BM22" i="9"/>
  <c r="BN22" i="9" s="1"/>
  <c r="BJ22" i="9"/>
  <c r="BM21" i="9"/>
  <c r="BN21" i="9" s="1"/>
  <c r="AQ23" i="9"/>
  <c r="AQ22" i="9"/>
  <c r="AT23" i="9"/>
  <c r="AT22" i="9"/>
  <c r="AT21" i="9"/>
  <c r="FQ27" i="4"/>
  <c r="FN27" i="4"/>
  <c r="FQ26" i="4"/>
  <c r="FN26" i="4"/>
  <c r="FQ25" i="4"/>
  <c r="FQ24" i="4"/>
  <c r="FQ23" i="4"/>
  <c r="FQ22" i="4"/>
  <c r="EX27" i="4"/>
  <c r="EU27" i="4"/>
  <c r="EX26" i="4"/>
  <c r="EU26" i="4"/>
  <c r="EX25" i="4"/>
  <c r="EX24" i="4"/>
  <c r="EX23" i="4"/>
  <c r="EX22" i="4"/>
  <c r="DM27" i="4"/>
  <c r="DJ27" i="4"/>
  <c r="DM26" i="4"/>
  <c r="DJ26" i="4"/>
  <c r="DM25" i="4"/>
  <c r="DM24" i="4"/>
  <c r="DM23" i="4"/>
  <c r="DM22" i="4"/>
  <c r="CT27" i="4"/>
  <c r="CQ27" i="4"/>
  <c r="CT26" i="4"/>
  <c r="CQ26" i="4"/>
  <c r="CT25" i="4"/>
  <c r="CT24" i="4"/>
  <c r="CT23" i="4"/>
  <c r="CT22" i="4"/>
  <c r="CA27" i="4"/>
  <c r="BX27" i="4"/>
  <c r="CA26" i="4"/>
  <c r="BX26" i="4"/>
  <c r="CA25" i="4"/>
  <c r="CA24" i="4"/>
  <c r="CA23" i="4"/>
  <c r="CA22" i="4"/>
  <c r="BH27" i="4"/>
  <c r="BE27" i="4"/>
  <c r="BH26" i="4"/>
  <c r="BE26" i="4"/>
  <c r="BH25" i="4"/>
  <c r="BH24" i="4"/>
  <c r="BH23" i="4"/>
  <c r="BH22" i="4"/>
  <c r="AW17" i="4"/>
  <c r="AW18" i="4"/>
  <c r="AW19" i="4"/>
  <c r="AW20" i="4"/>
  <c r="AW21" i="4"/>
  <c r="AO27" i="4"/>
  <c r="AO26" i="4"/>
  <c r="AO25" i="4"/>
  <c r="AO23" i="4"/>
  <c r="AO22" i="4"/>
  <c r="W21" i="8"/>
  <c r="L21" i="8"/>
  <c r="J21" i="8"/>
  <c r="I21" i="8"/>
  <c r="W20" i="8"/>
  <c r="L20" i="8"/>
  <c r="J20" i="8"/>
  <c r="I20" i="8"/>
  <c r="W19" i="8"/>
  <c r="L19" i="8"/>
  <c r="J19" i="8"/>
  <c r="I19" i="8"/>
  <c r="W18" i="8"/>
  <c r="L18" i="8"/>
  <c r="J18" i="8"/>
  <c r="I18" i="8"/>
  <c r="C12" i="3"/>
  <c r="C20" i="3"/>
  <c r="C21" i="3"/>
  <c r="C24" i="3"/>
  <c r="C78" i="3"/>
  <c r="C80" i="3"/>
  <c r="C81" i="3"/>
  <c r="C84" i="3"/>
  <c r="C92" i="3"/>
  <c r="C223" i="3"/>
  <c r="C228" i="3"/>
  <c r="C253" i="3"/>
  <c r="C254" i="3"/>
  <c r="C259" i="3"/>
  <c r="C261" i="3"/>
  <c r="Q12" i="3"/>
  <c r="R12" i="3"/>
  <c r="S12" i="3"/>
  <c r="K21" i="8" s="1"/>
  <c r="AX12" i="3"/>
  <c r="T12" i="3" s="1"/>
  <c r="W21" i="7"/>
  <c r="L21" i="7"/>
  <c r="J21" i="7"/>
  <c r="I21" i="7"/>
  <c r="W20" i="7"/>
  <c r="L20" i="7"/>
  <c r="J20" i="7"/>
  <c r="I20" i="7"/>
  <c r="W19" i="7"/>
  <c r="L19" i="7"/>
  <c r="J19" i="7"/>
  <c r="I19" i="7"/>
  <c r="W18" i="7"/>
  <c r="L18" i="7"/>
  <c r="J18" i="7"/>
  <c r="I18" i="7"/>
  <c r="W19" i="5"/>
  <c r="L19" i="5"/>
  <c r="J19" i="5"/>
  <c r="I19" i="5"/>
  <c r="W18" i="5"/>
  <c r="L18" i="5"/>
  <c r="J18" i="5"/>
  <c r="I18" i="5"/>
  <c r="W17" i="5"/>
  <c r="L17" i="5"/>
  <c r="J17" i="5"/>
  <c r="I17" i="5"/>
  <c r="W16" i="5"/>
  <c r="L16" i="5"/>
  <c r="J16" i="5"/>
  <c r="I16" i="5"/>
  <c r="W18" i="4"/>
  <c r="W19" i="4"/>
  <c r="W20" i="4"/>
  <c r="W21" i="4"/>
  <c r="X22" i="4"/>
  <c r="X23" i="4"/>
  <c r="DJ23" i="4" s="1"/>
  <c r="X24" i="4"/>
  <c r="X25" i="4"/>
  <c r="I18" i="4"/>
  <c r="J18" i="4"/>
  <c r="K18" i="4"/>
  <c r="L18" i="4"/>
  <c r="I19" i="4"/>
  <c r="J19" i="4"/>
  <c r="K19" i="4"/>
  <c r="L19" i="4"/>
  <c r="I20" i="4"/>
  <c r="J20" i="4"/>
  <c r="K20" i="4"/>
  <c r="L20" i="4"/>
  <c r="I21" i="4"/>
  <c r="J21" i="4"/>
  <c r="K21" i="4"/>
  <c r="L21" i="4"/>
  <c r="L17" i="4"/>
  <c r="K17" i="4"/>
  <c r="J17" i="4"/>
  <c r="I17" i="4"/>
  <c r="C3" i="3"/>
  <c r="C6" i="3"/>
  <c r="C8" i="3"/>
  <c r="C11" i="3"/>
  <c r="C13" i="3"/>
  <c r="C10" i="3"/>
  <c r="Q10" i="3"/>
  <c r="R10" i="3"/>
  <c r="S10" i="3"/>
  <c r="K18" i="8" s="1"/>
  <c r="AX10" i="3"/>
  <c r="T10" i="3" s="1"/>
  <c r="M3" i="3" a="1"/>
  <c r="M3" i="3" s="1"/>
  <c r="M5" i="3" a="1"/>
  <c r="M5" i="3" s="1"/>
  <c r="M6" i="3" a="1"/>
  <c r="M6" i="3" s="1"/>
  <c r="M7" i="3" a="1"/>
  <c r="M7" i="3" s="1"/>
  <c r="M8" i="3" a="1"/>
  <c r="M8" i="3" s="1"/>
  <c r="M9" i="3" a="1"/>
  <c r="M9" i="3" s="1"/>
  <c r="M11" i="3" a="1"/>
  <c r="M11" i="3" s="1"/>
  <c r="M13" i="3" a="1"/>
  <c r="M13" i="3" s="1"/>
  <c r="M14" i="3" a="1"/>
  <c r="M14" i="3" s="1"/>
  <c r="M15" i="3" a="1"/>
  <c r="M15" i="3" s="1"/>
  <c r="M16" i="3" a="1"/>
  <c r="M16" i="3" s="1"/>
  <c r="M17" i="3" a="1"/>
  <c r="M17" i="3" s="1"/>
  <c r="M18" i="3" a="1"/>
  <c r="M18" i="3" s="1"/>
  <c r="M19" i="3" a="1"/>
  <c r="M19" i="3" s="1"/>
  <c r="M20" i="3" a="1"/>
  <c r="M20" i="3" s="1"/>
  <c r="M21" i="3" a="1"/>
  <c r="M21" i="3" s="1"/>
  <c r="Q21" i="3"/>
  <c r="R21" i="3"/>
  <c r="S21" i="3"/>
  <c r="K20" i="8" s="1"/>
  <c r="AX21" i="3"/>
  <c r="T21" i="3" s="1"/>
  <c r="Q8" i="3"/>
  <c r="R8" i="3"/>
  <c r="S8" i="3"/>
  <c r="K19" i="8" s="1"/>
  <c r="AX8" i="3"/>
  <c r="T8" i="3" s="1"/>
  <c r="Q6" i="3"/>
  <c r="R6" i="3"/>
  <c r="S6" i="3"/>
  <c r="AX6" i="3"/>
  <c r="T6" i="3" s="1"/>
  <c r="Q3" i="3"/>
  <c r="R3" i="3"/>
  <c r="S3" i="3"/>
  <c r="AX3" i="3"/>
  <c r="T3" i="3" s="1"/>
  <c r="V24" i="8"/>
  <c r="V25" i="8"/>
  <c r="V31" i="8"/>
  <c r="V32" i="8"/>
  <c r="V33" i="8"/>
  <c r="V34" i="8"/>
  <c r="V35" i="8"/>
  <c r="V36" i="8"/>
  <c r="V37" i="8"/>
  <c r="V38" i="8"/>
  <c r="V39" i="8"/>
  <c r="V40" i="8"/>
  <c r="V46" i="8"/>
  <c r="V48" i="8"/>
  <c r="V54" i="8"/>
  <c r="V58" i="8"/>
  <c r="V60" i="8"/>
  <c r="V61" i="8"/>
  <c r="V63" i="8"/>
  <c r="V64" i="8"/>
  <c r="V66" i="8"/>
  <c r="V67" i="8"/>
  <c r="V71" i="8"/>
  <c r="V72" i="8"/>
  <c r="V74" i="8"/>
  <c r="V76" i="8"/>
  <c r="V78" i="8"/>
  <c r="V81" i="8"/>
  <c r="V83" i="8"/>
  <c r="V90" i="8"/>
  <c r="V88" i="8"/>
  <c r="V86" i="8"/>
  <c r="V89" i="8"/>
  <c r="V93" i="8"/>
  <c r="V94" i="8"/>
  <c r="V96" i="8"/>
  <c r="V97" i="8"/>
  <c r="V100" i="8"/>
  <c r="V99" i="8" s="1"/>
  <c r="V102" i="8"/>
  <c r="V101" i="8" s="1"/>
  <c r="V105" i="8"/>
  <c r="V106" i="8"/>
  <c r="V107" i="8"/>
  <c r="V109" i="8"/>
  <c r="V110" i="8"/>
  <c r="V111" i="8"/>
  <c r="V113" i="8"/>
  <c r="V112" i="8" s="1"/>
  <c r="V115" i="8"/>
  <c r="V116" i="8"/>
  <c r="V114" i="8" s="1"/>
  <c r="V118" i="8"/>
  <c r="V117" i="8" s="1"/>
  <c r="N38" i="5"/>
  <c r="N55" i="5"/>
  <c r="N64" i="5"/>
  <c r="N67" i="5"/>
  <c r="N82" i="5"/>
  <c r="N85" i="5"/>
  <c r="N93" i="5"/>
  <c r="N96" i="5"/>
  <c r="N100" i="5"/>
  <c r="N102" i="5"/>
  <c r="N105" i="5"/>
  <c r="N109" i="5"/>
  <c r="N113" i="5"/>
  <c r="N115" i="5"/>
  <c r="N117" i="5"/>
  <c r="FQ39" i="4"/>
  <c r="EX39" i="4"/>
  <c r="DM39" i="4"/>
  <c r="CT39" i="4"/>
  <c r="CA39" i="4"/>
  <c r="BH39" i="4"/>
  <c r="AO39" i="4"/>
  <c r="B355" i="3" a="1"/>
  <c r="B355" i="3" s="1"/>
  <c r="B302" i="3" a="1"/>
  <c r="B302" i="3" s="1"/>
  <c r="C302" i="3" s="1"/>
  <c r="B243" i="3" a="1"/>
  <c r="B243" i="3" s="1"/>
  <c r="AE243" i="3" s="1" a="1"/>
  <c r="AE243" i="3" s="1"/>
  <c r="B226" i="3" a="1"/>
  <c r="B226" i="3" s="1"/>
  <c r="AE226" i="3" s="1" a="1"/>
  <c r="AE226" i="3" s="1"/>
  <c r="B224" i="3" a="1"/>
  <c r="B224" i="3" s="1"/>
  <c r="AE224" i="3" s="1" a="1"/>
  <c r="AE224" i="3" s="1"/>
  <c r="B385" i="3" a="1"/>
  <c r="B385" i="3" s="1"/>
  <c r="B184" i="3" a="1"/>
  <c r="B184" i="3" s="1"/>
  <c r="AE184" i="3" s="1" a="1"/>
  <c r="AE184" i="3" s="1"/>
  <c r="B182" i="3" a="1"/>
  <c r="B182" i="3" s="1"/>
  <c r="AE182" i="3" s="1" a="1"/>
  <c r="AE182" i="3" s="1"/>
  <c r="B375" i="3" a="1"/>
  <c r="B375" i="3" s="1"/>
  <c r="B147" i="3" a="1"/>
  <c r="B147" i="3" s="1"/>
  <c r="AE147" i="3" s="1" a="1"/>
  <c r="AE147" i="3" s="1"/>
  <c r="B137" i="3" a="1"/>
  <c r="B137" i="3" s="1"/>
  <c r="AE137" i="3" s="1" a="1"/>
  <c r="AE137" i="3" s="1"/>
  <c r="B128" i="3" a="1"/>
  <c r="B128" i="3" s="1"/>
  <c r="AE128" i="3" s="1" a="1"/>
  <c r="AE128" i="3" s="1"/>
  <c r="B121" i="3" a="1"/>
  <c r="B121" i="3" s="1"/>
  <c r="AE121" i="3" s="1" a="1"/>
  <c r="AE121" i="3" s="1"/>
  <c r="B113" i="3" a="1"/>
  <c r="B113" i="3" s="1"/>
  <c r="AE113" i="3" s="1" a="1"/>
  <c r="AE113" i="3" s="1"/>
  <c r="B350" i="3" a="1"/>
  <c r="B350" i="3" s="1"/>
  <c r="B98" i="3" a="1"/>
  <c r="B98" i="3" s="1"/>
  <c r="AE98" i="3" s="1" a="1"/>
  <c r="AE98" i="3" s="1"/>
  <c r="B86" i="3" a="1"/>
  <c r="B86" i="3" s="1"/>
  <c r="AE86" i="3" s="1" a="1"/>
  <c r="AE86" i="3" s="1"/>
  <c r="AY165" i="9"/>
  <c r="BM165" i="9" s="1"/>
  <c r="AT165" i="9"/>
  <c r="AD24" i="3" a="1"/>
  <c r="AD24" i="3" s="1"/>
  <c r="AD283" i="3" a="1"/>
  <c r="AD283" i="3" s="1"/>
  <c r="AD284" i="3" a="1"/>
  <c r="AD284" i="3" s="1"/>
  <c r="AD285" i="3" a="1"/>
  <c r="AD285" i="3" s="1"/>
  <c r="AD286" i="3" a="1"/>
  <c r="AD286" i="3" s="1"/>
  <c r="B46" i="3" a="1"/>
  <c r="B46" i="3" s="1"/>
  <c r="AE46" i="3" s="1" a="1"/>
  <c r="AE46" i="3" s="1"/>
  <c r="B35" i="3" a="1"/>
  <c r="B35" i="3" s="1"/>
  <c r="AE35" i="3" s="1" a="1"/>
  <c r="AE35" i="3" s="1"/>
  <c r="B34" i="3" a="1"/>
  <c r="B34" i="3" s="1"/>
  <c r="AE34" i="3" s="1" a="1"/>
  <c r="AE34" i="3" s="1"/>
  <c r="B58" i="3" a="1"/>
  <c r="B58" i="3" s="1"/>
  <c r="AE58" i="3" s="1" a="1"/>
  <c r="AE58" i="3" s="1"/>
  <c r="B304" i="3" a="1"/>
  <c r="B304" i="3" s="1"/>
  <c r="AE304" i="3" s="1" a="1"/>
  <c r="AE304" i="3" s="1"/>
  <c r="B305" i="3" a="1"/>
  <c r="B305" i="3" s="1"/>
  <c r="AE305" i="3" s="1" a="1"/>
  <c r="AE305" i="3" s="1"/>
  <c r="B306" i="3" a="1"/>
  <c r="B306" i="3" s="1"/>
  <c r="AE306" i="3" s="1" a="1"/>
  <c r="AE306" i="3" s="1"/>
  <c r="B69" i="3" a="1"/>
  <c r="B69" i="3" s="1"/>
  <c r="AE69" i="3" s="1" a="1"/>
  <c r="AE69" i="3" s="1"/>
  <c r="B40" i="3" a="1"/>
  <c r="B40" i="3" s="1"/>
  <c r="AE40" i="3" s="1" a="1"/>
  <c r="AE40" i="3" s="1"/>
  <c r="B307" i="3" a="1"/>
  <c r="B307" i="3" s="1"/>
  <c r="AE307" i="3" s="1" a="1"/>
  <c r="AE307" i="3" s="1"/>
  <c r="B55" i="3" a="1"/>
  <c r="B55" i="3" s="1"/>
  <c r="AE55" i="3" s="1" a="1"/>
  <c r="AE55" i="3" s="1"/>
  <c r="B77" i="3" a="1"/>
  <c r="B77" i="3" s="1"/>
  <c r="AE77" i="3" s="1" a="1"/>
  <c r="AE77" i="3" s="1"/>
  <c r="B311" i="3" a="1"/>
  <c r="B311" i="3" s="1"/>
  <c r="C311" i="3" s="1"/>
  <c r="B251" i="3" a="1"/>
  <c r="B251" i="3" s="1"/>
  <c r="AE251" i="3" s="1" a="1"/>
  <c r="AE251" i="3" s="1"/>
  <c r="B316" i="3" a="1"/>
  <c r="B316" i="3" s="1"/>
  <c r="C316" i="3" s="1"/>
  <c r="B252" i="3" a="1"/>
  <c r="B252" i="3" s="1"/>
  <c r="AE252" i="3" s="1" a="1"/>
  <c r="AE252" i="3" s="1"/>
  <c r="B87" i="3" a="1"/>
  <c r="B87" i="3" s="1"/>
  <c r="AE87" i="3" s="1" a="1"/>
  <c r="AE87" i="3" s="1"/>
  <c r="B90" i="3" a="1"/>
  <c r="B90" i="3" s="1"/>
  <c r="AE90" i="3" s="1" a="1"/>
  <c r="AE90" i="3" s="1"/>
  <c r="B322" i="3" a="1"/>
  <c r="B322" i="3" s="1"/>
  <c r="C322" i="3" s="1"/>
  <c r="AD253" i="3" a="1"/>
  <c r="AD253" i="3" s="1"/>
  <c r="AD254" i="3" a="1"/>
  <c r="AD254" i="3" s="1"/>
  <c r="B255" i="3" a="1"/>
  <c r="B255" i="3" s="1"/>
  <c r="AE255" i="3" s="1" a="1"/>
  <c r="AE255" i="3" s="1"/>
  <c r="B396" i="3" a="1"/>
  <c r="B396" i="3" s="1"/>
  <c r="B256" i="3" a="1"/>
  <c r="B256" i="3" s="1"/>
  <c r="AE256" i="3" s="1" a="1"/>
  <c r="AE256" i="3" s="1"/>
  <c r="B327" i="3" a="1"/>
  <c r="B327" i="3" s="1"/>
  <c r="C327" i="3" s="1"/>
  <c r="B5" i="3" a="1"/>
  <c r="B5" i="3" s="1"/>
  <c r="AE5" i="3" s="1" a="1"/>
  <c r="AE5" i="3" s="1"/>
  <c r="B7" i="3" a="1"/>
  <c r="B7" i="3" s="1"/>
  <c r="AE7" i="3" s="1" a="1"/>
  <c r="AE7" i="3" s="1"/>
  <c r="B9" i="3" a="1"/>
  <c r="B9" i="3" s="1"/>
  <c r="AE9" i="3" s="1" a="1"/>
  <c r="AE9" i="3" s="1"/>
  <c r="B14" i="3" a="1"/>
  <c r="B14" i="3" s="1"/>
  <c r="AE14" i="3" s="1" a="1"/>
  <c r="AE14" i="3" s="1"/>
  <c r="B15" i="3" a="1"/>
  <c r="B15" i="3" s="1"/>
  <c r="AE15" i="3" s="1" a="1"/>
  <c r="AE15" i="3" s="1"/>
  <c r="B16" i="3" a="1"/>
  <c r="B16" i="3" s="1"/>
  <c r="AE16" i="3" s="1" a="1"/>
  <c r="AE16" i="3" s="1"/>
  <c r="B17" i="3" a="1"/>
  <c r="B17" i="3" s="1"/>
  <c r="AE17" i="3" s="1" a="1"/>
  <c r="AE17" i="3" s="1"/>
  <c r="B18" i="3" a="1"/>
  <c r="B18" i="3" s="1"/>
  <c r="AE18" i="3" s="1" a="1"/>
  <c r="AE18" i="3" s="1"/>
  <c r="B19" i="3" a="1"/>
  <c r="B19" i="3" s="1"/>
  <c r="AE19" i="3" s="1" a="1"/>
  <c r="AE19" i="3" s="1"/>
  <c r="B332" i="3" a="1"/>
  <c r="B332" i="3" s="1"/>
  <c r="C332" i="3" s="1"/>
  <c r="B257" i="3" a="1"/>
  <c r="B257" i="3" s="1"/>
  <c r="AE257" i="3" s="1" a="1"/>
  <c r="AE257" i="3" s="1"/>
  <c r="AD92" i="3" a="1"/>
  <c r="AD92" i="3" s="1"/>
  <c r="B93" i="3" a="1"/>
  <c r="B93" i="3" s="1"/>
  <c r="AE93" i="3" s="1" a="1"/>
  <c r="AE93" i="3" s="1"/>
  <c r="B94" i="3" a="1"/>
  <c r="B94" i="3" s="1"/>
  <c r="B337" i="3" a="1"/>
  <c r="B337" i="3" s="1"/>
  <c r="B338" i="3" a="1"/>
  <c r="B338" i="3" s="1"/>
  <c r="B341" i="3" a="1"/>
  <c r="B341" i="3" s="1"/>
  <c r="B342" i="3" a="1"/>
  <c r="B342" i="3" s="1"/>
  <c r="B258" i="3" a="1"/>
  <c r="B258" i="3" s="1"/>
  <c r="AE258" i="3" s="1" a="1"/>
  <c r="AE258" i="3" s="1"/>
  <c r="AD259" i="3" a="1"/>
  <c r="AD259" i="3" s="1"/>
  <c r="B260" i="3" a="1"/>
  <c r="B260" i="3" s="1"/>
  <c r="AE260" i="3" s="1" a="1"/>
  <c r="AE260" i="3" s="1"/>
  <c r="B95" i="3" a="1"/>
  <c r="B95" i="3" s="1"/>
  <c r="AE95" i="3" s="1" a="1"/>
  <c r="AE95" i="3" s="1"/>
  <c r="B348" i="3" a="1"/>
  <c r="B348" i="3" s="1"/>
  <c r="AD78" i="3" a="1"/>
  <c r="AD78" i="3" s="1"/>
  <c r="AD80" i="3" a="1"/>
  <c r="AD80" i="3" s="1"/>
  <c r="AD261" i="3" a="1"/>
  <c r="AD261" i="3" s="1"/>
  <c r="B99" i="3" a="1"/>
  <c r="B99" i="3" s="1"/>
  <c r="AE99" i="3" s="1" a="1"/>
  <c r="AE99" i="3" s="1"/>
  <c r="B352" i="3" a="1"/>
  <c r="B352" i="3" s="1"/>
  <c r="B103" i="3" a="1"/>
  <c r="B103" i="3" s="1"/>
  <c r="AE103" i="3" s="1" a="1"/>
  <c r="AE103" i="3" s="1"/>
  <c r="B105" i="3" a="1"/>
  <c r="B105" i="3" s="1"/>
  <c r="AE105" i="3" s="1" a="1"/>
  <c r="AE105" i="3" s="1"/>
  <c r="B107" i="3" a="1"/>
  <c r="B107" i="3" s="1"/>
  <c r="AE107" i="3" s="1" a="1"/>
  <c r="AE107" i="3" s="1"/>
  <c r="B108" i="3" a="1"/>
  <c r="B108" i="3" s="1"/>
  <c r="AE108" i="3" s="1" a="1"/>
  <c r="AE108" i="3" s="1"/>
  <c r="B109" i="3" a="1"/>
  <c r="B109" i="3" s="1"/>
  <c r="AE109" i="3" s="1" a="1"/>
  <c r="AE109" i="3" s="1"/>
  <c r="B110" i="3" a="1"/>
  <c r="B110" i="3" s="1"/>
  <c r="AE110" i="3" s="1" a="1"/>
  <c r="AE110" i="3" s="1"/>
  <c r="B111" i="3" a="1"/>
  <c r="B111" i="3" s="1"/>
  <c r="AE111" i="3" s="1" a="1"/>
  <c r="AE111" i="3" s="1"/>
  <c r="B112" i="3" a="1"/>
  <c r="B112" i="3" s="1"/>
  <c r="AE112" i="3" s="1" a="1"/>
  <c r="AE112" i="3" s="1"/>
  <c r="B114" i="3" a="1"/>
  <c r="B114" i="3" s="1"/>
  <c r="AE114" i="3" s="1" a="1"/>
  <c r="AE114" i="3" s="1"/>
  <c r="B115" i="3" a="1"/>
  <c r="B115" i="3" s="1"/>
  <c r="AE115" i="3" s="1" a="1"/>
  <c r="AE115" i="3" s="1"/>
  <c r="B116" i="3" a="1"/>
  <c r="B116" i="3" s="1"/>
  <c r="AE116" i="3" s="1" a="1"/>
  <c r="AE116" i="3" s="1"/>
  <c r="B117" i="3" a="1"/>
  <c r="B117" i="3" s="1"/>
  <c r="AE117" i="3" s="1" a="1"/>
  <c r="AE117" i="3" s="1"/>
  <c r="B118" i="3" a="1"/>
  <c r="B118" i="3" s="1"/>
  <c r="AE118" i="3" s="1" a="1"/>
  <c r="AE118" i="3" s="1"/>
  <c r="B119" i="3" a="1"/>
  <c r="B119" i="3" s="1"/>
  <c r="AE119" i="3" s="1" a="1"/>
  <c r="AE119" i="3" s="1"/>
  <c r="B120" i="3" a="1"/>
  <c r="B120" i="3" s="1"/>
  <c r="B126" i="3" a="1"/>
  <c r="B126" i="3" s="1"/>
  <c r="AE126" i="3" s="1" a="1"/>
  <c r="AE126" i="3" s="1"/>
  <c r="B131" i="3" a="1"/>
  <c r="B131" i="3" s="1"/>
  <c r="AE131" i="3" s="1" a="1"/>
  <c r="AE131" i="3" s="1"/>
  <c r="B132" i="3" a="1"/>
  <c r="B132" i="3" s="1"/>
  <c r="B135" i="3" a="1"/>
  <c r="B135" i="3" s="1"/>
  <c r="AE135" i="3" s="1" a="1"/>
  <c r="AE135" i="3" s="1"/>
  <c r="B136" i="3" a="1"/>
  <c r="B136" i="3" s="1"/>
  <c r="B138" i="3" a="1"/>
  <c r="B138" i="3" s="1"/>
  <c r="AE138" i="3" s="1" a="1"/>
  <c r="AE138" i="3" s="1"/>
  <c r="B139" i="3" a="1"/>
  <c r="B139" i="3" s="1"/>
  <c r="AE139" i="3" s="1" a="1"/>
  <c r="AE139" i="3" s="1"/>
  <c r="B140" i="3" a="1"/>
  <c r="B140" i="3" s="1"/>
  <c r="AE140" i="3" s="1" a="1"/>
  <c r="AE140" i="3" s="1"/>
  <c r="B141" i="3" a="1"/>
  <c r="B141" i="3" s="1"/>
  <c r="AE141" i="3" s="1" a="1"/>
  <c r="AE141" i="3" s="1"/>
  <c r="B142" i="3" a="1"/>
  <c r="B142" i="3" s="1"/>
  <c r="AE142" i="3" s="1" a="1"/>
  <c r="AE142" i="3" s="1"/>
  <c r="B143" i="3" a="1"/>
  <c r="B143" i="3" s="1"/>
  <c r="AE143" i="3" s="1" a="1"/>
  <c r="AE143" i="3" s="1"/>
  <c r="B144" i="3" a="1"/>
  <c r="B144" i="3" s="1"/>
  <c r="AE144" i="3" s="1" a="1"/>
  <c r="AE144" i="3" s="1"/>
  <c r="B145" i="3" a="1"/>
  <c r="B145" i="3" s="1"/>
  <c r="AE145" i="3" s="1" a="1"/>
  <c r="AE145" i="3" s="1"/>
  <c r="B146" i="3" a="1"/>
  <c r="B146" i="3" s="1"/>
  <c r="AE146" i="3" s="1" a="1"/>
  <c r="AE146" i="3" s="1"/>
  <c r="B168" i="3" a="1"/>
  <c r="B168" i="3" s="1"/>
  <c r="B169" i="3" a="1"/>
  <c r="B169" i="3" s="1"/>
  <c r="AE169" i="3" s="1" a="1"/>
  <c r="AE169" i="3" s="1"/>
  <c r="B170" i="3" a="1"/>
  <c r="B170" i="3" s="1"/>
  <c r="AE170" i="3" s="1" a="1"/>
  <c r="AE170" i="3" s="1"/>
  <c r="B171" i="3" a="1"/>
  <c r="B171" i="3" s="1"/>
  <c r="AE171" i="3" s="1" a="1"/>
  <c r="AE171" i="3" s="1"/>
  <c r="B173" i="3" a="1"/>
  <c r="B173" i="3" s="1"/>
  <c r="AE173" i="3" s="1" a="1"/>
  <c r="AE173" i="3" s="1"/>
  <c r="B174" i="3" a="1"/>
  <c r="B174" i="3" s="1"/>
  <c r="AE174" i="3" s="1" a="1"/>
  <c r="AE174" i="3" s="1"/>
  <c r="AD81" i="3" a="1"/>
  <c r="AD81" i="3" s="1"/>
  <c r="B82" i="3" a="1"/>
  <c r="B82" i="3" s="1"/>
  <c r="AE82" i="3" s="1" a="1"/>
  <c r="AE82" i="3" s="1"/>
  <c r="B177" i="3" a="1"/>
  <c r="B177" i="3" s="1"/>
  <c r="AE177" i="3" s="1" a="1"/>
  <c r="AE177" i="3" s="1"/>
  <c r="B178" i="3" a="1"/>
  <c r="B178" i="3" s="1"/>
  <c r="AE178" i="3" s="1" a="1"/>
  <c r="AE178" i="3" s="1"/>
  <c r="B357" i="3" a="1"/>
  <c r="B357" i="3" s="1"/>
  <c r="B358" i="3" a="1"/>
  <c r="B358" i="3" s="1"/>
  <c r="B359" i="3" a="1"/>
  <c r="B359" i="3" s="1"/>
  <c r="B360" i="3" a="1"/>
  <c r="B360" i="3" s="1"/>
  <c r="B89" i="3" a="1"/>
  <c r="B89" i="3" s="1"/>
  <c r="AE89" i="3" s="1" a="1"/>
  <c r="AE89" i="3" s="1"/>
  <c r="B179" i="3" a="1"/>
  <c r="B179" i="3" s="1"/>
  <c r="AE179" i="3" s="1" a="1"/>
  <c r="AE179" i="3" s="1"/>
  <c r="B180" i="3" a="1"/>
  <c r="B180" i="3" s="1"/>
  <c r="AE180" i="3" s="1" a="1"/>
  <c r="AE180" i="3" s="1"/>
  <c r="B83" i="3" a="1"/>
  <c r="B83" i="3" s="1"/>
  <c r="AE83" i="3" s="1" a="1"/>
  <c r="AE83" i="3" s="1"/>
  <c r="B362" i="3" a="1"/>
  <c r="B362" i="3" s="1"/>
  <c r="B264" i="3" a="1"/>
  <c r="B264" i="3" s="1"/>
  <c r="AE264" i="3" s="1" a="1"/>
  <c r="AE264" i="3" s="1"/>
  <c r="AD265" i="3" a="1"/>
  <c r="AD265" i="3" s="1"/>
  <c r="AD266" i="3" a="1"/>
  <c r="AD266" i="3" s="1"/>
  <c r="B363" i="3" a="1"/>
  <c r="B363" i="3" s="1"/>
  <c r="B364" i="3" a="1"/>
  <c r="B364" i="3" s="1"/>
  <c r="B365" i="3" a="1"/>
  <c r="B365" i="3" s="1"/>
  <c r="B366" i="3" a="1"/>
  <c r="B366" i="3" s="1"/>
  <c r="B267" i="3" a="1"/>
  <c r="B267" i="3" s="1"/>
  <c r="AE267" i="3" s="1" a="1"/>
  <c r="AE267" i="3" s="1"/>
  <c r="AD268" i="3" a="1"/>
  <c r="AD268" i="3" s="1"/>
  <c r="AD269" i="3" a="1"/>
  <c r="AD269" i="3" s="1"/>
  <c r="B367" i="3" a="1"/>
  <c r="B367" i="3" s="1"/>
  <c r="B181" i="3" a="1"/>
  <c r="B181" i="3" s="1"/>
  <c r="AE181" i="3" s="1" a="1"/>
  <c r="AE181" i="3" s="1"/>
  <c r="B270" i="3" a="1"/>
  <c r="B270" i="3" s="1"/>
  <c r="AE270" i="3" s="1" a="1"/>
  <c r="AE270" i="3" s="1"/>
  <c r="B76" i="3" a="1"/>
  <c r="B76" i="3" s="1"/>
  <c r="AE76" i="3" s="1" a="1"/>
  <c r="AE76" i="3" s="1"/>
  <c r="B371" i="3" a="1"/>
  <c r="B371" i="3" s="1"/>
  <c r="AD271" i="3" a="1"/>
  <c r="AD271" i="3" s="1"/>
  <c r="B372" i="3" a="1"/>
  <c r="B372" i="3" s="1"/>
  <c r="B374" i="3" a="1"/>
  <c r="B374" i="3" s="1"/>
  <c r="B376" i="3" a="1"/>
  <c r="B376" i="3" s="1"/>
  <c r="AD274" i="3" a="1"/>
  <c r="AD274" i="3" s="1"/>
  <c r="B378" i="3" a="1"/>
  <c r="B378" i="3" s="1"/>
  <c r="B183" i="3" a="1"/>
  <c r="B183" i="3" s="1"/>
  <c r="AE183" i="3" s="1" a="1"/>
  <c r="AE183" i="3" s="1"/>
  <c r="B309" i="3" a="1"/>
  <c r="B309" i="3" s="1"/>
  <c r="AE309" i="3" s="1" a="1"/>
  <c r="AE309" i="3" s="1"/>
  <c r="B186" i="3" a="1"/>
  <c r="B186" i="3" s="1"/>
  <c r="AE186" i="3" s="1" a="1"/>
  <c r="AE186" i="3" s="1"/>
  <c r="B187" i="3" a="1"/>
  <c r="B187" i="3" s="1"/>
  <c r="AE187" i="3" s="1" a="1"/>
  <c r="AE187" i="3" s="1"/>
  <c r="B188" i="3" a="1"/>
  <c r="B188" i="3" s="1"/>
  <c r="AE188" i="3" s="1" a="1"/>
  <c r="AE188" i="3" s="1"/>
  <c r="B189" i="3" a="1"/>
  <c r="B189" i="3" s="1"/>
  <c r="AE189" i="3" s="1" a="1"/>
  <c r="AE189" i="3" s="1"/>
  <c r="B190" i="3" a="1"/>
  <c r="B190" i="3" s="1"/>
  <c r="AE190" i="3" s="1" a="1"/>
  <c r="AE190" i="3" s="1"/>
  <c r="B191" i="3" a="1"/>
  <c r="B191" i="3" s="1"/>
  <c r="AE191" i="3" s="1" a="1"/>
  <c r="AE191" i="3" s="1"/>
  <c r="B192" i="3" a="1"/>
  <c r="B192" i="3" s="1"/>
  <c r="AE192" i="3" s="1" a="1"/>
  <c r="AE192" i="3" s="1"/>
  <c r="B193" i="3" a="1"/>
  <c r="B193" i="3" s="1"/>
  <c r="AE193" i="3" s="1" a="1"/>
  <c r="AE193" i="3" s="1"/>
  <c r="B194" i="3" a="1"/>
  <c r="B194" i="3" s="1"/>
  <c r="AE194" i="3" s="1" a="1"/>
  <c r="AE194" i="3" s="1"/>
  <c r="B195" i="3" a="1"/>
  <c r="B195" i="3" s="1"/>
  <c r="AE195" i="3" s="1" a="1"/>
  <c r="AE195" i="3" s="1"/>
  <c r="B196" i="3" a="1"/>
  <c r="B196" i="3" s="1"/>
  <c r="AE196" i="3" s="1" a="1"/>
  <c r="AE196" i="3" s="1"/>
  <c r="B197" i="3" a="1"/>
  <c r="B197" i="3" s="1"/>
  <c r="AE197" i="3" s="1" a="1"/>
  <c r="AE197" i="3" s="1"/>
  <c r="B198" i="3" a="1"/>
  <c r="B198" i="3" s="1"/>
  <c r="AE198" i="3" s="1" a="1"/>
  <c r="AE198" i="3" s="1"/>
  <c r="B199" i="3" a="1"/>
  <c r="B199" i="3" s="1"/>
  <c r="AE199" i="3" s="1" a="1"/>
  <c r="AE199" i="3" s="1"/>
  <c r="B200" i="3" a="1"/>
  <c r="B200" i="3" s="1"/>
  <c r="AE200" i="3" s="1" a="1"/>
  <c r="AE200" i="3" s="1"/>
  <c r="B201" i="3" a="1"/>
  <c r="B201" i="3" s="1"/>
  <c r="AE201" i="3" s="1" a="1"/>
  <c r="AE201" i="3" s="1"/>
  <c r="B202" i="3" a="1"/>
  <c r="B202" i="3" s="1"/>
  <c r="AE202" i="3" s="1" a="1"/>
  <c r="AE202" i="3" s="1"/>
  <c r="B203" i="3" a="1"/>
  <c r="B203" i="3" s="1"/>
  <c r="AE203" i="3" s="1" a="1"/>
  <c r="AE203" i="3" s="1"/>
  <c r="B205" i="3" a="1"/>
  <c r="B205" i="3" s="1"/>
  <c r="AE205" i="3" s="1" a="1"/>
  <c r="AE205" i="3" s="1"/>
  <c r="B206" i="3" a="1"/>
  <c r="B206" i="3" s="1"/>
  <c r="AE206" i="3" s="1" a="1"/>
  <c r="AE206" i="3" s="1"/>
  <c r="B207" i="3" a="1"/>
  <c r="B207" i="3" s="1"/>
  <c r="AE207" i="3" s="1" a="1"/>
  <c r="AE207" i="3" s="1"/>
  <c r="B208" i="3" a="1"/>
  <c r="B208" i="3" s="1"/>
  <c r="AE208" i="3" s="1" a="1"/>
  <c r="AE208" i="3" s="1"/>
  <c r="B209" i="3" a="1"/>
  <c r="B209" i="3" s="1"/>
  <c r="AE209" i="3" s="1" a="1"/>
  <c r="AE209" i="3" s="1"/>
  <c r="B210" i="3" a="1"/>
  <c r="B210" i="3" s="1"/>
  <c r="AE210" i="3" s="1" a="1"/>
  <c r="AE210" i="3" s="1"/>
  <c r="B211" i="3" a="1"/>
  <c r="B211" i="3" s="1"/>
  <c r="AE211" i="3" s="1" a="1"/>
  <c r="AE211" i="3" s="1"/>
  <c r="B212" i="3" a="1"/>
  <c r="B212" i="3" s="1"/>
  <c r="AE212" i="3" s="1" a="1"/>
  <c r="AE212" i="3" s="1"/>
  <c r="B213" i="3" a="1"/>
  <c r="B213" i="3" s="1"/>
  <c r="AE213" i="3" s="1" a="1"/>
  <c r="AE213" i="3" s="1"/>
  <c r="B214" i="3" a="1"/>
  <c r="B214" i="3" s="1"/>
  <c r="AE214" i="3" s="1" a="1"/>
  <c r="AE214" i="3" s="1"/>
  <c r="B215" i="3" a="1"/>
  <c r="B215" i="3" s="1"/>
  <c r="AE215" i="3" s="1" a="1"/>
  <c r="AE215" i="3" s="1"/>
  <c r="B216" i="3" a="1"/>
  <c r="B216" i="3" s="1"/>
  <c r="AE216" i="3" s="1" a="1"/>
  <c r="AE216" i="3" s="1"/>
  <c r="B217" i="3" a="1"/>
  <c r="B217" i="3" s="1"/>
  <c r="AE217" i="3" s="1" a="1"/>
  <c r="AE217" i="3" s="1"/>
  <c r="B275" i="3" a="1"/>
  <c r="B275" i="3" s="1"/>
  <c r="AE275" i="3" s="1" a="1"/>
  <c r="AE275" i="3" s="1"/>
  <c r="B382" i="3" a="1"/>
  <c r="B382" i="3" s="1"/>
  <c r="B383" i="3" a="1"/>
  <c r="B383" i="3" s="1"/>
  <c r="B276" i="3" a="1"/>
  <c r="B276" i="3" s="1"/>
  <c r="AE276" i="3" s="1" a="1"/>
  <c r="AE276" i="3" s="1"/>
  <c r="B277" i="3" a="1"/>
  <c r="B277" i="3" s="1"/>
  <c r="AE277" i="3" s="1" a="1"/>
  <c r="AE277" i="3" s="1"/>
  <c r="B398" i="3" a="1"/>
  <c r="B398" i="3" s="1"/>
  <c r="B386" i="3" a="1"/>
  <c r="B386" i="3" s="1"/>
  <c r="B399" i="3" a="1"/>
  <c r="B399" i="3" s="1"/>
  <c r="AD278" i="3" a="1"/>
  <c r="AD278" i="3" s="1"/>
  <c r="B400" i="3" a="1"/>
  <c r="B400" i="3" s="1"/>
  <c r="B220" i="3" a="1"/>
  <c r="B220" i="3" s="1"/>
  <c r="AE220" i="3" s="1" a="1"/>
  <c r="AE220" i="3" s="1"/>
  <c r="B221" i="3" a="1"/>
  <c r="B221" i="3" s="1"/>
  <c r="AE221" i="3" s="1" a="1"/>
  <c r="AE221" i="3" s="1"/>
  <c r="B222" i="3" a="1"/>
  <c r="B222" i="3" s="1"/>
  <c r="AE222" i="3" s="1" a="1"/>
  <c r="AE222" i="3" s="1"/>
  <c r="AD279" i="3" a="1"/>
  <c r="AD279" i="3" s="1"/>
  <c r="AD280" i="3" a="1"/>
  <c r="AD280" i="3" s="1"/>
  <c r="B282" i="3" a="1"/>
  <c r="B282" i="3" s="1"/>
  <c r="AE282" i="3" s="1" a="1"/>
  <c r="AE282" i="3" s="1"/>
  <c r="AD223" i="3" a="1"/>
  <c r="AD223" i="3" s="1"/>
  <c r="B225" i="3" a="1"/>
  <c r="B225" i="3" s="1"/>
  <c r="AE225" i="3" s="1" a="1"/>
  <c r="AE225" i="3" s="1"/>
  <c r="AD227" i="3" a="1"/>
  <c r="AD227" i="3" s="1"/>
  <c r="AD228" i="3" a="1"/>
  <c r="AD228" i="3" s="1"/>
  <c r="AD229" i="3" a="1"/>
  <c r="AD229" i="3" s="1"/>
  <c r="B230" i="3" a="1"/>
  <c r="B230" i="3" s="1"/>
  <c r="AE230" i="3" s="1" a="1"/>
  <c r="AE230" i="3" s="1"/>
  <c r="B231" i="3" a="1"/>
  <c r="B231" i="3" s="1"/>
  <c r="AE231" i="3" s="1" a="1"/>
  <c r="AE231" i="3" s="1"/>
  <c r="B232" i="3" a="1"/>
  <c r="B232" i="3" s="1"/>
  <c r="AE232" i="3" s="1" a="1"/>
  <c r="AE232" i="3" s="1"/>
  <c r="B233" i="3" a="1"/>
  <c r="B233" i="3" s="1"/>
  <c r="AE233" i="3" s="1" a="1"/>
  <c r="AE233" i="3" s="1"/>
  <c r="B234" i="3" a="1"/>
  <c r="B234" i="3" s="1"/>
  <c r="AE234" i="3" s="1" a="1"/>
  <c r="AE234" i="3" s="1"/>
  <c r="B235" i="3" a="1"/>
  <c r="B235" i="3" s="1"/>
  <c r="AE235" i="3" s="1" a="1"/>
  <c r="AE235" i="3" s="1"/>
  <c r="B236" i="3" a="1"/>
  <c r="B236" i="3" s="1"/>
  <c r="AE236" i="3" s="1" a="1"/>
  <c r="AE236" i="3" s="1"/>
  <c r="B237" i="3" a="1"/>
  <c r="B237" i="3" s="1"/>
  <c r="AE237" i="3" s="1" a="1"/>
  <c r="AE237" i="3" s="1"/>
  <c r="B387" i="3" a="1"/>
  <c r="B387" i="3" s="1"/>
  <c r="AD84" i="3" a="1"/>
  <c r="AD84" i="3" s="1"/>
  <c r="B287" i="3" a="1"/>
  <c r="B287" i="3" s="1"/>
  <c r="AE287" i="3" s="1" a="1"/>
  <c r="AE287" i="3" s="1"/>
  <c r="B289" i="3" a="1"/>
  <c r="B289" i="3" s="1"/>
  <c r="AE289" i="3" s="1" a="1"/>
  <c r="AE289" i="3" s="1"/>
  <c r="B290" i="3" a="1"/>
  <c r="B290" i="3" s="1"/>
  <c r="AE290" i="3" s="1" a="1"/>
  <c r="AE290" i="3" s="1"/>
  <c r="B291" i="3" a="1"/>
  <c r="B291" i="3" s="1"/>
  <c r="AE291" i="3" s="1" a="1"/>
  <c r="AE291" i="3" s="1"/>
  <c r="B247" i="3" a="1"/>
  <c r="B247" i="3" s="1"/>
  <c r="AE247" i="3" s="1" a="1"/>
  <c r="AE247" i="3" s="1"/>
  <c r="B248" i="3" a="1"/>
  <c r="B248" i="3" s="1"/>
  <c r="AE248" i="3" s="1" a="1"/>
  <c r="AE248" i="3" s="1"/>
  <c r="B249" i="3" a="1"/>
  <c r="B249" i="3" s="1"/>
  <c r="AE249" i="3" s="1" a="1"/>
  <c r="AE249" i="3" s="1"/>
  <c r="B250" i="3" a="1"/>
  <c r="B250" i="3" s="1"/>
  <c r="AE250" i="3" s="1" a="1"/>
  <c r="AE250" i="3" s="1"/>
  <c r="B395" i="3" a="1"/>
  <c r="B395" i="3" s="1"/>
  <c r="B298" i="3" a="1"/>
  <c r="B298" i="3" s="1"/>
  <c r="AE298" i="3" s="1" a="1"/>
  <c r="AE298" i="3" s="1"/>
  <c r="B299" i="3" a="1"/>
  <c r="B299" i="3" s="1"/>
  <c r="AE299" i="3" s="1" a="1"/>
  <c r="AE299" i="3" s="1"/>
  <c r="B297" i="3" a="1"/>
  <c r="B297" i="3" s="1"/>
  <c r="AE297" i="3" s="1" a="1"/>
  <c r="AE297" i="3" s="1"/>
  <c r="B296" i="3" a="1"/>
  <c r="B296" i="3" s="1"/>
  <c r="AE296" i="3" s="1" a="1"/>
  <c r="AE296" i="3" s="1"/>
  <c r="B295" i="3" a="1"/>
  <c r="B295" i="3" s="1"/>
  <c r="AE295" i="3" s="1" a="1"/>
  <c r="AE295" i="3" s="1"/>
  <c r="B294" i="3" a="1"/>
  <c r="B294" i="3" s="1"/>
  <c r="AE294" i="3" s="1" a="1"/>
  <c r="AE294" i="3" s="1"/>
  <c r="B293" i="3" a="1"/>
  <c r="B293" i="3" s="1"/>
  <c r="AE293" i="3" s="1" a="1"/>
  <c r="AE293" i="3" s="1"/>
  <c r="B22" i="3" a="1"/>
  <c r="B22" i="3" s="1"/>
  <c r="AE22" i="3" s="1" a="1"/>
  <c r="AE22" i="3" s="1"/>
  <c r="B292" i="3" a="1"/>
  <c r="B292" i="3" s="1"/>
  <c r="AE292" i="3" s="1" a="1"/>
  <c r="AE292" i="3" s="1"/>
  <c r="B23" i="3" a="1"/>
  <c r="B23" i="3" s="1"/>
  <c r="AE23" i="3" s="1" a="1"/>
  <c r="AE23" i="3" s="1"/>
  <c r="B26" i="3" a="1"/>
  <c r="B26" i="3" s="1"/>
  <c r="AE26" i="3" s="1" a="1"/>
  <c r="AE26" i="3" s="1"/>
  <c r="B27" i="3" a="1"/>
  <c r="B27" i="3" s="1"/>
  <c r="AE27" i="3" s="1" a="1"/>
  <c r="AE27" i="3" s="1"/>
  <c r="B28" i="3" a="1"/>
  <c r="B28" i="3" s="1"/>
  <c r="AE28" i="3" s="1" a="1"/>
  <c r="AE28" i="3" s="1"/>
  <c r="B29" i="3" a="1"/>
  <c r="B29" i="3" s="1"/>
  <c r="AE29" i="3" s="1" a="1"/>
  <c r="AE29" i="3" s="1"/>
  <c r="B30" i="3" a="1"/>
  <c r="B30" i="3" s="1"/>
  <c r="AE30" i="3" s="1" a="1"/>
  <c r="AE30" i="3" s="1"/>
  <c r="B31" i="3" a="1"/>
  <c r="B31" i="3" s="1"/>
  <c r="AE31" i="3" s="1" a="1"/>
  <c r="AE31" i="3" s="1"/>
  <c r="B32" i="3" a="1"/>
  <c r="B32" i="3" s="1"/>
  <c r="AE32" i="3" s="1" a="1"/>
  <c r="AE32" i="3" s="1"/>
  <c r="B36" i="3" a="1"/>
  <c r="B36" i="3" s="1"/>
  <c r="AE36" i="3" s="1" a="1"/>
  <c r="AE36" i="3" s="1"/>
  <c r="B38" i="3" a="1"/>
  <c r="B38" i="3" s="1"/>
  <c r="AE38" i="3" s="1" a="1"/>
  <c r="AE38" i="3" s="1"/>
  <c r="B39" i="3" a="1"/>
  <c r="B39" i="3" s="1"/>
  <c r="AE39" i="3" s="1" a="1"/>
  <c r="AE39" i="3" s="1"/>
  <c r="B41" i="3" a="1"/>
  <c r="B41" i="3" s="1"/>
  <c r="AE41" i="3" s="1" a="1"/>
  <c r="AE41" i="3" s="1"/>
  <c r="B42" i="3" a="1"/>
  <c r="B42" i="3" s="1"/>
  <c r="AE42" i="3" s="1" a="1"/>
  <c r="AE42" i="3" s="1"/>
  <c r="B43" i="3" a="1"/>
  <c r="B43" i="3" s="1"/>
  <c r="AE43" i="3" s="1" a="1"/>
  <c r="AE43" i="3" s="1"/>
  <c r="B45" i="3" a="1"/>
  <c r="B45" i="3" s="1"/>
  <c r="AE45" i="3" s="1" a="1"/>
  <c r="AE45" i="3" s="1"/>
  <c r="B47" i="3" a="1"/>
  <c r="B47" i="3" s="1"/>
  <c r="AE47" i="3" s="1" a="1"/>
  <c r="AE47" i="3" s="1"/>
  <c r="B48" i="3" a="1"/>
  <c r="B48" i="3" s="1"/>
  <c r="AE48" i="3" s="1" a="1"/>
  <c r="AE48" i="3" s="1"/>
  <c r="B49" i="3" a="1"/>
  <c r="B49" i="3" s="1"/>
  <c r="AE49" i="3" s="1" a="1"/>
  <c r="AE49" i="3" s="1"/>
  <c r="B51" i="3" a="1"/>
  <c r="B51" i="3" s="1"/>
  <c r="AE51" i="3" s="1" a="1"/>
  <c r="AE51" i="3" s="1"/>
  <c r="B54" i="3" a="1"/>
  <c r="B54" i="3" s="1"/>
  <c r="AE54" i="3" s="1" a="1"/>
  <c r="AE54" i="3" s="1"/>
  <c r="B56" i="3" a="1"/>
  <c r="B56" i="3" s="1"/>
  <c r="AE56" i="3" s="1" a="1"/>
  <c r="AE56" i="3" s="1"/>
  <c r="B57" i="3" a="1"/>
  <c r="B57" i="3" s="1"/>
  <c r="AE57" i="3" s="1" a="1"/>
  <c r="AE57" i="3" s="1"/>
  <c r="B59" i="3" a="1"/>
  <c r="B59" i="3" s="1"/>
  <c r="AE59" i="3" s="1" a="1"/>
  <c r="AE59" i="3" s="1"/>
  <c r="B67" i="3" a="1"/>
  <c r="B67" i="3" s="1"/>
  <c r="AE67" i="3" s="1" a="1"/>
  <c r="AE67" i="3" s="1"/>
  <c r="B79" i="3" a="1"/>
  <c r="B79" i="3" s="1"/>
  <c r="AE79" i="3" s="1" a="1"/>
  <c r="AE79" i="3" s="1"/>
  <c r="B96" i="3" a="1"/>
  <c r="B96" i="3" s="1"/>
  <c r="AE96" i="3" s="1" a="1"/>
  <c r="AE96" i="3" s="1"/>
  <c r="B122" i="3" a="1"/>
  <c r="B122" i="3" s="1"/>
  <c r="AE122" i="3" s="1" a="1"/>
  <c r="AE122" i="3" s="1"/>
  <c r="B123" i="3" a="1"/>
  <c r="B123" i="3" s="1"/>
  <c r="AE123" i="3" s="1" a="1"/>
  <c r="AE123" i="3" s="1"/>
  <c r="B172" i="3" a="1"/>
  <c r="B172" i="3" s="1"/>
  <c r="AE172" i="3" s="1" a="1"/>
  <c r="AE172" i="3" s="1"/>
  <c r="B262" i="3" a="1"/>
  <c r="B262" i="3" s="1"/>
  <c r="AE262" i="3" s="1" a="1"/>
  <c r="AE262" i="3" s="1"/>
  <c r="B263" i="3" a="1"/>
  <c r="B263" i="3" s="1"/>
  <c r="AE263" i="3" s="1" a="1"/>
  <c r="AE263" i="3" s="1"/>
  <c r="AD281" i="3" a="1"/>
  <c r="AD281" i="3" s="1"/>
  <c r="B312" i="3" a="1"/>
  <c r="B312" i="3" s="1"/>
  <c r="C312" i="3" s="1"/>
  <c r="B314" i="3" a="1"/>
  <c r="B314" i="3" s="1"/>
  <c r="C314" i="3" s="1"/>
  <c r="B319" i="3" a="1"/>
  <c r="B319" i="3" s="1"/>
  <c r="C319" i="3" s="1"/>
  <c r="B320" i="3" a="1"/>
  <c r="B320" i="3" s="1"/>
  <c r="C320" i="3" s="1"/>
  <c r="B324" i="3" a="1"/>
  <c r="B324" i="3" s="1"/>
  <c r="C324" i="3" s="1"/>
  <c r="B329" i="3" a="1"/>
  <c r="B329" i="3" s="1"/>
  <c r="C329" i="3" s="1"/>
  <c r="B336" i="3" a="1"/>
  <c r="B336" i="3" s="1"/>
  <c r="B339" i="3" a="1"/>
  <c r="B339" i="3" s="1"/>
  <c r="B340" i="3" a="1"/>
  <c r="B340" i="3" s="1"/>
  <c r="B345" i="3" a="1"/>
  <c r="B345" i="3" s="1"/>
  <c r="B346" i="3" a="1"/>
  <c r="B346" i="3" s="1"/>
  <c r="B303" i="3" a="1"/>
  <c r="B303" i="3" s="1"/>
  <c r="B349" i="3" a="1"/>
  <c r="B349" i="3" s="1"/>
  <c r="B351" i="3" a="1"/>
  <c r="B351" i="3" s="1"/>
  <c r="B373" i="3" a="1"/>
  <c r="B373" i="3" s="1"/>
  <c r="B377" i="3" a="1"/>
  <c r="B377" i="3" s="1"/>
  <c r="B380" i="3" a="1"/>
  <c r="B380" i="3" s="1"/>
  <c r="B384" i="3" a="1"/>
  <c r="B384" i="3" s="1"/>
  <c r="B389" i="3" a="1"/>
  <c r="B389" i="3" s="1"/>
  <c r="B392" i="3" a="1"/>
  <c r="B392" i="3" s="1"/>
  <c r="AF34" i="9"/>
  <c r="AT34" i="9" s="1"/>
  <c r="AF31" i="9"/>
  <c r="AT31" i="9" s="1"/>
  <c r="AF26" i="9"/>
  <c r="AT26" i="9" s="1"/>
  <c r="Q56" i="3"/>
  <c r="R56" i="3"/>
  <c r="S56" i="3"/>
  <c r="AX56" i="3"/>
  <c r="T56" i="3" s="1"/>
  <c r="BM34" i="9"/>
  <c r="BM31" i="9"/>
  <c r="BM26" i="9"/>
  <c r="Q30" i="3"/>
  <c r="R30" i="3"/>
  <c r="S30" i="3"/>
  <c r="AX30" i="3"/>
  <c r="T30" i="3" s="1"/>
  <c r="BE24" i="4" l="1"/>
  <c r="EC24" i="4"/>
  <c r="DU24" i="4"/>
  <c r="BE23" i="4"/>
  <c r="EC23" i="4"/>
  <c r="DU23" i="4"/>
  <c r="AL22" i="4"/>
  <c r="EC22" i="4"/>
  <c r="DU22" i="4"/>
  <c r="BE25" i="4"/>
  <c r="EC25" i="4"/>
  <c r="DU25" i="4"/>
  <c r="AE387" i="3" a="1"/>
  <c r="AE387" i="3" s="1"/>
  <c r="C387" i="3"/>
  <c r="AE132" i="3" a="1"/>
  <c r="AE132" i="3" s="1"/>
  <c r="C132" i="3"/>
  <c r="AE342" i="3" a="1"/>
  <c r="AE342" i="3" s="1"/>
  <c r="C342" i="3"/>
  <c r="AE348" i="3" a="1"/>
  <c r="AE348" i="3" s="1"/>
  <c r="C348" i="3"/>
  <c r="AE341" i="3" a="1"/>
  <c r="AE341" i="3" s="1"/>
  <c r="C341" i="3"/>
  <c r="AE375" i="3" a="1"/>
  <c r="AE375" i="3" s="1"/>
  <c r="C375" i="3"/>
  <c r="AE360" i="3" a="1"/>
  <c r="AE360" i="3" s="1"/>
  <c r="C360" i="3"/>
  <c r="AE120" i="3" a="1"/>
  <c r="AE120" i="3" s="1"/>
  <c r="C120" i="3"/>
  <c r="AE337" i="3" a="1"/>
  <c r="AE337" i="3" s="1"/>
  <c r="C337" i="3"/>
  <c r="AE359" i="3" a="1"/>
  <c r="AE359" i="3" s="1"/>
  <c r="C359" i="3"/>
  <c r="AE94" i="3" a="1"/>
  <c r="AE94" i="3" s="1"/>
  <c r="C94" i="3"/>
  <c r="AE358" i="3" a="1"/>
  <c r="AE358" i="3" s="1"/>
  <c r="C358" i="3"/>
  <c r="AE385" i="3" a="1"/>
  <c r="AE385" i="3" s="1"/>
  <c r="C385" i="3"/>
  <c r="AE398" i="3" a="1"/>
  <c r="AE398" i="3" s="1"/>
  <c r="C398" i="3"/>
  <c r="AE136" i="3" a="1"/>
  <c r="AE136" i="3" s="1"/>
  <c r="C136" i="3"/>
  <c r="AE357" i="3" a="1"/>
  <c r="AE357" i="3" s="1"/>
  <c r="C357" i="3"/>
  <c r="AE383" i="3" a="1"/>
  <c r="AE383" i="3" s="1"/>
  <c r="C383" i="3"/>
  <c r="AE376" i="3" a="1"/>
  <c r="AE376" i="3" s="1"/>
  <c r="C376" i="3"/>
  <c r="AE350" i="3" a="1"/>
  <c r="AE350" i="3" s="1"/>
  <c r="C350" i="3"/>
  <c r="AE372" i="3" a="1"/>
  <c r="AE372" i="3" s="1"/>
  <c r="C372" i="3"/>
  <c r="AE378" i="3" a="1"/>
  <c r="AE378" i="3" s="1"/>
  <c r="C378" i="3"/>
  <c r="AE382" i="3" a="1"/>
  <c r="AE382" i="3" s="1"/>
  <c r="C382" i="3"/>
  <c r="AE168" i="3" a="1"/>
  <c r="AE168" i="3" s="1"/>
  <c r="C168" i="3"/>
  <c r="AE362" i="3" a="1"/>
  <c r="AE362" i="3" s="1"/>
  <c r="C362" i="3"/>
  <c r="AE338" i="3" a="1"/>
  <c r="AE338" i="3" s="1"/>
  <c r="C338" i="3"/>
  <c r="AE389" i="3" a="1"/>
  <c r="AE389" i="3" s="1"/>
  <c r="C389" i="3"/>
  <c r="AE373" i="3" a="1"/>
  <c r="AE373" i="3" s="1"/>
  <c r="C373" i="3"/>
  <c r="AE351" i="3" a="1"/>
  <c r="AE351" i="3" s="1"/>
  <c r="C351" i="3"/>
  <c r="AE349" i="3" a="1"/>
  <c r="AE349" i="3" s="1"/>
  <c r="C349" i="3"/>
  <c r="AE380" i="3" a="1"/>
  <c r="AE380" i="3" s="1"/>
  <c r="C380" i="3"/>
  <c r="AE400" i="3" a="1"/>
  <c r="AE400" i="3" s="1"/>
  <c r="C400" i="3"/>
  <c r="AE352" i="3" a="1"/>
  <c r="AE352" i="3" s="1"/>
  <c r="C352" i="3"/>
  <c r="AE374" i="3" a="1"/>
  <c r="AE374" i="3" s="1"/>
  <c r="C374" i="3"/>
  <c r="AE371" i="3" a="1"/>
  <c r="AE371" i="3" s="1"/>
  <c r="C371" i="3"/>
  <c r="AE377" i="3" a="1"/>
  <c r="AE377" i="3" s="1"/>
  <c r="C377" i="3"/>
  <c r="AE303" i="3" a="1"/>
  <c r="AE303" i="3" s="1"/>
  <c r="C303" i="3"/>
  <c r="AE366" i="3" a="1"/>
  <c r="AE366" i="3" s="1"/>
  <c r="C366" i="3"/>
  <c r="AE363" i="3" a="1"/>
  <c r="AE363" i="3" s="1"/>
  <c r="C363" i="3"/>
  <c r="AE336" i="3" a="1"/>
  <c r="AE336" i="3" s="1"/>
  <c r="C336" i="3"/>
  <c r="AE392" i="3" a="1"/>
  <c r="AE392" i="3" s="1"/>
  <c r="C392" i="3"/>
  <c r="AE395" i="3" a="1"/>
  <c r="AE395" i="3" s="1"/>
  <c r="C395" i="3"/>
  <c r="AE346" i="3" a="1"/>
  <c r="AE346" i="3" s="1"/>
  <c r="C346" i="3"/>
  <c r="AE345" i="3" a="1"/>
  <c r="AE345" i="3" s="1"/>
  <c r="C345" i="3"/>
  <c r="AE399" i="3" a="1"/>
  <c r="AE399" i="3" s="1"/>
  <c r="C399" i="3"/>
  <c r="AE365" i="3" a="1"/>
  <c r="AE365" i="3" s="1"/>
  <c r="C365" i="3"/>
  <c r="AE396" i="3" a="1"/>
  <c r="AE396" i="3" s="1"/>
  <c r="C396" i="3"/>
  <c r="AE339" i="3" a="1"/>
  <c r="AE339" i="3" s="1"/>
  <c r="C339" i="3"/>
  <c r="AE355" i="3" a="1"/>
  <c r="AE355" i="3" s="1"/>
  <c r="C355" i="3"/>
  <c r="AE384" i="3" a="1"/>
  <c r="AE384" i="3" s="1"/>
  <c r="C384" i="3"/>
  <c r="AE367" i="3" a="1"/>
  <c r="AE367" i="3" s="1"/>
  <c r="C367" i="3"/>
  <c r="AE340" i="3" a="1"/>
  <c r="AE340" i="3" s="1"/>
  <c r="C340" i="3"/>
  <c r="AE386" i="3" a="1"/>
  <c r="AE386" i="3" s="1"/>
  <c r="C386" i="3"/>
  <c r="AE364" i="3" a="1"/>
  <c r="AE364" i="3" s="1"/>
  <c r="C364" i="3"/>
  <c r="AE322" i="3" a="1"/>
  <c r="AE322" i="3" s="1"/>
  <c r="AE311" i="3" a="1"/>
  <c r="AE311" i="3" s="1"/>
  <c r="AE319" i="3" a="1"/>
  <c r="AE319" i="3" s="1"/>
  <c r="AE332" i="3" a="1"/>
  <c r="AE332" i="3" s="1"/>
  <c r="AE302" i="3" a="1"/>
  <c r="AE302" i="3" s="1"/>
  <c r="AE314" i="3" a="1"/>
  <c r="AE314" i="3" s="1"/>
  <c r="AE324" i="3" a="1"/>
  <c r="AE324" i="3" s="1"/>
  <c r="AE320" i="3" a="1"/>
  <c r="AE320" i="3" s="1"/>
  <c r="AE329" i="3" a="1"/>
  <c r="AE329" i="3" s="1"/>
  <c r="AE312" i="3" a="1"/>
  <c r="AE312" i="3" s="1"/>
  <c r="AE316" i="3" a="1"/>
  <c r="AE316" i="3" s="1"/>
  <c r="AE327" i="3" a="1"/>
  <c r="AE327" i="3" s="1"/>
  <c r="AD28" i="3" a="1"/>
  <c r="AD28" i="3" s="1"/>
  <c r="AD26" i="3" a="1"/>
  <c r="AD26" i="3" s="1"/>
  <c r="AD55" i="3" a="1"/>
  <c r="AD55" i="3" s="1"/>
  <c r="AD23" i="3" a="1"/>
  <c r="AD23" i="3" s="1"/>
  <c r="AD237" i="3" a="1"/>
  <c r="AD237" i="3" s="1"/>
  <c r="AD197" i="3" a="1"/>
  <c r="AD197" i="3" s="1"/>
  <c r="AD170" i="3" a="1"/>
  <c r="AD170" i="3" s="1"/>
  <c r="AD108" i="3" a="1"/>
  <c r="AD108" i="3" s="1"/>
  <c r="AD202" i="3" a="1"/>
  <c r="AD202" i="3" s="1"/>
  <c r="AD255" i="3" a="1"/>
  <c r="AD255" i="3" s="1"/>
  <c r="C307" i="3"/>
  <c r="AD146" i="3" a="1"/>
  <c r="AD146" i="3" s="1"/>
  <c r="AD98" i="3" a="1"/>
  <c r="AD98" i="3" s="1"/>
  <c r="AD111" i="3" a="1"/>
  <c r="AD111" i="3" s="1"/>
  <c r="AD233" i="3" a="1"/>
  <c r="AD233" i="3" s="1"/>
  <c r="AD145" i="3" a="1"/>
  <c r="AD145" i="3" s="1"/>
  <c r="AD103" i="3" a="1"/>
  <c r="AD103" i="3" s="1"/>
  <c r="AD93" i="3" a="1"/>
  <c r="AD93" i="3" s="1"/>
  <c r="AD193" i="3" a="1"/>
  <c r="AD193" i="3" s="1"/>
  <c r="AD144" i="3" a="1"/>
  <c r="AD144" i="3" s="1"/>
  <c r="AD200" i="3" a="1"/>
  <c r="AD200" i="3" s="1"/>
  <c r="AD59" i="3" a="1"/>
  <c r="AD59" i="3" s="1"/>
  <c r="AD295" i="3" a="1"/>
  <c r="AD295" i="3" s="1"/>
  <c r="AD76" i="3" a="1"/>
  <c r="AD76" i="3" s="1"/>
  <c r="AD143" i="3" a="1"/>
  <c r="AD143" i="3" s="1"/>
  <c r="AD257" i="3" a="1"/>
  <c r="AD257" i="3" s="1"/>
  <c r="AD230" i="3" a="1"/>
  <c r="AD230" i="3" s="1"/>
  <c r="AD191" i="3" a="1"/>
  <c r="AD191" i="3" s="1"/>
  <c r="AD142" i="3" a="1"/>
  <c r="AD142" i="3" s="1"/>
  <c r="AD32" i="3" a="1"/>
  <c r="AD32" i="3" s="1"/>
  <c r="AD29" i="3" a="1"/>
  <c r="AD29" i="3" s="1"/>
  <c r="AD293" i="3" a="1"/>
  <c r="AD293" i="3" s="1"/>
  <c r="AD294" i="3" a="1"/>
  <c r="AD294" i="3" s="1"/>
  <c r="AD231" i="3" a="1"/>
  <c r="AD231" i="3" s="1"/>
  <c r="AD190" i="3" a="1"/>
  <c r="AD190" i="3" s="1"/>
  <c r="AD181" i="3" a="1"/>
  <c r="AD181" i="3" s="1"/>
  <c r="AD89" i="3" a="1"/>
  <c r="AD89" i="3" s="1"/>
  <c r="AD141" i="3" a="1"/>
  <c r="AD141" i="3" s="1"/>
  <c r="AD113" i="3" a="1"/>
  <c r="AD113" i="3" s="1"/>
  <c r="AD110" i="3" a="1"/>
  <c r="AD110" i="3" s="1"/>
  <c r="AD83" i="3" a="1"/>
  <c r="AD83" i="3" s="1"/>
  <c r="AD194" i="3" a="1"/>
  <c r="AD194" i="3" s="1"/>
  <c r="AD49" i="3" a="1"/>
  <c r="AD49" i="3" s="1"/>
  <c r="AD48" i="3" a="1"/>
  <c r="AD48" i="3" s="1"/>
  <c r="AD299" i="3" a="1"/>
  <c r="AD299" i="3" s="1"/>
  <c r="AD217" i="3" a="1"/>
  <c r="AD217" i="3" s="1"/>
  <c r="AD189" i="3" a="1"/>
  <c r="AD189" i="3" s="1"/>
  <c r="AD140" i="3" a="1"/>
  <c r="AD140" i="3" s="1"/>
  <c r="AD121" i="3" a="1"/>
  <c r="AD121" i="3" s="1"/>
  <c r="C77" i="3"/>
  <c r="AD171" i="3" a="1"/>
  <c r="AD171" i="3" s="1"/>
  <c r="AD47" i="3" a="1"/>
  <c r="AD47" i="3" s="1"/>
  <c r="AD298" i="3" a="1"/>
  <c r="AD298" i="3" s="1"/>
  <c r="AD216" i="3" a="1"/>
  <c r="AD216" i="3" s="1"/>
  <c r="AD188" i="3" a="1"/>
  <c r="AD188" i="3" s="1"/>
  <c r="AD139" i="3" a="1"/>
  <c r="AD139" i="3" s="1"/>
  <c r="AD99" i="3" a="1"/>
  <c r="AD99" i="3" s="1"/>
  <c r="AD128" i="3" a="1"/>
  <c r="AD128" i="3" s="1"/>
  <c r="AD86" i="3" a="1"/>
  <c r="AD86" i="3" s="1"/>
  <c r="AD199" i="3" a="1"/>
  <c r="AD199" i="3" s="1"/>
  <c r="AD195" i="3" a="1"/>
  <c r="AD195" i="3" s="1"/>
  <c r="AD57" i="3" a="1"/>
  <c r="AD57" i="3" s="1"/>
  <c r="AD180" i="3" a="1"/>
  <c r="AD180" i="3" s="1"/>
  <c r="AD232" i="3" a="1"/>
  <c r="AD232" i="3" s="1"/>
  <c r="AD54" i="3" a="1"/>
  <c r="AD54" i="3" s="1"/>
  <c r="AD45" i="3" a="1"/>
  <c r="AD45" i="3" s="1"/>
  <c r="AD225" i="3" a="1"/>
  <c r="AD225" i="3" s="1"/>
  <c r="AD215" i="3" a="1"/>
  <c r="AD215" i="3" s="1"/>
  <c r="AD187" i="3" a="1"/>
  <c r="AD187" i="3" s="1"/>
  <c r="AD138" i="3" a="1"/>
  <c r="AD138" i="3" s="1"/>
  <c r="AD40" i="3" a="1"/>
  <c r="AD40" i="3" s="1"/>
  <c r="AD137" i="3" a="1"/>
  <c r="AD137" i="3" s="1"/>
  <c r="AD67" i="3" a="1"/>
  <c r="AD67" i="3" s="1"/>
  <c r="AD169" i="3" a="1"/>
  <c r="AD169" i="3" s="1"/>
  <c r="AD22" i="3" a="1"/>
  <c r="AD22" i="3" s="1"/>
  <c r="AD56" i="3" a="1"/>
  <c r="AD56" i="3" s="1"/>
  <c r="AD192" i="3" a="1"/>
  <c r="AD192" i="3" s="1"/>
  <c r="AD214" i="3" a="1"/>
  <c r="AD214" i="3" s="1"/>
  <c r="AD186" i="3" a="1"/>
  <c r="AD186" i="3" s="1"/>
  <c r="C19" i="3"/>
  <c r="AD69" i="3" a="1"/>
  <c r="AD69" i="3" s="1"/>
  <c r="AD147" i="3" a="1"/>
  <c r="AD147" i="3" s="1"/>
  <c r="AD109" i="3" a="1"/>
  <c r="AD109" i="3" s="1"/>
  <c r="AD107" i="3" a="1"/>
  <c r="AD107" i="3" s="1"/>
  <c r="AD105" i="3" a="1"/>
  <c r="AD105" i="3" s="1"/>
  <c r="AD172" i="3" a="1"/>
  <c r="AD172" i="3" s="1"/>
  <c r="AD43" i="3" a="1"/>
  <c r="AD43" i="3" s="1"/>
  <c r="AD213" i="3" a="1"/>
  <c r="AD213" i="3" s="1"/>
  <c r="AD309" i="3" a="1"/>
  <c r="AD309" i="3" s="1"/>
  <c r="AD178" i="3" a="1"/>
  <c r="AD178" i="3" s="1"/>
  <c r="AD135" i="3" a="1"/>
  <c r="AD135" i="3" s="1"/>
  <c r="C18" i="3"/>
  <c r="AD306" i="3" a="1"/>
  <c r="AD306" i="3" s="1"/>
  <c r="AD31" i="3" a="1"/>
  <c r="AD31" i="3" s="1"/>
  <c r="AD292" i="3" a="1"/>
  <c r="AD292" i="3" s="1"/>
  <c r="AD51" i="3" a="1"/>
  <c r="AD51" i="3" s="1"/>
  <c r="AD212" i="3" a="1"/>
  <c r="AD212" i="3" s="1"/>
  <c r="AD183" i="3" a="1"/>
  <c r="AD183" i="3" s="1"/>
  <c r="AD177" i="3" a="1"/>
  <c r="AD177" i="3" s="1"/>
  <c r="C17" i="3"/>
  <c r="AD173" i="3" a="1"/>
  <c r="AD173" i="3" s="1"/>
  <c r="AD198" i="3" a="1"/>
  <c r="AD198" i="3" s="1"/>
  <c r="AD42" i="3" a="1"/>
  <c r="AD42" i="3" s="1"/>
  <c r="AD211" i="3" a="1"/>
  <c r="AD211" i="3" s="1"/>
  <c r="AD131" i="3" a="1"/>
  <c r="AD131" i="3" s="1"/>
  <c r="C16" i="3"/>
  <c r="AD90" i="3" a="1"/>
  <c r="AD90" i="3" s="1"/>
  <c r="AD30" i="3" a="1"/>
  <c r="AD30" i="3" s="1"/>
  <c r="AD123" i="3" a="1"/>
  <c r="AD123" i="3" s="1"/>
  <c r="AD41" i="3" a="1"/>
  <c r="AD41" i="3" s="1"/>
  <c r="AD250" i="3" a="1"/>
  <c r="AD250" i="3" s="1"/>
  <c r="AD222" i="3" a="1"/>
  <c r="AD222" i="3" s="1"/>
  <c r="AD210" i="3" a="1"/>
  <c r="AD210" i="3" s="1"/>
  <c r="AD126" i="3" a="1"/>
  <c r="AD126" i="3" s="1"/>
  <c r="C15" i="3"/>
  <c r="AD87" i="3" a="1"/>
  <c r="AD87" i="3" s="1"/>
  <c r="AD236" i="3" a="1"/>
  <c r="AD236" i="3" s="1"/>
  <c r="AD122" i="3" a="1"/>
  <c r="AD122" i="3" s="1"/>
  <c r="AD249" i="3" a="1"/>
  <c r="AD249" i="3" s="1"/>
  <c r="AD221" i="3" a="1"/>
  <c r="AD221" i="3" s="1"/>
  <c r="AD209" i="3" a="1"/>
  <c r="AD209" i="3" s="1"/>
  <c r="AD82" i="3" a="1"/>
  <c r="AD82" i="3" s="1"/>
  <c r="C14" i="3"/>
  <c r="AD305" i="3" a="1"/>
  <c r="AD305" i="3" s="1"/>
  <c r="AD27" i="3" a="1"/>
  <c r="AD27" i="3" s="1"/>
  <c r="AD196" i="3" a="1"/>
  <c r="AD196" i="3" s="1"/>
  <c r="AD235" i="3" a="1"/>
  <c r="AD235" i="3" s="1"/>
  <c r="AD234" i="3" a="1"/>
  <c r="AD234" i="3" s="1"/>
  <c r="AD179" i="3" a="1"/>
  <c r="AD179" i="3" s="1"/>
  <c r="AD296" i="3" a="1"/>
  <c r="AD296" i="3" s="1"/>
  <c r="AD297" i="3" a="1"/>
  <c r="AD297" i="3" s="1"/>
  <c r="AD96" i="3" a="1"/>
  <c r="AD96" i="3" s="1"/>
  <c r="AD39" i="3" a="1"/>
  <c r="AD39" i="3" s="1"/>
  <c r="AD248" i="3" a="1"/>
  <c r="AD248" i="3" s="1"/>
  <c r="AD220" i="3" a="1"/>
  <c r="AD220" i="3" s="1"/>
  <c r="AD208" i="3" a="1"/>
  <c r="AD208" i="3" s="1"/>
  <c r="AD119" i="3" a="1"/>
  <c r="AD119" i="3" s="1"/>
  <c r="C9" i="3"/>
  <c r="AD252" i="3" a="1"/>
  <c r="AD252" i="3" s="1"/>
  <c r="AD304" i="3" a="1"/>
  <c r="AD304" i="3" s="1"/>
  <c r="AD182" i="3" a="1"/>
  <c r="AD182" i="3" s="1"/>
  <c r="AD79" i="3" a="1"/>
  <c r="AD79" i="3" s="1"/>
  <c r="AD38" i="3" a="1"/>
  <c r="AD38" i="3" s="1"/>
  <c r="AD247" i="3" a="1"/>
  <c r="AD247" i="3" s="1"/>
  <c r="AD207" i="3" a="1"/>
  <c r="AD207" i="3" s="1"/>
  <c r="AD174" i="3" a="1"/>
  <c r="AD174" i="3" s="1"/>
  <c r="AD118" i="3" a="1"/>
  <c r="AD118" i="3" s="1"/>
  <c r="AD95" i="3" a="1"/>
  <c r="AD95" i="3" s="1"/>
  <c r="C7" i="3"/>
  <c r="AD58" i="3" a="1"/>
  <c r="AD58" i="3" s="1"/>
  <c r="AD184" i="3" a="1"/>
  <c r="AD184" i="3" s="1"/>
  <c r="AD36" i="3" a="1"/>
  <c r="AD36" i="3" s="1"/>
  <c r="AD206" i="3" a="1"/>
  <c r="AD206" i="3" s="1"/>
  <c r="AD117" i="3" a="1"/>
  <c r="AD117" i="3" s="1"/>
  <c r="AD260" i="3" a="1"/>
  <c r="AD260" i="3" s="1"/>
  <c r="C5" i="3"/>
  <c r="AD34" i="3" a="1"/>
  <c r="AD34" i="3" s="1"/>
  <c r="AD205" i="3" a="1"/>
  <c r="AD205" i="3" s="1"/>
  <c r="AD116" i="3" a="1"/>
  <c r="AD116" i="3" s="1"/>
  <c r="AD35" i="3" a="1"/>
  <c r="AD35" i="3" s="1"/>
  <c r="AD224" i="3" a="1"/>
  <c r="AD224" i="3" s="1"/>
  <c r="AD203" i="3" a="1"/>
  <c r="AD203" i="3" s="1"/>
  <c r="AD115" i="3" a="1"/>
  <c r="AD115" i="3" s="1"/>
  <c r="AD258" i="3" a="1"/>
  <c r="AD258" i="3" s="1"/>
  <c r="AD251" i="3" a="1"/>
  <c r="AD251" i="3" s="1"/>
  <c r="AD46" i="3" a="1"/>
  <c r="AD46" i="3" s="1"/>
  <c r="AD226" i="3" a="1"/>
  <c r="AD226" i="3" s="1"/>
  <c r="AD114" i="3" a="1"/>
  <c r="AD114" i="3" s="1"/>
  <c r="AD201" i="3" a="1"/>
  <c r="AD201" i="3" s="1"/>
  <c r="AD112" i="3" a="1"/>
  <c r="AD112" i="3" s="1"/>
  <c r="AD256" i="3" a="1"/>
  <c r="AD256" i="3" s="1"/>
  <c r="AD243" i="3" a="1"/>
  <c r="AD243" i="3" s="1"/>
  <c r="V62" i="8"/>
  <c r="V92" i="8"/>
  <c r="V82" i="8"/>
  <c r="V79" i="8"/>
  <c r="V95" i="8"/>
  <c r="V42" i="8"/>
  <c r="V65" i="8"/>
  <c r="V59" i="8"/>
  <c r="V49" i="8"/>
  <c r="AD289" i="3" a="1"/>
  <c r="AD289" i="3" s="1"/>
  <c r="C289" i="3"/>
  <c r="AD374" i="3" a="1"/>
  <c r="AD374" i="3" s="1"/>
  <c r="AD386" i="3" a="1"/>
  <c r="AD386" i="3" s="1"/>
  <c r="AD363" i="3" a="1"/>
  <c r="AD363" i="3" s="1"/>
  <c r="AD311" i="3" a="1"/>
  <c r="AD311" i="3" s="1"/>
  <c r="AD342" i="3" a="1"/>
  <c r="AD342" i="3" s="1"/>
  <c r="AD364" i="3" a="1"/>
  <c r="AD364" i="3" s="1"/>
  <c r="AD277" i="3" a="1"/>
  <c r="AD277" i="3" s="1"/>
  <c r="C277" i="3"/>
  <c r="AD341" i="3" a="1"/>
  <c r="AD341" i="3" s="1"/>
  <c r="AD389" i="3" a="1"/>
  <c r="AD389" i="3" s="1"/>
  <c r="AD276" i="3" a="1"/>
  <c r="AD276" i="3" s="1"/>
  <c r="C276" i="3"/>
  <c r="AD372" i="3" a="1"/>
  <c r="AD372" i="3" s="1"/>
  <c r="AD396" i="3" a="1"/>
  <c r="AD396" i="3" s="1"/>
  <c r="AD291" i="3" a="1"/>
  <c r="AD291" i="3" s="1"/>
  <c r="C291" i="3"/>
  <c r="AD376" i="3" a="1"/>
  <c r="AD376" i="3" s="1"/>
  <c r="AD329" i="3" a="1"/>
  <c r="AD329" i="3" s="1"/>
  <c r="AD387" i="3" a="1"/>
  <c r="AD387" i="3" s="1"/>
  <c r="AD338" i="3" a="1"/>
  <c r="AD338" i="3" s="1"/>
  <c r="AD375" i="3" a="1"/>
  <c r="AD375" i="3" s="1"/>
  <c r="AD377" i="3" a="1"/>
  <c r="AD377" i="3" s="1"/>
  <c r="AD264" i="3" a="1"/>
  <c r="AD264" i="3" s="1"/>
  <c r="C264" i="3"/>
  <c r="AD362" i="3" a="1"/>
  <c r="AD362" i="3" s="1"/>
  <c r="AD337" i="3" a="1"/>
  <c r="AD337" i="3" s="1"/>
  <c r="AD287" i="3" a="1"/>
  <c r="AD287" i="3" s="1"/>
  <c r="C287" i="3"/>
  <c r="AD168" i="3" a="1"/>
  <c r="AD168" i="3" s="1"/>
  <c r="AD371" i="3" a="1"/>
  <c r="AD371" i="3" s="1"/>
  <c r="AD94" i="3" a="1"/>
  <c r="AD94" i="3" s="1"/>
  <c r="AD322" i="3" a="1"/>
  <c r="AD322" i="3" s="1"/>
  <c r="AD324" i="3" a="1"/>
  <c r="AD324" i="3" s="1"/>
  <c r="AD385" i="3" a="1"/>
  <c r="AD385" i="3" s="1"/>
  <c r="AD383" i="3" a="1"/>
  <c r="AD383" i="3" s="1"/>
  <c r="AD336" i="3" a="1"/>
  <c r="AD336" i="3" s="1"/>
  <c r="AD327" i="3" a="1"/>
  <c r="AD327" i="3" s="1"/>
  <c r="AD319" i="3" a="1"/>
  <c r="AD319" i="3" s="1"/>
  <c r="AD382" i="3" a="1"/>
  <c r="AD382" i="3" s="1"/>
  <c r="AD314" i="3" a="1"/>
  <c r="AD314" i="3" s="1"/>
  <c r="AD270" i="3" a="1"/>
  <c r="AD270" i="3" s="1"/>
  <c r="C270" i="3"/>
  <c r="AD352" i="3" a="1"/>
  <c r="AD352" i="3" s="1"/>
  <c r="AD275" i="3" a="1"/>
  <c r="AD275" i="3" s="1"/>
  <c r="C275" i="3"/>
  <c r="AD351" i="3" a="1"/>
  <c r="AD351" i="3" s="1"/>
  <c r="AD312" i="3" a="1"/>
  <c r="AD312" i="3" s="1"/>
  <c r="AD360" i="3" a="1"/>
  <c r="AD360" i="3" s="1"/>
  <c r="AD380" i="3" a="1"/>
  <c r="AD380" i="3" s="1"/>
  <c r="AD290" i="3" a="1"/>
  <c r="AD290" i="3" s="1"/>
  <c r="C290" i="3"/>
  <c r="AD373" i="3" a="1"/>
  <c r="AD373" i="3" s="1"/>
  <c r="AD398" i="3" a="1"/>
  <c r="AD398" i="3" s="1"/>
  <c r="AD320" i="3" a="1"/>
  <c r="AD320" i="3" s="1"/>
  <c r="AD349" i="3" a="1"/>
  <c r="AD349" i="3" s="1"/>
  <c r="AD359" i="3" a="1"/>
  <c r="AD359" i="3" s="1"/>
  <c r="AD332" i="3" a="1"/>
  <c r="AD332" i="3" s="1"/>
  <c r="AD367" i="3" a="1"/>
  <c r="AD367" i="3" s="1"/>
  <c r="AD358" i="3" a="1"/>
  <c r="AD358" i="3" s="1"/>
  <c r="AD302" i="3" a="1"/>
  <c r="AD302" i="3" s="1"/>
  <c r="AD303" i="3" a="1"/>
  <c r="AD303" i="3" s="1"/>
  <c r="AD357" i="3" a="1"/>
  <c r="AD357" i="3" s="1"/>
  <c r="AD136" i="3" a="1"/>
  <c r="AD136" i="3" s="1"/>
  <c r="AD346" i="3" a="1"/>
  <c r="AD346" i="3" s="1"/>
  <c r="AD263" i="3" a="1"/>
  <c r="AD263" i="3" s="1"/>
  <c r="C263" i="3"/>
  <c r="AD282" i="3" a="1"/>
  <c r="AD282" i="3" s="1"/>
  <c r="C282" i="3"/>
  <c r="AD355" i="3" a="1"/>
  <c r="AD355" i="3" s="1"/>
  <c r="AD399" i="3" a="1"/>
  <c r="AD399" i="3" s="1"/>
  <c r="AD392" i="3" a="1"/>
  <c r="AD392" i="3" s="1"/>
  <c r="AD262" i="3" a="1"/>
  <c r="AD262" i="3" s="1"/>
  <c r="C262" i="3"/>
  <c r="AD132" i="3" a="1"/>
  <c r="AD132" i="3" s="1"/>
  <c r="AD365" i="3" a="1"/>
  <c r="AD365" i="3" s="1"/>
  <c r="AD345" i="3" a="1"/>
  <c r="AD345" i="3" s="1"/>
  <c r="AD348" i="3" a="1"/>
  <c r="AD348" i="3" s="1"/>
  <c r="AD378" i="3" a="1"/>
  <c r="AD378" i="3" s="1"/>
  <c r="AD267" i="3" a="1"/>
  <c r="AD267" i="3" s="1"/>
  <c r="C267" i="3"/>
  <c r="AD340" i="3" a="1"/>
  <c r="AD340" i="3" s="1"/>
  <c r="AD120" i="3" a="1"/>
  <c r="AD120" i="3" s="1"/>
  <c r="AD384" i="3" a="1"/>
  <c r="AD384" i="3" s="1"/>
  <c r="AD339" i="3" a="1"/>
  <c r="AD339" i="3" s="1"/>
  <c r="AD366" i="3" a="1"/>
  <c r="AD366" i="3" s="1"/>
  <c r="AD350" i="3" a="1"/>
  <c r="AD350" i="3" s="1"/>
  <c r="AD316" i="3" a="1"/>
  <c r="AD316" i="3" s="1"/>
  <c r="V335" i="3"/>
  <c r="V240" i="3"/>
  <c r="V239" i="3"/>
  <c r="V91" i="3"/>
  <c r="V104" i="3"/>
  <c r="V242" i="3"/>
  <c r="V124" i="3"/>
  <c r="V88" i="3"/>
  <c r="FN24" i="4"/>
  <c r="FN22" i="4"/>
  <c r="FN25" i="4"/>
  <c r="FN23" i="4"/>
  <c r="EU24" i="4"/>
  <c r="EU22" i="4"/>
  <c r="EU25" i="4"/>
  <c r="EU23" i="4"/>
  <c r="DJ24" i="4"/>
  <c r="DJ22" i="4"/>
  <c r="DJ25" i="4"/>
  <c r="CQ24" i="4"/>
  <c r="CQ22" i="4"/>
  <c r="CQ25" i="4"/>
  <c r="CQ23" i="4"/>
  <c r="BX24" i="4"/>
  <c r="BX22" i="4"/>
  <c r="BX25" i="4"/>
  <c r="BX23" i="4"/>
  <c r="BE22" i="4"/>
  <c r="C191" i="3"/>
  <c r="C292" i="3"/>
  <c r="C146" i="3"/>
  <c r="C122" i="3"/>
  <c r="C121" i="3"/>
  <c r="C105" i="3"/>
  <c r="C249" i="3"/>
  <c r="C225" i="3"/>
  <c r="C42" i="3"/>
  <c r="C224" i="3"/>
  <c r="C207" i="3"/>
  <c r="C248" i="3"/>
  <c r="C206" i="3"/>
  <c r="C190" i="3"/>
  <c r="C145" i="3"/>
  <c r="C103" i="3"/>
  <c r="C51" i="3"/>
  <c r="C22" i="3"/>
  <c r="C256" i="3"/>
  <c r="C247" i="3"/>
  <c r="C205" i="3"/>
  <c r="C189" i="3"/>
  <c r="C89" i="3"/>
  <c r="C144" i="3"/>
  <c r="C119" i="3"/>
  <c r="C79" i="3"/>
  <c r="C59" i="3"/>
  <c r="C30" i="3"/>
  <c r="C304" i="3"/>
  <c r="C243" i="3"/>
  <c r="C222" i="3"/>
  <c r="C203" i="3"/>
  <c r="C188" i="3"/>
  <c r="C178" i="3"/>
  <c r="C143" i="3"/>
  <c r="C118" i="3"/>
  <c r="C67" i="3"/>
  <c r="C58" i="3"/>
  <c r="C49" i="3"/>
  <c r="C41" i="3"/>
  <c r="C29" i="3"/>
  <c r="C293" i="3"/>
  <c r="C237" i="3"/>
  <c r="C221" i="3"/>
  <c r="C202" i="3"/>
  <c r="C187" i="3"/>
  <c r="C177" i="3"/>
  <c r="C142" i="3"/>
  <c r="C117" i="3"/>
  <c r="C99" i="3"/>
  <c r="C76" i="3"/>
  <c r="C305" i="3"/>
  <c r="C255" i="3"/>
  <c r="C236" i="3"/>
  <c r="C220" i="3"/>
  <c r="C201" i="3"/>
  <c r="C186" i="3"/>
  <c r="C141" i="3"/>
  <c r="C116" i="3"/>
  <c r="C98" i="3"/>
  <c r="C48" i="3"/>
  <c r="C294" i="3"/>
  <c r="C235" i="3"/>
  <c r="C217" i="3"/>
  <c r="C200" i="3"/>
  <c r="C309" i="3"/>
  <c r="C174" i="3"/>
  <c r="C140" i="3"/>
  <c r="C115" i="3"/>
  <c r="C96" i="3"/>
  <c r="C57" i="3"/>
  <c r="C47" i="3"/>
  <c r="C40" i="3"/>
  <c r="C295" i="3"/>
  <c r="C234" i="3"/>
  <c r="C216" i="3"/>
  <c r="C199" i="3"/>
  <c r="C184" i="3"/>
  <c r="C173" i="3"/>
  <c r="C139" i="3"/>
  <c r="C114" i="3"/>
  <c r="C95" i="3"/>
  <c r="C46" i="3"/>
  <c r="C28" i="3"/>
  <c r="C296" i="3"/>
  <c r="C233" i="3"/>
  <c r="C215" i="3"/>
  <c r="C198" i="3"/>
  <c r="C183" i="3"/>
  <c r="C172" i="3"/>
  <c r="C138" i="3"/>
  <c r="C113" i="3"/>
  <c r="C93" i="3"/>
  <c r="C45" i="3"/>
  <c r="C39" i="3"/>
  <c r="C27" i="3"/>
  <c r="C232" i="3"/>
  <c r="C214" i="3"/>
  <c r="C197" i="3"/>
  <c r="C182" i="3"/>
  <c r="C137" i="3"/>
  <c r="C112" i="3"/>
  <c r="C38" i="3"/>
  <c r="C26" i="3"/>
  <c r="C297" i="3"/>
  <c r="C231" i="3"/>
  <c r="C213" i="3"/>
  <c r="C196" i="3"/>
  <c r="C181" i="3"/>
  <c r="C171" i="3"/>
  <c r="C135" i="3"/>
  <c r="C90" i="3"/>
  <c r="C36" i="3"/>
  <c r="C230" i="3"/>
  <c r="C212" i="3"/>
  <c r="C195" i="3"/>
  <c r="C170" i="3"/>
  <c r="C131" i="3"/>
  <c r="C111" i="3"/>
  <c r="C87" i="3"/>
  <c r="C56" i="3"/>
  <c r="C43" i="3"/>
  <c r="C35" i="3"/>
  <c r="C306" i="3"/>
  <c r="C260" i="3"/>
  <c r="C229" i="3"/>
  <c r="C211" i="3"/>
  <c r="C180" i="3"/>
  <c r="C169" i="3"/>
  <c r="C110" i="3"/>
  <c r="C86" i="3"/>
  <c r="C55" i="3"/>
  <c r="C252" i="3"/>
  <c r="C210" i="3"/>
  <c r="C194" i="3"/>
  <c r="C128" i="3"/>
  <c r="C109" i="3"/>
  <c r="C54" i="3"/>
  <c r="C34" i="3"/>
  <c r="C258" i="3"/>
  <c r="C251" i="3"/>
  <c r="C227" i="3"/>
  <c r="C209" i="3"/>
  <c r="C193" i="3"/>
  <c r="C179" i="3"/>
  <c r="C126" i="3"/>
  <c r="C108" i="3"/>
  <c r="C83" i="3"/>
  <c r="C69" i="3"/>
  <c r="C32" i="3"/>
  <c r="C23" i="3"/>
  <c r="C299" i="3"/>
  <c r="C257" i="3"/>
  <c r="C250" i="3"/>
  <c r="C226" i="3"/>
  <c r="C208" i="3"/>
  <c r="C192" i="3"/>
  <c r="C147" i="3"/>
  <c r="C123" i="3"/>
  <c r="C107" i="3"/>
  <c r="C82" i="3"/>
  <c r="C31" i="3"/>
  <c r="C298" i="3"/>
  <c r="Z12" i="3" a="1"/>
  <c r="Z12" i="3" s="1"/>
  <c r="AH12" i="3" a="1"/>
  <c r="AH12" i="3" s="1"/>
  <c r="AA12" i="3" a="1"/>
  <c r="AA12" i="3" s="1"/>
  <c r="AI12" i="3"/>
  <c r="D12" i="3" a="1"/>
  <c r="D12" i="3" s="1"/>
  <c r="M12" i="3" s="1" a="1"/>
  <c r="M12" i="3" s="1"/>
  <c r="AJ12" i="3"/>
  <c r="AB12" i="3" a="1"/>
  <c r="AB12" i="3" s="1"/>
  <c r="AK12" i="3"/>
  <c r="E12" i="3" a="1"/>
  <c r="E12" i="3" s="1"/>
  <c r="D21" i="8" s="1"/>
  <c r="AL12" i="3"/>
  <c r="AC12" i="3" a="1"/>
  <c r="AC12" i="3" s="1"/>
  <c r="AM12" i="3"/>
  <c r="F12" i="3" a="1"/>
  <c r="F12" i="3" s="1"/>
  <c r="E21" i="8" s="1"/>
  <c r="U12" i="3" a="1"/>
  <c r="U12" i="3" s="1"/>
  <c r="AN12" i="3"/>
  <c r="AD12" i="3" a="1"/>
  <c r="AD12" i="3" s="1"/>
  <c r="AW12" i="3"/>
  <c r="G12" i="3" a="1"/>
  <c r="G12" i="3" s="1"/>
  <c r="W12" i="3" a="1"/>
  <c r="W12" i="3" s="1"/>
  <c r="U21" i="8" s="1"/>
  <c r="H12" i="3"/>
  <c r="I12" i="3" a="1"/>
  <c r="I12" i="3" s="1"/>
  <c r="X12" i="3" a="1"/>
  <c r="X12" i="3" s="1"/>
  <c r="AF12" i="3" a="1"/>
  <c r="AF12" i="3" s="1"/>
  <c r="Y12" i="3" a="1"/>
  <c r="Y12" i="3" s="1"/>
  <c r="AG12" i="3" a="1"/>
  <c r="AG12" i="3" s="1"/>
  <c r="Z10" i="3" a="1"/>
  <c r="Z10" i="3" s="1"/>
  <c r="AH10" i="3" a="1"/>
  <c r="AH10" i="3" s="1"/>
  <c r="AA10" i="3" a="1"/>
  <c r="AA10" i="3" s="1"/>
  <c r="AI10" i="3"/>
  <c r="D10" i="3" a="1"/>
  <c r="D10" i="3" s="1"/>
  <c r="M10" i="3" s="1" a="1"/>
  <c r="M10" i="3" s="1"/>
  <c r="AJ10" i="3"/>
  <c r="AB10" i="3" a="1"/>
  <c r="AB10" i="3" s="1"/>
  <c r="AK10" i="3"/>
  <c r="E10" i="3" a="1"/>
  <c r="E10" i="3" s="1"/>
  <c r="D18" i="8" s="1"/>
  <c r="AL10" i="3"/>
  <c r="AC10" i="3" a="1"/>
  <c r="AC10" i="3" s="1"/>
  <c r="AM10" i="3"/>
  <c r="F10" i="3" a="1"/>
  <c r="F10" i="3" s="1"/>
  <c r="E18" i="8" s="1"/>
  <c r="U10" i="3" a="1"/>
  <c r="U10" i="3" s="1"/>
  <c r="AN10" i="3"/>
  <c r="AD10" i="3" a="1"/>
  <c r="AD10" i="3" s="1"/>
  <c r="AW10" i="3"/>
  <c r="G10" i="3" a="1"/>
  <c r="G10" i="3" s="1"/>
  <c r="W10" i="3" a="1"/>
  <c r="W10" i="3" s="1"/>
  <c r="U18" i="8" s="1"/>
  <c r="H10" i="3"/>
  <c r="I10" i="3" a="1"/>
  <c r="I10" i="3" s="1"/>
  <c r="X10" i="3" a="1"/>
  <c r="X10" i="3" s="1"/>
  <c r="AF10" i="3" a="1"/>
  <c r="AF10" i="3" s="1"/>
  <c r="Y10" i="3" a="1"/>
  <c r="Y10" i="3" s="1"/>
  <c r="AG10" i="3" a="1"/>
  <c r="AG10" i="3" s="1"/>
  <c r="Z21" i="3" a="1"/>
  <c r="Z21" i="3" s="1"/>
  <c r="AH21" i="3" a="1"/>
  <c r="AH21" i="3" s="1"/>
  <c r="AA21" i="3" a="1"/>
  <c r="AA21" i="3" s="1"/>
  <c r="AI21" i="3"/>
  <c r="D21" i="3" a="1"/>
  <c r="D21" i="3" s="1"/>
  <c r="AJ21" i="3"/>
  <c r="AB21" i="3" a="1"/>
  <c r="AB21" i="3" s="1"/>
  <c r="AK21" i="3"/>
  <c r="E21" i="3" a="1"/>
  <c r="E21" i="3" s="1"/>
  <c r="D20" i="8" s="1"/>
  <c r="AL21" i="3"/>
  <c r="AC21" i="3" a="1"/>
  <c r="AC21" i="3" s="1"/>
  <c r="AM21" i="3"/>
  <c r="F21" i="3" a="1"/>
  <c r="F21" i="3" s="1"/>
  <c r="E20" i="8" s="1"/>
  <c r="U21" i="3" a="1"/>
  <c r="U21" i="3" s="1"/>
  <c r="AN21" i="3"/>
  <c r="AD21" i="3" a="1"/>
  <c r="AD21" i="3" s="1"/>
  <c r="AW21" i="3"/>
  <c r="G21" i="3" a="1"/>
  <c r="G21" i="3" s="1"/>
  <c r="W21" i="3" a="1"/>
  <c r="W21" i="3" s="1"/>
  <c r="U20" i="8" s="1"/>
  <c r="H21" i="3"/>
  <c r="I21" i="3" a="1"/>
  <c r="I21" i="3" s="1"/>
  <c r="X21" i="3" a="1"/>
  <c r="X21" i="3" s="1"/>
  <c r="AF21" i="3" a="1"/>
  <c r="AF21" i="3" s="1"/>
  <c r="Y21" i="3" a="1"/>
  <c r="Y21" i="3" s="1"/>
  <c r="AG21" i="3" a="1"/>
  <c r="AG21" i="3" s="1"/>
  <c r="Z8" i="3" a="1"/>
  <c r="Z8" i="3" s="1"/>
  <c r="AH8" i="3" a="1"/>
  <c r="AH8" i="3" s="1"/>
  <c r="AA8" i="3" a="1"/>
  <c r="AA8" i="3" s="1"/>
  <c r="AI8" i="3"/>
  <c r="D8" i="3" a="1"/>
  <c r="D8" i="3" s="1"/>
  <c r="AJ8" i="3"/>
  <c r="AB8" i="3" a="1"/>
  <c r="AB8" i="3" s="1"/>
  <c r="AK8" i="3"/>
  <c r="E8" i="3" a="1"/>
  <c r="E8" i="3" s="1"/>
  <c r="D19" i="8" s="1"/>
  <c r="AL8" i="3"/>
  <c r="AC8" i="3" a="1"/>
  <c r="AC8" i="3" s="1"/>
  <c r="AM8" i="3"/>
  <c r="F8" i="3" a="1"/>
  <c r="F8" i="3" s="1"/>
  <c r="E19" i="8" s="1"/>
  <c r="U8" i="3" a="1"/>
  <c r="U8" i="3" s="1"/>
  <c r="AN8" i="3"/>
  <c r="AD8" i="3" a="1"/>
  <c r="AD8" i="3" s="1"/>
  <c r="AW8" i="3"/>
  <c r="G8" i="3" a="1"/>
  <c r="G8" i="3" s="1"/>
  <c r="W8" i="3" a="1"/>
  <c r="W8" i="3" s="1"/>
  <c r="U19" i="8" s="1"/>
  <c r="H8" i="3"/>
  <c r="I8" i="3" a="1"/>
  <c r="I8" i="3" s="1"/>
  <c r="X8" i="3" a="1"/>
  <c r="X8" i="3" s="1"/>
  <c r="AF8" i="3" a="1"/>
  <c r="AF8" i="3" s="1"/>
  <c r="Y8" i="3" a="1"/>
  <c r="Y8" i="3" s="1"/>
  <c r="AG8" i="3" a="1"/>
  <c r="AG8" i="3" s="1"/>
  <c r="Z6" i="3" a="1"/>
  <c r="Z6" i="3" s="1"/>
  <c r="AH6" i="3" a="1"/>
  <c r="AH6" i="3" s="1"/>
  <c r="AA6" i="3" a="1"/>
  <c r="AA6" i="3" s="1"/>
  <c r="AI6" i="3"/>
  <c r="D6" i="3" a="1"/>
  <c r="D6" i="3" s="1"/>
  <c r="AJ6" i="3"/>
  <c r="AB6" i="3" a="1"/>
  <c r="AB6" i="3" s="1"/>
  <c r="AK6" i="3"/>
  <c r="E6" i="3" a="1"/>
  <c r="E6" i="3" s="1"/>
  <c r="AL6" i="3"/>
  <c r="AC6" i="3" a="1"/>
  <c r="AC6" i="3" s="1"/>
  <c r="AM6" i="3"/>
  <c r="F6" i="3" a="1"/>
  <c r="F6" i="3" s="1"/>
  <c r="U6" i="3" a="1"/>
  <c r="U6" i="3" s="1"/>
  <c r="AN6" i="3"/>
  <c r="AG6" i="3" a="1"/>
  <c r="AG6" i="3" s="1"/>
  <c r="AD6" i="3" a="1"/>
  <c r="AD6" i="3" s="1"/>
  <c r="AW6" i="3"/>
  <c r="P6" i="3" s="1"/>
  <c r="Y6" i="3" a="1"/>
  <c r="Y6" i="3" s="1"/>
  <c r="G6" i="3" a="1"/>
  <c r="G6" i="3" s="1"/>
  <c r="W6" i="3" a="1"/>
  <c r="W6" i="3" s="1"/>
  <c r="H6" i="3"/>
  <c r="I6" i="3" a="1"/>
  <c r="I6" i="3" s="1"/>
  <c r="X6" i="3" a="1"/>
  <c r="X6" i="3" s="1"/>
  <c r="AF6" i="3" a="1"/>
  <c r="AF6" i="3" s="1"/>
  <c r="Z3" i="3" a="1"/>
  <c r="Z3" i="3" s="1"/>
  <c r="AH3" i="3" a="1"/>
  <c r="AH3" i="3" s="1"/>
  <c r="AA3" i="3" a="1"/>
  <c r="AA3" i="3" s="1"/>
  <c r="AI3" i="3"/>
  <c r="D3" i="3" a="1"/>
  <c r="D3" i="3" s="1"/>
  <c r="AJ3" i="3"/>
  <c r="AB3" i="3" a="1"/>
  <c r="AB3" i="3" s="1"/>
  <c r="AK3" i="3"/>
  <c r="E3" i="3" a="1"/>
  <c r="E3" i="3" s="1"/>
  <c r="AL3" i="3"/>
  <c r="AC3" i="3" a="1"/>
  <c r="AC3" i="3" s="1"/>
  <c r="AM3" i="3"/>
  <c r="F3" i="3" a="1"/>
  <c r="F3" i="3" s="1"/>
  <c r="U3" i="3" a="1"/>
  <c r="U3" i="3" s="1"/>
  <c r="AN3" i="3"/>
  <c r="AD3" i="3" a="1"/>
  <c r="AD3" i="3" s="1"/>
  <c r="AW3" i="3"/>
  <c r="P3" i="3" s="1"/>
  <c r="G3" i="3" a="1"/>
  <c r="G3" i="3" s="1"/>
  <c r="W3" i="3" a="1"/>
  <c r="W3" i="3" s="1"/>
  <c r="H3" i="3"/>
  <c r="I3" i="3" a="1"/>
  <c r="I3" i="3" s="1"/>
  <c r="X3" i="3" a="1"/>
  <c r="X3" i="3" s="1"/>
  <c r="AF3" i="3" a="1"/>
  <c r="AF3" i="3" s="1"/>
  <c r="Y3" i="3" a="1"/>
  <c r="Y3" i="3" s="1"/>
  <c r="AG3" i="3" a="1"/>
  <c r="AG3" i="3" s="1"/>
  <c r="V98" i="8"/>
  <c r="V108" i="8"/>
  <c r="V22" i="8"/>
  <c r="V104" i="8"/>
  <c r="N99" i="5"/>
  <c r="N104" i="5"/>
  <c r="AW13" i="3"/>
  <c r="AD13" i="3" a="1"/>
  <c r="AD13" i="3" s="1"/>
  <c r="AW9" i="3"/>
  <c r="AD9" i="3" a="1"/>
  <c r="AD9" i="3" s="1"/>
  <c r="AW5" i="3"/>
  <c r="AD5" i="3" a="1"/>
  <c r="AD5" i="3" s="1"/>
  <c r="AW4" i="3"/>
  <c r="H21" i="4" s="1"/>
  <c r="AD4" i="3" a="1"/>
  <c r="AD4" i="3" s="1"/>
  <c r="AH11" i="3" a="1"/>
  <c r="AH11" i="3" s="1"/>
  <c r="AD11" i="3" a="1"/>
  <c r="AD11" i="3" s="1"/>
  <c r="AH7" i="3" a="1"/>
  <c r="AH7" i="3" s="1"/>
  <c r="AD7" i="3" a="1"/>
  <c r="AD7" i="3" s="1"/>
  <c r="AW20" i="3"/>
  <c r="AD20" i="3" a="1"/>
  <c r="AD20" i="3" s="1"/>
  <c r="AH307" i="3" a="1"/>
  <c r="AH307" i="3" s="1"/>
  <c r="AD307" i="3" a="1"/>
  <c r="AD307" i="3" s="1"/>
  <c r="AW19" i="3"/>
  <c r="AD19" i="3" a="1"/>
  <c r="AD19" i="3" s="1"/>
  <c r="AH395" i="3" a="1"/>
  <c r="AH395" i="3" s="1"/>
  <c r="AD395" i="3" a="1"/>
  <c r="AD395" i="3" s="1"/>
  <c r="AW18" i="3"/>
  <c r="AD18" i="3" a="1"/>
  <c r="AD18" i="3" s="1"/>
  <c r="AW17" i="3"/>
  <c r="AD17" i="3" a="1"/>
  <c r="AD17" i="3" s="1"/>
  <c r="AW16" i="3"/>
  <c r="AD16" i="3" a="1"/>
  <c r="AD16" i="3" s="1"/>
  <c r="AW15" i="3"/>
  <c r="AD15" i="3" a="1"/>
  <c r="AD15" i="3" s="1"/>
  <c r="AH400" i="3" a="1"/>
  <c r="AH400" i="3" s="1"/>
  <c r="AD400" i="3" a="1"/>
  <c r="AD400" i="3" s="1"/>
  <c r="AW14" i="3"/>
  <c r="AD14" i="3" a="1"/>
  <c r="AD14" i="3" s="1"/>
  <c r="AW77" i="3"/>
  <c r="AD77" i="3" a="1"/>
  <c r="AD77" i="3" s="1"/>
  <c r="AW141" i="3"/>
  <c r="AW117" i="3"/>
  <c r="AW348" i="3"/>
  <c r="AW255" i="3"/>
  <c r="AW305" i="3"/>
  <c r="AW365" i="3"/>
  <c r="AW140" i="3"/>
  <c r="AW116" i="3"/>
  <c r="AW254" i="3"/>
  <c r="AW304" i="3"/>
  <c r="AH376" i="3" a="1"/>
  <c r="AH376" i="3" s="1"/>
  <c r="AW139" i="3"/>
  <c r="AW115" i="3"/>
  <c r="AW94" i="3"/>
  <c r="AW253" i="3"/>
  <c r="AW90" i="3"/>
  <c r="AW58" i="3"/>
  <c r="AH262" i="3" a="1"/>
  <c r="AH262" i="3" s="1"/>
  <c r="AH192" i="3" a="1"/>
  <c r="AH192" i="3" s="1"/>
  <c r="AH207" i="3" a="1"/>
  <c r="AH207" i="3" s="1"/>
  <c r="AW220" i="3"/>
  <c r="AH319" i="3" a="1"/>
  <c r="AH319" i="3" s="1"/>
  <c r="AH27" i="3" a="1"/>
  <c r="AH27" i="3" s="1"/>
  <c r="AH231" i="3" a="1"/>
  <c r="AH231" i="3" s="1"/>
  <c r="AH189" i="3" a="1"/>
  <c r="AH189" i="3" s="1"/>
  <c r="AW364" i="3"/>
  <c r="AH56" i="3" a="1"/>
  <c r="AH56" i="3" s="1"/>
  <c r="AH230" i="3" a="1"/>
  <c r="AH230" i="3" s="1"/>
  <c r="AH278" i="3" a="1"/>
  <c r="AH278" i="3" s="1"/>
  <c r="AH203" i="3" a="1"/>
  <c r="AH203" i="3" s="1"/>
  <c r="AH188" i="3" a="1"/>
  <c r="AH188" i="3" s="1"/>
  <c r="AH375" i="3" a="1"/>
  <c r="AH375" i="3" s="1"/>
  <c r="AW76" i="3"/>
  <c r="AW360" i="3"/>
  <c r="AW138" i="3"/>
  <c r="AW114" i="3"/>
  <c r="AW93" i="3"/>
  <c r="AW87" i="3"/>
  <c r="AW55" i="3"/>
  <c r="AW34" i="3"/>
  <c r="AH29" i="3" a="1"/>
  <c r="AH29" i="3" s="1"/>
  <c r="AH208" i="3" a="1"/>
  <c r="AH208" i="3" s="1"/>
  <c r="AW142" i="3"/>
  <c r="AH339" i="3" a="1"/>
  <c r="AH339" i="3" s="1"/>
  <c r="AW190" i="3"/>
  <c r="AH205" i="3" a="1"/>
  <c r="AH205" i="3" s="1"/>
  <c r="AW89" i="3"/>
  <c r="AH384" i="3" a="1"/>
  <c r="AH384" i="3" s="1"/>
  <c r="AH26" i="3" a="1"/>
  <c r="AH26" i="3" s="1"/>
  <c r="AH298" i="3" a="1"/>
  <c r="AH298" i="3" s="1"/>
  <c r="AH380" i="3" a="1"/>
  <c r="AH380" i="3" s="1"/>
  <c r="AH54" i="3" a="1"/>
  <c r="AH54" i="3" s="1"/>
  <c r="AH41" i="3" a="1"/>
  <c r="AH41" i="3" s="1"/>
  <c r="AH286" i="3" a="1"/>
  <c r="AH286" i="3" s="1"/>
  <c r="AH229" i="3" a="1"/>
  <c r="AH229" i="3" s="1"/>
  <c r="AH399" i="3" a="1"/>
  <c r="AH399" i="3" s="1"/>
  <c r="AH202" i="3" a="1"/>
  <c r="AH202" i="3" s="1"/>
  <c r="AH187" i="3" a="1"/>
  <c r="AH187" i="3" s="1"/>
  <c r="AH374" i="3" a="1"/>
  <c r="AH374" i="3" s="1"/>
  <c r="AH270" i="3" a="1"/>
  <c r="AH270" i="3" s="1"/>
  <c r="AH363" i="3" a="1"/>
  <c r="AH363" i="3" s="1"/>
  <c r="AH359" i="3" a="1"/>
  <c r="AH359" i="3" s="1"/>
  <c r="AH137" i="3" a="1"/>
  <c r="AH137" i="3" s="1"/>
  <c r="AH113" i="3" a="1"/>
  <c r="AH113" i="3" s="1"/>
  <c r="AH352" i="3" a="1"/>
  <c r="AH352" i="3" s="1"/>
  <c r="AH92" i="3" a="1"/>
  <c r="AH92" i="3" s="1"/>
  <c r="AH322" i="3" a="1"/>
  <c r="AH322" i="3" s="1"/>
  <c r="AH86" i="3" a="1"/>
  <c r="AH86" i="3" s="1"/>
  <c r="AH35" i="3" a="1"/>
  <c r="AH35" i="3" s="1"/>
  <c r="AW366" i="3"/>
  <c r="AH191" i="3" a="1"/>
  <c r="AH191" i="3" s="1"/>
  <c r="AH42" i="3" a="1"/>
  <c r="AH42" i="3" s="1"/>
  <c r="AH299" i="3" a="1"/>
  <c r="AH299" i="3" s="1"/>
  <c r="AH122" i="3" a="1"/>
  <c r="AH122" i="3" s="1"/>
  <c r="AH67" i="3" a="1"/>
  <c r="AH67" i="3" s="1"/>
  <c r="AH285" i="3" a="1"/>
  <c r="AH285" i="3" s="1"/>
  <c r="AW228" i="3"/>
  <c r="AW275" i="3"/>
  <c r="AW201" i="3"/>
  <c r="AW186" i="3"/>
  <c r="AW181" i="3"/>
  <c r="AW358" i="3"/>
  <c r="AW173" i="3"/>
  <c r="AW136" i="3"/>
  <c r="AW112" i="3"/>
  <c r="AW350" i="3"/>
  <c r="AW95" i="3"/>
  <c r="AW46" i="3"/>
  <c r="AH357" i="3" a="1"/>
  <c r="AH357" i="3" s="1"/>
  <c r="AH171" i="3" a="1"/>
  <c r="AH171" i="3" s="1"/>
  <c r="AH135" i="3" a="1"/>
  <c r="AH135" i="3" s="1"/>
  <c r="AH260" i="3" a="1"/>
  <c r="AH260" i="3" s="1"/>
  <c r="AH257" i="3" a="1"/>
  <c r="AH257" i="3" s="1"/>
  <c r="AH40" i="3" a="1"/>
  <c r="AH40" i="3" s="1"/>
  <c r="AH383" i="3" a="1"/>
  <c r="AH383" i="3" s="1"/>
  <c r="AW78" i="3"/>
  <c r="AH221" i="3" a="1"/>
  <c r="AH221" i="3" s="1"/>
  <c r="AH389" i="3" a="1"/>
  <c r="AH389" i="3" s="1"/>
  <c r="AH28" i="3" a="1"/>
  <c r="AH28" i="3" s="1"/>
  <c r="AH309" i="3" a="1"/>
  <c r="AH309" i="3" s="1"/>
  <c r="AW226" i="3"/>
  <c r="AW386" i="3"/>
  <c r="AW216" i="3"/>
  <c r="AW199" i="3"/>
  <c r="AW184" i="3"/>
  <c r="AW266" i="3"/>
  <c r="AW178" i="3"/>
  <c r="AW170" i="3"/>
  <c r="AW132" i="3"/>
  <c r="AW111" i="3"/>
  <c r="AW259" i="3"/>
  <c r="AW252" i="3"/>
  <c r="AH392" i="3" a="1"/>
  <c r="AH392" i="3" s="1"/>
  <c r="AH287" i="3" a="1"/>
  <c r="AH287" i="3" s="1"/>
  <c r="AH340" i="3" a="1"/>
  <c r="AH340" i="3" s="1"/>
  <c r="AH297" i="3" a="1"/>
  <c r="AH297" i="3" s="1"/>
  <c r="AH84" i="3" a="1"/>
  <c r="AH84" i="3" s="1"/>
  <c r="AH320" i="3" a="1"/>
  <c r="AH320" i="3" s="1"/>
  <c r="AH96" i="3" a="1"/>
  <c r="AH96" i="3" s="1"/>
  <c r="AH39" i="3" a="1"/>
  <c r="AH39" i="3" s="1"/>
  <c r="AH227" i="3" a="1"/>
  <c r="AH227" i="3" s="1"/>
  <c r="AH200" i="3" a="1"/>
  <c r="AH200" i="3" s="1"/>
  <c r="AW387" i="3"/>
  <c r="AW225" i="3"/>
  <c r="AW398" i="3"/>
  <c r="AW215" i="3"/>
  <c r="AW198" i="3"/>
  <c r="AW183" i="3"/>
  <c r="AW372" i="3"/>
  <c r="AW367" i="3"/>
  <c r="AW265" i="3"/>
  <c r="AW177" i="3"/>
  <c r="AW169" i="3"/>
  <c r="AW131" i="3"/>
  <c r="AW110" i="3"/>
  <c r="AW258" i="3"/>
  <c r="AW316" i="3"/>
  <c r="AW69" i="3"/>
  <c r="AH371" i="3" a="1"/>
  <c r="AH371" i="3" s="1"/>
  <c r="AW396" i="3"/>
  <c r="AH233" i="3" a="1"/>
  <c r="AH233" i="3" s="1"/>
  <c r="AH172" i="3" a="1"/>
  <c r="AH172" i="3" s="1"/>
  <c r="AW206" i="3"/>
  <c r="AH355" i="3" a="1"/>
  <c r="AH355" i="3" s="1"/>
  <c r="AH314" i="3" a="1"/>
  <c r="AH314" i="3" s="1"/>
  <c r="AH51" i="3" a="1"/>
  <c r="AH51" i="3" s="1"/>
  <c r="AH24" i="3" a="1"/>
  <c r="AH24" i="3" s="1"/>
  <c r="AH217" i="3" a="1"/>
  <c r="AH217" i="3" s="1"/>
  <c r="AH351" i="3" a="1"/>
  <c r="AH351" i="3" s="1"/>
  <c r="AH377" i="3" a="1"/>
  <c r="AH377" i="3" s="1"/>
  <c r="AH349" i="3" a="1"/>
  <c r="AH349" i="3" s="1"/>
  <c r="AH329" i="3" a="1"/>
  <c r="AH329" i="3" s="1"/>
  <c r="AH48" i="3" a="1"/>
  <c r="AH48" i="3" s="1"/>
  <c r="AH292" i="3" a="1"/>
  <c r="AH292" i="3" s="1"/>
  <c r="AH248" i="3" a="1"/>
  <c r="AH248" i="3" s="1"/>
  <c r="AH277" i="3" a="1"/>
  <c r="AH277" i="3" s="1"/>
  <c r="AH214" i="3" a="1"/>
  <c r="AH214" i="3" s="1"/>
  <c r="AH197" i="3" a="1"/>
  <c r="AH197" i="3" s="1"/>
  <c r="AH182" i="3" a="1"/>
  <c r="AH182" i="3" s="1"/>
  <c r="AH264" i="3" a="1"/>
  <c r="AH264" i="3" s="1"/>
  <c r="AH168" i="3" a="1"/>
  <c r="AH168" i="3" s="1"/>
  <c r="AH109" i="3" a="1"/>
  <c r="AH109" i="3" s="1"/>
  <c r="AH327" i="3" a="1"/>
  <c r="AH327" i="3" s="1"/>
  <c r="AW118" i="3"/>
  <c r="AW213" i="3"/>
  <c r="AW269" i="3"/>
  <c r="AW362" i="3"/>
  <c r="AW147" i="3"/>
  <c r="AW128" i="3"/>
  <c r="AW108" i="3"/>
  <c r="AW99" i="3"/>
  <c r="AW342" i="3"/>
  <c r="AW332" i="3"/>
  <c r="AW306" i="3"/>
  <c r="AH234" i="3" a="1"/>
  <c r="AH234" i="3" s="1"/>
  <c r="AW283" i="3"/>
  <c r="AH281" i="3" a="1"/>
  <c r="AH281" i="3" s="1"/>
  <c r="AW146" i="3"/>
  <c r="AW126" i="3"/>
  <c r="AW107" i="3"/>
  <c r="AW98" i="3"/>
  <c r="AW341" i="3"/>
  <c r="AW251" i="3"/>
  <c r="AH312" i="3" a="1"/>
  <c r="AH312" i="3" s="1"/>
  <c r="AW276" i="3"/>
  <c r="AH282" i="3" a="1"/>
  <c r="AH282" i="3" s="1"/>
  <c r="AW280" i="3"/>
  <c r="AW211" i="3"/>
  <c r="AW268" i="3"/>
  <c r="AW180" i="3"/>
  <c r="AW81" i="3"/>
  <c r="AW145" i="3"/>
  <c r="AW121" i="3"/>
  <c r="AW105" i="3"/>
  <c r="AW311" i="3"/>
  <c r="AH57" i="3" a="1"/>
  <c r="AH57" i="3" s="1"/>
  <c r="AH274" i="3" a="1"/>
  <c r="AH274" i="3" s="1"/>
  <c r="AW337" i="3"/>
  <c r="AH373" i="3" a="1"/>
  <c r="AH373" i="3" s="1"/>
  <c r="AH32" i="3" a="1"/>
  <c r="AH32" i="3" s="1"/>
  <c r="AW247" i="3"/>
  <c r="AW196" i="3"/>
  <c r="AH303" i="3" a="1"/>
  <c r="AH303" i="3" s="1"/>
  <c r="AH31" i="3" a="1"/>
  <c r="AH31" i="3" s="1"/>
  <c r="AH243" i="3" a="1"/>
  <c r="AH243" i="3" s="1"/>
  <c r="AH212" i="3" a="1"/>
  <c r="AH212" i="3" s="1"/>
  <c r="AW83" i="3"/>
  <c r="AW294" i="3"/>
  <c r="AW291" i="3"/>
  <c r="AW43" i="3"/>
  <c r="AW295" i="3"/>
  <c r="AW290" i="3"/>
  <c r="AW236" i="3"/>
  <c r="AW279" i="3"/>
  <c r="AW210" i="3"/>
  <c r="AW194" i="3"/>
  <c r="AW271" i="3"/>
  <c r="AW267" i="3"/>
  <c r="AW174" i="3"/>
  <c r="AW144" i="3"/>
  <c r="AW120" i="3"/>
  <c r="AW261" i="3"/>
  <c r="AW338" i="3"/>
  <c r="AW256" i="3"/>
  <c r="AH222" i="3" a="1"/>
  <c r="AH222" i="3" s="1"/>
  <c r="AH47" i="3" a="1"/>
  <c r="AH47" i="3" s="1"/>
  <c r="AW22" i="3"/>
  <c r="AW223" i="3"/>
  <c r="AH45" i="3" a="1"/>
  <c r="AH45" i="3" s="1"/>
  <c r="AH293" i="3" a="1"/>
  <c r="AH293" i="3" s="1"/>
  <c r="AH195" i="3" a="1"/>
  <c r="AH195" i="3" s="1"/>
  <c r="AH378" i="3" a="1"/>
  <c r="AH378" i="3" s="1"/>
  <c r="AW82" i="3"/>
  <c r="AH346" i="3" a="1"/>
  <c r="AH346" i="3" s="1"/>
  <c r="AW237" i="3"/>
  <c r="AW385" i="3"/>
  <c r="AH345" i="3" a="1"/>
  <c r="AH345" i="3" s="1"/>
  <c r="AH324" i="3" a="1"/>
  <c r="AH324" i="3" s="1"/>
  <c r="AH263" i="3" a="1"/>
  <c r="AH263" i="3" s="1"/>
  <c r="AH59" i="3" a="1"/>
  <c r="AH59" i="3" s="1"/>
  <c r="AH30" i="3" a="1"/>
  <c r="AH30" i="3" s="1"/>
  <c r="AH296" i="3" a="1"/>
  <c r="AH296" i="3" s="1"/>
  <c r="AH289" i="3" a="1"/>
  <c r="AH289" i="3" s="1"/>
  <c r="AW235" i="3"/>
  <c r="AW209" i="3"/>
  <c r="AW193" i="3"/>
  <c r="AW179" i="3"/>
  <c r="AW143" i="3"/>
  <c r="AW119" i="3"/>
  <c r="AW103" i="3"/>
  <c r="AW80" i="3"/>
  <c r="AL382" i="3"/>
  <c r="AH382" i="3" a="1"/>
  <c r="AH382" i="3" s="1"/>
  <c r="AW232" i="3"/>
  <c r="AH232" i="3" a="1"/>
  <c r="AH232" i="3" s="1"/>
  <c r="AL123" i="3"/>
  <c r="AH123" i="3" a="1"/>
  <c r="AH123" i="3" s="1"/>
  <c r="AW302" i="3"/>
  <c r="AH302" i="3" a="1"/>
  <c r="AH302" i="3" s="1"/>
  <c r="AW79" i="3"/>
  <c r="AH79" i="3" a="1"/>
  <c r="AH79" i="3" s="1"/>
  <c r="AW49" i="3"/>
  <c r="AH49" i="3" a="1"/>
  <c r="AH49" i="3" s="1"/>
  <c r="AW38" i="3"/>
  <c r="AH38" i="3" a="1"/>
  <c r="AH38" i="3" s="1"/>
  <c r="AW23" i="3"/>
  <c r="AH23" i="3" a="1"/>
  <c r="AH23" i="3" s="1"/>
  <c r="AW250" i="3"/>
  <c r="AH250" i="3" a="1"/>
  <c r="AH250" i="3" s="1"/>
  <c r="AW284" i="3"/>
  <c r="AH284" i="3" a="1"/>
  <c r="AH284" i="3" s="1"/>
  <c r="AW36" i="3"/>
  <c r="AH36" i="3" a="1"/>
  <c r="AH36" i="3" s="1"/>
  <c r="AW249" i="3"/>
  <c r="AH249" i="3" a="1"/>
  <c r="AH249" i="3" s="1"/>
  <c r="AL336" i="3"/>
  <c r="AH336" i="3" a="1"/>
  <c r="AH336" i="3" s="1"/>
  <c r="AL224" i="3"/>
  <c r="AH224" i="3" a="1"/>
  <c r="AH224" i="3" s="1"/>
  <c r="AH372" i="3" a="1"/>
  <c r="AH372" i="3" s="1"/>
  <c r="AH367" i="3" a="1"/>
  <c r="AH367" i="3" s="1"/>
  <c r="AH342" i="3" a="1"/>
  <c r="AH342" i="3" s="1"/>
  <c r="AH337" i="3" a="1"/>
  <c r="AH337" i="3" s="1"/>
  <c r="AH280" i="3" a="1"/>
  <c r="AH280" i="3" s="1"/>
  <c r="AH276" i="3" a="1"/>
  <c r="AH276" i="3" s="1"/>
  <c r="AH225" i="3" a="1"/>
  <c r="AH225" i="3" s="1"/>
  <c r="AH215" i="3" a="1"/>
  <c r="AH215" i="3" s="1"/>
  <c r="AH198" i="3" a="1"/>
  <c r="AH198" i="3" s="1"/>
  <c r="AH183" i="3" a="1"/>
  <c r="AH183" i="3" s="1"/>
  <c r="AH146" i="3" a="1"/>
  <c r="AH146" i="3" s="1"/>
  <c r="AH138" i="3" a="1"/>
  <c r="AH138" i="3" s="1"/>
  <c r="AH126" i="3" a="1"/>
  <c r="AH126" i="3" s="1"/>
  <c r="AH116" i="3" a="1"/>
  <c r="AH116" i="3" s="1"/>
  <c r="AH98" i="3" a="1"/>
  <c r="AH98" i="3" s="1"/>
  <c r="AH295" i="3" a="1"/>
  <c r="AH295" i="3" s="1"/>
  <c r="AH16" i="3" a="1"/>
  <c r="AH16" i="3" s="1"/>
  <c r="AH386" i="3" a="1"/>
  <c r="AH386" i="3" s="1"/>
  <c r="AH365" i="3" a="1"/>
  <c r="AH365" i="3" s="1"/>
  <c r="AH341" i="3" a="1"/>
  <c r="AH341" i="3" s="1"/>
  <c r="AH332" i="3" a="1"/>
  <c r="AH332" i="3" s="1"/>
  <c r="AH279" i="3" a="1"/>
  <c r="AH279" i="3" s="1"/>
  <c r="AH266" i="3" a="1"/>
  <c r="AH266" i="3" s="1"/>
  <c r="AH256" i="3" a="1"/>
  <c r="AH256" i="3" s="1"/>
  <c r="AH206" i="3" a="1"/>
  <c r="AH206" i="3" s="1"/>
  <c r="AH190" i="3" a="1"/>
  <c r="AH190" i="3" s="1"/>
  <c r="AH145" i="3" a="1"/>
  <c r="AH145" i="3" s="1"/>
  <c r="AH115" i="3" a="1"/>
  <c r="AH115" i="3" s="1"/>
  <c r="AH108" i="3" a="1"/>
  <c r="AH108" i="3" s="1"/>
  <c r="AH83" i="3" a="1"/>
  <c r="AH83" i="3" s="1"/>
  <c r="AH69" i="3" a="1"/>
  <c r="AH69" i="3" s="1"/>
  <c r="AH46" i="3" a="1"/>
  <c r="AH46" i="3" s="1"/>
  <c r="AH15" i="3" a="1"/>
  <c r="AH15" i="3" s="1"/>
  <c r="AH364" i="3" a="1"/>
  <c r="AH364" i="3" s="1"/>
  <c r="AH291" i="3" a="1"/>
  <c r="AH291" i="3" s="1"/>
  <c r="AH275" i="3" a="1"/>
  <c r="AH275" i="3" s="1"/>
  <c r="AH271" i="3" a="1"/>
  <c r="AH271" i="3" s="1"/>
  <c r="AH265" i="3" a="1"/>
  <c r="AH265" i="3" s="1"/>
  <c r="AH261" i="3" a="1"/>
  <c r="AH261" i="3" s="1"/>
  <c r="AH247" i="3" a="1"/>
  <c r="AH247" i="3" s="1"/>
  <c r="AH223" i="3" a="1"/>
  <c r="AH223" i="3" s="1"/>
  <c r="AH213" i="3" a="1"/>
  <c r="AH213" i="3" s="1"/>
  <c r="AH196" i="3" a="1"/>
  <c r="AH196" i="3" s="1"/>
  <c r="AH181" i="3" a="1"/>
  <c r="AH181" i="3" s="1"/>
  <c r="AH89" i="3" a="1"/>
  <c r="AH89" i="3" s="1"/>
  <c r="AH144" i="3" a="1"/>
  <c r="AH144" i="3" s="1"/>
  <c r="AH136" i="3" a="1"/>
  <c r="AH136" i="3" s="1"/>
  <c r="AH114" i="3" a="1"/>
  <c r="AH114" i="3" s="1"/>
  <c r="AH107" i="3" a="1"/>
  <c r="AH107" i="3" s="1"/>
  <c r="AH95" i="3" a="1"/>
  <c r="AH95" i="3" s="1"/>
  <c r="AH82" i="3" a="1"/>
  <c r="AH82" i="3" s="1"/>
  <c r="AH14" i="3" a="1"/>
  <c r="AH14" i="3" s="1"/>
  <c r="AH360" i="3" a="1"/>
  <c r="AH360" i="3" s="1"/>
  <c r="AH290" i="3" a="1"/>
  <c r="AH290" i="3" s="1"/>
  <c r="AH178" i="3" a="1"/>
  <c r="AH178" i="3" s="1"/>
  <c r="AH170" i="3" a="1"/>
  <c r="AH170" i="3" s="1"/>
  <c r="AH143" i="3" a="1"/>
  <c r="AH143" i="3" s="1"/>
  <c r="AH121" i="3" a="1"/>
  <c r="AH121" i="3" s="1"/>
  <c r="AH105" i="3" a="1"/>
  <c r="AH105" i="3" s="1"/>
  <c r="AH93" i="3" a="1"/>
  <c r="AH93" i="3" s="1"/>
  <c r="AH81" i="3" a="1"/>
  <c r="AH81" i="3" s="1"/>
  <c r="AH22" i="3" a="1"/>
  <c r="AH22" i="3" s="1"/>
  <c r="AH77" i="3" a="1"/>
  <c r="AH77" i="3" s="1"/>
  <c r="AH13" i="3" a="1"/>
  <c r="AH13" i="3" s="1"/>
  <c r="AH385" i="3" a="1"/>
  <c r="AH385" i="3" s="1"/>
  <c r="AH316" i="3" a="1"/>
  <c r="AH316" i="3" s="1"/>
  <c r="AH311" i="3" a="1"/>
  <c r="AH311" i="3" s="1"/>
  <c r="AH283" i="3" a="1"/>
  <c r="AH283" i="3" s="1"/>
  <c r="AH259" i="3" a="1"/>
  <c r="AH259" i="3" s="1"/>
  <c r="AH396" i="3" a="1"/>
  <c r="AH396" i="3" s="1"/>
  <c r="AH237" i="3" a="1"/>
  <c r="AH237" i="3" s="1"/>
  <c r="AH211" i="3" a="1"/>
  <c r="AH211" i="3" s="1"/>
  <c r="AH180" i="3" a="1"/>
  <c r="AH180" i="3" s="1"/>
  <c r="AH177" i="3" a="1"/>
  <c r="AH177" i="3" s="1"/>
  <c r="AH169" i="3" a="1"/>
  <c r="AH169" i="3" s="1"/>
  <c r="AH142" i="3" a="1"/>
  <c r="AH142" i="3" s="1"/>
  <c r="AH132" i="3" a="1"/>
  <c r="AH132" i="3" s="1"/>
  <c r="AH120" i="3" a="1"/>
  <c r="AH120" i="3" s="1"/>
  <c r="AH112" i="3" a="1"/>
  <c r="AH112" i="3" s="1"/>
  <c r="AH103" i="3" a="1"/>
  <c r="AH103" i="3" s="1"/>
  <c r="AH80" i="3" a="1"/>
  <c r="AH80" i="3" s="1"/>
  <c r="AH304" i="3" a="1"/>
  <c r="AH304" i="3" s="1"/>
  <c r="AH20" i="3" a="1"/>
  <c r="AH20" i="3" s="1"/>
  <c r="AH358" i="3" a="1"/>
  <c r="AH358" i="3" s="1"/>
  <c r="AH350" i="3" a="1"/>
  <c r="AH350" i="3" s="1"/>
  <c r="AH348" i="3" a="1"/>
  <c r="AH348" i="3" s="1"/>
  <c r="AH338" i="3" a="1"/>
  <c r="AH338" i="3" s="1"/>
  <c r="AH269" i="3" a="1"/>
  <c r="AH269" i="3" s="1"/>
  <c r="AH258" i="3" a="1"/>
  <c r="AH258" i="3" s="1"/>
  <c r="AH255" i="3" a="1"/>
  <c r="AH255" i="3" s="1"/>
  <c r="AH252" i="3" a="1"/>
  <c r="AH252" i="3" s="1"/>
  <c r="AH236" i="3" a="1"/>
  <c r="AH236" i="3" s="1"/>
  <c r="AH228" i="3" a="1"/>
  <c r="AH228" i="3" s="1"/>
  <c r="AH220" i="3" a="1"/>
  <c r="AH220" i="3" s="1"/>
  <c r="AH210" i="3" a="1"/>
  <c r="AH210" i="3" s="1"/>
  <c r="AH201" i="3" a="1"/>
  <c r="AH201" i="3" s="1"/>
  <c r="AH194" i="3" a="1"/>
  <c r="AH194" i="3" s="1"/>
  <c r="AH186" i="3" a="1"/>
  <c r="AH186" i="3" s="1"/>
  <c r="AH141" i="3" a="1"/>
  <c r="AH141" i="3" s="1"/>
  <c r="AH131" i="3" a="1"/>
  <c r="AH131" i="3" s="1"/>
  <c r="AH119" i="3" a="1"/>
  <c r="AH119" i="3" s="1"/>
  <c r="AH90" i="3" a="1"/>
  <c r="AH90" i="3" s="1"/>
  <c r="AH43" i="3" a="1"/>
  <c r="AH43" i="3" s="1"/>
  <c r="AH306" i="3" a="1"/>
  <c r="AH306" i="3" s="1"/>
  <c r="AH19" i="3" a="1"/>
  <c r="AH19" i="3" s="1"/>
  <c r="AH9" i="3" a="1"/>
  <c r="AH9" i="3" s="1"/>
  <c r="AH362" i="3" a="1"/>
  <c r="AH362" i="3" s="1"/>
  <c r="AH94" i="3" a="1"/>
  <c r="AH94" i="3" s="1"/>
  <c r="AH398" i="3" a="1"/>
  <c r="AH398" i="3" s="1"/>
  <c r="AH268" i="3" a="1"/>
  <c r="AH268" i="3" s="1"/>
  <c r="AH254" i="3" a="1"/>
  <c r="AH254" i="3" s="1"/>
  <c r="AH251" i="3" a="1"/>
  <c r="AH251" i="3" s="1"/>
  <c r="AH235" i="3" a="1"/>
  <c r="AH235" i="3" s="1"/>
  <c r="AH209" i="3" a="1"/>
  <c r="AH209" i="3" s="1"/>
  <c r="AH193" i="3" a="1"/>
  <c r="AH193" i="3" s="1"/>
  <c r="AH179" i="3" a="1"/>
  <c r="AH179" i="3" s="1"/>
  <c r="AH174" i="3" a="1"/>
  <c r="AH174" i="3" s="1"/>
  <c r="AH140" i="3" a="1"/>
  <c r="AH140" i="3" s="1"/>
  <c r="AH118" i="3" a="1"/>
  <c r="AH118" i="3" s="1"/>
  <c r="AH111" i="3" a="1"/>
  <c r="AH111" i="3" s="1"/>
  <c r="AH87" i="3" a="1"/>
  <c r="AH87" i="3" s="1"/>
  <c r="AH78" i="3" a="1"/>
  <c r="AH78" i="3" s="1"/>
  <c r="AH58" i="3" a="1"/>
  <c r="AH58" i="3" s="1"/>
  <c r="AH305" i="3" a="1"/>
  <c r="AH305" i="3" s="1"/>
  <c r="AH18" i="3" a="1"/>
  <c r="AH18" i="3" s="1"/>
  <c r="AH387" i="3" a="1"/>
  <c r="AH387" i="3" s="1"/>
  <c r="AH366" i="3" a="1"/>
  <c r="AH366" i="3" s="1"/>
  <c r="AH267" i="3" a="1"/>
  <c r="AH267" i="3" s="1"/>
  <c r="AH253" i="3" a="1"/>
  <c r="AH253" i="3" s="1"/>
  <c r="AH226" i="3" a="1"/>
  <c r="AH226" i="3" s="1"/>
  <c r="AH216" i="3" a="1"/>
  <c r="AH216" i="3" s="1"/>
  <c r="AH199" i="3" a="1"/>
  <c r="AH199" i="3" s="1"/>
  <c r="AH184" i="3" a="1"/>
  <c r="AH184" i="3" s="1"/>
  <c r="AH173" i="3" a="1"/>
  <c r="AH173" i="3" s="1"/>
  <c r="AH147" i="3" a="1"/>
  <c r="AH147" i="3" s="1"/>
  <c r="AH139" i="3" a="1"/>
  <c r="AH139" i="3" s="1"/>
  <c r="AH128" i="3" a="1"/>
  <c r="AH128" i="3" s="1"/>
  <c r="AH117" i="3" a="1"/>
  <c r="AH117" i="3" s="1"/>
  <c r="AH110" i="3" a="1"/>
  <c r="AH110" i="3" s="1"/>
  <c r="AH99" i="3" a="1"/>
  <c r="AH99" i="3" s="1"/>
  <c r="AH76" i="3" a="1"/>
  <c r="AH76" i="3" s="1"/>
  <c r="AH55" i="3" a="1"/>
  <c r="AH55" i="3" s="1"/>
  <c r="AH34" i="3" a="1"/>
  <c r="AH34" i="3" s="1"/>
  <c r="AH294" i="3" a="1"/>
  <c r="AH294" i="3" s="1"/>
  <c r="AH17" i="3" a="1"/>
  <c r="AH17" i="3" s="1"/>
  <c r="AH5" i="3" a="1"/>
  <c r="AH5" i="3" s="1"/>
  <c r="AN365" i="3"/>
  <c r="AN341" i="3"/>
  <c r="AN271" i="3"/>
  <c r="AN115" i="3"/>
  <c r="AN114" i="3"/>
  <c r="AN371" i="3"/>
  <c r="AN136" i="3"/>
  <c r="AN364" i="3"/>
  <c r="AN95" i="3"/>
  <c r="AN261" i="3"/>
  <c r="AN232" i="3"/>
  <c r="AN332" i="3"/>
  <c r="AN214" i="3"/>
  <c r="AN46" i="3"/>
  <c r="AN322" i="3"/>
  <c r="AN213" i="3"/>
  <c r="AM46" i="3"/>
  <c r="AN197" i="3"/>
  <c r="AN28" i="3"/>
  <c r="AN196" i="3"/>
  <c r="AN296" i="3"/>
  <c r="AN386" i="3"/>
  <c r="AN182" i="3"/>
  <c r="AN378" i="3"/>
  <c r="AN291" i="3"/>
  <c r="AN181" i="3"/>
  <c r="AN279" i="3"/>
  <c r="AN137" i="3"/>
  <c r="AN340" i="3"/>
  <c r="AN231" i="3"/>
  <c r="AN171" i="3"/>
  <c r="AN45" i="3"/>
  <c r="AN39" i="3"/>
  <c r="AN27" i="3"/>
  <c r="AN307" i="3"/>
  <c r="AM341" i="3"/>
  <c r="AM28" i="3"/>
  <c r="AN339" i="3"/>
  <c r="AN290" i="3"/>
  <c r="AN278" i="3"/>
  <c r="AN260" i="3"/>
  <c r="AN230" i="3"/>
  <c r="AN212" i="3"/>
  <c r="AN195" i="3"/>
  <c r="AN170" i="3"/>
  <c r="AN135" i="3"/>
  <c r="AN113" i="3"/>
  <c r="AN93" i="3"/>
  <c r="AN38" i="3"/>
  <c r="AN26" i="3"/>
  <c r="AN297" i="3"/>
  <c r="AN77" i="3"/>
  <c r="AM322" i="3"/>
  <c r="AM296" i="3"/>
  <c r="AN385" i="3"/>
  <c r="AN363" i="3"/>
  <c r="AN316" i="3"/>
  <c r="AN289" i="3"/>
  <c r="AN399" i="3"/>
  <c r="AN270" i="3"/>
  <c r="AN259" i="3"/>
  <c r="AN229" i="3"/>
  <c r="AN211" i="3"/>
  <c r="AN180" i="3"/>
  <c r="AN169" i="3"/>
  <c r="AN132" i="3"/>
  <c r="AN112" i="3"/>
  <c r="AN92" i="3"/>
  <c r="AN36" i="3"/>
  <c r="AN20" i="3"/>
  <c r="AN96" i="3"/>
  <c r="AN57" i="3"/>
  <c r="AN348" i="3"/>
  <c r="AN338" i="3"/>
  <c r="AN329" i="3"/>
  <c r="AN287" i="3"/>
  <c r="AN269" i="3"/>
  <c r="AN258" i="3"/>
  <c r="AN252" i="3"/>
  <c r="AN228" i="3"/>
  <c r="AN210" i="3"/>
  <c r="AN194" i="3"/>
  <c r="AN131" i="3"/>
  <c r="AN90" i="3"/>
  <c r="AN43" i="3"/>
  <c r="AN35" i="3"/>
  <c r="AN306" i="3"/>
  <c r="AN19" i="3"/>
  <c r="AN400" i="3"/>
  <c r="AN362" i="3"/>
  <c r="AN314" i="3"/>
  <c r="AN398" i="3"/>
  <c r="AN268" i="3"/>
  <c r="AN257" i="3"/>
  <c r="AN251" i="3"/>
  <c r="AN227" i="3"/>
  <c r="AN209" i="3"/>
  <c r="AN193" i="3"/>
  <c r="AN179" i="3"/>
  <c r="AN168" i="3"/>
  <c r="AN111" i="3"/>
  <c r="AN87" i="3"/>
  <c r="AN56" i="3"/>
  <c r="AN24" i="3"/>
  <c r="AN18" i="3"/>
  <c r="AM279" i="3"/>
  <c r="AN395" i="3"/>
  <c r="AN384" i="3"/>
  <c r="AN377" i="3"/>
  <c r="AN303" i="3"/>
  <c r="AN327" i="3"/>
  <c r="AN302" i="3"/>
  <c r="AN286" i="3"/>
  <c r="AN277" i="3"/>
  <c r="AN267" i="3"/>
  <c r="AN250" i="3"/>
  <c r="AN226" i="3"/>
  <c r="AN208" i="3"/>
  <c r="AN192" i="3"/>
  <c r="AN147" i="3"/>
  <c r="AN128" i="3"/>
  <c r="AN110" i="3"/>
  <c r="AN86" i="3"/>
  <c r="AN55" i="3"/>
  <c r="AN34" i="3"/>
  <c r="AN17" i="3"/>
  <c r="AN383" i="3"/>
  <c r="AN376" i="3"/>
  <c r="AN367" i="3"/>
  <c r="AN355" i="3"/>
  <c r="AN346" i="3"/>
  <c r="AN337" i="3"/>
  <c r="AN285" i="3"/>
  <c r="AN276" i="3"/>
  <c r="AN249" i="3"/>
  <c r="AN225" i="3"/>
  <c r="AN207" i="3"/>
  <c r="AN191" i="3"/>
  <c r="AN146" i="3"/>
  <c r="AN126" i="3"/>
  <c r="AN109" i="3"/>
  <c r="AN84" i="3"/>
  <c r="AN54" i="3"/>
  <c r="AN32" i="3"/>
  <c r="AN23" i="3"/>
  <c r="AN299" i="3"/>
  <c r="AN16" i="3"/>
  <c r="AN382" i="3"/>
  <c r="AN375" i="3"/>
  <c r="AN336" i="3"/>
  <c r="AN320" i="3"/>
  <c r="AN266" i="3"/>
  <c r="AN256" i="3"/>
  <c r="AN248" i="3"/>
  <c r="AN224" i="3"/>
  <c r="AN206" i="3"/>
  <c r="AN190" i="3"/>
  <c r="AN145" i="3"/>
  <c r="AN123" i="3"/>
  <c r="AN108" i="3"/>
  <c r="AN83" i="3"/>
  <c r="AN69" i="3"/>
  <c r="AN31" i="3"/>
  <c r="AN298" i="3"/>
  <c r="AN15" i="3"/>
  <c r="AN392" i="3"/>
  <c r="AN374" i="3"/>
  <c r="AN345" i="3"/>
  <c r="AN319" i="3"/>
  <c r="AN284" i="3"/>
  <c r="AN275" i="3"/>
  <c r="AN265" i="3"/>
  <c r="AN247" i="3"/>
  <c r="AN223" i="3"/>
  <c r="AN205" i="3"/>
  <c r="AN189" i="3"/>
  <c r="AN89" i="3"/>
  <c r="AN144" i="3"/>
  <c r="AN122" i="3"/>
  <c r="AN107" i="3"/>
  <c r="AN82" i="3"/>
  <c r="AN42" i="3"/>
  <c r="AN292" i="3"/>
  <c r="AN14" i="3"/>
  <c r="AM232" i="3"/>
  <c r="AN380" i="3"/>
  <c r="AN373" i="3"/>
  <c r="AN360" i="3"/>
  <c r="AN352" i="3"/>
  <c r="AN312" i="3"/>
  <c r="AN274" i="3"/>
  <c r="AN264" i="3"/>
  <c r="AN243" i="3"/>
  <c r="AN222" i="3"/>
  <c r="AN203" i="3"/>
  <c r="AN188" i="3"/>
  <c r="AN178" i="3"/>
  <c r="AN143" i="3"/>
  <c r="AN121" i="3"/>
  <c r="AN105" i="3"/>
  <c r="AN81" i="3"/>
  <c r="AN51" i="3"/>
  <c r="AN22" i="3"/>
  <c r="AN13" i="3"/>
  <c r="AL40" i="3"/>
  <c r="AM197" i="3"/>
  <c r="AN359" i="3"/>
  <c r="AN351" i="3"/>
  <c r="AN311" i="3"/>
  <c r="AN283" i="3"/>
  <c r="AN396" i="3"/>
  <c r="AN237" i="3"/>
  <c r="AN221" i="3"/>
  <c r="AN202" i="3"/>
  <c r="AN187" i="3"/>
  <c r="AN177" i="3"/>
  <c r="AN142" i="3"/>
  <c r="AN120" i="3"/>
  <c r="AN103" i="3"/>
  <c r="AN80" i="3"/>
  <c r="AN30" i="3"/>
  <c r="AN304" i="3"/>
  <c r="AN11" i="3"/>
  <c r="AM386" i="3"/>
  <c r="AM182" i="3"/>
  <c r="AN389" i="3"/>
  <c r="AN358" i="3"/>
  <c r="AN350" i="3"/>
  <c r="AN255" i="3"/>
  <c r="AN236" i="3"/>
  <c r="AN220" i="3"/>
  <c r="AN201" i="3"/>
  <c r="AN186" i="3"/>
  <c r="AN141" i="3"/>
  <c r="AN119" i="3"/>
  <c r="AN79" i="3"/>
  <c r="AN59" i="3"/>
  <c r="AN49" i="3"/>
  <c r="AN41" i="3"/>
  <c r="AN29" i="3"/>
  <c r="AN293" i="3"/>
  <c r="AN9" i="3"/>
  <c r="AM378" i="3"/>
  <c r="AM137" i="3"/>
  <c r="AN357" i="3"/>
  <c r="AN349" i="3"/>
  <c r="AN324" i="3"/>
  <c r="AN94" i="3"/>
  <c r="AN282" i="3"/>
  <c r="AN263" i="3"/>
  <c r="AN254" i="3"/>
  <c r="AN235" i="3"/>
  <c r="AN217" i="3"/>
  <c r="AN200" i="3"/>
  <c r="AN309" i="3"/>
  <c r="AN174" i="3"/>
  <c r="AN140" i="3"/>
  <c r="AN118" i="3"/>
  <c r="AN78" i="3"/>
  <c r="AN67" i="3"/>
  <c r="AN58" i="3"/>
  <c r="AN305" i="3"/>
  <c r="AN7" i="3"/>
  <c r="AM371" i="3"/>
  <c r="AM115" i="3"/>
  <c r="AN387" i="3"/>
  <c r="AN366" i="3"/>
  <c r="AN281" i="3"/>
  <c r="AN262" i="3"/>
  <c r="AN253" i="3"/>
  <c r="AN234" i="3"/>
  <c r="AN216" i="3"/>
  <c r="AN199" i="3"/>
  <c r="AN184" i="3"/>
  <c r="AN173" i="3"/>
  <c r="AN139" i="3"/>
  <c r="AN117" i="3"/>
  <c r="AN99" i="3"/>
  <c r="AN76" i="3"/>
  <c r="AN48" i="3"/>
  <c r="AN294" i="3"/>
  <c r="AN5" i="3"/>
  <c r="AM365" i="3"/>
  <c r="AN372" i="3"/>
  <c r="AN342" i="3"/>
  <c r="AN280" i="3"/>
  <c r="AN233" i="3"/>
  <c r="AN215" i="3"/>
  <c r="AN198" i="3"/>
  <c r="AN183" i="3"/>
  <c r="AN172" i="3"/>
  <c r="AN138" i="3"/>
  <c r="AN116" i="3"/>
  <c r="AN98" i="3"/>
  <c r="AN47" i="3"/>
  <c r="AN40" i="3"/>
  <c r="AN295" i="3"/>
  <c r="AN4" i="3"/>
  <c r="AM332" i="3"/>
  <c r="AM214" i="3"/>
  <c r="AL280" i="3"/>
  <c r="AM364" i="3"/>
  <c r="AM340" i="3"/>
  <c r="AM291" i="3"/>
  <c r="AM271" i="3"/>
  <c r="AM261" i="3"/>
  <c r="AM231" i="3"/>
  <c r="AM213" i="3"/>
  <c r="AM196" i="3"/>
  <c r="AM181" i="3"/>
  <c r="AM171" i="3"/>
  <c r="AM136" i="3"/>
  <c r="AM114" i="3"/>
  <c r="AM95" i="3"/>
  <c r="AM45" i="3"/>
  <c r="AM39" i="3"/>
  <c r="AM27" i="3"/>
  <c r="AM307" i="3"/>
  <c r="AL47" i="3"/>
  <c r="AM96" i="3"/>
  <c r="AM339" i="3"/>
  <c r="AM290" i="3"/>
  <c r="AM278" i="3"/>
  <c r="AM260" i="3"/>
  <c r="AM230" i="3"/>
  <c r="AM212" i="3"/>
  <c r="AM195" i="3"/>
  <c r="AM170" i="3"/>
  <c r="AM135" i="3"/>
  <c r="AM113" i="3"/>
  <c r="AM93" i="3"/>
  <c r="AM38" i="3"/>
  <c r="AM26" i="3"/>
  <c r="AM297" i="3"/>
  <c r="AM77" i="3"/>
  <c r="AM57" i="3"/>
  <c r="AM385" i="3"/>
  <c r="AM363" i="3"/>
  <c r="AM316" i="3"/>
  <c r="AM289" i="3"/>
  <c r="AM399" i="3"/>
  <c r="AM270" i="3"/>
  <c r="AM259" i="3"/>
  <c r="AM229" i="3"/>
  <c r="AM211" i="3"/>
  <c r="AM180" i="3"/>
  <c r="AM169" i="3"/>
  <c r="AM132" i="3"/>
  <c r="AM112" i="3"/>
  <c r="AM92" i="3"/>
  <c r="AM36" i="3"/>
  <c r="AM20" i="3"/>
  <c r="AM348" i="3"/>
  <c r="AM338" i="3"/>
  <c r="AM329" i="3"/>
  <c r="AM287" i="3"/>
  <c r="AM269" i="3"/>
  <c r="AM258" i="3"/>
  <c r="AM252" i="3"/>
  <c r="AM228" i="3"/>
  <c r="AM210" i="3"/>
  <c r="AM194" i="3"/>
  <c r="AM131" i="3"/>
  <c r="AM90" i="3"/>
  <c r="AM43" i="3"/>
  <c r="AM35" i="3"/>
  <c r="AM306" i="3"/>
  <c r="AM19" i="3"/>
  <c r="AL233" i="3"/>
  <c r="AM400" i="3"/>
  <c r="AM362" i="3"/>
  <c r="AM314" i="3"/>
  <c r="AM398" i="3"/>
  <c r="AM268" i="3"/>
  <c r="AM257" i="3"/>
  <c r="AM251" i="3"/>
  <c r="AM227" i="3"/>
  <c r="AM209" i="3"/>
  <c r="AM193" i="3"/>
  <c r="AM179" i="3"/>
  <c r="AM168" i="3"/>
  <c r="AM111" i="3"/>
  <c r="AM87" i="3"/>
  <c r="AM56" i="3"/>
  <c r="AM24" i="3"/>
  <c r="AM18" i="3"/>
  <c r="AL215" i="3"/>
  <c r="AM395" i="3"/>
  <c r="AM384" i="3"/>
  <c r="AM377" i="3"/>
  <c r="AM303" i="3"/>
  <c r="AM327" i="3"/>
  <c r="AM302" i="3"/>
  <c r="AM286" i="3"/>
  <c r="AM277" i="3"/>
  <c r="AM267" i="3"/>
  <c r="AM250" i="3"/>
  <c r="AM226" i="3"/>
  <c r="AM208" i="3"/>
  <c r="AM192" i="3"/>
  <c r="AM147" i="3"/>
  <c r="AM128" i="3"/>
  <c r="AM110" i="3"/>
  <c r="AM86" i="3"/>
  <c r="AM55" i="3"/>
  <c r="AM34" i="3"/>
  <c r="AM17" i="3"/>
  <c r="AL198" i="3"/>
  <c r="AM383" i="3"/>
  <c r="AM376" i="3"/>
  <c r="AM367" i="3"/>
  <c r="AM355" i="3"/>
  <c r="AM346" i="3"/>
  <c r="AM337" i="3"/>
  <c r="AM285" i="3"/>
  <c r="AM276" i="3"/>
  <c r="AM249" i="3"/>
  <c r="AM225" i="3"/>
  <c r="AM207" i="3"/>
  <c r="AM191" i="3"/>
  <c r="AM146" i="3"/>
  <c r="AM126" i="3"/>
  <c r="AM109" i="3"/>
  <c r="AM84" i="3"/>
  <c r="AM54" i="3"/>
  <c r="AM32" i="3"/>
  <c r="AM23" i="3"/>
  <c r="AM299" i="3"/>
  <c r="AM16" i="3"/>
  <c r="AL372" i="3"/>
  <c r="AL183" i="3"/>
  <c r="AM382" i="3"/>
  <c r="AM375" i="3"/>
  <c r="AM336" i="3"/>
  <c r="AM320" i="3"/>
  <c r="AM266" i="3"/>
  <c r="AM256" i="3"/>
  <c r="AM248" i="3"/>
  <c r="AM224" i="3"/>
  <c r="AM206" i="3"/>
  <c r="AM190" i="3"/>
  <c r="AM145" i="3"/>
  <c r="AM123" i="3"/>
  <c r="AM108" i="3"/>
  <c r="AM83" i="3"/>
  <c r="AM69" i="3"/>
  <c r="AM31" i="3"/>
  <c r="AM298" i="3"/>
  <c r="AM15" i="3"/>
  <c r="AL172" i="3"/>
  <c r="AM392" i="3"/>
  <c r="AM374" i="3"/>
  <c r="AM345" i="3"/>
  <c r="AM319" i="3"/>
  <c r="AM284" i="3"/>
  <c r="AM275" i="3"/>
  <c r="AM265" i="3"/>
  <c r="AM247" i="3"/>
  <c r="AM223" i="3"/>
  <c r="AM205" i="3"/>
  <c r="AM189" i="3"/>
  <c r="AM89" i="3"/>
  <c r="AM144" i="3"/>
  <c r="AM122" i="3"/>
  <c r="AM107" i="3"/>
  <c r="AM82" i="3"/>
  <c r="AM42" i="3"/>
  <c r="AM292" i="3"/>
  <c r="AM14" i="3"/>
  <c r="AL138" i="3"/>
  <c r="AM380" i="3"/>
  <c r="AM373" i="3"/>
  <c r="AM360" i="3"/>
  <c r="AM352" i="3"/>
  <c r="AM312" i="3"/>
  <c r="AM274" i="3"/>
  <c r="AM264" i="3"/>
  <c r="AM243" i="3"/>
  <c r="AM222" i="3"/>
  <c r="AM203" i="3"/>
  <c r="AM188" i="3"/>
  <c r="AM178" i="3"/>
  <c r="AM143" i="3"/>
  <c r="AM121" i="3"/>
  <c r="AM105" i="3"/>
  <c r="AM81" i="3"/>
  <c r="AM51" i="3"/>
  <c r="AM22" i="3"/>
  <c r="AM13" i="3"/>
  <c r="AL116" i="3"/>
  <c r="AM359" i="3"/>
  <c r="AM351" i="3"/>
  <c r="AM311" i="3"/>
  <c r="AM283" i="3"/>
  <c r="AM396" i="3"/>
  <c r="AM237" i="3"/>
  <c r="AM221" i="3"/>
  <c r="AM202" i="3"/>
  <c r="AM187" i="3"/>
  <c r="AM177" i="3"/>
  <c r="AM142" i="3"/>
  <c r="AM120" i="3"/>
  <c r="AM103" i="3"/>
  <c r="AM80" i="3"/>
  <c r="AM30" i="3"/>
  <c r="AM304" i="3"/>
  <c r="AM11" i="3"/>
  <c r="AL342" i="3"/>
  <c r="AL98" i="3"/>
  <c r="AM389" i="3"/>
  <c r="AM358" i="3"/>
  <c r="AM350" i="3"/>
  <c r="AM255" i="3"/>
  <c r="AM236" i="3"/>
  <c r="AM220" i="3"/>
  <c r="AM201" i="3"/>
  <c r="AM186" i="3"/>
  <c r="AM141" i="3"/>
  <c r="AM119" i="3"/>
  <c r="AM79" i="3"/>
  <c r="AM59" i="3"/>
  <c r="AM49" i="3"/>
  <c r="AM41" i="3"/>
  <c r="AM29" i="3"/>
  <c r="AM293" i="3"/>
  <c r="AM9" i="3"/>
  <c r="AM357" i="3"/>
  <c r="AM349" i="3"/>
  <c r="AM324" i="3"/>
  <c r="AM94" i="3"/>
  <c r="AM282" i="3"/>
  <c r="AM263" i="3"/>
  <c r="AM254" i="3"/>
  <c r="AM235" i="3"/>
  <c r="AM217" i="3"/>
  <c r="AM200" i="3"/>
  <c r="AM309" i="3"/>
  <c r="AM174" i="3"/>
  <c r="AM140" i="3"/>
  <c r="AM118" i="3"/>
  <c r="AM78" i="3"/>
  <c r="AM67" i="3"/>
  <c r="AM58" i="3"/>
  <c r="AM305" i="3"/>
  <c r="AM7" i="3"/>
  <c r="AM387" i="3"/>
  <c r="AM366" i="3"/>
  <c r="AM281" i="3"/>
  <c r="AM262" i="3"/>
  <c r="AM253" i="3"/>
  <c r="AM234" i="3"/>
  <c r="AM216" i="3"/>
  <c r="AM199" i="3"/>
  <c r="AM184" i="3"/>
  <c r="AM173" i="3"/>
  <c r="AM139" i="3"/>
  <c r="AM117" i="3"/>
  <c r="AM99" i="3"/>
  <c r="AM76" i="3"/>
  <c r="AM48" i="3"/>
  <c r="AM294" i="3"/>
  <c r="AM5" i="3"/>
  <c r="AM372" i="3"/>
  <c r="AM342" i="3"/>
  <c r="AM280" i="3"/>
  <c r="AM233" i="3"/>
  <c r="AM215" i="3"/>
  <c r="AM198" i="3"/>
  <c r="AM183" i="3"/>
  <c r="AM172" i="3"/>
  <c r="AM138" i="3"/>
  <c r="AM116" i="3"/>
  <c r="AM98" i="3"/>
  <c r="AM47" i="3"/>
  <c r="AM40" i="3"/>
  <c r="AM295" i="3"/>
  <c r="AM4" i="3"/>
  <c r="AL386" i="3"/>
  <c r="AL378" i="3"/>
  <c r="AL371" i="3"/>
  <c r="AL365" i="3"/>
  <c r="AL341" i="3"/>
  <c r="AL332" i="3"/>
  <c r="AL322" i="3"/>
  <c r="AL279" i="3"/>
  <c r="AL232" i="3"/>
  <c r="AL214" i="3"/>
  <c r="AL197" i="3"/>
  <c r="AL182" i="3"/>
  <c r="AL137" i="3"/>
  <c r="AL115" i="3"/>
  <c r="AL96" i="3"/>
  <c r="AL57" i="3"/>
  <c r="AL46" i="3"/>
  <c r="AL28" i="3"/>
  <c r="AL296" i="3"/>
  <c r="AL364" i="3"/>
  <c r="AL340" i="3"/>
  <c r="AL291" i="3"/>
  <c r="AL271" i="3"/>
  <c r="AL261" i="3"/>
  <c r="AL231" i="3"/>
  <c r="AL213" i="3"/>
  <c r="AL196" i="3"/>
  <c r="AL181" i="3"/>
  <c r="AL171" i="3"/>
  <c r="AL136" i="3"/>
  <c r="AL114" i="3"/>
  <c r="AL95" i="3"/>
  <c r="AL45" i="3"/>
  <c r="AL39" i="3"/>
  <c r="AL27" i="3"/>
  <c r="AL307" i="3"/>
  <c r="AL295" i="3"/>
  <c r="AL339" i="3"/>
  <c r="AL290" i="3"/>
  <c r="AL278" i="3"/>
  <c r="AL260" i="3"/>
  <c r="AL230" i="3"/>
  <c r="AL212" i="3"/>
  <c r="AL195" i="3"/>
  <c r="AL170" i="3"/>
  <c r="AL135" i="3"/>
  <c r="AL113" i="3"/>
  <c r="AL93" i="3"/>
  <c r="AL38" i="3"/>
  <c r="AL26" i="3"/>
  <c r="AL297" i="3"/>
  <c r="AL77" i="3"/>
  <c r="AL385" i="3"/>
  <c r="AL363" i="3"/>
  <c r="AL316" i="3"/>
  <c r="AL289" i="3"/>
  <c r="AL399" i="3"/>
  <c r="AL270" i="3"/>
  <c r="AL259" i="3"/>
  <c r="AL229" i="3"/>
  <c r="AL211" i="3"/>
  <c r="AL180" i="3"/>
  <c r="AL169" i="3"/>
  <c r="AL132" i="3"/>
  <c r="AL112" i="3"/>
  <c r="AL92" i="3"/>
  <c r="AL36" i="3"/>
  <c r="AL20" i="3"/>
  <c r="AL348" i="3"/>
  <c r="AL338" i="3"/>
  <c r="AL329" i="3"/>
  <c r="AL287" i="3"/>
  <c r="AL269" i="3"/>
  <c r="AL258" i="3"/>
  <c r="AL252" i="3"/>
  <c r="AL228" i="3"/>
  <c r="AL210" i="3"/>
  <c r="AL194" i="3"/>
  <c r="AL131" i="3"/>
  <c r="AL90" i="3"/>
  <c r="AL43" i="3"/>
  <c r="AL35" i="3"/>
  <c r="AL306" i="3"/>
  <c r="AL19" i="3"/>
  <c r="AL400" i="3"/>
  <c r="AL362" i="3"/>
  <c r="AL314" i="3"/>
  <c r="AL398" i="3"/>
  <c r="AL268" i="3"/>
  <c r="AL257" i="3"/>
  <c r="AL251" i="3"/>
  <c r="AL227" i="3"/>
  <c r="AL209" i="3"/>
  <c r="AL193" i="3"/>
  <c r="AL179" i="3"/>
  <c r="AL168" i="3"/>
  <c r="AL111" i="3"/>
  <c r="AL87" i="3"/>
  <c r="AL56" i="3"/>
  <c r="AL24" i="3"/>
  <c r="AL18" i="3"/>
  <c r="AL395" i="3"/>
  <c r="AL384" i="3"/>
  <c r="AL377" i="3"/>
  <c r="AL303" i="3"/>
  <c r="AL327" i="3"/>
  <c r="AL302" i="3"/>
  <c r="AL286" i="3"/>
  <c r="AL277" i="3"/>
  <c r="AL267" i="3"/>
  <c r="AL250" i="3"/>
  <c r="AL226" i="3"/>
  <c r="AL208" i="3"/>
  <c r="AL192" i="3"/>
  <c r="AL147" i="3"/>
  <c r="AL128" i="3"/>
  <c r="AL110" i="3"/>
  <c r="AL86" i="3"/>
  <c r="AL55" i="3"/>
  <c r="AL34" i="3"/>
  <c r="AL17" i="3"/>
  <c r="AL383" i="3"/>
  <c r="AL376" i="3"/>
  <c r="AL367" i="3"/>
  <c r="AL355" i="3"/>
  <c r="AL346" i="3"/>
  <c r="AL337" i="3"/>
  <c r="AL285" i="3"/>
  <c r="AL276" i="3"/>
  <c r="AL249" i="3"/>
  <c r="AL225" i="3"/>
  <c r="AL207" i="3"/>
  <c r="AL191" i="3"/>
  <c r="AL146" i="3"/>
  <c r="AL126" i="3"/>
  <c r="AL109" i="3"/>
  <c r="AL84" i="3"/>
  <c r="AL54" i="3"/>
  <c r="AL32" i="3"/>
  <c r="AL23" i="3"/>
  <c r="AL299" i="3"/>
  <c r="AL16" i="3"/>
  <c r="AL375" i="3"/>
  <c r="AL320" i="3"/>
  <c r="AL266" i="3"/>
  <c r="AL256" i="3"/>
  <c r="AL248" i="3"/>
  <c r="AL206" i="3"/>
  <c r="AL190" i="3"/>
  <c r="AL145" i="3"/>
  <c r="AL108" i="3"/>
  <c r="AL83" i="3"/>
  <c r="AL69" i="3"/>
  <c r="AL31" i="3"/>
  <c r="AL298" i="3"/>
  <c r="AL15" i="3"/>
  <c r="AL392" i="3"/>
  <c r="AL374" i="3"/>
  <c r="AL345" i="3"/>
  <c r="AL319" i="3"/>
  <c r="AL284" i="3"/>
  <c r="AL275" i="3"/>
  <c r="AL265" i="3"/>
  <c r="AL247" i="3"/>
  <c r="AL223" i="3"/>
  <c r="AL205" i="3"/>
  <c r="AL189" i="3"/>
  <c r="AL89" i="3"/>
  <c r="AL144" i="3"/>
  <c r="AL122" i="3"/>
  <c r="AL107" i="3"/>
  <c r="AL82" i="3"/>
  <c r="AL42" i="3"/>
  <c r="AL292" i="3"/>
  <c r="AL14" i="3"/>
  <c r="AL380" i="3"/>
  <c r="AL373" i="3"/>
  <c r="AL360" i="3"/>
  <c r="AL352" i="3"/>
  <c r="AL312" i="3"/>
  <c r="AL274" i="3"/>
  <c r="AL264" i="3"/>
  <c r="AL243" i="3"/>
  <c r="AL222" i="3"/>
  <c r="AL203" i="3"/>
  <c r="AL188" i="3"/>
  <c r="AL178" i="3"/>
  <c r="AL143" i="3"/>
  <c r="AL121" i="3"/>
  <c r="AL105" i="3"/>
  <c r="AL81" i="3"/>
  <c r="AL51" i="3"/>
  <c r="AL22" i="3"/>
  <c r="AL13" i="3"/>
  <c r="AL359" i="3"/>
  <c r="AL351" i="3"/>
  <c r="AL311" i="3"/>
  <c r="AL283" i="3"/>
  <c r="AL396" i="3"/>
  <c r="AL237" i="3"/>
  <c r="AL221" i="3"/>
  <c r="AL202" i="3"/>
  <c r="AL187" i="3"/>
  <c r="AL177" i="3"/>
  <c r="AL142" i="3"/>
  <c r="AL120" i="3"/>
  <c r="AL103" i="3"/>
  <c r="AL80" i="3"/>
  <c r="AL30" i="3"/>
  <c r="AL304" i="3"/>
  <c r="AL11" i="3"/>
  <c r="AL389" i="3"/>
  <c r="AL358" i="3"/>
  <c r="AL350" i="3"/>
  <c r="AL255" i="3"/>
  <c r="AL236" i="3"/>
  <c r="AL220" i="3"/>
  <c r="AL201" i="3"/>
  <c r="AL186" i="3"/>
  <c r="AL141" i="3"/>
  <c r="AL119" i="3"/>
  <c r="AL79" i="3"/>
  <c r="AL59" i="3"/>
  <c r="AL49" i="3"/>
  <c r="AL41" i="3"/>
  <c r="AL29" i="3"/>
  <c r="AL293" i="3"/>
  <c r="AL9" i="3"/>
  <c r="AL357" i="3"/>
  <c r="AL349" i="3"/>
  <c r="AL324" i="3"/>
  <c r="AL94" i="3"/>
  <c r="AL282" i="3"/>
  <c r="AL263" i="3"/>
  <c r="AL254" i="3"/>
  <c r="AL235" i="3"/>
  <c r="AL217" i="3"/>
  <c r="AL200" i="3"/>
  <c r="AL309" i="3"/>
  <c r="AL174" i="3"/>
  <c r="AL140" i="3"/>
  <c r="AL118" i="3"/>
  <c r="AL78" i="3"/>
  <c r="AL67" i="3"/>
  <c r="AL58" i="3"/>
  <c r="AL305" i="3"/>
  <c r="AL7" i="3"/>
  <c r="AL387" i="3"/>
  <c r="AL366" i="3"/>
  <c r="AL281" i="3"/>
  <c r="AL262" i="3"/>
  <c r="AL253" i="3"/>
  <c r="AL234" i="3"/>
  <c r="AL216" i="3"/>
  <c r="AL199" i="3"/>
  <c r="AL184" i="3"/>
  <c r="AL173" i="3"/>
  <c r="AL139" i="3"/>
  <c r="AL117" i="3"/>
  <c r="AL99" i="3"/>
  <c r="AL76" i="3"/>
  <c r="AL48" i="3"/>
  <c r="AL294" i="3"/>
  <c r="AL5" i="3"/>
  <c r="AL4" i="3"/>
  <c r="AH4" i="3" a="1"/>
  <c r="AH4" i="3" s="1"/>
  <c r="AW357" i="3"/>
  <c r="AW171" i="3"/>
  <c r="AW135" i="3"/>
  <c r="AW260" i="3"/>
  <c r="AW257" i="3"/>
  <c r="AW7" i="3"/>
  <c r="AW307" i="3"/>
  <c r="AW40" i="3"/>
  <c r="AW351" i="3"/>
  <c r="AW373" i="3"/>
  <c r="AW312" i="3"/>
  <c r="AW47" i="3"/>
  <c r="AW32" i="3"/>
  <c r="AW346" i="3"/>
  <c r="AW399" i="3"/>
  <c r="AW374" i="3"/>
  <c r="AW359" i="3"/>
  <c r="AW137" i="3"/>
  <c r="AW113" i="3"/>
  <c r="AW352" i="3"/>
  <c r="AW92" i="3"/>
  <c r="AW11" i="3"/>
  <c r="AW322" i="3"/>
  <c r="AW86" i="3"/>
  <c r="AW35" i="3"/>
  <c r="AW286" i="3"/>
  <c r="AW202" i="3"/>
  <c r="AW270" i="3"/>
  <c r="AW363" i="3"/>
  <c r="AW229" i="3"/>
  <c r="AW187" i="3"/>
  <c r="AW392" i="3"/>
  <c r="AW262" i="3"/>
  <c r="AW57" i="3"/>
  <c r="AW29" i="3"/>
  <c r="AW287" i="3"/>
  <c r="AW234" i="3"/>
  <c r="AW222" i="3"/>
  <c r="AW383" i="3"/>
  <c r="AW208" i="3"/>
  <c r="AW192" i="3"/>
  <c r="AW274" i="3"/>
  <c r="AW371" i="3"/>
  <c r="AW382" i="3"/>
  <c r="AW207" i="3"/>
  <c r="AW191" i="3"/>
  <c r="AW296" i="3"/>
  <c r="AW289" i="3"/>
  <c r="AW320" i="3"/>
  <c r="AW172" i="3"/>
  <c r="AW42" i="3"/>
  <c r="AW28" i="3"/>
  <c r="AW205" i="3"/>
  <c r="AW189" i="3"/>
  <c r="AW376" i="3"/>
  <c r="AW30" i="3"/>
  <c r="AW233" i="3"/>
  <c r="AW319" i="3"/>
  <c r="AW299" i="3"/>
  <c r="AW336" i="3"/>
  <c r="AW26" i="3"/>
  <c r="AW230" i="3"/>
  <c r="AW278" i="3"/>
  <c r="AW203" i="3"/>
  <c r="AW188" i="3"/>
  <c r="AW375" i="3"/>
  <c r="AW377" i="3"/>
  <c r="AW345" i="3"/>
  <c r="AW84" i="3"/>
  <c r="AW339" i="3"/>
  <c r="AW56" i="3"/>
  <c r="AW298" i="3"/>
  <c r="AW380" i="3"/>
  <c r="AW123" i="3"/>
  <c r="AW54" i="3"/>
  <c r="AW41" i="3"/>
  <c r="AW349" i="3"/>
  <c r="AW122" i="3"/>
  <c r="AW285" i="3"/>
  <c r="AW59" i="3"/>
  <c r="AW297" i="3"/>
  <c r="AW389" i="3"/>
  <c r="AW27" i="3"/>
  <c r="AW384" i="3"/>
  <c r="AW355" i="3"/>
  <c r="AW314" i="3"/>
  <c r="AW51" i="3"/>
  <c r="AW39" i="3"/>
  <c r="AW227" i="3"/>
  <c r="AW200" i="3"/>
  <c r="AW309" i="3"/>
  <c r="AW263" i="3"/>
  <c r="AW340" i="3"/>
  <c r="AW231" i="3"/>
  <c r="AW67" i="3"/>
  <c r="AW24" i="3"/>
  <c r="AW395" i="3"/>
  <c r="AW324" i="3"/>
  <c r="AW221" i="3"/>
  <c r="AW400" i="3"/>
  <c r="AW96" i="3"/>
  <c r="AW217" i="3"/>
  <c r="AW224" i="3"/>
  <c r="AW48" i="3"/>
  <c r="AW277" i="3"/>
  <c r="AW214" i="3"/>
  <c r="AW197" i="3"/>
  <c r="AW182" i="3"/>
  <c r="AW264" i="3"/>
  <c r="AW168" i="3"/>
  <c r="AW109" i="3"/>
  <c r="AW327" i="3"/>
  <c r="AW329" i="3"/>
  <c r="AW292" i="3"/>
  <c r="AW303" i="3"/>
  <c r="AW281" i="3"/>
  <c r="AW45" i="3"/>
  <c r="AW31" i="3"/>
  <c r="AW293" i="3"/>
  <c r="AW195" i="3"/>
  <c r="AW378" i="3"/>
  <c r="AW248" i="3"/>
  <c r="AW243" i="3"/>
  <c r="AW282" i="3"/>
  <c r="AW212" i="3"/>
  <c r="AK372" i="3"/>
  <c r="AK183" i="3"/>
  <c r="AK198" i="3"/>
  <c r="AK172" i="3"/>
  <c r="AK138" i="3"/>
  <c r="AK116" i="3"/>
  <c r="AK98" i="3"/>
  <c r="AK342" i="3"/>
  <c r="AK47" i="3"/>
  <c r="AK280" i="3"/>
  <c r="AK40" i="3"/>
  <c r="AK295" i="3"/>
  <c r="AK233" i="3"/>
  <c r="AK215" i="3"/>
  <c r="AK386" i="3"/>
  <c r="AK378" i="3"/>
  <c r="AK371" i="3"/>
  <c r="AK365" i="3"/>
  <c r="AK341" i="3"/>
  <c r="AK332" i="3"/>
  <c r="AK322" i="3"/>
  <c r="AK279" i="3"/>
  <c r="AK232" i="3"/>
  <c r="AK214" i="3"/>
  <c r="AK197" i="3"/>
  <c r="AK182" i="3"/>
  <c r="AK137" i="3"/>
  <c r="AK115" i="3"/>
  <c r="AK96" i="3"/>
  <c r="AK57" i="3"/>
  <c r="AK46" i="3"/>
  <c r="AK28" i="3"/>
  <c r="AK296" i="3"/>
  <c r="AK364" i="3"/>
  <c r="AK340" i="3"/>
  <c r="AK291" i="3"/>
  <c r="AK271" i="3"/>
  <c r="AK261" i="3"/>
  <c r="AK231" i="3"/>
  <c r="AK213" i="3"/>
  <c r="AK196" i="3"/>
  <c r="AK181" i="3"/>
  <c r="AK171" i="3"/>
  <c r="AK136" i="3"/>
  <c r="AK114" i="3"/>
  <c r="AK95" i="3"/>
  <c r="AK45" i="3"/>
  <c r="AK39" i="3"/>
  <c r="AK27" i="3"/>
  <c r="AK307" i="3"/>
  <c r="AK339" i="3"/>
  <c r="AK290" i="3"/>
  <c r="AK278" i="3"/>
  <c r="AK260" i="3"/>
  <c r="AK230" i="3"/>
  <c r="AK212" i="3"/>
  <c r="AK195" i="3"/>
  <c r="AK170" i="3"/>
  <c r="AK135" i="3"/>
  <c r="AK113" i="3"/>
  <c r="AK93" i="3"/>
  <c r="AK38" i="3"/>
  <c r="AK26" i="3"/>
  <c r="AK297" i="3"/>
  <c r="AK77" i="3"/>
  <c r="AK385" i="3"/>
  <c r="AK363" i="3"/>
  <c r="AK316" i="3"/>
  <c r="AK289" i="3"/>
  <c r="AK399" i="3"/>
  <c r="AK270" i="3"/>
  <c r="AK259" i="3"/>
  <c r="AK229" i="3"/>
  <c r="AK211" i="3"/>
  <c r="AK180" i="3"/>
  <c r="AK169" i="3"/>
  <c r="AK132" i="3"/>
  <c r="AK112" i="3"/>
  <c r="AK92" i="3"/>
  <c r="AK36" i="3"/>
  <c r="AK20" i="3"/>
  <c r="AK348" i="3"/>
  <c r="AK338" i="3"/>
  <c r="AK329" i="3"/>
  <c r="AK287" i="3"/>
  <c r="AK269" i="3"/>
  <c r="AK258" i="3"/>
  <c r="AK252" i="3"/>
  <c r="AK228" i="3"/>
  <c r="AK210" i="3"/>
  <c r="AK194" i="3"/>
  <c r="AK131" i="3"/>
  <c r="AK90" i="3"/>
  <c r="AK43" i="3"/>
  <c r="AK35" i="3"/>
  <c r="AK306" i="3"/>
  <c r="AK19" i="3"/>
  <c r="AK400" i="3"/>
  <c r="AK362" i="3"/>
  <c r="AK314" i="3"/>
  <c r="AK398" i="3"/>
  <c r="AK268" i="3"/>
  <c r="AK257" i="3"/>
  <c r="AK251" i="3"/>
  <c r="AK227" i="3"/>
  <c r="AK209" i="3"/>
  <c r="AK193" i="3"/>
  <c r="AK179" i="3"/>
  <c r="AK168" i="3"/>
  <c r="AK111" i="3"/>
  <c r="AK87" i="3"/>
  <c r="AK56" i="3"/>
  <c r="AK24" i="3"/>
  <c r="AK18" i="3"/>
  <c r="AK395" i="3"/>
  <c r="AK384" i="3"/>
  <c r="AK377" i="3"/>
  <c r="AK303" i="3"/>
  <c r="AK327" i="3"/>
  <c r="AK302" i="3"/>
  <c r="AK286" i="3"/>
  <c r="AK277" i="3"/>
  <c r="AK267" i="3"/>
  <c r="AK250" i="3"/>
  <c r="AK226" i="3"/>
  <c r="AK208" i="3"/>
  <c r="AK192" i="3"/>
  <c r="AK147" i="3"/>
  <c r="AK128" i="3"/>
  <c r="AK110" i="3"/>
  <c r="AK86" i="3"/>
  <c r="AK55" i="3"/>
  <c r="AK34" i="3"/>
  <c r="AK17" i="3"/>
  <c r="AK383" i="3"/>
  <c r="AK376" i="3"/>
  <c r="AK367" i="3"/>
  <c r="AK355" i="3"/>
  <c r="AK346" i="3"/>
  <c r="AK337" i="3"/>
  <c r="AK285" i="3"/>
  <c r="AK276" i="3"/>
  <c r="AK249" i="3"/>
  <c r="AK225" i="3"/>
  <c r="AK207" i="3"/>
  <c r="AK191" i="3"/>
  <c r="AK146" i="3"/>
  <c r="AK126" i="3"/>
  <c r="AK109" i="3"/>
  <c r="AK84" i="3"/>
  <c r="AK54" i="3"/>
  <c r="AK32" i="3"/>
  <c r="AK23" i="3"/>
  <c r="AK299" i="3"/>
  <c r="AK16" i="3"/>
  <c r="AK382" i="3"/>
  <c r="AK375" i="3"/>
  <c r="AK336" i="3"/>
  <c r="AK320" i="3"/>
  <c r="AK266" i="3"/>
  <c r="AK256" i="3"/>
  <c r="AK248" i="3"/>
  <c r="AK224" i="3"/>
  <c r="AK206" i="3"/>
  <c r="AK190" i="3"/>
  <c r="AK145" i="3"/>
  <c r="AK123" i="3"/>
  <c r="AK108" i="3"/>
  <c r="AK83" i="3"/>
  <c r="AK69" i="3"/>
  <c r="AK31" i="3"/>
  <c r="AK298" i="3"/>
  <c r="AK15" i="3"/>
  <c r="AK392" i="3"/>
  <c r="AK374" i="3"/>
  <c r="AK345" i="3"/>
  <c r="AK319" i="3"/>
  <c r="AK284" i="3"/>
  <c r="AK275" i="3"/>
  <c r="AK265" i="3"/>
  <c r="AK247" i="3"/>
  <c r="AK223" i="3"/>
  <c r="AK205" i="3"/>
  <c r="AK189" i="3"/>
  <c r="AK89" i="3"/>
  <c r="AK144" i="3"/>
  <c r="AK122" i="3"/>
  <c r="AK107" i="3"/>
  <c r="AK82" i="3"/>
  <c r="AK42" i="3"/>
  <c r="AK292" i="3"/>
  <c r="AK14" i="3"/>
  <c r="AK380" i="3"/>
  <c r="AK373" i="3"/>
  <c r="AK360" i="3"/>
  <c r="AK352" i="3"/>
  <c r="AK312" i="3"/>
  <c r="AK274" i="3"/>
  <c r="AK264" i="3"/>
  <c r="AK243" i="3"/>
  <c r="AK222" i="3"/>
  <c r="AK203" i="3"/>
  <c r="AK188" i="3"/>
  <c r="AK178" i="3"/>
  <c r="AK143" i="3"/>
  <c r="AK121" i="3"/>
  <c r="AK105" i="3"/>
  <c r="AK81" i="3"/>
  <c r="AK51" i="3"/>
  <c r="AK22" i="3"/>
  <c r="AK13" i="3"/>
  <c r="AK359" i="3"/>
  <c r="AK351" i="3"/>
  <c r="AK311" i="3"/>
  <c r="AK283" i="3"/>
  <c r="AK396" i="3"/>
  <c r="AK237" i="3"/>
  <c r="AK221" i="3"/>
  <c r="AK202" i="3"/>
  <c r="AK187" i="3"/>
  <c r="AK177" i="3"/>
  <c r="AK142" i="3"/>
  <c r="AK120" i="3"/>
  <c r="AK103" i="3"/>
  <c r="AK80" i="3"/>
  <c r="AK30" i="3"/>
  <c r="AK304" i="3"/>
  <c r="AK11" i="3"/>
  <c r="AK389" i="3"/>
  <c r="AK358" i="3"/>
  <c r="AK350" i="3"/>
  <c r="AK255" i="3"/>
  <c r="AK236" i="3"/>
  <c r="AK220" i="3"/>
  <c r="AK201" i="3"/>
  <c r="AK186" i="3"/>
  <c r="AK141" i="3"/>
  <c r="AK119" i="3"/>
  <c r="AK79" i="3"/>
  <c r="AK59" i="3"/>
  <c r="AK49" i="3"/>
  <c r="AK41" i="3"/>
  <c r="AK29" i="3"/>
  <c r="AK293" i="3"/>
  <c r="AK9" i="3"/>
  <c r="AK357" i="3"/>
  <c r="AK349" i="3"/>
  <c r="AK324" i="3"/>
  <c r="AK94" i="3"/>
  <c r="AK282" i="3"/>
  <c r="AK263" i="3"/>
  <c r="AK254" i="3"/>
  <c r="AK235" i="3"/>
  <c r="AK217" i="3"/>
  <c r="AK200" i="3"/>
  <c r="AK309" i="3"/>
  <c r="AK174" i="3"/>
  <c r="AK140" i="3"/>
  <c r="AK118" i="3"/>
  <c r="AK78" i="3"/>
  <c r="AK67" i="3"/>
  <c r="AK58" i="3"/>
  <c r="AK305" i="3"/>
  <c r="AK7" i="3"/>
  <c r="AK387" i="3"/>
  <c r="AK366" i="3"/>
  <c r="AK281" i="3"/>
  <c r="AK262" i="3"/>
  <c r="AK253" i="3"/>
  <c r="AK234" i="3"/>
  <c r="AK216" i="3"/>
  <c r="AK199" i="3"/>
  <c r="AK184" i="3"/>
  <c r="AK173" i="3"/>
  <c r="AK139" i="3"/>
  <c r="AK117" i="3"/>
  <c r="AK99" i="3"/>
  <c r="AK76" i="3"/>
  <c r="AK48" i="3"/>
  <c r="AK294" i="3"/>
  <c r="AK5" i="3"/>
  <c r="AJ215" i="3"/>
  <c r="AJ198" i="3"/>
  <c r="AJ183" i="3"/>
  <c r="AJ172" i="3"/>
  <c r="AJ372" i="3"/>
  <c r="AJ116" i="3"/>
  <c r="AJ98" i="3"/>
  <c r="AJ342" i="3"/>
  <c r="AJ47" i="3"/>
  <c r="AJ40" i="3"/>
  <c r="AJ295" i="3"/>
  <c r="AJ280" i="3"/>
  <c r="AK4" i="3"/>
  <c r="AJ138" i="3"/>
  <c r="AJ386" i="3"/>
  <c r="AJ378" i="3"/>
  <c r="AJ371" i="3"/>
  <c r="AJ365" i="3"/>
  <c r="AJ341" i="3"/>
  <c r="AJ332" i="3"/>
  <c r="AJ322" i="3"/>
  <c r="AJ279" i="3"/>
  <c r="AJ232" i="3"/>
  <c r="AJ214" i="3"/>
  <c r="AJ197" i="3"/>
  <c r="AJ182" i="3"/>
  <c r="AJ137" i="3"/>
  <c r="AJ115" i="3"/>
  <c r="AJ96" i="3"/>
  <c r="AJ57" i="3"/>
  <c r="AJ46" i="3"/>
  <c r="AJ28" i="3"/>
  <c r="AJ296" i="3"/>
  <c r="AJ364" i="3"/>
  <c r="AJ340" i="3"/>
  <c r="AJ291" i="3"/>
  <c r="AJ271" i="3"/>
  <c r="AJ261" i="3"/>
  <c r="AJ231" i="3"/>
  <c r="AJ213" i="3"/>
  <c r="AJ196" i="3"/>
  <c r="AJ181" i="3"/>
  <c r="AJ171" i="3"/>
  <c r="AJ136" i="3"/>
  <c r="AJ114" i="3"/>
  <c r="AJ95" i="3"/>
  <c r="AJ45" i="3"/>
  <c r="AJ39" i="3"/>
  <c r="AJ27" i="3"/>
  <c r="AJ307" i="3"/>
  <c r="AI332" i="3"/>
  <c r="AJ339" i="3"/>
  <c r="AJ290" i="3"/>
  <c r="AJ278" i="3"/>
  <c r="AJ260" i="3"/>
  <c r="AJ230" i="3"/>
  <c r="AJ212" i="3"/>
  <c r="AJ195" i="3"/>
  <c r="AJ170" i="3"/>
  <c r="AJ135" i="3"/>
  <c r="AJ113" i="3"/>
  <c r="AJ93" i="3"/>
  <c r="AJ38" i="3"/>
  <c r="AJ26" i="3"/>
  <c r="AJ297" i="3"/>
  <c r="AJ77" i="3"/>
  <c r="AJ385" i="3"/>
  <c r="AJ363" i="3"/>
  <c r="AJ316" i="3"/>
  <c r="AJ289" i="3"/>
  <c r="AJ399" i="3"/>
  <c r="AJ270" i="3"/>
  <c r="AJ259" i="3"/>
  <c r="AJ229" i="3"/>
  <c r="AJ211" i="3"/>
  <c r="AJ180" i="3"/>
  <c r="AJ169" i="3"/>
  <c r="AJ132" i="3"/>
  <c r="AJ112" i="3"/>
  <c r="AJ92" i="3"/>
  <c r="AJ36" i="3"/>
  <c r="AJ20" i="3"/>
  <c r="AI181" i="3"/>
  <c r="AJ348" i="3"/>
  <c r="AJ338" i="3"/>
  <c r="AJ329" i="3"/>
  <c r="AJ287" i="3"/>
  <c r="AJ269" i="3"/>
  <c r="AJ258" i="3"/>
  <c r="AJ252" i="3"/>
  <c r="AJ228" i="3"/>
  <c r="AJ210" i="3"/>
  <c r="AJ194" i="3"/>
  <c r="AJ131" i="3"/>
  <c r="AJ90" i="3"/>
  <c r="AJ43" i="3"/>
  <c r="AJ35" i="3"/>
  <c r="AJ306" i="3"/>
  <c r="AJ19" i="3"/>
  <c r="AJ400" i="3"/>
  <c r="AJ362" i="3"/>
  <c r="AJ314" i="3"/>
  <c r="AJ398" i="3"/>
  <c r="AJ268" i="3"/>
  <c r="AJ257" i="3"/>
  <c r="AJ251" i="3"/>
  <c r="AJ227" i="3"/>
  <c r="AJ209" i="3"/>
  <c r="AJ193" i="3"/>
  <c r="AJ179" i="3"/>
  <c r="AJ168" i="3"/>
  <c r="AJ111" i="3"/>
  <c r="AJ87" i="3"/>
  <c r="AJ56" i="3"/>
  <c r="AJ24" i="3"/>
  <c r="AJ18" i="3"/>
  <c r="AJ395" i="3"/>
  <c r="AJ384" i="3"/>
  <c r="AJ377" i="3"/>
  <c r="AJ303" i="3"/>
  <c r="AJ327" i="3"/>
  <c r="AJ302" i="3"/>
  <c r="AJ286" i="3"/>
  <c r="AJ277" i="3"/>
  <c r="AJ267" i="3"/>
  <c r="AJ250" i="3"/>
  <c r="AJ226" i="3"/>
  <c r="AJ208" i="3"/>
  <c r="AJ192" i="3"/>
  <c r="AJ147" i="3"/>
  <c r="AJ128" i="3"/>
  <c r="AJ110" i="3"/>
  <c r="AJ86" i="3"/>
  <c r="AJ55" i="3"/>
  <c r="AJ34" i="3"/>
  <c r="AJ17" i="3"/>
  <c r="AJ383" i="3"/>
  <c r="AJ376" i="3"/>
  <c r="AJ367" i="3"/>
  <c r="AJ355" i="3"/>
  <c r="AJ346" i="3"/>
  <c r="AJ337" i="3"/>
  <c r="AJ285" i="3"/>
  <c r="AJ276" i="3"/>
  <c r="AJ249" i="3"/>
  <c r="AJ225" i="3"/>
  <c r="AJ207" i="3"/>
  <c r="AJ191" i="3"/>
  <c r="AJ146" i="3"/>
  <c r="AJ126" i="3"/>
  <c r="AJ109" i="3"/>
  <c r="AJ84" i="3"/>
  <c r="AJ54" i="3"/>
  <c r="AJ32" i="3"/>
  <c r="AJ23" i="3"/>
  <c r="AJ299" i="3"/>
  <c r="AJ16" i="3"/>
  <c r="AJ233" i="3"/>
  <c r="AJ382" i="3"/>
  <c r="AJ375" i="3"/>
  <c r="AJ336" i="3"/>
  <c r="AJ320" i="3"/>
  <c r="AJ266" i="3"/>
  <c r="AJ256" i="3"/>
  <c r="AJ248" i="3"/>
  <c r="AJ224" i="3"/>
  <c r="AJ206" i="3"/>
  <c r="AJ190" i="3"/>
  <c r="AJ145" i="3"/>
  <c r="AJ123" i="3"/>
  <c r="AJ108" i="3"/>
  <c r="AJ83" i="3"/>
  <c r="AJ69" i="3"/>
  <c r="AJ31" i="3"/>
  <c r="AJ298" i="3"/>
  <c r="AJ15" i="3"/>
  <c r="AJ392" i="3"/>
  <c r="AJ374" i="3"/>
  <c r="AJ345" i="3"/>
  <c r="AJ319" i="3"/>
  <c r="AJ284" i="3"/>
  <c r="AJ275" i="3"/>
  <c r="AJ265" i="3"/>
  <c r="AJ247" i="3"/>
  <c r="AJ223" i="3"/>
  <c r="AJ205" i="3"/>
  <c r="AJ189" i="3"/>
  <c r="AJ89" i="3"/>
  <c r="AJ144" i="3"/>
  <c r="AJ122" i="3"/>
  <c r="AJ107" i="3"/>
  <c r="AJ82" i="3"/>
  <c r="AJ42" i="3"/>
  <c r="AJ292" i="3"/>
  <c r="AJ14" i="3"/>
  <c r="AJ380" i="3"/>
  <c r="AJ373" i="3"/>
  <c r="AJ360" i="3"/>
  <c r="AJ352" i="3"/>
  <c r="AJ312" i="3"/>
  <c r="AJ274" i="3"/>
  <c r="AJ264" i="3"/>
  <c r="AJ243" i="3"/>
  <c r="AJ222" i="3"/>
  <c r="AJ203" i="3"/>
  <c r="AJ188" i="3"/>
  <c r="AJ178" i="3"/>
  <c r="AJ143" i="3"/>
  <c r="AJ121" i="3"/>
  <c r="AJ105" i="3"/>
  <c r="AJ81" i="3"/>
  <c r="AJ51" i="3"/>
  <c r="AJ22" i="3"/>
  <c r="AJ13" i="3"/>
  <c r="AJ359" i="3"/>
  <c r="AJ351" i="3"/>
  <c r="AJ311" i="3"/>
  <c r="AJ283" i="3"/>
  <c r="AJ396" i="3"/>
  <c r="AJ237" i="3"/>
  <c r="AJ221" i="3"/>
  <c r="AJ202" i="3"/>
  <c r="AJ187" i="3"/>
  <c r="AJ177" i="3"/>
  <c r="AJ142" i="3"/>
  <c r="AJ120" i="3"/>
  <c r="AJ103" i="3"/>
  <c r="AJ80" i="3"/>
  <c r="AJ30" i="3"/>
  <c r="AJ304" i="3"/>
  <c r="AJ11" i="3"/>
  <c r="AJ389" i="3"/>
  <c r="AJ358" i="3"/>
  <c r="AJ350" i="3"/>
  <c r="AJ255" i="3"/>
  <c r="AJ236" i="3"/>
  <c r="AJ220" i="3"/>
  <c r="AJ201" i="3"/>
  <c r="AJ186" i="3"/>
  <c r="AJ141" i="3"/>
  <c r="AJ119" i="3"/>
  <c r="AJ79" i="3"/>
  <c r="AJ59" i="3"/>
  <c r="AJ49" i="3"/>
  <c r="AJ41" i="3"/>
  <c r="AJ29" i="3"/>
  <c r="AJ293" i="3"/>
  <c r="AJ9" i="3"/>
  <c r="AJ357" i="3"/>
  <c r="AJ349" i="3"/>
  <c r="AJ324" i="3"/>
  <c r="AJ94" i="3"/>
  <c r="AJ282" i="3"/>
  <c r="AJ263" i="3"/>
  <c r="AJ254" i="3"/>
  <c r="AJ235" i="3"/>
  <c r="AJ217" i="3"/>
  <c r="AJ200" i="3"/>
  <c r="AJ309" i="3"/>
  <c r="AJ174" i="3"/>
  <c r="AJ140" i="3"/>
  <c r="AJ118" i="3"/>
  <c r="AJ78" i="3"/>
  <c r="AJ67" i="3"/>
  <c r="AJ58" i="3"/>
  <c r="AJ305" i="3"/>
  <c r="AJ7" i="3"/>
  <c r="AJ387" i="3"/>
  <c r="AJ366" i="3"/>
  <c r="AJ281" i="3"/>
  <c r="AJ262" i="3"/>
  <c r="AJ253" i="3"/>
  <c r="AJ234" i="3"/>
  <c r="AJ216" i="3"/>
  <c r="AJ199" i="3"/>
  <c r="AJ184" i="3"/>
  <c r="AJ173" i="3"/>
  <c r="AJ139" i="3"/>
  <c r="AJ117" i="3"/>
  <c r="AJ99" i="3"/>
  <c r="AJ76" i="3"/>
  <c r="AJ48" i="3"/>
  <c r="AJ294" i="3"/>
  <c r="AJ5" i="3"/>
  <c r="AI57" i="3"/>
  <c r="AI172" i="3"/>
  <c r="AI47" i="3"/>
  <c r="AI378" i="3"/>
  <c r="AI372" i="3"/>
  <c r="AI261" i="3"/>
  <c r="AI171" i="3"/>
  <c r="AI46" i="3"/>
  <c r="AI371" i="3"/>
  <c r="AI322" i="3"/>
  <c r="AI138" i="3"/>
  <c r="AI40" i="3"/>
  <c r="AI137" i="3"/>
  <c r="AI136" i="3"/>
  <c r="AI365" i="3"/>
  <c r="AI233" i="3"/>
  <c r="AI116" i="3"/>
  <c r="AI28" i="3"/>
  <c r="AI232" i="3"/>
  <c r="AI98" i="3"/>
  <c r="AI295" i="3"/>
  <c r="AI215" i="3"/>
  <c r="AI96" i="3"/>
  <c r="AI296" i="3"/>
  <c r="AI291" i="3"/>
  <c r="AI214" i="3"/>
  <c r="AI95" i="3"/>
  <c r="AI280" i="3"/>
  <c r="AI213" i="3"/>
  <c r="AI279" i="3"/>
  <c r="AI198" i="3"/>
  <c r="AI197" i="3"/>
  <c r="AI342" i="3"/>
  <c r="AI196" i="3"/>
  <c r="AI386" i="3"/>
  <c r="AI341" i="3"/>
  <c r="AI183" i="3"/>
  <c r="AI307" i="3"/>
  <c r="AI271" i="3"/>
  <c r="AI182" i="3"/>
  <c r="AJ4" i="3"/>
  <c r="AI231" i="3"/>
  <c r="AI114" i="3"/>
  <c r="AI45" i="3"/>
  <c r="AI39" i="3"/>
  <c r="AI27" i="3"/>
  <c r="AI339" i="3"/>
  <c r="AI290" i="3"/>
  <c r="AI278" i="3"/>
  <c r="AI260" i="3"/>
  <c r="AI230" i="3"/>
  <c r="AI212" i="3"/>
  <c r="AI195" i="3"/>
  <c r="AI170" i="3"/>
  <c r="AI135" i="3"/>
  <c r="AI113" i="3"/>
  <c r="AI93" i="3"/>
  <c r="AI38" i="3"/>
  <c r="AI26" i="3"/>
  <c r="AI297" i="3"/>
  <c r="AI77" i="3"/>
  <c r="AI115" i="3"/>
  <c r="AI340" i="3"/>
  <c r="AI385" i="3"/>
  <c r="AI363" i="3"/>
  <c r="AI316" i="3"/>
  <c r="AI289" i="3"/>
  <c r="AI399" i="3"/>
  <c r="AI270" i="3"/>
  <c r="AI259" i="3"/>
  <c r="AI229" i="3"/>
  <c r="AI211" i="3"/>
  <c r="AI180" i="3"/>
  <c r="AI169" i="3"/>
  <c r="AI132" i="3"/>
  <c r="AI112" i="3"/>
  <c r="AI92" i="3"/>
  <c r="AI36" i="3"/>
  <c r="AI20" i="3"/>
  <c r="AI348" i="3"/>
  <c r="AI338" i="3"/>
  <c r="AI329" i="3"/>
  <c r="AI287" i="3"/>
  <c r="AI269" i="3"/>
  <c r="AI258" i="3"/>
  <c r="AI252" i="3"/>
  <c r="AI228" i="3"/>
  <c r="AI210" i="3"/>
  <c r="AI194" i="3"/>
  <c r="AI131" i="3"/>
  <c r="AI90" i="3"/>
  <c r="AI43" i="3"/>
  <c r="AI35" i="3"/>
  <c r="AI306" i="3"/>
  <c r="AI19" i="3"/>
  <c r="AI400" i="3"/>
  <c r="AI362" i="3"/>
  <c r="AI314" i="3"/>
  <c r="AI398" i="3"/>
  <c r="AI268" i="3"/>
  <c r="AI257" i="3"/>
  <c r="AI251" i="3"/>
  <c r="AI227" i="3"/>
  <c r="AI209" i="3"/>
  <c r="AI193" i="3"/>
  <c r="AI179" i="3"/>
  <c r="AI168" i="3"/>
  <c r="AI111" i="3"/>
  <c r="AI87" i="3"/>
  <c r="AI56" i="3"/>
  <c r="AI24" i="3"/>
  <c r="AI18" i="3"/>
  <c r="AI395" i="3"/>
  <c r="AI384" i="3"/>
  <c r="AI377" i="3"/>
  <c r="AI303" i="3"/>
  <c r="AI327" i="3"/>
  <c r="AI302" i="3"/>
  <c r="AI286" i="3"/>
  <c r="AI277" i="3"/>
  <c r="AI267" i="3"/>
  <c r="AI250" i="3"/>
  <c r="AI226" i="3"/>
  <c r="AI208" i="3"/>
  <c r="AI192" i="3"/>
  <c r="AI147" i="3"/>
  <c r="AI128" i="3"/>
  <c r="AI110" i="3"/>
  <c r="AI86" i="3"/>
  <c r="AI55" i="3"/>
  <c r="AI34" i="3"/>
  <c r="AI17" i="3"/>
  <c r="AI383" i="3"/>
  <c r="AI376" i="3"/>
  <c r="AI367" i="3"/>
  <c r="AI355" i="3"/>
  <c r="AI346" i="3"/>
  <c r="AI337" i="3"/>
  <c r="AI285" i="3"/>
  <c r="AI276" i="3"/>
  <c r="AI249" i="3"/>
  <c r="AI225" i="3"/>
  <c r="AI207" i="3"/>
  <c r="AI191" i="3"/>
  <c r="AI146" i="3"/>
  <c r="AI126" i="3"/>
  <c r="AI109" i="3"/>
  <c r="AI84" i="3"/>
  <c r="AI54" i="3"/>
  <c r="AI32" i="3"/>
  <c r="AI23" i="3"/>
  <c r="AI299" i="3"/>
  <c r="AI16" i="3"/>
  <c r="AI382" i="3"/>
  <c r="AI375" i="3"/>
  <c r="AI336" i="3"/>
  <c r="AI320" i="3"/>
  <c r="AI266" i="3"/>
  <c r="AI256" i="3"/>
  <c r="AI248" i="3"/>
  <c r="AI224" i="3"/>
  <c r="AI206" i="3"/>
  <c r="AI190" i="3"/>
  <c r="AI145" i="3"/>
  <c r="AI123" i="3"/>
  <c r="AI108" i="3"/>
  <c r="AI83" i="3"/>
  <c r="AI69" i="3"/>
  <c r="AI31" i="3"/>
  <c r="AI298" i="3"/>
  <c r="AI15" i="3"/>
  <c r="AI392" i="3"/>
  <c r="AI374" i="3"/>
  <c r="AI345" i="3"/>
  <c r="AI319" i="3"/>
  <c r="AI284" i="3"/>
  <c r="AI275" i="3"/>
  <c r="AI265" i="3"/>
  <c r="AI247" i="3"/>
  <c r="AI223" i="3"/>
  <c r="AI205" i="3"/>
  <c r="AI189" i="3"/>
  <c r="AI89" i="3"/>
  <c r="AI144" i="3"/>
  <c r="AI122" i="3"/>
  <c r="AI107" i="3"/>
  <c r="AI82" i="3"/>
  <c r="AI42" i="3"/>
  <c r="AI292" i="3"/>
  <c r="AI14" i="3"/>
  <c r="AI364" i="3"/>
  <c r="AI380" i="3"/>
  <c r="AI373" i="3"/>
  <c r="AI360" i="3"/>
  <c r="AI352" i="3"/>
  <c r="AI312" i="3"/>
  <c r="AI274" i="3"/>
  <c r="AI264" i="3"/>
  <c r="AI243" i="3"/>
  <c r="AI222" i="3"/>
  <c r="AI203" i="3"/>
  <c r="AI188" i="3"/>
  <c r="AI178" i="3"/>
  <c r="AI143" i="3"/>
  <c r="AI121" i="3"/>
  <c r="AI105" i="3"/>
  <c r="AI81" i="3"/>
  <c r="AI51" i="3"/>
  <c r="AI22" i="3"/>
  <c r="AI13" i="3"/>
  <c r="AI359" i="3"/>
  <c r="AI351" i="3"/>
  <c r="AI311" i="3"/>
  <c r="AI283" i="3"/>
  <c r="AI396" i="3"/>
  <c r="AI237" i="3"/>
  <c r="AI221" i="3"/>
  <c r="AI202" i="3"/>
  <c r="AI187" i="3"/>
  <c r="AI177" i="3"/>
  <c r="AI142" i="3"/>
  <c r="AI120" i="3"/>
  <c r="AI103" i="3"/>
  <c r="AI80" i="3"/>
  <c r="AI30" i="3"/>
  <c r="AI304" i="3"/>
  <c r="AI11" i="3"/>
  <c r="AI389" i="3"/>
  <c r="AI358" i="3"/>
  <c r="AI350" i="3"/>
  <c r="AI255" i="3"/>
  <c r="AI236" i="3"/>
  <c r="AI220" i="3"/>
  <c r="AI201" i="3"/>
  <c r="AI186" i="3"/>
  <c r="AI141" i="3"/>
  <c r="AI119" i="3"/>
  <c r="AI79" i="3"/>
  <c r="AI59" i="3"/>
  <c r="AI49" i="3"/>
  <c r="AI41" i="3"/>
  <c r="AI29" i="3"/>
  <c r="AI293" i="3"/>
  <c r="AI9" i="3"/>
  <c r="AI357" i="3"/>
  <c r="AI349" i="3"/>
  <c r="AI324" i="3"/>
  <c r="AI94" i="3"/>
  <c r="AI282" i="3"/>
  <c r="AI263" i="3"/>
  <c r="AI254" i="3"/>
  <c r="AI235" i="3"/>
  <c r="AI217" i="3"/>
  <c r="AI200" i="3"/>
  <c r="AI309" i="3"/>
  <c r="AI174" i="3"/>
  <c r="AI140" i="3"/>
  <c r="AI118" i="3"/>
  <c r="AI78" i="3"/>
  <c r="AI67" i="3"/>
  <c r="AI58" i="3"/>
  <c r="AI305" i="3"/>
  <c r="AI7" i="3"/>
  <c r="AI387" i="3"/>
  <c r="AI366" i="3"/>
  <c r="AI281" i="3"/>
  <c r="AI262" i="3"/>
  <c r="AI253" i="3"/>
  <c r="AI234" i="3"/>
  <c r="AI216" i="3"/>
  <c r="AI199" i="3"/>
  <c r="AI184" i="3"/>
  <c r="AI173" i="3"/>
  <c r="AI139" i="3"/>
  <c r="AI117" i="3"/>
  <c r="AI99" i="3"/>
  <c r="AI76" i="3"/>
  <c r="AI48" i="3"/>
  <c r="AI294" i="3"/>
  <c r="AI5" i="3"/>
  <c r="AI4" i="3"/>
  <c r="W322" i="3" a="1"/>
  <c r="W322" i="3" s="1"/>
  <c r="W256" i="3" a="1"/>
  <c r="W256" i="3" s="1"/>
  <c r="W145" i="3" a="1"/>
  <c r="W145" i="3" s="1"/>
  <c r="W83" i="3" a="1"/>
  <c r="W83" i="3" s="1"/>
  <c r="W266" i="3" a="1"/>
  <c r="W266" i="3" s="1"/>
  <c r="W69" i="3" a="1"/>
  <c r="W69" i="3" s="1"/>
  <c r="W248" i="3" a="1"/>
  <c r="W248" i="3" s="1"/>
  <c r="W341" i="3" a="1"/>
  <c r="W341" i="3" s="1"/>
  <c r="W224" i="3" a="1"/>
  <c r="W224" i="3" s="1"/>
  <c r="W57" i="3" a="1"/>
  <c r="W57" i="3" s="1"/>
  <c r="W336" i="3" a="1"/>
  <c r="W336" i="3" s="1"/>
  <c r="W214" i="3" a="1"/>
  <c r="W214" i="3" s="1"/>
  <c r="W332" i="3" a="1"/>
  <c r="W332" i="3" s="1"/>
  <c r="W197" i="3" a="1"/>
  <c r="W197" i="3" s="1"/>
  <c r="W46" i="3" a="1"/>
  <c r="W46" i="3" s="1"/>
  <c r="W182" i="3" a="1"/>
  <c r="W182" i="3" s="1"/>
  <c r="W31" i="3" a="1"/>
  <c r="W31" i="3" s="1"/>
  <c r="W137" i="3" a="1"/>
  <c r="W137" i="3" s="1"/>
  <c r="W296" i="3" a="1"/>
  <c r="W296" i="3" s="1"/>
  <c r="W386" i="3" a="1"/>
  <c r="W386" i="3" s="1"/>
  <c r="W123" i="3" a="1"/>
  <c r="W123" i="3" s="1"/>
  <c r="W298" i="3" a="1"/>
  <c r="W298" i="3" s="1"/>
  <c r="W382" i="3" a="1"/>
  <c r="W382" i="3" s="1"/>
  <c r="W115" i="3" a="1"/>
  <c r="W115" i="3" s="1"/>
  <c r="W371" i="3" a="1"/>
  <c r="W371" i="3" s="1"/>
  <c r="W279" i="3" a="1"/>
  <c r="W279" i="3" s="1"/>
  <c r="W108" i="3" a="1"/>
  <c r="W108" i="3" s="1"/>
  <c r="W96" i="3" a="1"/>
  <c r="W96" i="3" s="1"/>
  <c r="W365" i="3" a="1"/>
  <c r="W365" i="3" s="1"/>
  <c r="W392" i="3" a="1"/>
  <c r="W392" i="3" s="1"/>
  <c r="W374" i="3" a="1"/>
  <c r="W374" i="3" s="1"/>
  <c r="W364" i="3" a="1"/>
  <c r="W364" i="3" s="1"/>
  <c r="W345" i="3" a="1"/>
  <c r="W345" i="3" s="1"/>
  <c r="W340" i="3" a="1"/>
  <c r="W340" i="3" s="1"/>
  <c r="W319" i="3" a="1"/>
  <c r="W319" i="3" s="1"/>
  <c r="W291" i="3" a="1"/>
  <c r="W291" i="3" s="1"/>
  <c r="W284" i="3" a="1"/>
  <c r="W284" i="3" s="1"/>
  <c r="W275" i="3" a="1"/>
  <c r="W275" i="3" s="1"/>
  <c r="W271" i="3" a="1"/>
  <c r="W271" i="3" s="1"/>
  <c r="W265" i="3" a="1"/>
  <c r="W265" i="3" s="1"/>
  <c r="W261" i="3" a="1"/>
  <c r="W261" i="3" s="1"/>
  <c r="W247" i="3" a="1"/>
  <c r="W247" i="3" s="1"/>
  <c r="W231" i="3" a="1"/>
  <c r="W231" i="3" s="1"/>
  <c r="W223" i="3" a="1"/>
  <c r="W223" i="3" s="1"/>
  <c r="W213" i="3" a="1"/>
  <c r="W213" i="3" s="1"/>
  <c r="W205" i="3" a="1"/>
  <c r="W205" i="3" s="1"/>
  <c r="W196" i="3" a="1"/>
  <c r="W196" i="3" s="1"/>
  <c r="W189" i="3" a="1"/>
  <c r="W189" i="3" s="1"/>
  <c r="W181" i="3" a="1"/>
  <c r="W181" i="3" s="1"/>
  <c r="W89" i="3" a="1"/>
  <c r="W89" i="3" s="1"/>
  <c r="W171" i="3" a="1"/>
  <c r="W171" i="3" s="1"/>
  <c r="W144" i="3" a="1"/>
  <c r="W144" i="3" s="1"/>
  <c r="W136" i="3" a="1"/>
  <c r="W136" i="3" s="1"/>
  <c r="W122" i="3" a="1"/>
  <c r="W122" i="3" s="1"/>
  <c r="W114" i="3" a="1"/>
  <c r="W114" i="3" s="1"/>
  <c r="W107" i="3" a="1"/>
  <c r="W107" i="3" s="1"/>
  <c r="W95" i="3" a="1"/>
  <c r="W95" i="3" s="1"/>
  <c r="W82" i="3" a="1"/>
  <c r="W82" i="3" s="1"/>
  <c r="W45" i="3" a="1"/>
  <c r="W45" i="3" s="1"/>
  <c r="W42" i="3" a="1"/>
  <c r="W42" i="3" s="1"/>
  <c r="W39" i="3" a="1"/>
  <c r="W39" i="3" s="1"/>
  <c r="W27" i="3" a="1"/>
  <c r="W27" i="3" s="1"/>
  <c r="W292" i="3" a="1"/>
  <c r="W292" i="3" s="1"/>
  <c r="W307" i="3" a="1"/>
  <c r="W307" i="3" s="1"/>
  <c r="W14" i="3" a="1"/>
  <c r="W14" i="3" s="1"/>
  <c r="W380" i="3" a="1"/>
  <c r="W380" i="3" s="1"/>
  <c r="W373" i="3" a="1"/>
  <c r="W373" i="3" s="1"/>
  <c r="W360" i="3" a="1"/>
  <c r="W360" i="3" s="1"/>
  <c r="W352" i="3" a="1"/>
  <c r="W352" i="3" s="1"/>
  <c r="W339" i="3" a="1"/>
  <c r="W339" i="3" s="1"/>
  <c r="W312" i="3" a="1"/>
  <c r="W312" i="3" s="1"/>
  <c r="W290" i="3" a="1"/>
  <c r="W290" i="3" s="1"/>
  <c r="W278" i="3" a="1"/>
  <c r="W278" i="3" s="1"/>
  <c r="W274" i="3" a="1"/>
  <c r="W274" i="3" s="1"/>
  <c r="W264" i="3" a="1"/>
  <c r="W264" i="3" s="1"/>
  <c r="W260" i="3" a="1"/>
  <c r="W260" i="3" s="1"/>
  <c r="W243" i="3" a="1"/>
  <c r="W243" i="3" s="1"/>
  <c r="W230" i="3" a="1"/>
  <c r="W230" i="3" s="1"/>
  <c r="W222" i="3" a="1"/>
  <c r="W222" i="3" s="1"/>
  <c r="W212" i="3" a="1"/>
  <c r="W212" i="3" s="1"/>
  <c r="W203" i="3" a="1"/>
  <c r="W203" i="3" s="1"/>
  <c r="W195" i="3" a="1"/>
  <c r="W195" i="3" s="1"/>
  <c r="W188" i="3" a="1"/>
  <c r="W188" i="3" s="1"/>
  <c r="W178" i="3" a="1"/>
  <c r="W178" i="3" s="1"/>
  <c r="W170" i="3" a="1"/>
  <c r="W170" i="3" s="1"/>
  <c r="W143" i="3" a="1"/>
  <c r="W143" i="3" s="1"/>
  <c r="W135" i="3" a="1"/>
  <c r="W135" i="3" s="1"/>
  <c r="W121" i="3" a="1"/>
  <c r="W121" i="3" s="1"/>
  <c r="W113" i="3" a="1"/>
  <c r="W113" i="3" s="1"/>
  <c r="W105" i="3" a="1"/>
  <c r="W105" i="3" s="1"/>
  <c r="W93" i="3" a="1"/>
  <c r="W93" i="3" s="1"/>
  <c r="W81" i="3" a="1"/>
  <c r="W81" i="3" s="1"/>
  <c r="W51" i="3" a="1"/>
  <c r="W51" i="3" s="1"/>
  <c r="W38" i="3" a="1"/>
  <c r="W38" i="3" s="1"/>
  <c r="W26" i="3" a="1"/>
  <c r="W26" i="3" s="1"/>
  <c r="W22" i="3" a="1"/>
  <c r="W22" i="3" s="1"/>
  <c r="W297" i="3" a="1"/>
  <c r="W297" i="3" s="1"/>
  <c r="W77" i="3" a="1"/>
  <c r="W77" i="3" s="1"/>
  <c r="W13" i="3" a="1"/>
  <c r="W13" i="3" s="1"/>
  <c r="W385" i="3" a="1"/>
  <c r="W385" i="3" s="1"/>
  <c r="W363" i="3" a="1"/>
  <c r="W363" i="3" s="1"/>
  <c r="W359" i="3" a="1"/>
  <c r="W359" i="3" s="1"/>
  <c r="W351" i="3" a="1"/>
  <c r="W351" i="3" s="1"/>
  <c r="W316" i="3" a="1"/>
  <c r="W316" i="3" s="1"/>
  <c r="W311" i="3" a="1"/>
  <c r="W311" i="3" s="1"/>
  <c r="W289" i="3" a="1"/>
  <c r="W289" i="3" s="1"/>
  <c r="W283" i="3" a="1"/>
  <c r="W283" i="3" s="1"/>
  <c r="W399" i="3" a="1"/>
  <c r="W399" i="3" s="1"/>
  <c r="W270" i="3" a="1"/>
  <c r="W270" i="3" s="1"/>
  <c r="W259" i="3" a="1"/>
  <c r="W259" i="3" s="1"/>
  <c r="W396" i="3" a="1"/>
  <c r="W396" i="3" s="1"/>
  <c r="W237" i="3" a="1"/>
  <c r="W237" i="3" s="1"/>
  <c r="W229" i="3" a="1"/>
  <c r="W229" i="3" s="1"/>
  <c r="W221" i="3" a="1"/>
  <c r="W221" i="3" s="1"/>
  <c r="W211" i="3" a="1"/>
  <c r="W211" i="3" s="1"/>
  <c r="W202" i="3" a="1"/>
  <c r="W202" i="3" s="1"/>
  <c r="W187" i="3" a="1"/>
  <c r="W187" i="3" s="1"/>
  <c r="W180" i="3" a="1"/>
  <c r="W180" i="3" s="1"/>
  <c r="W177" i="3" a="1"/>
  <c r="W177" i="3" s="1"/>
  <c r="W169" i="3" a="1"/>
  <c r="W169" i="3" s="1"/>
  <c r="W142" i="3" a="1"/>
  <c r="W142" i="3" s="1"/>
  <c r="W132" i="3" a="1"/>
  <c r="W132" i="3" s="1"/>
  <c r="W120" i="3" a="1"/>
  <c r="W120" i="3" s="1"/>
  <c r="W112" i="3" a="1"/>
  <c r="W112" i="3" s="1"/>
  <c r="W103" i="3" a="1"/>
  <c r="W103" i="3" s="1"/>
  <c r="W92" i="3" a="1"/>
  <c r="W92" i="3" s="1"/>
  <c r="W80" i="3" a="1"/>
  <c r="W80" i="3" s="1"/>
  <c r="W36" i="3" a="1"/>
  <c r="W36" i="3" s="1"/>
  <c r="W30" i="3" a="1"/>
  <c r="W30" i="3" s="1"/>
  <c r="W304" i="3" a="1"/>
  <c r="W304" i="3" s="1"/>
  <c r="W20" i="3" a="1"/>
  <c r="W20" i="3" s="1"/>
  <c r="W11" i="3" a="1"/>
  <c r="W11" i="3" s="1"/>
  <c r="W389" i="3" a="1"/>
  <c r="W389" i="3" s="1"/>
  <c r="W358" i="3" a="1"/>
  <c r="W358" i="3" s="1"/>
  <c r="W350" i="3" a="1"/>
  <c r="W350" i="3" s="1"/>
  <c r="W348" i="3" a="1"/>
  <c r="W348" i="3" s="1"/>
  <c r="W338" i="3" a="1"/>
  <c r="W338" i="3" s="1"/>
  <c r="W329" i="3" a="1"/>
  <c r="W329" i="3" s="1"/>
  <c r="W287" i="3" a="1"/>
  <c r="W287" i="3" s="1"/>
  <c r="W269" i="3" a="1"/>
  <c r="W269" i="3" s="1"/>
  <c r="W258" i="3" a="1"/>
  <c r="W258" i="3" s="1"/>
  <c r="W255" i="3" a="1"/>
  <c r="W255" i="3" s="1"/>
  <c r="W252" i="3" a="1"/>
  <c r="W252" i="3" s="1"/>
  <c r="W236" i="3" a="1"/>
  <c r="W236" i="3" s="1"/>
  <c r="W228" i="3" a="1"/>
  <c r="W228" i="3" s="1"/>
  <c r="W220" i="3" a="1"/>
  <c r="W220" i="3" s="1"/>
  <c r="W210" i="3" a="1"/>
  <c r="W210" i="3" s="1"/>
  <c r="W201" i="3" a="1"/>
  <c r="W201" i="3" s="1"/>
  <c r="W194" i="3" a="1"/>
  <c r="W194" i="3" s="1"/>
  <c r="W186" i="3" a="1"/>
  <c r="W186" i="3" s="1"/>
  <c r="W141" i="3" a="1"/>
  <c r="W141" i="3" s="1"/>
  <c r="W131" i="3" a="1"/>
  <c r="W131" i="3" s="1"/>
  <c r="W119" i="3" a="1"/>
  <c r="W119" i="3" s="1"/>
  <c r="W90" i="3" a="1"/>
  <c r="W90" i="3" s="1"/>
  <c r="W79" i="3" a="1"/>
  <c r="W79" i="3" s="1"/>
  <c r="W59" i="3" a="1"/>
  <c r="W59" i="3" s="1"/>
  <c r="W49" i="3" a="1"/>
  <c r="W49" i="3" s="1"/>
  <c r="W43" i="3" a="1"/>
  <c r="W43" i="3" s="1"/>
  <c r="W41" i="3" a="1"/>
  <c r="W41" i="3" s="1"/>
  <c r="W35" i="3" a="1"/>
  <c r="W35" i="3" s="1"/>
  <c r="W29" i="3" a="1"/>
  <c r="W29" i="3" s="1"/>
  <c r="W293" i="3" a="1"/>
  <c r="W293" i="3" s="1"/>
  <c r="W306" i="3" a="1"/>
  <c r="W306" i="3" s="1"/>
  <c r="W19" i="3" a="1"/>
  <c r="W19" i="3" s="1"/>
  <c r="W9" i="3" a="1"/>
  <c r="W9" i="3" s="1"/>
  <c r="W375" i="3" a="1"/>
  <c r="W375" i="3" s="1"/>
  <c r="W206" i="3" a="1"/>
  <c r="W206" i="3" s="1"/>
  <c r="W190" i="3" a="1"/>
  <c r="W190" i="3" s="1"/>
  <c r="W15" i="3" a="1"/>
  <c r="W15" i="3" s="1"/>
  <c r="W400" i="3" a="1"/>
  <c r="W400" i="3" s="1"/>
  <c r="W362" i="3" a="1"/>
  <c r="W362" i="3" s="1"/>
  <c r="W357" i="3" a="1"/>
  <c r="W357" i="3" s="1"/>
  <c r="W349" i="3" a="1"/>
  <c r="W349" i="3" s="1"/>
  <c r="W324" i="3" a="1"/>
  <c r="W324" i="3" s="1"/>
  <c r="W314" i="3" a="1"/>
  <c r="W314" i="3" s="1"/>
  <c r="W94" i="3" a="1"/>
  <c r="W94" i="3" s="1"/>
  <c r="W282" i="3" a="1"/>
  <c r="W282" i="3" s="1"/>
  <c r="W398" i="3" a="1"/>
  <c r="W398" i="3" s="1"/>
  <c r="W268" i="3" a="1"/>
  <c r="W268" i="3" s="1"/>
  <c r="W263" i="3" a="1"/>
  <c r="W263" i="3" s="1"/>
  <c r="W257" i="3" a="1"/>
  <c r="W257" i="3" s="1"/>
  <c r="W254" i="3" a="1"/>
  <c r="W254" i="3" s="1"/>
  <c r="W251" i="3" a="1"/>
  <c r="W251" i="3" s="1"/>
  <c r="W235" i="3" a="1"/>
  <c r="W235" i="3" s="1"/>
  <c r="W227" i="3" a="1"/>
  <c r="W227" i="3" s="1"/>
  <c r="W217" i="3" a="1"/>
  <c r="W217" i="3" s="1"/>
  <c r="W209" i="3" a="1"/>
  <c r="W209" i="3" s="1"/>
  <c r="W200" i="3" a="1"/>
  <c r="W200" i="3" s="1"/>
  <c r="W193" i="3" a="1"/>
  <c r="W193" i="3" s="1"/>
  <c r="W309" i="3" a="1"/>
  <c r="W309" i="3" s="1"/>
  <c r="W179" i="3" a="1"/>
  <c r="W179" i="3" s="1"/>
  <c r="W174" i="3" a="1"/>
  <c r="W174" i="3" s="1"/>
  <c r="W168" i="3" a="1"/>
  <c r="W168" i="3" s="1"/>
  <c r="W140" i="3" a="1"/>
  <c r="W140" i="3" s="1"/>
  <c r="W118" i="3" a="1"/>
  <c r="W118" i="3" s="1"/>
  <c r="W111" i="3" a="1"/>
  <c r="W111" i="3" s="1"/>
  <c r="W87" i="3" a="1"/>
  <c r="W87" i="3" s="1"/>
  <c r="W78" i="3" a="1"/>
  <c r="W78" i="3" s="1"/>
  <c r="W67" i="3" a="1"/>
  <c r="W67" i="3" s="1"/>
  <c r="W58" i="3" a="1"/>
  <c r="W58" i="3" s="1"/>
  <c r="W56" i="3" a="1"/>
  <c r="W56" i="3" s="1"/>
  <c r="W24" i="3" a="1"/>
  <c r="W24" i="3" s="1"/>
  <c r="W305" i="3" a="1"/>
  <c r="W305" i="3" s="1"/>
  <c r="W18" i="3" a="1"/>
  <c r="W18" i="3" s="1"/>
  <c r="W7" i="3" a="1"/>
  <c r="W7" i="3" s="1"/>
  <c r="W232" i="3" a="1"/>
  <c r="W232" i="3" s="1"/>
  <c r="W395" i="3" a="1"/>
  <c r="W395" i="3" s="1"/>
  <c r="W387" i="3" a="1"/>
  <c r="W387" i="3" s="1"/>
  <c r="W384" i="3" a="1"/>
  <c r="W384" i="3" s="1"/>
  <c r="W377" i="3" a="1"/>
  <c r="W377" i="3" s="1"/>
  <c r="W366" i="3" a="1"/>
  <c r="W366" i="3" s="1"/>
  <c r="W303" i="3" a="1"/>
  <c r="W303" i="3" s="1"/>
  <c r="W327" i="3" a="1"/>
  <c r="W327" i="3" s="1"/>
  <c r="W302" i="3" a="1"/>
  <c r="W302" i="3" s="1"/>
  <c r="W286" i="3" a="1"/>
  <c r="W286" i="3" s="1"/>
  <c r="W281" i="3" a="1"/>
  <c r="W281" i="3" s="1"/>
  <c r="W277" i="3" a="1"/>
  <c r="W277" i="3" s="1"/>
  <c r="W267" i="3" a="1"/>
  <c r="W267" i="3" s="1"/>
  <c r="W262" i="3" a="1"/>
  <c r="W262" i="3" s="1"/>
  <c r="W253" i="3" a="1"/>
  <c r="W253" i="3" s="1"/>
  <c r="W250" i="3" a="1"/>
  <c r="W250" i="3" s="1"/>
  <c r="W234" i="3" a="1"/>
  <c r="W234" i="3" s="1"/>
  <c r="W226" i="3" a="1"/>
  <c r="W226" i="3" s="1"/>
  <c r="W216" i="3" a="1"/>
  <c r="W216" i="3" s="1"/>
  <c r="W208" i="3" a="1"/>
  <c r="W208" i="3" s="1"/>
  <c r="W199" i="3" a="1"/>
  <c r="W199" i="3" s="1"/>
  <c r="W192" i="3" a="1"/>
  <c r="W192" i="3" s="1"/>
  <c r="W184" i="3" a="1"/>
  <c r="W184" i="3" s="1"/>
  <c r="W173" i="3" a="1"/>
  <c r="W173" i="3" s="1"/>
  <c r="W147" i="3" a="1"/>
  <c r="W147" i="3" s="1"/>
  <c r="W139" i="3" a="1"/>
  <c r="W139" i="3" s="1"/>
  <c r="W128" i="3" a="1"/>
  <c r="W128" i="3" s="1"/>
  <c r="W117" i="3" a="1"/>
  <c r="W117" i="3" s="1"/>
  <c r="W110" i="3" a="1"/>
  <c r="W110" i="3" s="1"/>
  <c r="W99" i="3" a="1"/>
  <c r="W99" i="3" s="1"/>
  <c r="W86" i="3" a="1"/>
  <c r="W86" i="3" s="1"/>
  <c r="W76" i="3" a="1"/>
  <c r="W76" i="3" s="1"/>
  <c r="W55" i="3" a="1"/>
  <c r="W55" i="3" s="1"/>
  <c r="W48" i="3" a="1"/>
  <c r="W48" i="3" s="1"/>
  <c r="W34" i="3" a="1"/>
  <c r="W34" i="3" s="1"/>
  <c r="W294" i="3" a="1"/>
  <c r="W294" i="3" s="1"/>
  <c r="W17" i="3" a="1"/>
  <c r="W17" i="3" s="1"/>
  <c r="W5" i="3" a="1"/>
  <c r="W5" i="3" s="1"/>
  <c r="W378" i="3" a="1"/>
  <c r="W378" i="3" s="1"/>
  <c r="W320" i="3" a="1"/>
  <c r="W320" i="3" s="1"/>
  <c r="W28" i="3" a="1"/>
  <c r="W28" i="3" s="1"/>
  <c r="W383" i="3" a="1"/>
  <c r="W383" i="3" s="1"/>
  <c r="W376" i="3" a="1"/>
  <c r="W376" i="3" s="1"/>
  <c r="W372" i="3" a="1"/>
  <c r="W372" i="3" s="1"/>
  <c r="W367" i="3" a="1"/>
  <c r="W367" i="3" s="1"/>
  <c r="W355" i="3" a="1"/>
  <c r="W355" i="3" s="1"/>
  <c r="W346" i="3" a="1"/>
  <c r="W346" i="3" s="1"/>
  <c r="W342" i="3" a="1"/>
  <c r="W342" i="3" s="1"/>
  <c r="W337" i="3" a="1"/>
  <c r="W337" i="3" s="1"/>
  <c r="W285" i="3" a="1"/>
  <c r="W285" i="3" s="1"/>
  <c r="W280" i="3" a="1"/>
  <c r="W280" i="3" s="1"/>
  <c r="W276" i="3" a="1"/>
  <c r="W276" i="3" s="1"/>
  <c r="W249" i="3" a="1"/>
  <c r="W249" i="3" s="1"/>
  <c r="W233" i="3" a="1"/>
  <c r="W233" i="3" s="1"/>
  <c r="W225" i="3" a="1"/>
  <c r="W225" i="3" s="1"/>
  <c r="W215" i="3" a="1"/>
  <c r="W215" i="3" s="1"/>
  <c r="W207" i="3" a="1"/>
  <c r="W207" i="3" s="1"/>
  <c r="W198" i="3" a="1"/>
  <c r="W198" i="3" s="1"/>
  <c r="W191" i="3" a="1"/>
  <c r="W191" i="3" s="1"/>
  <c r="W183" i="3" a="1"/>
  <c r="W183" i="3" s="1"/>
  <c r="W172" i="3" a="1"/>
  <c r="W172" i="3" s="1"/>
  <c r="W146" i="3" a="1"/>
  <c r="W146" i="3" s="1"/>
  <c r="W138" i="3" a="1"/>
  <c r="W138" i="3" s="1"/>
  <c r="W126" i="3" a="1"/>
  <c r="W126" i="3" s="1"/>
  <c r="W116" i="3" a="1"/>
  <c r="W116" i="3" s="1"/>
  <c r="W109" i="3" a="1"/>
  <c r="W109" i="3" s="1"/>
  <c r="W98" i="3" a="1"/>
  <c r="W98" i="3" s="1"/>
  <c r="W84" i="3" a="1"/>
  <c r="W84" i="3" s="1"/>
  <c r="W54" i="3" a="1"/>
  <c r="W54" i="3" s="1"/>
  <c r="W47" i="3" a="1"/>
  <c r="W47" i="3" s="1"/>
  <c r="W40" i="3" a="1"/>
  <c r="W40" i="3" s="1"/>
  <c r="W32" i="3" a="1"/>
  <c r="W32" i="3" s="1"/>
  <c r="W23" i="3" a="1"/>
  <c r="W23" i="3" s="1"/>
  <c r="W295" i="3" a="1"/>
  <c r="W295" i="3" s="1"/>
  <c r="W299" i="3" a="1"/>
  <c r="W299" i="3" s="1"/>
  <c r="W16" i="3" a="1"/>
  <c r="W16" i="3" s="1"/>
  <c r="W4" i="3" a="1"/>
  <c r="W4" i="3" s="1"/>
  <c r="U21" i="4" s="1"/>
  <c r="AF58" i="9"/>
  <c r="AF63" i="9"/>
  <c r="Q351" i="3"/>
  <c r="R351" i="3"/>
  <c r="S351" i="3"/>
  <c r="AX351" i="3"/>
  <c r="T351" i="3" s="1"/>
  <c r="Q320" i="3"/>
  <c r="R320" i="3"/>
  <c r="S320" i="3"/>
  <c r="AX320" i="3"/>
  <c r="T320" i="3" s="1"/>
  <c r="Q384" i="3"/>
  <c r="R384" i="3"/>
  <c r="S384" i="3"/>
  <c r="AX384" i="3"/>
  <c r="T384" i="3" s="1"/>
  <c r="H19" i="5" l="1"/>
  <c r="H20" i="4"/>
  <c r="H21" i="8"/>
  <c r="H21" i="7"/>
  <c r="H18" i="8"/>
  <c r="H18" i="7"/>
  <c r="H20" i="8"/>
  <c r="H20" i="7"/>
  <c r="H19" i="8"/>
  <c r="H19" i="7"/>
  <c r="H17" i="5"/>
  <c r="H18" i="4"/>
  <c r="H19" i="4"/>
  <c r="H18" i="5"/>
  <c r="H20" i="9"/>
  <c r="H17" i="4"/>
  <c r="H16" i="5"/>
  <c r="EG25" i="4"/>
  <c r="EG22" i="4"/>
  <c r="EG23" i="4"/>
  <c r="EG24" i="4"/>
  <c r="U21" i="7"/>
  <c r="U20" i="7"/>
  <c r="U19" i="7"/>
  <c r="P21" i="3"/>
  <c r="P12" i="3"/>
  <c r="P8" i="3"/>
  <c r="P10" i="3"/>
  <c r="V12" i="3"/>
  <c r="U18" i="7"/>
  <c r="U17" i="4"/>
  <c r="S16" i="5"/>
  <c r="U18" i="4"/>
  <c r="S17" i="5"/>
  <c r="U20" i="4"/>
  <c r="S19" i="5"/>
  <c r="U19" i="4"/>
  <c r="S18" i="5"/>
  <c r="V10" i="3"/>
  <c r="V21" i="3"/>
  <c r="V8" i="3"/>
  <c r="V6" i="3"/>
  <c r="V3" i="3"/>
  <c r="N879" i="12" s="1"/>
  <c r="O879" i="12" s="1"/>
  <c r="V103" i="8"/>
  <c r="AA47" i="5"/>
  <c r="T47" i="5" s="1"/>
  <c r="AO87" i="4"/>
  <c r="V47" i="5"/>
  <c r="AW25" i="4"/>
  <c r="BI25" i="4" s="1"/>
  <c r="AC21" i="9"/>
  <c r="AQ21" i="9" l="1"/>
  <c r="BJ21" i="9"/>
  <c r="AO47" i="5"/>
  <c r="FF25" i="4"/>
  <c r="FR25" i="4" s="1"/>
  <c r="AL25" i="4"/>
  <c r="EM25" i="4"/>
  <c r="EY25" i="4" s="1"/>
  <c r="AD25" i="4"/>
  <c r="DB25" i="4"/>
  <c r="DN25" i="4" s="1"/>
  <c r="CI25" i="4"/>
  <c r="CU25" i="4" s="1"/>
  <c r="BP25" i="4"/>
  <c r="CB25" i="4" s="1"/>
  <c r="AP25" i="4" l="1"/>
  <c r="AW24" i="4"/>
  <c r="BI24" i="4" s="1"/>
  <c r="BP24" i="4"/>
  <c r="CB24" i="4" s="1"/>
  <c r="DB24" i="4"/>
  <c r="DN24" i="4" s="1"/>
  <c r="AD24" i="4"/>
  <c r="EM24" i="4"/>
  <c r="EY24" i="4" s="1"/>
  <c r="AL24" i="4"/>
  <c r="FF24" i="4"/>
  <c r="FR24" i="4" s="1"/>
  <c r="CI24" i="4"/>
  <c r="CU24" i="4" s="1"/>
  <c r="BP23" i="4"/>
  <c r="CB23" i="4" s="1"/>
  <c r="CI23" i="4"/>
  <c r="CU23" i="4" s="1"/>
  <c r="DB23" i="4"/>
  <c r="DN23" i="4" s="1"/>
  <c r="AD23" i="4"/>
  <c r="AW23" i="4"/>
  <c r="BI23" i="4" s="1"/>
  <c r="EM23" i="4"/>
  <c r="EY23" i="4" s="1"/>
  <c r="AL23" i="4"/>
  <c r="FF23" i="4"/>
  <c r="FR23" i="4" s="1"/>
  <c r="Q346" i="3"/>
  <c r="R346" i="3"/>
  <c r="S346" i="3"/>
  <c r="AX346" i="3"/>
  <c r="T346" i="3" s="1"/>
  <c r="BM96" i="9"/>
  <c r="AT96" i="9"/>
  <c r="EJ83" i="4"/>
  <c r="AA193" i="4"/>
  <c r="AA191" i="4"/>
  <c r="AA173" i="4"/>
  <c r="AA171" i="4"/>
  <c r="AA162" i="4"/>
  <c r="AA153" i="4"/>
  <c r="AA139" i="4"/>
  <c r="AA76" i="4"/>
  <c r="AA74" i="4"/>
  <c r="AA73" i="4"/>
  <c r="AA69" i="4"/>
  <c r="AA67" i="4"/>
  <c r="AB58" i="4"/>
  <c r="AA46" i="4"/>
  <c r="AA40" i="4"/>
  <c r="AO26" i="5"/>
  <c r="V26" i="5"/>
  <c r="T26" i="5"/>
  <c r="Q329" i="3"/>
  <c r="R329" i="3"/>
  <c r="S329" i="3"/>
  <c r="AX329" i="3"/>
  <c r="T329" i="3" s="1"/>
  <c r="Q303" i="3"/>
  <c r="R303" i="3"/>
  <c r="S303" i="3"/>
  <c r="AX303" i="3"/>
  <c r="T303" i="3" s="1"/>
  <c r="FQ150" i="4"/>
  <c r="EX150" i="4"/>
  <c r="DM150" i="4"/>
  <c r="CT150" i="4"/>
  <c r="CA150" i="4"/>
  <c r="BH150" i="4"/>
  <c r="AO150" i="4"/>
  <c r="AD22" i="4"/>
  <c r="FQ50" i="4"/>
  <c r="EX50" i="4"/>
  <c r="DM50" i="4"/>
  <c r="CT50" i="4"/>
  <c r="CA50" i="4"/>
  <c r="BH50" i="4"/>
  <c r="AO50" i="4"/>
  <c r="AP24" i="4" l="1"/>
  <c r="AP23" i="4"/>
  <c r="T27" i="3"/>
  <c r="S27" i="3"/>
  <c r="R27" i="3"/>
  <c r="Q27" i="3"/>
  <c r="AX45" i="3"/>
  <c r="T45" i="3" s="1"/>
  <c r="S45" i="3"/>
  <c r="R45" i="3"/>
  <c r="Q45" i="3"/>
  <c r="AH44" i="9"/>
  <c r="BM44" i="9"/>
  <c r="AT44" i="9"/>
  <c r="BB20" i="9"/>
  <c r="AI20" i="9"/>
  <c r="BB22" i="9"/>
  <c r="AI23" i="9" l="1"/>
  <c r="BB23" i="9"/>
  <c r="AI22" i="9"/>
  <c r="AI21" i="9"/>
  <c r="BB21" i="9"/>
  <c r="AX380" i="3" l="1"/>
  <c r="T380" i="3" s="1"/>
  <c r="S380" i="3"/>
  <c r="R380" i="3"/>
  <c r="Q380" i="3"/>
  <c r="V36" i="5"/>
  <c r="T36" i="5"/>
  <c r="M77" i="3" a="1"/>
  <c r="M77" i="3" s="1"/>
  <c r="M307" i="3" a="1"/>
  <c r="M307" i="3" s="1"/>
  <c r="M304" i="3" a="1"/>
  <c r="M304" i="3" s="1"/>
  <c r="M306" i="3" a="1"/>
  <c r="M306" i="3" s="1"/>
  <c r="M305" i="3" a="1"/>
  <c r="M305" i="3" s="1"/>
  <c r="M34" i="3" a="1"/>
  <c r="M34" i="3" s="1"/>
  <c r="M35" i="3" a="1"/>
  <c r="M35" i="3" s="1"/>
  <c r="M40" i="3" a="1"/>
  <c r="M40" i="3" s="1"/>
  <c r="M46" i="3" a="1"/>
  <c r="M46" i="3" s="1"/>
  <c r="M55" i="3" a="1"/>
  <c r="M55" i="3" s="1"/>
  <c r="M58" i="3" a="1"/>
  <c r="M58" i="3" s="1"/>
  <c r="M69" i="3" a="1"/>
  <c r="M69" i="3" s="1"/>
  <c r="M76" i="3" a="1"/>
  <c r="M76" i="3" s="1"/>
  <c r="M78" i="3" a="1"/>
  <c r="M78" i="3" s="1"/>
  <c r="M80" i="3" a="1"/>
  <c r="M80" i="3" s="1"/>
  <c r="M81" i="3" a="1"/>
  <c r="M81" i="3" s="1"/>
  <c r="M82" i="3" a="1"/>
  <c r="M82" i="3" s="1"/>
  <c r="M83" i="3" a="1"/>
  <c r="M83" i="3" s="1"/>
  <c r="M84" i="3" a="1"/>
  <c r="M84" i="3" s="1"/>
  <c r="M86" i="3" a="1"/>
  <c r="M86" i="3" s="1"/>
  <c r="M87" i="3" a="1"/>
  <c r="M87" i="3" s="1"/>
  <c r="M90" i="3" a="1"/>
  <c r="M90" i="3" s="1"/>
  <c r="M92" i="3" a="1"/>
  <c r="M92" i="3" s="1"/>
  <c r="M93" i="3" a="1"/>
  <c r="M93" i="3" s="1"/>
  <c r="M95" i="3" a="1"/>
  <c r="M95" i="3" s="1"/>
  <c r="M98" i="3" a="1"/>
  <c r="M98" i="3" s="1"/>
  <c r="M99" i="3" a="1"/>
  <c r="M99" i="3" s="1"/>
  <c r="M103" i="3" a="1"/>
  <c r="M103" i="3" s="1"/>
  <c r="M105" i="3" a="1"/>
  <c r="M105" i="3" s="1"/>
  <c r="M107" i="3" a="1"/>
  <c r="M107" i="3" s="1"/>
  <c r="M108" i="3" a="1"/>
  <c r="M108" i="3" s="1"/>
  <c r="M109" i="3" a="1"/>
  <c r="M109" i="3" s="1"/>
  <c r="M110" i="3" a="1"/>
  <c r="M110" i="3" s="1"/>
  <c r="M111" i="3" a="1"/>
  <c r="M111" i="3" s="1"/>
  <c r="M112" i="3" a="1"/>
  <c r="M112" i="3" s="1"/>
  <c r="M113" i="3" a="1"/>
  <c r="M113" i="3" s="1"/>
  <c r="M114" i="3" a="1"/>
  <c r="M114" i="3" s="1"/>
  <c r="M115" i="3" a="1"/>
  <c r="M115" i="3" s="1"/>
  <c r="M116" i="3" a="1"/>
  <c r="M116" i="3" s="1"/>
  <c r="M117" i="3" a="1"/>
  <c r="M117" i="3" s="1"/>
  <c r="M118" i="3" a="1"/>
  <c r="M118" i="3" s="1"/>
  <c r="M119" i="3" a="1"/>
  <c r="M119" i="3" s="1"/>
  <c r="M120" i="3" a="1"/>
  <c r="M120" i="3" s="1"/>
  <c r="M121" i="3" a="1"/>
  <c r="M121" i="3" s="1"/>
  <c r="M126" i="3" a="1"/>
  <c r="M126" i="3" s="1"/>
  <c r="M128" i="3" a="1"/>
  <c r="M128" i="3" s="1"/>
  <c r="M131" i="3" a="1"/>
  <c r="M131" i="3" s="1"/>
  <c r="M132" i="3" a="1"/>
  <c r="M132" i="3" s="1"/>
  <c r="M135" i="3" a="1"/>
  <c r="M135" i="3" s="1"/>
  <c r="M136" i="3" a="1"/>
  <c r="M136" i="3" s="1"/>
  <c r="M137" i="3" a="1"/>
  <c r="M137" i="3" s="1"/>
  <c r="M138" i="3" a="1"/>
  <c r="M138" i="3" s="1"/>
  <c r="M139" i="3" a="1"/>
  <c r="M139" i="3" s="1"/>
  <c r="M140" i="3" a="1"/>
  <c r="M140" i="3" s="1"/>
  <c r="M141" i="3" a="1"/>
  <c r="M141" i="3" s="1"/>
  <c r="M142" i="3" a="1"/>
  <c r="M142" i="3" s="1"/>
  <c r="M143" i="3" a="1"/>
  <c r="M143" i="3" s="1"/>
  <c r="M144" i="3" a="1"/>
  <c r="M144" i="3" s="1"/>
  <c r="M145" i="3" a="1"/>
  <c r="M145" i="3" s="1"/>
  <c r="M146" i="3" a="1"/>
  <c r="M146" i="3" s="1"/>
  <c r="M147" i="3" a="1"/>
  <c r="M147" i="3" s="1"/>
  <c r="M168" i="3" a="1"/>
  <c r="M168" i="3" s="1"/>
  <c r="M169" i="3" a="1"/>
  <c r="M169" i="3" s="1"/>
  <c r="M170" i="3" a="1"/>
  <c r="M170" i="3" s="1"/>
  <c r="M171" i="3" a="1"/>
  <c r="M171" i="3" s="1"/>
  <c r="M173" i="3" a="1"/>
  <c r="M173" i="3" s="1"/>
  <c r="M174" i="3" a="1"/>
  <c r="M174" i="3" s="1"/>
  <c r="M177" i="3" a="1"/>
  <c r="M177" i="3" s="1"/>
  <c r="M178" i="3" a="1"/>
  <c r="M178" i="3" s="1"/>
  <c r="M179" i="3" a="1"/>
  <c r="M179" i="3" s="1"/>
  <c r="M180" i="3" a="1"/>
  <c r="M180" i="3" s="1"/>
  <c r="M181" i="3" a="1"/>
  <c r="M181" i="3" s="1"/>
  <c r="M182" i="3" a="1"/>
  <c r="M182" i="3" s="1"/>
  <c r="M183" i="3" a="1"/>
  <c r="M183" i="3" s="1"/>
  <c r="M184" i="3" a="1"/>
  <c r="M184" i="3" s="1"/>
  <c r="M309" i="3" a="1"/>
  <c r="M309" i="3" s="1"/>
  <c r="M186" i="3" a="1"/>
  <c r="M186" i="3" s="1"/>
  <c r="M187" i="3" a="1"/>
  <c r="M187" i="3" s="1"/>
  <c r="M188" i="3" a="1"/>
  <c r="M188" i="3" s="1"/>
  <c r="M189" i="3" a="1"/>
  <c r="M189" i="3" s="1"/>
  <c r="M190" i="3" a="1"/>
  <c r="M190" i="3" s="1"/>
  <c r="M191" i="3" a="1"/>
  <c r="M191" i="3" s="1"/>
  <c r="M192" i="3" a="1"/>
  <c r="M192" i="3" s="1"/>
  <c r="M193" i="3" a="1"/>
  <c r="M193" i="3" s="1"/>
  <c r="M194" i="3" a="1"/>
  <c r="M194" i="3" s="1"/>
  <c r="M195" i="3" a="1"/>
  <c r="M195" i="3" s="1"/>
  <c r="M196" i="3" a="1"/>
  <c r="M196" i="3" s="1"/>
  <c r="M197" i="3" a="1"/>
  <c r="M197" i="3" s="1"/>
  <c r="M198" i="3" a="1"/>
  <c r="M198" i="3" s="1"/>
  <c r="M199" i="3" a="1"/>
  <c r="M199" i="3" s="1"/>
  <c r="M200" i="3" a="1"/>
  <c r="M200" i="3" s="1"/>
  <c r="M201" i="3" a="1"/>
  <c r="M201" i="3" s="1"/>
  <c r="M202" i="3" a="1"/>
  <c r="M202" i="3" s="1"/>
  <c r="M203" i="3" a="1"/>
  <c r="M203" i="3" s="1"/>
  <c r="M205" i="3" a="1"/>
  <c r="M205" i="3" s="1"/>
  <c r="M206" i="3" a="1"/>
  <c r="M206" i="3" s="1"/>
  <c r="M207" i="3" a="1"/>
  <c r="M207" i="3" s="1"/>
  <c r="M208" i="3" a="1"/>
  <c r="M208" i="3" s="1"/>
  <c r="M209" i="3" a="1"/>
  <c r="M209" i="3" s="1"/>
  <c r="M210" i="3" a="1"/>
  <c r="M210" i="3" s="1"/>
  <c r="M211" i="3" a="1"/>
  <c r="M211" i="3" s="1"/>
  <c r="M212" i="3" a="1"/>
  <c r="M212" i="3" s="1"/>
  <c r="M213" i="3" a="1"/>
  <c r="M213" i="3" s="1"/>
  <c r="M214" i="3" a="1"/>
  <c r="M214" i="3" s="1"/>
  <c r="M215" i="3" a="1"/>
  <c r="M215" i="3" s="1"/>
  <c r="M216" i="3" a="1"/>
  <c r="M216" i="3" s="1"/>
  <c r="M217" i="3" a="1"/>
  <c r="M217" i="3" s="1"/>
  <c r="M220" i="3" a="1"/>
  <c r="M220" i="3" s="1"/>
  <c r="M221" i="3" a="1"/>
  <c r="M221" i="3" s="1"/>
  <c r="M222" i="3" a="1"/>
  <c r="M222" i="3" s="1"/>
  <c r="M223" i="3" a="1"/>
  <c r="M223" i="3" s="1"/>
  <c r="M224" i="3" a="1"/>
  <c r="M224" i="3" s="1"/>
  <c r="M225" i="3" a="1"/>
  <c r="M225" i="3" s="1"/>
  <c r="M226" i="3" a="1"/>
  <c r="M226" i="3" s="1"/>
  <c r="M227" i="3" a="1"/>
  <c r="M227" i="3" s="1"/>
  <c r="M228" i="3" a="1"/>
  <c r="M228" i="3" s="1"/>
  <c r="M229" i="3" a="1"/>
  <c r="M229" i="3" s="1"/>
  <c r="M230" i="3" a="1"/>
  <c r="M230" i="3" s="1"/>
  <c r="M231" i="3" a="1"/>
  <c r="M231" i="3" s="1"/>
  <c r="M232" i="3" a="1"/>
  <c r="M232" i="3" s="1"/>
  <c r="M233" i="3" a="1"/>
  <c r="M233" i="3" s="1"/>
  <c r="M234" i="3" a="1"/>
  <c r="M234" i="3" s="1"/>
  <c r="M235" i="3" a="1"/>
  <c r="M235" i="3" s="1"/>
  <c r="M236" i="3" a="1"/>
  <c r="M236" i="3" s="1"/>
  <c r="M237" i="3" a="1"/>
  <c r="M237" i="3" s="1"/>
  <c r="M243" i="3" a="1"/>
  <c r="M243" i="3" s="1"/>
  <c r="M247" i="3" a="1"/>
  <c r="M247" i="3" s="1"/>
  <c r="M248" i="3" a="1"/>
  <c r="M248" i="3" s="1"/>
  <c r="M249" i="3" a="1"/>
  <c r="M249" i="3" s="1"/>
  <c r="M250" i="3" a="1"/>
  <c r="M250" i="3" s="1"/>
  <c r="M251" i="3" a="1"/>
  <c r="M251" i="3" s="1"/>
  <c r="M252" i="3" a="1"/>
  <c r="M252" i="3" s="1"/>
  <c r="M253" i="3" a="1"/>
  <c r="M253" i="3" s="1"/>
  <c r="M254" i="3" a="1"/>
  <c r="M254" i="3" s="1"/>
  <c r="M255" i="3" a="1"/>
  <c r="M255" i="3" s="1"/>
  <c r="M256" i="3" a="1"/>
  <c r="M256" i="3" s="1"/>
  <c r="M257" i="3" a="1"/>
  <c r="M257" i="3" s="1"/>
  <c r="M258" i="3" a="1"/>
  <c r="M258" i="3" s="1"/>
  <c r="M259" i="3" a="1"/>
  <c r="M259" i="3" s="1"/>
  <c r="M260" i="3" a="1"/>
  <c r="M260" i="3" s="1"/>
  <c r="M261" i="3" a="1"/>
  <c r="M261" i="3" s="1"/>
  <c r="M264" i="3" a="1"/>
  <c r="M264" i="3" s="1"/>
  <c r="M265" i="3" a="1"/>
  <c r="M265" i="3" s="1"/>
  <c r="M266" i="3" a="1"/>
  <c r="M266" i="3" s="1"/>
  <c r="M267" i="3" a="1"/>
  <c r="M267" i="3" s="1"/>
  <c r="M268" i="3" a="1"/>
  <c r="M268" i="3" s="1"/>
  <c r="M269" i="3" a="1"/>
  <c r="M269" i="3" s="1"/>
  <c r="M270" i="3" a="1"/>
  <c r="M270" i="3" s="1"/>
  <c r="M271" i="3" a="1"/>
  <c r="M271" i="3" s="1"/>
  <c r="M274" i="3" a="1"/>
  <c r="M274" i="3" s="1"/>
  <c r="M275" i="3" a="1"/>
  <c r="M275" i="3" s="1"/>
  <c r="M276" i="3" a="1"/>
  <c r="M276" i="3" s="1"/>
  <c r="M277" i="3" a="1"/>
  <c r="M277" i="3" s="1"/>
  <c r="M398" i="3" a="1"/>
  <c r="M398" i="3" s="1"/>
  <c r="M399" i="3" a="1"/>
  <c r="M399" i="3" s="1"/>
  <c r="M278" i="3" a="1"/>
  <c r="M278" i="3" s="1"/>
  <c r="M279" i="3" a="1"/>
  <c r="M279" i="3" s="1"/>
  <c r="M280" i="3" a="1"/>
  <c r="M280" i="3" s="1"/>
  <c r="M282" i="3" a="1"/>
  <c r="M282" i="3" s="1"/>
  <c r="M283" i="3" a="1"/>
  <c r="M283" i="3" s="1"/>
  <c r="M284" i="3" a="1"/>
  <c r="M284" i="3" s="1"/>
  <c r="M285" i="3" a="1"/>
  <c r="M285" i="3" s="1"/>
  <c r="M286" i="3" a="1"/>
  <c r="M286" i="3" s="1"/>
  <c r="M287" i="3" a="1"/>
  <c r="M287" i="3" s="1"/>
  <c r="M289" i="3" a="1"/>
  <c r="M289" i="3" s="1"/>
  <c r="M290" i="3" a="1"/>
  <c r="M290" i="3" s="1"/>
  <c r="M291" i="3" a="1"/>
  <c r="M291" i="3" s="1"/>
  <c r="M311" i="3" a="1"/>
  <c r="M311" i="3" s="1"/>
  <c r="M316" i="3" a="1"/>
  <c r="M316" i="3" s="1"/>
  <c r="M322" i="3" a="1"/>
  <c r="M322" i="3" s="1"/>
  <c r="M327" i="3" a="1"/>
  <c r="M327" i="3" s="1"/>
  <c r="M332" i="3" a="1"/>
  <c r="M332" i="3" s="1"/>
  <c r="M337" i="3" a="1"/>
  <c r="M337" i="3" s="1"/>
  <c r="M338" i="3" a="1"/>
  <c r="M338" i="3" s="1"/>
  <c r="M341" i="3" a="1"/>
  <c r="M341" i="3" s="1"/>
  <c r="M342" i="3" a="1"/>
  <c r="M342" i="3" s="1"/>
  <c r="M348" i="3" a="1"/>
  <c r="M348" i="3" s="1"/>
  <c r="M350" i="3" a="1"/>
  <c r="M350" i="3" s="1"/>
  <c r="M352" i="3" a="1"/>
  <c r="M352" i="3" s="1"/>
  <c r="M357" i="3" a="1"/>
  <c r="M357" i="3" s="1"/>
  <c r="M358" i="3" a="1"/>
  <c r="M358" i="3" s="1"/>
  <c r="M359" i="3" a="1"/>
  <c r="M359" i="3" s="1"/>
  <c r="M360" i="3" a="1"/>
  <c r="M360" i="3" s="1"/>
  <c r="M362" i="3" a="1"/>
  <c r="M362" i="3" s="1"/>
  <c r="M363" i="3" a="1"/>
  <c r="M363" i="3" s="1"/>
  <c r="M364" i="3" a="1"/>
  <c r="M364" i="3" s="1"/>
  <c r="M365" i="3" a="1"/>
  <c r="M365" i="3" s="1"/>
  <c r="M366" i="3" a="1"/>
  <c r="M366" i="3" s="1"/>
  <c r="M367" i="3" a="1"/>
  <c r="M367" i="3" s="1"/>
  <c r="M371" i="3" a="1"/>
  <c r="M371" i="3" s="1"/>
  <c r="M372" i="3" a="1"/>
  <c r="M372" i="3" s="1"/>
  <c r="M374" i="3" a="1"/>
  <c r="M374" i="3" s="1"/>
  <c r="M375" i="3" a="1"/>
  <c r="M375" i="3" s="1"/>
  <c r="M376" i="3" a="1"/>
  <c r="M376" i="3" s="1"/>
  <c r="M378" i="3" a="1"/>
  <c r="M378" i="3" s="1"/>
  <c r="M382" i="3" a="1"/>
  <c r="M382" i="3" s="1"/>
  <c r="M383" i="3" a="1"/>
  <c r="M383" i="3" s="1"/>
  <c r="M385" i="3" a="1"/>
  <c r="M385" i="3" s="1"/>
  <c r="M386" i="3" a="1"/>
  <c r="M386" i="3" s="1"/>
  <c r="M387" i="3" a="1"/>
  <c r="M387" i="3" s="1"/>
  <c r="M395" i="3" a="1"/>
  <c r="M395" i="3" s="1"/>
  <c r="M396" i="3" a="1"/>
  <c r="M396" i="3" s="1"/>
  <c r="M94" i="3" a="1"/>
  <c r="M94" i="3" s="1"/>
  <c r="M400" i="3" a="1"/>
  <c r="M400" i="3" s="1"/>
  <c r="M4" i="3" a="1"/>
  <c r="M4" i="3" s="1"/>
  <c r="T122" i="3"/>
  <c r="T123" i="3"/>
  <c r="T172" i="3"/>
  <c r="R7" i="3"/>
  <c r="R9" i="3"/>
  <c r="R11" i="3"/>
  <c r="R13" i="3"/>
  <c r="R14" i="3"/>
  <c r="R15" i="3"/>
  <c r="R16" i="3"/>
  <c r="R17" i="3"/>
  <c r="R18" i="3"/>
  <c r="R19" i="3"/>
  <c r="R20" i="3"/>
  <c r="R4" i="3"/>
  <c r="R46" i="3"/>
  <c r="R35" i="3"/>
  <c r="R34" i="3"/>
  <c r="R58" i="3"/>
  <c r="R304" i="3"/>
  <c r="R305" i="3"/>
  <c r="R306" i="3"/>
  <c r="R69" i="3"/>
  <c r="R40" i="3"/>
  <c r="R307" i="3"/>
  <c r="R24" i="3"/>
  <c r="R55" i="3"/>
  <c r="R77" i="3"/>
  <c r="R311" i="3"/>
  <c r="R251" i="3"/>
  <c r="R316" i="3"/>
  <c r="R252" i="3"/>
  <c r="R86" i="3"/>
  <c r="R87" i="3"/>
  <c r="R90" i="3"/>
  <c r="R322" i="3"/>
  <c r="R253" i="3"/>
  <c r="R254" i="3"/>
  <c r="R255" i="3"/>
  <c r="R396" i="3"/>
  <c r="R256" i="3"/>
  <c r="R327" i="3"/>
  <c r="R332" i="3"/>
  <c r="R257" i="3"/>
  <c r="R92" i="3"/>
  <c r="R93" i="3"/>
  <c r="R94" i="3"/>
  <c r="R337" i="3"/>
  <c r="R338" i="3"/>
  <c r="R341" i="3"/>
  <c r="R342" i="3"/>
  <c r="R258" i="3"/>
  <c r="R259" i="3"/>
  <c r="R260" i="3"/>
  <c r="R95" i="3"/>
  <c r="R348" i="3"/>
  <c r="R78" i="3"/>
  <c r="R80" i="3"/>
  <c r="R261" i="3"/>
  <c r="R98" i="3"/>
  <c r="R99" i="3"/>
  <c r="R350" i="3"/>
  <c r="R352" i="3"/>
  <c r="R103" i="3"/>
  <c r="R105" i="3"/>
  <c r="R107" i="3"/>
  <c r="R108" i="3"/>
  <c r="R109" i="3"/>
  <c r="R110" i="3"/>
  <c r="R111" i="3"/>
  <c r="R112" i="3"/>
  <c r="R113" i="3"/>
  <c r="R114" i="3"/>
  <c r="R115" i="3"/>
  <c r="R116" i="3"/>
  <c r="R117" i="3"/>
  <c r="R118" i="3"/>
  <c r="R119" i="3"/>
  <c r="R120" i="3"/>
  <c r="R121" i="3"/>
  <c r="R126" i="3"/>
  <c r="R128" i="3"/>
  <c r="R131" i="3"/>
  <c r="R132" i="3"/>
  <c r="R135" i="3"/>
  <c r="R136" i="3"/>
  <c r="R137" i="3"/>
  <c r="R138" i="3"/>
  <c r="R139" i="3"/>
  <c r="R140" i="3"/>
  <c r="R141" i="3"/>
  <c r="R142" i="3"/>
  <c r="R143" i="3"/>
  <c r="R144" i="3"/>
  <c r="R145" i="3"/>
  <c r="R146" i="3"/>
  <c r="R147" i="3"/>
  <c r="R168" i="3"/>
  <c r="R169" i="3"/>
  <c r="R170" i="3"/>
  <c r="R171" i="3"/>
  <c r="R173" i="3"/>
  <c r="R174" i="3"/>
  <c r="R81" i="3"/>
  <c r="R82" i="3"/>
  <c r="R177" i="3"/>
  <c r="R178" i="3"/>
  <c r="R357" i="3"/>
  <c r="R358" i="3"/>
  <c r="R359" i="3"/>
  <c r="R360" i="3"/>
  <c r="R89" i="3"/>
  <c r="R179" i="3"/>
  <c r="R180" i="3"/>
  <c r="R83" i="3"/>
  <c r="R362" i="3"/>
  <c r="R264" i="3"/>
  <c r="R265" i="3"/>
  <c r="R266" i="3"/>
  <c r="R363" i="3"/>
  <c r="R364" i="3"/>
  <c r="R365" i="3"/>
  <c r="R366" i="3"/>
  <c r="R267" i="3"/>
  <c r="R268" i="3"/>
  <c r="R269" i="3"/>
  <c r="R367" i="3"/>
  <c r="R181" i="3"/>
  <c r="R270" i="3"/>
  <c r="R76" i="3"/>
  <c r="R371" i="3"/>
  <c r="R271" i="3"/>
  <c r="R372" i="3"/>
  <c r="R374" i="3"/>
  <c r="R375" i="3"/>
  <c r="R376" i="3"/>
  <c r="R274" i="3"/>
  <c r="R378" i="3"/>
  <c r="R182" i="3"/>
  <c r="R183" i="3"/>
  <c r="R184" i="3"/>
  <c r="R309" i="3"/>
  <c r="R186" i="3"/>
  <c r="R187" i="3"/>
  <c r="R188" i="3"/>
  <c r="R189" i="3"/>
  <c r="R190" i="3"/>
  <c r="R191" i="3"/>
  <c r="R192" i="3"/>
  <c r="R193" i="3"/>
  <c r="R194" i="3"/>
  <c r="R195" i="3"/>
  <c r="R196" i="3"/>
  <c r="R197" i="3"/>
  <c r="R198" i="3"/>
  <c r="R199" i="3"/>
  <c r="R200" i="3"/>
  <c r="R201" i="3"/>
  <c r="R202" i="3"/>
  <c r="R203" i="3"/>
  <c r="R205" i="3"/>
  <c r="R206" i="3"/>
  <c r="R207" i="3"/>
  <c r="R208" i="3"/>
  <c r="R209" i="3"/>
  <c r="R210" i="3"/>
  <c r="R211" i="3"/>
  <c r="R212" i="3"/>
  <c r="R213" i="3"/>
  <c r="R214" i="3"/>
  <c r="R215" i="3"/>
  <c r="R216" i="3"/>
  <c r="R217" i="3"/>
  <c r="R275" i="3"/>
  <c r="R382" i="3"/>
  <c r="R383" i="3"/>
  <c r="R385" i="3"/>
  <c r="R276" i="3"/>
  <c r="R277" i="3"/>
  <c r="R398" i="3"/>
  <c r="R386" i="3"/>
  <c r="R399" i="3"/>
  <c r="R278" i="3"/>
  <c r="R400" i="3"/>
  <c r="R220" i="3"/>
  <c r="R221" i="3"/>
  <c r="R222" i="3"/>
  <c r="R279" i="3"/>
  <c r="R280" i="3"/>
  <c r="R282" i="3"/>
  <c r="R223" i="3"/>
  <c r="R224" i="3"/>
  <c r="R225" i="3"/>
  <c r="R226" i="3"/>
  <c r="R227" i="3"/>
  <c r="R228" i="3"/>
  <c r="R229" i="3"/>
  <c r="R230" i="3"/>
  <c r="R231" i="3"/>
  <c r="R232" i="3"/>
  <c r="R233" i="3"/>
  <c r="R234" i="3"/>
  <c r="R235" i="3"/>
  <c r="R236" i="3"/>
  <c r="R237" i="3"/>
  <c r="R283" i="3"/>
  <c r="R387" i="3"/>
  <c r="R284" i="3"/>
  <c r="R285" i="3"/>
  <c r="R286" i="3"/>
  <c r="R84" i="3"/>
  <c r="R287" i="3"/>
  <c r="R289" i="3"/>
  <c r="R290" i="3"/>
  <c r="R291" i="3"/>
  <c r="R243" i="3"/>
  <c r="R247" i="3"/>
  <c r="R248" i="3"/>
  <c r="R249" i="3"/>
  <c r="R250" i="3"/>
  <c r="R395" i="3"/>
  <c r="R298" i="3"/>
  <c r="R299" i="3"/>
  <c r="R297" i="3"/>
  <c r="R296" i="3"/>
  <c r="R295" i="3"/>
  <c r="R294" i="3"/>
  <c r="R293" i="3"/>
  <c r="R23" i="3"/>
  <c r="R28" i="3"/>
  <c r="R29" i="3"/>
  <c r="R31" i="3"/>
  <c r="R32" i="3"/>
  <c r="R36" i="3"/>
  <c r="R38" i="3"/>
  <c r="R39" i="3"/>
  <c r="R41" i="3"/>
  <c r="R42" i="3"/>
  <c r="R43" i="3"/>
  <c r="R47" i="3"/>
  <c r="R48" i="3"/>
  <c r="R49" i="3"/>
  <c r="R51" i="3"/>
  <c r="R54" i="3"/>
  <c r="R57" i="3"/>
  <c r="R59" i="3"/>
  <c r="R67" i="3"/>
  <c r="R79" i="3"/>
  <c r="R96" i="3"/>
  <c r="R122" i="3"/>
  <c r="R123" i="3"/>
  <c r="R172" i="3"/>
  <c r="R262" i="3"/>
  <c r="R263" i="3"/>
  <c r="R281" i="3"/>
  <c r="R22" i="3"/>
  <c r="R292" i="3"/>
  <c r="R26" i="3"/>
  <c r="R312" i="3"/>
  <c r="R302" i="3"/>
  <c r="R314" i="3"/>
  <c r="R319" i="3"/>
  <c r="R324" i="3"/>
  <c r="R336" i="3"/>
  <c r="R339" i="3"/>
  <c r="R340" i="3"/>
  <c r="R345" i="3"/>
  <c r="R349" i="3"/>
  <c r="R355" i="3"/>
  <c r="R373" i="3"/>
  <c r="R377" i="3"/>
  <c r="R389" i="3"/>
  <c r="R392" i="3"/>
  <c r="Q7" i="3"/>
  <c r="Q9" i="3"/>
  <c r="Q11" i="3"/>
  <c r="Q13" i="3"/>
  <c r="Q14" i="3"/>
  <c r="Q15" i="3"/>
  <c r="Q16" i="3"/>
  <c r="Q17" i="3"/>
  <c r="Q18" i="3"/>
  <c r="Q19" i="3"/>
  <c r="Q20" i="3"/>
  <c r="Q4" i="3"/>
  <c r="Q46" i="3"/>
  <c r="Q35" i="3"/>
  <c r="Q34" i="3"/>
  <c r="Q58" i="3"/>
  <c r="Q304" i="3"/>
  <c r="Q306" i="3"/>
  <c r="Q69" i="3"/>
  <c r="Q40" i="3"/>
  <c r="Q307" i="3"/>
  <c r="Q24" i="3"/>
  <c r="Q55" i="3"/>
  <c r="Q251" i="3"/>
  <c r="Q316" i="3"/>
  <c r="Q252" i="3"/>
  <c r="Q86" i="3"/>
  <c r="Q87" i="3"/>
  <c r="Q90" i="3"/>
  <c r="Q253" i="3"/>
  <c r="Q254" i="3"/>
  <c r="Q255" i="3"/>
  <c r="Q396" i="3"/>
  <c r="Q256" i="3"/>
  <c r="Q257" i="3"/>
  <c r="Q92" i="3"/>
  <c r="Q93" i="3"/>
  <c r="Q94" i="3"/>
  <c r="Q258" i="3"/>
  <c r="Q259" i="3"/>
  <c r="Q260" i="3"/>
  <c r="Q95" i="3"/>
  <c r="Q78" i="3"/>
  <c r="Q80" i="3"/>
  <c r="Q261" i="3"/>
  <c r="Q98" i="3"/>
  <c r="Q99" i="3"/>
  <c r="Q103" i="3"/>
  <c r="Q105" i="3"/>
  <c r="Q107" i="3"/>
  <c r="Q108" i="3"/>
  <c r="Q109" i="3"/>
  <c r="Q110" i="3"/>
  <c r="Q111" i="3"/>
  <c r="Q112" i="3"/>
  <c r="Q113" i="3"/>
  <c r="Q114" i="3"/>
  <c r="Q115" i="3"/>
  <c r="Q116" i="3"/>
  <c r="Q117" i="3"/>
  <c r="Q118" i="3"/>
  <c r="Q119" i="3"/>
  <c r="Q120" i="3"/>
  <c r="Q121" i="3"/>
  <c r="Q126" i="3"/>
  <c r="Q128" i="3"/>
  <c r="Q131" i="3"/>
  <c r="Q132" i="3"/>
  <c r="Q135" i="3"/>
  <c r="Q136" i="3"/>
  <c r="Q137" i="3"/>
  <c r="Q138" i="3"/>
  <c r="Q139" i="3"/>
  <c r="Q140" i="3"/>
  <c r="Q141" i="3"/>
  <c r="Q142" i="3"/>
  <c r="Q143" i="3"/>
  <c r="Q144" i="3"/>
  <c r="Q145" i="3"/>
  <c r="Q146" i="3"/>
  <c r="Q147" i="3"/>
  <c r="Q168" i="3"/>
  <c r="Q169" i="3"/>
  <c r="Q170" i="3"/>
  <c r="Q171" i="3"/>
  <c r="Q173" i="3"/>
  <c r="Q174" i="3"/>
  <c r="Q81" i="3"/>
  <c r="Q82" i="3"/>
  <c r="Q177" i="3"/>
  <c r="Q178" i="3"/>
  <c r="Q89" i="3"/>
  <c r="Q179" i="3"/>
  <c r="Q180" i="3"/>
  <c r="Q83" i="3"/>
  <c r="Q264" i="3"/>
  <c r="Q265" i="3"/>
  <c r="Q266" i="3"/>
  <c r="Q267" i="3"/>
  <c r="Q268" i="3"/>
  <c r="Q269" i="3"/>
  <c r="Q181" i="3"/>
  <c r="Q270" i="3"/>
  <c r="Q76" i="3"/>
  <c r="Q271" i="3"/>
  <c r="Q274" i="3"/>
  <c r="Q182" i="3"/>
  <c r="Q183" i="3"/>
  <c r="Q184" i="3"/>
  <c r="Q309" i="3"/>
  <c r="Q186" i="3"/>
  <c r="Q187" i="3"/>
  <c r="Q188" i="3"/>
  <c r="Q189" i="3"/>
  <c r="Q190" i="3"/>
  <c r="Q191" i="3"/>
  <c r="Q192" i="3"/>
  <c r="Q193" i="3"/>
  <c r="Q194" i="3"/>
  <c r="Q195" i="3"/>
  <c r="Q196" i="3"/>
  <c r="Q197" i="3"/>
  <c r="Q198" i="3"/>
  <c r="Q199" i="3"/>
  <c r="Q200" i="3"/>
  <c r="Q201" i="3"/>
  <c r="Q202" i="3"/>
  <c r="Q203" i="3"/>
  <c r="Q205" i="3"/>
  <c r="Q206" i="3"/>
  <c r="Q207" i="3"/>
  <c r="Q208" i="3"/>
  <c r="Q209" i="3"/>
  <c r="Q210" i="3"/>
  <c r="Q211" i="3"/>
  <c r="Q212" i="3"/>
  <c r="Q213" i="3"/>
  <c r="Q214" i="3"/>
  <c r="Q215" i="3"/>
  <c r="Q216" i="3"/>
  <c r="Q217" i="3"/>
  <c r="Q275" i="3"/>
  <c r="Q276" i="3"/>
  <c r="Q277" i="3"/>
  <c r="Q398" i="3"/>
  <c r="Q399" i="3"/>
  <c r="Q278" i="3"/>
  <c r="Q400" i="3"/>
  <c r="Q220" i="3"/>
  <c r="Q221" i="3"/>
  <c r="Q222" i="3"/>
  <c r="Q279" i="3"/>
  <c r="Q280" i="3"/>
  <c r="Q282" i="3"/>
  <c r="Q223" i="3"/>
  <c r="Q224" i="3"/>
  <c r="Q225" i="3"/>
  <c r="Q226" i="3"/>
  <c r="Q227" i="3"/>
  <c r="Q228" i="3"/>
  <c r="Q229" i="3"/>
  <c r="Q230" i="3"/>
  <c r="Q231" i="3"/>
  <c r="Q232" i="3"/>
  <c r="Q233" i="3"/>
  <c r="Q234" i="3"/>
  <c r="Q235" i="3"/>
  <c r="Q236" i="3"/>
  <c r="Q237" i="3"/>
  <c r="Q283" i="3"/>
  <c r="Q284" i="3"/>
  <c r="Q285" i="3"/>
  <c r="Q286" i="3"/>
  <c r="Q84" i="3"/>
  <c r="Q287" i="3"/>
  <c r="Q289" i="3"/>
  <c r="Q290" i="3"/>
  <c r="Q291" i="3"/>
  <c r="Q243" i="3"/>
  <c r="Q247" i="3"/>
  <c r="Q248" i="3"/>
  <c r="Q249" i="3"/>
  <c r="Q250" i="3"/>
  <c r="Q298" i="3"/>
  <c r="Q299" i="3"/>
  <c r="Q297" i="3"/>
  <c r="Q296" i="3"/>
  <c r="Q295" i="3"/>
  <c r="Q294" i="3"/>
  <c r="Q293" i="3"/>
  <c r="Q23" i="3"/>
  <c r="Q28" i="3"/>
  <c r="Q29" i="3"/>
  <c r="Q31" i="3"/>
  <c r="Q32" i="3"/>
  <c r="Q36" i="3"/>
  <c r="Q38" i="3"/>
  <c r="Q39" i="3"/>
  <c r="Q41" i="3"/>
  <c r="Q42" i="3"/>
  <c r="Q43" i="3"/>
  <c r="Q47" i="3"/>
  <c r="Q48" i="3"/>
  <c r="Q49" i="3"/>
  <c r="Q51" i="3"/>
  <c r="Q54" i="3"/>
  <c r="Q57" i="3"/>
  <c r="Q59" i="3"/>
  <c r="Q67" i="3"/>
  <c r="Q79" i="3"/>
  <c r="Q96" i="3"/>
  <c r="Q122" i="3"/>
  <c r="Q123" i="3"/>
  <c r="Q172" i="3"/>
  <c r="Q262" i="3"/>
  <c r="Q263" i="3"/>
  <c r="Q281" i="3"/>
  <c r="Q22" i="3"/>
  <c r="Q292" i="3"/>
  <c r="Q26" i="3"/>
  <c r="Q302" i="3"/>
  <c r="Q324" i="3"/>
  <c r="Q336" i="3"/>
  <c r="Q373" i="3"/>
  <c r="Q389" i="3"/>
  <c r="DB26" i="4"/>
  <c r="DN26" i="4" s="1"/>
  <c r="DB22" i="4"/>
  <c r="FF27" i="4"/>
  <c r="FR27" i="4" s="1"/>
  <c r="EM27" i="4"/>
  <c r="EY27" i="4" s="1"/>
  <c r="DB27" i="4"/>
  <c r="DN27" i="4" s="1"/>
  <c r="CI27" i="4"/>
  <c r="CU27" i="4" s="1"/>
  <c r="BP27" i="4"/>
  <c r="CB27" i="4" s="1"/>
  <c r="AW27" i="4"/>
  <c r="BI27" i="4" s="1"/>
  <c r="AL27" i="4"/>
  <c r="AD27" i="4"/>
  <c r="FF26" i="4"/>
  <c r="FR26" i="4" s="1"/>
  <c r="EM26" i="4"/>
  <c r="EY26" i="4" s="1"/>
  <c r="CI26" i="4"/>
  <c r="CU26" i="4" s="1"/>
  <c r="BP26" i="4"/>
  <c r="CB26" i="4" s="1"/>
  <c r="AW26" i="4"/>
  <c r="BI26" i="4" s="1"/>
  <c r="AL26" i="4"/>
  <c r="AD26" i="4"/>
  <c r="FF22" i="4"/>
  <c r="EM22" i="4"/>
  <c r="CI22" i="4"/>
  <c r="BP22" i="4"/>
  <c r="AW22" i="4"/>
  <c r="AP22" i="4"/>
  <c r="FF21" i="4"/>
  <c r="EM21" i="4"/>
  <c r="DB21" i="4"/>
  <c r="CI21" i="4"/>
  <c r="BP21" i="4"/>
  <c r="AD21" i="4"/>
  <c r="FQ61" i="4"/>
  <c r="EX61" i="4"/>
  <c r="CY61" i="4"/>
  <c r="DM61" i="4" s="1"/>
  <c r="CT61" i="4"/>
  <c r="CA61" i="4"/>
  <c r="BH61" i="4"/>
  <c r="AO61" i="4"/>
  <c r="FQ71" i="4"/>
  <c r="EX71" i="4"/>
  <c r="DM71" i="4"/>
  <c r="CT71" i="4"/>
  <c r="CA71" i="4"/>
  <c r="BH71" i="4"/>
  <c r="AO71" i="4"/>
  <c r="H19" i="9" l="1"/>
  <c r="H18" i="9"/>
  <c r="H17" i="9"/>
  <c r="N1199" i="12"/>
  <c r="O1199" i="12" s="1"/>
  <c r="N842" i="12"/>
  <c r="O842" i="12" s="1"/>
  <c r="N1108" i="12"/>
  <c r="O1108" i="12" s="1"/>
  <c r="N487" i="12"/>
  <c r="O487" i="12" s="1"/>
  <c r="N490" i="12"/>
  <c r="O490" i="12" s="1"/>
  <c r="N1071" i="12"/>
  <c r="O1071" i="12" s="1"/>
  <c r="N1198" i="12"/>
  <c r="O1198" i="12" s="1"/>
  <c r="N852" i="12"/>
  <c r="O852" i="12" s="1"/>
  <c r="N1309" i="12"/>
  <c r="O1309" i="12" s="1"/>
  <c r="N853" i="12"/>
  <c r="O853" i="12" s="1"/>
  <c r="EY22" i="4"/>
  <c r="DN22" i="4"/>
  <c r="CU22" i="4"/>
  <c r="FR22" i="4"/>
  <c r="CB22" i="4"/>
  <c r="BI22" i="4"/>
  <c r="AP26" i="4"/>
  <c r="AP27" i="4"/>
  <c r="AO36" i="5"/>
  <c r="AO25" i="5"/>
  <c r="V25" i="5"/>
  <c r="T25" i="5"/>
  <c r="FF17" i="4"/>
  <c r="FF18" i="4"/>
  <c r="FF19" i="4"/>
  <c r="FF20" i="4"/>
  <c r="FC96" i="4"/>
  <c r="FQ96" i="4" s="1"/>
  <c r="FC146" i="4"/>
  <c r="FQ146" i="4" s="1"/>
  <c r="EM17" i="4"/>
  <c r="EM18" i="4"/>
  <c r="EM20" i="4"/>
  <c r="EJ42" i="4"/>
  <c r="EX42" i="4" s="1"/>
  <c r="EJ46" i="4"/>
  <c r="EX46" i="4" s="1"/>
  <c r="EJ49" i="4"/>
  <c r="EX49" i="4" s="1"/>
  <c r="EX59" i="4"/>
  <c r="EX83" i="4"/>
  <c r="EJ86" i="4"/>
  <c r="EX86" i="4" s="1"/>
  <c r="EJ96" i="4"/>
  <c r="EX96" i="4" s="1"/>
  <c r="EX156" i="4"/>
  <c r="EJ157" i="4"/>
  <c r="EX157" i="4" s="1"/>
  <c r="DB17" i="4"/>
  <c r="DB18" i="4"/>
  <c r="DB19" i="4"/>
  <c r="DB20" i="4"/>
  <c r="CY33" i="4"/>
  <c r="DM33" i="4" s="1"/>
  <c r="CY40" i="4"/>
  <c r="DM40" i="4" s="1"/>
  <c r="CY69" i="4"/>
  <c r="DM69" i="4" s="1"/>
  <c r="CY73" i="4"/>
  <c r="DM73" i="4" s="1"/>
  <c r="CY76" i="4"/>
  <c r="DM76" i="4" s="1"/>
  <c r="DM94" i="4"/>
  <c r="DM127" i="4"/>
  <c r="CY148" i="4"/>
  <c r="DM148" i="4" s="1"/>
  <c r="CY162" i="4"/>
  <c r="DM162" i="4" s="1"/>
  <c r="DM188" i="4"/>
  <c r="CY191" i="4"/>
  <c r="DM191" i="4" s="1"/>
  <c r="CY193" i="4"/>
  <c r="DM193" i="4" s="1"/>
  <c r="CI17" i="4"/>
  <c r="CI18" i="4"/>
  <c r="CI19" i="4"/>
  <c r="CI20" i="4"/>
  <c r="CF40" i="4"/>
  <c r="CT40" i="4" s="1"/>
  <c r="CT46" i="4"/>
  <c r="CT53" i="4"/>
  <c r="CF67" i="4"/>
  <c r="CT67" i="4" s="1"/>
  <c r="CF69" i="4"/>
  <c r="CT69" i="4" s="1"/>
  <c r="CF73" i="4"/>
  <c r="CT73" i="4" s="1"/>
  <c r="CF74" i="4"/>
  <c r="CT74" i="4" s="1"/>
  <c r="CF76" i="4"/>
  <c r="CT76" i="4" s="1"/>
  <c r="CT83" i="4"/>
  <c r="CT94" i="4"/>
  <c r="CF108" i="4"/>
  <c r="CT108" i="4" s="1"/>
  <c r="CT127" i="4"/>
  <c r="CT153" i="4"/>
  <c r="CF171" i="4"/>
  <c r="CT171" i="4" s="1"/>
  <c r="CT188" i="4"/>
  <c r="CT191" i="4"/>
  <c r="CF193" i="4"/>
  <c r="CT193" i="4" s="1"/>
  <c r="BP17" i="4"/>
  <c r="BP18" i="4"/>
  <c r="BP19" i="4"/>
  <c r="BP20" i="4"/>
  <c r="BM40" i="4"/>
  <c r="CA40" i="4" s="1"/>
  <c r="BM46" i="4"/>
  <c r="CA46" i="4" s="1"/>
  <c r="CA53" i="4"/>
  <c r="BM67" i="4"/>
  <c r="CA67" i="4" s="1"/>
  <c r="BM69" i="4"/>
  <c r="CA69" i="4" s="1"/>
  <c r="BM73" i="4"/>
  <c r="CA73" i="4" s="1"/>
  <c r="BM74" i="4"/>
  <c r="CA74" i="4" s="1"/>
  <c r="BM76" i="4"/>
  <c r="CA76" i="4" s="1"/>
  <c r="CA83" i="4"/>
  <c r="CA86" i="4"/>
  <c r="CA94" i="4"/>
  <c r="CA95" i="4"/>
  <c r="CA127" i="4"/>
  <c r="BM139" i="4"/>
  <c r="CA139" i="4" s="1"/>
  <c r="BM153" i="4"/>
  <c r="CA153" i="4" s="1"/>
  <c r="CA188" i="4"/>
  <c r="BM191" i="4"/>
  <c r="CA191" i="4" s="1"/>
  <c r="BM193" i="4"/>
  <c r="CA193" i="4" s="1"/>
  <c r="AT40" i="4"/>
  <c r="BH40" i="4" s="1"/>
  <c r="AT46" i="4"/>
  <c r="BH46" i="4" s="1"/>
  <c r="BH53" i="4"/>
  <c r="AT67" i="4"/>
  <c r="AT68" i="4"/>
  <c r="BH68" i="4" s="1"/>
  <c r="AT69" i="4"/>
  <c r="BH69" i="4" s="1"/>
  <c r="AT73" i="4"/>
  <c r="BH73" i="4" s="1"/>
  <c r="AT74" i="4"/>
  <c r="BH74" i="4" s="1"/>
  <c r="AT76" i="4"/>
  <c r="BH76" i="4" s="1"/>
  <c r="BH83" i="4"/>
  <c r="BH86" i="4"/>
  <c r="BH94" i="4"/>
  <c r="BH127" i="4"/>
  <c r="BH153" i="4"/>
  <c r="AT162" i="4"/>
  <c r="BH162" i="4" s="1"/>
  <c r="AT177" i="4"/>
  <c r="BH177" i="4" s="1"/>
  <c r="BH188" i="4"/>
  <c r="AT191" i="4"/>
  <c r="BH191" i="4" s="1"/>
  <c r="AT193" i="4"/>
  <c r="BH193" i="4" s="1"/>
  <c r="AD17" i="4"/>
  <c r="AD18" i="4"/>
  <c r="AD19" i="4"/>
  <c r="AD20" i="4"/>
  <c r="AO40" i="4"/>
  <c r="AO46" i="4"/>
  <c r="AO53" i="4"/>
  <c r="AO67" i="4"/>
  <c r="AO69" i="4"/>
  <c r="AO73" i="4"/>
  <c r="AO74" i="4"/>
  <c r="AO76" i="4"/>
  <c r="AO83" i="4"/>
  <c r="AO86" i="4"/>
  <c r="AO94" i="4"/>
  <c r="AO127" i="4"/>
  <c r="AO139" i="4"/>
  <c r="AO153" i="4"/>
  <c r="AO162" i="4"/>
  <c r="AO171" i="4"/>
  <c r="AO173" i="4"/>
  <c r="AO188" i="4"/>
  <c r="AO191" i="4"/>
  <c r="AO193" i="4"/>
  <c r="N58" i="4"/>
  <c r="N62" i="4"/>
  <c r="N66" i="4"/>
  <c r="N70" i="4"/>
  <c r="N155" i="4"/>
  <c r="N152" i="4"/>
  <c r="N141" i="4"/>
  <c r="N135" i="4"/>
  <c r="N118" i="4"/>
  <c r="N114" i="4"/>
  <c r="N109" i="4"/>
  <c r="N97" i="4"/>
  <c r="N166" i="4"/>
  <c r="N170" i="4"/>
  <c r="N187" i="4"/>
  <c r="N189" i="4"/>
  <c r="N161" i="4"/>
  <c r="N160" i="4" s="1"/>
  <c r="N163" i="4"/>
  <c r="AO31" i="4"/>
  <c r="BH31" i="4"/>
  <c r="CA31" i="4"/>
  <c r="CT31" i="4"/>
  <c r="DM31" i="4"/>
  <c r="EX31" i="4"/>
  <c r="FQ31" i="4"/>
  <c r="AO33" i="4"/>
  <c r="BH33" i="4"/>
  <c r="CA33" i="4"/>
  <c r="CT33" i="4"/>
  <c r="EX33" i="4"/>
  <c r="FQ33" i="4"/>
  <c r="AO34" i="4"/>
  <c r="BH34" i="4"/>
  <c r="CA34" i="4"/>
  <c r="CT34" i="4"/>
  <c r="DM34" i="4"/>
  <c r="EX34" i="4"/>
  <c r="FQ34" i="4"/>
  <c r="AO35" i="4"/>
  <c r="BH35" i="4"/>
  <c r="CA35" i="4"/>
  <c r="CT35" i="4"/>
  <c r="DM35" i="4"/>
  <c r="EX35" i="4"/>
  <c r="FQ35" i="4"/>
  <c r="AO36" i="4"/>
  <c r="BH36" i="4"/>
  <c r="CA36" i="4"/>
  <c r="CT36" i="4"/>
  <c r="DM36" i="4"/>
  <c r="EX36" i="4"/>
  <c r="FQ36" i="4"/>
  <c r="AO37" i="4"/>
  <c r="BH37" i="4"/>
  <c r="CA37" i="4"/>
  <c r="CT37" i="4"/>
  <c r="DM37" i="4"/>
  <c r="EX37" i="4"/>
  <c r="FQ37" i="4"/>
  <c r="EX40" i="4"/>
  <c r="FQ40" i="4"/>
  <c r="AO41" i="4"/>
  <c r="BH41" i="4"/>
  <c r="CA41" i="4"/>
  <c r="CT41" i="4"/>
  <c r="DM41" i="4"/>
  <c r="EX41" i="4"/>
  <c r="FQ41" i="4"/>
  <c r="AO42" i="4"/>
  <c r="BH42" i="4"/>
  <c r="CA42" i="4"/>
  <c r="CT42" i="4"/>
  <c r="DM42" i="4"/>
  <c r="FQ42" i="4"/>
  <c r="AO43" i="4"/>
  <c r="BH43" i="4"/>
  <c r="CA43" i="4"/>
  <c r="CT43" i="4"/>
  <c r="DM43" i="4"/>
  <c r="EX43" i="4"/>
  <c r="FQ43" i="4"/>
  <c r="AO44" i="4"/>
  <c r="BH44" i="4"/>
  <c r="CA44" i="4"/>
  <c r="CT44" i="4"/>
  <c r="DM44" i="4"/>
  <c r="EX44" i="4"/>
  <c r="FQ44" i="4"/>
  <c r="AO45" i="4"/>
  <c r="BH45" i="4"/>
  <c r="CA45" i="4"/>
  <c r="CT45" i="4"/>
  <c r="DM45" i="4"/>
  <c r="EX45" i="4"/>
  <c r="FQ45" i="4"/>
  <c r="DM46" i="4"/>
  <c r="FQ46" i="4"/>
  <c r="AO47" i="4"/>
  <c r="BH47" i="4"/>
  <c r="CA47" i="4"/>
  <c r="CT47" i="4"/>
  <c r="DM47" i="4"/>
  <c r="EX47" i="4"/>
  <c r="FQ47" i="4"/>
  <c r="AO49" i="4"/>
  <c r="BH49" i="4"/>
  <c r="CA49" i="4"/>
  <c r="CT49" i="4"/>
  <c r="DM49" i="4"/>
  <c r="FQ49" i="4"/>
  <c r="AO51" i="4"/>
  <c r="BH51" i="4"/>
  <c r="CA51" i="4"/>
  <c r="CT51" i="4"/>
  <c r="DM51" i="4"/>
  <c r="EX51" i="4"/>
  <c r="FQ51" i="4"/>
  <c r="EX53" i="4"/>
  <c r="FQ53" i="4"/>
  <c r="AO55" i="4"/>
  <c r="BH55" i="4"/>
  <c r="CA55" i="4"/>
  <c r="CT55" i="4"/>
  <c r="EX55" i="4"/>
  <c r="FQ55" i="4"/>
  <c r="AO57" i="4"/>
  <c r="BH57" i="4"/>
  <c r="CA57" i="4"/>
  <c r="CT57" i="4"/>
  <c r="EX57" i="4"/>
  <c r="FQ57" i="4"/>
  <c r="AO59" i="4"/>
  <c r="BH59" i="4"/>
  <c r="CA59" i="4"/>
  <c r="CT59" i="4"/>
  <c r="DM59" i="4"/>
  <c r="FQ59" i="4"/>
  <c r="AO60" i="4"/>
  <c r="BH60" i="4"/>
  <c r="CA60" i="4"/>
  <c r="CT60" i="4"/>
  <c r="DM60" i="4"/>
  <c r="EX60" i="4"/>
  <c r="FQ60" i="4"/>
  <c r="AO65" i="4"/>
  <c r="BH65" i="4"/>
  <c r="CA65" i="4"/>
  <c r="CT65" i="4"/>
  <c r="DM65" i="4"/>
  <c r="EX65" i="4"/>
  <c r="FQ65" i="4"/>
  <c r="DM67" i="4"/>
  <c r="EX67" i="4"/>
  <c r="FQ67" i="4"/>
  <c r="AO68" i="4"/>
  <c r="CA68" i="4"/>
  <c r="CT68" i="4"/>
  <c r="DM68" i="4"/>
  <c r="EX68" i="4"/>
  <c r="FQ68" i="4"/>
  <c r="EX69" i="4"/>
  <c r="FQ69" i="4"/>
  <c r="AO72" i="4"/>
  <c r="BH72" i="4"/>
  <c r="CA72" i="4"/>
  <c r="CT72" i="4"/>
  <c r="DM72" i="4"/>
  <c r="EX72" i="4"/>
  <c r="FQ72" i="4"/>
  <c r="EX73" i="4"/>
  <c r="FQ73" i="4"/>
  <c r="DM74" i="4"/>
  <c r="EX74" i="4"/>
  <c r="FQ74" i="4"/>
  <c r="AO75" i="4"/>
  <c r="BH75" i="4"/>
  <c r="CA75" i="4"/>
  <c r="CT75" i="4"/>
  <c r="DM75" i="4"/>
  <c r="EX75" i="4"/>
  <c r="FQ75" i="4"/>
  <c r="EX76" i="4"/>
  <c r="FQ76" i="4"/>
  <c r="DM83" i="4"/>
  <c r="FQ83" i="4"/>
  <c r="CT86" i="4"/>
  <c r="DM86" i="4"/>
  <c r="FQ86" i="4"/>
  <c r="BH87" i="4"/>
  <c r="CA87" i="4"/>
  <c r="CT87" i="4"/>
  <c r="DM87" i="4"/>
  <c r="EX87" i="4"/>
  <c r="FQ87" i="4"/>
  <c r="AO93" i="4"/>
  <c r="BH93" i="4"/>
  <c r="CA93" i="4"/>
  <c r="CT93" i="4"/>
  <c r="DM93" i="4"/>
  <c r="EX93" i="4"/>
  <c r="FQ93" i="4"/>
  <c r="EX94" i="4"/>
  <c r="FQ94" i="4"/>
  <c r="AO95" i="4"/>
  <c r="BH95" i="4"/>
  <c r="CT95" i="4"/>
  <c r="DM95" i="4"/>
  <c r="EX95" i="4"/>
  <c r="FQ95" i="4"/>
  <c r="AO96" i="4"/>
  <c r="BH96" i="4"/>
  <c r="CA96" i="4"/>
  <c r="CT96" i="4"/>
  <c r="DM96" i="4"/>
  <c r="AO101" i="4"/>
  <c r="BH101" i="4"/>
  <c r="CA101" i="4"/>
  <c r="CT101" i="4"/>
  <c r="DM101" i="4"/>
  <c r="EX101" i="4"/>
  <c r="FQ101" i="4"/>
  <c r="AO106" i="4"/>
  <c r="BH106" i="4"/>
  <c r="CA106" i="4"/>
  <c r="CT106" i="4"/>
  <c r="DM106" i="4"/>
  <c r="EX106" i="4"/>
  <c r="FQ106" i="4"/>
  <c r="AO107" i="4"/>
  <c r="BH107" i="4"/>
  <c r="CA107" i="4"/>
  <c r="CT107" i="4"/>
  <c r="DM107" i="4"/>
  <c r="EX107" i="4"/>
  <c r="FQ107" i="4"/>
  <c r="AO108" i="4"/>
  <c r="BH108" i="4"/>
  <c r="CA108" i="4"/>
  <c r="DM108" i="4"/>
  <c r="EX108" i="4"/>
  <c r="FQ108" i="4"/>
  <c r="AO110" i="4"/>
  <c r="BH110" i="4"/>
  <c r="CA110" i="4"/>
  <c r="CT110" i="4"/>
  <c r="DM110" i="4"/>
  <c r="EX110" i="4"/>
  <c r="FQ110" i="4"/>
  <c r="AO111" i="4"/>
  <c r="BH111" i="4"/>
  <c r="CA111" i="4"/>
  <c r="CT111" i="4"/>
  <c r="DM111" i="4"/>
  <c r="EX111" i="4"/>
  <c r="FQ111" i="4"/>
  <c r="AO112" i="4"/>
  <c r="BH112" i="4"/>
  <c r="CA112" i="4"/>
  <c r="CT112" i="4"/>
  <c r="DM112" i="4"/>
  <c r="EX112" i="4"/>
  <c r="FQ112" i="4"/>
  <c r="AO113" i="4"/>
  <c r="BH113" i="4"/>
  <c r="CA113" i="4"/>
  <c r="CT113" i="4"/>
  <c r="DM113" i="4"/>
  <c r="EX113" i="4"/>
  <c r="FQ113" i="4"/>
  <c r="AO115" i="4"/>
  <c r="BH115" i="4"/>
  <c r="CA115" i="4"/>
  <c r="CT115" i="4"/>
  <c r="DM115" i="4"/>
  <c r="EX115" i="4"/>
  <c r="FQ115" i="4"/>
  <c r="AO117" i="4"/>
  <c r="BH117" i="4"/>
  <c r="CA117" i="4"/>
  <c r="CT117" i="4"/>
  <c r="DM117" i="4"/>
  <c r="EX117" i="4"/>
  <c r="FQ117" i="4"/>
  <c r="AO125" i="4"/>
  <c r="BH125" i="4"/>
  <c r="CA125" i="4"/>
  <c r="CT125" i="4"/>
  <c r="DM125" i="4"/>
  <c r="EX125" i="4"/>
  <c r="FQ125" i="4"/>
  <c r="AO123" i="4"/>
  <c r="BH123" i="4"/>
  <c r="CA123" i="4"/>
  <c r="CT123" i="4"/>
  <c r="DM123" i="4"/>
  <c r="EX123" i="4"/>
  <c r="FQ123" i="4"/>
  <c r="EX127" i="4"/>
  <c r="FQ127" i="4"/>
  <c r="AO130" i="4"/>
  <c r="BH130" i="4"/>
  <c r="CA130" i="4"/>
  <c r="CT130" i="4"/>
  <c r="DM130" i="4"/>
  <c r="EX130" i="4"/>
  <c r="FQ130" i="4"/>
  <c r="AO137" i="4"/>
  <c r="BH137" i="4"/>
  <c r="CA137" i="4"/>
  <c r="CT137" i="4"/>
  <c r="DM137" i="4"/>
  <c r="EX137" i="4"/>
  <c r="FQ137" i="4"/>
  <c r="BH139" i="4"/>
  <c r="CT139" i="4"/>
  <c r="EX139" i="4"/>
  <c r="FQ139" i="4"/>
  <c r="AO140" i="4"/>
  <c r="BH140" i="4"/>
  <c r="CA140" i="4"/>
  <c r="CT140" i="4"/>
  <c r="DM140" i="4"/>
  <c r="EX140" i="4"/>
  <c r="FQ140" i="4"/>
  <c r="AO147" i="4"/>
  <c r="BH147" i="4"/>
  <c r="CA147" i="4"/>
  <c r="CT147" i="4"/>
  <c r="DM147" i="4"/>
  <c r="EX147" i="4"/>
  <c r="FQ147" i="4"/>
  <c r="AO146" i="4"/>
  <c r="BH146" i="4"/>
  <c r="CA146" i="4"/>
  <c r="CT146" i="4"/>
  <c r="DM146" i="4"/>
  <c r="EX146" i="4"/>
  <c r="AO148" i="4"/>
  <c r="BH148" i="4"/>
  <c r="CA148" i="4"/>
  <c r="CT148" i="4"/>
  <c r="EX148" i="4"/>
  <c r="FQ148" i="4"/>
  <c r="AO144" i="4"/>
  <c r="BH144" i="4"/>
  <c r="CA144" i="4"/>
  <c r="CT144" i="4"/>
  <c r="DM144" i="4"/>
  <c r="EX144" i="4"/>
  <c r="FQ144" i="4"/>
  <c r="AO145" i="4"/>
  <c r="BH145" i="4"/>
  <c r="CA145" i="4"/>
  <c r="CT145" i="4"/>
  <c r="DM145" i="4"/>
  <c r="EX145" i="4"/>
  <c r="FQ145" i="4"/>
  <c r="DM153" i="4"/>
  <c r="EX153" i="4"/>
  <c r="FQ153" i="4"/>
  <c r="AO154" i="4"/>
  <c r="BH154" i="4"/>
  <c r="CA154" i="4"/>
  <c r="CT154" i="4"/>
  <c r="DM154" i="4"/>
  <c r="EX154" i="4"/>
  <c r="FQ154" i="4"/>
  <c r="AO156" i="4"/>
  <c r="BH156" i="4"/>
  <c r="CA156" i="4"/>
  <c r="CT156" i="4"/>
  <c r="DM156" i="4"/>
  <c r="FQ156" i="4"/>
  <c r="AO157" i="4"/>
  <c r="BH157" i="4"/>
  <c r="CA157" i="4"/>
  <c r="CT157" i="4"/>
  <c r="DM157" i="4"/>
  <c r="FQ157" i="4"/>
  <c r="AO158" i="4"/>
  <c r="BH158" i="4"/>
  <c r="CA158" i="4"/>
  <c r="CT158" i="4"/>
  <c r="DM158" i="4"/>
  <c r="EX158" i="4"/>
  <c r="FQ158" i="4"/>
  <c r="AO159" i="4"/>
  <c r="BH159" i="4"/>
  <c r="CA159" i="4"/>
  <c r="CT159" i="4"/>
  <c r="DM159" i="4"/>
  <c r="EX159" i="4"/>
  <c r="FQ159" i="4"/>
  <c r="CA162" i="4"/>
  <c r="CT162" i="4"/>
  <c r="EX162" i="4"/>
  <c r="FQ162" i="4"/>
  <c r="AO164" i="4"/>
  <c r="BH164" i="4"/>
  <c r="CA164" i="4"/>
  <c r="CT164" i="4"/>
  <c r="DM164" i="4"/>
  <c r="EX164" i="4"/>
  <c r="FQ164" i="4"/>
  <c r="AO167" i="4"/>
  <c r="BH167" i="4"/>
  <c r="CA167" i="4"/>
  <c r="CT167" i="4"/>
  <c r="DM167" i="4"/>
  <c r="EX167" i="4"/>
  <c r="FQ167" i="4"/>
  <c r="AO168" i="4"/>
  <c r="BH168" i="4"/>
  <c r="CA168" i="4"/>
  <c r="CT168" i="4"/>
  <c r="DM168" i="4"/>
  <c r="EX168" i="4"/>
  <c r="FQ168" i="4"/>
  <c r="AO169" i="4"/>
  <c r="BH169" i="4"/>
  <c r="CA169" i="4"/>
  <c r="CT169" i="4"/>
  <c r="DM169" i="4"/>
  <c r="EX169" i="4"/>
  <c r="FQ169" i="4"/>
  <c r="BH171" i="4"/>
  <c r="CA171" i="4"/>
  <c r="DM171" i="4"/>
  <c r="EX171" i="4"/>
  <c r="FQ171" i="4"/>
  <c r="AO172" i="4"/>
  <c r="BH172" i="4"/>
  <c r="CA172" i="4"/>
  <c r="CT172" i="4"/>
  <c r="DM172" i="4"/>
  <c r="EX172" i="4"/>
  <c r="FQ172" i="4"/>
  <c r="BH173" i="4"/>
  <c r="CA173" i="4"/>
  <c r="CT173" i="4"/>
  <c r="DM173" i="4"/>
  <c r="EX173" i="4"/>
  <c r="FQ173" i="4"/>
  <c r="AO175" i="4"/>
  <c r="BH175" i="4"/>
  <c r="CA175" i="4"/>
  <c r="CT175" i="4"/>
  <c r="DM175" i="4"/>
  <c r="EX175" i="4"/>
  <c r="FQ175" i="4"/>
  <c r="AO176" i="4"/>
  <c r="BH176" i="4"/>
  <c r="CA176" i="4"/>
  <c r="CT176" i="4"/>
  <c r="DM176" i="4"/>
  <c r="EX176" i="4"/>
  <c r="FQ176" i="4"/>
  <c r="AO177" i="4"/>
  <c r="CA177" i="4"/>
  <c r="CT177" i="4"/>
  <c r="DM177" i="4"/>
  <c r="EX177" i="4"/>
  <c r="FQ177" i="4"/>
  <c r="AO178" i="4"/>
  <c r="BH178" i="4"/>
  <c r="CA178" i="4"/>
  <c r="CT178" i="4"/>
  <c r="DM178" i="4"/>
  <c r="EX178" i="4"/>
  <c r="FQ178" i="4"/>
  <c r="AO179" i="4"/>
  <c r="BH179" i="4"/>
  <c r="CA179" i="4"/>
  <c r="CT179" i="4"/>
  <c r="DM179" i="4"/>
  <c r="EX179" i="4"/>
  <c r="FQ179" i="4"/>
  <c r="AO180" i="4"/>
  <c r="BH180" i="4"/>
  <c r="CA180" i="4"/>
  <c r="CT180" i="4"/>
  <c r="DM180" i="4"/>
  <c r="EX180" i="4"/>
  <c r="FQ180" i="4"/>
  <c r="AO181" i="4"/>
  <c r="BH181" i="4"/>
  <c r="CA181" i="4"/>
  <c r="CT181" i="4"/>
  <c r="DM181" i="4"/>
  <c r="EX181" i="4"/>
  <c r="FQ181" i="4"/>
  <c r="AO182" i="4"/>
  <c r="BH182" i="4"/>
  <c r="CA182" i="4"/>
  <c r="CT182" i="4"/>
  <c r="DM182" i="4"/>
  <c r="EX182" i="4"/>
  <c r="FQ182" i="4"/>
  <c r="AO183" i="4"/>
  <c r="BH183" i="4"/>
  <c r="CA183" i="4"/>
  <c r="CT183" i="4"/>
  <c r="DM183" i="4"/>
  <c r="EX183" i="4"/>
  <c r="FQ183" i="4"/>
  <c r="AO184" i="4"/>
  <c r="BH184" i="4"/>
  <c r="CA184" i="4"/>
  <c r="CT184" i="4"/>
  <c r="DM184" i="4"/>
  <c r="EX184" i="4"/>
  <c r="FQ184" i="4"/>
  <c r="AO185" i="4"/>
  <c r="BH185" i="4"/>
  <c r="CA185" i="4"/>
  <c r="CT185" i="4"/>
  <c r="DM185" i="4"/>
  <c r="EX185" i="4"/>
  <c r="FQ185" i="4"/>
  <c r="AO186" i="4"/>
  <c r="BH186" i="4"/>
  <c r="CA186" i="4"/>
  <c r="CT186" i="4"/>
  <c r="DM186" i="4"/>
  <c r="EX186" i="4"/>
  <c r="FQ186" i="4"/>
  <c r="EX188" i="4"/>
  <c r="FQ188" i="4"/>
  <c r="AO190" i="4"/>
  <c r="BH190" i="4"/>
  <c r="CA190" i="4"/>
  <c r="CT190" i="4"/>
  <c r="DM190" i="4"/>
  <c r="EX190" i="4"/>
  <c r="EX191" i="4"/>
  <c r="EX193" i="4"/>
  <c r="FQ193" i="4"/>
  <c r="AI16" i="9"/>
  <c r="AI17" i="9"/>
  <c r="AI18" i="9"/>
  <c r="AI19" i="9"/>
  <c r="AT28" i="9"/>
  <c r="AF29" i="9"/>
  <c r="AT29" i="9" s="1"/>
  <c r="AF30" i="9"/>
  <c r="AT30" i="9" s="1"/>
  <c r="AF35" i="9"/>
  <c r="AT35" i="9" s="1"/>
  <c r="AT56" i="9"/>
  <c r="AF57" i="9"/>
  <c r="AT57" i="9" s="1"/>
  <c r="AT78" i="9"/>
  <c r="AF97" i="9"/>
  <c r="AT97" i="9" s="1"/>
  <c r="AT98" i="9"/>
  <c r="AF110" i="9"/>
  <c r="AT110" i="9" s="1"/>
  <c r="AF111" i="9"/>
  <c r="AT111" i="9" s="1"/>
  <c r="AT118" i="9"/>
  <c r="AF127" i="9"/>
  <c r="AT127" i="9" s="1"/>
  <c r="AF131" i="9"/>
  <c r="AT131" i="9" s="1"/>
  <c r="AT154" i="9"/>
  <c r="N24" i="9"/>
  <c r="N116" i="9"/>
  <c r="N109" i="9"/>
  <c r="N92" i="9"/>
  <c r="N71" i="9"/>
  <c r="N47" i="9"/>
  <c r="N163" i="9"/>
  <c r="N166" i="9"/>
  <c r="N169" i="9"/>
  <c r="N133" i="9"/>
  <c r="N135" i="9"/>
  <c r="BB16" i="9"/>
  <c r="BB17" i="9"/>
  <c r="BB18" i="9"/>
  <c r="BB19" i="9"/>
  <c r="AY27" i="9"/>
  <c r="BM27" i="9" s="1"/>
  <c r="AY29" i="9"/>
  <c r="BM29" i="9" s="1"/>
  <c r="BM41" i="9"/>
  <c r="AY43" i="9"/>
  <c r="BM43" i="9" s="1"/>
  <c r="BM48" i="9"/>
  <c r="AY53" i="9"/>
  <c r="BM53" i="9" s="1"/>
  <c r="AY56" i="9"/>
  <c r="BM56" i="9" s="1"/>
  <c r="AY67" i="9"/>
  <c r="BM67" i="9" s="1"/>
  <c r="AY68" i="9"/>
  <c r="BM68" i="9" s="1"/>
  <c r="AY69" i="9"/>
  <c r="BM69" i="9" s="1"/>
  <c r="AT27" i="9"/>
  <c r="BM28" i="9"/>
  <c r="BM30" i="9"/>
  <c r="AT32" i="9"/>
  <c r="BM32" i="9"/>
  <c r="BM35" i="9"/>
  <c r="AT37" i="9"/>
  <c r="BM37" i="9"/>
  <c r="AT42" i="9"/>
  <c r="BM42" i="9"/>
  <c r="AT41" i="9"/>
  <c r="AT43" i="9"/>
  <c r="AT45" i="9"/>
  <c r="BM45" i="9"/>
  <c r="AT48" i="9"/>
  <c r="AT51" i="9"/>
  <c r="BM51" i="9"/>
  <c r="AT53" i="9"/>
  <c r="BM57" i="9"/>
  <c r="AT59" i="9"/>
  <c r="BM59" i="9"/>
  <c r="AT58" i="9"/>
  <c r="BM58" i="9"/>
  <c r="AT61" i="9"/>
  <c r="BM61" i="9"/>
  <c r="AT62" i="9"/>
  <c r="BM62" i="9"/>
  <c r="AT63" i="9"/>
  <c r="BM63" i="9"/>
  <c r="AT64" i="9"/>
  <c r="BM64" i="9"/>
  <c r="AT65" i="9"/>
  <c r="BM65" i="9"/>
  <c r="AT66" i="9"/>
  <c r="BM66" i="9"/>
  <c r="AT67" i="9"/>
  <c r="AT68" i="9"/>
  <c r="AT69" i="9"/>
  <c r="AT70" i="9"/>
  <c r="BM70" i="9"/>
  <c r="AT74" i="9"/>
  <c r="BM74" i="9"/>
  <c r="AT73" i="9"/>
  <c r="BM73" i="9"/>
  <c r="AT75" i="9"/>
  <c r="BM75" i="9"/>
  <c r="BM78" i="9"/>
  <c r="AT81" i="9"/>
  <c r="BM81" i="9"/>
  <c r="AT82" i="9"/>
  <c r="BM82" i="9"/>
  <c r="AT83" i="9"/>
  <c r="BM83" i="9"/>
  <c r="AT84" i="9"/>
  <c r="BM84" i="9"/>
  <c r="AT87" i="9"/>
  <c r="BM87" i="9"/>
  <c r="AT88" i="9"/>
  <c r="BM88" i="9"/>
  <c r="AT90" i="9"/>
  <c r="BM90" i="9"/>
  <c r="AT91" i="9"/>
  <c r="BM91" i="9"/>
  <c r="AT94" i="9"/>
  <c r="BM94" i="9"/>
  <c r="AT95" i="9"/>
  <c r="BM95" i="9"/>
  <c r="BM97" i="9"/>
  <c r="BM98" i="9"/>
  <c r="AT105" i="9"/>
  <c r="BM105" i="9"/>
  <c r="AT107" i="9"/>
  <c r="BM107" i="9"/>
  <c r="AT108" i="9"/>
  <c r="BM108" i="9"/>
  <c r="BM110" i="9"/>
  <c r="BM111" i="9"/>
  <c r="AT112" i="9"/>
  <c r="BM112" i="9"/>
  <c r="AT113" i="9"/>
  <c r="BM113" i="9"/>
  <c r="AT114" i="9"/>
  <c r="BM114" i="9"/>
  <c r="AT115" i="9"/>
  <c r="BM115" i="9"/>
  <c r="AT117" i="9"/>
  <c r="BM117" i="9"/>
  <c r="BM118" i="9"/>
  <c r="AT119" i="9"/>
  <c r="BM119" i="9"/>
  <c r="AT120" i="9"/>
  <c r="BM120" i="9"/>
  <c r="AT121" i="9"/>
  <c r="BM121" i="9"/>
  <c r="AT122" i="9"/>
  <c r="BM122" i="9"/>
  <c r="AT123" i="9"/>
  <c r="BM123" i="9"/>
  <c r="BM127" i="9"/>
  <c r="AT128" i="9"/>
  <c r="BM128" i="9"/>
  <c r="BM131" i="9"/>
  <c r="AT134" i="9"/>
  <c r="BM134" i="9"/>
  <c r="AT136" i="9"/>
  <c r="BM136" i="9"/>
  <c r="AT139" i="9"/>
  <c r="BM139" i="9"/>
  <c r="AT140" i="9"/>
  <c r="BM140" i="9"/>
  <c r="AT141" i="9"/>
  <c r="BM141" i="9"/>
  <c r="AT143" i="9"/>
  <c r="BM143" i="9"/>
  <c r="AT144" i="9"/>
  <c r="BM144" i="9"/>
  <c r="AT145" i="9"/>
  <c r="BM145" i="9"/>
  <c r="AT146" i="9"/>
  <c r="BM146" i="9"/>
  <c r="AT147" i="9"/>
  <c r="BM147" i="9"/>
  <c r="AT148" i="9"/>
  <c r="BM148" i="9"/>
  <c r="AT149" i="9"/>
  <c r="BM149" i="9"/>
  <c r="AT150" i="9"/>
  <c r="BM150" i="9"/>
  <c r="AT151" i="9"/>
  <c r="BM151" i="9"/>
  <c r="AT152" i="9"/>
  <c r="BM152" i="9"/>
  <c r="BM154" i="9"/>
  <c r="AT155" i="9"/>
  <c r="BM155" i="9"/>
  <c r="AT157" i="9"/>
  <c r="BM157" i="9"/>
  <c r="AT158" i="9"/>
  <c r="BM158" i="9"/>
  <c r="AT164" i="9"/>
  <c r="BM164" i="9"/>
  <c r="AT167" i="9"/>
  <c r="BM167" i="9"/>
  <c r="AT168" i="9"/>
  <c r="BM168" i="9"/>
  <c r="AT170" i="9"/>
  <c r="BM170" i="9"/>
  <c r="T28" i="5"/>
  <c r="T29" i="5"/>
  <c r="T30" i="5"/>
  <c r="T31" i="5"/>
  <c r="T32" i="5"/>
  <c r="AO33" i="5"/>
  <c r="T35" i="5"/>
  <c r="T44" i="5"/>
  <c r="T48" i="5"/>
  <c r="T53" i="5"/>
  <c r="T54" i="5"/>
  <c r="T58" i="5"/>
  <c r="T63" i="5"/>
  <c r="T65" i="5"/>
  <c r="T66" i="5"/>
  <c r="T68" i="5"/>
  <c r="T69" i="5"/>
  <c r="T71" i="5"/>
  <c r="T72" i="5"/>
  <c r="T76" i="5"/>
  <c r="T79" i="5"/>
  <c r="T81" i="5"/>
  <c r="T83" i="5"/>
  <c r="T84" i="5"/>
  <c r="T85" i="5"/>
  <c r="T89" i="5"/>
  <c r="T88" i="5"/>
  <c r="T90" i="5"/>
  <c r="T94" i="5"/>
  <c r="T95" i="5"/>
  <c r="T97" i="5"/>
  <c r="T98" i="5"/>
  <c r="T99" i="5"/>
  <c r="T100" i="5"/>
  <c r="T101" i="5"/>
  <c r="T103" i="5"/>
  <c r="T106" i="5"/>
  <c r="T107" i="5"/>
  <c r="T108" i="5"/>
  <c r="T110" i="5"/>
  <c r="T111" i="5"/>
  <c r="T112" i="5"/>
  <c r="T114" i="5"/>
  <c r="T116" i="5"/>
  <c r="T118" i="5"/>
  <c r="Q24" i="7"/>
  <c r="AA31" i="7"/>
  <c r="Q31" i="7" s="1"/>
  <c r="Q32" i="7"/>
  <c r="Q33" i="7"/>
  <c r="Q34" i="7"/>
  <c r="AA35" i="7"/>
  <c r="Q35" i="7" s="1"/>
  <c r="AA36" i="7"/>
  <c r="Q36" i="7" s="1"/>
  <c r="Q37" i="7"/>
  <c r="Q38" i="7"/>
  <c r="AA39" i="7"/>
  <c r="Q39" i="7" s="1"/>
  <c r="Q40" i="7"/>
  <c r="AA41" i="7"/>
  <c r="Q41" i="7" s="1"/>
  <c r="AA44" i="7"/>
  <c r="Q44" i="7" s="1"/>
  <c r="AA45" i="7"/>
  <c r="Q45" i="7" s="1"/>
  <c r="Q46" i="7"/>
  <c r="Q47" i="7"/>
  <c r="Q49" i="7"/>
  <c r="Q52" i="7"/>
  <c r="Q54" i="7"/>
  <c r="Q56" i="7"/>
  <c r="Q57" i="7"/>
  <c r="Q59" i="7"/>
  <c r="Q60" i="7"/>
  <c r="Q62" i="7"/>
  <c r="Q63" i="7"/>
  <c r="Q66" i="7"/>
  <c r="Q68" i="7"/>
  <c r="Q69" i="7"/>
  <c r="Q71" i="7"/>
  <c r="Q72" i="7"/>
  <c r="Q73" i="7"/>
  <c r="Q74" i="7"/>
  <c r="Q75" i="7"/>
  <c r="Q76" i="7"/>
  <c r="AA78" i="7"/>
  <c r="Q78" i="7" s="1"/>
  <c r="Q79" i="7"/>
  <c r="Q81" i="7"/>
  <c r="Q82" i="7"/>
  <c r="Q85" i="7"/>
  <c r="Q87" i="7"/>
  <c r="Q90" i="7"/>
  <c r="Q91" i="7"/>
  <c r="Q92" i="7"/>
  <c r="AA94" i="7"/>
  <c r="Q94" i="7" s="1"/>
  <c r="AA95" i="7"/>
  <c r="Q95" i="7" s="1"/>
  <c r="AA97" i="7"/>
  <c r="Q97" i="7" s="1"/>
  <c r="AA99" i="7"/>
  <c r="Q99" i="7" s="1"/>
  <c r="Q100" i="7"/>
  <c r="AA102" i="7"/>
  <c r="Q102" i="7" s="1"/>
  <c r="AA24" i="8"/>
  <c r="AO24" i="8" s="1"/>
  <c r="AT24" i="8"/>
  <c r="BH24" i="8" s="1"/>
  <c r="BM24" i="8"/>
  <c r="CA24" i="8" s="1"/>
  <c r="CF24" i="8"/>
  <c r="CT24" i="8" s="1"/>
  <c r="Q25" i="8"/>
  <c r="Q31" i="8"/>
  <c r="Q32" i="8"/>
  <c r="Q33" i="8"/>
  <c r="AO34" i="8"/>
  <c r="BH34" i="8"/>
  <c r="CA34" i="8"/>
  <c r="AT35" i="8"/>
  <c r="BH35" i="8" s="1"/>
  <c r="BM35" i="8"/>
  <c r="CA35" i="8" s="1"/>
  <c r="CF35" i="8"/>
  <c r="CT35" i="8" s="1"/>
  <c r="AA36" i="8"/>
  <c r="AO36" i="8" s="1"/>
  <c r="AT36" i="8"/>
  <c r="BH36" i="8" s="1"/>
  <c r="AA37" i="8"/>
  <c r="AO37" i="8" s="1"/>
  <c r="AT37" i="8"/>
  <c r="BH37" i="8" s="1"/>
  <c r="BM37" i="8"/>
  <c r="CA37" i="8" s="1"/>
  <c r="CF37" i="8"/>
  <c r="CT37" i="8" s="1"/>
  <c r="Q38" i="8"/>
  <c r="AT39" i="8"/>
  <c r="Q39" i="8" s="1"/>
  <c r="AA40" i="8"/>
  <c r="AO40" i="8" s="1"/>
  <c r="AT40" i="8"/>
  <c r="BH40" i="8" s="1"/>
  <c r="BM40" i="8"/>
  <c r="CA40" i="8" s="1"/>
  <c r="CF40" i="8"/>
  <c r="CT40" i="8" s="1"/>
  <c r="AO46" i="8"/>
  <c r="BH46" i="8"/>
  <c r="CA46" i="8"/>
  <c r="CT46" i="8"/>
  <c r="Q48" i="8"/>
  <c r="AO54" i="8"/>
  <c r="BH54" i="8"/>
  <c r="CA54" i="8"/>
  <c r="CT54" i="8"/>
  <c r="AA58" i="8"/>
  <c r="Q58" i="8" s="1"/>
  <c r="AO60" i="8"/>
  <c r="BH60" i="8"/>
  <c r="CA60" i="8"/>
  <c r="CT60" i="8"/>
  <c r="Q61" i="8"/>
  <c r="Q63" i="8"/>
  <c r="Q64" i="8"/>
  <c r="Q66" i="8"/>
  <c r="Q67" i="8"/>
  <c r="AO71" i="8"/>
  <c r="BH71" i="8"/>
  <c r="CA71" i="8"/>
  <c r="CT71" i="8"/>
  <c r="AO72" i="8"/>
  <c r="BH72" i="8"/>
  <c r="CA72" i="8"/>
  <c r="CT72" i="8"/>
  <c r="BM74" i="8"/>
  <c r="Q74" i="8" s="1"/>
  <c r="BM76" i="8"/>
  <c r="Q76" i="8" s="1"/>
  <c r="AO78" i="8"/>
  <c r="CA78" i="8"/>
  <c r="BM81" i="8"/>
  <c r="Q81" i="8" s="1"/>
  <c r="Q83" i="8"/>
  <c r="BM90" i="8"/>
  <c r="Q90" i="8" s="1"/>
  <c r="Q88" i="8"/>
  <c r="AA86" i="8"/>
  <c r="AO86" i="8" s="1"/>
  <c r="BM86" i="8"/>
  <c r="CA86" i="8" s="1"/>
  <c r="CF86" i="8"/>
  <c r="CT86" i="8" s="1"/>
  <c r="AA89" i="8"/>
  <c r="AO89" i="8" s="1"/>
  <c r="AT89" i="8"/>
  <c r="BH89" i="8" s="1"/>
  <c r="BM89" i="8"/>
  <c r="CA89" i="8" s="1"/>
  <c r="AO93" i="8"/>
  <c r="BH93" i="8"/>
  <c r="CA93" i="8"/>
  <c r="BM94" i="8"/>
  <c r="Q94" i="8" s="1"/>
  <c r="Q96" i="8"/>
  <c r="Q97" i="8"/>
  <c r="Q100" i="8"/>
  <c r="AA102" i="8"/>
  <c r="AO102" i="8" s="1"/>
  <c r="CF105" i="8"/>
  <c r="Q105" i="8" s="1"/>
  <c r="Q106" i="8"/>
  <c r="Q107" i="8"/>
  <c r="AA109" i="8"/>
  <c r="AO109" i="8" s="1"/>
  <c r="CF109" i="8"/>
  <c r="CT109" i="8" s="1"/>
  <c r="Q110" i="8"/>
  <c r="AA111" i="8"/>
  <c r="AO111" i="8" s="1"/>
  <c r="CF111" i="8"/>
  <c r="AO113" i="8"/>
  <c r="BH113" i="8"/>
  <c r="CA113" i="8"/>
  <c r="Q115" i="8"/>
  <c r="AA116" i="8"/>
  <c r="AO116" i="8" s="1"/>
  <c r="AT116" i="8"/>
  <c r="BH116" i="8" s="1"/>
  <c r="BM116" i="8"/>
  <c r="CA116" i="8" s="1"/>
  <c r="AA118" i="8"/>
  <c r="AO118" i="8" s="1"/>
  <c r="AT118" i="8"/>
  <c r="BH118" i="8" s="1"/>
  <c r="BM118" i="8"/>
  <c r="CA118" i="8" s="1"/>
  <c r="S247" i="3"/>
  <c r="AX247" i="3"/>
  <c r="T247" i="3" s="1"/>
  <c r="FD58" i="4"/>
  <c r="EK58" i="4"/>
  <c r="CZ58" i="4"/>
  <c r="CG58" i="4"/>
  <c r="BN58" i="4"/>
  <c r="AU58" i="4"/>
  <c r="S297" i="3"/>
  <c r="S29" i="3"/>
  <c r="S43" i="3"/>
  <c r="S59" i="3"/>
  <c r="S48" i="3"/>
  <c r="AX297" i="3"/>
  <c r="T297" i="3" s="1"/>
  <c r="AX29" i="3"/>
  <c r="T29" i="3" s="1"/>
  <c r="AX43" i="3"/>
  <c r="T43" i="3" s="1"/>
  <c r="AX59" i="3"/>
  <c r="T59" i="3" s="1"/>
  <c r="AX48" i="3"/>
  <c r="T48" i="3" s="1"/>
  <c r="S26" i="3"/>
  <c r="AX26" i="3"/>
  <c r="T26" i="3" s="1"/>
  <c r="V76" i="5"/>
  <c r="S69" i="3"/>
  <c r="AX69" i="3"/>
  <c r="T69" i="3" s="1"/>
  <c r="O198" i="4"/>
  <c r="N198" i="4"/>
  <c r="N195" i="4"/>
  <c r="O195" i="4"/>
  <c r="FQ200" i="4"/>
  <c r="EX200" i="4"/>
  <c r="DM200" i="4"/>
  <c r="CT200" i="4"/>
  <c r="CA200" i="4"/>
  <c r="BH200" i="4"/>
  <c r="AO200" i="4"/>
  <c r="FQ199" i="4"/>
  <c r="FN199" i="4"/>
  <c r="FF199" i="4"/>
  <c r="EX199" i="4"/>
  <c r="EU199" i="4"/>
  <c r="EM199" i="4"/>
  <c r="DJ199" i="4"/>
  <c r="DB199" i="4"/>
  <c r="CT199" i="4"/>
  <c r="CQ199" i="4"/>
  <c r="CI199" i="4"/>
  <c r="CA199" i="4"/>
  <c r="BX199" i="4"/>
  <c r="BP199" i="4"/>
  <c r="BH199" i="4"/>
  <c r="BE199" i="4"/>
  <c r="AW199" i="4"/>
  <c r="AO199" i="4"/>
  <c r="AL199" i="4"/>
  <c r="AD199" i="4"/>
  <c r="FF196" i="4"/>
  <c r="EM196" i="4"/>
  <c r="BP196" i="4"/>
  <c r="AW196" i="4"/>
  <c r="AD196" i="4"/>
  <c r="FQ197" i="4"/>
  <c r="EX197" i="4"/>
  <c r="CT197" i="4"/>
  <c r="CA197" i="4"/>
  <c r="BH197" i="4"/>
  <c r="AO197" i="4"/>
  <c r="FQ196" i="4"/>
  <c r="EX196" i="4"/>
  <c r="CT196" i="4"/>
  <c r="CA196" i="4"/>
  <c r="BH196" i="4"/>
  <c r="AO196" i="4"/>
  <c r="S172" i="3"/>
  <c r="S123" i="3"/>
  <c r="S122" i="3"/>
  <c r="AD16" i="5"/>
  <c r="AD17" i="5"/>
  <c r="AD18" i="5"/>
  <c r="AD19" i="5"/>
  <c r="V48" i="5"/>
  <c r="S373" i="3"/>
  <c r="CI18" i="8"/>
  <c r="CI19" i="8"/>
  <c r="CI20" i="8"/>
  <c r="CI21" i="8"/>
  <c r="BP18" i="8"/>
  <c r="BP19" i="8"/>
  <c r="BP20" i="8"/>
  <c r="BP21" i="8"/>
  <c r="AW18" i="8"/>
  <c r="AW19" i="8"/>
  <c r="AW20" i="8"/>
  <c r="AW21" i="8"/>
  <c r="AD18" i="8"/>
  <c r="AD19" i="8"/>
  <c r="AD20" i="8"/>
  <c r="AD21" i="8"/>
  <c r="AX373" i="3"/>
  <c r="T373" i="3" s="1"/>
  <c r="AV348" i="3"/>
  <c r="Q348" i="3" s="1"/>
  <c r="S205" i="3"/>
  <c r="AV374" i="3"/>
  <c r="Q374" i="3" s="1"/>
  <c r="CT25" i="8"/>
  <c r="CA25" i="8"/>
  <c r="BH25" i="8"/>
  <c r="AO25" i="8"/>
  <c r="S341" i="3"/>
  <c r="AV341" i="3"/>
  <c r="Q341" i="3" s="1"/>
  <c r="AD18" i="7"/>
  <c r="AD19" i="7"/>
  <c r="AD20" i="7"/>
  <c r="AD21" i="7"/>
  <c r="S196" i="3"/>
  <c r="S57" i="3"/>
  <c r="AX57" i="3"/>
  <c r="T57" i="3" s="1"/>
  <c r="S302" i="3"/>
  <c r="AX302" i="3"/>
  <c r="T302" i="3" s="1"/>
  <c r="S389" i="3"/>
  <c r="AX389" i="3"/>
  <c r="T389" i="3" s="1"/>
  <c r="S336" i="3"/>
  <c r="AX336" i="3"/>
  <c r="T336" i="3" s="1"/>
  <c r="O189" i="4"/>
  <c r="O187" i="4"/>
  <c r="O170" i="4"/>
  <c r="O166" i="4"/>
  <c r="O163" i="4"/>
  <c r="O161" i="4"/>
  <c r="O160" i="4" s="1"/>
  <c r="O155" i="4"/>
  <c r="O152" i="4"/>
  <c r="O141" i="4"/>
  <c r="O135" i="4"/>
  <c r="O114" i="4"/>
  <c r="O118" i="4"/>
  <c r="O109" i="4"/>
  <c r="O97" i="4"/>
  <c r="N29" i="4"/>
  <c r="O29" i="4"/>
  <c r="O28" i="4" s="1" a="1"/>
  <c r="O28" i="4" s="1"/>
  <c r="AV77" i="3"/>
  <c r="Q77" i="3" s="1"/>
  <c r="S138" i="3"/>
  <c r="AO71" i="5"/>
  <c r="V71" i="5"/>
  <c r="S139" i="3"/>
  <c r="S222" i="3"/>
  <c r="S210" i="3"/>
  <c r="S216" i="3"/>
  <c r="AV363" i="3"/>
  <c r="Q363" i="3" s="1"/>
  <c r="AV359" i="3"/>
  <c r="Q359" i="3" s="1"/>
  <c r="S194" i="3"/>
  <c r="AX194" i="3"/>
  <c r="T194" i="3" s="1"/>
  <c r="S186" i="3"/>
  <c r="AX186" i="3"/>
  <c r="T186" i="3" s="1"/>
  <c r="S309" i="3"/>
  <c r="AX309" i="3"/>
  <c r="T309" i="3" s="1"/>
  <c r="S206" i="3"/>
  <c r="AX206" i="3"/>
  <c r="T206" i="3" s="1"/>
  <c r="AX205" i="3"/>
  <c r="T205" i="3" s="1"/>
  <c r="S203" i="3"/>
  <c r="AX203" i="3"/>
  <c r="T203" i="3" s="1"/>
  <c r="S202" i="3"/>
  <c r="AX202" i="3"/>
  <c r="T202" i="3" s="1"/>
  <c r="S201" i="3"/>
  <c r="AX201" i="3"/>
  <c r="T201" i="3" s="1"/>
  <c r="S200" i="3"/>
  <c r="AX200" i="3"/>
  <c r="T200" i="3" s="1"/>
  <c r="S199" i="3"/>
  <c r="AX199" i="3"/>
  <c r="T199" i="3" s="1"/>
  <c r="S198" i="3"/>
  <c r="AX198" i="3"/>
  <c r="T198" i="3" s="1"/>
  <c r="S197" i="3"/>
  <c r="AX197" i="3"/>
  <c r="T197" i="3" s="1"/>
  <c r="S54" i="3"/>
  <c r="AX54" i="3"/>
  <c r="T54" i="3" s="1"/>
  <c r="S279" i="3"/>
  <c r="S67" i="3"/>
  <c r="AX67" i="3"/>
  <c r="T67" i="3" s="1"/>
  <c r="S49" i="3"/>
  <c r="S355" i="3"/>
  <c r="AV355" i="3"/>
  <c r="Q355" i="3" s="1"/>
  <c r="N159" i="9"/>
  <c r="S324" i="3"/>
  <c r="AX324" i="3"/>
  <c r="T324" i="3" s="1"/>
  <c r="S362" i="3"/>
  <c r="AV362" i="3"/>
  <c r="Q362" i="3" s="1"/>
  <c r="S316" i="3"/>
  <c r="AX316" i="3"/>
  <c r="T316" i="3" s="1"/>
  <c r="AV332" i="3"/>
  <c r="Q332" i="3" s="1"/>
  <c r="S349" i="3"/>
  <c r="AV349" i="3"/>
  <c r="Q349" i="3" s="1"/>
  <c r="FU201" i="4"/>
  <c r="CX201" i="4"/>
  <c r="CE201" i="4"/>
  <c r="CF3" i="4"/>
  <c r="BL201" i="4"/>
  <c r="DQ201" i="4"/>
  <c r="AS201" i="4"/>
  <c r="FB201" i="4"/>
  <c r="AV392" i="3"/>
  <c r="Q392" i="3" s="1"/>
  <c r="S392" i="3"/>
  <c r="AX392" i="3"/>
  <c r="T392" i="3" s="1"/>
  <c r="AV371" i="3"/>
  <c r="Q371" i="3" s="1"/>
  <c r="AV386" i="3"/>
  <c r="Q386" i="3" s="1"/>
  <c r="AV367" i="3"/>
  <c r="Q367" i="3" s="1"/>
  <c r="AV366" i="3"/>
  <c r="Q366" i="3" s="1"/>
  <c r="AV364" i="3"/>
  <c r="Q364" i="3" s="1"/>
  <c r="AV342" i="3"/>
  <c r="Q342" i="3" s="1"/>
  <c r="AV385" i="3"/>
  <c r="Q385" i="3" s="1"/>
  <c r="AV377" i="3"/>
  <c r="Q377" i="3" s="1"/>
  <c r="AV375" i="3"/>
  <c r="Q375" i="3" s="1"/>
  <c r="AV338" i="3"/>
  <c r="Q338" i="3" s="1"/>
  <c r="AV322" i="3"/>
  <c r="Q322" i="3" s="1"/>
  <c r="AV314" i="3"/>
  <c r="Q314" i="3" s="1"/>
  <c r="AV395" i="3"/>
  <c r="Q395" i="3" s="1"/>
  <c r="AV387" i="3"/>
  <c r="Q387" i="3" s="1"/>
  <c r="AV383" i="3"/>
  <c r="Q383" i="3" s="1"/>
  <c r="AV382" i="3"/>
  <c r="Q382" i="3" s="1"/>
  <c r="AV378" i="3"/>
  <c r="Q378" i="3" s="1"/>
  <c r="AV376" i="3"/>
  <c r="Q376" i="3" s="1"/>
  <c r="AV372" i="3"/>
  <c r="Q372" i="3" s="1"/>
  <c r="AV365" i="3"/>
  <c r="Q365" i="3" s="1"/>
  <c r="AV360" i="3"/>
  <c r="Q360" i="3" s="1"/>
  <c r="AV358" i="3"/>
  <c r="Q358" i="3" s="1"/>
  <c r="AV352" i="3"/>
  <c r="Q352" i="3" s="1"/>
  <c r="AV311" i="3"/>
  <c r="Q311" i="3" s="1"/>
  <c r="AV305" i="3"/>
  <c r="Q305" i="3" s="1"/>
  <c r="AV357" i="3"/>
  <c r="Q357" i="3" s="1"/>
  <c r="AV350" i="3"/>
  <c r="Q350" i="3" s="1"/>
  <c r="AV345" i="3"/>
  <c r="Q345" i="3" s="1"/>
  <c r="AV340" i="3"/>
  <c r="Q340" i="3" s="1"/>
  <c r="AV339" i="3"/>
  <c r="Q339" i="3" s="1"/>
  <c r="AV337" i="3"/>
  <c r="Q337" i="3" s="1"/>
  <c r="Q319" i="3"/>
  <c r="AV327" i="3"/>
  <c r="Q327" i="3" s="1"/>
  <c r="AV312" i="3"/>
  <c r="Q312" i="3" s="1"/>
  <c r="S23" i="3"/>
  <c r="AX23" i="3"/>
  <c r="T23" i="3" s="1"/>
  <c r="S79" i="3"/>
  <c r="AX79" i="3"/>
  <c r="T79" i="3" s="1"/>
  <c r="S110" i="3"/>
  <c r="AX110" i="3"/>
  <c r="T110" i="3" s="1"/>
  <c r="S263" i="3"/>
  <c r="AX263" i="3"/>
  <c r="T263" i="3" s="1"/>
  <c r="S39" i="3"/>
  <c r="AX39" i="3"/>
  <c r="T39" i="3" s="1"/>
  <c r="S51" i="3"/>
  <c r="AX51" i="3"/>
  <c r="T51" i="3" s="1"/>
  <c r="S41" i="3"/>
  <c r="AX41" i="3"/>
  <c r="T41" i="3" s="1"/>
  <c r="S47" i="3"/>
  <c r="AX47" i="3"/>
  <c r="T47" i="3" s="1"/>
  <c r="S32" i="3"/>
  <c r="AX32" i="3"/>
  <c r="T32" i="3" s="1"/>
  <c r="S305" i="3"/>
  <c r="AX305" i="3"/>
  <c r="T305" i="3" s="1"/>
  <c r="S36" i="3"/>
  <c r="AX36" i="3"/>
  <c r="T36" i="3" s="1"/>
  <c r="S294" i="3"/>
  <c r="AX294" i="3"/>
  <c r="T294" i="3" s="1"/>
  <c r="S322" i="3"/>
  <c r="S314" i="3"/>
  <c r="S375" i="3"/>
  <c r="S352" i="3"/>
  <c r="S24" i="3"/>
  <c r="S42" i="3"/>
  <c r="AX42" i="3"/>
  <c r="T42" i="3" s="1"/>
  <c r="AX49" i="3"/>
  <c r="T49" i="3" s="1"/>
  <c r="S189" i="3"/>
  <c r="AX189" i="3"/>
  <c r="T189" i="3" s="1"/>
  <c r="S377" i="3"/>
  <c r="AX377" i="3"/>
  <c r="T377" i="3" s="1"/>
  <c r="AX355" i="3"/>
  <c r="T355" i="3" s="1"/>
  <c r="AX322" i="3"/>
  <c r="T322" i="3" s="1"/>
  <c r="AX314" i="3"/>
  <c r="T314" i="3" s="1"/>
  <c r="S358" i="3"/>
  <c r="AX349" i="3"/>
  <c r="T349" i="3" s="1"/>
  <c r="AX400" i="3"/>
  <c r="T400" i="3" s="1"/>
  <c r="AX398" i="3"/>
  <c r="T398" i="3" s="1"/>
  <c r="AX396" i="3"/>
  <c r="T396" i="3" s="1"/>
  <c r="AX395" i="3"/>
  <c r="T395" i="3" s="1"/>
  <c r="AX386" i="3"/>
  <c r="T386" i="3" s="1"/>
  <c r="AX385" i="3"/>
  <c r="T385" i="3" s="1"/>
  <c r="AX383" i="3"/>
  <c r="T383" i="3" s="1"/>
  <c r="AX382" i="3"/>
  <c r="T382" i="3" s="1"/>
  <c r="AX376" i="3"/>
  <c r="T376" i="3" s="1"/>
  <c r="AX375" i="3"/>
  <c r="T375" i="3" s="1"/>
  <c r="AX374" i="3"/>
  <c r="T374" i="3" s="1"/>
  <c r="AX372" i="3"/>
  <c r="T372" i="3" s="1"/>
  <c r="AX371" i="3"/>
  <c r="T371" i="3" s="1"/>
  <c r="AX367" i="3"/>
  <c r="T367" i="3" s="1"/>
  <c r="AX366" i="3"/>
  <c r="T366" i="3" s="1"/>
  <c r="AX365" i="3"/>
  <c r="T365" i="3" s="1"/>
  <c r="AX363" i="3"/>
  <c r="T363" i="3" s="1"/>
  <c r="AX362" i="3"/>
  <c r="T362" i="3" s="1"/>
  <c r="AX360" i="3"/>
  <c r="T360" i="3" s="1"/>
  <c r="AX358" i="3"/>
  <c r="T358" i="3" s="1"/>
  <c r="AX357" i="3"/>
  <c r="T357" i="3" s="1"/>
  <c r="AX352" i="3"/>
  <c r="T352" i="3" s="1"/>
  <c r="AX350" i="3"/>
  <c r="T350" i="3" s="1"/>
  <c r="AX348" i="3"/>
  <c r="T348" i="3" s="1"/>
  <c r="AX345" i="3"/>
  <c r="T345" i="3" s="1"/>
  <c r="AX340" i="3"/>
  <c r="T340" i="3" s="1"/>
  <c r="AX339" i="3"/>
  <c r="T339" i="3" s="1"/>
  <c r="AX338" i="3"/>
  <c r="T338" i="3" s="1"/>
  <c r="AX337" i="3"/>
  <c r="T337" i="3" s="1"/>
  <c r="AX319" i="3"/>
  <c r="T319" i="3" s="1"/>
  <c r="AX332" i="3"/>
  <c r="T332" i="3" s="1"/>
  <c r="AX327" i="3"/>
  <c r="T327" i="3" s="1"/>
  <c r="AX312" i="3"/>
  <c r="T312" i="3" s="1"/>
  <c r="AX311" i="3"/>
  <c r="T311" i="3" s="1"/>
  <c r="AX291" i="3"/>
  <c r="T291" i="3" s="1"/>
  <c r="AX290" i="3"/>
  <c r="T290" i="3" s="1"/>
  <c r="AX289" i="3"/>
  <c r="T289" i="3" s="1"/>
  <c r="AX287" i="3"/>
  <c r="T287" i="3" s="1"/>
  <c r="AX286" i="3"/>
  <c r="T286" i="3" s="1"/>
  <c r="AX283" i="3"/>
  <c r="T283" i="3" s="1"/>
  <c r="AX282" i="3"/>
  <c r="T282" i="3" s="1"/>
  <c r="AX279" i="3"/>
  <c r="T279" i="3" s="1"/>
  <c r="AX277" i="3"/>
  <c r="T277" i="3" s="1"/>
  <c r="AX276" i="3"/>
  <c r="T276" i="3" s="1"/>
  <c r="AX275" i="3"/>
  <c r="T275" i="3" s="1"/>
  <c r="AX274" i="3"/>
  <c r="T274" i="3" s="1"/>
  <c r="AX269" i="3"/>
  <c r="T269" i="3" s="1"/>
  <c r="AX268" i="3"/>
  <c r="T268" i="3" s="1"/>
  <c r="AX267" i="3"/>
  <c r="T267" i="3" s="1"/>
  <c r="AX266" i="3"/>
  <c r="T266" i="3" s="1"/>
  <c r="AX265" i="3"/>
  <c r="T265" i="3" s="1"/>
  <c r="AX262" i="3"/>
  <c r="T262" i="3" s="1"/>
  <c r="AX261" i="3"/>
  <c r="T261" i="3" s="1"/>
  <c r="AX253" i="3"/>
  <c r="T253" i="3" s="1"/>
  <c r="AX251" i="3"/>
  <c r="T251" i="3" s="1"/>
  <c r="AX249" i="3"/>
  <c r="T249" i="3" s="1"/>
  <c r="AX237" i="3"/>
  <c r="T237" i="3" s="1"/>
  <c r="AX236" i="3"/>
  <c r="T236" i="3" s="1"/>
  <c r="AX235" i="3"/>
  <c r="T235" i="3" s="1"/>
  <c r="AX234" i="3"/>
  <c r="T234" i="3" s="1"/>
  <c r="AX233" i="3"/>
  <c r="T233" i="3" s="1"/>
  <c r="AX232" i="3"/>
  <c r="T232" i="3" s="1"/>
  <c r="AX229" i="3"/>
  <c r="T229" i="3" s="1"/>
  <c r="AX227" i="3"/>
  <c r="T227" i="3" s="1"/>
  <c r="AX226" i="3"/>
  <c r="T226" i="3" s="1"/>
  <c r="AX222" i="3"/>
  <c r="T222" i="3" s="1"/>
  <c r="AX248" i="3"/>
  <c r="T248" i="3" s="1"/>
  <c r="AX216" i="3"/>
  <c r="T216" i="3" s="1"/>
  <c r="AX214" i="3"/>
  <c r="T214" i="3" s="1"/>
  <c r="AX208" i="3"/>
  <c r="T208" i="3" s="1"/>
  <c r="AX181" i="3"/>
  <c r="T181" i="3" s="1"/>
  <c r="AX179" i="3"/>
  <c r="T179" i="3" s="1"/>
  <c r="AX174" i="3"/>
  <c r="T174" i="3" s="1"/>
  <c r="AX109" i="3"/>
  <c r="T109" i="3" s="1"/>
  <c r="AX105" i="3"/>
  <c r="T105" i="3" s="1"/>
  <c r="AX147" i="3"/>
  <c r="T147" i="3" s="1"/>
  <c r="AX144" i="3"/>
  <c r="T144" i="3" s="1"/>
  <c r="AX139" i="3"/>
  <c r="T139" i="3" s="1"/>
  <c r="AX137" i="3"/>
  <c r="T137" i="3" s="1"/>
  <c r="AX131" i="3"/>
  <c r="T131" i="3" s="1"/>
  <c r="AX126" i="3"/>
  <c r="T126" i="3" s="1"/>
  <c r="AX119" i="3"/>
  <c r="T119" i="3" s="1"/>
  <c r="AX117" i="3"/>
  <c r="T117" i="3" s="1"/>
  <c r="AX114" i="3"/>
  <c r="T114" i="3" s="1"/>
  <c r="AX113" i="3"/>
  <c r="T113" i="3" s="1"/>
  <c r="AX112" i="3"/>
  <c r="T112" i="3" s="1"/>
  <c r="AX111" i="3"/>
  <c r="T111" i="3" s="1"/>
  <c r="AX107" i="3"/>
  <c r="T107" i="3" s="1"/>
  <c r="AX99" i="3"/>
  <c r="T99" i="3" s="1"/>
  <c r="AX98" i="3"/>
  <c r="T98" i="3" s="1"/>
  <c r="AX96" i="3"/>
  <c r="T96" i="3" s="1"/>
  <c r="AX84" i="3"/>
  <c r="T84" i="3" s="1"/>
  <c r="AX83" i="3"/>
  <c r="T83" i="3" s="1"/>
  <c r="AX82" i="3"/>
  <c r="T82" i="3" s="1"/>
  <c r="AX81" i="3"/>
  <c r="T81" i="3" s="1"/>
  <c r="AX80" i="3"/>
  <c r="T80" i="3" s="1"/>
  <c r="AX78" i="3"/>
  <c r="T78" i="3" s="1"/>
  <c r="AX76" i="3"/>
  <c r="T76" i="3" s="1"/>
  <c r="AX58" i="3"/>
  <c r="T58" i="3" s="1"/>
  <c r="AX55" i="3"/>
  <c r="T55" i="3" s="1"/>
  <c r="AX46" i="3"/>
  <c r="T46" i="3" s="1"/>
  <c r="AX40" i="3"/>
  <c r="T40" i="3" s="1"/>
  <c r="AX34" i="3"/>
  <c r="T34" i="3" s="1"/>
  <c r="AX31" i="3"/>
  <c r="T31" i="3" s="1"/>
  <c r="AX28" i="3"/>
  <c r="T28" i="3" s="1"/>
  <c r="AX292" i="3"/>
  <c r="T292" i="3" s="1"/>
  <c r="AX293" i="3"/>
  <c r="T293" i="3" s="1"/>
  <c r="AX295" i="3"/>
  <c r="T295" i="3" s="1"/>
  <c r="AX296" i="3"/>
  <c r="T296" i="3" s="1"/>
  <c r="AX306" i="3"/>
  <c r="T306" i="3" s="1"/>
  <c r="AX299" i="3"/>
  <c r="T299" i="3" s="1"/>
  <c r="AX298" i="3"/>
  <c r="T298" i="3" s="1"/>
  <c r="AX304" i="3"/>
  <c r="T304" i="3" s="1"/>
  <c r="AX24" i="3"/>
  <c r="T24" i="3" s="1"/>
  <c r="AX307" i="3"/>
  <c r="T307" i="3" s="1"/>
  <c r="AX77" i="3"/>
  <c r="T77" i="3" s="1"/>
  <c r="AX20" i="3"/>
  <c r="T20" i="3" s="1"/>
  <c r="AX19" i="3"/>
  <c r="T19" i="3" s="1"/>
  <c r="AX17" i="3"/>
  <c r="T17" i="3" s="1"/>
  <c r="AX15" i="3"/>
  <c r="T15" i="3" s="1"/>
  <c r="AX14" i="3"/>
  <c r="T14" i="3" s="1"/>
  <c r="AX11" i="3"/>
  <c r="T11" i="3" s="1"/>
  <c r="AX7" i="3"/>
  <c r="T7" i="3" s="1"/>
  <c r="AX5" i="3"/>
  <c r="T5" i="3" s="1"/>
  <c r="AX4" i="3"/>
  <c r="T4" i="3" s="1"/>
  <c r="S220" i="3"/>
  <c r="AX220" i="3"/>
  <c r="T220" i="3" s="1"/>
  <c r="S214" i="3"/>
  <c r="S96" i="3"/>
  <c r="AA3" i="4"/>
  <c r="S55" i="3"/>
  <c r="S298" i="3"/>
  <c r="S262" i="3"/>
  <c r="S31" i="3"/>
  <c r="S312" i="3"/>
  <c r="S339" i="3"/>
  <c r="S340" i="3"/>
  <c r="S345" i="3"/>
  <c r="S399" i="3"/>
  <c r="S278" i="3"/>
  <c r="AX399" i="3"/>
  <c r="T399" i="3" s="1"/>
  <c r="AX278" i="3"/>
  <c r="T278" i="3" s="1"/>
  <c r="S281" i="3"/>
  <c r="AX281" i="3"/>
  <c r="T281" i="3" s="1"/>
  <c r="BH31" i="8"/>
  <c r="CA31" i="8"/>
  <c r="CT31" i="8"/>
  <c r="AO24" i="7"/>
  <c r="S38" i="3"/>
  <c r="AX38" i="3"/>
  <c r="T38" i="3" s="1"/>
  <c r="S34" i="3"/>
  <c r="S22" i="3"/>
  <c r="AX22" i="3"/>
  <c r="T22" i="3" s="1"/>
  <c r="AO56" i="7"/>
  <c r="AO57" i="7"/>
  <c r="AO49" i="7"/>
  <c r="S293" i="3"/>
  <c r="S28" i="3"/>
  <c r="S299" i="3"/>
  <c r="S295" i="3"/>
  <c r="S292" i="3"/>
  <c r="S40" i="3"/>
  <c r="S35" i="3"/>
  <c r="AX35" i="3"/>
  <c r="T35" i="3" s="1"/>
  <c r="S306" i="3"/>
  <c r="AO98" i="5"/>
  <c r="V98" i="5"/>
  <c r="AO82" i="7"/>
  <c r="K375" i="13"/>
  <c r="K374" i="13"/>
  <c r="K373" i="13"/>
  <c r="K372" i="13"/>
  <c r="K371" i="13"/>
  <c r="K370" i="13"/>
  <c r="K369" i="13"/>
  <c r="K368" i="13"/>
  <c r="K367" i="13"/>
  <c r="K366" i="13"/>
  <c r="K365" i="13"/>
  <c r="K364" i="13"/>
  <c r="K363" i="13"/>
  <c r="K362" i="13"/>
  <c r="K361" i="13"/>
  <c r="K360" i="13"/>
  <c r="K359" i="13"/>
  <c r="K358" i="13"/>
  <c r="K357" i="13"/>
  <c r="K356" i="13"/>
  <c r="K355" i="13"/>
  <c r="K354" i="13"/>
  <c r="K353" i="13"/>
  <c r="K352" i="13"/>
  <c r="K351" i="13"/>
  <c r="K350" i="13"/>
  <c r="K349" i="13"/>
  <c r="K348" i="13"/>
  <c r="K347" i="13"/>
  <c r="K346" i="13"/>
  <c r="K345" i="13"/>
  <c r="K344" i="13"/>
  <c r="K343" i="13"/>
  <c r="K342" i="13"/>
  <c r="K341" i="13"/>
  <c r="K340" i="13"/>
  <c r="K339" i="13"/>
  <c r="K338" i="13"/>
  <c r="K337" i="13"/>
  <c r="K336" i="13"/>
  <c r="K335" i="13"/>
  <c r="K334" i="13"/>
  <c r="K333" i="13"/>
  <c r="K332" i="13"/>
  <c r="K331" i="13"/>
  <c r="K330" i="13"/>
  <c r="K329" i="13"/>
  <c r="K328" i="13"/>
  <c r="K327" i="13"/>
  <c r="K326" i="13"/>
  <c r="K325" i="13"/>
  <c r="K324" i="13"/>
  <c r="K323" i="13"/>
  <c r="K322" i="13"/>
  <c r="K321" i="13"/>
  <c r="K320" i="13"/>
  <c r="K319" i="13"/>
  <c r="K318" i="13"/>
  <c r="K317" i="13"/>
  <c r="K316" i="13"/>
  <c r="K315" i="13"/>
  <c r="K314" i="13"/>
  <c r="K313" i="13"/>
  <c r="K312" i="13"/>
  <c r="K311" i="13"/>
  <c r="K310" i="13"/>
  <c r="K309" i="13"/>
  <c r="K308" i="13"/>
  <c r="K307" i="13"/>
  <c r="K306" i="13"/>
  <c r="K305" i="13"/>
  <c r="K304" i="13"/>
  <c r="K303" i="13"/>
  <c r="K302" i="13"/>
  <c r="K301" i="13"/>
  <c r="K300" i="13"/>
  <c r="K299" i="13"/>
  <c r="K298" i="13"/>
  <c r="K297" i="13"/>
  <c r="K296" i="13"/>
  <c r="K295" i="13"/>
  <c r="K294" i="13"/>
  <c r="K293" i="13"/>
  <c r="K292" i="13"/>
  <c r="K291" i="13"/>
  <c r="K290" i="13"/>
  <c r="K289" i="13"/>
  <c r="K288" i="13"/>
  <c r="K287" i="13"/>
  <c r="K286" i="13"/>
  <c r="K285" i="13"/>
  <c r="K284" i="13"/>
  <c r="K283" i="13"/>
  <c r="K282" i="13"/>
  <c r="K281" i="13"/>
  <c r="K280" i="13"/>
  <c r="K279" i="13"/>
  <c r="K278" i="13"/>
  <c r="K277" i="13"/>
  <c r="K276" i="13"/>
  <c r="K275" i="13"/>
  <c r="K274" i="13"/>
  <c r="K273" i="13"/>
  <c r="K272" i="13"/>
  <c r="K271" i="13"/>
  <c r="K270" i="13"/>
  <c r="K269" i="13"/>
  <c r="K268" i="13"/>
  <c r="K267" i="13"/>
  <c r="K266" i="13"/>
  <c r="K265" i="13"/>
  <c r="K264" i="13"/>
  <c r="K263" i="13"/>
  <c r="K262" i="13"/>
  <c r="K261" i="13"/>
  <c r="K260" i="13"/>
  <c r="K259" i="13"/>
  <c r="K258" i="13"/>
  <c r="K257" i="13"/>
  <c r="K256" i="13"/>
  <c r="K255" i="13"/>
  <c r="K254" i="13"/>
  <c r="K253" i="13"/>
  <c r="K252" i="13"/>
  <c r="K251" i="13"/>
  <c r="K250" i="13"/>
  <c r="K249" i="13"/>
  <c r="K248" i="13"/>
  <c r="K247" i="13"/>
  <c r="K246" i="13"/>
  <c r="K245" i="13"/>
  <c r="K244" i="13"/>
  <c r="K243" i="13"/>
  <c r="K242" i="13"/>
  <c r="K241" i="13"/>
  <c r="K240" i="13"/>
  <c r="K239" i="13"/>
  <c r="K238" i="13"/>
  <c r="K237" i="13"/>
  <c r="K236" i="13"/>
  <c r="K235" i="13"/>
  <c r="K234" i="13"/>
  <c r="K233" i="13"/>
  <c r="K232" i="13"/>
  <c r="K231" i="13"/>
  <c r="K230" i="13"/>
  <c r="K229" i="13"/>
  <c r="K228" i="13"/>
  <c r="K227" i="13"/>
  <c r="K226" i="13"/>
  <c r="K225" i="13"/>
  <c r="K224" i="13"/>
  <c r="K223" i="13"/>
  <c r="K222" i="13"/>
  <c r="K221" i="13"/>
  <c r="K220" i="13"/>
  <c r="K219" i="13"/>
  <c r="K218" i="13"/>
  <c r="K217" i="13"/>
  <c r="K216" i="13"/>
  <c r="K215" i="13"/>
  <c r="K214" i="13"/>
  <c r="K213" i="13"/>
  <c r="K212" i="13"/>
  <c r="K211" i="13"/>
  <c r="K210" i="13"/>
  <c r="K209" i="13"/>
  <c r="K208" i="13"/>
  <c r="K207" i="13"/>
  <c r="K206" i="13"/>
  <c r="K205" i="13"/>
  <c r="K204" i="13"/>
  <c r="K203" i="13"/>
  <c r="K202" i="13"/>
  <c r="K201" i="13"/>
  <c r="K200" i="13"/>
  <c r="K199" i="13"/>
  <c r="K198" i="13"/>
  <c r="K197" i="13"/>
  <c r="K196" i="13"/>
  <c r="K195" i="13"/>
  <c r="K194" i="13"/>
  <c r="K193" i="13"/>
  <c r="K192" i="13"/>
  <c r="K191" i="13"/>
  <c r="K190" i="13"/>
  <c r="K189" i="13"/>
  <c r="K188" i="13"/>
  <c r="K187" i="13"/>
  <c r="K186" i="13"/>
  <c r="K185" i="13"/>
  <c r="K184" i="13"/>
  <c r="K183" i="13"/>
  <c r="K182" i="13"/>
  <c r="K181" i="13"/>
  <c r="K180" i="13"/>
  <c r="K179" i="13"/>
  <c r="K178" i="13"/>
  <c r="K177" i="13"/>
  <c r="K176" i="13"/>
  <c r="K175" i="13"/>
  <c r="K174" i="13"/>
  <c r="K173" i="13"/>
  <c r="K172" i="13"/>
  <c r="K171" i="13"/>
  <c r="K170" i="13"/>
  <c r="K169" i="13"/>
  <c r="K168" i="13"/>
  <c r="K167" i="13"/>
  <c r="K166" i="13"/>
  <c r="K165" i="13"/>
  <c r="K164" i="13"/>
  <c r="K163" i="13"/>
  <c r="K162" i="13"/>
  <c r="K161" i="13"/>
  <c r="K160" i="13"/>
  <c r="K159" i="13"/>
  <c r="K158" i="13"/>
  <c r="K157" i="13"/>
  <c r="K156" i="13"/>
  <c r="K155" i="13"/>
  <c r="K154" i="13"/>
  <c r="K153" i="13"/>
  <c r="K152" i="13"/>
  <c r="K151" i="13"/>
  <c r="K150" i="13"/>
  <c r="K149" i="13"/>
  <c r="K148" i="13"/>
  <c r="K147" i="13"/>
  <c r="K146" i="13"/>
  <c r="K145" i="13"/>
  <c r="K144" i="13"/>
  <c r="K143" i="13"/>
  <c r="K142" i="13"/>
  <c r="K141" i="13"/>
  <c r="K140" i="13"/>
  <c r="K139" i="13"/>
  <c r="K138" i="13"/>
  <c r="K137" i="13"/>
  <c r="K136" i="13"/>
  <c r="K135" i="13"/>
  <c r="K134" i="13"/>
  <c r="K133" i="13"/>
  <c r="K132" i="13"/>
  <c r="K131" i="13"/>
  <c r="K130" i="13"/>
  <c r="K129" i="13"/>
  <c r="K128" i="13"/>
  <c r="K127" i="13"/>
  <c r="K126" i="13"/>
  <c r="K125" i="13"/>
  <c r="K124" i="13"/>
  <c r="K123" i="13"/>
  <c r="K122" i="13"/>
  <c r="K121" i="13"/>
  <c r="K120" i="13"/>
  <c r="K119" i="13"/>
  <c r="K118" i="13"/>
  <c r="K117" i="13"/>
  <c r="K116" i="13"/>
  <c r="K115" i="13"/>
  <c r="K114" i="13"/>
  <c r="K113" i="13"/>
  <c r="K112" i="13"/>
  <c r="K111" i="13"/>
  <c r="K110" i="13"/>
  <c r="K109" i="13"/>
  <c r="K108" i="13"/>
  <c r="K107" i="13"/>
  <c r="K106" i="13"/>
  <c r="K105" i="13"/>
  <c r="K104" i="13"/>
  <c r="K103" i="13"/>
  <c r="K102" i="13"/>
  <c r="K101" i="13"/>
  <c r="K100" i="13"/>
  <c r="K99" i="13"/>
  <c r="K98" i="13"/>
  <c r="K97" i="13"/>
  <c r="K96" i="13"/>
  <c r="K95" i="13"/>
  <c r="K94" i="13"/>
  <c r="K93" i="13"/>
  <c r="K92" i="13"/>
  <c r="K91" i="13"/>
  <c r="K90" i="13"/>
  <c r="K89" i="13"/>
  <c r="K88" i="13"/>
  <c r="K87" i="13"/>
  <c r="K86" i="13"/>
  <c r="K85" i="13"/>
  <c r="K84" i="13"/>
  <c r="K83" i="13"/>
  <c r="K82" i="13"/>
  <c r="K81" i="13"/>
  <c r="K80" i="13"/>
  <c r="K79" i="13"/>
  <c r="K78" i="13"/>
  <c r="K77" i="13"/>
  <c r="K76" i="13"/>
  <c r="K75" i="13"/>
  <c r="K74" i="13"/>
  <c r="K73" i="13"/>
  <c r="K72" i="13"/>
  <c r="K71" i="13"/>
  <c r="K70" i="13"/>
  <c r="K69" i="13"/>
  <c r="K68" i="13"/>
  <c r="K67" i="13"/>
  <c r="K66" i="13"/>
  <c r="K65" i="13"/>
  <c r="K64" i="13"/>
  <c r="K63" i="13"/>
  <c r="K62" i="13"/>
  <c r="K61" i="13"/>
  <c r="K60" i="13"/>
  <c r="K59" i="13"/>
  <c r="K58" i="13"/>
  <c r="K57" i="13"/>
  <c r="K56" i="13"/>
  <c r="K55" i="13"/>
  <c r="K54" i="13"/>
  <c r="K53" i="13"/>
  <c r="K52" i="13"/>
  <c r="K51" i="13"/>
  <c r="K50" i="13"/>
  <c r="K49" i="13"/>
  <c r="K48" i="13"/>
  <c r="K47" i="13"/>
  <c r="K46" i="13"/>
  <c r="K45" i="13"/>
  <c r="K44" i="13"/>
  <c r="K43" i="13"/>
  <c r="K42" i="13"/>
  <c r="K41" i="13"/>
  <c r="K40" i="13"/>
  <c r="K39" i="13"/>
  <c r="K38" i="13"/>
  <c r="K37" i="13"/>
  <c r="K36" i="13"/>
  <c r="K35" i="13"/>
  <c r="K34" i="13"/>
  <c r="K33" i="13"/>
  <c r="K32" i="13"/>
  <c r="K31" i="13"/>
  <c r="K30" i="13"/>
  <c r="K29" i="13"/>
  <c r="K28" i="13"/>
  <c r="K27" i="13"/>
  <c r="K26" i="13"/>
  <c r="K25" i="13"/>
  <c r="K24" i="13"/>
  <c r="K23" i="13"/>
  <c r="K22" i="13"/>
  <c r="K21" i="13"/>
  <c r="K20" i="13"/>
  <c r="K19" i="13"/>
  <c r="K18" i="13"/>
  <c r="K17" i="13"/>
  <c r="K16" i="13"/>
  <c r="K15" i="13"/>
  <c r="K14" i="13"/>
  <c r="K13" i="13"/>
  <c r="K12" i="13"/>
  <c r="K11" i="13"/>
  <c r="K10" i="13"/>
  <c r="K9" i="13"/>
  <c r="K8" i="13"/>
  <c r="K7" i="13"/>
  <c r="K6" i="13"/>
  <c r="K5" i="13"/>
  <c r="K4" i="13"/>
  <c r="K3" i="13"/>
  <c r="K2" i="13"/>
  <c r="BN178" i="9"/>
  <c r="AU178" i="9"/>
  <c r="AI178" i="9"/>
  <c r="N156" i="9"/>
  <c r="N153" i="9"/>
  <c r="N142" i="9"/>
  <c r="N138" i="9"/>
  <c r="O14" i="9"/>
  <c r="P8" i="9"/>
  <c r="P5" i="9"/>
  <c r="AY3" i="9"/>
  <c r="AF3" i="9"/>
  <c r="CT118" i="8"/>
  <c r="N117" i="8"/>
  <c r="CT116" i="8"/>
  <c r="CT115" i="8"/>
  <c r="CA115" i="8"/>
  <c r="BH115" i="8"/>
  <c r="AO115" i="8"/>
  <c r="N114" i="8"/>
  <c r="CT113" i="8"/>
  <c r="N112" i="8"/>
  <c r="CA111" i="8"/>
  <c r="BH111" i="8"/>
  <c r="CT110" i="8"/>
  <c r="BH110" i="8"/>
  <c r="AO110" i="8"/>
  <c r="CA109" i="8"/>
  <c r="BH109" i="8"/>
  <c r="N108" i="8"/>
  <c r="CT107" i="8"/>
  <c r="CA107" i="8"/>
  <c r="BH107" i="8"/>
  <c r="AO107" i="8"/>
  <c r="CT106" i="8"/>
  <c r="CA106" i="8"/>
  <c r="BH106" i="8"/>
  <c r="AO106" i="8"/>
  <c r="CA105" i="8"/>
  <c r="BH105" i="8"/>
  <c r="AO105" i="8"/>
  <c r="N104" i="8"/>
  <c r="N101" i="8"/>
  <c r="AO100" i="8"/>
  <c r="N99" i="8"/>
  <c r="CT97" i="8"/>
  <c r="CA97" i="8"/>
  <c r="BH97" i="8"/>
  <c r="AO97" i="8"/>
  <c r="CT96" i="8"/>
  <c r="CA96" i="8"/>
  <c r="BH96" i="8"/>
  <c r="AO96" i="8"/>
  <c r="N95" i="8"/>
  <c r="CT94" i="8"/>
  <c r="BH94" i="8"/>
  <c r="AO94" i="8"/>
  <c r="CT93" i="8"/>
  <c r="N92" i="8"/>
  <c r="CT89" i="8"/>
  <c r="BH86" i="8"/>
  <c r="CT88" i="8"/>
  <c r="BH88" i="8"/>
  <c r="CT90" i="8"/>
  <c r="BH90" i="8"/>
  <c r="AO90" i="8"/>
  <c r="BH83" i="8"/>
  <c r="AO83" i="8"/>
  <c r="N82" i="8"/>
  <c r="CT81" i="8"/>
  <c r="BH81" i="8"/>
  <c r="AO81" i="8"/>
  <c r="N79" i="8"/>
  <c r="CT78" i="8"/>
  <c r="BH78" i="8"/>
  <c r="CT76" i="8"/>
  <c r="BH76" i="8"/>
  <c r="AO76" i="8"/>
  <c r="CT74" i="8"/>
  <c r="BH74" i="8"/>
  <c r="AO74" i="8"/>
  <c r="CT67" i="8"/>
  <c r="CA67" i="8"/>
  <c r="BH67" i="8"/>
  <c r="AO67" i="8"/>
  <c r="CT66" i="8"/>
  <c r="BH66" i="8"/>
  <c r="AO66" i="8"/>
  <c r="N65" i="8"/>
  <c r="CT64" i="8"/>
  <c r="CA64" i="8"/>
  <c r="BH64" i="8"/>
  <c r="AO64" i="8"/>
  <c r="CT63" i="8"/>
  <c r="CA63" i="8"/>
  <c r="BH63" i="8"/>
  <c r="AO63" i="8"/>
  <c r="N62" i="8"/>
  <c r="CT61" i="8"/>
  <c r="CA61" i="8"/>
  <c r="BH61" i="8"/>
  <c r="AO61" i="8"/>
  <c r="N59" i="8"/>
  <c r="CT58" i="8"/>
  <c r="CA58" i="8"/>
  <c r="BH58" i="8"/>
  <c r="CT48" i="8"/>
  <c r="CA48" i="8"/>
  <c r="BH48" i="8"/>
  <c r="AO48" i="8"/>
  <c r="CT39" i="8"/>
  <c r="CA39" i="8"/>
  <c r="AO39" i="8"/>
  <c r="CT38" i="8"/>
  <c r="CA38" i="8"/>
  <c r="BH38" i="8"/>
  <c r="AO38" i="8"/>
  <c r="CT36" i="8"/>
  <c r="CA36" i="8"/>
  <c r="AO35" i="8"/>
  <c r="CT34" i="8"/>
  <c r="CT33" i="8"/>
  <c r="CA33" i="8"/>
  <c r="BH33" i="8"/>
  <c r="AO33" i="8"/>
  <c r="CT32" i="8"/>
  <c r="CA32" i="8"/>
  <c r="BH32" i="8"/>
  <c r="N22" i="8"/>
  <c r="CF3" i="8"/>
  <c r="BM3" i="8"/>
  <c r="AT3" i="8"/>
  <c r="AA3" i="8"/>
  <c r="N101" i="7"/>
  <c r="AO100" i="7"/>
  <c r="N98" i="7"/>
  <c r="N96" i="7"/>
  <c r="N93" i="7"/>
  <c r="AO92" i="7"/>
  <c r="AO91" i="7"/>
  <c r="AO90" i="7"/>
  <c r="N89" i="7"/>
  <c r="AO87" i="7"/>
  <c r="N86" i="7"/>
  <c r="AO85" i="7"/>
  <c r="N84" i="7"/>
  <c r="AO81" i="7"/>
  <c r="N80" i="7"/>
  <c r="AO79" i="7"/>
  <c r="N77" i="7"/>
  <c r="AO76" i="7"/>
  <c r="AO75" i="7"/>
  <c r="AO74" i="7"/>
  <c r="AO73" i="7"/>
  <c r="AO72" i="7"/>
  <c r="AO71" i="7"/>
  <c r="N70" i="7"/>
  <c r="AO69" i="7"/>
  <c r="AO68" i="7"/>
  <c r="N67" i="7"/>
  <c r="AO63" i="7"/>
  <c r="N61" i="7"/>
  <c r="AO60" i="7"/>
  <c r="AO59" i="7"/>
  <c r="N58" i="7"/>
  <c r="N55" i="7"/>
  <c r="AO54" i="7"/>
  <c r="AO52" i="7"/>
  <c r="N48" i="7"/>
  <c r="AO46" i="7"/>
  <c r="N43" i="7"/>
  <c r="AO40" i="7"/>
  <c r="AO38" i="7"/>
  <c r="AO37" i="7"/>
  <c r="AO34" i="7"/>
  <c r="N22" i="7"/>
  <c r="AA3" i="7"/>
  <c r="V118" i="5"/>
  <c r="V116" i="5"/>
  <c r="V114" i="5"/>
  <c r="AO112" i="5"/>
  <c r="V112" i="5"/>
  <c r="AO111" i="5"/>
  <c r="V111" i="5"/>
  <c r="AO110" i="5"/>
  <c r="V110" i="5"/>
  <c r="AO108" i="5"/>
  <c r="V108" i="5"/>
  <c r="AO107" i="5"/>
  <c r="V107" i="5"/>
  <c r="AO106" i="5"/>
  <c r="V106" i="5"/>
  <c r="AO103" i="5"/>
  <c r="V103" i="5"/>
  <c r="V101" i="5"/>
  <c r="AO97" i="5"/>
  <c r="V97" i="5"/>
  <c r="AO95" i="5"/>
  <c r="V95" i="5"/>
  <c r="V94" i="5"/>
  <c r="AO94" i="5"/>
  <c r="V90" i="5"/>
  <c r="AO88" i="5"/>
  <c r="V88" i="5"/>
  <c r="AO89" i="5"/>
  <c r="V89" i="5"/>
  <c r="AO84" i="5"/>
  <c r="V84" i="5"/>
  <c r="AO83" i="5"/>
  <c r="V83" i="5"/>
  <c r="AO81" i="5"/>
  <c r="V81" i="5"/>
  <c r="AO79" i="5"/>
  <c r="V79" i="5"/>
  <c r="AO72" i="5"/>
  <c r="V72" i="5"/>
  <c r="AO69" i="5"/>
  <c r="V69" i="5"/>
  <c r="AO68" i="5"/>
  <c r="V68" i="5"/>
  <c r="AO66" i="5"/>
  <c r="V66" i="5"/>
  <c r="AO65" i="5"/>
  <c r="V65" i="5"/>
  <c r="AO63" i="5"/>
  <c r="V63" i="5"/>
  <c r="AO58" i="5"/>
  <c r="V58" i="5"/>
  <c r="V54" i="5"/>
  <c r="AO53" i="5"/>
  <c r="V53" i="5"/>
  <c r="V44" i="5"/>
  <c r="AO35" i="5"/>
  <c r="V35" i="5"/>
  <c r="V33" i="5"/>
  <c r="AO32" i="5"/>
  <c r="V32" i="5"/>
  <c r="AO31" i="5"/>
  <c r="V31" i="5"/>
  <c r="AO30" i="5"/>
  <c r="V30" i="5"/>
  <c r="AO29" i="5"/>
  <c r="V29" i="5"/>
  <c r="AO28" i="5"/>
  <c r="V28" i="5"/>
  <c r="AA3" i="5"/>
  <c r="EX152" i="4"/>
  <c r="EX114" i="4"/>
  <c r="EX109" i="4"/>
  <c r="FC3" i="4"/>
  <c r="EJ3" i="4"/>
  <c r="BM3" i="4"/>
  <c r="AT3" i="4"/>
  <c r="CY3" i="4"/>
  <c r="S395" i="3"/>
  <c r="AX250" i="3"/>
  <c r="T250" i="3" s="1"/>
  <c r="S250" i="3"/>
  <c r="S249" i="3"/>
  <c r="AX243" i="3"/>
  <c r="T243" i="3" s="1"/>
  <c r="S243" i="3"/>
  <c r="S291" i="3"/>
  <c r="S290" i="3"/>
  <c r="S289" i="3"/>
  <c r="S287" i="3"/>
  <c r="S84" i="3"/>
  <c r="S286" i="3"/>
  <c r="AX285" i="3"/>
  <c r="T285" i="3" s="1"/>
  <c r="S285" i="3"/>
  <c r="AX284" i="3"/>
  <c r="T284" i="3" s="1"/>
  <c r="S284" i="3"/>
  <c r="AX387" i="3"/>
  <c r="T387" i="3" s="1"/>
  <c r="S387" i="3"/>
  <c r="S283" i="3"/>
  <c r="S237" i="3"/>
  <c r="S236" i="3"/>
  <c r="S235" i="3"/>
  <c r="S234" i="3"/>
  <c r="S233" i="3"/>
  <c r="S232" i="3"/>
  <c r="AX231" i="3"/>
  <c r="T231" i="3" s="1"/>
  <c r="S231" i="3"/>
  <c r="AX230" i="3"/>
  <c r="T230" i="3" s="1"/>
  <c r="S230" i="3"/>
  <c r="S229" i="3"/>
  <c r="AX228" i="3"/>
  <c r="T228" i="3" s="1"/>
  <c r="S228" i="3"/>
  <c r="S227" i="3"/>
  <c r="S226" i="3"/>
  <c r="AX225" i="3"/>
  <c r="T225" i="3" s="1"/>
  <c r="S225" i="3"/>
  <c r="AX224" i="3"/>
  <c r="T224" i="3" s="1"/>
  <c r="S224" i="3"/>
  <c r="AX223" i="3"/>
  <c r="T223" i="3" s="1"/>
  <c r="S223" i="3"/>
  <c r="S282" i="3"/>
  <c r="AX280" i="3"/>
  <c r="T280" i="3" s="1"/>
  <c r="S280" i="3"/>
  <c r="AX221" i="3"/>
  <c r="T221" i="3" s="1"/>
  <c r="S221" i="3"/>
  <c r="S400" i="3"/>
  <c r="S386" i="3"/>
  <c r="S398" i="3"/>
  <c r="S277" i="3"/>
  <c r="S276" i="3"/>
  <c r="S385" i="3"/>
  <c r="S383" i="3"/>
  <c r="S248" i="3"/>
  <c r="S382" i="3"/>
  <c r="S275" i="3"/>
  <c r="AX217" i="3"/>
  <c r="T217" i="3" s="1"/>
  <c r="S217" i="3"/>
  <c r="AX195" i="3"/>
  <c r="T195" i="3" s="1"/>
  <c r="S195" i="3"/>
  <c r="AX215" i="3"/>
  <c r="T215" i="3" s="1"/>
  <c r="S215" i="3"/>
  <c r="AX193" i="3"/>
  <c r="T193" i="3" s="1"/>
  <c r="S193" i="3"/>
  <c r="AX192" i="3"/>
  <c r="T192" i="3" s="1"/>
  <c r="S192" i="3"/>
  <c r="AX191" i="3"/>
  <c r="T191" i="3" s="1"/>
  <c r="S191" i="3"/>
  <c r="AX190" i="3"/>
  <c r="T190" i="3" s="1"/>
  <c r="S190" i="3"/>
  <c r="AX188" i="3"/>
  <c r="T188" i="3" s="1"/>
  <c r="S188" i="3"/>
  <c r="AX187" i="3"/>
  <c r="T187" i="3" s="1"/>
  <c r="S187" i="3"/>
  <c r="AX213" i="3"/>
  <c r="T213" i="3" s="1"/>
  <c r="S213" i="3"/>
  <c r="AX212" i="3"/>
  <c r="T212" i="3" s="1"/>
  <c r="S212" i="3"/>
  <c r="AX184" i="3"/>
  <c r="T184" i="3" s="1"/>
  <c r="S184" i="3"/>
  <c r="AX211" i="3"/>
  <c r="T211" i="3" s="1"/>
  <c r="S211" i="3"/>
  <c r="AX210" i="3"/>
  <c r="T210" i="3" s="1"/>
  <c r="AX209" i="3"/>
  <c r="T209" i="3" s="1"/>
  <c r="S209" i="3"/>
  <c r="S208" i="3"/>
  <c r="AX207" i="3"/>
  <c r="T207" i="3" s="1"/>
  <c r="S207" i="3"/>
  <c r="AX183" i="3"/>
  <c r="T183" i="3" s="1"/>
  <c r="S183" i="3"/>
  <c r="AX182" i="3"/>
  <c r="T182" i="3" s="1"/>
  <c r="S182" i="3"/>
  <c r="AX378" i="3"/>
  <c r="T378" i="3" s="1"/>
  <c r="S378" i="3"/>
  <c r="S274" i="3"/>
  <c r="S376" i="3"/>
  <c r="S374" i="3"/>
  <c r="S372" i="3"/>
  <c r="AX271" i="3"/>
  <c r="T271" i="3" s="1"/>
  <c r="S271" i="3"/>
  <c r="S371" i="3"/>
  <c r="S76" i="3"/>
  <c r="AX270" i="3"/>
  <c r="T270" i="3" s="1"/>
  <c r="S270" i="3"/>
  <c r="S181" i="3"/>
  <c r="S367" i="3"/>
  <c r="S269" i="3"/>
  <c r="S268" i="3"/>
  <c r="S267" i="3"/>
  <c r="S366" i="3"/>
  <c r="S365" i="3"/>
  <c r="AX364" i="3"/>
  <c r="T364" i="3" s="1"/>
  <c r="S364" i="3"/>
  <c r="S363" i="3"/>
  <c r="S266" i="3"/>
  <c r="S265" i="3"/>
  <c r="AX264" i="3"/>
  <c r="T264" i="3" s="1"/>
  <c r="S264" i="3"/>
  <c r="S83" i="3"/>
  <c r="AX180" i="3"/>
  <c r="T180" i="3" s="1"/>
  <c r="S180" i="3"/>
  <c r="S179" i="3"/>
  <c r="AX89" i="3"/>
  <c r="T89" i="3" s="1"/>
  <c r="S89" i="3"/>
  <c r="S360" i="3"/>
  <c r="AX359" i="3"/>
  <c r="T359" i="3" s="1"/>
  <c r="S359" i="3"/>
  <c r="S357" i="3"/>
  <c r="AX178" i="3"/>
  <c r="T178" i="3" s="1"/>
  <c r="S178" i="3"/>
  <c r="AX177" i="3"/>
  <c r="T177" i="3" s="1"/>
  <c r="S177" i="3"/>
  <c r="S82" i="3"/>
  <c r="S81" i="3"/>
  <c r="S174" i="3"/>
  <c r="AX173" i="3"/>
  <c r="T173" i="3" s="1"/>
  <c r="S173" i="3"/>
  <c r="S109" i="3"/>
  <c r="S105" i="3"/>
  <c r="AX171" i="3"/>
  <c r="T171" i="3" s="1"/>
  <c r="S171" i="3"/>
  <c r="AX170" i="3"/>
  <c r="T170" i="3" s="1"/>
  <c r="S170" i="3"/>
  <c r="AX169" i="3"/>
  <c r="T169" i="3" s="1"/>
  <c r="S169" i="3"/>
  <c r="AX168" i="3"/>
  <c r="T168" i="3" s="1"/>
  <c r="S168" i="3"/>
  <c r="S147" i="3"/>
  <c r="AX146" i="3"/>
  <c r="T146" i="3" s="1"/>
  <c r="S146" i="3"/>
  <c r="AX145" i="3"/>
  <c r="T145" i="3" s="1"/>
  <c r="S145" i="3"/>
  <c r="S144" i="3"/>
  <c r="AX143" i="3"/>
  <c r="T143" i="3" s="1"/>
  <c r="S143" i="3"/>
  <c r="AX142" i="3"/>
  <c r="T142" i="3" s="1"/>
  <c r="S142" i="3"/>
  <c r="AX141" i="3"/>
  <c r="T141" i="3" s="1"/>
  <c r="S141" i="3"/>
  <c r="AX140" i="3"/>
  <c r="T140" i="3" s="1"/>
  <c r="S140" i="3"/>
  <c r="AX196" i="3"/>
  <c r="T196" i="3" s="1"/>
  <c r="AX138" i="3"/>
  <c r="T138" i="3" s="1"/>
  <c r="S137" i="3"/>
  <c r="AX136" i="3"/>
  <c r="T136" i="3" s="1"/>
  <c r="S136" i="3"/>
  <c r="AX135" i="3"/>
  <c r="T135" i="3" s="1"/>
  <c r="S135" i="3"/>
  <c r="AX132" i="3"/>
  <c r="T132" i="3" s="1"/>
  <c r="S132" i="3"/>
  <c r="S131" i="3"/>
  <c r="AX128" i="3"/>
  <c r="T128" i="3" s="1"/>
  <c r="S128" i="3"/>
  <c r="S126" i="3"/>
  <c r="AX121" i="3"/>
  <c r="T121" i="3" s="1"/>
  <c r="S121" i="3"/>
  <c r="AX120" i="3"/>
  <c r="T120" i="3" s="1"/>
  <c r="S120" i="3"/>
  <c r="S119" i="3"/>
  <c r="AX118" i="3"/>
  <c r="T118" i="3" s="1"/>
  <c r="S118" i="3"/>
  <c r="S117" i="3"/>
  <c r="AX116" i="3"/>
  <c r="T116" i="3" s="1"/>
  <c r="S116" i="3"/>
  <c r="AX115" i="3"/>
  <c r="T115" i="3" s="1"/>
  <c r="S115" i="3"/>
  <c r="S114" i="3"/>
  <c r="S113" i="3"/>
  <c r="S112" i="3"/>
  <c r="S111" i="3"/>
  <c r="AX108" i="3"/>
  <c r="T108" i="3" s="1"/>
  <c r="S108" i="3"/>
  <c r="S107" i="3"/>
  <c r="AX103" i="3"/>
  <c r="T103" i="3" s="1"/>
  <c r="S103" i="3"/>
  <c r="S350" i="3"/>
  <c r="S99" i="3"/>
  <c r="S98" i="3"/>
  <c r="S261" i="3"/>
  <c r="S80" i="3"/>
  <c r="S78" i="3"/>
  <c r="S348" i="3"/>
  <c r="AX95" i="3"/>
  <c r="T95" i="3" s="1"/>
  <c r="S95" i="3"/>
  <c r="AX260" i="3"/>
  <c r="T260" i="3" s="1"/>
  <c r="S260" i="3"/>
  <c r="AX259" i="3"/>
  <c r="T259" i="3" s="1"/>
  <c r="S259" i="3"/>
  <c r="AX258" i="3"/>
  <c r="T258" i="3" s="1"/>
  <c r="S258" i="3"/>
  <c r="AX342" i="3"/>
  <c r="T342" i="3" s="1"/>
  <c r="S342" i="3"/>
  <c r="AX341" i="3"/>
  <c r="T341" i="3" s="1"/>
  <c r="S338" i="3"/>
  <c r="S337" i="3"/>
  <c r="S319" i="3"/>
  <c r="AX94" i="3"/>
  <c r="T94" i="3" s="1"/>
  <c r="S94" i="3"/>
  <c r="AX93" i="3"/>
  <c r="T93" i="3" s="1"/>
  <c r="S93" i="3"/>
  <c r="AX92" i="3"/>
  <c r="T92" i="3" s="1"/>
  <c r="S92" i="3"/>
  <c r="AX257" i="3"/>
  <c r="T257" i="3" s="1"/>
  <c r="S257" i="3"/>
  <c r="S332" i="3"/>
  <c r="S20" i="3"/>
  <c r="S19" i="3"/>
  <c r="AX18" i="3"/>
  <c r="T18" i="3" s="1"/>
  <c r="S18" i="3"/>
  <c r="S17" i="3"/>
  <c r="AX16" i="3"/>
  <c r="T16" i="3" s="1"/>
  <c r="S16" i="3"/>
  <c r="S15" i="3"/>
  <c r="S14" i="3"/>
  <c r="AX13" i="3"/>
  <c r="T13" i="3" s="1"/>
  <c r="S13" i="3"/>
  <c r="S11" i="3"/>
  <c r="AX9" i="3"/>
  <c r="T9" i="3" s="1"/>
  <c r="S9" i="3"/>
  <c r="S7" i="3"/>
  <c r="S5" i="3"/>
  <c r="R5" i="3"/>
  <c r="Q5" i="3"/>
  <c r="S4" i="3"/>
  <c r="S327" i="3"/>
  <c r="AX256" i="3"/>
  <c r="T256" i="3" s="1"/>
  <c r="S256" i="3"/>
  <c r="S396" i="3"/>
  <c r="AX255" i="3"/>
  <c r="T255" i="3" s="1"/>
  <c r="S255" i="3"/>
  <c r="AX254" i="3"/>
  <c r="T254" i="3" s="1"/>
  <c r="S254" i="3"/>
  <c r="S253" i="3"/>
  <c r="AX90" i="3"/>
  <c r="T90" i="3" s="1"/>
  <c r="S90" i="3"/>
  <c r="AX87" i="3"/>
  <c r="T87" i="3" s="1"/>
  <c r="S87" i="3"/>
  <c r="AX86" i="3"/>
  <c r="T86" i="3" s="1"/>
  <c r="S86" i="3"/>
  <c r="AX252" i="3"/>
  <c r="T252" i="3" s="1"/>
  <c r="S252" i="3"/>
  <c r="S251" i="3"/>
  <c r="S311" i="3"/>
  <c r="S77" i="3"/>
  <c r="S307" i="3"/>
  <c r="S304" i="3"/>
  <c r="S58" i="3"/>
  <c r="S46" i="3"/>
  <c r="S296" i="3"/>
  <c r="H5" i="2"/>
  <c r="H3" i="2"/>
  <c r="H2" i="2"/>
  <c r="CA88" i="8"/>
  <c r="CA90" i="8"/>
  <c r="AO88" i="8"/>
  <c r="CA66" i="8"/>
  <c r="AO66" i="7"/>
  <c r="BE196" i="4"/>
  <c r="AL196" i="4"/>
  <c r="CI196" i="4"/>
  <c r="BX196" i="4"/>
  <c r="CQ196" i="4"/>
  <c r="DJ196" i="4"/>
  <c r="EU196" i="4"/>
  <c r="FN196" i="4"/>
  <c r="AO54" i="5"/>
  <c r="AO118" i="5"/>
  <c r="AO48" i="5"/>
  <c r="AO44" i="5"/>
  <c r="N28" i="4" l="1" a="1"/>
  <c r="N28" i="4" s="1"/>
  <c r="N165" i="4"/>
  <c r="P6" i="9"/>
  <c r="P7" i="9"/>
  <c r="FR199" i="4"/>
  <c r="CU196" i="4"/>
  <c r="DN199" i="4"/>
  <c r="CU199" i="4"/>
  <c r="CB199" i="4"/>
  <c r="AP199" i="4"/>
  <c r="BI196" i="4"/>
  <c r="CB196" i="4"/>
  <c r="DN196" i="4"/>
  <c r="EY196" i="4"/>
  <c r="FR196" i="4"/>
  <c r="EY199" i="4"/>
  <c r="BI199" i="4"/>
  <c r="AP196" i="4"/>
  <c r="N19" i="7"/>
  <c r="K18" i="5"/>
  <c r="K20" i="7"/>
  <c r="K19" i="7"/>
  <c r="K16" i="5"/>
  <c r="K18" i="7"/>
  <c r="K17" i="5"/>
  <c r="K21" i="7"/>
  <c r="K19" i="5"/>
  <c r="CA76" i="8"/>
  <c r="AO97" i="7"/>
  <c r="CA74" i="8"/>
  <c r="AO41" i="7"/>
  <c r="AO32" i="8"/>
  <c r="AO45" i="7"/>
  <c r="AO94" i="7"/>
  <c r="AO36" i="7"/>
  <c r="AO32" i="7"/>
  <c r="BH39" i="8"/>
  <c r="AO39" i="7"/>
  <c r="AO58" i="8"/>
  <c r="CA94" i="8"/>
  <c r="AO33" i="7"/>
  <c r="AO62" i="7"/>
  <c r="AO31" i="7"/>
  <c r="AO78" i="7"/>
  <c r="AO47" i="7"/>
  <c r="AB20" i="9"/>
  <c r="CA83" i="8"/>
  <c r="CA81" i="8"/>
  <c r="AO102" i="7"/>
  <c r="N103" i="8"/>
  <c r="N98" i="8"/>
  <c r="CA110" i="8"/>
  <c r="AO35" i="7"/>
  <c r="AO99" i="7"/>
  <c r="AO116" i="5"/>
  <c r="CT105" i="8"/>
  <c r="N194" i="4"/>
  <c r="N83" i="7"/>
  <c r="AO44" i="7"/>
  <c r="AO31" i="8"/>
  <c r="N42" i="7"/>
  <c r="N88" i="7"/>
  <c r="N41" i="8"/>
  <c r="Q111" i="8"/>
  <c r="N137" i="9"/>
  <c r="O77" i="4"/>
  <c r="AO76" i="5"/>
  <c r="T33" i="5"/>
  <c r="Q35" i="8"/>
  <c r="AO95" i="7"/>
  <c r="CT111" i="8"/>
  <c r="Q109" i="8"/>
  <c r="Q113" i="8"/>
  <c r="AO90" i="5"/>
  <c r="Q118" i="8"/>
  <c r="Q89" i="8"/>
  <c r="AO114" i="5"/>
  <c r="AO101" i="5"/>
  <c r="Q36" i="8"/>
  <c r="Q116" i="8"/>
  <c r="Q86" i="8"/>
  <c r="Q24" i="8"/>
  <c r="N132" i="9"/>
  <c r="N46" i="9"/>
  <c r="Q102" i="8"/>
  <c r="Q71" i="8"/>
  <c r="Q60" i="8"/>
  <c r="Q78" i="8"/>
  <c r="Q72" i="8"/>
  <c r="Q34" i="8"/>
  <c r="AB17" i="9"/>
  <c r="N77" i="4"/>
  <c r="Q93" i="8"/>
  <c r="Q37" i="8"/>
  <c r="Q40" i="8"/>
  <c r="Q54" i="8"/>
  <c r="Q46" i="8"/>
  <c r="N162" i="9"/>
  <c r="N17" i="8" l="1"/>
  <c r="N15" i="9"/>
  <c r="N17" i="7"/>
  <c r="N16" i="4"/>
  <c r="AB19" i="9"/>
  <c r="AB18" i="9"/>
  <c r="AB16" i="9"/>
  <c r="W17" i="4"/>
  <c r="N16" i="9"/>
  <c r="AU23" i="9" l="1"/>
  <c r="AU22" i="9"/>
  <c r="AU21" i="9" l="1"/>
  <c r="X23" i="3" l="1" a="1"/>
  <c r="X23" i="3" s="1"/>
  <c r="F348" i="3" a="1"/>
  <c r="F348" i="3" s="1"/>
  <c r="P203" i="3"/>
  <c r="F197" i="3" a="1"/>
  <c r="F197" i="3" s="1"/>
  <c r="U46" i="3" a="1"/>
  <c r="U46" i="3" s="1"/>
  <c r="X285" i="3" a="1"/>
  <c r="X285" i="3" s="1"/>
  <c r="U332" i="3" a="1"/>
  <c r="U332" i="3" s="1"/>
  <c r="U284" i="3" a="1"/>
  <c r="U284" i="3" s="1"/>
  <c r="E197" i="3" a="1"/>
  <c r="E197" i="3" s="1"/>
  <c r="X28" i="3" a="1"/>
  <c r="X28" i="3" s="1"/>
  <c r="G257" i="3" a="1"/>
  <c r="G257" i="3" s="1"/>
  <c r="F55" i="3" a="1"/>
  <c r="F55" i="3" s="1"/>
  <c r="F58" i="3" a="1"/>
  <c r="F58" i="3" s="1"/>
  <c r="X67" i="3" a="1"/>
  <c r="X67" i="3" s="1"/>
  <c r="P103" i="3"/>
  <c r="U358" i="3" a="1"/>
  <c r="U358" i="3" s="1"/>
  <c r="U307" i="3" a="1"/>
  <c r="U307" i="3" s="1"/>
  <c r="X281" i="3" a="1"/>
  <c r="X281" i="3" s="1"/>
  <c r="X392" i="3" a="1"/>
  <c r="X392" i="3" s="1"/>
  <c r="X282" i="3" a="1"/>
  <c r="X282" i="3" s="1"/>
  <c r="X228" i="3" a="1"/>
  <c r="X228" i="3" s="1"/>
  <c r="E98" i="3" a="1"/>
  <c r="E98" i="3" s="1"/>
  <c r="X295" i="3" a="1"/>
  <c r="X295" i="3" s="1"/>
  <c r="X224" i="3" a="1"/>
  <c r="X224" i="3" s="1"/>
  <c r="X193" i="3" a="1"/>
  <c r="X193" i="3" s="1"/>
  <c r="P319" i="3"/>
  <c r="X207" i="3" a="1"/>
  <c r="X207" i="3" s="1"/>
  <c r="X138" i="3" a="1"/>
  <c r="X138" i="3" s="1"/>
  <c r="U78" i="3" a="1"/>
  <c r="U78" i="3" s="1"/>
  <c r="F99" i="3" a="1"/>
  <c r="F99" i="3" s="1"/>
  <c r="G55" i="3" a="1"/>
  <c r="G55" i="3" s="1"/>
  <c r="X29" i="3" a="1"/>
  <c r="X29" i="3" s="1"/>
  <c r="X278" i="3" a="1"/>
  <c r="X278" i="3" s="1"/>
  <c r="X252" i="3" a="1"/>
  <c r="X252" i="3" s="1"/>
  <c r="X286" i="3" a="1"/>
  <c r="X286" i="3" s="1"/>
  <c r="X257" i="3" a="1"/>
  <c r="X257" i="3" s="1"/>
  <c r="F257" i="3" a="1"/>
  <c r="F257" i="3" s="1"/>
  <c r="X5" i="3" a="1"/>
  <c r="X5" i="3" s="1"/>
  <c r="X264" i="3" a="1"/>
  <c r="X264" i="3" s="1"/>
  <c r="X99" i="3" a="1"/>
  <c r="X99" i="3" s="1"/>
  <c r="F337" i="3" a="1"/>
  <c r="F337" i="3" s="1"/>
  <c r="X377" i="3" a="1"/>
  <c r="X377" i="3" s="1"/>
  <c r="X366" i="3" a="1"/>
  <c r="X366" i="3" s="1"/>
  <c r="X304" i="3" a="1"/>
  <c r="X304" i="3" s="1"/>
  <c r="X208" i="3" a="1"/>
  <c r="X208" i="3" s="1"/>
  <c r="X19" i="3" a="1"/>
  <c r="X19" i="3" s="1"/>
  <c r="X58" i="3" a="1"/>
  <c r="X58" i="3" s="1"/>
  <c r="U252" i="3" a="1"/>
  <c r="U252" i="3" s="1"/>
  <c r="X49" i="3" a="1"/>
  <c r="X49" i="3" s="1"/>
  <c r="P16" i="3"/>
  <c r="X14" i="3" a="1"/>
  <c r="X14" i="3" s="1"/>
  <c r="X93" i="3" a="1"/>
  <c r="X93" i="3" s="1"/>
  <c r="X364" i="3" a="1"/>
  <c r="X364" i="3" s="1"/>
  <c r="X374" i="3" a="1"/>
  <c r="X374" i="3" s="1"/>
  <c r="X332" i="3" a="1"/>
  <c r="X332" i="3" s="1"/>
  <c r="X115" i="3" a="1"/>
  <c r="X115" i="3" s="1"/>
  <c r="X34" i="3" a="1"/>
  <c r="X34" i="3" s="1"/>
  <c r="U228" i="3" a="1"/>
  <c r="U228" i="3" s="1"/>
  <c r="G99" i="3" a="1"/>
  <c r="G99" i="3" s="1"/>
  <c r="E228" i="3" a="1"/>
  <c r="E228" i="3" s="1"/>
  <c r="P195" i="3"/>
  <c r="X205" i="3" a="1"/>
  <c r="X205" i="3" s="1"/>
  <c r="X17" i="3" a="1"/>
  <c r="X17" i="3" s="1"/>
  <c r="X179" i="3" a="1"/>
  <c r="X179" i="3" s="1"/>
  <c r="X98" i="3" a="1"/>
  <c r="X98" i="3" s="1"/>
  <c r="X269" i="3" a="1"/>
  <c r="X269" i="3" s="1"/>
  <c r="X258" i="3" a="1"/>
  <c r="X258" i="3" s="1"/>
  <c r="X40" i="3" a="1"/>
  <c r="X40" i="3" s="1"/>
  <c r="X316" i="3" a="1"/>
  <c r="X316" i="3" s="1"/>
  <c r="X171" i="3" a="1"/>
  <c r="X171" i="3" s="1"/>
  <c r="X116" i="3" a="1"/>
  <c r="X116" i="3" s="1"/>
  <c r="X46" i="3" a="1"/>
  <c r="X46" i="3" s="1"/>
  <c r="X306" i="3" a="1"/>
  <c r="X306" i="3" s="1"/>
  <c r="X214" i="3" a="1"/>
  <c r="X214" i="3" s="1"/>
  <c r="X55" i="3" a="1"/>
  <c r="X55" i="3" s="1"/>
  <c r="X385" i="3" a="1"/>
  <c r="X385" i="3" s="1"/>
  <c r="X367" i="3" a="1"/>
  <c r="X367" i="3" s="1"/>
  <c r="X284" i="3" a="1"/>
  <c r="X284" i="3" s="1"/>
  <c r="X250" i="3" a="1"/>
  <c r="X250" i="3" s="1"/>
  <c r="X202" i="3" a="1"/>
  <c r="X202" i="3" s="1"/>
  <c r="X383" i="3" a="1"/>
  <c r="X383" i="3" s="1"/>
  <c r="X268" i="3" a="1"/>
  <c r="X268" i="3" s="1"/>
  <c r="X80" i="3" a="1"/>
  <c r="X80" i="3" s="1"/>
  <c r="X399" i="3" a="1"/>
  <c r="X399" i="3" s="1"/>
  <c r="X180" i="3" a="1"/>
  <c r="X180" i="3" s="1"/>
  <c r="X107" i="3" a="1"/>
  <c r="X107" i="3" s="1"/>
  <c r="X213" i="3" a="1"/>
  <c r="X213" i="3" s="1"/>
  <c r="X140" i="3" a="1"/>
  <c r="X140" i="3" s="1"/>
  <c r="X4" i="3" a="1"/>
  <c r="X4" i="3" s="1"/>
  <c r="X337" i="3" a="1"/>
  <c r="X337" i="3" s="1"/>
  <c r="X197" i="3" a="1"/>
  <c r="X197" i="3" s="1"/>
  <c r="X110" i="3" a="1"/>
  <c r="X110" i="3" s="1"/>
  <c r="X253" i="3" a="1"/>
  <c r="X253" i="3" s="1"/>
  <c r="X371" i="3" a="1"/>
  <c r="X371" i="3" s="1"/>
  <c r="X357" i="3" a="1"/>
  <c r="X357" i="3" s="1"/>
  <c r="E99" i="3" a="1"/>
  <c r="E99" i="3" s="1"/>
  <c r="G35" i="3" a="1"/>
  <c r="G35" i="3" s="1"/>
  <c r="E337" i="3" a="1"/>
  <c r="E337" i="3" s="1"/>
  <c r="E248" i="3" a="1"/>
  <c r="E248" i="3" s="1"/>
  <c r="X126" i="3" a="1"/>
  <c r="X126" i="3" s="1"/>
  <c r="X194" i="3" a="1"/>
  <c r="X194" i="3" s="1"/>
  <c r="X189" i="3" a="1"/>
  <c r="X189" i="3" s="1"/>
  <c r="X378" i="3" a="1"/>
  <c r="X378" i="3" s="1"/>
  <c r="X13" i="3" a="1"/>
  <c r="X13" i="3" s="1"/>
  <c r="X350" i="3" a="1"/>
  <c r="X350" i="3" s="1"/>
  <c r="X338" i="3" a="1"/>
  <c r="X338" i="3" s="1"/>
  <c r="X266" i="3" a="1"/>
  <c r="X266" i="3" s="1"/>
  <c r="X283" i="3" a="1"/>
  <c r="X283" i="3" s="1"/>
  <c r="X174" i="3" a="1"/>
  <c r="X174" i="3" s="1"/>
  <c r="X109" i="3" a="1"/>
  <c r="X109" i="3" s="1"/>
  <c r="X271" i="3" a="1"/>
  <c r="X271" i="3" s="1"/>
  <c r="X386" i="3" a="1"/>
  <c r="X386" i="3" s="1"/>
  <c r="X232" i="3" a="1"/>
  <c r="X232" i="3" s="1"/>
  <c r="X222" i="3" a="1"/>
  <c r="X222" i="3" s="1"/>
  <c r="X365" i="3" a="1"/>
  <c r="X365" i="3" s="1"/>
  <c r="X15" i="3" a="1"/>
  <c r="X15" i="3" s="1"/>
  <c r="X117" i="3" a="1"/>
  <c r="X117" i="3" s="1"/>
  <c r="X92" i="3" a="1"/>
  <c r="X92" i="3" s="1"/>
  <c r="U7" i="3" a="1"/>
  <c r="U7" i="3" s="1"/>
  <c r="X362" i="3" a="1"/>
  <c r="X362" i="3" s="1"/>
  <c r="X20" i="3" a="1"/>
  <c r="X20" i="3" s="1"/>
  <c r="X274" i="3" a="1"/>
  <c r="X274" i="3" s="1"/>
  <c r="X7" i="3" a="1"/>
  <c r="X7" i="3" s="1"/>
  <c r="X118" i="3" a="1"/>
  <c r="X118" i="3" s="1"/>
  <c r="X255" i="3" a="1"/>
  <c r="X255" i="3" s="1"/>
  <c r="X342" i="3" a="1"/>
  <c r="X342" i="3" s="1"/>
  <c r="X267" i="3" a="1"/>
  <c r="X267" i="3" s="1"/>
  <c r="X279" i="3" a="1"/>
  <c r="X279" i="3" s="1"/>
  <c r="X311" i="3" a="1"/>
  <c r="X311" i="3" s="1"/>
  <c r="X11" i="3" a="1"/>
  <c r="X11" i="3" s="1"/>
  <c r="X280" i="3" a="1"/>
  <c r="X280" i="3" s="1"/>
  <c r="X147" i="3" a="1"/>
  <c r="X147" i="3" s="1"/>
  <c r="X76" i="3" a="1"/>
  <c r="X76" i="3" s="1"/>
  <c r="X231" i="3" a="1"/>
  <c r="X231" i="3" s="1"/>
  <c r="X251" i="3" a="1"/>
  <c r="X251" i="3" s="1"/>
  <c r="X227" i="3" a="1"/>
  <c r="X227" i="3" s="1"/>
  <c r="D296" i="3" a="1"/>
  <c r="D296" i="3" s="1"/>
  <c r="X358" i="3" a="1"/>
  <c r="X358" i="3" s="1"/>
  <c r="X363" i="3" a="1"/>
  <c r="X363" i="3" s="1"/>
  <c r="X249" i="3" a="1"/>
  <c r="X249" i="3" s="1"/>
  <c r="X322" i="3" a="1"/>
  <c r="X322" i="3" s="1"/>
  <c r="X178" i="3" a="1"/>
  <c r="X178" i="3" s="1"/>
  <c r="X183" i="3" a="1"/>
  <c r="X183" i="3" s="1"/>
  <c r="X289" i="3" a="1"/>
  <c r="X289" i="3" s="1"/>
  <c r="X243" i="3" a="1"/>
  <c r="X243" i="3" s="1"/>
  <c r="X400" i="3" a="1"/>
  <c r="X400" i="3" s="1"/>
  <c r="X84" i="3" a="1"/>
  <c r="X84" i="3" s="1"/>
  <c r="X137" i="3" a="1"/>
  <c r="X137" i="3" s="1"/>
  <c r="D42" i="3" a="1"/>
  <c r="D42" i="3" s="1"/>
  <c r="D24" i="3" a="1"/>
  <c r="D24" i="3" s="1"/>
  <c r="X235" i="3" a="1"/>
  <c r="X235" i="3" s="1"/>
  <c r="X341" i="3" a="1"/>
  <c r="X341" i="3" s="1"/>
  <c r="X221" i="3" a="1"/>
  <c r="X221" i="3" s="1"/>
  <c r="X114" i="3" a="1"/>
  <c r="X114" i="3" s="1"/>
  <c r="X135" i="3" a="1"/>
  <c r="X135" i="3" s="1"/>
  <c r="X277" i="3" a="1"/>
  <c r="X277" i="3" s="1"/>
  <c r="X188" i="3" a="1"/>
  <c r="X188" i="3" s="1"/>
  <c r="X128" i="3" a="1"/>
  <c r="X128" i="3" s="1"/>
  <c r="X94" i="3" a="1"/>
  <c r="X94" i="3" s="1"/>
  <c r="X396" i="3" a="1"/>
  <c r="X396" i="3" s="1"/>
  <c r="X144" i="3" a="1"/>
  <c r="X144" i="3" s="1"/>
  <c r="X105" i="3" a="1"/>
  <c r="X105" i="3" s="1"/>
  <c r="D49" i="3" a="1"/>
  <c r="D49" i="3" s="1"/>
  <c r="X220" i="3" a="1"/>
  <c r="X220" i="3" s="1"/>
  <c r="X359" i="3" a="1"/>
  <c r="X359" i="3" s="1"/>
  <c r="X78" i="3" a="1"/>
  <c r="X78" i="3" s="1"/>
  <c r="X87" i="3" a="1"/>
  <c r="X87" i="3" s="1"/>
  <c r="X382" i="3" a="1"/>
  <c r="X382" i="3" s="1"/>
  <c r="X108" i="3" a="1"/>
  <c r="X108" i="3" s="1"/>
  <c r="X199" i="3" a="1"/>
  <c r="X199" i="3" s="1"/>
  <c r="X131" i="3" a="1"/>
  <c r="X131" i="3" s="1"/>
  <c r="X276" i="3" a="1"/>
  <c r="X276" i="3" s="1"/>
  <c r="X352" i="3" a="1"/>
  <c r="X352" i="3" s="1"/>
  <c r="X348" i="3" a="1"/>
  <c r="X348" i="3" s="1"/>
  <c r="X225" i="3" a="1"/>
  <c r="X225" i="3" s="1"/>
  <c r="X247" i="3" a="1"/>
  <c r="X247" i="3" s="1"/>
  <c r="X233" i="3" a="1"/>
  <c r="X233" i="3" s="1"/>
  <c r="X119" i="3" a="1"/>
  <c r="X119" i="3" s="1"/>
  <c r="F46" i="3" a="1"/>
  <c r="F46" i="3" s="1"/>
  <c r="G251" i="3" a="1"/>
  <c r="G251" i="3" s="1"/>
  <c r="F252" i="3" a="1"/>
  <c r="F252" i="3" s="1"/>
  <c r="G207" i="3" a="1"/>
  <c r="G207" i="3" s="1"/>
  <c r="X22" i="3" a="1"/>
  <c r="X22" i="3" s="1"/>
  <c r="X57" i="3" a="1"/>
  <c r="X57" i="3" s="1"/>
  <c r="U305" i="3" a="1"/>
  <c r="U305" i="3" s="1"/>
  <c r="F341" i="3" a="1"/>
  <c r="F341" i="3" s="1"/>
  <c r="G252" i="3" a="1"/>
  <c r="G252" i="3" s="1"/>
  <c r="U282" i="3" a="1"/>
  <c r="U282" i="3" s="1"/>
  <c r="U269" i="3" a="1"/>
  <c r="U269" i="3" s="1"/>
  <c r="E399" i="3" a="1"/>
  <c r="E399" i="3" s="1"/>
  <c r="F399" i="3" a="1"/>
  <c r="F399" i="3" s="1"/>
  <c r="G194" i="3" a="1"/>
  <c r="G194" i="3" s="1"/>
  <c r="F138" i="3" a="1"/>
  <c r="F138" i="3" s="1"/>
  <c r="F358" i="3" a="1"/>
  <c r="F358" i="3" s="1"/>
  <c r="G383" i="3" a="1"/>
  <c r="G383" i="3" s="1"/>
  <c r="G138" i="3" a="1"/>
  <c r="G138" i="3" s="1"/>
  <c r="U82" i="3" a="1"/>
  <c r="U82" i="3" s="1"/>
  <c r="X360" i="3" a="1"/>
  <c r="X360" i="3" s="1"/>
  <c r="X79" i="3" a="1"/>
  <c r="X79" i="3" s="1"/>
  <c r="X190" i="3" a="1"/>
  <c r="X190" i="3" s="1"/>
  <c r="X211" i="3" a="1"/>
  <c r="X211" i="3" s="1"/>
  <c r="P265" i="3"/>
  <c r="P293" i="3"/>
  <c r="P312" i="3"/>
  <c r="P212" i="3"/>
  <c r="P209" i="3"/>
  <c r="P198" i="3"/>
  <c r="X329" i="3" a="1"/>
  <c r="X329" i="3" s="1"/>
  <c r="X351" i="3" a="1"/>
  <c r="X351" i="3" s="1"/>
  <c r="X182" i="3" a="1"/>
  <c r="X182" i="3" s="1"/>
  <c r="X113" i="3" a="1"/>
  <c r="X113" i="3" s="1"/>
  <c r="X226" i="3" a="1"/>
  <c r="X226" i="3" s="1"/>
  <c r="X35" i="3" a="1"/>
  <c r="X35" i="3" s="1"/>
  <c r="X290" i="3" a="1"/>
  <c r="X290" i="3" s="1"/>
  <c r="U99" i="3" a="1"/>
  <c r="U99" i="3" s="1"/>
  <c r="G40" i="3" a="1"/>
  <c r="G40" i="3" s="1"/>
  <c r="E304" i="3" a="1"/>
  <c r="E304" i="3" s="1"/>
  <c r="U350" i="3" a="1"/>
  <c r="U350" i="3" s="1"/>
  <c r="G352" i="3" a="1"/>
  <c r="G352" i="3" s="1"/>
  <c r="E252" i="3" a="1"/>
  <c r="E252" i="3" s="1"/>
  <c r="G396" i="3" a="1"/>
  <c r="G396" i="3" s="1"/>
  <c r="G399" i="3" a="1"/>
  <c r="G399" i="3" s="1"/>
  <c r="E112" i="3" a="1"/>
  <c r="E112" i="3" s="1"/>
  <c r="E274" i="3" a="1"/>
  <c r="E274" i="3" s="1"/>
  <c r="F359" i="3" a="1"/>
  <c r="F359" i="3" s="1"/>
  <c r="U214" i="3" a="1"/>
  <c r="U214" i="3" s="1"/>
  <c r="G278" i="3" a="1"/>
  <c r="G278" i="3" s="1"/>
  <c r="E358" i="3" a="1"/>
  <c r="E358" i="3" s="1"/>
  <c r="E383" i="3" a="1"/>
  <c r="E383" i="3" s="1"/>
  <c r="F378" i="3" a="1"/>
  <c r="F378" i="3" s="1"/>
  <c r="E267" i="3" a="1"/>
  <c r="E267" i="3" s="1"/>
  <c r="F367" i="3" a="1"/>
  <c r="F367" i="3" s="1"/>
  <c r="F271" i="3" a="1"/>
  <c r="F271" i="3" s="1"/>
  <c r="G248" i="3" a="1"/>
  <c r="G248" i="3" s="1"/>
  <c r="U367" i="3" a="1"/>
  <c r="U367" i="3" s="1"/>
  <c r="F275" i="3" a="1"/>
  <c r="F275" i="3" s="1"/>
  <c r="X141" i="3" a="1"/>
  <c r="X141" i="3" s="1"/>
  <c r="X263" i="3" a="1"/>
  <c r="X263" i="3" s="1"/>
  <c r="X48" i="3" a="1"/>
  <c r="X48" i="3" s="1"/>
  <c r="X89" i="3" a="1"/>
  <c r="X89" i="3" s="1"/>
  <c r="X296" i="3" a="1"/>
  <c r="X296" i="3" s="1"/>
  <c r="P43" i="3"/>
  <c r="P122" i="3"/>
  <c r="P79" i="3"/>
  <c r="P292" i="3"/>
  <c r="P298" i="3"/>
  <c r="P39" i="3"/>
  <c r="P211" i="3"/>
  <c r="P224" i="3"/>
  <c r="P48" i="3"/>
  <c r="P186" i="3"/>
  <c r="F77" i="3" a="1"/>
  <c r="F77" i="3" s="1"/>
  <c r="F305" i="3" a="1"/>
  <c r="F305" i="3" s="1"/>
  <c r="P362" i="3"/>
  <c r="G171" i="3" a="1"/>
  <c r="G171" i="3" s="1"/>
  <c r="G362" i="3" a="1"/>
  <c r="G362" i="3" s="1"/>
  <c r="F213" i="3" a="1"/>
  <c r="F213" i="3" s="1"/>
  <c r="E180" i="3" a="1"/>
  <c r="E180" i="3" s="1"/>
  <c r="F284" i="3" a="1"/>
  <c r="F284" i="3" s="1"/>
  <c r="E283" i="3" a="1"/>
  <c r="E283" i="3" s="1"/>
  <c r="G221" i="3" a="1"/>
  <c r="G221" i="3" s="1"/>
  <c r="U386" i="3" a="1"/>
  <c r="U386" i="3" s="1"/>
  <c r="P285" i="3"/>
  <c r="F228" i="3" a="1"/>
  <c r="F228" i="3" s="1"/>
  <c r="U138" i="3" a="1"/>
  <c r="U138" i="3" s="1"/>
  <c r="F286" i="3" a="1"/>
  <c r="F286" i="3" s="1"/>
  <c r="G286" i="3" a="1"/>
  <c r="G286" i="3" s="1"/>
  <c r="F208" i="3" a="1"/>
  <c r="F208" i="3" s="1"/>
  <c r="F266" i="3" a="1"/>
  <c r="F266" i="3" s="1"/>
  <c r="X254" i="3" a="1"/>
  <c r="X254" i="3" s="1"/>
  <c r="X265" i="3" a="1"/>
  <c r="X265" i="3" s="1"/>
  <c r="X345" i="3" a="1"/>
  <c r="X345" i="3" s="1"/>
  <c r="X302" i="3" a="1"/>
  <c r="X302" i="3" s="1"/>
  <c r="X206" i="3" a="1"/>
  <c r="X206" i="3" s="1"/>
  <c r="P314" i="3"/>
  <c r="P145" i="3"/>
  <c r="P360" i="3"/>
  <c r="P142" i="3"/>
  <c r="X270" i="3" a="1"/>
  <c r="X270" i="3" s="1"/>
  <c r="X287" i="3" a="1"/>
  <c r="X287" i="3" s="1"/>
  <c r="X86" i="3" a="1"/>
  <c r="X86" i="3" s="1"/>
  <c r="X111" i="3" a="1"/>
  <c r="X111" i="3" s="1"/>
  <c r="X77" i="3" a="1"/>
  <c r="X77" i="3" s="1"/>
  <c r="X256" i="3" a="1"/>
  <c r="X256" i="3" s="1"/>
  <c r="X216" i="3" a="1"/>
  <c r="X216" i="3" s="1"/>
  <c r="E35" i="3" a="1"/>
  <c r="E35" i="3" s="1"/>
  <c r="E251" i="3" a="1"/>
  <c r="E251" i="3" s="1"/>
  <c r="G305" i="3" a="1"/>
  <c r="G305" i="3" s="1"/>
  <c r="E86" i="3" a="1"/>
  <c r="E86" i="3" s="1"/>
  <c r="G34" i="3" a="1"/>
  <c r="G34" i="3" s="1"/>
  <c r="U258" i="3" a="1"/>
  <c r="U258" i="3" s="1"/>
  <c r="G337" i="3" a="1"/>
  <c r="G337" i="3" s="1"/>
  <c r="F256" i="3" a="1"/>
  <c r="F256" i="3" s="1"/>
  <c r="G311" i="3" a="1"/>
  <c r="G311" i="3" s="1"/>
  <c r="G94" i="3" a="1"/>
  <c r="G94" i="3" s="1"/>
  <c r="E338" i="3" a="1"/>
  <c r="E338" i="3" s="1"/>
  <c r="E311" i="3" a="1"/>
  <c r="E311" i="3" s="1"/>
  <c r="G316" i="3" a="1"/>
  <c r="G316" i="3" s="1"/>
  <c r="G322" i="3" a="1"/>
  <c r="G322" i="3" s="1"/>
  <c r="E4" i="3" a="1"/>
  <c r="E4" i="3" s="1"/>
  <c r="D21" i="4" s="1"/>
  <c r="G348" i="3" a="1"/>
  <c r="G348" i="3" s="1"/>
  <c r="E341" i="3" a="1"/>
  <c r="E341" i="3" s="1"/>
  <c r="F227" i="3" a="1"/>
  <c r="F227" i="3" s="1"/>
  <c r="U171" i="3" a="1"/>
  <c r="U171" i="3" s="1"/>
  <c r="E282" i="3" a="1"/>
  <c r="E282" i="3" s="1"/>
  <c r="G291" i="3" a="1"/>
  <c r="G291" i="3" s="1"/>
  <c r="E247" i="3" a="1"/>
  <c r="E247" i="3" s="1"/>
  <c r="E226" i="3" a="1"/>
  <c r="E226" i="3" s="1"/>
  <c r="E83" i="3" a="1"/>
  <c r="E83" i="3" s="1"/>
  <c r="G267" i="3" a="1"/>
  <c r="G267" i="3" s="1"/>
  <c r="F202" i="3" a="1"/>
  <c r="F202" i="3" s="1"/>
  <c r="F264" i="3" a="1"/>
  <c r="F264" i="3" s="1"/>
  <c r="G137" i="3" a="1"/>
  <c r="G137" i="3" s="1"/>
  <c r="X293" i="3" a="1"/>
  <c r="X293" i="3" s="1"/>
  <c r="X349" i="3" a="1"/>
  <c r="X349" i="3" s="1"/>
  <c r="X186" i="3" a="1"/>
  <c r="X186" i="3" s="1"/>
  <c r="X122" i="3" a="1"/>
  <c r="X122" i="3" s="1"/>
  <c r="X103" i="3" a="1"/>
  <c r="X103" i="3" s="1"/>
  <c r="X51" i="3" a="1"/>
  <c r="X51" i="3" s="1"/>
  <c r="P29" i="3"/>
  <c r="P172" i="3"/>
  <c r="P23" i="3"/>
  <c r="P373" i="3"/>
  <c r="P51" i="3"/>
  <c r="P337" i="3"/>
  <c r="P31" i="3"/>
  <c r="P190" i="3"/>
  <c r="X346" i="3" a="1"/>
  <c r="X346" i="3" s="1"/>
  <c r="G306" i="3" a="1"/>
  <c r="G306" i="3" s="1"/>
  <c r="E256" i="3" a="1"/>
  <c r="E256" i="3" s="1"/>
  <c r="P383" i="3"/>
  <c r="G285" i="3" a="1"/>
  <c r="G285" i="3" s="1"/>
  <c r="U285" i="3" a="1"/>
  <c r="U285" i="3" s="1"/>
  <c r="U371" i="3" a="1"/>
  <c r="U371" i="3" s="1"/>
  <c r="F112" i="3" a="1"/>
  <c r="F112" i="3" s="1"/>
  <c r="F374" i="3" a="1"/>
  <c r="F374" i="3" s="1"/>
  <c r="U213" i="3" a="1"/>
  <c r="U213" i="3" s="1"/>
  <c r="G283" i="3" a="1"/>
  <c r="G283" i="3" s="1"/>
  <c r="F139" i="3" a="1"/>
  <c r="F139" i="3" s="1"/>
  <c r="G135" i="3" a="1"/>
  <c r="G135" i="3" s="1"/>
  <c r="G250" i="3" a="1"/>
  <c r="G250" i="3" s="1"/>
  <c r="U264" i="3" a="1"/>
  <c r="U264" i="3" s="1"/>
  <c r="U278" i="3" a="1"/>
  <c r="U278" i="3" s="1"/>
  <c r="E357" i="3" a="1"/>
  <c r="E357" i="3" s="1"/>
  <c r="E113" i="3" a="1"/>
  <c r="E113" i="3" s="1"/>
  <c r="X41" i="3" a="1"/>
  <c r="X41" i="3" s="1"/>
  <c r="X169" i="3" a="1"/>
  <c r="X169" i="3" s="1"/>
  <c r="X223" i="3" a="1"/>
  <c r="X223" i="3" s="1"/>
  <c r="X168" i="3" a="1"/>
  <c r="X168" i="3" s="1"/>
  <c r="X294" i="3" a="1"/>
  <c r="X294" i="3" s="1"/>
  <c r="X262" i="3" a="1"/>
  <c r="X262" i="3" s="1"/>
  <c r="X142" i="3" a="1"/>
  <c r="X142" i="3" s="1"/>
  <c r="X210" i="3" a="1"/>
  <c r="X210" i="3" s="1"/>
  <c r="X203" i="3" a="1"/>
  <c r="X203" i="3" s="1"/>
  <c r="P9" i="3"/>
  <c r="P399" i="3"/>
  <c r="P392" i="3"/>
  <c r="P348" i="3"/>
  <c r="P261" i="3"/>
  <c r="F34" i="3" a="1"/>
  <c r="F34" i="3" s="1"/>
  <c r="U316" i="3" a="1"/>
  <c r="U316" i="3" s="1"/>
  <c r="F69" i="3" a="1"/>
  <c r="F69" i="3" s="1"/>
  <c r="F311" i="3" a="1"/>
  <c r="F311" i="3" s="1"/>
  <c r="G69" i="3" a="1"/>
  <c r="G69" i="3" s="1"/>
  <c r="U98" i="3" a="1"/>
  <c r="U98" i="3" s="1"/>
  <c r="E316" i="3" a="1"/>
  <c r="E316" i="3" s="1"/>
  <c r="U306" i="3" a="1"/>
  <c r="U306" i="3" s="1"/>
  <c r="U283" i="3" a="1"/>
  <c r="U283" i="3" s="1"/>
  <c r="U110" i="3" a="1"/>
  <c r="U110" i="3" s="1"/>
  <c r="G269" i="3" a="1"/>
  <c r="G269" i="3" s="1"/>
  <c r="G266" i="3" a="1"/>
  <c r="G266" i="3" s="1"/>
  <c r="E386" i="3" a="1"/>
  <c r="E386" i="3" s="1"/>
  <c r="E286" i="3" a="1"/>
  <c r="E286" i="3" s="1"/>
  <c r="U181" i="3" a="1"/>
  <c r="U181" i="3" s="1"/>
  <c r="F113" i="3" a="1"/>
  <c r="F113" i="3" s="1"/>
  <c r="E171" i="3" a="1"/>
  <c r="E171" i="3" s="1"/>
  <c r="G364" i="3" a="1"/>
  <c r="G364" i="3" s="1"/>
  <c r="F234" i="3" a="1"/>
  <c r="F234" i="3" s="1"/>
  <c r="F248" i="3" a="1"/>
  <c r="F248" i="3" s="1"/>
  <c r="E131" i="3" a="1"/>
  <c r="E131" i="3" s="1"/>
  <c r="P234" i="3"/>
  <c r="G110" i="3" a="1"/>
  <c r="G110" i="3" s="1"/>
  <c r="P267" i="3"/>
  <c r="F83" i="3" a="1"/>
  <c r="F83" i="3" s="1"/>
  <c r="E269" i="3" a="1"/>
  <c r="E269" i="3" s="1"/>
  <c r="U267" i="3" a="1"/>
  <c r="U267" i="3" s="1"/>
  <c r="X324" i="3" a="1"/>
  <c r="X324" i="3" s="1"/>
  <c r="X47" i="3" a="1"/>
  <c r="X47" i="3" s="1"/>
  <c r="X95" i="3" a="1"/>
  <c r="X95" i="3" s="1"/>
  <c r="X373" i="3" a="1"/>
  <c r="X373" i="3" s="1"/>
  <c r="P297" i="3"/>
  <c r="P26" i="3"/>
  <c r="P345" i="3"/>
  <c r="P340" i="3"/>
  <c r="P257" i="3"/>
  <c r="P95" i="3"/>
  <c r="P49" i="3"/>
  <c r="P193" i="3"/>
  <c r="X230" i="3" a="1"/>
  <c r="X230" i="3" s="1"/>
  <c r="X120" i="3" a="1"/>
  <c r="X120" i="3" s="1"/>
  <c r="X69" i="3" a="1"/>
  <c r="X69" i="3" s="1"/>
  <c r="X372" i="3" a="1"/>
  <c r="X372" i="3" s="1"/>
  <c r="E58" i="3" a="1"/>
  <c r="E58" i="3" s="1"/>
  <c r="E55" i="3" a="1"/>
  <c r="E55" i="3" s="1"/>
  <c r="F255" i="3" a="1"/>
  <c r="F255" i="3" s="1"/>
  <c r="U34" i="3" a="1"/>
  <c r="U34" i="3" s="1"/>
  <c r="U256" i="3" a="1"/>
  <c r="U256" i="3" s="1"/>
  <c r="E259" i="3" a="1"/>
  <c r="E259" i="3" s="1"/>
  <c r="F258" i="3" a="1"/>
  <c r="F258" i="3" s="1"/>
  <c r="E93" i="3" a="1"/>
  <c r="E93" i="3" s="1"/>
  <c r="G256" i="3" a="1"/>
  <c r="G256" i="3" s="1"/>
  <c r="U92" i="3" a="1"/>
  <c r="U92" i="3" s="1"/>
  <c r="U253" i="3" a="1"/>
  <c r="U253" i="3" s="1"/>
  <c r="E253" i="3" a="1"/>
  <c r="E253" i="3" s="1"/>
  <c r="G260" i="3" a="1"/>
  <c r="G260" i="3" s="1"/>
  <c r="F82" i="3" a="1"/>
  <c r="F82" i="3" s="1"/>
  <c r="G385" i="3" a="1"/>
  <c r="G385" i="3" s="1"/>
  <c r="P199" i="3"/>
  <c r="F194" i="3" a="1"/>
  <c r="F194" i="3" s="1"/>
  <c r="U114" i="3" a="1"/>
  <c r="U114" i="3" s="1"/>
  <c r="U84" i="3" a="1"/>
  <c r="U84" i="3" s="1"/>
  <c r="G181" i="3" a="1"/>
  <c r="G181" i="3" s="1"/>
  <c r="E118" i="3" a="1"/>
  <c r="E118" i="3" s="1"/>
  <c r="E366" i="3" a="1"/>
  <c r="E366" i="3" s="1"/>
  <c r="F108" i="3" a="1"/>
  <c r="F108" i="3" s="1"/>
  <c r="U174" i="3" a="1"/>
  <c r="U174" i="3" s="1"/>
  <c r="E249" i="3" a="1"/>
  <c r="E249" i="3" s="1"/>
  <c r="F357" i="3" a="1"/>
  <c r="F357" i="3" s="1"/>
  <c r="E137" i="3" a="1"/>
  <c r="E137" i="3" s="1"/>
  <c r="E237" i="3" a="1"/>
  <c r="E237" i="3" s="1"/>
  <c r="E264" i="3" a="1"/>
  <c r="E264" i="3" s="1"/>
  <c r="F386" i="3" a="1"/>
  <c r="F386" i="3" s="1"/>
  <c r="E275" i="3" a="1"/>
  <c r="E275" i="3" s="1"/>
  <c r="G222" i="3" a="1"/>
  <c r="G222" i="3" s="1"/>
  <c r="E222" i="3" a="1"/>
  <c r="E222" i="3" s="1"/>
  <c r="X217" i="3" a="1"/>
  <c r="X217" i="3" s="1"/>
  <c r="X59" i="3" a="1"/>
  <c r="X59" i="3" s="1"/>
  <c r="X212" i="3" a="1"/>
  <c r="X212" i="3" s="1"/>
  <c r="X42" i="3" a="1"/>
  <c r="X42" i="3" s="1"/>
  <c r="X307" i="3" a="1"/>
  <c r="X307" i="3" s="1"/>
  <c r="X309" i="3" a="1"/>
  <c r="X309" i="3" s="1"/>
  <c r="P54" i="3"/>
  <c r="P96" i="3"/>
  <c r="P309" i="3"/>
  <c r="X259" i="3" a="1"/>
  <c r="X259" i="3" s="1"/>
  <c r="X398" i="3" a="1"/>
  <c r="X398" i="3" s="1"/>
  <c r="X196" i="3" a="1"/>
  <c r="X196" i="3" s="1"/>
  <c r="E46" i="3" a="1"/>
  <c r="E46" i="3" s="1"/>
  <c r="U55" i="3" a="1"/>
  <c r="U55" i="3" s="1"/>
  <c r="G332" i="3" a="1"/>
  <c r="G332" i="3" s="1"/>
  <c r="F40" i="3" a="1"/>
  <c r="F40" i="3" s="1"/>
  <c r="E257" i="3" a="1"/>
  <c r="E257" i="3" s="1"/>
  <c r="G58" i="3" a="1"/>
  <c r="G58" i="3" s="1"/>
  <c r="E352" i="3" a="1"/>
  <c r="E352" i="3" s="1"/>
  <c r="F322" i="3" a="1"/>
  <c r="F322" i="3" s="1"/>
  <c r="U311" i="3" a="1"/>
  <c r="U311" i="3" s="1"/>
  <c r="G259" i="3" a="1"/>
  <c r="G259" i="3" s="1"/>
  <c r="F86" i="3" a="1"/>
  <c r="F86" i="3" s="1"/>
  <c r="E17" i="3" a="1"/>
  <c r="E17" i="3" s="1"/>
  <c r="U86" i="3" a="1"/>
  <c r="U86" i="3" s="1"/>
  <c r="E307" i="3" a="1"/>
  <c r="E307" i="3" s="1"/>
  <c r="F338" i="3" a="1"/>
  <c r="F338" i="3" s="1"/>
  <c r="U255" i="3" a="1"/>
  <c r="U255" i="3" s="1"/>
  <c r="F259" i="3" a="1"/>
  <c r="F259" i="3" s="1"/>
  <c r="E220" i="3" a="1"/>
  <c r="E220" i="3" s="1"/>
  <c r="F147" i="3" a="1"/>
  <c r="F147" i="3" s="1"/>
  <c r="U364" i="3" a="1"/>
  <c r="U364" i="3" s="1"/>
  <c r="E364" i="3" a="1"/>
  <c r="E364" i="3" s="1"/>
  <c r="G386" i="3" a="1"/>
  <c r="G386" i="3" s="1"/>
  <c r="G208" i="3" a="1"/>
  <c r="G208" i="3" s="1"/>
  <c r="G132" i="3" a="1"/>
  <c r="G132" i="3" s="1"/>
  <c r="E291" i="3" a="1"/>
  <c r="E291" i="3" s="1"/>
  <c r="F383" i="3" a="1"/>
  <c r="F383" i="3" s="1"/>
  <c r="E278" i="3" a="1"/>
  <c r="E278" i="3" s="1"/>
  <c r="G378" i="3" a="1"/>
  <c r="G378" i="3" s="1"/>
  <c r="E268" i="3" a="1"/>
  <c r="E268" i="3" s="1"/>
  <c r="E119" i="3" a="1"/>
  <c r="E119" i="3" s="1"/>
  <c r="E76" i="3" a="1"/>
  <c r="E76" i="3" s="1"/>
  <c r="U113" i="3" a="1"/>
  <c r="U113" i="3" s="1"/>
  <c r="G116" i="3" a="1"/>
  <c r="G116" i="3" s="1"/>
  <c r="G82" i="3" a="1"/>
  <c r="G82" i="3" s="1"/>
  <c r="U291" i="3" a="1"/>
  <c r="U291" i="3" s="1"/>
  <c r="F181" i="3" a="1"/>
  <c r="F181" i="3" s="1"/>
  <c r="E194" i="3" a="1"/>
  <c r="E194" i="3" s="1"/>
  <c r="E208" i="3" a="1"/>
  <c r="E208" i="3" s="1"/>
  <c r="E114" i="3" a="1"/>
  <c r="E114" i="3" s="1"/>
  <c r="G359" i="3" a="1"/>
  <c r="G359" i="3" s="1"/>
  <c r="P225" i="3"/>
  <c r="G182" i="3" a="1"/>
  <c r="G182" i="3" s="1"/>
  <c r="F269" i="3" a="1"/>
  <c r="F269" i="3" s="1"/>
  <c r="F277" i="3" a="1"/>
  <c r="F277" i="3" s="1"/>
  <c r="U199" i="3" a="1"/>
  <c r="U199" i="3" s="1"/>
  <c r="U112" i="3" a="1"/>
  <c r="U112" i="3" s="1"/>
  <c r="X340" i="3" a="1"/>
  <c r="X340" i="3" s="1"/>
  <c r="X192" i="3" a="1"/>
  <c r="X192" i="3" s="1"/>
  <c r="X292" i="3" a="1"/>
  <c r="X292" i="3" s="1"/>
  <c r="X314" i="3" a="1"/>
  <c r="X314" i="3" s="1"/>
  <c r="X376" i="3" a="1"/>
  <c r="X376" i="3" s="1"/>
  <c r="X145" i="3" a="1"/>
  <c r="X145" i="3" s="1"/>
  <c r="X9" i="3" a="1"/>
  <c r="X9" i="3" s="1"/>
  <c r="P146" i="3"/>
  <c r="P336" i="3"/>
  <c r="P28" i="3"/>
  <c r="P299" i="3"/>
  <c r="P192" i="3"/>
  <c r="X45" i="3" a="1"/>
  <c r="X45" i="3" s="1"/>
  <c r="E14" i="3" a="1"/>
  <c r="E14" i="3" s="1"/>
  <c r="G342" i="3" a="1"/>
  <c r="G342" i="3" s="1"/>
  <c r="E350" i="3" a="1"/>
  <c r="E350" i="3" s="1"/>
  <c r="G98" i="3" a="1"/>
  <c r="G98" i="3" s="1"/>
  <c r="U274" i="3" a="1"/>
  <c r="U274" i="3" s="1"/>
  <c r="E385" i="3" a="1"/>
  <c r="E385" i="3" s="1"/>
  <c r="U83" i="3" a="1"/>
  <c r="U83" i="3" s="1"/>
  <c r="U248" i="3" a="1"/>
  <c r="U248" i="3" s="1"/>
  <c r="U179" i="3" a="1"/>
  <c r="U179" i="3" s="1"/>
  <c r="G233" i="3" a="1"/>
  <c r="G233" i="3" s="1"/>
  <c r="E375" i="3" a="1"/>
  <c r="E375" i="3" s="1"/>
  <c r="U249" i="3" a="1"/>
  <c r="U249" i="3" s="1"/>
  <c r="U385" i="3" a="1"/>
  <c r="U385" i="3" s="1"/>
  <c r="E173" i="3" a="1"/>
  <c r="E173" i="3" s="1"/>
  <c r="E221" i="3" a="1"/>
  <c r="E221" i="3" s="1"/>
  <c r="G108" i="3" a="1"/>
  <c r="G108" i="3" s="1"/>
  <c r="U126" i="3" a="1"/>
  <c r="U126" i="3" s="1"/>
  <c r="F119" i="3" a="1"/>
  <c r="F119" i="3" s="1"/>
  <c r="U378" i="3" a="1"/>
  <c r="U378" i="3" s="1"/>
  <c r="G205" i="3" a="1"/>
  <c r="G205" i="3" s="1"/>
  <c r="G276" i="3" a="1"/>
  <c r="G276" i="3" s="1"/>
  <c r="G282" i="3" a="1"/>
  <c r="G282" i="3" s="1"/>
  <c r="P144" i="3"/>
  <c r="U374" i="3" a="1"/>
  <c r="U374" i="3" s="1"/>
  <c r="U363" i="3" a="1"/>
  <c r="U363" i="3" s="1"/>
  <c r="U250" i="3" a="1"/>
  <c r="U250" i="3" s="1"/>
  <c r="E284" i="3" a="1"/>
  <c r="E284" i="3" s="1"/>
  <c r="X215" i="3" a="1"/>
  <c r="X215" i="3" s="1"/>
  <c r="X336" i="3" a="1"/>
  <c r="X336" i="3" s="1"/>
  <c r="X209" i="3" a="1"/>
  <c r="X209" i="3" s="1"/>
  <c r="P22" i="3"/>
  <c r="P136" i="3"/>
  <c r="P250" i="3"/>
  <c r="P32" i="3"/>
  <c r="P281" i="3"/>
  <c r="P201" i="3"/>
  <c r="X187" i="3" a="1"/>
  <c r="X187" i="3" s="1"/>
  <c r="X237" i="3" a="1"/>
  <c r="X237" i="3" s="1"/>
  <c r="X83" i="3" a="1"/>
  <c r="X83" i="3" s="1"/>
  <c r="X248" i="3" a="1"/>
  <c r="X248" i="3" s="1"/>
  <c r="X132" i="3" a="1"/>
  <c r="X132" i="3" s="1"/>
  <c r="X236" i="3" a="1"/>
  <c r="X236" i="3" s="1"/>
  <c r="X234" i="3" a="1"/>
  <c r="X234" i="3" s="1"/>
  <c r="X139" i="3" a="1"/>
  <c r="X139" i="3" s="1"/>
  <c r="X181" i="3" a="1"/>
  <c r="X181" i="3" s="1"/>
  <c r="D67" i="3" a="1"/>
  <c r="D67" i="3" s="1"/>
  <c r="U35" i="3" a="1"/>
  <c r="U35" i="3" s="1"/>
  <c r="E348" i="3" a="1"/>
  <c r="E348" i="3" s="1"/>
  <c r="U69" i="3" a="1"/>
  <c r="U69" i="3" s="1"/>
  <c r="U348" i="3" a="1"/>
  <c r="U348" i="3" s="1"/>
  <c r="U337" i="3" a="1"/>
  <c r="U337" i="3" s="1"/>
  <c r="U251" i="3" a="1"/>
  <c r="U251" i="3" s="1"/>
  <c r="G80" i="3" a="1"/>
  <c r="G80" i="3" s="1"/>
  <c r="G338" i="3" a="1"/>
  <c r="G338" i="3" s="1"/>
  <c r="G341" i="3" a="1"/>
  <c r="G341" i="3" s="1"/>
  <c r="F98" i="3" a="1"/>
  <c r="F98" i="3" s="1"/>
  <c r="G77" i="3" a="1"/>
  <c r="G77" i="3" s="1"/>
  <c r="E258" i="3" a="1"/>
  <c r="E258" i="3" s="1"/>
  <c r="F342" i="3" a="1"/>
  <c r="F342" i="3" s="1"/>
  <c r="E260" i="3" a="1"/>
  <c r="E260" i="3" s="1"/>
  <c r="G350" i="3" a="1"/>
  <c r="G350" i="3" s="1"/>
  <c r="U58" i="3" a="1"/>
  <c r="U58" i="3" s="1"/>
  <c r="E15" i="3" a="1"/>
  <c r="E15" i="3" s="1"/>
  <c r="U399" i="3" a="1"/>
  <c r="U399" i="3" s="1"/>
  <c r="F109" i="3" a="1"/>
  <c r="F109" i="3" s="1"/>
  <c r="G197" i="3" a="1"/>
  <c r="G197" i="3" s="1"/>
  <c r="P358" i="3"/>
  <c r="E182" i="3" a="1"/>
  <c r="E182" i="3" s="1"/>
  <c r="G114" i="3" a="1"/>
  <c r="G114" i="3" s="1"/>
  <c r="F76" i="3" a="1"/>
  <c r="F76" i="3" s="1"/>
  <c r="G365" i="3" a="1"/>
  <c r="G365" i="3" s="1"/>
  <c r="F285" i="3" a="1"/>
  <c r="F285" i="3" s="1"/>
  <c r="G271" i="3" a="1"/>
  <c r="G271" i="3" s="1"/>
  <c r="G363" i="3" a="1"/>
  <c r="G363" i="3" s="1"/>
  <c r="U137" i="3" a="1"/>
  <c r="U137" i="3" s="1"/>
  <c r="E213" i="3" a="1"/>
  <c r="E213" i="3" s="1"/>
  <c r="F247" i="3" a="1"/>
  <c r="F247" i="3" s="1"/>
  <c r="F387" i="3" a="1"/>
  <c r="F387" i="3" s="1"/>
  <c r="E107" i="3" a="1"/>
  <c r="E107" i="3" s="1"/>
  <c r="E181" i="3" a="1"/>
  <c r="E181" i="3" s="1"/>
  <c r="F179" i="3" a="1"/>
  <c r="F179" i="3" s="1"/>
  <c r="G84" i="3" a="1"/>
  <c r="G84" i="3" s="1"/>
  <c r="E280" i="3" a="1"/>
  <c r="E280" i="3" s="1"/>
  <c r="E139" i="3" a="1"/>
  <c r="E139" i="3" s="1"/>
  <c r="U140" i="3" a="1"/>
  <c r="U140" i="3" s="1"/>
  <c r="G118" i="3" a="1"/>
  <c r="G118" i="3" s="1"/>
  <c r="F226" i="3" a="1"/>
  <c r="F226" i="3" s="1"/>
  <c r="E138" i="3" a="1"/>
  <c r="E138" i="3" s="1"/>
  <c r="P208" i="3"/>
  <c r="G113" i="3" a="1"/>
  <c r="G113" i="3" s="1"/>
  <c r="E287" i="3" a="1"/>
  <c r="E287" i="3" s="1"/>
  <c r="U120" i="3" a="1"/>
  <c r="U120" i="3" s="1"/>
  <c r="X200" i="3" a="1"/>
  <c r="X200" i="3" s="1"/>
  <c r="X389" i="3" a="1"/>
  <c r="X389" i="3" s="1"/>
  <c r="X195" i="3" a="1"/>
  <c r="X195" i="3" s="1"/>
  <c r="P143" i="3"/>
  <c r="P327" i="3"/>
  <c r="P24" i="3"/>
  <c r="P248" i="3"/>
  <c r="P121" i="3"/>
  <c r="P254" i="3"/>
  <c r="P47" i="3"/>
  <c r="P349" i="3"/>
  <c r="P59" i="3"/>
  <c r="P168" i="3"/>
  <c r="P123" i="3"/>
  <c r="P41" i="3"/>
  <c r="X320" i="3" a="1"/>
  <c r="X320" i="3" s="1"/>
  <c r="X56" i="3" a="1"/>
  <c r="X56" i="3" s="1"/>
  <c r="F350" i="3" a="1"/>
  <c r="F350" i="3" s="1"/>
  <c r="F306" i="3" a="1"/>
  <c r="F306" i="3" s="1"/>
  <c r="F78" i="3" a="1"/>
  <c r="F78" i="3" s="1"/>
  <c r="F80" i="3" a="1"/>
  <c r="F80" i="3" s="1"/>
  <c r="U40" i="3" a="1"/>
  <c r="U40" i="3" s="1"/>
  <c r="E19" i="3" a="1"/>
  <c r="E19" i="3" s="1"/>
  <c r="U94" i="3" a="1"/>
  <c r="U94" i="3" s="1"/>
  <c r="F93" i="3" a="1"/>
  <c r="F93" i="3" s="1"/>
  <c r="U80" i="3" a="1"/>
  <c r="U80" i="3" s="1"/>
  <c r="U202" i="3" a="1"/>
  <c r="U202" i="3" s="1"/>
  <c r="U208" i="3" a="1"/>
  <c r="U208" i="3" s="1"/>
  <c r="U118" i="3" a="1"/>
  <c r="U118" i="3" s="1"/>
  <c r="F364" i="3" a="1"/>
  <c r="F364" i="3" s="1"/>
  <c r="G247" i="3" a="1"/>
  <c r="G247" i="3" s="1"/>
  <c r="U366" i="3" a="1"/>
  <c r="U366" i="3" s="1"/>
  <c r="U147" i="3" a="1"/>
  <c r="U147" i="3" s="1"/>
  <c r="G174" i="3" a="1"/>
  <c r="G174" i="3" s="1"/>
  <c r="G398" i="3" a="1"/>
  <c r="G398" i="3" s="1"/>
  <c r="U216" i="3" a="1"/>
  <c r="U216" i="3" s="1"/>
  <c r="G275" i="3" a="1"/>
  <c r="G275" i="3" s="1"/>
  <c r="F221" i="3" a="1"/>
  <c r="F221" i="3" s="1"/>
  <c r="U115" i="3" a="1"/>
  <c r="U115" i="3" s="1"/>
  <c r="U276" i="3" a="1"/>
  <c r="U276" i="3" s="1"/>
  <c r="G202" i="3" a="1"/>
  <c r="G202" i="3" s="1"/>
  <c r="U271" i="3" a="1"/>
  <c r="U271" i="3" s="1"/>
  <c r="F178" i="3" a="1"/>
  <c r="F178" i="3" s="1"/>
  <c r="E147" i="3" a="1"/>
  <c r="E147" i="3" s="1"/>
  <c r="U119" i="3" a="1"/>
  <c r="U119" i="3" s="1"/>
  <c r="F280" i="3" a="1"/>
  <c r="F280" i="3" s="1"/>
  <c r="U76" i="3" a="1"/>
  <c r="U76" i="3" s="1"/>
  <c r="F81" i="3" a="1"/>
  <c r="F81" i="3" s="1"/>
  <c r="F274" i="3" a="1"/>
  <c r="F274" i="3" s="1"/>
  <c r="U131" i="3" a="1"/>
  <c r="U131" i="3" s="1"/>
  <c r="G400" i="3" a="1"/>
  <c r="G400" i="3" s="1"/>
  <c r="F184" i="3" a="1"/>
  <c r="F184" i="3" s="1"/>
  <c r="E82" i="3" a="1"/>
  <c r="E82" i="3" s="1"/>
  <c r="G128" i="3" a="1"/>
  <c r="G128" i="3" s="1"/>
  <c r="U197" i="3" a="1"/>
  <c r="U197" i="3" s="1"/>
  <c r="F372" i="3" a="1"/>
  <c r="F372" i="3" s="1"/>
  <c r="G264" i="3" a="1"/>
  <c r="G264" i="3" s="1"/>
  <c r="G112" i="3" a="1"/>
  <c r="G112" i="3" s="1"/>
  <c r="P286" i="3"/>
  <c r="E266" i="3" a="1"/>
  <c r="E266" i="3" s="1"/>
  <c r="E233" i="3" a="1"/>
  <c r="E233" i="3" s="1"/>
  <c r="G287" i="3" a="1"/>
  <c r="G287" i="3" s="1"/>
  <c r="F366" i="3" a="1"/>
  <c r="F366" i="3" s="1"/>
  <c r="U226" i="3" a="1"/>
  <c r="U226" i="3" s="1"/>
  <c r="E367" i="3" a="1"/>
  <c r="E367" i="3" s="1"/>
  <c r="U116" i="3" a="1"/>
  <c r="U116" i="3" s="1"/>
  <c r="E395" i="3" a="1"/>
  <c r="E395" i="3" s="1"/>
  <c r="G140" i="3" a="1"/>
  <c r="G140" i="3" s="1"/>
  <c r="G147" i="3" a="1"/>
  <c r="G147" i="3" s="1"/>
  <c r="F118" i="3" a="1"/>
  <c r="F118" i="3" s="1"/>
  <c r="F278" i="3" a="1"/>
  <c r="F278" i="3" s="1"/>
  <c r="E243" i="3" a="1"/>
  <c r="E243" i="3" s="1"/>
  <c r="G105" i="3" a="1"/>
  <c r="G105" i="3" s="1"/>
  <c r="E214" i="3" a="1"/>
  <c r="E214" i="3" s="1"/>
  <c r="U128" i="3" a="1"/>
  <c r="U128" i="3" s="1"/>
  <c r="E289" i="3" a="1"/>
  <c r="E289" i="3" s="1"/>
  <c r="X172" i="3" a="1"/>
  <c r="X172" i="3" s="1"/>
  <c r="X31" i="3" a="1"/>
  <c r="X31" i="3" s="1"/>
  <c r="X26" i="3" a="1"/>
  <c r="X26" i="3" s="1"/>
  <c r="X298" i="3" a="1"/>
  <c r="X298" i="3" s="1"/>
  <c r="X297" i="3" a="1"/>
  <c r="X297" i="3" s="1"/>
  <c r="X121" i="3" a="1"/>
  <c r="X121" i="3" s="1"/>
  <c r="P76" i="3"/>
  <c r="P67" i="3"/>
  <c r="P89" i="3"/>
  <c r="P355" i="3"/>
  <c r="P69" i="3"/>
  <c r="P206" i="3"/>
  <c r="X27" i="3" a="1"/>
  <c r="X27" i="3" s="1"/>
  <c r="E332" i="3" a="1"/>
  <c r="E332" i="3" s="1"/>
  <c r="G307" i="3" a="1"/>
  <c r="G307" i="3" s="1"/>
  <c r="D41" i="3" a="1"/>
  <c r="D41" i="3" s="1"/>
  <c r="E322" i="3" a="1"/>
  <c r="E322" i="3" s="1"/>
  <c r="G253" i="3" a="1"/>
  <c r="G253" i="3" s="1"/>
  <c r="F92" i="3" a="1"/>
  <c r="F92" i="3" s="1"/>
  <c r="U257" i="3" a="1"/>
  <c r="U257" i="3" s="1"/>
  <c r="E77" i="3" a="1"/>
  <c r="E77" i="3" s="1"/>
  <c r="F94" i="3" a="1"/>
  <c r="F94" i="3" s="1"/>
  <c r="G258" i="3" a="1"/>
  <c r="G258" i="3" s="1"/>
  <c r="F260" i="3" a="1"/>
  <c r="F260" i="3" s="1"/>
  <c r="D299" i="3" a="1"/>
  <c r="D299" i="3" s="1"/>
  <c r="F11" i="3" a="1"/>
  <c r="F11" i="3" s="1"/>
  <c r="E18" i="7" s="1"/>
  <c r="D29" i="3" a="1"/>
  <c r="D29" i="3" s="1"/>
  <c r="D51" i="3" a="1"/>
  <c r="D51" i="3" s="1"/>
  <c r="U243" i="3" a="1"/>
  <c r="U243" i="3" s="1"/>
  <c r="U109" i="3" a="1"/>
  <c r="U109" i="3" s="1"/>
  <c r="U231" i="3" a="1"/>
  <c r="U231" i="3" s="1"/>
  <c r="G144" i="3" a="1"/>
  <c r="G144" i="3" s="1"/>
  <c r="P387" i="3"/>
  <c r="U266" i="3" a="1"/>
  <c r="U266" i="3" s="1"/>
  <c r="P173" i="3"/>
  <c r="U180" i="3" a="1"/>
  <c r="U180" i="3" s="1"/>
  <c r="U187" i="3" a="1"/>
  <c r="U187" i="3" s="1"/>
  <c r="F207" i="3" a="1"/>
  <c r="F207" i="3" s="1"/>
  <c r="G236" i="3" a="1"/>
  <c r="G236" i="3" s="1"/>
  <c r="E199" i="3" a="1"/>
  <c r="E199" i="3" s="1"/>
  <c r="E290" i="3" a="1"/>
  <c r="E290" i="3" s="1"/>
  <c r="E229" i="3" a="1"/>
  <c r="E229" i="3" s="1"/>
  <c r="G226" i="3" a="1"/>
  <c r="G226" i="3" s="1"/>
  <c r="F135" i="3" a="1"/>
  <c r="F135" i="3" s="1"/>
  <c r="F173" i="3" a="1"/>
  <c r="F173" i="3" s="1"/>
  <c r="G382" i="3" a="1"/>
  <c r="G382" i="3" s="1"/>
  <c r="U108" i="3" a="1"/>
  <c r="U108" i="3" s="1"/>
  <c r="U275" i="3" a="1"/>
  <c r="U275" i="3" s="1"/>
  <c r="G357" i="3" a="1"/>
  <c r="G357" i="3" s="1"/>
  <c r="G235" i="3" a="1"/>
  <c r="G235" i="3" s="1"/>
  <c r="G111" i="3" a="1"/>
  <c r="G111" i="3" s="1"/>
  <c r="G214" i="3" a="1"/>
  <c r="G214" i="3" s="1"/>
  <c r="U189" i="3" a="1"/>
  <c r="U189" i="3" s="1"/>
  <c r="U230" i="3" a="1"/>
  <c r="U230" i="3" s="1"/>
  <c r="E179" i="3" a="1"/>
  <c r="E179" i="3" s="1"/>
  <c r="G180" i="3" a="1"/>
  <c r="G180" i="3" s="1"/>
  <c r="P82" i="3"/>
  <c r="P181" i="3"/>
  <c r="E84" i="3" a="1"/>
  <c r="E84" i="3" s="1"/>
  <c r="G367" i="3" a="1"/>
  <c r="G367" i="3" s="1"/>
  <c r="E128" i="3" a="1"/>
  <c r="E128" i="3" s="1"/>
  <c r="P131" i="3"/>
  <c r="G232" i="3" a="1"/>
  <c r="G232" i="3" s="1"/>
  <c r="G358" i="3" a="1"/>
  <c r="G358" i="3" s="1"/>
  <c r="E216" i="3" a="1"/>
  <c r="E216" i="3" s="1"/>
  <c r="G220" i="3" a="1"/>
  <c r="G220" i="3" s="1"/>
  <c r="F182" i="3" a="1"/>
  <c r="F182" i="3" s="1"/>
  <c r="E387" i="3" a="1"/>
  <c r="E387" i="3" s="1"/>
  <c r="U280" i="3" a="1"/>
  <c r="U280" i="3" s="1"/>
  <c r="E234" i="3" a="1"/>
  <c r="E234" i="3" s="1"/>
  <c r="G109" i="3" a="1"/>
  <c r="G109" i="3" s="1"/>
  <c r="G395" i="3" a="1"/>
  <c r="G395" i="3" s="1"/>
  <c r="U237" i="3" a="1"/>
  <c r="U237" i="3" s="1"/>
  <c r="G188" i="3" a="1"/>
  <c r="G188" i="3" s="1"/>
  <c r="E110" i="3" a="1"/>
  <c r="E110" i="3" s="1"/>
  <c r="F307" i="3" a="1"/>
  <c r="F307" i="3" s="1"/>
  <c r="X201" i="3" a="1"/>
  <c r="X201" i="3" s="1"/>
  <c r="X327" i="3" a="1"/>
  <c r="X327" i="3" s="1"/>
  <c r="X18" i="3" a="1"/>
  <c r="X18" i="3" s="1"/>
  <c r="X32" i="3" a="1"/>
  <c r="X32" i="3" s="1"/>
  <c r="X170" i="3" a="1"/>
  <c r="X170" i="3" s="1"/>
  <c r="X16" i="3" a="1"/>
  <c r="X16" i="3" s="1"/>
  <c r="X96" i="3" a="1"/>
  <c r="X96" i="3" s="1"/>
  <c r="P342" i="3"/>
  <c r="P18" i="3"/>
  <c r="P295" i="3"/>
  <c r="P42" i="3"/>
  <c r="P170" i="3"/>
  <c r="P191" i="3"/>
  <c r="X384" i="3" a="1"/>
  <c r="X384" i="3" s="1"/>
  <c r="F396" i="3" a="1"/>
  <c r="F396" i="3" s="1"/>
  <c r="U341" i="3" a="1"/>
  <c r="U341" i="3" s="1"/>
  <c r="F14" i="3" a="1"/>
  <c r="F14" i="3" s="1"/>
  <c r="E80" i="3" a="1"/>
  <c r="E80" i="3" s="1"/>
  <c r="F352" i="3" a="1"/>
  <c r="F352" i="3" s="1"/>
  <c r="D39" i="3" a="1"/>
  <c r="D39" i="3" s="1"/>
  <c r="G255" i="3" a="1"/>
  <c r="G255" i="3" s="1"/>
  <c r="G86" i="3" a="1"/>
  <c r="G86" i="3" s="1"/>
  <c r="F87" i="3" a="1"/>
  <c r="F87" i="3" s="1"/>
  <c r="E92" i="3" a="1"/>
  <c r="E92" i="3" s="1"/>
  <c r="F7" i="3" a="1"/>
  <c r="F7" i="3" s="1"/>
  <c r="E19" i="7" s="1"/>
  <c r="F15" i="3" a="1"/>
  <c r="F15" i="3" s="1"/>
  <c r="E78" i="3" a="1"/>
  <c r="E78" i="3" s="1"/>
  <c r="U259" i="3" a="1"/>
  <c r="U259" i="3" s="1"/>
  <c r="U338" i="3" a="1"/>
  <c r="U338" i="3" s="1"/>
  <c r="G90" i="3" a="1"/>
  <c r="G90" i="3" s="1"/>
  <c r="E20" i="3" a="1"/>
  <c r="E20" i="3" s="1"/>
  <c r="D20" i="7" s="1"/>
  <c r="U357" i="3" a="1"/>
  <c r="U357" i="3" s="1"/>
  <c r="F126" i="3" a="1"/>
  <c r="F126" i="3" s="1"/>
  <c r="E227" i="3" a="1"/>
  <c r="E227" i="3" s="1"/>
  <c r="U279" i="3" a="1"/>
  <c r="U279" i="3" s="1"/>
  <c r="U383" i="3" a="1"/>
  <c r="U383" i="3" s="1"/>
  <c r="F196" i="3" a="1"/>
  <c r="F196" i="3" s="1"/>
  <c r="F279" i="3" a="1"/>
  <c r="F279" i="3" s="1"/>
  <c r="U234" i="3" a="1"/>
  <c r="U234" i="3" s="1"/>
  <c r="U117" i="3" a="1"/>
  <c r="U117" i="3" s="1"/>
  <c r="F291" i="3" a="1"/>
  <c r="F291" i="3" s="1"/>
  <c r="U395" i="3" a="1"/>
  <c r="U395" i="3" s="1"/>
  <c r="E178" i="3" a="1"/>
  <c r="E178" i="3" s="1"/>
  <c r="F171" i="3" a="1"/>
  <c r="F171" i="3" s="1"/>
  <c r="G126" i="3" a="1"/>
  <c r="G126" i="3" s="1"/>
  <c r="E270" i="3" a="1"/>
  <c r="E270" i="3" s="1"/>
  <c r="F229" i="3" a="1"/>
  <c r="F229" i="3" s="1"/>
  <c r="U220" i="3" a="1"/>
  <c r="U220" i="3" s="1"/>
  <c r="E250" i="3" a="1"/>
  <c r="E250" i="3" s="1"/>
  <c r="E207" i="3" a="1"/>
  <c r="E207" i="3" s="1"/>
  <c r="F144" i="3" a="1"/>
  <c r="F144" i="3" s="1"/>
  <c r="E189" i="3" a="1"/>
  <c r="E189" i="3" s="1"/>
  <c r="U183" i="3" a="1"/>
  <c r="U183" i="3" s="1"/>
  <c r="E187" i="3" a="1"/>
  <c r="E187" i="3" s="1"/>
  <c r="F116" i="3" a="1"/>
  <c r="F116" i="3" s="1"/>
  <c r="G279" i="3" a="1"/>
  <c r="G279" i="3" s="1"/>
  <c r="E400" i="3" a="1"/>
  <c r="E400" i="3" s="1"/>
  <c r="F107" i="3" a="1"/>
  <c r="F107" i="3" s="1"/>
  <c r="U359" i="3" a="1"/>
  <c r="U359" i="3" s="1"/>
  <c r="U270" i="3" a="1"/>
  <c r="U270" i="3" s="1"/>
  <c r="U194" i="3" a="1"/>
  <c r="U194" i="3" s="1"/>
  <c r="E279" i="3" a="1"/>
  <c r="E279" i="3" s="1"/>
  <c r="E144" i="3" a="1"/>
  <c r="E144" i="3" s="1"/>
  <c r="G189" i="3" a="1"/>
  <c r="G189" i="3" s="1"/>
  <c r="U184" i="3" a="1"/>
  <c r="U184" i="3" s="1"/>
  <c r="F114" i="3" a="1"/>
  <c r="F114" i="3" s="1"/>
  <c r="E285" i="3" a="1"/>
  <c r="E285" i="3" s="1"/>
  <c r="G216" i="3" a="1"/>
  <c r="G216" i="3" s="1"/>
  <c r="F231" i="3" a="1"/>
  <c r="F231" i="3" s="1"/>
  <c r="F174" i="3" a="1"/>
  <c r="F174" i="3" s="1"/>
  <c r="U362" i="3" a="1"/>
  <c r="U362" i="3" s="1"/>
  <c r="F183" i="3" a="1"/>
  <c r="F183" i="3" s="1"/>
  <c r="E205" i="3" a="1"/>
  <c r="E205" i="3" s="1"/>
  <c r="G371" i="3" a="1"/>
  <c r="G371" i="3" s="1"/>
  <c r="U111" i="3" a="1"/>
  <c r="U111" i="3" s="1"/>
  <c r="E132" i="3" a="1"/>
  <c r="E132" i="3" s="1"/>
  <c r="F237" i="3" a="1"/>
  <c r="F237" i="3" s="1"/>
  <c r="G277" i="3" a="1"/>
  <c r="G277" i="3" s="1"/>
  <c r="G374" i="3" a="1"/>
  <c r="G374" i="3" s="1"/>
  <c r="F111" i="3" a="1"/>
  <c r="F111" i="3" s="1"/>
  <c r="P249" i="3"/>
  <c r="F283" i="3" a="1"/>
  <c r="F283" i="3" s="1"/>
  <c r="U277" i="3" a="1"/>
  <c r="U277" i="3" s="1"/>
  <c r="U207" i="3" a="1"/>
  <c r="U207" i="3" s="1"/>
  <c r="E140" i="3" a="1"/>
  <c r="E140" i="3" s="1"/>
  <c r="G115" i="3" a="1"/>
  <c r="G115" i="3" s="1"/>
  <c r="E174" i="3" a="1"/>
  <c r="E174" i="3" s="1"/>
  <c r="X339" i="3" a="1"/>
  <c r="X339" i="3" s="1"/>
  <c r="X143" i="3" a="1"/>
  <c r="X143" i="3" s="1"/>
  <c r="X146" i="3" a="1"/>
  <c r="X146" i="3" s="1"/>
  <c r="X355" i="3" a="1"/>
  <c r="X355" i="3" s="1"/>
  <c r="X38" i="3" a="1"/>
  <c r="X38" i="3" s="1"/>
  <c r="X312" i="3" a="1"/>
  <c r="X312" i="3" s="1"/>
  <c r="X299" i="3" a="1"/>
  <c r="X299" i="3" s="1"/>
  <c r="X319" i="3" a="1"/>
  <c r="X319" i="3" s="1"/>
  <c r="P366" i="3"/>
  <c r="P262" i="3"/>
  <c r="P376" i="3"/>
  <c r="P389" i="3"/>
  <c r="P230" i="3"/>
  <c r="P57" i="3"/>
  <c r="P35" i="3"/>
  <c r="P324" i="3"/>
  <c r="P38" i="3"/>
  <c r="P210" i="3"/>
  <c r="X90" i="3" a="1"/>
  <c r="X90" i="3" s="1"/>
  <c r="X112" i="3" a="1"/>
  <c r="X112" i="3" s="1"/>
  <c r="X82" i="3" a="1"/>
  <c r="X82" i="3" s="1"/>
  <c r="X81" i="3" a="1"/>
  <c r="X81" i="3" s="1"/>
  <c r="D57" i="3" a="1"/>
  <c r="D57" i="3" s="1"/>
  <c r="E305" i="3" a="1"/>
  <c r="E305" i="3" s="1"/>
  <c r="F304" i="3" a="1"/>
  <c r="F304" i="3" s="1"/>
  <c r="D31" i="3" a="1"/>
  <c r="D31" i="3" s="1"/>
  <c r="U322" i="3" a="1"/>
  <c r="U322" i="3" s="1"/>
  <c r="F251" i="3" a="1"/>
  <c r="F251" i="3" s="1"/>
  <c r="E396" i="3" a="1"/>
  <c r="E396" i="3" s="1"/>
  <c r="F35" i="3" a="1"/>
  <c r="F35" i="3" s="1"/>
  <c r="G78" i="3" a="1"/>
  <c r="G78" i="3" s="1"/>
  <c r="E69" i="3" a="1"/>
  <c r="E69" i="3" s="1"/>
  <c r="G93" i="3" a="1"/>
  <c r="G93" i="3" s="1"/>
  <c r="F5" i="3" a="1"/>
  <c r="F5" i="3" s="1"/>
  <c r="U93" i="3" a="1"/>
  <c r="U93" i="3" s="1"/>
  <c r="D312" i="3" a="1"/>
  <c r="D312" i="3" s="1"/>
  <c r="M312" i="3" s="1" a="1"/>
  <c r="M312" i="3" s="1"/>
  <c r="U352" i="3" a="1"/>
  <c r="U352" i="3" s="1"/>
  <c r="G46" i="3" a="1"/>
  <c r="G46" i="3" s="1"/>
  <c r="F19" i="3" a="1"/>
  <c r="F19" i="3" s="1"/>
  <c r="D295" i="3" a="1"/>
  <c r="D295" i="3" s="1"/>
  <c r="E11" i="3" a="1"/>
  <c r="E11" i="3" s="1"/>
  <c r="D18" i="7" s="1"/>
  <c r="U77" i="3" a="1"/>
  <c r="U77" i="3" s="1"/>
  <c r="E87" i="3" a="1"/>
  <c r="E87" i="3" s="1"/>
  <c r="E7" i="3" a="1"/>
  <c r="E7" i="3" s="1"/>
  <c r="D19" i="7" s="1"/>
  <c r="D349" i="3" a="1"/>
  <c r="D349" i="3" s="1"/>
  <c r="M349" i="3" s="1" a="1"/>
  <c r="M349" i="3" s="1"/>
  <c r="D339" i="3" a="1"/>
  <c r="D339" i="3" s="1"/>
  <c r="M339" i="3" s="1" a="1"/>
  <c r="M339" i="3" s="1"/>
  <c r="F395" i="3" a="1"/>
  <c r="F395" i="3" s="1"/>
  <c r="G187" i="3" a="1"/>
  <c r="G187" i="3" s="1"/>
  <c r="E202" i="3" a="1"/>
  <c r="E202" i="3" s="1"/>
  <c r="G237" i="3" a="1"/>
  <c r="G237" i="3" s="1"/>
  <c r="U382" i="3" a="1"/>
  <c r="U382" i="3" s="1"/>
  <c r="G213" i="3" a="1"/>
  <c r="G213" i="3" s="1"/>
  <c r="G243" i="3" a="1"/>
  <c r="G243" i="3" s="1"/>
  <c r="U205" i="3" a="1"/>
  <c r="U205" i="3" s="1"/>
  <c r="U144" i="3" a="1"/>
  <c r="U144" i="3" s="1"/>
  <c r="G280" i="3" a="1"/>
  <c r="G280" i="3" s="1"/>
  <c r="U247" i="3" a="1"/>
  <c r="U247" i="3" s="1"/>
  <c r="U178" i="3" a="1"/>
  <c r="U178" i="3" s="1"/>
  <c r="G268" i="3" a="1"/>
  <c r="G268" i="3" s="1"/>
  <c r="F267" i="3" a="1"/>
  <c r="F267" i="3" s="1"/>
  <c r="U221" i="3" a="1"/>
  <c r="U221" i="3" s="1"/>
  <c r="G372" i="3" a="1"/>
  <c r="G372" i="3" s="1"/>
  <c r="G76" i="3" a="1"/>
  <c r="G76" i="3" s="1"/>
  <c r="U268" i="3" a="1"/>
  <c r="U268" i="3" s="1"/>
  <c r="E378" i="3" a="1"/>
  <c r="E378" i="3" s="1"/>
  <c r="E196" i="3" a="1"/>
  <c r="E196" i="3" s="1"/>
  <c r="P126" i="3"/>
  <c r="F232" i="3" a="1"/>
  <c r="F232" i="3" s="1"/>
  <c r="F289" i="3" a="1"/>
  <c r="F289" i="3" s="1"/>
  <c r="F105" i="3" a="1"/>
  <c r="F105" i="3" s="1"/>
  <c r="F216" i="3" a="1"/>
  <c r="F216" i="3" s="1"/>
  <c r="G366" i="3" a="1"/>
  <c r="G366" i="3" s="1"/>
  <c r="E236" i="3" a="1"/>
  <c r="E236" i="3" s="1"/>
  <c r="G387" i="3" a="1"/>
  <c r="G387" i="3" s="1"/>
  <c r="U387" i="3" a="1"/>
  <c r="U387" i="3" s="1"/>
  <c r="U289" i="3" a="1"/>
  <c r="U289" i="3" s="1"/>
  <c r="E232" i="3" a="1"/>
  <c r="E232" i="3" s="1"/>
  <c r="E277" i="3" a="1"/>
  <c r="E277" i="3" s="1"/>
  <c r="P269" i="3"/>
  <c r="G83" i="3" a="1"/>
  <c r="G83" i="3" s="1"/>
  <c r="F115" i="3" a="1"/>
  <c r="F115" i="3" s="1"/>
  <c r="F220" i="3" a="1"/>
  <c r="F220" i="3" s="1"/>
  <c r="F382" i="3" a="1"/>
  <c r="F382" i="3" s="1"/>
  <c r="G184" i="3" a="1"/>
  <c r="G184" i="3" s="1"/>
  <c r="F205" i="3" a="1"/>
  <c r="F205" i="3" s="1"/>
  <c r="F110" i="3" a="1"/>
  <c r="F110" i="3" s="1"/>
  <c r="G284" i="3" a="1"/>
  <c r="G284" i="3" s="1"/>
  <c r="F84" i="3" a="1"/>
  <c r="F84" i="3" s="1"/>
  <c r="E231" i="3" a="1"/>
  <c r="E231" i="3" s="1"/>
  <c r="U173" i="3" a="1"/>
  <c r="U173" i="3" s="1"/>
  <c r="E116" i="3" a="1"/>
  <c r="E116" i="3" s="1"/>
  <c r="G173" i="3" a="1"/>
  <c r="G173" i="3" s="1"/>
  <c r="U182" i="3" a="1"/>
  <c r="U182" i="3" s="1"/>
  <c r="F117" i="3" a="1"/>
  <c r="F117" i="3" s="1"/>
  <c r="G81" i="3" a="1"/>
  <c r="G81" i="3" s="1"/>
  <c r="E111" i="3" a="1"/>
  <c r="E111" i="3" s="1"/>
  <c r="F233" i="3" a="1"/>
  <c r="F233" i="3" s="1"/>
  <c r="G228" i="3" a="1"/>
  <c r="G228" i="3" s="1"/>
  <c r="E105" i="3" a="1"/>
  <c r="E105" i="3" s="1"/>
  <c r="U196" i="3" a="1"/>
  <c r="U196" i="3" s="1"/>
  <c r="F120" i="3" a="1"/>
  <c r="F120" i="3" s="1"/>
  <c r="E271" i="3" a="1"/>
  <c r="E271" i="3" s="1"/>
  <c r="F398" i="3" a="1"/>
  <c r="F398" i="3" s="1"/>
  <c r="E108" i="3" a="1"/>
  <c r="E108" i="3" s="1"/>
  <c r="P268" i="3"/>
  <c r="P247" i="3"/>
  <c r="E398" i="3" a="1"/>
  <c r="E398" i="3" s="1"/>
  <c r="E184" i="3" a="1"/>
  <c r="E184" i="3" s="1"/>
  <c r="P140" i="3"/>
  <c r="F187" i="3" a="1"/>
  <c r="F187" i="3" s="1"/>
  <c r="E382" i="3" a="1"/>
  <c r="E382" i="3" s="1"/>
  <c r="E183" i="3" a="1"/>
  <c r="E183" i="3" s="1"/>
  <c r="F128" i="3" a="1"/>
  <c r="F128" i="3" s="1"/>
  <c r="F189" i="3" a="1"/>
  <c r="F189" i="3" s="1"/>
  <c r="E188" i="3" a="1"/>
  <c r="E188" i="3" s="1"/>
  <c r="F230" i="3" a="1"/>
  <c r="F230" i="3" s="1"/>
  <c r="X24" i="3" a="1"/>
  <c r="X24" i="3" s="1"/>
  <c r="X43" i="3" a="1"/>
  <c r="X43" i="3" s="1"/>
  <c r="X54" i="3" a="1"/>
  <c r="X54" i="3" s="1"/>
  <c r="D302" i="3" a="1"/>
  <c r="D302" i="3" s="1"/>
  <c r="M302" i="3" s="1" a="1"/>
  <c r="M302" i="3" s="1"/>
  <c r="X380" i="3" a="1"/>
  <c r="X380" i="3" s="1"/>
  <c r="P296" i="3"/>
  <c r="P396" i="3"/>
  <c r="P223" i="3"/>
  <c r="P339" i="3"/>
  <c r="P263" i="3"/>
  <c r="P217" i="3"/>
  <c r="P141" i="3"/>
  <c r="P200" i="3"/>
  <c r="X303" i="3" a="1"/>
  <c r="X303" i="3" s="1"/>
  <c r="F51" i="3" a="1"/>
  <c r="F51" i="3" s="1"/>
  <c r="AG51" i="3" a="1"/>
  <c r="AG51" i="3" s="1"/>
  <c r="I51" i="3" a="1"/>
  <c r="I51" i="3" s="1"/>
  <c r="H51" i="3"/>
  <c r="AF51" i="3" a="1"/>
  <c r="AF51" i="3" s="1"/>
  <c r="Z51" i="3" a="1"/>
  <c r="Z51" i="3" s="1"/>
  <c r="AB51" i="3" a="1"/>
  <c r="AB51" i="3" s="1"/>
  <c r="E51" i="3" a="1"/>
  <c r="E51" i="3" s="1"/>
  <c r="Y51" i="3" a="1"/>
  <c r="Y51" i="3" s="1"/>
  <c r="AC51" i="3" a="1"/>
  <c r="AC51" i="3" s="1"/>
  <c r="U51" i="3" a="1"/>
  <c r="U51" i="3" s="1"/>
  <c r="G51" i="3" a="1"/>
  <c r="G51" i="3" s="1"/>
  <c r="AA51" i="3" a="1"/>
  <c r="AA51" i="3" s="1"/>
  <c r="X387" i="3" a="1"/>
  <c r="X387" i="3" s="1"/>
  <c r="X395" i="3" a="1"/>
  <c r="X395" i="3" s="1"/>
  <c r="X260" i="3" a="1"/>
  <c r="X260" i="3" s="1"/>
  <c r="X291" i="3" a="1"/>
  <c r="X291" i="3" s="1"/>
  <c r="X184" i="3" a="1"/>
  <c r="X184" i="3" s="1"/>
  <c r="X305" i="3" a="1"/>
  <c r="X305" i="3" s="1"/>
  <c r="X173" i="3" a="1"/>
  <c r="X173" i="3" s="1"/>
  <c r="X229" i="3" a="1"/>
  <c r="X229" i="3" s="1"/>
  <c r="X375" i="3" a="1"/>
  <c r="X375" i="3" s="1"/>
  <c r="D38" i="3" a="1"/>
  <c r="D38" i="3" s="1"/>
  <c r="D22" i="3" a="1"/>
  <c r="D22" i="3" s="1"/>
  <c r="X275" i="3" a="1"/>
  <c r="X275" i="3" s="1"/>
  <c r="D48" i="3" a="1"/>
  <c r="D48" i="3" s="1"/>
  <c r="D293" i="3" a="1"/>
  <c r="D293" i="3" s="1"/>
  <c r="D43" i="3" a="1"/>
  <c r="D43" i="3" s="1"/>
  <c r="D294" i="3" a="1"/>
  <c r="D294" i="3" s="1"/>
  <c r="D28" i="3" a="1"/>
  <c r="D28" i="3" s="1"/>
  <c r="D30" i="3" a="1"/>
  <c r="D30" i="3" s="1"/>
  <c r="E34" i="3" a="1"/>
  <c r="E34" i="3" s="1"/>
  <c r="E40" i="3" a="1"/>
  <c r="E40" i="3" s="1"/>
  <c r="D122" i="3" a="1"/>
  <c r="D122" i="3" s="1"/>
  <c r="M122" i="3" s="1" a="1"/>
  <c r="M122" i="3" s="1"/>
  <c r="D172" i="3" a="1"/>
  <c r="D172" i="3" s="1"/>
  <c r="M172" i="3" s="1" a="1"/>
  <c r="M172" i="3" s="1"/>
  <c r="D123" i="3" a="1"/>
  <c r="D123" i="3" s="1"/>
  <c r="M123" i="3" s="1" a="1"/>
  <c r="M123" i="3" s="1"/>
  <c r="U90" i="3" a="1"/>
  <c r="U90" i="3" s="1"/>
  <c r="E306" i="3" a="1"/>
  <c r="E306" i="3" s="1"/>
  <c r="U396" i="3" a="1"/>
  <c r="U396" i="3" s="1"/>
  <c r="F332" i="3" a="1"/>
  <c r="F332" i="3" s="1"/>
  <c r="G304" i="3" a="1"/>
  <c r="G304" i="3" s="1"/>
  <c r="U342" i="3" a="1"/>
  <c r="U342" i="3" s="1"/>
  <c r="D32" i="3" a="1"/>
  <c r="D32" i="3" s="1"/>
  <c r="E342" i="3" a="1"/>
  <c r="E342" i="3" s="1"/>
  <c r="F4" i="3" a="1"/>
  <c r="F4" i="3" s="1"/>
  <c r="E21" i="4" s="1"/>
  <c r="U260" i="3" a="1"/>
  <c r="U260" i="3" s="1"/>
  <c r="U87" i="3" a="1"/>
  <c r="U87" i="3" s="1"/>
  <c r="D79" i="3" a="1"/>
  <c r="D79" i="3" s="1"/>
  <c r="M79" i="3" s="1" a="1"/>
  <c r="M79" i="3" s="1"/>
  <c r="F90" i="3" a="1"/>
  <c r="F90" i="3" s="1"/>
  <c r="D23" i="3" a="1"/>
  <c r="D23" i="3" s="1"/>
  <c r="D263" i="3" a="1"/>
  <c r="D263" i="3" s="1"/>
  <c r="M263" i="3" s="1" a="1"/>
  <c r="M263" i="3" s="1"/>
  <c r="E94" i="3" a="1"/>
  <c r="E94" i="3" s="1"/>
  <c r="E5" i="3" a="1"/>
  <c r="E5" i="3" s="1"/>
  <c r="D262" i="3" a="1"/>
  <c r="D262" i="3" s="1"/>
  <c r="M262" i="3" s="1" a="1"/>
  <c r="M262" i="3" s="1"/>
  <c r="D96" i="3" a="1"/>
  <c r="D96" i="3" s="1"/>
  <c r="M96" i="3" s="1" a="1"/>
  <c r="M96" i="3" s="1"/>
  <c r="G87" i="3" a="1"/>
  <c r="G87" i="3" s="1"/>
  <c r="D292" i="3" a="1"/>
  <c r="D292" i="3" s="1"/>
  <c r="D380" i="3" a="1"/>
  <c r="D380" i="3" s="1"/>
  <c r="M380" i="3" s="1" a="1"/>
  <c r="M380" i="3" s="1"/>
  <c r="F316" i="3" a="1"/>
  <c r="F316" i="3" s="1"/>
  <c r="F13" i="3" a="1"/>
  <c r="F13" i="3" s="1"/>
  <c r="E21" i="7" s="1"/>
  <c r="D377" i="3" a="1"/>
  <c r="D377" i="3" s="1"/>
  <c r="M377" i="3" s="1" a="1"/>
  <c r="M377" i="3" s="1"/>
  <c r="D36" i="3" a="1"/>
  <c r="D36" i="3" s="1"/>
  <c r="U304" i="3" a="1"/>
  <c r="U304" i="3" s="1"/>
  <c r="E90" i="3" a="1"/>
  <c r="E90" i="3" s="1"/>
  <c r="G92" i="3" a="1"/>
  <c r="G92" i="3" s="1"/>
  <c r="D340" i="3" a="1"/>
  <c r="D340" i="3" s="1"/>
  <c r="M340" i="3" s="1" a="1"/>
  <c r="M340" i="3" s="1"/>
  <c r="D54" i="3" a="1"/>
  <c r="D54" i="3" s="1"/>
  <c r="F253" i="3" a="1"/>
  <c r="F253" i="3" s="1"/>
  <c r="D319" i="3" a="1"/>
  <c r="D319" i="3" s="1"/>
  <c r="M319" i="3" s="1" a="1"/>
  <c r="M319" i="3" s="1"/>
  <c r="F17" i="3" a="1"/>
  <c r="F17" i="3" s="1"/>
  <c r="D303" i="3" a="1"/>
  <c r="D303" i="3" s="1"/>
  <c r="M303" i="3" s="1" a="1"/>
  <c r="M303" i="3" s="1"/>
  <c r="D324" i="3" a="1"/>
  <c r="D324" i="3" s="1"/>
  <c r="M324" i="3" s="1" a="1"/>
  <c r="M324" i="3" s="1"/>
  <c r="D320" i="3" a="1"/>
  <c r="D320" i="3" s="1"/>
  <c r="M320" i="3" s="1" a="1"/>
  <c r="M320" i="3" s="1"/>
  <c r="E255" i="3" a="1"/>
  <c r="E255" i="3" s="1"/>
  <c r="D281" i="3" a="1"/>
  <c r="D281" i="3" s="1"/>
  <c r="M281" i="3" s="1" a="1"/>
  <c r="M281" i="3" s="1"/>
  <c r="D314" i="3" a="1"/>
  <c r="D314" i="3" s="1"/>
  <c r="M314" i="3" s="1" a="1"/>
  <c r="M314" i="3" s="1"/>
  <c r="D26" i="3" a="1"/>
  <c r="D26" i="3" s="1"/>
  <c r="D355" i="3" a="1"/>
  <c r="D355" i="3" s="1"/>
  <c r="M355" i="3" s="1" a="1"/>
  <c r="M355" i="3" s="1"/>
  <c r="D373" i="3" a="1"/>
  <c r="D373" i="3" s="1"/>
  <c r="M373" i="3" s="1" a="1"/>
  <c r="M373" i="3" s="1"/>
  <c r="D298" i="3" a="1"/>
  <c r="D298" i="3" s="1"/>
  <c r="D345" i="3" a="1"/>
  <c r="D345" i="3" s="1"/>
  <c r="M345" i="3" s="1" a="1"/>
  <c r="M345" i="3" s="1"/>
  <c r="D47" i="3" a="1"/>
  <c r="D47" i="3" s="1"/>
  <c r="D59" i="3" a="1"/>
  <c r="D59" i="3" s="1"/>
  <c r="D27" i="3" a="1"/>
  <c r="D27" i="3" s="1"/>
  <c r="E13" i="3" a="1"/>
  <c r="E13" i="3" s="1"/>
  <c r="D21" i="7" s="1"/>
  <c r="D297" i="3" a="1"/>
  <c r="D297" i="3" s="1"/>
  <c r="D45" i="3" a="1"/>
  <c r="D45" i="3" s="1"/>
  <c r="D329" i="3" a="1"/>
  <c r="D329" i="3" s="1"/>
  <c r="M329" i="3" s="1" a="1"/>
  <c r="M329" i="3" s="1"/>
  <c r="D346" i="3" a="1"/>
  <c r="D346" i="3" s="1"/>
  <c r="M346" i="3" s="1" a="1"/>
  <c r="M346" i="3" s="1"/>
  <c r="U372" i="3" a="1"/>
  <c r="U372" i="3" s="1"/>
  <c r="F276" i="3" a="1"/>
  <c r="F276" i="3" s="1"/>
  <c r="U132" i="3" a="1"/>
  <c r="U132" i="3" s="1"/>
  <c r="U139" i="3" a="1"/>
  <c r="U139" i="3" s="1"/>
  <c r="E225" i="3" a="1"/>
  <c r="E225" i="3" s="1"/>
  <c r="U400" i="3" a="1"/>
  <c r="U400" i="3" s="1"/>
  <c r="E362" i="3" a="1"/>
  <c r="E362" i="3" s="1"/>
  <c r="G270" i="3" a="1"/>
  <c r="G270" i="3" s="1"/>
  <c r="U188" i="3" a="1"/>
  <c r="U188" i="3" s="1"/>
  <c r="U81" i="3" a="1"/>
  <c r="U81" i="3" s="1"/>
  <c r="G375" i="3" a="1"/>
  <c r="G375" i="3" s="1"/>
  <c r="U398" i="3" a="1"/>
  <c r="U398" i="3" s="1"/>
  <c r="F363" i="3" a="1"/>
  <c r="F363" i="3" s="1"/>
  <c r="E109" i="3" a="1"/>
  <c r="E109" i="3" s="1"/>
  <c r="U365" i="3" a="1"/>
  <c r="U365" i="3" s="1"/>
  <c r="U107" i="3" a="1"/>
  <c r="U107" i="3" s="1"/>
  <c r="G249" i="3" a="1"/>
  <c r="G249" i="3" s="1"/>
  <c r="F243" i="3" a="1"/>
  <c r="F243" i="3" s="1"/>
  <c r="U135" i="3" a="1"/>
  <c r="U135" i="3" s="1"/>
  <c r="U235" i="3" a="1"/>
  <c r="U235" i="3" s="1"/>
  <c r="U227" i="3" a="1"/>
  <c r="U227" i="3" s="1"/>
  <c r="E117" i="3" a="1"/>
  <c r="E117" i="3" s="1"/>
  <c r="G229" i="3" a="1"/>
  <c r="G229" i="3" s="1"/>
  <c r="E230" i="3" a="1"/>
  <c r="E230" i="3" s="1"/>
  <c r="E115" i="3" a="1"/>
  <c r="E115" i="3" s="1"/>
  <c r="G196" i="3" a="1"/>
  <c r="G196" i="3" s="1"/>
  <c r="E81" i="3" a="1"/>
  <c r="E81" i="3" s="1"/>
  <c r="U287" i="3" a="1"/>
  <c r="U287" i="3" s="1"/>
  <c r="F188" i="3" a="1"/>
  <c r="F188" i="3" s="1"/>
  <c r="F131" i="3" a="1"/>
  <c r="F131" i="3" s="1"/>
  <c r="G183" i="3" a="1"/>
  <c r="G183" i="3" s="1"/>
  <c r="F268" i="3" a="1"/>
  <c r="F268" i="3" s="1"/>
  <c r="G274" i="3" a="1"/>
  <c r="G274" i="3" s="1"/>
  <c r="G179" i="3" a="1"/>
  <c r="G179" i="3" s="1"/>
  <c r="F235" i="3" a="1"/>
  <c r="F235" i="3" s="1"/>
  <c r="F375" i="3" a="1"/>
  <c r="F375" i="3" s="1"/>
  <c r="F385" i="3" a="1"/>
  <c r="F385" i="3" s="1"/>
  <c r="E135" i="3" a="1"/>
  <c r="E135" i="3" s="1"/>
  <c r="U375" i="3" a="1"/>
  <c r="U375" i="3" s="1"/>
  <c r="E276" i="3" a="1"/>
  <c r="E276" i="3" s="1"/>
  <c r="G289" i="3" a="1"/>
  <c r="G289" i="3" s="1"/>
  <c r="U229" i="3" a="1"/>
  <c r="U229" i="3" s="1"/>
  <c r="F225" i="3" a="1"/>
  <c r="F225" i="3" s="1"/>
  <c r="G178" i="3" a="1"/>
  <c r="G178" i="3" s="1"/>
  <c r="E363" i="3" a="1"/>
  <c r="E363" i="3" s="1"/>
  <c r="U286" i="3" a="1"/>
  <c r="U286" i="3" s="1"/>
  <c r="F199" i="3" a="1"/>
  <c r="F199" i="3" s="1"/>
  <c r="F365" i="3" a="1"/>
  <c r="F365" i="3" s="1"/>
  <c r="G225" i="3" a="1"/>
  <c r="G225" i="3" s="1"/>
  <c r="G120" i="3" a="1"/>
  <c r="G120" i="3" s="1"/>
  <c r="E365" i="3" a="1"/>
  <c r="E365" i="3" s="1"/>
  <c r="E235" i="3" a="1"/>
  <c r="E235" i="3" s="1"/>
  <c r="F214" i="3" a="1"/>
  <c r="F214" i="3" s="1"/>
  <c r="E359" i="3" a="1"/>
  <c r="E359" i="3" s="1"/>
  <c r="G107" i="3" a="1"/>
  <c r="G107" i="3" s="1"/>
  <c r="U232" i="3" a="1"/>
  <c r="U232" i="3" s="1"/>
  <c r="G199" i="3" a="1"/>
  <c r="G199" i="3" s="1"/>
  <c r="U236" i="3" a="1"/>
  <c r="U236" i="3" s="1"/>
  <c r="E374" i="3" a="1"/>
  <c r="E374" i="3" s="1"/>
  <c r="F236" i="3" a="1"/>
  <c r="F236" i="3" s="1"/>
  <c r="E372" i="3" a="1"/>
  <c r="E372" i="3" s="1"/>
  <c r="U222" i="3" a="1"/>
  <c r="U222" i="3" s="1"/>
  <c r="F287" i="3" a="1"/>
  <c r="F287" i="3" s="1"/>
  <c r="E371" i="3" a="1"/>
  <c r="E371" i="3" s="1"/>
  <c r="F400" i="3" a="1"/>
  <c r="F400" i="3" s="1"/>
  <c r="G290" i="3" a="1"/>
  <c r="G290" i="3" s="1"/>
  <c r="E120" i="3" a="1"/>
  <c r="E120" i="3" s="1"/>
  <c r="G139" i="3" a="1"/>
  <c r="G139" i="3" s="1"/>
  <c r="U233" i="3" a="1"/>
  <c r="U233" i="3" s="1"/>
  <c r="G230" i="3" a="1"/>
  <c r="G230" i="3" s="1"/>
  <c r="G119" i="3" a="1"/>
  <c r="G119" i="3" s="1"/>
  <c r="G131" i="3" a="1"/>
  <c r="G131" i="3" s="1"/>
  <c r="F250" i="3" a="1"/>
  <c r="F250" i="3" s="1"/>
  <c r="F290" i="3" a="1"/>
  <c r="F290" i="3" s="1"/>
  <c r="G234" i="3" a="1"/>
  <c r="G234" i="3" s="1"/>
  <c r="F222" i="3" a="1"/>
  <c r="F222" i="3" s="1"/>
  <c r="G227" i="3" a="1"/>
  <c r="G227" i="3" s="1"/>
  <c r="E126" i="3" a="1"/>
  <c r="E126" i="3" s="1"/>
  <c r="F249" i="3" a="1"/>
  <c r="F249" i="3" s="1"/>
  <c r="U105" i="3" a="1"/>
  <c r="U105" i="3" s="1"/>
  <c r="G117" i="3" a="1"/>
  <c r="G117" i="3" s="1"/>
  <c r="F132" i="3" a="1"/>
  <c r="F132" i="3" s="1"/>
  <c r="U290" i="3" a="1"/>
  <c r="U290" i="3" s="1"/>
  <c r="F282" i="3" a="1"/>
  <c r="F282" i="3" s="1"/>
  <c r="F270" i="3" a="1"/>
  <c r="F270" i="3" s="1"/>
  <c r="F137" i="3" a="1"/>
  <c r="F137" i="3" s="1"/>
  <c r="G231" i="3" a="1"/>
  <c r="G231" i="3" s="1"/>
  <c r="U225" i="3" a="1"/>
  <c r="U225" i="3" s="1"/>
  <c r="F20" i="3" a="1"/>
  <c r="F20" i="3" s="1"/>
  <c r="E20" i="7" s="1"/>
  <c r="D336" i="3" a="1"/>
  <c r="D336" i="3" s="1"/>
  <c r="M336" i="3" s="1" a="1"/>
  <c r="M336" i="3" s="1"/>
  <c r="D389" i="3" a="1"/>
  <c r="D389" i="3" s="1"/>
  <c r="M389" i="3" s="1" a="1"/>
  <c r="M389" i="3" s="1"/>
  <c r="D384" i="3" a="1"/>
  <c r="D384" i="3" s="1"/>
  <c r="M384" i="3" s="1" a="1"/>
  <c r="M384" i="3" s="1"/>
  <c r="D392" i="3" a="1"/>
  <c r="D392" i="3" s="1"/>
  <c r="M392" i="3" s="1" a="1"/>
  <c r="M392" i="3" s="1"/>
  <c r="D351" i="3" a="1"/>
  <c r="D351" i="3" s="1"/>
  <c r="M351" i="3" s="1" a="1"/>
  <c r="M351" i="3" s="1"/>
  <c r="D56" i="3" a="1"/>
  <c r="D56" i="3" s="1"/>
  <c r="X261" i="3" a="1"/>
  <c r="X261" i="3" s="1"/>
  <c r="X136" i="3" a="1"/>
  <c r="X136" i="3" s="1"/>
  <c r="X123" i="3" a="1"/>
  <c r="X123" i="3" s="1"/>
  <c r="X191" i="3" a="1"/>
  <c r="X191" i="3" s="1"/>
  <c r="X39" i="3" a="1"/>
  <c r="X39" i="3" s="1"/>
  <c r="X36" i="3" a="1"/>
  <c r="X36" i="3" s="1"/>
  <c r="X198" i="3" a="1"/>
  <c r="X198" i="3" s="1"/>
  <c r="X177" i="3" a="1"/>
  <c r="X177" i="3" s="1"/>
  <c r="P128" i="3"/>
  <c r="P19" i="3"/>
  <c r="P294" i="3"/>
  <c r="P177" i="3"/>
  <c r="P395" i="3"/>
  <c r="P169" i="3"/>
  <c r="P311" i="3"/>
  <c r="P215" i="3"/>
  <c r="P302" i="3"/>
  <c r="P231" i="3"/>
  <c r="F263" i="3" a="1"/>
  <c r="F263" i="3" s="1"/>
  <c r="AA263" i="3" a="1"/>
  <c r="AA263" i="3" s="1"/>
  <c r="E263" i="3" a="1"/>
  <c r="E263" i="3" s="1"/>
  <c r="AB263" i="3" a="1"/>
  <c r="AB263" i="3" s="1"/>
  <c r="Y263" i="3" a="1"/>
  <c r="Y263" i="3" s="1"/>
  <c r="U263" i="3" a="1"/>
  <c r="U263" i="3" s="1"/>
  <c r="AG263" i="3" a="1"/>
  <c r="AG263" i="3" s="1"/>
  <c r="H263" i="3"/>
  <c r="G263" i="3" a="1"/>
  <c r="G263" i="3" s="1"/>
  <c r="AC263" i="3" a="1"/>
  <c r="AC263" i="3" s="1"/>
  <c r="I263" i="3" a="1"/>
  <c r="I263" i="3" s="1"/>
  <c r="Z263" i="3" a="1"/>
  <c r="Z263" i="3" s="1"/>
  <c r="AF263" i="3" a="1"/>
  <c r="AF263" i="3" s="1"/>
  <c r="P36" i="3"/>
  <c r="P377" i="3"/>
  <c r="P226" i="3"/>
  <c r="P5" i="3"/>
  <c r="X30" i="3" a="1"/>
  <c r="X30" i="3" s="1"/>
  <c r="F355" i="3" a="1"/>
  <c r="F355" i="3" s="1"/>
  <c r="AC355" i="3" a="1"/>
  <c r="AC355" i="3" s="1"/>
  <c r="I355" i="3" a="1"/>
  <c r="I355" i="3" s="1"/>
  <c r="H355" i="3"/>
  <c r="G355" i="3" a="1"/>
  <c r="G355" i="3" s="1"/>
  <c r="AG355" i="3" a="1"/>
  <c r="AG355" i="3" s="1"/>
  <c r="Y355" i="3" a="1"/>
  <c r="Y355" i="3" s="1"/>
  <c r="AF355" i="3" a="1"/>
  <c r="AF355" i="3" s="1"/>
  <c r="Z355" i="3" a="1"/>
  <c r="Z355" i="3" s="1"/>
  <c r="AB355" i="3" a="1"/>
  <c r="AB355" i="3" s="1"/>
  <c r="E355" i="3" a="1"/>
  <c r="E355" i="3" s="1"/>
  <c r="AA355" i="3" a="1"/>
  <c r="AA355" i="3" s="1"/>
  <c r="U355" i="3" a="1"/>
  <c r="U355" i="3" s="1"/>
  <c r="AG345" i="3" a="1"/>
  <c r="AG345" i="3" s="1"/>
  <c r="I345" i="3" a="1"/>
  <c r="I345" i="3" s="1"/>
  <c r="F345" i="3" a="1"/>
  <c r="F345" i="3" s="1"/>
  <c r="Z345" i="3" a="1"/>
  <c r="Z345" i="3" s="1"/>
  <c r="AF345" i="3" a="1"/>
  <c r="AF345" i="3" s="1"/>
  <c r="G345" i="3" a="1"/>
  <c r="G345" i="3" s="1"/>
  <c r="AC345" i="3" a="1"/>
  <c r="AC345" i="3" s="1"/>
  <c r="H345" i="3"/>
  <c r="AA345" i="3" a="1"/>
  <c r="AA345" i="3" s="1"/>
  <c r="AB345" i="3" a="1"/>
  <c r="AB345" i="3" s="1"/>
  <c r="E345" i="3" a="1"/>
  <c r="E345" i="3" s="1"/>
  <c r="Y345" i="3" a="1"/>
  <c r="Y345" i="3" s="1"/>
  <c r="U345" i="3" a="1"/>
  <c r="U345" i="3" s="1"/>
  <c r="I324" i="3" a="1"/>
  <c r="I324" i="3" s="1"/>
  <c r="E324" i="3" a="1"/>
  <c r="E324" i="3" s="1"/>
  <c r="U324" i="3" a="1"/>
  <c r="U324" i="3" s="1"/>
  <c r="AC324" i="3" a="1"/>
  <c r="AC324" i="3" s="1"/>
  <c r="AB324" i="3" a="1"/>
  <c r="AB324" i="3" s="1"/>
  <c r="Y324" i="3" a="1"/>
  <c r="Y324" i="3" s="1"/>
  <c r="AA324" i="3" a="1"/>
  <c r="AA324" i="3" s="1"/>
  <c r="Z324" i="3" a="1"/>
  <c r="Z324" i="3" s="1"/>
  <c r="F324" i="3" a="1"/>
  <c r="F324" i="3" s="1"/>
  <c r="AG324" i="3" a="1"/>
  <c r="AG324" i="3" s="1"/>
  <c r="G324" i="3" a="1"/>
  <c r="G324" i="3" s="1"/>
  <c r="AF324" i="3" a="1"/>
  <c r="AF324" i="3" s="1"/>
  <c r="H324" i="3"/>
  <c r="AA314" i="3" a="1"/>
  <c r="AA314" i="3" s="1"/>
  <c r="E314" i="3" a="1"/>
  <c r="E314" i="3" s="1"/>
  <c r="Z314" i="3" a="1"/>
  <c r="Z314" i="3" s="1"/>
  <c r="Y314" i="3" a="1"/>
  <c r="Y314" i="3" s="1"/>
  <c r="AG314" i="3" a="1"/>
  <c r="AG314" i="3" s="1"/>
  <c r="U314" i="3" a="1"/>
  <c r="U314" i="3" s="1"/>
  <c r="G314" i="3" a="1"/>
  <c r="G314" i="3" s="1"/>
  <c r="AF314" i="3" a="1"/>
  <c r="AF314" i="3" s="1"/>
  <c r="H314" i="3"/>
  <c r="F314" i="3" a="1"/>
  <c r="F314" i="3" s="1"/>
  <c r="I314" i="3" a="1"/>
  <c r="I314" i="3" s="1"/>
  <c r="AB314" i="3" a="1"/>
  <c r="AB314" i="3" s="1"/>
  <c r="AC314" i="3" a="1"/>
  <c r="AC314" i="3" s="1"/>
  <c r="H96" i="3"/>
  <c r="F96" i="3" a="1"/>
  <c r="F96" i="3" s="1"/>
  <c r="AG96" i="3" a="1"/>
  <c r="AG96" i="3" s="1"/>
  <c r="Z96" i="3" a="1"/>
  <c r="Z96" i="3" s="1"/>
  <c r="Y96" i="3" a="1"/>
  <c r="Y96" i="3" s="1"/>
  <c r="AC96" i="3" a="1"/>
  <c r="AC96" i="3" s="1"/>
  <c r="U96" i="3" a="1"/>
  <c r="U96" i="3" s="1"/>
  <c r="AA96" i="3" a="1"/>
  <c r="AA96" i="3" s="1"/>
  <c r="E96" i="3" a="1"/>
  <c r="E96" i="3" s="1"/>
  <c r="I96" i="3" a="1"/>
  <c r="I96" i="3" s="1"/>
  <c r="AF96" i="3" a="1"/>
  <c r="AF96" i="3" s="1"/>
  <c r="AB96" i="3" a="1"/>
  <c r="AB96" i="3" s="1"/>
  <c r="G96" i="3" a="1"/>
  <c r="G96" i="3" s="1"/>
  <c r="F59" i="3" a="1"/>
  <c r="F59" i="3" s="1"/>
  <c r="H59" i="3"/>
  <c r="AG59" i="3" a="1"/>
  <c r="AG59" i="3" s="1"/>
  <c r="Y59" i="3" a="1"/>
  <c r="Y59" i="3" s="1"/>
  <c r="AF59" i="3" a="1"/>
  <c r="AF59" i="3" s="1"/>
  <c r="AB59" i="3" a="1"/>
  <c r="AB59" i="3" s="1"/>
  <c r="AA59" i="3" a="1"/>
  <c r="AA59" i="3" s="1"/>
  <c r="E59" i="3" a="1"/>
  <c r="E59" i="3" s="1"/>
  <c r="Z59" i="3" a="1"/>
  <c r="Z59" i="3" s="1"/>
  <c r="U59" i="3" a="1"/>
  <c r="U59" i="3" s="1"/>
  <c r="G59" i="3" a="1"/>
  <c r="G59" i="3" s="1"/>
  <c r="AC59" i="3" a="1"/>
  <c r="AC59" i="3" s="1"/>
  <c r="I59" i="3" a="1"/>
  <c r="I59" i="3" s="1"/>
  <c r="G39" i="3" a="1"/>
  <c r="G39" i="3" s="1"/>
  <c r="AF39" i="3" a="1"/>
  <c r="AF39" i="3" s="1"/>
  <c r="H39" i="3"/>
  <c r="I39" i="3" a="1"/>
  <c r="I39" i="3" s="1"/>
  <c r="F39" i="3" a="1"/>
  <c r="F39" i="3" s="1"/>
  <c r="Z39" i="3" a="1"/>
  <c r="Z39" i="3" s="1"/>
  <c r="AG39" i="3" a="1"/>
  <c r="AG39" i="3" s="1"/>
  <c r="Y39" i="3" a="1"/>
  <c r="Y39" i="3" s="1"/>
  <c r="E39" i="3" a="1"/>
  <c r="E39" i="3" s="1"/>
  <c r="AB39" i="3" a="1"/>
  <c r="AB39" i="3" s="1"/>
  <c r="AA39" i="3" a="1"/>
  <c r="AA39" i="3" s="1"/>
  <c r="U39" i="3" a="1"/>
  <c r="U39" i="3" s="1"/>
  <c r="AC39" i="3" a="1"/>
  <c r="AC39" i="3" s="1"/>
  <c r="P30" i="3"/>
  <c r="U30" i="3" a="1"/>
  <c r="U30" i="3" s="1"/>
  <c r="AA30" i="3" a="1"/>
  <c r="AA30" i="3" s="1"/>
  <c r="I30" i="3" a="1"/>
  <c r="I30" i="3" s="1"/>
  <c r="Z30" i="3" a="1"/>
  <c r="Z30" i="3" s="1"/>
  <c r="AF30" i="3" a="1"/>
  <c r="AF30" i="3" s="1"/>
  <c r="G30" i="3" a="1"/>
  <c r="G30" i="3" s="1"/>
  <c r="AB30" i="3" a="1"/>
  <c r="AB30" i="3" s="1"/>
  <c r="F30" i="3" a="1"/>
  <c r="F30" i="3" s="1"/>
  <c r="H30" i="3"/>
  <c r="AG30" i="3" a="1"/>
  <c r="AG30" i="3" s="1"/>
  <c r="E30" i="3" a="1"/>
  <c r="E30" i="3" s="1"/>
  <c r="Y30" i="3" a="1"/>
  <c r="Y30" i="3" s="1"/>
  <c r="AC30" i="3" a="1"/>
  <c r="AC30" i="3" s="1"/>
  <c r="P351" i="3"/>
  <c r="H296" i="3"/>
  <c r="Z296" i="3" a="1"/>
  <c r="Z296" i="3" s="1"/>
  <c r="AG296" i="3" a="1"/>
  <c r="AG296" i="3" s="1"/>
  <c r="AB296" i="3" a="1"/>
  <c r="AB296" i="3" s="1"/>
  <c r="Y296" i="3" a="1"/>
  <c r="Y296" i="3" s="1"/>
  <c r="E296" i="3" a="1"/>
  <c r="E296" i="3" s="1"/>
  <c r="AA296" i="3" a="1"/>
  <c r="AA296" i="3" s="1"/>
  <c r="U296" i="3" a="1"/>
  <c r="U296" i="3" s="1"/>
  <c r="AF296" i="3" a="1"/>
  <c r="AF296" i="3" s="1"/>
  <c r="G296" i="3" a="1"/>
  <c r="G296" i="3" s="1"/>
  <c r="F296" i="3" a="1"/>
  <c r="F296" i="3" s="1"/>
  <c r="I296" i="3" a="1"/>
  <c r="I296" i="3" s="1"/>
  <c r="AC296" i="3" a="1"/>
  <c r="AC296" i="3" s="1"/>
  <c r="I260" i="3" a="1"/>
  <c r="I260" i="3" s="1"/>
  <c r="D260" i="3" a="1"/>
  <c r="D260" i="3" s="1"/>
  <c r="H260" i="3"/>
  <c r="AG260" i="3" a="1"/>
  <c r="AG260" i="3" s="1"/>
  <c r="Z260" i="3" a="1"/>
  <c r="Z260" i="3" s="1"/>
  <c r="AF260" i="3" a="1"/>
  <c r="AF260" i="3" s="1"/>
  <c r="Y260" i="3" a="1"/>
  <c r="Y260" i="3" s="1"/>
  <c r="AB260" i="3" a="1"/>
  <c r="AB260" i="3" s="1"/>
  <c r="AA260" i="3" a="1"/>
  <c r="AA260" i="3" s="1"/>
  <c r="AC260" i="3" a="1"/>
  <c r="AC260" i="3" s="1"/>
  <c r="I392" i="3" a="1"/>
  <c r="I392" i="3" s="1"/>
  <c r="AC392" i="3" a="1"/>
  <c r="AC392" i="3" s="1"/>
  <c r="Z392" i="3" a="1"/>
  <c r="Z392" i="3" s="1"/>
  <c r="E392" i="3" a="1"/>
  <c r="E392" i="3" s="1"/>
  <c r="AB392" i="3" a="1"/>
  <c r="AB392" i="3" s="1"/>
  <c r="Y392" i="3" a="1"/>
  <c r="Y392" i="3" s="1"/>
  <c r="U392" i="3" a="1"/>
  <c r="U392" i="3" s="1"/>
  <c r="F392" i="3" a="1"/>
  <c r="F392" i="3" s="1"/>
  <c r="AA392" i="3" a="1"/>
  <c r="AA392" i="3" s="1"/>
  <c r="H392" i="3"/>
  <c r="AF392" i="3" a="1"/>
  <c r="AF392" i="3" s="1"/>
  <c r="G392" i="3" a="1"/>
  <c r="G392" i="3" s="1"/>
  <c r="AG392" i="3" a="1"/>
  <c r="AG392" i="3" s="1"/>
  <c r="E262" i="3" a="1"/>
  <c r="E262" i="3" s="1"/>
  <c r="I262" i="3" a="1"/>
  <c r="I262" i="3" s="1"/>
  <c r="AC262" i="3" a="1"/>
  <c r="AC262" i="3" s="1"/>
  <c r="F262" i="3" a="1"/>
  <c r="F262" i="3" s="1"/>
  <c r="AG262" i="3" a="1"/>
  <c r="AG262" i="3" s="1"/>
  <c r="G262" i="3" a="1"/>
  <c r="G262" i="3" s="1"/>
  <c r="AF262" i="3" a="1"/>
  <c r="AF262" i="3" s="1"/>
  <c r="H262" i="3"/>
  <c r="Y262" i="3" a="1"/>
  <c r="Y262" i="3" s="1"/>
  <c r="AB262" i="3" a="1"/>
  <c r="AB262" i="3" s="1"/>
  <c r="AA262" i="3" a="1"/>
  <c r="AA262" i="3" s="1"/>
  <c r="Z262" i="3" a="1"/>
  <c r="Z262" i="3" s="1"/>
  <c r="U262" i="3" a="1"/>
  <c r="U262" i="3" s="1"/>
  <c r="Z29" i="3" a="1"/>
  <c r="Z29" i="3" s="1"/>
  <c r="AF29" i="3" a="1"/>
  <c r="AF29" i="3" s="1"/>
  <c r="Y29" i="3" a="1"/>
  <c r="Y29" i="3" s="1"/>
  <c r="AB29" i="3" a="1"/>
  <c r="AB29" i="3" s="1"/>
  <c r="AA29" i="3" a="1"/>
  <c r="AA29" i="3" s="1"/>
  <c r="E29" i="3" a="1"/>
  <c r="E29" i="3" s="1"/>
  <c r="U29" i="3" a="1"/>
  <c r="U29" i="3" s="1"/>
  <c r="I29" i="3" a="1"/>
  <c r="I29" i="3" s="1"/>
  <c r="G29" i="3" a="1"/>
  <c r="G29" i="3" s="1"/>
  <c r="AG29" i="3" a="1"/>
  <c r="AG29" i="3" s="1"/>
  <c r="H29" i="3"/>
  <c r="F29" i="3" a="1"/>
  <c r="F29" i="3" s="1"/>
  <c r="AC29" i="3" a="1"/>
  <c r="AC29" i="3" s="1"/>
  <c r="Y250" i="3" a="1"/>
  <c r="Y250" i="3" s="1"/>
  <c r="AF250" i="3" a="1"/>
  <c r="AF250" i="3" s="1"/>
  <c r="H250" i="3"/>
  <c r="D250" i="3" a="1"/>
  <c r="D250" i="3" s="1"/>
  <c r="AB250" i="3" a="1"/>
  <c r="AB250" i="3" s="1"/>
  <c r="AA250" i="3" a="1"/>
  <c r="AA250" i="3" s="1"/>
  <c r="Z250" i="3" a="1"/>
  <c r="Z250" i="3" s="1"/>
  <c r="AC250" i="3" a="1"/>
  <c r="AC250" i="3" s="1"/>
  <c r="I250" i="3" a="1"/>
  <c r="I250" i="3" s="1"/>
  <c r="AG250" i="3" a="1"/>
  <c r="AG250" i="3" s="1"/>
  <c r="Y274" i="3" a="1"/>
  <c r="Y274" i="3" s="1"/>
  <c r="AC274" i="3" a="1"/>
  <c r="AC274" i="3" s="1"/>
  <c r="I274" i="3" a="1"/>
  <c r="I274" i="3" s="1"/>
  <c r="AB274" i="3" a="1"/>
  <c r="AB274" i="3" s="1"/>
  <c r="AF274" i="3" a="1"/>
  <c r="AF274" i="3" s="1"/>
  <c r="AA274" i="3" a="1"/>
  <c r="AA274" i="3" s="1"/>
  <c r="AG274" i="3" a="1"/>
  <c r="AG274" i="3" s="1"/>
  <c r="H274" i="3"/>
  <c r="Z274" i="3" a="1"/>
  <c r="Z274" i="3" s="1"/>
  <c r="D274" i="3" a="1"/>
  <c r="D274" i="3" s="1"/>
  <c r="Z118" i="3" a="1"/>
  <c r="Z118" i="3" s="1"/>
  <c r="Y118" i="3" a="1"/>
  <c r="Y118" i="3" s="1"/>
  <c r="AB118" i="3" a="1"/>
  <c r="AB118" i="3" s="1"/>
  <c r="D118" i="3" a="1"/>
  <c r="D118" i="3" s="1"/>
  <c r="H118" i="3"/>
  <c r="I118" i="3" a="1"/>
  <c r="I118" i="3" s="1"/>
  <c r="AG118" i="3" a="1"/>
  <c r="AG118" i="3" s="1"/>
  <c r="AA118" i="3" a="1"/>
  <c r="AA118" i="3" s="1"/>
  <c r="AF118" i="3" a="1"/>
  <c r="AF118" i="3" s="1"/>
  <c r="AC118" i="3" a="1"/>
  <c r="AC118" i="3" s="1"/>
  <c r="I337" i="3" a="1"/>
  <c r="I337" i="3" s="1"/>
  <c r="AG337" i="3" a="1"/>
  <c r="AG337" i="3" s="1"/>
  <c r="H337" i="3"/>
  <c r="AF337" i="3" a="1"/>
  <c r="AF337" i="3" s="1"/>
  <c r="Z337" i="3" a="1"/>
  <c r="Z337" i="3" s="1"/>
  <c r="Y337" i="3" a="1"/>
  <c r="Y337" i="3" s="1"/>
  <c r="D337" i="3" a="1"/>
  <c r="D337" i="3" s="1"/>
  <c r="AB337" i="3" a="1"/>
  <c r="AB337" i="3" s="1"/>
  <c r="AA337" i="3" a="1"/>
  <c r="AA337" i="3" s="1"/>
  <c r="AC337" i="3" a="1"/>
  <c r="AC337" i="3" s="1"/>
  <c r="AG84" i="3" a="1"/>
  <c r="AG84" i="3" s="1"/>
  <c r="H84" i="3"/>
  <c r="Z84" i="3" a="1"/>
  <c r="Z84" i="3" s="1"/>
  <c r="AF84" i="3" a="1"/>
  <c r="AF84" i="3" s="1"/>
  <c r="I84" i="3" a="1"/>
  <c r="I84" i="3" s="1"/>
  <c r="D84" i="3" a="1"/>
  <c r="D84" i="3" s="1"/>
  <c r="Y84" i="3" a="1"/>
  <c r="Y84" i="3" s="1"/>
  <c r="AC84" i="3" a="1"/>
  <c r="AC84" i="3" s="1"/>
  <c r="AB84" i="3" a="1"/>
  <c r="AB84" i="3" s="1"/>
  <c r="AA84" i="3" a="1"/>
  <c r="AA84" i="3" s="1"/>
  <c r="AA233" i="3" a="1"/>
  <c r="AA233" i="3" s="1"/>
  <c r="AG233" i="3" a="1"/>
  <c r="AG233" i="3" s="1"/>
  <c r="I233" i="3" a="1"/>
  <c r="I233" i="3" s="1"/>
  <c r="AF233" i="3" a="1"/>
  <c r="AF233" i="3" s="1"/>
  <c r="Z233" i="3" a="1"/>
  <c r="Z233" i="3" s="1"/>
  <c r="H233" i="3"/>
  <c r="D233" i="3" a="1"/>
  <c r="D233" i="3" s="1"/>
  <c r="Y233" i="3" a="1"/>
  <c r="Y233" i="3" s="1"/>
  <c r="AC233" i="3" a="1"/>
  <c r="AC233" i="3" s="1"/>
  <c r="AB233" i="3" a="1"/>
  <c r="AB233" i="3" s="1"/>
  <c r="AB221" i="3" a="1"/>
  <c r="AB221" i="3" s="1"/>
  <c r="D221" i="3" a="1"/>
  <c r="D221" i="3" s="1"/>
  <c r="H221" i="3"/>
  <c r="AF221" i="3" a="1"/>
  <c r="AF221" i="3" s="1"/>
  <c r="I221" i="3" a="1"/>
  <c r="I221" i="3" s="1"/>
  <c r="AA221" i="3" a="1"/>
  <c r="AA221" i="3" s="1"/>
  <c r="AC221" i="3" a="1"/>
  <c r="AC221" i="3" s="1"/>
  <c r="AG221" i="3" a="1"/>
  <c r="AG221" i="3" s="1"/>
  <c r="Z221" i="3" a="1"/>
  <c r="Z221" i="3" s="1"/>
  <c r="Y221" i="3" a="1"/>
  <c r="Y221" i="3" s="1"/>
  <c r="AF398" i="3" a="1"/>
  <c r="AF398" i="3" s="1"/>
  <c r="AA398" i="3" a="1"/>
  <c r="AA398" i="3" s="1"/>
  <c r="AG398" i="3" a="1"/>
  <c r="AG398" i="3" s="1"/>
  <c r="H398" i="3"/>
  <c r="AC398" i="3" a="1"/>
  <c r="AC398" i="3" s="1"/>
  <c r="AB398" i="3" a="1"/>
  <c r="AB398" i="3" s="1"/>
  <c r="Y398" i="3" a="1"/>
  <c r="Y398" i="3" s="1"/>
  <c r="Z398" i="3" a="1"/>
  <c r="Z398" i="3" s="1"/>
  <c r="I398" i="3" a="1"/>
  <c r="I398" i="3" s="1"/>
  <c r="D398" i="3" a="1"/>
  <c r="D398" i="3" s="1"/>
  <c r="Y207" i="3" a="1"/>
  <c r="Y207" i="3" s="1"/>
  <c r="AG207" i="3" a="1"/>
  <c r="AG207" i="3" s="1"/>
  <c r="AB207" i="3" a="1"/>
  <c r="AB207" i="3" s="1"/>
  <c r="AF207" i="3" a="1"/>
  <c r="AF207" i="3" s="1"/>
  <c r="H207" i="3"/>
  <c r="AA207" i="3" a="1"/>
  <c r="AA207" i="3" s="1"/>
  <c r="D207" i="3" a="1"/>
  <c r="D207" i="3" s="1"/>
  <c r="AC207" i="3" a="1"/>
  <c r="AC207" i="3" s="1"/>
  <c r="I207" i="3" a="1"/>
  <c r="I207" i="3" s="1"/>
  <c r="Z207" i="3" a="1"/>
  <c r="Z207" i="3" s="1"/>
  <c r="Z141" i="3" a="1"/>
  <c r="Z141" i="3" s="1"/>
  <c r="D141" i="3" a="1"/>
  <c r="D141" i="3" s="1"/>
  <c r="Y141" i="3" a="1"/>
  <c r="Y141" i="3" s="1"/>
  <c r="E141" i="3" a="1"/>
  <c r="E141" i="3" s="1"/>
  <c r="H141" i="3"/>
  <c r="U141" i="3" a="1"/>
  <c r="U141" i="3" s="1"/>
  <c r="I141" i="3" a="1"/>
  <c r="I141" i="3" s="1"/>
  <c r="AG141" i="3" a="1"/>
  <c r="AG141" i="3" s="1"/>
  <c r="G141" i="3" a="1"/>
  <c r="G141" i="3" s="1"/>
  <c r="AF141" i="3" a="1"/>
  <c r="AF141" i="3" s="1"/>
  <c r="F141" i="3" a="1"/>
  <c r="F141" i="3" s="1"/>
  <c r="AB141" i="3" a="1"/>
  <c r="AB141" i="3" s="1"/>
  <c r="AC141" i="3" a="1"/>
  <c r="AC141" i="3" s="1"/>
  <c r="AA141" i="3" a="1"/>
  <c r="AA141" i="3" s="1"/>
  <c r="AG117" i="3" a="1"/>
  <c r="AG117" i="3" s="1"/>
  <c r="I117" i="3" a="1"/>
  <c r="I117" i="3" s="1"/>
  <c r="AC117" i="3" a="1"/>
  <c r="AC117" i="3" s="1"/>
  <c r="H117" i="3"/>
  <c r="AB117" i="3" a="1"/>
  <c r="AB117" i="3" s="1"/>
  <c r="D117" i="3" a="1"/>
  <c r="D117" i="3" s="1"/>
  <c r="Y117" i="3" a="1"/>
  <c r="Y117" i="3" s="1"/>
  <c r="Z117" i="3" a="1"/>
  <c r="Z117" i="3" s="1"/>
  <c r="AA117" i="3" a="1"/>
  <c r="AA117" i="3" s="1"/>
  <c r="AF117" i="3" a="1"/>
  <c r="AF117" i="3" s="1"/>
  <c r="Z24" i="3" a="1"/>
  <c r="Z24" i="3" s="1"/>
  <c r="AF24" i="3" a="1"/>
  <c r="AF24" i="3" s="1"/>
  <c r="Y24" i="3" a="1"/>
  <c r="Y24" i="3" s="1"/>
  <c r="AB24" i="3" a="1"/>
  <c r="AB24" i="3" s="1"/>
  <c r="E24" i="3" a="1"/>
  <c r="E24" i="3" s="1"/>
  <c r="U24" i="3" a="1"/>
  <c r="U24" i="3" s="1"/>
  <c r="AA24" i="3" a="1"/>
  <c r="AA24" i="3" s="1"/>
  <c r="G24" i="3" a="1"/>
  <c r="G24" i="3" s="1"/>
  <c r="AC24" i="3" a="1"/>
  <c r="AC24" i="3" s="1"/>
  <c r="F24" i="3" a="1"/>
  <c r="F24" i="3" s="1"/>
  <c r="I24" i="3" a="1"/>
  <c r="I24" i="3" s="1"/>
  <c r="H24" i="3"/>
  <c r="AG24" i="3" a="1"/>
  <c r="AG24" i="3" s="1"/>
  <c r="AG395" i="3" a="1"/>
  <c r="AG395" i="3" s="1"/>
  <c r="H395" i="3"/>
  <c r="I395" i="3" a="1"/>
  <c r="I395" i="3" s="1"/>
  <c r="AB395" i="3" a="1"/>
  <c r="AB395" i="3" s="1"/>
  <c r="AA395" i="3" a="1"/>
  <c r="AA395" i="3" s="1"/>
  <c r="Z395" i="3" a="1"/>
  <c r="Z395" i="3" s="1"/>
  <c r="AF395" i="3" a="1"/>
  <c r="AF395" i="3" s="1"/>
  <c r="AC395" i="3" a="1"/>
  <c r="AC395" i="3" s="1"/>
  <c r="Y395" i="3" a="1"/>
  <c r="Y395" i="3" s="1"/>
  <c r="D395" i="3" a="1"/>
  <c r="D395" i="3" s="1"/>
  <c r="Y289" i="3" a="1"/>
  <c r="Y289" i="3" s="1"/>
  <c r="AF289" i="3" a="1"/>
  <c r="AF289" i="3" s="1"/>
  <c r="AG289" i="3" a="1"/>
  <c r="AG289" i="3" s="1"/>
  <c r="I289" i="3" a="1"/>
  <c r="I289" i="3" s="1"/>
  <c r="D289" i="3" a="1"/>
  <c r="D289" i="3" s="1"/>
  <c r="H289" i="3"/>
  <c r="AC289" i="3" a="1"/>
  <c r="AC289" i="3" s="1"/>
  <c r="AA289" i="3" a="1"/>
  <c r="AA289" i="3" s="1"/>
  <c r="Z289" i="3" a="1"/>
  <c r="Z289" i="3" s="1"/>
  <c r="AB289" i="3" a="1"/>
  <c r="AB289" i="3" s="1"/>
  <c r="D235" i="3" a="1"/>
  <c r="D235" i="3" s="1"/>
  <c r="I235" i="3" a="1"/>
  <c r="I235" i="3" s="1"/>
  <c r="H235" i="3"/>
  <c r="Z235" i="3" a="1"/>
  <c r="Z235" i="3" s="1"/>
  <c r="AC235" i="3" a="1"/>
  <c r="AC235" i="3" s="1"/>
  <c r="Y235" i="3" a="1"/>
  <c r="Y235" i="3" s="1"/>
  <c r="AB235" i="3" a="1"/>
  <c r="AB235" i="3" s="1"/>
  <c r="AA235" i="3" a="1"/>
  <c r="AA235" i="3" s="1"/>
  <c r="AG235" i="3" a="1"/>
  <c r="AG235" i="3" s="1"/>
  <c r="AF235" i="3" a="1"/>
  <c r="AF235" i="3" s="1"/>
  <c r="Y227" i="3" a="1"/>
  <c r="Y227" i="3" s="1"/>
  <c r="AB227" i="3" a="1"/>
  <c r="AB227" i="3" s="1"/>
  <c r="AA227" i="3" a="1"/>
  <c r="AA227" i="3" s="1"/>
  <c r="AG227" i="3" a="1"/>
  <c r="AG227" i="3" s="1"/>
  <c r="AF227" i="3" a="1"/>
  <c r="AF227" i="3" s="1"/>
  <c r="D227" i="3" a="1"/>
  <c r="D227" i="3" s="1"/>
  <c r="I227" i="3" a="1"/>
  <c r="I227" i="3" s="1"/>
  <c r="H227" i="3"/>
  <c r="Z227" i="3" a="1"/>
  <c r="Z227" i="3" s="1"/>
  <c r="AC227" i="3" a="1"/>
  <c r="AC227" i="3" s="1"/>
  <c r="AF217" i="3" a="1"/>
  <c r="AF217" i="3" s="1"/>
  <c r="Z217" i="3" a="1"/>
  <c r="Z217" i="3" s="1"/>
  <c r="AC217" i="3" a="1"/>
  <c r="AC217" i="3" s="1"/>
  <c r="G217" i="3" a="1"/>
  <c r="G217" i="3" s="1"/>
  <c r="D217" i="3" a="1"/>
  <c r="D217" i="3" s="1"/>
  <c r="H217" i="3"/>
  <c r="I217" i="3" a="1"/>
  <c r="I217" i="3" s="1"/>
  <c r="F217" i="3" a="1"/>
  <c r="F217" i="3" s="1"/>
  <c r="AA217" i="3" a="1"/>
  <c r="AA217" i="3" s="1"/>
  <c r="AG217" i="3" a="1"/>
  <c r="AG217" i="3" s="1"/>
  <c r="AB217" i="3" a="1"/>
  <c r="AB217" i="3" s="1"/>
  <c r="U217" i="3" a="1"/>
  <c r="U217" i="3" s="1"/>
  <c r="Y217" i="3" a="1"/>
  <c r="Y217" i="3" s="1"/>
  <c r="E217" i="3" a="1"/>
  <c r="E217" i="3" s="1"/>
  <c r="E209" i="3" a="1"/>
  <c r="E209" i="3" s="1"/>
  <c r="AB209" i="3" a="1"/>
  <c r="AB209" i="3" s="1"/>
  <c r="F209" i="3" a="1"/>
  <c r="F209" i="3" s="1"/>
  <c r="D209" i="3" a="1"/>
  <c r="D209" i="3" s="1"/>
  <c r="H209" i="3"/>
  <c r="I209" i="3" a="1"/>
  <c r="I209" i="3" s="1"/>
  <c r="Z209" i="3" a="1"/>
  <c r="Z209" i="3" s="1"/>
  <c r="AF209" i="3" a="1"/>
  <c r="AF209" i="3" s="1"/>
  <c r="G209" i="3" a="1"/>
  <c r="G209" i="3" s="1"/>
  <c r="AG209" i="3" a="1"/>
  <c r="AG209" i="3" s="1"/>
  <c r="AA209" i="3" a="1"/>
  <c r="AA209" i="3" s="1"/>
  <c r="AC209" i="3" a="1"/>
  <c r="AC209" i="3" s="1"/>
  <c r="U209" i="3" a="1"/>
  <c r="U209" i="3" s="1"/>
  <c r="Y209" i="3" a="1"/>
  <c r="Y209" i="3" s="1"/>
  <c r="Z200" i="3" a="1"/>
  <c r="Z200" i="3" s="1"/>
  <c r="AB200" i="3" a="1"/>
  <c r="AB200" i="3" s="1"/>
  <c r="E200" i="3" a="1"/>
  <c r="E200" i="3" s="1"/>
  <c r="Y200" i="3" a="1"/>
  <c r="Y200" i="3" s="1"/>
  <c r="H200" i="3"/>
  <c r="I200" i="3" a="1"/>
  <c r="I200" i="3" s="1"/>
  <c r="AA200" i="3" a="1"/>
  <c r="AA200" i="3" s="1"/>
  <c r="U200" i="3" a="1"/>
  <c r="U200" i="3" s="1"/>
  <c r="F200" i="3" a="1"/>
  <c r="F200" i="3" s="1"/>
  <c r="D200" i="3" a="1"/>
  <c r="D200" i="3" s="1"/>
  <c r="G200" i="3" a="1"/>
  <c r="G200" i="3" s="1"/>
  <c r="AG200" i="3" a="1"/>
  <c r="AG200" i="3" s="1"/>
  <c r="AC200" i="3" a="1"/>
  <c r="AC200" i="3" s="1"/>
  <c r="AF200" i="3" a="1"/>
  <c r="AF200" i="3" s="1"/>
  <c r="AG193" i="3" a="1"/>
  <c r="AG193" i="3" s="1"/>
  <c r="AC193" i="3" a="1"/>
  <c r="AC193" i="3" s="1"/>
  <c r="AF193" i="3" a="1"/>
  <c r="AF193" i="3" s="1"/>
  <c r="Z193" i="3" a="1"/>
  <c r="Z193" i="3" s="1"/>
  <c r="AB193" i="3" a="1"/>
  <c r="AB193" i="3" s="1"/>
  <c r="Y193" i="3" a="1"/>
  <c r="Y193" i="3" s="1"/>
  <c r="U193" i="3" a="1"/>
  <c r="U193" i="3" s="1"/>
  <c r="H193" i="3"/>
  <c r="F193" i="3" a="1"/>
  <c r="F193" i="3" s="1"/>
  <c r="AA193" i="3" a="1"/>
  <c r="AA193" i="3" s="1"/>
  <c r="E193" i="3" a="1"/>
  <c r="E193" i="3" s="1"/>
  <c r="G193" i="3" a="1"/>
  <c r="G193" i="3" s="1"/>
  <c r="D193" i="3" a="1"/>
  <c r="D193" i="3" s="1"/>
  <c r="I193" i="3" a="1"/>
  <c r="I193" i="3" s="1"/>
  <c r="I309" i="3" a="1"/>
  <c r="I309" i="3" s="1"/>
  <c r="AC309" i="3" a="1"/>
  <c r="AC309" i="3" s="1"/>
  <c r="AG309" i="3" a="1"/>
  <c r="AG309" i="3" s="1"/>
  <c r="D309" i="3" a="1"/>
  <c r="D309" i="3" s="1"/>
  <c r="Z309" i="3" a="1"/>
  <c r="Z309" i="3" s="1"/>
  <c r="AB309" i="3" a="1"/>
  <c r="AB309" i="3" s="1"/>
  <c r="Y309" i="3" a="1"/>
  <c r="Y309" i="3" s="1"/>
  <c r="U309" i="3" a="1"/>
  <c r="U309" i="3" s="1"/>
  <c r="H309" i="3"/>
  <c r="F309" i="3" a="1"/>
  <c r="F309" i="3" s="1"/>
  <c r="AA309" i="3" a="1"/>
  <c r="AA309" i="3" s="1"/>
  <c r="E309" i="3" a="1"/>
  <c r="E309" i="3" s="1"/>
  <c r="G309" i="3" a="1"/>
  <c r="G309" i="3" s="1"/>
  <c r="AF309" i="3" a="1"/>
  <c r="AF309" i="3" s="1"/>
  <c r="AC179" i="3" a="1"/>
  <c r="AC179" i="3" s="1"/>
  <c r="H179" i="3"/>
  <c r="AG179" i="3" a="1"/>
  <c r="AG179" i="3" s="1"/>
  <c r="I179" i="3" a="1"/>
  <c r="I179" i="3" s="1"/>
  <c r="AF179" i="3" a="1"/>
  <c r="AF179" i="3" s="1"/>
  <c r="AA179" i="3" a="1"/>
  <c r="AA179" i="3" s="1"/>
  <c r="D179" i="3" a="1"/>
  <c r="D179" i="3" s="1"/>
  <c r="AB179" i="3" a="1"/>
  <c r="AB179" i="3" s="1"/>
  <c r="Z179" i="3" a="1"/>
  <c r="Z179" i="3" s="1"/>
  <c r="Y179" i="3" a="1"/>
  <c r="Y179" i="3" s="1"/>
  <c r="I357" i="3" a="1"/>
  <c r="I357" i="3" s="1"/>
  <c r="AF357" i="3" a="1"/>
  <c r="AF357" i="3" s="1"/>
  <c r="Z357" i="3" a="1"/>
  <c r="Z357" i="3" s="1"/>
  <c r="D357" i="3" a="1"/>
  <c r="D357" i="3" s="1"/>
  <c r="Y357" i="3" a="1"/>
  <c r="Y357" i="3" s="1"/>
  <c r="AC357" i="3" a="1"/>
  <c r="AC357" i="3" s="1"/>
  <c r="AB357" i="3" a="1"/>
  <c r="AB357" i="3" s="1"/>
  <c r="AA357" i="3" a="1"/>
  <c r="AA357" i="3" s="1"/>
  <c r="AG357" i="3" a="1"/>
  <c r="AG357" i="3" s="1"/>
  <c r="H357" i="3"/>
  <c r="AC171" i="3" a="1"/>
  <c r="AC171" i="3" s="1"/>
  <c r="AB171" i="3" a="1"/>
  <c r="AB171" i="3" s="1"/>
  <c r="Y171" i="3" a="1"/>
  <c r="Y171" i="3" s="1"/>
  <c r="Z171" i="3" a="1"/>
  <c r="Z171" i="3" s="1"/>
  <c r="AG171" i="3" a="1"/>
  <c r="AG171" i="3" s="1"/>
  <c r="H171" i="3"/>
  <c r="AA171" i="3" a="1"/>
  <c r="AA171" i="3" s="1"/>
  <c r="D171" i="3" a="1"/>
  <c r="D171" i="3" s="1"/>
  <c r="I171" i="3" a="1"/>
  <c r="I171" i="3" s="1"/>
  <c r="AF171" i="3" a="1"/>
  <c r="AF171" i="3" s="1"/>
  <c r="AC143" i="3" a="1"/>
  <c r="AC143" i="3" s="1"/>
  <c r="E143" i="3" a="1"/>
  <c r="E143" i="3" s="1"/>
  <c r="AB143" i="3" a="1"/>
  <c r="AB143" i="3" s="1"/>
  <c r="G143" i="3" a="1"/>
  <c r="G143" i="3" s="1"/>
  <c r="AA143" i="3" a="1"/>
  <c r="AA143" i="3" s="1"/>
  <c r="U143" i="3" a="1"/>
  <c r="U143" i="3" s="1"/>
  <c r="H143" i="3"/>
  <c r="Z143" i="3" a="1"/>
  <c r="Z143" i="3" s="1"/>
  <c r="AG143" i="3" a="1"/>
  <c r="AG143" i="3" s="1"/>
  <c r="I143" i="3" a="1"/>
  <c r="I143" i="3" s="1"/>
  <c r="AF143" i="3" a="1"/>
  <c r="AF143" i="3" s="1"/>
  <c r="F143" i="3" a="1"/>
  <c r="F143" i="3" s="1"/>
  <c r="Y143" i="3" a="1"/>
  <c r="Y143" i="3" s="1"/>
  <c r="D143" i="3" a="1"/>
  <c r="D143" i="3" s="1"/>
  <c r="AC135" i="3" a="1"/>
  <c r="AC135" i="3" s="1"/>
  <c r="AB135" i="3" a="1"/>
  <c r="AB135" i="3" s="1"/>
  <c r="AF135" i="3" a="1"/>
  <c r="AF135" i="3" s="1"/>
  <c r="AA135" i="3" a="1"/>
  <c r="AA135" i="3" s="1"/>
  <c r="Z135" i="3" a="1"/>
  <c r="Z135" i="3" s="1"/>
  <c r="AG135" i="3" a="1"/>
  <c r="AG135" i="3" s="1"/>
  <c r="H135" i="3"/>
  <c r="Y135" i="3" a="1"/>
  <c r="Y135" i="3" s="1"/>
  <c r="D135" i="3" a="1"/>
  <c r="D135" i="3" s="1"/>
  <c r="I135" i="3" a="1"/>
  <c r="I135" i="3" s="1"/>
  <c r="H119" i="3"/>
  <c r="I119" i="3" a="1"/>
  <c r="I119" i="3" s="1"/>
  <c r="AF119" i="3" a="1"/>
  <c r="AF119" i="3" s="1"/>
  <c r="AC119" i="3" a="1"/>
  <c r="AC119" i="3" s="1"/>
  <c r="AA119" i="3" a="1"/>
  <c r="AA119" i="3" s="1"/>
  <c r="Z119" i="3" a="1"/>
  <c r="Z119" i="3" s="1"/>
  <c r="Y119" i="3" a="1"/>
  <c r="Y119" i="3" s="1"/>
  <c r="AB119" i="3" a="1"/>
  <c r="AB119" i="3" s="1"/>
  <c r="AG119" i="3" a="1"/>
  <c r="AG119" i="3" s="1"/>
  <c r="D119" i="3" a="1"/>
  <c r="D119" i="3" s="1"/>
  <c r="U103" i="3" a="1"/>
  <c r="U103" i="3" s="1"/>
  <c r="Z103" i="3" a="1"/>
  <c r="Z103" i="3" s="1"/>
  <c r="H103" i="3"/>
  <c r="E103" i="3" a="1"/>
  <c r="E103" i="3" s="1"/>
  <c r="I103" i="3" a="1"/>
  <c r="I103" i="3" s="1"/>
  <c r="Y103" i="3" a="1"/>
  <c r="Y103" i="3" s="1"/>
  <c r="F103" i="3" a="1"/>
  <c r="F103" i="3" s="1"/>
  <c r="G103" i="3" a="1"/>
  <c r="G103" i="3" s="1"/>
  <c r="D103" i="3" a="1"/>
  <c r="D103" i="3" s="1"/>
  <c r="AG103" i="3" a="1"/>
  <c r="AG103" i="3" s="1"/>
  <c r="AC103" i="3" a="1"/>
  <c r="AC103" i="3" s="1"/>
  <c r="AF103" i="3" a="1"/>
  <c r="AF103" i="3" s="1"/>
  <c r="AB103" i="3" a="1"/>
  <c r="AB103" i="3" s="1"/>
  <c r="AA103" i="3" a="1"/>
  <c r="AA103" i="3" s="1"/>
  <c r="AB80" i="3" a="1"/>
  <c r="AB80" i="3" s="1"/>
  <c r="AC80" i="3" a="1"/>
  <c r="AC80" i="3" s="1"/>
  <c r="D80" i="3" a="1"/>
  <c r="D80" i="3" s="1"/>
  <c r="I80" i="3" a="1"/>
  <c r="I80" i="3" s="1"/>
  <c r="AG80" i="3" a="1"/>
  <c r="AG80" i="3" s="1"/>
  <c r="Z80" i="3" a="1"/>
  <c r="Z80" i="3" s="1"/>
  <c r="AF80" i="3" a="1"/>
  <c r="AF80" i="3" s="1"/>
  <c r="Y80" i="3" a="1"/>
  <c r="Y80" i="3" s="1"/>
  <c r="AA80" i="3" a="1"/>
  <c r="AA80" i="3" s="1"/>
  <c r="Y257" i="3" a="1"/>
  <c r="Y257" i="3" s="1"/>
  <c r="H257" i="3"/>
  <c r="AB257" i="3" a="1"/>
  <c r="AB257" i="3" s="1"/>
  <c r="AA257" i="3" a="1"/>
  <c r="AA257" i="3" s="1"/>
  <c r="AC257" i="3" a="1"/>
  <c r="AC257" i="3" s="1"/>
  <c r="AG257" i="3" a="1"/>
  <c r="AG257" i="3" s="1"/>
  <c r="Z257" i="3" a="1"/>
  <c r="Z257" i="3" s="1"/>
  <c r="AF257" i="3" a="1"/>
  <c r="AF257" i="3" s="1"/>
  <c r="I257" i="3" a="1"/>
  <c r="I257" i="3" s="1"/>
  <c r="D257" i="3" a="1"/>
  <c r="D257" i="3" s="1"/>
  <c r="AA18" i="3" a="1"/>
  <c r="AA18" i="3" s="1"/>
  <c r="E18" i="3" a="1"/>
  <c r="E18" i="3" s="1"/>
  <c r="Z18" i="3" a="1"/>
  <c r="Z18" i="3" s="1"/>
  <c r="D18" i="3" a="1"/>
  <c r="D18" i="3" s="1"/>
  <c r="I18" i="3" a="1"/>
  <c r="I18" i="3" s="1"/>
  <c r="Y18" i="3" a="1"/>
  <c r="Y18" i="3" s="1"/>
  <c r="U18" i="3" a="1"/>
  <c r="U18" i="3" s="1"/>
  <c r="F18" i="3" a="1"/>
  <c r="F18" i="3" s="1"/>
  <c r="AF18" i="3" a="1"/>
  <c r="AF18" i="3" s="1"/>
  <c r="H18" i="3"/>
  <c r="G18" i="3" a="1"/>
  <c r="G18" i="3" s="1"/>
  <c r="AC18" i="3" a="1"/>
  <c r="AC18" i="3" s="1"/>
  <c r="AG18" i="3" a="1"/>
  <c r="AG18" i="3" s="1"/>
  <c r="AB18" i="3" a="1"/>
  <c r="AB18" i="3" s="1"/>
  <c r="Z7" i="3" a="1"/>
  <c r="Z7" i="3" s="1"/>
  <c r="D7" i="3" a="1"/>
  <c r="D7" i="3" s="1"/>
  <c r="AB7" i="3" a="1"/>
  <c r="AB7" i="3" s="1"/>
  <c r="Y7" i="3" a="1"/>
  <c r="Y7" i="3" s="1"/>
  <c r="AA7" i="3" a="1"/>
  <c r="AA7" i="3" s="1"/>
  <c r="I7" i="3" a="1"/>
  <c r="I7" i="3" s="1"/>
  <c r="AG7" i="3" a="1"/>
  <c r="AG7" i="3" s="1"/>
  <c r="AC7" i="3" a="1"/>
  <c r="AC7" i="3" s="1"/>
  <c r="AF7" i="3" a="1"/>
  <c r="AF7" i="3" s="1"/>
  <c r="G7" i="3" a="1"/>
  <c r="G7" i="3" s="1"/>
  <c r="H7" i="3"/>
  <c r="AF307" i="3" a="1"/>
  <c r="AF307" i="3" s="1"/>
  <c r="I307" i="3" a="1"/>
  <c r="I307" i="3" s="1"/>
  <c r="AC307" i="3" a="1"/>
  <c r="AC307" i="3" s="1"/>
  <c r="H307" i="3"/>
  <c r="Z307" i="3" a="1"/>
  <c r="Z307" i="3" s="1"/>
  <c r="Y307" i="3" a="1"/>
  <c r="Y307" i="3" s="1"/>
  <c r="D307" i="3" a="1"/>
  <c r="D307" i="3" s="1"/>
  <c r="AB307" i="3" a="1"/>
  <c r="AB307" i="3" s="1"/>
  <c r="AA307" i="3" a="1"/>
  <c r="AA307" i="3" s="1"/>
  <c r="AG307" i="3" a="1"/>
  <c r="AG307" i="3" s="1"/>
  <c r="Y40" i="3" a="1"/>
  <c r="Y40" i="3" s="1"/>
  <c r="AG40" i="3" a="1"/>
  <c r="AG40" i="3" s="1"/>
  <c r="I40" i="3" a="1"/>
  <c r="I40" i="3" s="1"/>
  <c r="AC40" i="3" a="1"/>
  <c r="AC40" i="3" s="1"/>
  <c r="AB40" i="3" a="1"/>
  <c r="AB40" i="3" s="1"/>
  <c r="H40" i="3"/>
  <c r="AA40" i="3" a="1"/>
  <c r="AA40" i="3" s="1"/>
  <c r="D40" i="3" a="1"/>
  <c r="D40" i="3" s="1"/>
  <c r="AF40" i="3" a="1"/>
  <c r="AF40" i="3" s="1"/>
  <c r="Z40" i="3" a="1"/>
  <c r="Z40" i="3" s="1"/>
  <c r="I302" i="3" a="1"/>
  <c r="I302" i="3" s="1"/>
  <c r="Y302" i="3" a="1"/>
  <c r="Y302" i="3" s="1"/>
  <c r="G302" i="3" a="1"/>
  <c r="G302" i="3" s="1"/>
  <c r="F302" i="3" a="1"/>
  <c r="F302" i="3" s="1"/>
  <c r="AG302" i="3" a="1"/>
  <c r="AG302" i="3" s="1"/>
  <c r="H302" i="3"/>
  <c r="AF302" i="3" a="1"/>
  <c r="AF302" i="3" s="1"/>
  <c r="AC302" i="3" a="1"/>
  <c r="AC302" i="3" s="1"/>
  <c r="E302" i="3" a="1"/>
  <c r="E302" i="3" s="1"/>
  <c r="AB302" i="3" a="1"/>
  <c r="AB302" i="3" s="1"/>
  <c r="AA302" i="3" a="1"/>
  <c r="AA302" i="3" s="1"/>
  <c r="U302" i="3" a="1"/>
  <c r="U302" i="3" s="1"/>
  <c r="Z302" i="3" a="1"/>
  <c r="Z302" i="3" s="1"/>
  <c r="U79" i="3" a="1"/>
  <c r="U79" i="3" s="1"/>
  <c r="I79" i="3" a="1"/>
  <c r="I79" i="3" s="1"/>
  <c r="AC79" i="3" a="1"/>
  <c r="AC79" i="3" s="1"/>
  <c r="F79" i="3" a="1"/>
  <c r="F79" i="3" s="1"/>
  <c r="H79" i="3"/>
  <c r="AG79" i="3" a="1"/>
  <c r="AG79" i="3" s="1"/>
  <c r="G79" i="3" a="1"/>
  <c r="G79" i="3" s="1"/>
  <c r="AF79" i="3" a="1"/>
  <c r="AF79" i="3" s="1"/>
  <c r="AB79" i="3" a="1"/>
  <c r="AB79" i="3" s="1"/>
  <c r="AA79" i="3" a="1"/>
  <c r="AA79" i="3" s="1"/>
  <c r="E79" i="3" a="1"/>
  <c r="E79" i="3" s="1"/>
  <c r="Z79" i="3" a="1"/>
  <c r="Z79" i="3" s="1"/>
  <c r="Y79" i="3" a="1"/>
  <c r="Y79" i="3" s="1"/>
  <c r="E57" i="3" a="1"/>
  <c r="E57" i="3" s="1"/>
  <c r="AC57" i="3" a="1"/>
  <c r="AC57" i="3" s="1"/>
  <c r="U57" i="3" a="1"/>
  <c r="U57" i="3" s="1"/>
  <c r="AB57" i="3" a="1"/>
  <c r="AB57" i="3" s="1"/>
  <c r="F57" i="3" a="1"/>
  <c r="F57" i="3" s="1"/>
  <c r="AA57" i="3" a="1"/>
  <c r="AA57" i="3" s="1"/>
  <c r="I57" i="3" a="1"/>
  <c r="I57" i="3" s="1"/>
  <c r="G57" i="3" a="1"/>
  <c r="G57" i="3" s="1"/>
  <c r="H57" i="3"/>
  <c r="AG57" i="3" a="1"/>
  <c r="AG57" i="3" s="1"/>
  <c r="Z57" i="3" a="1"/>
  <c r="Z57" i="3" s="1"/>
  <c r="AF57" i="3" a="1"/>
  <c r="AF57" i="3" s="1"/>
  <c r="Y57" i="3" a="1"/>
  <c r="Y57" i="3" s="1"/>
  <c r="Z49" i="3" a="1"/>
  <c r="Z49" i="3" s="1"/>
  <c r="E49" i="3" a="1"/>
  <c r="E49" i="3" s="1"/>
  <c r="AB49" i="3" a="1"/>
  <c r="AB49" i="3" s="1"/>
  <c r="U49" i="3" a="1"/>
  <c r="U49" i="3" s="1"/>
  <c r="Y49" i="3" a="1"/>
  <c r="Y49" i="3" s="1"/>
  <c r="G49" i="3" a="1"/>
  <c r="G49" i="3" s="1"/>
  <c r="I49" i="3" a="1"/>
  <c r="I49" i="3" s="1"/>
  <c r="AC49" i="3" a="1"/>
  <c r="AC49" i="3" s="1"/>
  <c r="AF49" i="3" a="1"/>
  <c r="AF49" i="3" s="1"/>
  <c r="H49" i="3"/>
  <c r="AG49" i="3" a="1"/>
  <c r="AG49" i="3" s="1"/>
  <c r="F49" i="3" a="1"/>
  <c r="F49" i="3" s="1"/>
  <c r="AA49" i="3" a="1"/>
  <c r="AA49" i="3" s="1"/>
  <c r="Z38" i="3" a="1"/>
  <c r="Z38" i="3" s="1"/>
  <c r="Y38" i="3" a="1"/>
  <c r="Y38" i="3" s="1"/>
  <c r="E38" i="3" a="1"/>
  <c r="E38" i="3" s="1"/>
  <c r="AB38" i="3" a="1"/>
  <c r="AB38" i="3" s="1"/>
  <c r="U38" i="3" a="1"/>
  <c r="U38" i="3" s="1"/>
  <c r="F38" i="3" a="1"/>
  <c r="F38" i="3" s="1"/>
  <c r="AG38" i="3" a="1"/>
  <c r="AG38" i="3" s="1"/>
  <c r="I38" i="3" a="1"/>
  <c r="I38" i="3" s="1"/>
  <c r="H38" i="3"/>
  <c r="AF38" i="3" a="1"/>
  <c r="AF38" i="3" s="1"/>
  <c r="G38" i="3" a="1"/>
  <c r="G38" i="3" s="1"/>
  <c r="AA38" i="3" a="1"/>
  <c r="AA38" i="3" s="1"/>
  <c r="AC38" i="3" a="1"/>
  <c r="AC38" i="3" s="1"/>
  <c r="F23" i="3" a="1"/>
  <c r="F23" i="3" s="1"/>
  <c r="Y23" i="3" a="1"/>
  <c r="Y23" i="3" s="1"/>
  <c r="AB23" i="3" a="1"/>
  <c r="AB23" i="3" s="1"/>
  <c r="E23" i="3" a="1"/>
  <c r="E23" i="3" s="1"/>
  <c r="AC23" i="3" a="1"/>
  <c r="AC23" i="3" s="1"/>
  <c r="U23" i="3" a="1"/>
  <c r="U23" i="3" s="1"/>
  <c r="I23" i="3" a="1"/>
  <c r="I23" i="3" s="1"/>
  <c r="AG23" i="3" a="1"/>
  <c r="AG23" i="3" s="1"/>
  <c r="Z23" i="3" a="1"/>
  <c r="Z23" i="3" s="1"/>
  <c r="AF23" i="3" a="1"/>
  <c r="AF23" i="3" s="1"/>
  <c r="H23" i="3"/>
  <c r="G23" i="3" a="1"/>
  <c r="G23" i="3" s="1"/>
  <c r="AA23" i="3" a="1"/>
  <c r="AA23" i="3" s="1"/>
  <c r="Z287" i="3" a="1"/>
  <c r="Z287" i="3" s="1"/>
  <c r="Y287" i="3" a="1"/>
  <c r="Y287" i="3" s="1"/>
  <c r="H287" i="3"/>
  <c r="AC287" i="3" a="1"/>
  <c r="AC287" i="3" s="1"/>
  <c r="I287" i="3" a="1"/>
  <c r="I287" i="3" s="1"/>
  <c r="AG287" i="3" a="1"/>
  <c r="AG287" i="3" s="1"/>
  <c r="D287" i="3" a="1"/>
  <c r="D287" i="3" s="1"/>
  <c r="AF287" i="3" a="1"/>
  <c r="AF287" i="3" s="1"/>
  <c r="AB287" i="3" a="1"/>
  <c r="AB287" i="3" s="1"/>
  <c r="AA287" i="3" a="1"/>
  <c r="AA287" i="3" s="1"/>
  <c r="I284" i="3" a="1"/>
  <c r="I284" i="3" s="1"/>
  <c r="AG284" i="3" a="1"/>
  <c r="AG284" i="3" s="1"/>
  <c r="H284" i="3"/>
  <c r="AF284" i="3" a="1"/>
  <c r="AF284" i="3" s="1"/>
  <c r="AB284" i="3" a="1"/>
  <c r="AB284" i="3" s="1"/>
  <c r="D284" i="3" a="1"/>
  <c r="D284" i="3" s="1"/>
  <c r="AA284" i="3" a="1"/>
  <c r="AA284" i="3" s="1"/>
  <c r="Z284" i="3" a="1"/>
  <c r="Z284" i="3" s="1"/>
  <c r="AC284" i="3" a="1"/>
  <c r="AC284" i="3" s="1"/>
  <c r="Y284" i="3" a="1"/>
  <c r="Y284" i="3" s="1"/>
  <c r="Z234" i="3" a="1"/>
  <c r="Z234" i="3" s="1"/>
  <c r="Y234" i="3" a="1"/>
  <c r="Y234" i="3" s="1"/>
  <c r="AG234" i="3" a="1"/>
  <c r="AG234" i="3" s="1"/>
  <c r="AF234" i="3" a="1"/>
  <c r="AF234" i="3" s="1"/>
  <c r="I234" i="3" a="1"/>
  <c r="I234" i="3" s="1"/>
  <c r="D234" i="3" a="1"/>
  <c r="D234" i="3" s="1"/>
  <c r="H234" i="3"/>
  <c r="AB234" i="3" a="1"/>
  <c r="AB234" i="3" s="1"/>
  <c r="AC234" i="3" a="1"/>
  <c r="AC234" i="3" s="1"/>
  <c r="AA234" i="3" a="1"/>
  <c r="AA234" i="3" s="1"/>
  <c r="AC226" i="3" a="1"/>
  <c r="AC226" i="3" s="1"/>
  <c r="H226" i="3"/>
  <c r="I226" i="3" a="1"/>
  <c r="I226" i="3" s="1"/>
  <c r="D226" i="3" a="1"/>
  <c r="D226" i="3" s="1"/>
  <c r="AG226" i="3" a="1"/>
  <c r="AG226" i="3" s="1"/>
  <c r="AB226" i="3" a="1"/>
  <c r="AB226" i="3" s="1"/>
  <c r="AA226" i="3" a="1"/>
  <c r="AA226" i="3" s="1"/>
  <c r="Z226" i="3" a="1"/>
  <c r="Z226" i="3" s="1"/>
  <c r="Y226" i="3" a="1"/>
  <c r="Y226" i="3" s="1"/>
  <c r="AF226" i="3" a="1"/>
  <c r="AF226" i="3" s="1"/>
  <c r="AB222" i="3" a="1"/>
  <c r="AB222" i="3" s="1"/>
  <c r="Y222" i="3" a="1"/>
  <c r="Y222" i="3" s="1"/>
  <c r="Z222" i="3" a="1"/>
  <c r="Z222" i="3" s="1"/>
  <c r="AG222" i="3" a="1"/>
  <c r="AG222" i="3" s="1"/>
  <c r="AF222" i="3" a="1"/>
  <c r="AF222" i="3" s="1"/>
  <c r="I222" i="3" a="1"/>
  <c r="I222" i="3" s="1"/>
  <c r="D222" i="3" a="1"/>
  <c r="D222" i="3" s="1"/>
  <c r="H222" i="3"/>
  <c r="AA222" i="3" a="1"/>
  <c r="AA222" i="3" s="1"/>
  <c r="AC222" i="3" a="1"/>
  <c r="AC222" i="3" s="1"/>
  <c r="AC386" i="3" a="1"/>
  <c r="AC386" i="3" s="1"/>
  <c r="AF386" i="3" a="1"/>
  <c r="AF386" i="3" s="1"/>
  <c r="H386" i="3"/>
  <c r="AB386" i="3" a="1"/>
  <c r="AB386" i="3" s="1"/>
  <c r="AG386" i="3" a="1"/>
  <c r="AG386" i="3" s="1"/>
  <c r="AA386" i="3" a="1"/>
  <c r="AA386" i="3" s="1"/>
  <c r="D386" i="3" a="1"/>
  <c r="D386" i="3" s="1"/>
  <c r="I386" i="3" a="1"/>
  <c r="I386" i="3" s="1"/>
  <c r="Z386" i="3" a="1"/>
  <c r="Z386" i="3" s="1"/>
  <c r="Y386" i="3" a="1"/>
  <c r="Y386" i="3" s="1"/>
  <c r="I383" i="3" a="1"/>
  <c r="I383" i="3" s="1"/>
  <c r="AB383" i="3" a="1"/>
  <c r="AB383" i="3" s="1"/>
  <c r="D383" i="3" a="1"/>
  <c r="D383" i="3" s="1"/>
  <c r="AA383" i="3" a="1"/>
  <c r="AA383" i="3" s="1"/>
  <c r="Z383" i="3" a="1"/>
  <c r="Z383" i="3" s="1"/>
  <c r="Y383" i="3" a="1"/>
  <c r="Y383" i="3" s="1"/>
  <c r="AG383" i="3" a="1"/>
  <c r="AG383" i="3" s="1"/>
  <c r="AC383" i="3" a="1"/>
  <c r="AC383" i="3" s="1"/>
  <c r="AF383" i="3" a="1"/>
  <c r="AF383" i="3" s="1"/>
  <c r="H383" i="3"/>
  <c r="AF216" i="3" a="1"/>
  <c r="AF216" i="3" s="1"/>
  <c r="AC216" i="3" a="1"/>
  <c r="AC216" i="3" s="1"/>
  <c r="H216" i="3"/>
  <c r="I216" i="3" a="1"/>
  <c r="I216" i="3" s="1"/>
  <c r="AG216" i="3" a="1"/>
  <c r="AG216" i="3" s="1"/>
  <c r="AA216" i="3" a="1"/>
  <c r="AA216" i="3" s="1"/>
  <c r="D216" i="3" a="1"/>
  <c r="D216" i="3" s="1"/>
  <c r="AB216" i="3" a="1"/>
  <c r="AB216" i="3" s="1"/>
  <c r="Z216" i="3" a="1"/>
  <c r="Z216" i="3" s="1"/>
  <c r="Y216" i="3" a="1"/>
  <c r="Y216" i="3" s="1"/>
  <c r="I208" i="3" a="1"/>
  <c r="I208" i="3" s="1"/>
  <c r="AA208" i="3" a="1"/>
  <c r="AA208" i="3" s="1"/>
  <c r="AB208" i="3" a="1"/>
  <c r="AB208" i="3" s="1"/>
  <c r="AG208" i="3" a="1"/>
  <c r="AG208" i="3" s="1"/>
  <c r="Z208" i="3" a="1"/>
  <c r="Z208" i="3" s="1"/>
  <c r="Y208" i="3" a="1"/>
  <c r="Y208" i="3" s="1"/>
  <c r="D208" i="3" a="1"/>
  <c r="D208" i="3" s="1"/>
  <c r="AC208" i="3" a="1"/>
  <c r="AC208" i="3" s="1"/>
  <c r="H208" i="3"/>
  <c r="AF208" i="3" a="1"/>
  <c r="AF208" i="3" s="1"/>
  <c r="AB199" i="3" a="1"/>
  <c r="AB199" i="3" s="1"/>
  <c r="Z199" i="3" a="1"/>
  <c r="Z199" i="3" s="1"/>
  <c r="Y199" i="3" a="1"/>
  <c r="Y199" i="3" s="1"/>
  <c r="H199" i="3"/>
  <c r="AG199" i="3" a="1"/>
  <c r="AG199" i="3" s="1"/>
  <c r="I199" i="3" a="1"/>
  <c r="I199" i="3" s="1"/>
  <c r="AF199" i="3" a="1"/>
  <c r="AF199" i="3" s="1"/>
  <c r="D199" i="3" a="1"/>
  <c r="D199" i="3" s="1"/>
  <c r="AA199" i="3" a="1"/>
  <c r="AA199" i="3" s="1"/>
  <c r="AC199" i="3" a="1"/>
  <c r="AC199" i="3" s="1"/>
  <c r="AB192" i="3" a="1"/>
  <c r="AB192" i="3" s="1"/>
  <c r="U192" i="3" a="1"/>
  <c r="U192" i="3" s="1"/>
  <c r="I192" i="3" a="1"/>
  <c r="I192" i="3" s="1"/>
  <c r="AA192" i="3" a="1"/>
  <c r="AA192" i="3" s="1"/>
  <c r="E192" i="3" a="1"/>
  <c r="E192" i="3" s="1"/>
  <c r="H192" i="3"/>
  <c r="F192" i="3" a="1"/>
  <c r="F192" i="3" s="1"/>
  <c r="D192" i="3" a="1"/>
  <c r="D192" i="3" s="1"/>
  <c r="G192" i="3" a="1"/>
  <c r="G192" i="3" s="1"/>
  <c r="AG192" i="3" a="1"/>
  <c r="AG192" i="3" s="1"/>
  <c r="Z192" i="3" a="1"/>
  <c r="Z192" i="3" s="1"/>
  <c r="Y192" i="3" a="1"/>
  <c r="Y192" i="3" s="1"/>
  <c r="AF192" i="3" a="1"/>
  <c r="AF192" i="3" s="1"/>
  <c r="AC192" i="3" a="1"/>
  <c r="AC192" i="3" s="1"/>
  <c r="AA184" i="3" a="1"/>
  <c r="AA184" i="3" s="1"/>
  <c r="D184" i="3" a="1"/>
  <c r="D184" i="3" s="1"/>
  <c r="I184" i="3" a="1"/>
  <c r="I184" i="3" s="1"/>
  <c r="AG184" i="3" a="1"/>
  <c r="AG184" i="3" s="1"/>
  <c r="H184" i="3"/>
  <c r="Z184" i="3" a="1"/>
  <c r="Z184" i="3" s="1"/>
  <c r="AF184" i="3" a="1"/>
  <c r="AF184" i="3" s="1"/>
  <c r="Y184" i="3" a="1"/>
  <c r="Y184" i="3" s="1"/>
  <c r="AC184" i="3" a="1"/>
  <c r="AC184" i="3" s="1"/>
  <c r="AB184" i="3" a="1"/>
  <c r="AB184" i="3" s="1"/>
  <c r="AB371" i="3" a="1"/>
  <c r="AB371" i="3" s="1"/>
  <c r="AA371" i="3" a="1"/>
  <c r="AA371" i="3" s="1"/>
  <c r="Z371" i="3" a="1"/>
  <c r="Z371" i="3" s="1"/>
  <c r="Y371" i="3" a="1"/>
  <c r="Y371" i="3" s="1"/>
  <c r="F371" i="3" a="1"/>
  <c r="F371" i="3" s="1"/>
  <c r="I371" i="3" a="1"/>
  <c r="I371" i="3" s="1"/>
  <c r="AF371" i="3" a="1"/>
  <c r="AF371" i="3" s="1"/>
  <c r="H371" i="3"/>
  <c r="AC371" i="3" a="1"/>
  <c r="AC371" i="3" s="1"/>
  <c r="D371" i="3" a="1"/>
  <c r="D371" i="3" s="1"/>
  <c r="AG371" i="3" a="1"/>
  <c r="AG371" i="3" s="1"/>
  <c r="AC366" i="3" a="1"/>
  <c r="AC366" i="3" s="1"/>
  <c r="Z366" i="3" a="1"/>
  <c r="Z366" i="3" s="1"/>
  <c r="Y366" i="3" a="1"/>
  <c r="Y366" i="3" s="1"/>
  <c r="AF366" i="3" a="1"/>
  <c r="AF366" i="3" s="1"/>
  <c r="I366" i="3" a="1"/>
  <c r="I366" i="3" s="1"/>
  <c r="AG366" i="3" a="1"/>
  <c r="AG366" i="3" s="1"/>
  <c r="AA366" i="3" a="1"/>
  <c r="AA366" i="3" s="1"/>
  <c r="D366" i="3" a="1"/>
  <c r="D366" i="3" s="1"/>
  <c r="H366" i="3"/>
  <c r="AB366" i="3" a="1"/>
  <c r="AB366" i="3" s="1"/>
  <c r="AG266" i="3" a="1"/>
  <c r="AG266" i="3" s="1"/>
  <c r="H266" i="3"/>
  <c r="AF266" i="3" a="1"/>
  <c r="AF266" i="3" s="1"/>
  <c r="I266" i="3" a="1"/>
  <c r="I266" i="3" s="1"/>
  <c r="D266" i="3" a="1"/>
  <c r="D266" i="3" s="1"/>
  <c r="AC266" i="3" a="1"/>
  <c r="AC266" i="3" s="1"/>
  <c r="Z266" i="3" a="1"/>
  <c r="Z266" i="3" s="1"/>
  <c r="Y266" i="3" a="1"/>
  <c r="Y266" i="3" s="1"/>
  <c r="AB266" i="3" a="1"/>
  <c r="AB266" i="3" s="1"/>
  <c r="AA266" i="3" a="1"/>
  <c r="AA266" i="3" s="1"/>
  <c r="H178" i="3"/>
  <c r="Y178" i="3" a="1"/>
  <c r="Y178" i="3" s="1"/>
  <c r="Z178" i="3" a="1"/>
  <c r="Z178" i="3" s="1"/>
  <c r="AA178" i="3" a="1"/>
  <c r="AA178" i="3" s="1"/>
  <c r="AB178" i="3" a="1"/>
  <c r="AB178" i="3" s="1"/>
  <c r="AG178" i="3" a="1"/>
  <c r="AG178" i="3" s="1"/>
  <c r="AC178" i="3" a="1"/>
  <c r="AC178" i="3" s="1"/>
  <c r="AF178" i="3" a="1"/>
  <c r="AF178" i="3" s="1"/>
  <c r="I178" i="3" a="1"/>
  <c r="I178" i="3" s="1"/>
  <c r="D178" i="3" a="1"/>
  <c r="D178" i="3" s="1"/>
  <c r="AF170" i="3" a="1"/>
  <c r="AF170" i="3" s="1"/>
  <c r="Y170" i="3" a="1"/>
  <c r="Y170" i="3" s="1"/>
  <c r="AB170" i="3" a="1"/>
  <c r="AB170" i="3" s="1"/>
  <c r="E170" i="3" a="1"/>
  <c r="E170" i="3" s="1"/>
  <c r="AA170" i="3" a="1"/>
  <c r="AA170" i="3" s="1"/>
  <c r="D170" i="3" a="1"/>
  <c r="D170" i="3" s="1"/>
  <c r="H170" i="3"/>
  <c r="I170" i="3" a="1"/>
  <c r="I170" i="3" s="1"/>
  <c r="AC170" i="3" a="1"/>
  <c r="AC170" i="3" s="1"/>
  <c r="U170" i="3" a="1"/>
  <c r="U170" i="3" s="1"/>
  <c r="F170" i="3" a="1"/>
  <c r="F170" i="3" s="1"/>
  <c r="G170" i="3" a="1"/>
  <c r="G170" i="3" s="1"/>
  <c r="AG170" i="3" a="1"/>
  <c r="AG170" i="3" s="1"/>
  <c r="Z170" i="3" a="1"/>
  <c r="Z170" i="3" s="1"/>
  <c r="D142" i="3" a="1"/>
  <c r="D142" i="3" s="1"/>
  <c r="H142" i="3"/>
  <c r="Z142" i="3" a="1"/>
  <c r="Z142" i="3" s="1"/>
  <c r="Y142" i="3" a="1"/>
  <c r="Y142" i="3" s="1"/>
  <c r="AG142" i="3" a="1"/>
  <c r="AG142" i="3" s="1"/>
  <c r="AB142" i="3" a="1"/>
  <c r="AB142" i="3" s="1"/>
  <c r="AA142" i="3" a="1"/>
  <c r="AA142" i="3" s="1"/>
  <c r="AC142" i="3" a="1"/>
  <c r="AC142" i="3" s="1"/>
  <c r="U142" i="3" a="1"/>
  <c r="U142" i="3" s="1"/>
  <c r="I142" i="3" a="1"/>
  <c r="I142" i="3" s="1"/>
  <c r="AF142" i="3" a="1"/>
  <c r="AF142" i="3" s="1"/>
  <c r="E142" i="3" a="1"/>
  <c r="E142" i="3" s="1"/>
  <c r="G142" i="3" a="1"/>
  <c r="G142" i="3" s="1"/>
  <c r="F142" i="3" a="1"/>
  <c r="F142" i="3" s="1"/>
  <c r="H132" i="3"/>
  <c r="AG132" i="3" a="1"/>
  <c r="AG132" i="3" s="1"/>
  <c r="AA132" i="3" a="1"/>
  <c r="AA132" i="3" s="1"/>
  <c r="AF132" i="3" a="1"/>
  <c r="AF132" i="3" s="1"/>
  <c r="AB132" i="3" a="1"/>
  <c r="AB132" i="3" s="1"/>
  <c r="Y132" i="3" a="1"/>
  <c r="Y132" i="3" s="1"/>
  <c r="Z132" i="3" a="1"/>
  <c r="Z132" i="3" s="1"/>
  <c r="AC132" i="3" a="1"/>
  <c r="AC132" i="3" s="1"/>
  <c r="D132" i="3" a="1"/>
  <c r="D132" i="3" s="1"/>
  <c r="I132" i="3" a="1"/>
  <c r="I132" i="3" s="1"/>
  <c r="I111" i="3" a="1"/>
  <c r="I111" i="3" s="1"/>
  <c r="H111" i="3"/>
  <c r="AG111" i="3" a="1"/>
  <c r="AG111" i="3" s="1"/>
  <c r="AF111" i="3" a="1"/>
  <c r="AF111" i="3" s="1"/>
  <c r="D111" i="3" a="1"/>
  <c r="D111" i="3" s="1"/>
  <c r="AC111" i="3" a="1"/>
  <c r="AC111" i="3" s="1"/>
  <c r="Z111" i="3" a="1"/>
  <c r="Z111" i="3" s="1"/>
  <c r="Y111" i="3" a="1"/>
  <c r="Y111" i="3" s="1"/>
  <c r="AB111" i="3" a="1"/>
  <c r="AB111" i="3" s="1"/>
  <c r="AA111" i="3" a="1"/>
  <c r="AA111" i="3" s="1"/>
  <c r="I78" i="3" a="1"/>
  <c r="I78" i="3" s="1"/>
  <c r="AG78" i="3" a="1"/>
  <c r="AG78" i="3" s="1"/>
  <c r="AA78" i="3" a="1"/>
  <c r="AA78" i="3" s="1"/>
  <c r="AF78" i="3" a="1"/>
  <c r="AF78" i="3" s="1"/>
  <c r="AB78" i="3" a="1"/>
  <c r="AB78" i="3" s="1"/>
  <c r="Z78" i="3" a="1"/>
  <c r="Z78" i="3" s="1"/>
  <c r="Y78" i="3" a="1"/>
  <c r="Y78" i="3" s="1"/>
  <c r="AC78" i="3" a="1"/>
  <c r="AC78" i="3" s="1"/>
  <c r="D78" i="3" a="1"/>
  <c r="D78" i="3" s="1"/>
  <c r="H78" i="3"/>
  <c r="AB259" i="3" a="1"/>
  <c r="AB259" i="3" s="1"/>
  <c r="AA259" i="3" a="1"/>
  <c r="AA259" i="3" s="1"/>
  <c r="I259" i="3" a="1"/>
  <c r="I259" i="3" s="1"/>
  <c r="AG259" i="3" a="1"/>
  <c r="AG259" i="3" s="1"/>
  <c r="H259" i="3"/>
  <c r="AF259" i="3" a="1"/>
  <c r="AF259" i="3" s="1"/>
  <c r="Z259" i="3" a="1"/>
  <c r="Z259" i="3" s="1"/>
  <c r="AC259" i="3" a="1"/>
  <c r="AC259" i="3" s="1"/>
  <c r="Y259" i="3" a="1"/>
  <c r="Y259" i="3" s="1"/>
  <c r="D259" i="3" a="1"/>
  <c r="D259" i="3" s="1"/>
  <c r="AB17" i="3" a="1"/>
  <c r="AB17" i="3" s="1"/>
  <c r="H17" i="3"/>
  <c r="I17" i="3" a="1"/>
  <c r="I17" i="3" s="1"/>
  <c r="AG17" i="3" a="1"/>
  <c r="AG17" i="3" s="1"/>
  <c r="G17" i="3" a="1"/>
  <c r="G17" i="3" s="1"/>
  <c r="AF17" i="3" a="1"/>
  <c r="AF17" i="3" s="1"/>
  <c r="AA17" i="3" a="1"/>
  <c r="AA17" i="3" s="1"/>
  <c r="AC17" i="3" a="1"/>
  <c r="AC17" i="3" s="1"/>
  <c r="Z17" i="3" a="1"/>
  <c r="Z17" i="3" s="1"/>
  <c r="D17" i="3" a="1"/>
  <c r="D17" i="3" s="1"/>
  <c r="Y17" i="3" a="1"/>
  <c r="Y17" i="3" s="1"/>
  <c r="U17" i="3" a="1"/>
  <c r="U17" i="3" s="1"/>
  <c r="H5" i="3"/>
  <c r="AB5" i="3" a="1"/>
  <c r="AB5" i="3" s="1"/>
  <c r="AC5" i="3" a="1"/>
  <c r="AC5" i="3" s="1"/>
  <c r="I5" i="3" a="1"/>
  <c r="I5" i="3" s="1"/>
  <c r="U5" i="3" a="1"/>
  <c r="U5" i="3" s="1"/>
  <c r="AG5" i="3" a="1"/>
  <c r="AG5" i="3" s="1"/>
  <c r="D5" i="3" a="1"/>
  <c r="D5" i="3" s="1"/>
  <c r="G5" i="3" a="1"/>
  <c r="G5" i="3" s="1"/>
  <c r="AA5" i="3" a="1"/>
  <c r="AA5" i="3" s="1"/>
  <c r="Z5" i="3" a="1"/>
  <c r="Z5" i="3" s="1"/>
  <c r="AF5" i="3" a="1"/>
  <c r="AF5" i="3" s="1"/>
  <c r="Y5" i="3" a="1"/>
  <c r="Y5" i="3" s="1"/>
  <c r="Y396" i="3" a="1"/>
  <c r="Y396" i="3" s="1"/>
  <c r="D396" i="3" a="1"/>
  <c r="D396" i="3" s="1"/>
  <c r="AB396" i="3" a="1"/>
  <c r="AB396" i="3" s="1"/>
  <c r="AA396" i="3" a="1"/>
  <c r="AA396" i="3" s="1"/>
  <c r="AC396" i="3" a="1"/>
  <c r="AC396" i="3" s="1"/>
  <c r="AG396" i="3" a="1"/>
  <c r="AG396" i="3" s="1"/>
  <c r="H396" i="3"/>
  <c r="I396" i="3" a="1"/>
  <c r="I396" i="3" s="1"/>
  <c r="AF396" i="3" a="1"/>
  <c r="AF396" i="3" s="1"/>
  <c r="Z396" i="3" a="1"/>
  <c r="Z396" i="3" s="1"/>
  <c r="AB252" i="3" a="1"/>
  <c r="AB252" i="3" s="1"/>
  <c r="Z252" i="3" a="1"/>
  <c r="Z252" i="3" s="1"/>
  <c r="Y252" i="3" a="1"/>
  <c r="Y252" i="3" s="1"/>
  <c r="AG252" i="3" a="1"/>
  <c r="AG252" i="3" s="1"/>
  <c r="H252" i="3"/>
  <c r="AA252" i="3" a="1"/>
  <c r="AA252" i="3" s="1"/>
  <c r="AF252" i="3" a="1"/>
  <c r="AF252" i="3" s="1"/>
  <c r="AC252" i="3" a="1"/>
  <c r="AC252" i="3" s="1"/>
  <c r="D252" i="3" a="1"/>
  <c r="D252" i="3" s="1"/>
  <c r="I252" i="3" a="1"/>
  <c r="I252" i="3" s="1"/>
  <c r="AF351" i="3" a="1"/>
  <c r="AF351" i="3" s="1"/>
  <c r="AC351" i="3" a="1"/>
  <c r="AC351" i="3" s="1"/>
  <c r="G351" i="3" a="1"/>
  <c r="G351" i="3" s="1"/>
  <c r="U351" i="3" a="1"/>
  <c r="U351" i="3" s="1"/>
  <c r="F351" i="3" a="1"/>
  <c r="F351" i="3" s="1"/>
  <c r="I351" i="3" a="1"/>
  <c r="I351" i="3" s="1"/>
  <c r="H351" i="3"/>
  <c r="Z351" i="3" a="1"/>
  <c r="Z351" i="3" s="1"/>
  <c r="AB351" i="3" a="1"/>
  <c r="AB351" i="3" s="1"/>
  <c r="AG351" i="3" a="1"/>
  <c r="AG351" i="3" s="1"/>
  <c r="AA351" i="3" a="1"/>
  <c r="AA351" i="3" s="1"/>
  <c r="E351" i="3" a="1"/>
  <c r="E351" i="3" s="1"/>
  <c r="Y351" i="3" a="1"/>
  <c r="Y351" i="3" s="1"/>
  <c r="AC340" i="3" a="1"/>
  <c r="AC340" i="3" s="1"/>
  <c r="E340" i="3" a="1"/>
  <c r="E340" i="3" s="1"/>
  <c r="AB340" i="3" a="1"/>
  <c r="AB340" i="3" s="1"/>
  <c r="Z340" i="3" a="1"/>
  <c r="Z340" i="3" s="1"/>
  <c r="AG340" i="3" a="1"/>
  <c r="AG340" i="3" s="1"/>
  <c r="Y340" i="3" a="1"/>
  <c r="Y340" i="3" s="1"/>
  <c r="U340" i="3" a="1"/>
  <c r="U340" i="3" s="1"/>
  <c r="AA340" i="3" a="1"/>
  <c r="AA340" i="3" s="1"/>
  <c r="H340" i="3"/>
  <c r="I340" i="3" a="1"/>
  <c r="I340" i="3" s="1"/>
  <c r="F340" i="3" a="1"/>
  <c r="F340" i="3" s="1"/>
  <c r="AF340" i="3" a="1"/>
  <c r="AF340" i="3" s="1"/>
  <c r="G340" i="3" a="1"/>
  <c r="G340" i="3" s="1"/>
  <c r="AF36" i="3" a="1"/>
  <c r="AF36" i="3" s="1"/>
  <c r="U36" i="3" a="1"/>
  <c r="U36" i="3" s="1"/>
  <c r="F36" i="3" a="1"/>
  <c r="F36" i="3" s="1"/>
  <c r="AG36" i="3" a="1"/>
  <c r="AG36" i="3" s="1"/>
  <c r="H36" i="3"/>
  <c r="I36" i="3" a="1"/>
  <c r="I36" i="3" s="1"/>
  <c r="G36" i="3" a="1"/>
  <c r="G36" i="3" s="1"/>
  <c r="AC36" i="3" a="1"/>
  <c r="AC36" i="3" s="1"/>
  <c r="Z36" i="3" a="1"/>
  <c r="Z36" i="3" s="1"/>
  <c r="AA36" i="3" a="1"/>
  <c r="AA36" i="3" s="1"/>
  <c r="AB36" i="3" a="1"/>
  <c r="AB36" i="3" s="1"/>
  <c r="E36" i="3" a="1"/>
  <c r="E36" i="3" s="1"/>
  <c r="Y36" i="3" a="1"/>
  <c r="Y36" i="3" s="1"/>
  <c r="AB297" i="3" a="1"/>
  <c r="AB297" i="3" s="1"/>
  <c r="E297" i="3" a="1"/>
  <c r="E297" i="3" s="1"/>
  <c r="AA297" i="3" a="1"/>
  <c r="AA297" i="3" s="1"/>
  <c r="U297" i="3" a="1"/>
  <c r="U297" i="3" s="1"/>
  <c r="Z297" i="3" a="1"/>
  <c r="Z297" i="3" s="1"/>
  <c r="AF297" i="3" a="1"/>
  <c r="AF297" i="3" s="1"/>
  <c r="I297" i="3" a="1"/>
  <c r="I297" i="3" s="1"/>
  <c r="Y297" i="3" a="1"/>
  <c r="Y297" i="3" s="1"/>
  <c r="H297" i="3"/>
  <c r="F297" i="3" a="1"/>
  <c r="F297" i="3" s="1"/>
  <c r="AG297" i="3" a="1"/>
  <c r="AG297" i="3" s="1"/>
  <c r="G297" i="3" a="1"/>
  <c r="G297" i="3" s="1"/>
  <c r="AC297" i="3" a="1"/>
  <c r="AC297" i="3" s="1"/>
  <c r="AC249" i="3" a="1"/>
  <c r="AC249" i="3" s="1"/>
  <c r="AB249" i="3" a="1"/>
  <c r="AB249" i="3" s="1"/>
  <c r="AA249" i="3" a="1"/>
  <c r="AA249" i="3" s="1"/>
  <c r="I249" i="3" a="1"/>
  <c r="I249" i="3" s="1"/>
  <c r="AG249" i="3" a="1"/>
  <c r="AG249" i="3" s="1"/>
  <c r="H249" i="3"/>
  <c r="Z249" i="3" a="1"/>
  <c r="Z249" i="3" s="1"/>
  <c r="AF249" i="3" a="1"/>
  <c r="AF249" i="3" s="1"/>
  <c r="Y249" i="3" a="1"/>
  <c r="Y249" i="3" s="1"/>
  <c r="D249" i="3" a="1"/>
  <c r="D249" i="3" s="1"/>
  <c r="AF387" i="3" a="1"/>
  <c r="AF387" i="3" s="1"/>
  <c r="AC387" i="3" a="1"/>
  <c r="AC387" i="3" s="1"/>
  <c r="AB387" i="3" a="1"/>
  <c r="AB387" i="3" s="1"/>
  <c r="Y387" i="3" a="1"/>
  <c r="Y387" i="3" s="1"/>
  <c r="AG387" i="3" a="1"/>
  <c r="AG387" i="3" s="1"/>
  <c r="H387" i="3"/>
  <c r="I387" i="3" a="1"/>
  <c r="I387" i="3" s="1"/>
  <c r="Z387" i="3" a="1"/>
  <c r="Z387" i="3" s="1"/>
  <c r="D387" i="3" a="1"/>
  <c r="D387" i="3" s="1"/>
  <c r="AA387" i="3" a="1"/>
  <c r="AA387" i="3" s="1"/>
  <c r="AC225" i="3" a="1"/>
  <c r="AC225" i="3" s="1"/>
  <c r="AB225" i="3" a="1"/>
  <c r="AB225" i="3" s="1"/>
  <c r="AA225" i="3" a="1"/>
  <c r="AA225" i="3" s="1"/>
  <c r="Z225" i="3" a="1"/>
  <c r="Z225" i="3" s="1"/>
  <c r="Y225" i="3" a="1"/>
  <c r="Y225" i="3" s="1"/>
  <c r="AG225" i="3" a="1"/>
  <c r="AG225" i="3" s="1"/>
  <c r="H225" i="3"/>
  <c r="I225" i="3" a="1"/>
  <c r="I225" i="3" s="1"/>
  <c r="AF225" i="3" a="1"/>
  <c r="AF225" i="3" s="1"/>
  <c r="D225" i="3" a="1"/>
  <c r="D225" i="3" s="1"/>
  <c r="Y382" i="3" a="1"/>
  <c r="Y382" i="3" s="1"/>
  <c r="AG382" i="3" a="1"/>
  <c r="AG382" i="3" s="1"/>
  <c r="D382" i="3" a="1"/>
  <c r="D382" i="3" s="1"/>
  <c r="AF382" i="3" a="1"/>
  <c r="AF382" i="3" s="1"/>
  <c r="H382" i="3"/>
  <c r="I382" i="3" a="1"/>
  <c r="I382" i="3" s="1"/>
  <c r="AC382" i="3" a="1"/>
  <c r="AC382" i="3" s="1"/>
  <c r="AB382" i="3" a="1"/>
  <c r="AB382" i="3" s="1"/>
  <c r="AA382" i="3" a="1"/>
  <c r="AA382" i="3" s="1"/>
  <c r="Z382" i="3" a="1"/>
  <c r="Z382" i="3" s="1"/>
  <c r="Y215" i="3" a="1"/>
  <c r="Y215" i="3" s="1"/>
  <c r="U215" i="3" a="1"/>
  <c r="U215" i="3" s="1"/>
  <c r="Z215" i="3" a="1"/>
  <c r="Z215" i="3" s="1"/>
  <c r="G215" i="3" a="1"/>
  <c r="G215" i="3" s="1"/>
  <c r="F215" i="3" a="1"/>
  <c r="F215" i="3" s="1"/>
  <c r="AG215" i="3" a="1"/>
  <c r="AG215" i="3" s="1"/>
  <c r="I215" i="3" a="1"/>
  <c r="I215" i="3" s="1"/>
  <c r="AF215" i="3" a="1"/>
  <c r="AF215" i="3" s="1"/>
  <c r="H215" i="3"/>
  <c r="D215" i="3" a="1"/>
  <c r="D215" i="3" s="1"/>
  <c r="AA215" i="3" a="1"/>
  <c r="AA215" i="3" s="1"/>
  <c r="AC215" i="3" a="1"/>
  <c r="AC215" i="3" s="1"/>
  <c r="E215" i="3" a="1"/>
  <c r="E215" i="3" s="1"/>
  <c r="AB215" i="3" a="1"/>
  <c r="AB215" i="3" s="1"/>
  <c r="AG198" i="3" a="1"/>
  <c r="AG198" i="3" s="1"/>
  <c r="I198" i="3" a="1"/>
  <c r="I198" i="3" s="1"/>
  <c r="AF198" i="3" a="1"/>
  <c r="AF198" i="3" s="1"/>
  <c r="AA198" i="3" a="1"/>
  <c r="AA198" i="3" s="1"/>
  <c r="D198" i="3" a="1"/>
  <c r="D198" i="3" s="1"/>
  <c r="Z198" i="3" a="1"/>
  <c r="Z198" i="3" s="1"/>
  <c r="Y198" i="3" a="1"/>
  <c r="Y198" i="3" s="1"/>
  <c r="U198" i="3" a="1"/>
  <c r="U198" i="3" s="1"/>
  <c r="AB198" i="3" a="1"/>
  <c r="AB198" i="3" s="1"/>
  <c r="F198" i="3" a="1"/>
  <c r="F198" i="3" s="1"/>
  <c r="E198" i="3" a="1"/>
  <c r="E198" i="3" s="1"/>
  <c r="AC198" i="3" a="1"/>
  <c r="AC198" i="3" s="1"/>
  <c r="H198" i="3"/>
  <c r="G198" i="3" a="1"/>
  <c r="G198" i="3" s="1"/>
  <c r="U191" i="3" a="1"/>
  <c r="U191" i="3" s="1"/>
  <c r="H191" i="3"/>
  <c r="F191" i="3" a="1"/>
  <c r="F191" i="3" s="1"/>
  <c r="AF191" i="3" a="1"/>
  <c r="AF191" i="3" s="1"/>
  <c r="G191" i="3" a="1"/>
  <c r="G191" i="3" s="1"/>
  <c r="Z191" i="3" a="1"/>
  <c r="Z191" i="3" s="1"/>
  <c r="AC191" i="3" a="1"/>
  <c r="AC191" i="3" s="1"/>
  <c r="Y191" i="3" a="1"/>
  <c r="Y191" i="3" s="1"/>
  <c r="D191" i="3" a="1"/>
  <c r="D191" i="3" s="1"/>
  <c r="AB191" i="3" a="1"/>
  <c r="AB191" i="3" s="1"/>
  <c r="AA191" i="3" a="1"/>
  <c r="AA191" i="3" s="1"/>
  <c r="AG191" i="3" a="1"/>
  <c r="AG191" i="3" s="1"/>
  <c r="E191" i="3" a="1"/>
  <c r="E191" i="3" s="1"/>
  <c r="I191" i="3" a="1"/>
  <c r="I191" i="3" s="1"/>
  <c r="AC183" i="3" a="1"/>
  <c r="AC183" i="3" s="1"/>
  <c r="H183" i="3"/>
  <c r="I183" i="3" a="1"/>
  <c r="I183" i="3" s="1"/>
  <c r="AF183" i="3" a="1"/>
  <c r="AF183" i="3" s="1"/>
  <c r="Y183" i="3" a="1"/>
  <c r="Y183" i="3" s="1"/>
  <c r="D183" i="3" a="1"/>
  <c r="D183" i="3" s="1"/>
  <c r="Z183" i="3" a="1"/>
  <c r="Z183" i="3" s="1"/>
  <c r="AA183" i="3" a="1"/>
  <c r="AA183" i="3" s="1"/>
  <c r="AB183" i="3" a="1"/>
  <c r="AB183" i="3" s="1"/>
  <c r="AG183" i="3" a="1"/>
  <c r="AG183" i="3" s="1"/>
  <c r="H372" i="3"/>
  <c r="AB372" i="3" a="1"/>
  <c r="AB372" i="3" s="1"/>
  <c r="D372" i="3" a="1"/>
  <c r="D372" i="3" s="1"/>
  <c r="AA372" i="3" a="1"/>
  <c r="AA372" i="3" s="1"/>
  <c r="Z372" i="3" a="1"/>
  <c r="Z372" i="3" s="1"/>
  <c r="Y372" i="3" a="1"/>
  <c r="Y372" i="3" s="1"/>
  <c r="AG372" i="3" a="1"/>
  <c r="AG372" i="3" s="1"/>
  <c r="AF372" i="3" a="1"/>
  <c r="AF372" i="3" s="1"/>
  <c r="I372" i="3" a="1"/>
  <c r="I372" i="3" s="1"/>
  <c r="AC372" i="3" a="1"/>
  <c r="AC372" i="3" s="1"/>
  <c r="Z367" i="3" a="1"/>
  <c r="Z367" i="3" s="1"/>
  <c r="Y367" i="3" a="1"/>
  <c r="Y367" i="3" s="1"/>
  <c r="AG367" i="3" a="1"/>
  <c r="AG367" i="3" s="1"/>
  <c r="AF367" i="3" a="1"/>
  <c r="AF367" i="3" s="1"/>
  <c r="I367" i="3" a="1"/>
  <c r="I367" i="3" s="1"/>
  <c r="AA367" i="3" a="1"/>
  <c r="AA367" i="3" s="1"/>
  <c r="H367" i="3"/>
  <c r="AC367" i="3" a="1"/>
  <c r="AC367" i="3" s="1"/>
  <c r="AB367" i="3" a="1"/>
  <c r="AB367" i="3" s="1"/>
  <c r="D367" i="3" a="1"/>
  <c r="D367" i="3" s="1"/>
  <c r="Z265" i="3" a="1"/>
  <c r="Z265" i="3" s="1"/>
  <c r="Y265" i="3" a="1"/>
  <c r="Y265" i="3" s="1"/>
  <c r="E265" i="3" a="1"/>
  <c r="E265" i="3" s="1"/>
  <c r="AF265" i="3" a="1"/>
  <c r="AF265" i="3" s="1"/>
  <c r="G265" i="3" a="1"/>
  <c r="G265" i="3" s="1"/>
  <c r="U265" i="3" a="1"/>
  <c r="U265" i="3" s="1"/>
  <c r="AA265" i="3" a="1"/>
  <c r="AA265" i="3" s="1"/>
  <c r="F265" i="3" a="1"/>
  <c r="F265" i="3" s="1"/>
  <c r="AC265" i="3" a="1"/>
  <c r="AC265" i="3" s="1"/>
  <c r="I265" i="3" a="1"/>
  <c r="I265" i="3" s="1"/>
  <c r="AG265" i="3" a="1"/>
  <c r="AG265" i="3" s="1"/>
  <c r="H265" i="3"/>
  <c r="AB265" i="3" a="1"/>
  <c r="AB265" i="3" s="1"/>
  <c r="D265" i="3" a="1"/>
  <c r="D265" i="3" s="1"/>
  <c r="F177" i="3" a="1"/>
  <c r="F177" i="3" s="1"/>
  <c r="AA177" i="3" a="1"/>
  <c r="AA177" i="3" s="1"/>
  <c r="AB177" i="3" a="1"/>
  <c r="AB177" i="3" s="1"/>
  <c r="AC177" i="3" a="1"/>
  <c r="AC177" i="3" s="1"/>
  <c r="D177" i="3" a="1"/>
  <c r="D177" i="3" s="1"/>
  <c r="Z177" i="3" a="1"/>
  <c r="Z177" i="3" s="1"/>
  <c r="Y177" i="3" a="1"/>
  <c r="Y177" i="3" s="1"/>
  <c r="AG177" i="3" a="1"/>
  <c r="AG177" i="3" s="1"/>
  <c r="U177" i="3" a="1"/>
  <c r="U177" i="3" s="1"/>
  <c r="I177" i="3" a="1"/>
  <c r="I177" i="3" s="1"/>
  <c r="AF177" i="3" a="1"/>
  <c r="AF177" i="3" s="1"/>
  <c r="E177" i="3" a="1"/>
  <c r="E177" i="3" s="1"/>
  <c r="H177" i="3"/>
  <c r="G177" i="3" a="1"/>
  <c r="G177" i="3" s="1"/>
  <c r="D169" i="3" a="1"/>
  <c r="D169" i="3" s="1"/>
  <c r="I169" i="3" a="1"/>
  <c r="I169" i="3" s="1"/>
  <c r="U169" i="3" a="1"/>
  <c r="U169" i="3" s="1"/>
  <c r="G169" i="3" a="1"/>
  <c r="G169" i="3" s="1"/>
  <c r="F169" i="3" a="1"/>
  <c r="F169" i="3" s="1"/>
  <c r="AG169" i="3" a="1"/>
  <c r="AG169" i="3" s="1"/>
  <c r="H169" i="3"/>
  <c r="AF169" i="3" a="1"/>
  <c r="AF169" i="3" s="1"/>
  <c r="Z169" i="3" a="1"/>
  <c r="Z169" i="3" s="1"/>
  <c r="Y169" i="3" a="1"/>
  <c r="Y169" i="3" s="1"/>
  <c r="AC169" i="3" a="1"/>
  <c r="AC169" i="3" s="1"/>
  <c r="AB169" i="3" a="1"/>
  <c r="AB169" i="3" s="1"/>
  <c r="E169" i="3" a="1"/>
  <c r="E169" i="3" s="1"/>
  <c r="AA169" i="3" a="1"/>
  <c r="AA169" i="3" s="1"/>
  <c r="AC131" i="3" a="1"/>
  <c r="AC131" i="3" s="1"/>
  <c r="D131" i="3" a="1"/>
  <c r="D131" i="3" s="1"/>
  <c r="AF131" i="3" a="1"/>
  <c r="AF131" i="3" s="1"/>
  <c r="I131" i="3" a="1"/>
  <c r="I131" i="3" s="1"/>
  <c r="H131" i="3"/>
  <c r="AA131" i="3" a="1"/>
  <c r="AA131" i="3" s="1"/>
  <c r="Z131" i="3" a="1"/>
  <c r="Z131" i="3" s="1"/>
  <c r="AG131" i="3" a="1"/>
  <c r="AG131" i="3" s="1"/>
  <c r="Y131" i="3" a="1"/>
  <c r="Y131" i="3" s="1"/>
  <c r="AB131" i="3" a="1"/>
  <c r="AB131" i="3" s="1"/>
  <c r="AC110" i="3" a="1"/>
  <c r="AC110" i="3" s="1"/>
  <c r="Y110" i="3" a="1"/>
  <c r="Y110" i="3" s="1"/>
  <c r="Z110" i="3" a="1"/>
  <c r="Z110" i="3" s="1"/>
  <c r="D110" i="3" a="1"/>
  <c r="D110" i="3" s="1"/>
  <c r="AG110" i="3" a="1"/>
  <c r="AG110" i="3" s="1"/>
  <c r="H110" i="3"/>
  <c r="I110" i="3" a="1"/>
  <c r="I110" i="3" s="1"/>
  <c r="AB110" i="3" a="1"/>
  <c r="AB110" i="3" s="1"/>
  <c r="AF110" i="3" a="1"/>
  <c r="AF110" i="3" s="1"/>
  <c r="AA110" i="3" a="1"/>
  <c r="AA110" i="3" s="1"/>
  <c r="AC348" i="3" a="1"/>
  <c r="AC348" i="3" s="1"/>
  <c r="AG348" i="3" a="1"/>
  <c r="AG348" i="3" s="1"/>
  <c r="I348" i="3" a="1"/>
  <c r="I348" i="3" s="1"/>
  <c r="AF348" i="3" a="1"/>
  <c r="AF348" i="3" s="1"/>
  <c r="Z348" i="3" a="1"/>
  <c r="Z348" i="3" s="1"/>
  <c r="Y348" i="3" a="1"/>
  <c r="Y348" i="3" s="1"/>
  <c r="AB348" i="3" a="1"/>
  <c r="AB348" i="3" s="1"/>
  <c r="AA348" i="3" a="1"/>
  <c r="AA348" i="3" s="1"/>
  <c r="D348" i="3" a="1"/>
  <c r="D348" i="3" s="1"/>
  <c r="H348" i="3"/>
  <c r="AA258" i="3" a="1"/>
  <c r="AA258" i="3" s="1"/>
  <c r="AC258" i="3" a="1"/>
  <c r="AC258" i="3" s="1"/>
  <c r="D258" i="3" a="1"/>
  <c r="D258" i="3" s="1"/>
  <c r="H258" i="3"/>
  <c r="I258" i="3" a="1"/>
  <c r="I258" i="3" s="1"/>
  <c r="AG258" i="3" a="1"/>
  <c r="AG258" i="3" s="1"/>
  <c r="Z258" i="3" a="1"/>
  <c r="Z258" i="3" s="1"/>
  <c r="AF258" i="3" a="1"/>
  <c r="AF258" i="3" s="1"/>
  <c r="Y258" i="3" a="1"/>
  <c r="Y258" i="3" s="1"/>
  <c r="AB258" i="3" a="1"/>
  <c r="AB258" i="3" s="1"/>
  <c r="P320" i="3"/>
  <c r="Y69" i="3" a="1"/>
  <c r="Y69" i="3" s="1"/>
  <c r="AB69" i="3" a="1"/>
  <c r="AB69" i="3" s="1"/>
  <c r="AA69" i="3" a="1"/>
  <c r="AA69" i="3" s="1"/>
  <c r="AG69" i="3" a="1"/>
  <c r="AG69" i="3" s="1"/>
  <c r="I69" i="3" a="1"/>
  <c r="I69" i="3" s="1"/>
  <c r="AF69" i="3" a="1"/>
  <c r="AF69" i="3" s="1"/>
  <c r="H69" i="3"/>
  <c r="D69" i="3" a="1"/>
  <c r="D69" i="3" s="1"/>
  <c r="AC69" i="3" a="1"/>
  <c r="AC69" i="3" s="1"/>
  <c r="Z69" i="3" a="1"/>
  <c r="Z69" i="3" s="1"/>
  <c r="AC349" i="3" a="1"/>
  <c r="AC349" i="3" s="1"/>
  <c r="U349" i="3" a="1"/>
  <c r="U349" i="3" s="1"/>
  <c r="AB349" i="3" a="1"/>
  <c r="AB349" i="3" s="1"/>
  <c r="I349" i="3" a="1"/>
  <c r="I349" i="3" s="1"/>
  <c r="AA349" i="3" a="1"/>
  <c r="AA349" i="3" s="1"/>
  <c r="H349" i="3"/>
  <c r="Z349" i="3" a="1"/>
  <c r="Z349" i="3" s="1"/>
  <c r="G349" i="3" a="1"/>
  <c r="G349" i="3" s="1"/>
  <c r="F349" i="3" a="1"/>
  <c r="F349" i="3" s="1"/>
  <c r="AG349" i="3" a="1"/>
  <c r="AG349" i="3" s="1"/>
  <c r="Y349" i="3" a="1"/>
  <c r="Y349" i="3" s="1"/>
  <c r="AF349" i="3" a="1"/>
  <c r="AF349" i="3" s="1"/>
  <c r="E349" i="3" a="1"/>
  <c r="E349" i="3" s="1"/>
  <c r="P329" i="3"/>
  <c r="H320" i="3"/>
  <c r="U320" i="3" a="1"/>
  <c r="U320" i="3" s="1"/>
  <c r="Y320" i="3" a="1"/>
  <c r="Y320" i="3" s="1"/>
  <c r="G320" i="3" a="1"/>
  <c r="G320" i="3" s="1"/>
  <c r="I320" i="3" a="1"/>
  <c r="I320" i="3" s="1"/>
  <c r="AA320" i="3" a="1"/>
  <c r="AA320" i="3" s="1"/>
  <c r="AB320" i="3" a="1"/>
  <c r="AB320" i="3" s="1"/>
  <c r="E320" i="3" a="1"/>
  <c r="E320" i="3" s="1"/>
  <c r="AG320" i="3" a="1"/>
  <c r="AG320" i="3" s="1"/>
  <c r="AC320" i="3" a="1"/>
  <c r="AC320" i="3" s="1"/>
  <c r="AF320" i="3" a="1"/>
  <c r="AF320" i="3" s="1"/>
  <c r="Z320" i="3" a="1"/>
  <c r="Z320" i="3" s="1"/>
  <c r="F320" i="3" a="1"/>
  <c r="F320" i="3" s="1"/>
  <c r="I28" i="3" a="1"/>
  <c r="I28" i="3" s="1"/>
  <c r="AC28" i="3" a="1"/>
  <c r="AC28" i="3" s="1"/>
  <c r="Y28" i="3" a="1"/>
  <c r="Y28" i="3" s="1"/>
  <c r="AB28" i="3" a="1"/>
  <c r="AB28" i="3" s="1"/>
  <c r="H28" i="3"/>
  <c r="E28" i="3" a="1"/>
  <c r="E28" i="3" s="1"/>
  <c r="Z28" i="3" a="1"/>
  <c r="Z28" i="3" s="1"/>
  <c r="U28" i="3" a="1"/>
  <c r="U28" i="3" s="1"/>
  <c r="AF28" i="3" a="1"/>
  <c r="AF28" i="3" s="1"/>
  <c r="AA28" i="3" a="1"/>
  <c r="AA28" i="3" s="1"/>
  <c r="F28" i="3" a="1"/>
  <c r="F28" i="3" s="1"/>
  <c r="AG28" i="3" a="1"/>
  <c r="AG28" i="3" s="1"/>
  <c r="G28" i="3" a="1"/>
  <c r="G28" i="3" s="1"/>
  <c r="H232" i="3"/>
  <c r="AF232" i="3" a="1"/>
  <c r="AF232" i="3" s="1"/>
  <c r="Z232" i="3" a="1"/>
  <c r="Z232" i="3" s="1"/>
  <c r="AC232" i="3" a="1"/>
  <c r="AC232" i="3" s="1"/>
  <c r="Y232" i="3" a="1"/>
  <c r="Y232" i="3" s="1"/>
  <c r="AB232" i="3" a="1"/>
  <c r="AB232" i="3" s="1"/>
  <c r="AA232" i="3" a="1"/>
  <c r="AA232" i="3" s="1"/>
  <c r="D232" i="3" a="1"/>
  <c r="D232" i="3" s="1"/>
  <c r="AG232" i="3" a="1"/>
  <c r="AG232" i="3" s="1"/>
  <c r="I232" i="3" a="1"/>
  <c r="I232" i="3" s="1"/>
  <c r="H220" i="3"/>
  <c r="AC220" i="3" a="1"/>
  <c r="AC220" i="3" s="1"/>
  <c r="AB220" i="3" a="1"/>
  <c r="AB220" i="3" s="1"/>
  <c r="AA220" i="3" a="1"/>
  <c r="AA220" i="3" s="1"/>
  <c r="D220" i="3" a="1"/>
  <c r="D220" i="3" s="1"/>
  <c r="Z220" i="3" a="1"/>
  <c r="Z220" i="3" s="1"/>
  <c r="Y220" i="3" a="1"/>
  <c r="Y220" i="3" s="1"/>
  <c r="AG220" i="3" a="1"/>
  <c r="AG220" i="3" s="1"/>
  <c r="I220" i="3" a="1"/>
  <c r="I220" i="3" s="1"/>
  <c r="AF220" i="3" a="1"/>
  <c r="AF220" i="3" s="1"/>
  <c r="AA277" i="3" a="1"/>
  <c r="AA277" i="3" s="1"/>
  <c r="Z277" i="3" a="1"/>
  <c r="Z277" i="3" s="1"/>
  <c r="H277" i="3"/>
  <c r="D277" i="3" a="1"/>
  <c r="D277" i="3" s="1"/>
  <c r="Y277" i="3" a="1"/>
  <c r="Y277" i="3" s="1"/>
  <c r="I277" i="3" a="1"/>
  <c r="I277" i="3" s="1"/>
  <c r="AG277" i="3" a="1"/>
  <c r="AG277" i="3" s="1"/>
  <c r="AC277" i="3" a="1"/>
  <c r="AC277" i="3" s="1"/>
  <c r="AF277" i="3" a="1"/>
  <c r="AF277" i="3" s="1"/>
  <c r="AB277" i="3" a="1"/>
  <c r="AB277" i="3" s="1"/>
  <c r="AC197" i="3" a="1"/>
  <c r="AC197" i="3" s="1"/>
  <c r="AB197" i="3" a="1"/>
  <c r="AB197" i="3" s="1"/>
  <c r="AA197" i="3" a="1"/>
  <c r="AA197" i="3" s="1"/>
  <c r="Z197" i="3" a="1"/>
  <c r="Z197" i="3" s="1"/>
  <c r="Y197" i="3" a="1"/>
  <c r="Y197" i="3" s="1"/>
  <c r="AG197" i="3" a="1"/>
  <c r="AG197" i="3" s="1"/>
  <c r="H197" i="3"/>
  <c r="I197" i="3" a="1"/>
  <c r="I197" i="3" s="1"/>
  <c r="AF197" i="3" a="1"/>
  <c r="AF197" i="3" s="1"/>
  <c r="D197" i="3" a="1"/>
  <c r="D197" i="3" s="1"/>
  <c r="AG109" i="3" a="1"/>
  <c r="AG109" i="3" s="1"/>
  <c r="I109" i="3" a="1"/>
  <c r="I109" i="3" s="1"/>
  <c r="AF109" i="3" a="1"/>
  <c r="AF109" i="3" s="1"/>
  <c r="H109" i="3"/>
  <c r="AB109" i="3" a="1"/>
  <c r="AB109" i="3" s="1"/>
  <c r="AC109" i="3" a="1"/>
  <c r="AC109" i="3" s="1"/>
  <c r="Y109" i="3" a="1"/>
  <c r="Y109" i="3" s="1"/>
  <c r="AA109" i="3" a="1"/>
  <c r="AA109" i="3" s="1"/>
  <c r="Z109" i="3" a="1"/>
  <c r="Z109" i="3" s="1"/>
  <c r="D109" i="3" a="1"/>
  <c r="D109" i="3" s="1"/>
  <c r="AA327" i="3" a="1"/>
  <c r="AA327" i="3" s="1"/>
  <c r="AG327" i="3" a="1"/>
  <c r="AG327" i="3" s="1"/>
  <c r="I327" i="3" a="1"/>
  <c r="I327" i="3" s="1"/>
  <c r="E327" i="3" a="1"/>
  <c r="E327" i="3" s="1"/>
  <c r="AF327" i="3" a="1"/>
  <c r="AF327" i="3" s="1"/>
  <c r="G327" i="3" a="1"/>
  <c r="G327" i="3" s="1"/>
  <c r="F327" i="3" a="1"/>
  <c r="F327" i="3" s="1"/>
  <c r="H327" i="3"/>
  <c r="Z327" i="3" a="1"/>
  <c r="Z327" i="3" s="1"/>
  <c r="AC327" i="3" a="1"/>
  <c r="AC327" i="3" s="1"/>
  <c r="Y327" i="3" a="1"/>
  <c r="Y327" i="3" s="1"/>
  <c r="U327" i="3" a="1"/>
  <c r="U327" i="3" s="1"/>
  <c r="AB327" i="3" a="1"/>
  <c r="AB327" i="3" s="1"/>
  <c r="D327" i="3" a="1"/>
  <c r="D327" i="3" s="1"/>
  <c r="AF373" i="3" a="1"/>
  <c r="AF373" i="3" s="1"/>
  <c r="G373" i="3" a="1"/>
  <c r="G373" i="3" s="1"/>
  <c r="AB373" i="3" a="1"/>
  <c r="AB373" i="3" s="1"/>
  <c r="E373" i="3" a="1"/>
  <c r="E373" i="3" s="1"/>
  <c r="AC373" i="3" a="1"/>
  <c r="AC373" i="3" s="1"/>
  <c r="U373" i="3" a="1"/>
  <c r="U373" i="3" s="1"/>
  <c r="Z373" i="3" a="1"/>
  <c r="Z373" i="3" s="1"/>
  <c r="H373" i="3"/>
  <c r="I373" i="3" a="1"/>
  <c r="I373" i="3" s="1"/>
  <c r="AA373" i="3" a="1"/>
  <c r="AA373" i="3" s="1"/>
  <c r="F373" i="3" a="1"/>
  <c r="F373" i="3" s="1"/>
  <c r="AG373" i="3" a="1"/>
  <c r="AG373" i="3" s="1"/>
  <c r="Y373" i="3" a="1"/>
  <c r="Y373" i="3" s="1"/>
  <c r="Z16" i="3" a="1"/>
  <c r="Z16" i="3" s="1"/>
  <c r="AC16" i="3" a="1"/>
  <c r="AC16" i="3" s="1"/>
  <c r="D16" i="3" a="1"/>
  <c r="D16" i="3" s="1"/>
  <c r="G16" i="3" a="1"/>
  <c r="G16" i="3" s="1"/>
  <c r="H16" i="3"/>
  <c r="I16" i="3" a="1"/>
  <c r="I16" i="3" s="1"/>
  <c r="F16" i="3" a="1"/>
  <c r="F16" i="3" s="1"/>
  <c r="AA16" i="3" a="1"/>
  <c r="AA16" i="3" s="1"/>
  <c r="AB16" i="3" a="1"/>
  <c r="AB16" i="3" s="1"/>
  <c r="E16" i="3" a="1"/>
  <c r="E16" i="3" s="1"/>
  <c r="Y16" i="3" a="1"/>
  <c r="Y16" i="3" s="1"/>
  <c r="U16" i="3" a="1"/>
  <c r="U16" i="3" s="1"/>
  <c r="AG16" i="3" a="1"/>
  <c r="AG16" i="3" s="1"/>
  <c r="AF16" i="3" a="1"/>
  <c r="AF16" i="3" s="1"/>
  <c r="AC4" i="3" a="1"/>
  <c r="AC4" i="3" s="1"/>
  <c r="D4" i="3" a="1"/>
  <c r="D4" i="3" s="1"/>
  <c r="C4" i="3"/>
  <c r="AG4" i="3" a="1"/>
  <c r="AG4" i="3" s="1"/>
  <c r="AB4" i="3" a="1"/>
  <c r="AB4" i="3" s="1"/>
  <c r="AF4" i="3" a="1"/>
  <c r="AF4" i="3" s="1"/>
  <c r="U4" i="3" a="1"/>
  <c r="U4" i="3" s="1"/>
  <c r="AA4" i="3" a="1"/>
  <c r="AA4" i="3" s="1"/>
  <c r="H4" i="3"/>
  <c r="Z4" i="3" a="1"/>
  <c r="Z4" i="3" s="1"/>
  <c r="G4" i="3" a="1"/>
  <c r="G4" i="3" s="1"/>
  <c r="Y4" i="3" a="1"/>
  <c r="Y4" i="3" s="1"/>
  <c r="I4" i="3" a="1"/>
  <c r="I4" i="3" s="1"/>
  <c r="AB255" i="3" a="1"/>
  <c r="AB255" i="3" s="1"/>
  <c r="AG255" i="3" a="1"/>
  <c r="AG255" i="3" s="1"/>
  <c r="Z255" i="3" a="1"/>
  <c r="Z255" i="3" s="1"/>
  <c r="Y255" i="3" a="1"/>
  <c r="Y255" i="3" s="1"/>
  <c r="AC255" i="3" a="1"/>
  <c r="AC255" i="3" s="1"/>
  <c r="H255" i="3"/>
  <c r="AA255" i="3" a="1"/>
  <c r="AA255" i="3" s="1"/>
  <c r="AF255" i="3" a="1"/>
  <c r="AF255" i="3" s="1"/>
  <c r="I255" i="3" a="1"/>
  <c r="I255" i="3" s="1"/>
  <c r="D255" i="3" a="1"/>
  <c r="D255" i="3" s="1"/>
  <c r="AA316" i="3" a="1"/>
  <c r="AA316" i="3" s="1"/>
  <c r="AG316" i="3" a="1"/>
  <c r="AG316" i="3" s="1"/>
  <c r="AC316" i="3" a="1"/>
  <c r="AC316" i="3" s="1"/>
  <c r="H316" i="3"/>
  <c r="I316" i="3" a="1"/>
  <c r="I316" i="3" s="1"/>
  <c r="AF316" i="3" a="1"/>
  <c r="AF316" i="3" s="1"/>
  <c r="Z316" i="3" a="1"/>
  <c r="Z316" i="3" s="1"/>
  <c r="Y316" i="3" a="1"/>
  <c r="Y316" i="3" s="1"/>
  <c r="D316" i="3" a="1"/>
  <c r="D316" i="3" s="1"/>
  <c r="AB316" i="3" a="1"/>
  <c r="AB316" i="3" s="1"/>
  <c r="I305" i="3" a="1"/>
  <c r="I305" i="3" s="1"/>
  <c r="AF305" i="3" a="1"/>
  <c r="AF305" i="3" s="1"/>
  <c r="H305" i="3"/>
  <c r="AA305" i="3" a="1"/>
  <c r="AA305" i="3" s="1"/>
  <c r="D305" i="3" a="1"/>
  <c r="D305" i="3" s="1"/>
  <c r="AC305" i="3" a="1"/>
  <c r="AC305" i="3" s="1"/>
  <c r="Z305" i="3" a="1"/>
  <c r="Z305" i="3" s="1"/>
  <c r="Y305" i="3" a="1"/>
  <c r="Y305" i="3" s="1"/>
  <c r="AB305" i="3" a="1"/>
  <c r="AB305" i="3" s="1"/>
  <c r="AG305" i="3" a="1"/>
  <c r="AG305" i="3" s="1"/>
  <c r="F389" i="3" a="1"/>
  <c r="F389" i="3" s="1"/>
  <c r="AG389" i="3" a="1"/>
  <c r="AG389" i="3" s="1"/>
  <c r="Y389" i="3" a="1"/>
  <c r="Y389" i="3" s="1"/>
  <c r="Z389" i="3" a="1"/>
  <c r="Z389" i="3" s="1"/>
  <c r="E389" i="3" a="1"/>
  <c r="E389" i="3" s="1"/>
  <c r="AA389" i="3" a="1"/>
  <c r="AA389" i="3" s="1"/>
  <c r="AC389" i="3" a="1"/>
  <c r="AC389" i="3" s="1"/>
  <c r="U389" i="3" a="1"/>
  <c r="U389" i="3" s="1"/>
  <c r="G389" i="3" a="1"/>
  <c r="G389" i="3" s="1"/>
  <c r="AF389" i="3" a="1"/>
  <c r="AF389" i="3" s="1"/>
  <c r="H389" i="3"/>
  <c r="AB389" i="3" a="1"/>
  <c r="AB389" i="3" s="1"/>
  <c r="I389" i="3" a="1"/>
  <c r="I389" i="3" s="1"/>
  <c r="H377" i="3"/>
  <c r="AC377" i="3" a="1"/>
  <c r="AC377" i="3" s="1"/>
  <c r="E377" i="3" a="1"/>
  <c r="E377" i="3" s="1"/>
  <c r="AB377" i="3" a="1"/>
  <c r="AB377" i="3" s="1"/>
  <c r="AG377" i="3" a="1"/>
  <c r="AG377" i="3" s="1"/>
  <c r="Z377" i="3" a="1"/>
  <c r="Z377" i="3" s="1"/>
  <c r="U377" i="3" a="1"/>
  <c r="U377" i="3" s="1"/>
  <c r="Y377" i="3" a="1"/>
  <c r="Y377" i="3" s="1"/>
  <c r="G377" i="3" a="1"/>
  <c r="G377" i="3" s="1"/>
  <c r="AF377" i="3" a="1"/>
  <c r="AF377" i="3" s="1"/>
  <c r="I377" i="3" a="1"/>
  <c r="I377" i="3" s="1"/>
  <c r="AA377" i="3" a="1"/>
  <c r="AA377" i="3" s="1"/>
  <c r="F377" i="3" a="1"/>
  <c r="F377" i="3" s="1"/>
  <c r="AB339" i="3" a="1"/>
  <c r="AB339" i="3" s="1"/>
  <c r="U339" i="3" a="1"/>
  <c r="U339" i="3" s="1"/>
  <c r="Y339" i="3" a="1"/>
  <c r="Y339" i="3" s="1"/>
  <c r="H339" i="3"/>
  <c r="F339" i="3" a="1"/>
  <c r="F339" i="3" s="1"/>
  <c r="G339" i="3" a="1"/>
  <c r="G339" i="3" s="1"/>
  <c r="Z339" i="3" a="1"/>
  <c r="Z339" i="3" s="1"/>
  <c r="AF339" i="3" a="1"/>
  <c r="AF339" i="3" s="1"/>
  <c r="I339" i="3" a="1"/>
  <c r="I339" i="3" s="1"/>
  <c r="AC339" i="3" a="1"/>
  <c r="AC339" i="3" s="1"/>
  <c r="AG339" i="3" a="1"/>
  <c r="AG339" i="3" s="1"/>
  <c r="AA339" i="3" a="1"/>
  <c r="AA339" i="3" s="1"/>
  <c r="E339" i="3" a="1"/>
  <c r="E339" i="3" s="1"/>
  <c r="AA329" i="3" a="1"/>
  <c r="AA329" i="3" s="1"/>
  <c r="I329" i="3" a="1"/>
  <c r="I329" i="3" s="1"/>
  <c r="U329" i="3" a="1"/>
  <c r="U329" i="3" s="1"/>
  <c r="AB329" i="3" a="1"/>
  <c r="AB329" i="3" s="1"/>
  <c r="AF329" i="3" a="1"/>
  <c r="AF329" i="3" s="1"/>
  <c r="AG329" i="3" a="1"/>
  <c r="AG329" i="3" s="1"/>
  <c r="G329" i="3" a="1"/>
  <c r="G329" i="3" s="1"/>
  <c r="F329" i="3" a="1"/>
  <c r="F329" i="3" s="1"/>
  <c r="E329" i="3" a="1"/>
  <c r="E329" i="3" s="1"/>
  <c r="Z329" i="3" a="1"/>
  <c r="Z329" i="3" s="1"/>
  <c r="AC329" i="3" a="1"/>
  <c r="AC329" i="3" s="1"/>
  <c r="Y329" i="3" a="1"/>
  <c r="Y329" i="3" s="1"/>
  <c r="H329" i="3"/>
  <c r="G172" i="3" a="1"/>
  <c r="G172" i="3" s="1"/>
  <c r="H172" i="3"/>
  <c r="F172" i="3" a="1"/>
  <c r="F172" i="3" s="1"/>
  <c r="AA172" i="3" a="1"/>
  <c r="AA172" i="3" s="1"/>
  <c r="I172" i="3" a="1"/>
  <c r="I172" i="3" s="1"/>
  <c r="AC172" i="3" a="1"/>
  <c r="AC172" i="3" s="1"/>
  <c r="Z172" i="3" a="1"/>
  <c r="Z172" i="3" s="1"/>
  <c r="E172" i="3" a="1"/>
  <c r="E172" i="3" s="1"/>
  <c r="Y172" i="3" a="1"/>
  <c r="Y172" i="3" s="1"/>
  <c r="AG172" i="3" a="1"/>
  <c r="AG172" i="3" s="1"/>
  <c r="AB172" i="3" a="1"/>
  <c r="AB172" i="3" s="1"/>
  <c r="AF172" i="3" a="1"/>
  <c r="AF172" i="3" s="1"/>
  <c r="U172" i="3" a="1"/>
  <c r="U172" i="3" s="1"/>
  <c r="Y48" i="3" a="1"/>
  <c r="Y48" i="3" s="1"/>
  <c r="E48" i="3" a="1"/>
  <c r="E48" i="3" s="1"/>
  <c r="AC48" i="3" a="1"/>
  <c r="AC48" i="3" s="1"/>
  <c r="AB48" i="3" a="1"/>
  <c r="AB48" i="3" s="1"/>
  <c r="U48" i="3" a="1"/>
  <c r="U48" i="3" s="1"/>
  <c r="F48" i="3" a="1"/>
  <c r="F48" i="3" s="1"/>
  <c r="G48" i="3" a="1"/>
  <c r="G48" i="3" s="1"/>
  <c r="AA48" i="3" a="1"/>
  <c r="AA48" i="3" s="1"/>
  <c r="I48" i="3" a="1"/>
  <c r="I48" i="3" s="1"/>
  <c r="H48" i="3"/>
  <c r="AG48" i="3" a="1"/>
  <c r="AG48" i="3" s="1"/>
  <c r="Z48" i="3" a="1"/>
  <c r="Z48" i="3" s="1"/>
  <c r="AF48" i="3" a="1"/>
  <c r="AF48" i="3" s="1"/>
  <c r="AF42" i="3" a="1"/>
  <c r="AF42" i="3" s="1"/>
  <c r="AA42" i="3" a="1"/>
  <c r="AA42" i="3" s="1"/>
  <c r="Z42" i="3" a="1"/>
  <c r="Z42" i="3" s="1"/>
  <c r="E42" i="3" a="1"/>
  <c r="E42" i="3" s="1"/>
  <c r="Y42" i="3" a="1"/>
  <c r="Y42" i="3" s="1"/>
  <c r="U42" i="3" a="1"/>
  <c r="U42" i="3" s="1"/>
  <c r="G42" i="3" a="1"/>
  <c r="G42" i="3" s="1"/>
  <c r="AC42" i="3" a="1"/>
  <c r="AC42" i="3" s="1"/>
  <c r="H42" i="3"/>
  <c r="I42" i="3" a="1"/>
  <c r="I42" i="3" s="1"/>
  <c r="F42" i="3" a="1"/>
  <c r="F42" i="3" s="1"/>
  <c r="AG42" i="3" a="1"/>
  <c r="AG42" i="3" s="1"/>
  <c r="AB42" i="3" a="1"/>
  <c r="AB42" i="3" s="1"/>
  <c r="H292" i="3"/>
  <c r="AA292" i="3" a="1"/>
  <c r="AA292" i="3" s="1"/>
  <c r="G292" i="3" a="1"/>
  <c r="G292" i="3" s="1"/>
  <c r="AC292" i="3" a="1"/>
  <c r="AC292" i="3" s="1"/>
  <c r="E292" i="3" a="1"/>
  <c r="E292" i="3" s="1"/>
  <c r="Z292" i="3" a="1"/>
  <c r="Z292" i="3" s="1"/>
  <c r="Y292" i="3" a="1"/>
  <c r="Y292" i="3" s="1"/>
  <c r="U292" i="3" a="1"/>
  <c r="U292" i="3" s="1"/>
  <c r="F292" i="3" a="1"/>
  <c r="F292" i="3" s="1"/>
  <c r="AG292" i="3" a="1"/>
  <c r="AG292" i="3" s="1"/>
  <c r="I292" i="3" a="1"/>
  <c r="I292" i="3" s="1"/>
  <c r="AB292" i="3" a="1"/>
  <c r="AB292" i="3" s="1"/>
  <c r="AF292" i="3" a="1"/>
  <c r="AF292" i="3" s="1"/>
  <c r="AG248" i="3" a="1"/>
  <c r="AG248" i="3" s="1"/>
  <c r="AA248" i="3" a="1"/>
  <c r="AA248" i="3" s="1"/>
  <c r="AB248" i="3" a="1"/>
  <c r="AB248" i="3" s="1"/>
  <c r="H248" i="3"/>
  <c r="D248" i="3" a="1"/>
  <c r="D248" i="3" s="1"/>
  <c r="AC248" i="3" a="1"/>
  <c r="AC248" i="3" s="1"/>
  <c r="Z248" i="3" a="1"/>
  <c r="Z248" i="3" s="1"/>
  <c r="Y248" i="3" a="1"/>
  <c r="Y248" i="3" s="1"/>
  <c r="I248" i="3" a="1"/>
  <c r="I248" i="3" s="1"/>
  <c r="AF248" i="3" a="1"/>
  <c r="AF248" i="3" s="1"/>
  <c r="Z224" i="3" a="1"/>
  <c r="Z224" i="3" s="1"/>
  <c r="AF224" i="3" a="1"/>
  <c r="AF224" i="3" s="1"/>
  <c r="AC224" i="3" a="1"/>
  <c r="AC224" i="3" s="1"/>
  <c r="U224" i="3" a="1"/>
  <c r="U224" i="3" s="1"/>
  <c r="AA224" i="3" a="1"/>
  <c r="AA224" i="3" s="1"/>
  <c r="E224" i="3" a="1"/>
  <c r="E224" i="3" s="1"/>
  <c r="H224" i="3"/>
  <c r="Y224" i="3" a="1"/>
  <c r="Y224" i="3" s="1"/>
  <c r="AB224" i="3" a="1"/>
  <c r="AB224" i="3" s="1"/>
  <c r="G224" i="3" a="1"/>
  <c r="G224" i="3" s="1"/>
  <c r="D224" i="3" a="1"/>
  <c r="D224" i="3" s="1"/>
  <c r="F224" i="3" a="1"/>
  <c r="F224" i="3" s="1"/>
  <c r="AG224" i="3" a="1"/>
  <c r="AG224" i="3" s="1"/>
  <c r="I224" i="3" a="1"/>
  <c r="I224" i="3" s="1"/>
  <c r="AF214" i="3" a="1"/>
  <c r="AF214" i="3" s="1"/>
  <c r="H214" i="3"/>
  <c r="AC214" i="3" a="1"/>
  <c r="AC214" i="3" s="1"/>
  <c r="D214" i="3" a="1"/>
  <c r="D214" i="3" s="1"/>
  <c r="AB214" i="3" a="1"/>
  <c r="AB214" i="3" s="1"/>
  <c r="Z214" i="3" a="1"/>
  <c r="Z214" i="3" s="1"/>
  <c r="Y214" i="3" a="1"/>
  <c r="Y214" i="3" s="1"/>
  <c r="AA214" i="3" a="1"/>
  <c r="AA214" i="3" s="1"/>
  <c r="AG214" i="3" a="1"/>
  <c r="AG214" i="3" s="1"/>
  <c r="I214" i="3" a="1"/>
  <c r="I214" i="3" s="1"/>
  <c r="AA206" i="3" a="1"/>
  <c r="AA206" i="3" s="1"/>
  <c r="AB206" i="3" a="1"/>
  <c r="AB206" i="3" s="1"/>
  <c r="D206" i="3" a="1"/>
  <c r="D206" i="3" s="1"/>
  <c r="Y206" i="3" a="1"/>
  <c r="Y206" i="3" s="1"/>
  <c r="E206" i="3" a="1"/>
  <c r="E206" i="3" s="1"/>
  <c r="G206" i="3" a="1"/>
  <c r="G206" i="3" s="1"/>
  <c r="AG206" i="3" a="1"/>
  <c r="AG206" i="3" s="1"/>
  <c r="U206" i="3" a="1"/>
  <c r="U206" i="3" s="1"/>
  <c r="H206" i="3"/>
  <c r="F206" i="3" a="1"/>
  <c r="F206" i="3" s="1"/>
  <c r="AC206" i="3" a="1"/>
  <c r="AC206" i="3" s="1"/>
  <c r="I206" i="3" a="1"/>
  <c r="I206" i="3" s="1"/>
  <c r="Z206" i="3" a="1"/>
  <c r="Z206" i="3" s="1"/>
  <c r="AF206" i="3" a="1"/>
  <c r="AF206" i="3" s="1"/>
  <c r="Y190" i="3" a="1"/>
  <c r="Y190" i="3" s="1"/>
  <c r="AG190" i="3" a="1"/>
  <c r="AG190" i="3" s="1"/>
  <c r="H190" i="3"/>
  <c r="U190" i="3" a="1"/>
  <c r="U190" i="3" s="1"/>
  <c r="G190" i="3" a="1"/>
  <c r="G190" i="3" s="1"/>
  <c r="AF190" i="3" a="1"/>
  <c r="AF190" i="3" s="1"/>
  <c r="F190" i="3" a="1"/>
  <c r="F190" i="3" s="1"/>
  <c r="I190" i="3" a="1"/>
  <c r="I190" i="3" s="1"/>
  <c r="AB190" i="3" a="1"/>
  <c r="AB190" i="3" s="1"/>
  <c r="AC190" i="3" a="1"/>
  <c r="AC190" i="3" s="1"/>
  <c r="AA190" i="3" a="1"/>
  <c r="AA190" i="3" s="1"/>
  <c r="E190" i="3" a="1"/>
  <c r="E190" i="3" s="1"/>
  <c r="Z190" i="3" a="1"/>
  <c r="Z190" i="3" s="1"/>
  <c r="D190" i="3" a="1"/>
  <c r="D190" i="3" s="1"/>
  <c r="Y182" i="3" a="1"/>
  <c r="Y182" i="3" s="1"/>
  <c r="AG182" i="3" a="1"/>
  <c r="AG182" i="3" s="1"/>
  <c r="AF182" i="3" a="1"/>
  <c r="AF182" i="3" s="1"/>
  <c r="H182" i="3"/>
  <c r="AB182" i="3" a="1"/>
  <c r="AB182" i="3" s="1"/>
  <c r="AA182" i="3" a="1"/>
  <c r="AA182" i="3" s="1"/>
  <c r="I182" i="3" a="1"/>
  <c r="I182" i="3" s="1"/>
  <c r="AC182" i="3" a="1"/>
  <c r="AC182" i="3" s="1"/>
  <c r="D182" i="3" a="1"/>
  <c r="D182" i="3" s="1"/>
  <c r="Z182" i="3" a="1"/>
  <c r="Z182" i="3" s="1"/>
  <c r="AF365" i="3" a="1"/>
  <c r="AF365" i="3" s="1"/>
  <c r="H365" i="3"/>
  <c r="I365" i="3" a="1"/>
  <c r="I365" i="3" s="1"/>
  <c r="AC365" i="3" a="1"/>
  <c r="AC365" i="3" s="1"/>
  <c r="Z365" i="3" a="1"/>
  <c r="Z365" i="3" s="1"/>
  <c r="AB365" i="3" a="1"/>
  <c r="AB365" i="3" s="1"/>
  <c r="D365" i="3" a="1"/>
  <c r="D365" i="3" s="1"/>
  <c r="Y365" i="3" a="1"/>
  <c r="Y365" i="3" s="1"/>
  <c r="AA365" i="3" a="1"/>
  <c r="AA365" i="3" s="1"/>
  <c r="AG365" i="3" a="1"/>
  <c r="AG365" i="3" s="1"/>
  <c r="AA264" i="3" a="1"/>
  <c r="AA264" i="3" s="1"/>
  <c r="Z264" i="3" a="1"/>
  <c r="Z264" i="3" s="1"/>
  <c r="Y264" i="3" a="1"/>
  <c r="Y264" i="3" s="1"/>
  <c r="AF264" i="3" a="1"/>
  <c r="AF264" i="3" s="1"/>
  <c r="AC264" i="3" a="1"/>
  <c r="AC264" i="3" s="1"/>
  <c r="H264" i="3"/>
  <c r="I264" i="3" a="1"/>
  <c r="I264" i="3" s="1"/>
  <c r="AG264" i="3" a="1"/>
  <c r="AG264" i="3" s="1"/>
  <c r="AB264" i="3" a="1"/>
  <c r="AB264" i="3" s="1"/>
  <c r="D264" i="3" a="1"/>
  <c r="D264" i="3" s="1"/>
  <c r="Y168" i="3" a="1"/>
  <c r="Y168" i="3" s="1"/>
  <c r="AB168" i="3" a="1"/>
  <c r="AB168" i="3" s="1"/>
  <c r="U168" i="3" a="1"/>
  <c r="U168" i="3" s="1"/>
  <c r="G168" i="3" a="1"/>
  <c r="G168" i="3" s="1"/>
  <c r="AA168" i="3" a="1"/>
  <c r="AA168" i="3" s="1"/>
  <c r="E168" i="3" a="1"/>
  <c r="E168" i="3" s="1"/>
  <c r="I168" i="3" a="1"/>
  <c r="I168" i="3" s="1"/>
  <c r="AG168" i="3" a="1"/>
  <c r="AG168" i="3" s="1"/>
  <c r="AF168" i="3" a="1"/>
  <c r="AF168" i="3" s="1"/>
  <c r="F168" i="3" a="1"/>
  <c r="F168" i="3" s="1"/>
  <c r="H168" i="3"/>
  <c r="AC168" i="3" a="1"/>
  <c r="AC168" i="3" s="1"/>
  <c r="D168" i="3" a="1"/>
  <c r="D168" i="3" s="1"/>
  <c r="Z168" i="3" a="1"/>
  <c r="Z168" i="3" s="1"/>
  <c r="AC140" i="3" a="1"/>
  <c r="AC140" i="3" s="1"/>
  <c r="AF140" i="3" a="1"/>
  <c r="AF140" i="3" s="1"/>
  <c r="AA140" i="3" a="1"/>
  <c r="AA140" i="3" s="1"/>
  <c r="H140" i="3"/>
  <c r="I140" i="3" a="1"/>
  <c r="I140" i="3" s="1"/>
  <c r="F140" i="3" a="1"/>
  <c r="F140" i="3" s="1"/>
  <c r="D140" i="3" a="1"/>
  <c r="D140" i="3" s="1"/>
  <c r="AB140" i="3" a="1"/>
  <c r="AB140" i="3" s="1"/>
  <c r="AG140" i="3" a="1"/>
  <c r="AG140" i="3" s="1"/>
  <c r="Z140" i="3" a="1"/>
  <c r="Z140" i="3" s="1"/>
  <c r="Y140" i="3" a="1"/>
  <c r="Y140" i="3" s="1"/>
  <c r="AB116" i="3" a="1"/>
  <c r="AB116" i="3" s="1"/>
  <c r="AA116" i="3" a="1"/>
  <c r="AA116" i="3" s="1"/>
  <c r="AG116" i="3" a="1"/>
  <c r="AG116" i="3" s="1"/>
  <c r="AF116" i="3" a="1"/>
  <c r="AF116" i="3" s="1"/>
  <c r="H116" i="3"/>
  <c r="Y116" i="3" a="1"/>
  <c r="Y116" i="3" s="1"/>
  <c r="AC116" i="3" a="1"/>
  <c r="AC116" i="3" s="1"/>
  <c r="Z116" i="3" a="1"/>
  <c r="Z116" i="3" s="1"/>
  <c r="D116" i="3" a="1"/>
  <c r="D116" i="3" s="1"/>
  <c r="I116" i="3" a="1"/>
  <c r="I116" i="3" s="1"/>
  <c r="Z15" i="3" a="1"/>
  <c r="Z15" i="3" s="1"/>
  <c r="U15" i="3" a="1"/>
  <c r="U15" i="3" s="1"/>
  <c r="Y15" i="3" a="1"/>
  <c r="Y15" i="3" s="1"/>
  <c r="I15" i="3" a="1"/>
  <c r="I15" i="3" s="1"/>
  <c r="AG15" i="3" a="1"/>
  <c r="AG15" i="3" s="1"/>
  <c r="H15" i="3"/>
  <c r="G15" i="3" a="1"/>
  <c r="G15" i="3" s="1"/>
  <c r="AF15" i="3" a="1"/>
  <c r="AF15" i="3" s="1"/>
  <c r="AB15" i="3" a="1"/>
  <c r="AB15" i="3" s="1"/>
  <c r="D15" i="3" a="1"/>
  <c r="D15" i="3" s="1"/>
  <c r="AC15" i="3" a="1"/>
  <c r="AC15" i="3" s="1"/>
  <c r="AA15" i="3" a="1"/>
  <c r="AA15" i="3" s="1"/>
  <c r="Y254" i="3" a="1"/>
  <c r="Y254" i="3" s="1"/>
  <c r="D254" i="3" a="1"/>
  <c r="D254" i="3" s="1"/>
  <c r="AB254" i="3" a="1"/>
  <c r="AB254" i="3" s="1"/>
  <c r="AA254" i="3" a="1"/>
  <c r="AA254" i="3" s="1"/>
  <c r="F254" i="3" a="1"/>
  <c r="F254" i="3" s="1"/>
  <c r="AG254" i="3" a="1"/>
  <c r="AG254" i="3" s="1"/>
  <c r="U254" i="3" a="1"/>
  <c r="U254" i="3" s="1"/>
  <c r="G254" i="3" a="1"/>
  <c r="G254" i="3" s="1"/>
  <c r="H254" i="3"/>
  <c r="I254" i="3" a="1"/>
  <c r="I254" i="3" s="1"/>
  <c r="AF254" i="3" a="1"/>
  <c r="AF254" i="3" s="1"/>
  <c r="AC254" i="3" a="1"/>
  <c r="AC254" i="3" s="1"/>
  <c r="Z254" i="3" a="1"/>
  <c r="Z254" i="3" s="1"/>
  <c r="E254" i="3" a="1"/>
  <c r="E254" i="3" s="1"/>
  <c r="Z304" i="3" a="1"/>
  <c r="Z304" i="3" s="1"/>
  <c r="D304" i="3" a="1"/>
  <c r="D304" i="3" s="1"/>
  <c r="Y304" i="3" a="1"/>
  <c r="Y304" i="3" s="1"/>
  <c r="AB304" i="3" a="1"/>
  <c r="AB304" i="3" s="1"/>
  <c r="AA304" i="3" a="1"/>
  <c r="AA304" i="3" s="1"/>
  <c r="AG304" i="3" a="1"/>
  <c r="AG304" i="3" s="1"/>
  <c r="I304" i="3" a="1"/>
  <c r="I304" i="3" s="1"/>
  <c r="AF304" i="3" a="1"/>
  <c r="AF304" i="3" s="1"/>
  <c r="H304" i="3"/>
  <c r="AC304" i="3" a="1"/>
  <c r="AC304" i="3" s="1"/>
  <c r="P303" i="3"/>
  <c r="P27" i="3"/>
  <c r="P56" i="3"/>
  <c r="P45" i="3"/>
  <c r="P384" i="3"/>
  <c r="AF22" i="3" a="1"/>
  <c r="AF22" i="3" s="1"/>
  <c r="G22" i="3" a="1"/>
  <c r="G22" i="3" s="1"/>
  <c r="AB22" i="3" a="1"/>
  <c r="AB22" i="3" s="1"/>
  <c r="Y22" i="3" a="1"/>
  <c r="Y22" i="3" s="1"/>
  <c r="E22" i="3" a="1"/>
  <c r="E22" i="3" s="1"/>
  <c r="Z22" i="3" a="1"/>
  <c r="Z22" i="3" s="1"/>
  <c r="U22" i="3" a="1"/>
  <c r="U22" i="3" s="1"/>
  <c r="AA22" i="3" a="1"/>
  <c r="AA22" i="3" s="1"/>
  <c r="F22" i="3" a="1"/>
  <c r="F22" i="3" s="1"/>
  <c r="AC22" i="3" a="1"/>
  <c r="AC22" i="3" s="1"/>
  <c r="H22" i="3"/>
  <c r="I22" i="3" a="1"/>
  <c r="I22" i="3" s="1"/>
  <c r="AG22" i="3" a="1"/>
  <c r="AG22" i="3" s="1"/>
  <c r="G299" i="3" a="1"/>
  <c r="G299" i="3" s="1"/>
  <c r="AF299" i="3" a="1"/>
  <c r="AF299" i="3" s="1"/>
  <c r="H299" i="3"/>
  <c r="AG299" i="3" a="1"/>
  <c r="AG299" i="3" s="1"/>
  <c r="Z299" i="3" a="1"/>
  <c r="Z299" i="3" s="1"/>
  <c r="Y299" i="3" a="1"/>
  <c r="Y299" i="3" s="1"/>
  <c r="U299" i="3" a="1"/>
  <c r="U299" i="3" s="1"/>
  <c r="AA299" i="3" a="1"/>
  <c r="AA299" i="3" s="1"/>
  <c r="E299" i="3" a="1"/>
  <c r="E299" i="3" s="1"/>
  <c r="I299" i="3" a="1"/>
  <c r="I299" i="3" s="1"/>
  <c r="AB299" i="3" a="1"/>
  <c r="AB299" i="3" s="1"/>
  <c r="AC299" i="3" a="1"/>
  <c r="AC299" i="3" s="1"/>
  <c r="F299" i="3" a="1"/>
  <c r="F299" i="3" s="1"/>
  <c r="D247" i="3" a="1"/>
  <c r="D247" i="3" s="1"/>
  <c r="AA247" i="3" a="1"/>
  <c r="AA247" i="3" s="1"/>
  <c r="AB247" i="3" a="1"/>
  <c r="AB247" i="3" s="1"/>
  <c r="Y247" i="3" a="1"/>
  <c r="Y247" i="3" s="1"/>
  <c r="AC247" i="3" a="1"/>
  <c r="AC247" i="3" s="1"/>
  <c r="Z247" i="3" a="1"/>
  <c r="Z247" i="3" s="1"/>
  <c r="AF247" i="3" a="1"/>
  <c r="AF247" i="3" s="1"/>
  <c r="H247" i="3"/>
  <c r="I247" i="3" a="1"/>
  <c r="I247" i="3" s="1"/>
  <c r="AG247" i="3" a="1"/>
  <c r="AG247" i="3" s="1"/>
  <c r="H223" i="3"/>
  <c r="AC223" i="3" a="1"/>
  <c r="AC223" i="3" s="1"/>
  <c r="E223" i="3" a="1"/>
  <c r="E223" i="3" s="1"/>
  <c r="Y223" i="3" a="1"/>
  <c r="Y223" i="3" s="1"/>
  <c r="AA223" i="3" a="1"/>
  <c r="AA223" i="3" s="1"/>
  <c r="I223" i="3" a="1"/>
  <c r="I223" i="3" s="1"/>
  <c r="D223" i="3" a="1"/>
  <c r="D223" i="3" s="1"/>
  <c r="G223" i="3" a="1"/>
  <c r="G223" i="3" s="1"/>
  <c r="U223" i="3" a="1"/>
  <c r="U223" i="3" s="1"/>
  <c r="F223" i="3" a="1"/>
  <c r="F223" i="3" s="1"/>
  <c r="Z223" i="3" a="1"/>
  <c r="Z223" i="3" s="1"/>
  <c r="AG223" i="3" a="1"/>
  <c r="AG223" i="3" s="1"/>
  <c r="AB223" i="3" a="1"/>
  <c r="AB223" i="3" s="1"/>
  <c r="AF223" i="3" a="1"/>
  <c r="AF223" i="3" s="1"/>
  <c r="D400" i="3" a="1"/>
  <c r="D400" i="3" s="1"/>
  <c r="AG400" i="3" a="1"/>
  <c r="AG400" i="3" s="1"/>
  <c r="AA400" i="3" a="1"/>
  <c r="AA400" i="3" s="1"/>
  <c r="H400" i="3"/>
  <c r="AC400" i="3" a="1"/>
  <c r="AC400" i="3" s="1"/>
  <c r="I400" i="3" a="1"/>
  <c r="I400" i="3" s="1"/>
  <c r="AB400" i="3" a="1"/>
  <c r="AB400" i="3" s="1"/>
  <c r="AF400" i="3" a="1"/>
  <c r="AF400" i="3" s="1"/>
  <c r="Y400" i="3" a="1"/>
  <c r="Y400" i="3" s="1"/>
  <c r="Z400" i="3" a="1"/>
  <c r="Z400" i="3" s="1"/>
  <c r="AC205" i="3" a="1"/>
  <c r="AC205" i="3" s="1"/>
  <c r="I205" i="3" a="1"/>
  <c r="I205" i="3" s="1"/>
  <c r="AG205" i="3" a="1"/>
  <c r="AG205" i="3" s="1"/>
  <c r="H205" i="3"/>
  <c r="AF205" i="3" a="1"/>
  <c r="AF205" i="3" s="1"/>
  <c r="AA205" i="3" a="1"/>
  <c r="AA205" i="3" s="1"/>
  <c r="D205" i="3" a="1"/>
  <c r="D205" i="3" s="1"/>
  <c r="Z205" i="3" a="1"/>
  <c r="Z205" i="3" s="1"/>
  <c r="Y205" i="3" a="1"/>
  <c r="Y205" i="3" s="1"/>
  <c r="AB205" i="3" a="1"/>
  <c r="AB205" i="3" s="1"/>
  <c r="Z196" i="3" a="1"/>
  <c r="Z196" i="3" s="1"/>
  <c r="AA196" i="3" a="1"/>
  <c r="AA196" i="3" s="1"/>
  <c r="Y196" i="3" a="1"/>
  <c r="Y196" i="3" s="1"/>
  <c r="AG196" i="3" a="1"/>
  <c r="AG196" i="3" s="1"/>
  <c r="AF196" i="3" a="1"/>
  <c r="AF196" i="3" s="1"/>
  <c r="H196" i="3"/>
  <c r="I196" i="3" a="1"/>
  <c r="I196" i="3" s="1"/>
  <c r="AC196" i="3" a="1"/>
  <c r="AC196" i="3" s="1"/>
  <c r="AB196" i="3" a="1"/>
  <c r="AB196" i="3" s="1"/>
  <c r="D196" i="3" a="1"/>
  <c r="D196" i="3" s="1"/>
  <c r="H362" i="3"/>
  <c r="AG362" i="3" a="1"/>
  <c r="AG362" i="3" s="1"/>
  <c r="F362" i="3" a="1"/>
  <c r="F362" i="3" s="1"/>
  <c r="AC362" i="3" a="1"/>
  <c r="AC362" i="3" s="1"/>
  <c r="I362" i="3" a="1"/>
  <c r="I362" i="3" s="1"/>
  <c r="AF362" i="3" a="1"/>
  <c r="AF362" i="3" s="1"/>
  <c r="Y362" i="3" a="1"/>
  <c r="Y362" i="3" s="1"/>
  <c r="Z362" i="3" a="1"/>
  <c r="Z362" i="3" s="1"/>
  <c r="D362" i="3" a="1"/>
  <c r="D362" i="3" s="1"/>
  <c r="AA362" i="3" a="1"/>
  <c r="AA362" i="3" s="1"/>
  <c r="AB362" i="3" a="1"/>
  <c r="AB362" i="3" s="1"/>
  <c r="Y147" i="3" a="1"/>
  <c r="Y147" i="3" s="1"/>
  <c r="D147" i="3" a="1"/>
  <c r="D147" i="3" s="1"/>
  <c r="AA147" i="3" a="1"/>
  <c r="AA147" i="3" s="1"/>
  <c r="AB147" i="3" a="1"/>
  <c r="AB147" i="3" s="1"/>
  <c r="AG147" i="3" a="1"/>
  <c r="AG147" i="3" s="1"/>
  <c r="AC147" i="3" a="1"/>
  <c r="AC147" i="3" s="1"/>
  <c r="I147" i="3" a="1"/>
  <c r="I147" i="3" s="1"/>
  <c r="AF147" i="3" a="1"/>
  <c r="AF147" i="3" s="1"/>
  <c r="H147" i="3"/>
  <c r="Z147" i="3" a="1"/>
  <c r="Z147" i="3" s="1"/>
  <c r="AC99" i="3" a="1"/>
  <c r="AC99" i="3" s="1"/>
  <c r="H99" i="3"/>
  <c r="I99" i="3" a="1"/>
  <c r="I99" i="3" s="1"/>
  <c r="AG99" i="3" a="1"/>
  <c r="AG99" i="3" s="1"/>
  <c r="AA99" i="3" a="1"/>
  <c r="AA99" i="3" s="1"/>
  <c r="D99" i="3" a="1"/>
  <c r="D99" i="3" s="1"/>
  <c r="AB99" i="3" a="1"/>
  <c r="AB99" i="3" s="1"/>
  <c r="Z99" i="3" a="1"/>
  <c r="Z99" i="3" s="1"/>
  <c r="Y99" i="3" a="1"/>
  <c r="Y99" i="3" s="1"/>
  <c r="AF99" i="3" a="1"/>
  <c r="AF99" i="3" s="1"/>
  <c r="H332" i="3"/>
  <c r="I332" i="3" a="1"/>
  <c r="I332" i="3" s="1"/>
  <c r="AC332" i="3" a="1"/>
  <c r="AC332" i="3" s="1"/>
  <c r="Z332" i="3" a="1"/>
  <c r="Z332" i="3" s="1"/>
  <c r="Y332" i="3" a="1"/>
  <c r="Y332" i="3" s="1"/>
  <c r="D332" i="3" a="1"/>
  <c r="D332" i="3" s="1"/>
  <c r="AB332" i="3" a="1"/>
  <c r="AB332" i="3" s="1"/>
  <c r="AA332" i="3" a="1"/>
  <c r="AA332" i="3" s="1"/>
  <c r="AG332" i="3" a="1"/>
  <c r="AG332" i="3" s="1"/>
  <c r="AF332" i="3" a="1"/>
  <c r="AF332" i="3" s="1"/>
  <c r="AA77" i="3" a="1"/>
  <c r="AA77" i="3" s="1"/>
  <c r="D77" i="3" a="1"/>
  <c r="D77" i="3" s="1"/>
  <c r="AC77" i="3" a="1"/>
  <c r="AC77" i="3" s="1"/>
  <c r="Z77" i="3" a="1"/>
  <c r="Z77" i="3" s="1"/>
  <c r="Y77" i="3" a="1"/>
  <c r="Y77" i="3" s="1"/>
  <c r="H77" i="3"/>
  <c r="AG77" i="3" a="1"/>
  <c r="AG77" i="3" s="1"/>
  <c r="I77" i="3" a="1"/>
  <c r="I77" i="3" s="1"/>
  <c r="AF77" i="3" a="1"/>
  <c r="AF77" i="3" s="1"/>
  <c r="AB77" i="3" a="1"/>
  <c r="AB77" i="3" s="1"/>
  <c r="AF56" i="3" a="1"/>
  <c r="AF56" i="3" s="1"/>
  <c r="F56" i="3" a="1"/>
  <c r="F56" i="3" s="1"/>
  <c r="U56" i="3" a="1"/>
  <c r="U56" i="3" s="1"/>
  <c r="I56" i="3" a="1"/>
  <c r="I56" i="3" s="1"/>
  <c r="AB56" i="3" a="1"/>
  <c r="AB56" i="3" s="1"/>
  <c r="E56" i="3" a="1"/>
  <c r="E56" i="3" s="1"/>
  <c r="H56" i="3"/>
  <c r="AG56" i="3" a="1"/>
  <c r="AG56" i="3" s="1"/>
  <c r="G56" i="3" a="1"/>
  <c r="G56" i="3" s="1"/>
  <c r="Y56" i="3" a="1"/>
  <c r="Y56" i="3" s="1"/>
  <c r="AA56" i="3" a="1"/>
  <c r="AA56" i="3" s="1"/>
  <c r="AC56" i="3" a="1"/>
  <c r="AC56" i="3" s="1"/>
  <c r="Z56" i="3" a="1"/>
  <c r="Z56" i="3" s="1"/>
  <c r="AF243" i="3" a="1"/>
  <c r="AF243" i="3" s="1"/>
  <c r="H243" i="3"/>
  <c r="AA243" i="3" a="1"/>
  <c r="AA243" i="3" s="1"/>
  <c r="AC243" i="3" a="1"/>
  <c r="AC243" i="3" s="1"/>
  <c r="I243" i="3" a="1"/>
  <c r="I243" i="3" s="1"/>
  <c r="D243" i="3" a="1"/>
  <c r="D243" i="3" s="1"/>
  <c r="AB243" i="3" a="1"/>
  <c r="AB243" i="3" s="1"/>
  <c r="Z243" i="3" a="1"/>
  <c r="Z243" i="3" s="1"/>
  <c r="Y243" i="3" a="1"/>
  <c r="Y243" i="3" s="1"/>
  <c r="AG243" i="3" a="1"/>
  <c r="AG243" i="3" s="1"/>
  <c r="Z319" i="3" a="1"/>
  <c r="Z319" i="3" s="1"/>
  <c r="Y319" i="3" a="1"/>
  <c r="Y319" i="3" s="1"/>
  <c r="E319" i="3" a="1"/>
  <c r="E319" i="3" s="1"/>
  <c r="AC319" i="3" a="1"/>
  <c r="AC319" i="3" s="1"/>
  <c r="AB319" i="3" a="1"/>
  <c r="AB319" i="3" s="1"/>
  <c r="U319" i="3" a="1"/>
  <c r="U319" i="3" s="1"/>
  <c r="G319" i="3" a="1"/>
  <c r="G319" i="3" s="1"/>
  <c r="AA319" i="3" a="1"/>
  <c r="AA319" i="3" s="1"/>
  <c r="I319" i="3" a="1"/>
  <c r="I319" i="3" s="1"/>
  <c r="AF319" i="3" a="1"/>
  <c r="AF319" i="3" s="1"/>
  <c r="H319" i="3"/>
  <c r="F319" i="3" a="1"/>
  <c r="F319" i="3" s="1"/>
  <c r="AG319" i="3" a="1"/>
  <c r="AG319" i="3" s="1"/>
  <c r="I312" i="3" a="1"/>
  <c r="I312" i="3" s="1"/>
  <c r="AF312" i="3" a="1"/>
  <c r="AF312" i="3" s="1"/>
  <c r="Y312" i="3" a="1"/>
  <c r="Y312" i="3" s="1"/>
  <c r="E312" i="3" a="1"/>
  <c r="E312" i="3" s="1"/>
  <c r="AA312" i="3" a="1"/>
  <c r="AA312" i="3" s="1"/>
  <c r="G312" i="3" a="1"/>
  <c r="G312" i="3" s="1"/>
  <c r="F312" i="3" a="1"/>
  <c r="F312" i="3" s="1"/>
  <c r="U312" i="3" a="1"/>
  <c r="U312" i="3" s="1"/>
  <c r="H312" i="3"/>
  <c r="Z312" i="3" a="1"/>
  <c r="Z312" i="3" s="1"/>
  <c r="AC312" i="3" a="1"/>
  <c r="AC312" i="3" s="1"/>
  <c r="AB312" i="3" a="1"/>
  <c r="AB312" i="3" s="1"/>
  <c r="AG312" i="3" a="1"/>
  <c r="AG312" i="3" s="1"/>
  <c r="AC47" i="3" a="1"/>
  <c r="AC47" i="3" s="1"/>
  <c r="U47" i="3" a="1"/>
  <c r="U47" i="3" s="1"/>
  <c r="F47" i="3" a="1"/>
  <c r="F47" i="3" s="1"/>
  <c r="I47" i="3" a="1"/>
  <c r="I47" i="3" s="1"/>
  <c r="AG47" i="3" a="1"/>
  <c r="AG47" i="3" s="1"/>
  <c r="H47" i="3"/>
  <c r="G47" i="3" a="1"/>
  <c r="G47" i="3" s="1"/>
  <c r="AF47" i="3" a="1"/>
  <c r="AF47" i="3" s="1"/>
  <c r="Z47" i="3" a="1"/>
  <c r="Z47" i="3" s="1"/>
  <c r="AA47" i="3" a="1"/>
  <c r="AA47" i="3" s="1"/>
  <c r="Y47" i="3" a="1"/>
  <c r="Y47" i="3" s="1"/>
  <c r="AB47" i="3" a="1"/>
  <c r="AB47" i="3" s="1"/>
  <c r="E47" i="3" a="1"/>
  <c r="E47" i="3" s="1"/>
  <c r="AB32" i="3" a="1"/>
  <c r="AB32" i="3" s="1"/>
  <c r="E32" i="3" a="1"/>
  <c r="E32" i="3" s="1"/>
  <c r="AA32" i="3" a="1"/>
  <c r="AA32" i="3" s="1"/>
  <c r="U32" i="3" a="1"/>
  <c r="U32" i="3" s="1"/>
  <c r="Z32" i="3" a="1"/>
  <c r="Z32" i="3" s="1"/>
  <c r="I32" i="3" a="1"/>
  <c r="I32" i="3" s="1"/>
  <c r="Y32" i="3" a="1"/>
  <c r="Y32" i="3" s="1"/>
  <c r="G32" i="3" a="1"/>
  <c r="G32" i="3" s="1"/>
  <c r="H32" i="3"/>
  <c r="F32" i="3" a="1"/>
  <c r="F32" i="3" s="1"/>
  <c r="AG32" i="3" a="1"/>
  <c r="AG32" i="3" s="1"/>
  <c r="AF32" i="3" a="1"/>
  <c r="AF32" i="3" s="1"/>
  <c r="AC32" i="3" a="1"/>
  <c r="AC32" i="3" s="1"/>
  <c r="H27" i="3"/>
  <c r="E27" i="3" a="1"/>
  <c r="E27" i="3" s="1"/>
  <c r="F27" i="3" a="1"/>
  <c r="F27" i="3" s="1"/>
  <c r="AC27" i="3" a="1"/>
  <c r="AC27" i="3" s="1"/>
  <c r="G27" i="3" a="1"/>
  <c r="G27" i="3" s="1"/>
  <c r="AG27" i="3" a="1"/>
  <c r="AG27" i="3" s="1"/>
  <c r="AF27" i="3" a="1"/>
  <c r="AF27" i="3" s="1"/>
  <c r="AA27" i="3" a="1"/>
  <c r="AA27" i="3" s="1"/>
  <c r="Z27" i="3" a="1"/>
  <c r="Z27" i="3" s="1"/>
  <c r="Y27" i="3" a="1"/>
  <c r="Y27" i="3" s="1"/>
  <c r="U27" i="3" a="1"/>
  <c r="U27" i="3" s="1"/>
  <c r="AB27" i="3" a="1"/>
  <c r="AB27" i="3" s="1"/>
  <c r="I27" i="3" a="1"/>
  <c r="I27" i="3" s="1"/>
  <c r="H283" i="3"/>
  <c r="AG283" i="3" a="1"/>
  <c r="AG283" i="3" s="1"/>
  <c r="AB283" i="3" a="1"/>
  <c r="AB283" i="3" s="1"/>
  <c r="AA283" i="3" a="1"/>
  <c r="AA283" i="3" s="1"/>
  <c r="D283" i="3" a="1"/>
  <c r="D283" i="3" s="1"/>
  <c r="Z283" i="3" a="1"/>
  <c r="Z283" i="3" s="1"/>
  <c r="Y283" i="3" a="1"/>
  <c r="Y283" i="3" s="1"/>
  <c r="AF283" i="3" a="1"/>
  <c r="AF283" i="3" s="1"/>
  <c r="AC283" i="3" a="1"/>
  <c r="AC283" i="3" s="1"/>
  <c r="I283" i="3" a="1"/>
  <c r="I283" i="3" s="1"/>
  <c r="Y231" i="3" a="1"/>
  <c r="Y231" i="3" s="1"/>
  <c r="AC231" i="3" a="1"/>
  <c r="AC231" i="3" s="1"/>
  <c r="AG231" i="3" a="1"/>
  <c r="AG231" i="3" s="1"/>
  <c r="H231" i="3"/>
  <c r="I231" i="3" a="1"/>
  <c r="I231" i="3" s="1"/>
  <c r="AF231" i="3" a="1"/>
  <c r="AF231" i="3" s="1"/>
  <c r="AB231" i="3" a="1"/>
  <c r="AB231" i="3" s="1"/>
  <c r="AA231" i="3" a="1"/>
  <c r="AA231" i="3" s="1"/>
  <c r="D231" i="3" a="1"/>
  <c r="D231" i="3" s="1"/>
  <c r="Z231" i="3" a="1"/>
  <c r="Z231" i="3" s="1"/>
  <c r="H276" i="3"/>
  <c r="D276" i="3" a="1"/>
  <c r="D276" i="3" s="1"/>
  <c r="AA276" i="3" a="1"/>
  <c r="AA276" i="3" s="1"/>
  <c r="Z276" i="3" a="1"/>
  <c r="Z276" i="3" s="1"/>
  <c r="Y276" i="3" a="1"/>
  <c r="Y276" i="3" s="1"/>
  <c r="AC276" i="3" a="1"/>
  <c r="AC276" i="3" s="1"/>
  <c r="AG276" i="3" a="1"/>
  <c r="AG276" i="3" s="1"/>
  <c r="AB276" i="3" a="1"/>
  <c r="AB276" i="3" s="1"/>
  <c r="AF276" i="3" a="1"/>
  <c r="AF276" i="3" s="1"/>
  <c r="I276" i="3" a="1"/>
  <c r="I276" i="3" s="1"/>
  <c r="AB213" i="3" a="1"/>
  <c r="AB213" i="3" s="1"/>
  <c r="Y213" i="3" a="1"/>
  <c r="Y213" i="3" s="1"/>
  <c r="AA213" i="3" a="1"/>
  <c r="AA213" i="3" s="1"/>
  <c r="AC213" i="3" a="1"/>
  <c r="AC213" i="3" s="1"/>
  <c r="H213" i="3"/>
  <c r="I213" i="3" a="1"/>
  <c r="I213" i="3" s="1"/>
  <c r="AF213" i="3" a="1"/>
  <c r="AF213" i="3" s="1"/>
  <c r="Z213" i="3" a="1"/>
  <c r="Z213" i="3" s="1"/>
  <c r="D213" i="3" a="1"/>
  <c r="D213" i="3" s="1"/>
  <c r="AG213" i="3" a="1"/>
  <c r="AG213" i="3" s="1"/>
  <c r="AG189" i="3" a="1"/>
  <c r="AG189" i="3" s="1"/>
  <c r="AF189" i="3" a="1"/>
  <c r="AF189" i="3" s="1"/>
  <c r="I189" i="3" a="1"/>
  <c r="I189" i="3" s="1"/>
  <c r="AA189" i="3" a="1"/>
  <c r="AA189" i="3" s="1"/>
  <c r="H189" i="3"/>
  <c r="Z189" i="3" a="1"/>
  <c r="Z189" i="3" s="1"/>
  <c r="D189" i="3" a="1"/>
  <c r="D189" i="3" s="1"/>
  <c r="Y189" i="3" a="1"/>
  <c r="Y189" i="3" s="1"/>
  <c r="AB189" i="3" a="1"/>
  <c r="AB189" i="3" s="1"/>
  <c r="AC189" i="3" a="1"/>
  <c r="AC189" i="3" s="1"/>
  <c r="AB376" i="3" a="1"/>
  <c r="AB376" i="3" s="1"/>
  <c r="E376" i="3" a="1"/>
  <c r="E376" i="3" s="1"/>
  <c r="AA376" i="3" a="1"/>
  <c r="AA376" i="3" s="1"/>
  <c r="I376" i="3" a="1"/>
  <c r="I376" i="3" s="1"/>
  <c r="AC376" i="3" a="1"/>
  <c r="AC376" i="3" s="1"/>
  <c r="U376" i="3" a="1"/>
  <c r="U376" i="3" s="1"/>
  <c r="G376" i="3" a="1"/>
  <c r="G376" i="3" s="1"/>
  <c r="AG376" i="3" a="1"/>
  <c r="AG376" i="3" s="1"/>
  <c r="H376" i="3"/>
  <c r="F376" i="3" a="1"/>
  <c r="F376" i="3" s="1"/>
  <c r="AF376" i="3" a="1"/>
  <c r="AF376" i="3" s="1"/>
  <c r="Z376" i="3" a="1"/>
  <c r="Z376" i="3" s="1"/>
  <c r="D376" i="3" a="1"/>
  <c r="D376" i="3" s="1"/>
  <c r="Y376" i="3" a="1"/>
  <c r="Y376" i="3" s="1"/>
  <c r="H269" i="3"/>
  <c r="AF269" i="3" a="1"/>
  <c r="AF269" i="3" s="1"/>
  <c r="AB269" i="3" a="1"/>
  <c r="AB269" i="3" s="1"/>
  <c r="D269" i="3" a="1"/>
  <c r="D269" i="3" s="1"/>
  <c r="AA269" i="3" a="1"/>
  <c r="AA269" i="3" s="1"/>
  <c r="Z269" i="3" a="1"/>
  <c r="Z269" i="3" s="1"/>
  <c r="Y269" i="3" a="1"/>
  <c r="Y269" i="3" s="1"/>
  <c r="AG269" i="3" a="1"/>
  <c r="AG269" i="3" s="1"/>
  <c r="I269" i="3" a="1"/>
  <c r="I269" i="3" s="1"/>
  <c r="AC269" i="3" a="1"/>
  <c r="AC269" i="3" s="1"/>
  <c r="Z364" i="3" a="1"/>
  <c r="Z364" i="3" s="1"/>
  <c r="Y364" i="3" a="1"/>
  <c r="Y364" i="3" s="1"/>
  <c r="AF364" i="3" a="1"/>
  <c r="AF364" i="3" s="1"/>
  <c r="AC364" i="3" a="1"/>
  <c r="AC364" i="3" s="1"/>
  <c r="H364" i="3"/>
  <c r="AA364" i="3" a="1"/>
  <c r="AA364" i="3" s="1"/>
  <c r="I364" i="3" a="1"/>
  <c r="I364" i="3" s="1"/>
  <c r="AG364" i="3" a="1"/>
  <c r="AG364" i="3" s="1"/>
  <c r="AB364" i="3" a="1"/>
  <c r="AB364" i="3" s="1"/>
  <c r="D364" i="3" a="1"/>
  <c r="D364" i="3" s="1"/>
  <c r="I89" i="3" a="1"/>
  <c r="I89" i="3" s="1"/>
  <c r="AG89" i="3" a="1"/>
  <c r="AG89" i="3" s="1"/>
  <c r="H89" i="3"/>
  <c r="Z89" i="3" a="1"/>
  <c r="Z89" i="3" s="1"/>
  <c r="AC89" i="3" a="1"/>
  <c r="AC89" i="3" s="1"/>
  <c r="Y89" i="3" a="1"/>
  <c r="Y89" i="3" s="1"/>
  <c r="AF89" i="3" a="1"/>
  <c r="AF89" i="3" s="1"/>
  <c r="D89" i="3" a="1"/>
  <c r="D89" i="3" s="1"/>
  <c r="M89" i="3" s="1" a="1"/>
  <c r="M89" i="3" s="1"/>
  <c r="AB89" i="3" a="1"/>
  <c r="AB89" i="3" s="1"/>
  <c r="E89" i="3" a="1"/>
  <c r="E89" i="3" s="1"/>
  <c r="AA89" i="3" a="1"/>
  <c r="AA89" i="3" s="1"/>
  <c r="U89" i="3" a="1"/>
  <c r="U89" i="3" s="1"/>
  <c r="F89" i="3" a="1"/>
  <c r="F89" i="3" s="1"/>
  <c r="G89" i="3" a="1"/>
  <c r="G89" i="3" s="1"/>
  <c r="Z139" i="3" a="1"/>
  <c r="Z139" i="3" s="1"/>
  <c r="AC139" i="3" a="1"/>
  <c r="AC139" i="3" s="1"/>
  <c r="I139" i="3" a="1"/>
  <c r="I139" i="3" s="1"/>
  <c r="AF139" i="3" a="1"/>
  <c r="AF139" i="3" s="1"/>
  <c r="H139" i="3"/>
  <c r="Y139" i="3" a="1"/>
  <c r="Y139" i="3" s="1"/>
  <c r="D139" i="3" a="1"/>
  <c r="D139" i="3" s="1"/>
  <c r="AB139" i="3" a="1"/>
  <c r="AB139" i="3" s="1"/>
  <c r="AA139" i="3" a="1"/>
  <c r="AA139" i="3" s="1"/>
  <c r="AG139" i="3" a="1"/>
  <c r="AG139" i="3" s="1"/>
  <c r="H128" i="3"/>
  <c r="D128" i="3" a="1"/>
  <c r="D128" i="3" s="1"/>
  <c r="AA128" i="3" a="1"/>
  <c r="AA128" i="3" s="1"/>
  <c r="AC128" i="3" a="1"/>
  <c r="AC128" i="3" s="1"/>
  <c r="Z128" i="3" a="1"/>
  <c r="Z128" i="3" s="1"/>
  <c r="Y128" i="3" a="1"/>
  <c r="Y128" i="3" s="1"/>
  <c r="AF128" i="3" a="1"/>
  <c r="AF128" i="3" s="1"/>
  <c r="I128" i="3" a="1"/>
  <c r="I128" i="3" s="1"/>
  <c r="AG128" i="3" a="1"/>
  <c r="AG128" i="3" s="1"/>
  <c r="AB128" i="3" a="1"/>
  <c r="AB128" i="3" s="1"/>
  <c r="AG115" i="3" a="1"/>
  <c r="AG115" i="3" s="1"/>
  <c r="D115" i="3" a="1"/>
  <c r="D115" i="3" s="1"/>
  <c r="I115" i="3" a="1"/>
  <c r="I115" i="3" s="1"/>
  <c r="AF115" i="3" a="1"/>
  <c r="AF115" i="3" s="1"/>
  <c r="AA115" i="3" a="1"/>
  <c r="AA115" i="3" s="1"/>
  <c r="AC115" i="3" a="1"/>
  <c r="AC115" i="3" s="1"/>
  <c r="H115" i="3"/>
  <c r="AB115" i="3" a="1"/>
  <c r="AB115" i="3" s="1"/>
  <c r="Z115" i="3" a="1"/>
  <c r="Z115" i="3" s="1"/>
  <c r="Y115" i="3" a="1"/>
  <c r="Y115" i="3" s="1"/>
  <c r="H108" i="3"/>
  <c r="AF108" i="3" a="1"/>
  <c r="AF108" i="3" s="1"/>
  <c r="Z108" i="3" a="1"/>
  <c r="Z108" i="3" s="1"/>
  <c r="Y108" i="3" a="1"/>
  <c r="Y108" i="3" s="1"/>
  <c r="D108" i="3" a="1"/>
  <c r="D108" i="3" s="1"/>
  <c r="AA108" i="3" a="1"/>
  <c r="AA108" i="3" s="1"/>
  <c r="AB108" i="3" a="1"/>
  <c r="AB108" i="3" s="1"/>
  <c r="AG108" i="3" a="1"/>
  <c r="AG108" i="3" s="1"/>
  <c r="AC108" i="3" a="1"/>
  <c r="AC108" i="3" s="1"/>
  <c r="I108" i="3" a="1"/>
  <c r="I108" i="3" s="1"/>
  <c r="I342" i="3" a="1"/>
  <c r="I342" i="3" s="1"/>
  <c r="AC342" i="3" a="1"/>
  <c r="AC342" i="3" s="1"/>
  <c r="Z342" i="3" a="1"/>
  <c r="Z342" i="3" s="1"/>
  <c r="D342" i="3" a="1"/>
  <c r="D342" i="3" s="1"/>
  <c r="Y342" i="3" a="1"/>
  <c r="Y342" i="3" s="1"/>
  <c r="AB342" i="3" a="1"/>
  <c r="AB342" i="3" s="1"/>
  <c r="AG342" i="3" a="1"/>
  <c r="AG342" i="3" s="1"/>
  <c r="AA342" i="3" a="1"/>
  <c r="AA342" i="3" s="1"/>
  <c r="AF342" i="3" a="1"/>
  <c r="AF342" i="3" s="1"/>
  <c r="H342" i="3"/>
  <c r="AA94" i="3" a="1"/>
  <c r="AA94" i="3" s="1"/>
  <c r="AF94" i="3" a="1"/>
  <c r="AF94" i="3" s="1"/>
  <c r="D94" i="3" a="1"/>
  <c r="D94" i="3" s="1"/>
  <c r="H94" i="3"/>
  <c r="I94" i="3" a="1"/>
  <c r="I94" i="3" s="1"/>
  <c r="AC94" i="3" a="1"/>
  <c r="AC94" i="3" s="1"/>
  <c r="Z94" i="3" a="1"/>
  <c r="Z94" i="3" s="1"/>
  <c r="AG94" i="3" a="1"/>
  <c r="AG94" i="3" s="1"/>
  <c r="Y94" i="3" a="1"/>
  <c r="Y94" i="3" s="1"/>
  <c r="AB94" i="3" a="1"/>
  <c r="AB94" i="3" s="1"/>
  <c r="AB14" i="3" a="1"/>
  <c r="AB14" i="3" s="1"/>
  <c r="AC14" i="3" a="1"/>
  <c r="AC14" i="3" s="1"/>
  <c r="D14" i="3" a="1"/>
  <c r="D14" i="3" s="1"/>
  <c r="AA14" i="3" a="1"/>
  <c r="AA14" i="3" s="1"/>
  <c r="Z14" i="3" a="1"/>
  <c r="Z14" i="3" s="1"/>
  <c r="U14" i="3" a="1"/>
  <c r="U14" i="3" s="1"/>
  <c r="Y14" i="3" a="1"/>
  <c r="Y14" i="3" s="1"/>
  <c r="I14" i="3" a="1"/>
  <c r="I14" i="3" s="1"/>
  <c r="H14" i="3"/>
  <c r="AG14" i="3" a="1"/>
  <c r="AG14" i="3" s="1"/>
  <c r="G14" i="3" a="1"/>
  <c r="G14" i="3" s="1"/>
  <c r="AF14" i="3" a="1"/>
  <c r="AF14" i="3" s="1"/>
  <c r="I253" i="3" a="1"/>
  <c r="I253" i="3" s="1"/>
  <c r="H253" i="3"/>
  <c r="AC253" i="3" a="1"/>
  <c r="AC253" i="3" s="1"/>
  <c r="Z253" i="3" a="1"/>
  <c r="Z253" i="3" s="1"/>
  <c r="D253" i="3" a="1"/>
  <c r="D253" i="3" s="1"/>
  <c r="Y253" i="3" a="1"/>
  <c r="Y253" i="3" s="1"/>
  <c r="AB253" i="3" a="1"/>
  <c r="AB253" i="3" s="1"/>
  <c r="AA253" i="3" a="1"/>
  <c r="AA253" i="3" s="1"/>
  <c r="AG253" i="3" a="1"/>
  <c r="AG253" i="3" s="1"/>
  <c r="AF253" i="3" a="1"/>
  <c r="AF253" i="3" s="1"/>
  <c r="H90" i="3"/>
  <c r="Z90" i="3" a="1"/>
  <c r="Z90" i="3" s="1"/>
  <c r="Y90" i="3" a="1"/>
  <c r="Y90" i="3" s="1"/>
  <c r="D90" i="3" a="1"/>
  <c r="D90" i="3" s="1"/>
  <c r="AB90" i="3" a="1"/>
  <c r="AB90" i="3" s="1"/>
  <c r="AA90" i="3" a="1"/>
  <c r="AA90" i="3" s="1"/>
  <c r="AC90" i="3" a="1"/>
  <c r="AC90" i="3" s="1"/>
  <c r="AG90" i="3" a="1"/>
  <c r="AG90" i="3" s="1"/>
  <c r="I90" i="3" a="1"/>
  <c r="I90" i="3" s="1"/>
  <c r="AF90" i="3" a="1"/>
  <c r="AF90" i="3" s="1"/>
  <c r="I306" i="3" a="1"/>
  <c r="I306" i="3" s="1"/>
  <c r="AF306" i="3" a="1"/>
  <c r="AF306" i="3" s="1"/>
  <c r="AB306" i="3" a="1"/>
  <c r="AB306" i="3" s="1"/>
  <c r="D306" i="3" a="1"/>
  <c r="D306" i="3" s="1"/>
  <c r="AA306" i="3" a="1"/>
  <c r="AA306" i="3" s="1"/>
  <c r="AC306" i="3" a="1"/>
  <c r="AC306" i="3" s="1"/>
  <c r="Z306" i="3" a="1"/>
  <c r="Z306" i="3" s="1"/>
  <c r="Y306" i="3" a="1"/>
  <c r="Y306" i="3" s="1"/>
  <c r="AG306" i="3" a="1"/>
  <c r="AG306" i="3" s="1"/>
  <c r="H306" i="3"/>
  <c r="I58" i="3" a="1"/>
  <c r="I58" i="3" s="1"/>
  <c r="Z58" i="3" a="1"/>
  <c r="Z58" i="3" s="1"/>
  <c r="Y58" i="3" a="1"/>
  <c r="Y58" i="3" s="1"/>
  <c r="H58" i="3"/>
  <c r="D58" i="3" a="1"/>
  <c r="D58" i="3" s="1"/>
  <c r="AB58" i="3" a="1"/>
  <c r="AB58" i="3" s="1"/>
  <c r="AG58" i="3" a="1"/>
  <c r="AG58" i="3" s="1"/>
  <c r="AF58" i="3" a="1"/>
  <c r="AF58" i="3" s="1"/>
  <c r="AA58" i="3" a="1"/>
  <c r="AA58" i="3" s="1"/>
  <c r="AC58" i="3" a="1"/>
  <c r="AC58" i="3" s="1"/>
  <c r="AC384" i="3" a="1"/>
  <c r="AC384" i="3" s="1"/>
  <c r="Z384" i="3" a="1"/>
  <c r="Z384" i="3" s="1"/>
  <c r="AG384" i="3" a="1"/>
  <c r="AG384" i="3" s="1"/>
  <c r="AA384" i="3" a="1"/>
  <c r="AA384" i="3" s="1"/>
  <c r="AB384" i="3" a="1"/>
  <c r="AB384" i="3" s="1"/>
  <c r="E384" i="3" a="1"/>
  <c r="E384" i="3" s="1"/>
  <c r="AF384" i="3" a="1"/>
  <c r="AF384" i="3" s="1"/>
  <c r="F384" i="3" a="1"/>
  <c r="F384" i="3" s="1"/>
  <c r="G384" i="3" a="1"/>
  <c r="G384" i="3" s="1"/>
  <c r="U384" i="3" a="1"/>
  <c r="U384" i="3" s="1"/>
  <c r="H384" i="3"/>
  <c r="Y384" i="3" a="1"/>
  <c r="Y384" i="3" s="1"/>
  <c r="I384" i="3" a="1"/>
  <c r="I384" i="3" s="1"/>
  <c r="H303" i="3"/>
  <c r="AG303" i="3" a="1"/>
  <c r="AG303" i="3" s="1"/>
  <c r="E303" i="3" a="1"/>
  <c r="E303" i="3" s="1"/>
  <c r="F303" i="3" a="1"/>
  <c r="F303" i="3" s="1"/>
  <c r="Y303" i="3" a="1"/>
  <c r="Y303" i="3" s="1"/>
  <c r="AA303" i="3" a="1"/>
  <c r="AA303" i="3" s="1"/>
  <c r="AC303" i="3" a="1"/>
  <c r="AC303" i="3" s="1"/>
  <c r="Z303" i="3" a="1"/>
  <c r="Z303" i="3" s="1"/>
  <c r="U303" i="3" a="1"/>
  <c r="U303" i="3" s="1"/>
  <c r="AF303" i="3" a="1"/>
  <c r="AF303" i="3" s="1"/>
  <c r="G303" i="3" a="1"/>
  <c r="G303" i="3" s="1"/>
  <c r="I303" i="3" a="1"/>
  <c r="I303" i="3" s="1"/>
  <c r="AB303" i="3" a="1"/>
  <c r="AB303" i="3" s="1"/>
  <c r="Z336" i="3" a="1"/>
  <c r="Z336" i="3" s="1"/>
  <c r="AF336" i="3" a="1"/>
  <c r="AF336" i="3" s="1"/>
  <c r="Y336" i="3" a="1"/>
  <c r="Y336" i="3" s="1"/>
  <c r="E336" i="3" a="1"/>
  <c r="E336" i="3" s="1"/>
  <c r="AC336" i="3" a="1"/>
  <c r="AC336" i="3" s="1"/>
  <c r="U336" i="3" a="1"/>
  <c r="U336" i="3" s="1"/>
  <c r="AB336" i="3" a="1"/>
  <c r="AB336" i="3" s="1"/>
  <c r="H336" i="3"/>
  <c r="F336" i="3" a="1"/>
  <c r="F336" i="3" s="1"/>
  <c r="AA336" i="3" a="1"/>
  <c r="AA336" i="3" s="1"/>
  <c r="I336" i="3" a="1"/>
  <c r="I336" i="3" s="1"/>
  <c r="G336" i="3" a="1"/>
  <c r="G336" i="3" s="1"/>
  <c r="AG336" i="3" a="1"/>
  <c r="AG336" i="3" s="1"/>
  <c r="F281" i="3" a="1"/>
  <c r="F281" i="3" s="1"/>
  <c r="H281" i="3"/>
  <c r="AB281" i="3" a="1"/>
  <c r="AB281" i="3" s="1"/>
  <c r="AC281" i="3" a="1"/>
  <c r="AC281" i="3" s="1"/>
  <c r="AA281" i="3" a="1"/>
  <c r="AA281" i="3" s="1"/>
  <c r="Z281" i="3" a="1"/>
  <c r="Z281" i="3" s="1"/>
  <c r="E281" i="3" a="1"/>
  <c r="E281" i="3" s="1"/>
  <c r="Y281" i="3" a="1"/>
  <c r="Y281" i="3" s="1"/>
  <c r="AG281" i="3" a="1"/>
  <c r="AG281" i="3" s="1"/>
  <c r="U281" i="3" a="1"/>
  <c r="U281" i="3" s="1"/>
  <c r="I281" i="3" a="1"/>
  <c r="I281" i="3" s="1"/>
  <c r="AF281" i="3" a="1"/>
  <c r="AF281" i="3" s="1"/>
  <c r="G281" i="3" a="1"/>
  <c r="G281" i="3" s="1"/>
  <c r="AB45" i="3" a="1"/>
  <c r="AB45" i="3" s="1"/>
  <c r="E45" i="3" a="1"/>
  <c r="E45" i="3" s="1"/>
  <c r="F45" i="3" a="1"/>
  <c r="F45" i="3" s="1"/>
  <c r="H45" i="3"/>
  <c r="Y45" i="3" a="1"/>
  <c r="Y45" i="3" s="1"/>
  <c r="U45" i="3" a="1"/>
  <c r="U45" i="3" s="1"/>
  <c r="AF45" i="3" a="1"/>
  <c r="AF45" i="3" s="1"/>
  <c r="I45" i="3" a="1"/>
  <c r="I45" i="3" s="1"/>
  <c r="AG45" i="3" a="1"/>
  <c r="AG45" i="3" s="1"/>
  <c r="G45" i="3" a="1"/>
  <c r="G45" i="3" s="1"/>
  <c r="AC45" i="3" a="1"/>
  <c r="AC45" i="3" s="1"/>
  <c r="Z45" i="3" a="1"/>
  <c r="Z45" i="3" s="1"/>
  <c r="AA45" i="3" a="1"/>
  <c r="AA45" i="3" s="1"/>
  <c r="AF31" i="3" a="1"/>
  <c r="AF31" i="3" s="1"/>
  <c r="H31" i="3"/>
  <c r="F31" i="3" a="1"/>
  <c r="F31" i="3" s="1"/>
  <c r="AA31" i="3" a="1"/>
  <c r="AA31" i="3" s="1"/>
  <c r="Z31" i="3" a="1"/>
  <c r="Z31" i="3" s="1"/>
  <c r="Y31" i="3" a="1"/>
  <c r="Y31" i="3" s="1"/>
  <c r="AB31" i="3" a="1"/>
  <c r="AB31" i="3" s="1"/>
  <c r="E31" i="3" a="1"/>
  <c r="E31" i="3" s="1"/>
  <c r="AC31" i="3" a="1"/>
  <c r="AC31" i="3" s="1"/>
  <c r="U31" i="3" a="1"/>
  <c r="U31" i="3" s="1"/>
  <c r="G31" i="3" a="1"/>
  <c r="G31" i="3" s="1"/>
  <c r="I31" i="3" a="1"/>
  <c r="I31" i="3" s="1"/>
  <c r="AG31" i="3" a="1"/>
  <c r="AG31" i="3" s="1"/>
  <c r="F26" i="3" a="1"/>
  <c r="F26" i="3" s="1"/>
  <c r="AG26" i="3" a="1"/>
  <c r="AG26" i="3" s="1"/>
  <c r="G26" i="3" a="1"/>
  <c r="G26" i="3" s="1"/>
  <c r="AC26" i="3" a="1"/>
  <c r="AC26" i="3" s="1"/>
  <c r="Z26" i="3" a="1"/>
  <c r="Z26" i="3" s="1"/>
  <c r="AF26" i="3" a="1"/>
  <c r="AF26" i="3" s="1"/>
  <c r="Y26" i="3" a="1"/>
  <c r="Y26" i="3" s="1"/>
  <c r="AB26" i="3" a="1"/>
  <c r="AB26" i="3" s="1"/>
  <c r="E26" i="3" a="1"/>
  <c r="E26" i="3" s="1"/>
  <c r="AA26" i="3" a="1"/>
  <c r="AA26" i="3" s="1"/>
  <c r="U26" i="3" a="1"/>
  <c r="U26" i="3" s="1"/>
  <c r="H26" i="3"/>
  <c r="I26" i="3" a="1"/>
  <c r="I26" i="3" s="1"/>
  <c r="I293" i="3" a="1"/>
  <c r="I293" i="3" s="1"/>
  <c r="AG293" i="3" a="1"/>
  <c r="AG293" i="3" s="1"/>
  <c r="G293" i="3" a="1"/>
  <c r="G293" i="3" s="1"/>
  <c r="F293" i="3" a="1"/>
  <c r="F293" i="3" s="1"/>
  <c r="AF293" i="3" a="1"/>
  <c r="AF293" i="3" s="1"/>
  <c r="Y293" i="3" a="1"/>
  <c r="Y293" i="3" s="1"/>
  <c r="AC293" i="3" a="1"/>
  <c r="AC293" i="3" s="1"/>
  <c r="AB293" i="3" a="1"/>
  <c r="AB293" i="3" s="1"/>
  <c r="AA293" i="3" a="1"/>
  <c r="AA293" i="3" s="1"/>
  <c r="E293" i="3" a="1"/>
  <c r="E293" i="3" s="1"/>
  <c r="Z293" i="3" a="1"/>
  <c r="Z293" i="3" s="1"/>
  <c r="U293" i="3" a="1"/>
  <c r="U293" i="3" s="1"/>
  <c r="H293" i="3"/>
  <c r="I298" i="3" a="1"/>
  <c r="I298" i="3" s="1"/>
  <c r="AG298" i="3" a="1"/>
  <c r="AG298" i="3" s="1"/>
  <c r="F298" i="3" a="1"/>
  <c r="F298" i="3" s="1"/>
  <c r="AA298" i="3" a="1"/>
  <c r="AA298" i="3" s="1"/>
  <c r="AF298" i="3" a="1"/>
  <c r="AF298" i="3" s="1"/>
  <c r="G298" i="3" a="1"/>
  <c r="G298" i="3" s="1"/>
  <c r="H298" i="3"/>
  <c r="AC298" i="3" a="1"/>
  <c r="AC298" i="3" s="1"/>
  <c r="AB298" i="3" a="1"/>
  <c r="AB298" i="3" s="1"/>
  <c r="Z298" i="3" a="1"/>
  <c r="Z298" i="3" s="1"/>
  <c r="E298" i="3" a="1"/>
  <c r="E298" i="3" s="1"/>
  <c r="Y298" i="3" a="1"/>
  <c r="Y298" i="3" s="1"/>
  <c r="U298" i="3" a="1"/>
  <c r="U298" i="3" s="1"/>
  <c r="P346" i="3"/>
  <c r="P380" i="3"/>
  <c r="AG282" i="3" a="1"/>
  <c r="AG282" i="3" s="1"/>
  <c r="H282" i="3"/>
  <c r="I282" i="3" a="1"/>
  <c r="I282" i="3" s="1"/>
  <c r="AC282" i="3" a="1"/>
  <c r="AC282" i="3" s="1"/>
  <c r="AA282" i="3" a="1"/>
  <c r="AA282" i="3" s="1"/>
  <c r="AF282" i="3" a="1"/>
  <c r="AF282" i="3" s="1"/>
  <c r="AB282" i="3" a="1"/>
  <c r="AB282" i="3" s="1"/>
  <c r="D282" i="3" a="1"/>
  <c r="D282" i="3" s="1"/>
  <c r="Y282" i="3" a="1"/>
  <c r="Y282" i="3" s="1"/>
  <c r="Z282" i="3" a="1"/>
  <c r="Z282" i="3" s="1"/>
  <c r="Y195" i="3" a="1"/>
  <c r="Y195" i="3" s="1"/>
  <c r="Z195" i="3" a="1"/>
  <c r="Z195" i="3" s="1"/>
  <c r="D195" i="3" a="1"/>
  <c r="D195" i="3" s="1"/>
  <c r="AA195" i="3" a="1"/>
  <c r="AA195" i="3" s="1"/>
  <c r="U195" i="3" a="1"/>
  <c r="U195" i="3" s="1"/>
  <c r="AB195" i="3" a="1"/>
  <c r="AB195" i="3" s="1"/>
  <c r="E195" i="3" a="1"/>
  <c r="E195" i="3" s="1"/>
  <c r="H195" i="3"/>
  <c r="G195" i="3" a="1"/>
  <c r="G195" i="3" s="1"/>
  <c r="AG195" i="3" a="1"/>
  <c r="AG195" i="3" s="1"/>
  <c r="F195" i="3" a="1"/>
  <c r="F195" i="3" s="1"/>
  <c r="AC195" i="3" a="1"/>
  <c r="AC195" i="3" s="1"/>
  <c r="I195" i="3" a="1"/>
  <c r="I195" i="3" s="1"/>
  <c r="AF195" i="3" a="1"/>
  <c r="AF195" i="3" s="1"/>
  <c r="AA378" i="3" a="1"/>
  <c r="AA378" i="3" s="1"/>
  <c r="AC378" i="3" a="1"/>
  <c r="AC378" i="3" s="1"/>
  <c r="H378" i="3"/>
  <c r="I378" i="3" a="1"/>
  <c r="I378" i="3" s="1"/>
  <c r="AF378" i="3" a="1"/>
  <c r="AF378" i="3" s="1"/>
  <c r="Z378" i="3" a="1"/>
  <c r="Z378" i="3" s="1"/>
  <c r="D378" i="3" a="1"/>
  <c r="D378" i="3" s="1"/>
  <c r="Y378" i="3" a="1"/>
  <c r="Y378" i="3" s="1"/>
  <c r="AB378" i="3" a="1"/>
  <c r="AB378" i="3" s="1"/>
  <c r="AG378" i="3" a="1"/>
  <c r="AG378" i="3" s="1"/>
  <c r="AB83" i="3" a="1"/>
  <c r="AB83" i="3" s="1"/>
  <c r="AC83" i="3" a="1"/>
  <c r="AC83" i="3" s="1"/>
  <c r="AG83" i="3" a="1"/>
  <c r="AG83" i="3" s="1"/>
  <c r="AF83" i="3" a="1"/>
  <c r="AF83" i="3" s="1"/>
  <c r="I83" i="3" a="1"/>
  <c r="I83" i="3" s="1"/>
  <c r="AA83" i="3" a="1"/>
  <c r="AA83" i="3" s="1"/>
  <c r="H83" i="3"/>
  <c r="Y83" i="3" a="1"/>
  <c r="Y83" i="3" s="1"/>
  <c r="Z83" i="3" a="1"/>
  <c r="Z83" i="3" s="1"/>
  <c r="D83" i="3" a="1"/>
  <c r="D83" i="3" s="1"/>
  <c r="AB82" i="3" a="1"/>
  <c r="AB82" i="3" s="1"/>
  <c r="AG82" i="3" a="1"/>
  <c r="AG82" i="3" s="1"/>
  <c r="AF82" i="3" a="1"/>
  <c r="AF82" i="3" s="1"/>
  <c r="I82" i="3" a="1"/>
  <c r="I82" i="3" s="1"/>
  <c r="H82" i="3"/>
  <c r="AA82" i="3" a="1"/>
  <c r="AA82" i="3" s="1"/>
  <c r="D82" i="3" a="1"/>
  <c r="D82" i="3" s="1"/>
  <c r="AC82" i="3" a="1"/>
  <c r="AC82" i="3" s="1"/>
  <c r="Z82" i="3" a="1"/>
  <c r="Z82" i="3" s="1"/>
  <c r="Y82" i="3" a="1"/>
  <c r="Y82" i="3" s="1"/>
  <c r="I146" i="3" a="1"/>
  <c r="I146" i="3" s="1"/>
  <c r="AC146" i="3" a="1"/>
  <c r="AC146" i="3" s="1"/>
  <c r="AA146" i="3" a="1"/>
  <c r="AA146" i="3" s="1"/>
  <c r="U146" i="3" a="1"/>
  <c r="U146" i="3" s="1"/>
  <c r="F146" i="3" a="1"/>
  <c r="F146" i="3" s="1"/>
  <c r="D146" i="3" a="1"/>
  <c r="D146" i="3" s="1"/>
  <c r="G146" i="3" a="1"/>
  <c r="G146" i="3" s="1"/>
  <c r="H146" i="3"/>
  <c r="AB146" i="3" a="1"/>
  <c r="AB146" i="3" s="1"/>
  <c r="Z146" i="3" a="1"/>
  <c r="Z146" i="3" s="1"/>
  <c r="AF146" i="3" a="1"/>
  <c r="AF146" i="3" s="1"/>
  <c r="Y146" i="3" a="1"/>
  <c r="Y146" i="3" s="1"/>
  <c r="E146" i="3" a="1"/>
  <c r="E146" i="3" s="1"/>
  <c r="AG146" i="3" a="1"/>
  <c r="AG146" i="3" s="1"/>
  <c r="I107" i="3" a="1"/>
  <c r="I107" i="3" s="1"/>
  <c r="AF107" i="3" a="1"/>
  <c r="AF107" i="3" s="1"/>
  <c r="AG107" i="3" a="1"/>
  <c r="AG107" i="3" s="1"/>
  <c r="H107" i="3"/>
  <c r="Z107" i="3" a="1"/>
  <c r="Z107" i="3" s="1"/>
  <c r="AA107" i="3" a="1"/>
  <c r="AA107" i="3" s="1"/>
  <c r="Y107" i="3" a="1"/>
  <c r="Y107" i="3" s="1"/>
  <c r="AB107" i="3" a="1"/>
  <c r="AB107" i="3" s="1"/>
  <c r="AC107" i="3" a="1"/>
  <c r="AC107" i="3" s="1"/>
  <c r="D107" i="3" a="1"/>
  <c r="D107" i="3" s="1"/>
  <c r="AF230" i="3" a="1"/>
  <c r="AF230" i="3" s="1"/>
  <c r="AC230" i="3" a="1"/>
  <c r="AC230" i="3" s="1"/>
  <c r="AA230" i="3" a="1"/>
  <c r="AA230" i="3" s="1"/>
  <c r="AB230" i="3" a="1"/>
  <c r="AB230" i="3" s="1"/>
  <c r="I230" i="3" a="1"/>
  <c r="I230" i="3" s="1"/>
  <c r="AG230" i="3" a="1"/>
  <c r="AG230" i="3" s="1"/>
  <c r="H230" i="3"/>
  <c r="Z230" i="3" a="1"/>
  <c r="Z230" i="3" s="1"/>
  <c r="D230" i="3" a="1"/>
  <c r="D230" i="3" s="1"/>
  <c r="Y230" i="3" a="1"/>
  <c r="Y230" i="3" s="1"/>
  <c r="AA278" i="3" a="1"/>
  <c r="AA278" i="3" s="1"/>
  <c r="Z278" i="3" a="1"/>
  <c r="Z278" i="3" s="1"/>
  <c r="AB278" i="3" a="1"/>
  <c r="AB278" i="3" s="1"/>
  <c r="AC278" i="3" a="1"/>
  <c r="AC278" i="3" s="1"/>
  <c r="AG278" i="3" a="1"/>
  <c r="AG278" i="3" s="1"/>
  <c r="I278" i="3" a="1"/>
  <c r="I278" i="3" s="1"/>
  <c r="AF278" i="3" a="1"/>
  <c r="AF278" i="3" s="1"/>
  <c r="H278" i="3"/>
  <c r="Y278" i="3" a="1"/>
  <c r="Y278" i="3" s="1"/>
  <c r="D278" i="3" a="1"/>
  <c r="D278" i="3" s="1"/>
  <c r="Y212" i="3" a="1"/>
  <c r="Y212" i="3" s="1"/>
  <c r="U212" i="3" a="1"/>
  <c r="U212" i="3" s="1"/>
  <c r="H212" i="3"/>
  <c r="E212" i="3" a="1"/>
  <c r="E212" i="3" s="1"/>
  <c r="G212" i="3" a="1"/>
  <c r="G212" i="3" s="1"/>
  <c r="AG212" i="3" a="1"/>
  <c r="AG212" i="3" s="1"/>
  <c r="F212" i="3" a="1"/>
  <c r="F212" i="3" s="1"/>
  <c r="AC212" i="3" a="1"/>
  <c r="AC212" i="3" s="1"/>
  <c r="I212" i="3" a="1"/>
  <c r="I212" i="3" s="1"/>
  <c r="AF212" i="3" a="1"/>
  <c r="AF212" i="3" s="1"/>
  <c r="AA212" i="3" a="1"/>
  <c r="AA212" i="3" s="1"/>
  <c r="AB212" i="3" a="1"/>
  <c r="AB212" i="3" s="1"/>
  <c r="D212" i="3" a="1"/>
  <c r="D212" i="3" s="1"/>
  <c r="Z212" i="3" a="1"/>
  <c r="Z212" i="3" s="1"/>
  <c r="AB203" i="3" a="1"/>
  <c r="AB203" i="3" s="1"/>
  <c r="D203" i="3" a="1"/>
  <c r="D203" i="3" s="1"/>
  <c r="AA203" i="3" a="1"/>
  <c r="AA203" i="3" s="1"/>
  <c r="U203" i="3" a="1"/>
  <c r="U203" i="3" s="1"/>
  <c r="AF203" i="3" a="1"/>
  <c r="AF203" i="3" s="1"/>
  <c r="I203" i="3" a="1"/>
  <c r="I203" i="3" s="1"/>
  <c r="E203" i="3" a="1"/>
  <c r="E203" i="3" s="1"/>
  <c r="AC203" i="3" a="1"/>
  <c r="AC203" i="3" s="1"/>
  <c r="H203" i="3"/>
  <c r="G203" i="3" a="1"/>
  <c r="G203" i="3" s="1"/>
  <c r="F203" i="3" a="1"/>
  <c r="F203" i="3" s="1"/>
  <c r="Z203" i="3" a="1"/>
  <c r="Z203" i="3" s="1"/>
  <c r="AG203" i="3" a="1"/>
  <c r="AG203" i="3" s="1"/>
  <c r="Y203" i="3" a="1"/>
  <c r="Y203" i="3" s="1"/>
  <c r="Y188" i="3" a="1"/>
  <c r="Y188" i="3" s="1"/>
  <c r="D188" i="3" a="1"/>
  <c r="D188" i="3" s="1"/>
  <c r="AB188" i="3" a="1"/>
  <c r="AB188" i="3" s="1"/>
  <c r="AA188" i="3" a="1"/>
  <c r="AA188" i="3" s="1"/>
  <c r="AG188" i="3" a="1"/>
  <c r="AG188" i="3" s="1"/>
  <c r="AC188" i="3" a="1"/>
  <c r="AC188" i="3" s="1"/>
  <c r="I188" i="3" a="1"/>
  <c r="I188" i="3" s="1"/>
  <c r="AF188" i="3" a="1"/>
  <c r="AF188" i="3" s="1"/>
  <c r="H188" i="3"/>
  <c r="Z188" i="3" a="1"/>
  <c r="Z188" i="3" s="1"/>
  <c r="Z375" i="3" a="1"/>
  <c r="Z375" i="3" s="1"/>
  <c r="D375" i="3" a="1"/>
  <c r="D375" i="3" s="1"/>
  <c r="Y375" i="3" a="1"/>
  <c r="Y375" i="3" s="1"/>
  <c r="AB375" i="3" a="1"/>
  <c r="AB375" i="3" s="1"/>
  <c r="AA375" i="3" a="1"/>
  <c r="AA375" i="3" s="1"/>
  <c r="AG375" i="3" a="1"/>
  <c r="AG375" i="3" s="1"/>
  <c r="AF375" i="3" a="1"/>
  <c r="AF375" i="3" s="1"/>
  <c r="H375" i="3"/>
  <c r="I375" i="3" a="1"/>
  <c r="I375" i="3" s="1"/>
  <c r="AC375" i="3" a="1"/>
  <c r="AC375" i="3" s="1"/>
  <c r="AA76" i="3" a="1"/>
  <c r="AA76" i="3" s="1"/>
  <c r="Y76" i="3" a="1"/>
  <c r="Y76" i="3" s="1"/>
  <c r="Z76" i="3" a="1"/>
  <c r="Z76" i="3" s="1"/>
  <c r="AF76" i="3" a="1"/>
  <c r="AF76" i="3" s="1"/>
  <c r="H76" i="3"/>
  <c r="I76" i="3" a="1"/>
  <c r="I76" i="3" s="1"/>
  <c r="AC76" i="3" a="1"/>
  <c r="AC76" i="3" s="1"/>
  <c r="AG76" i="3" a="1"/>
  <c r="AG76" i="3" s="1"/>
  <c r="D76" i="3" a="1"/>
  <c r="D76" i="3" s="1"/>
  <c r="AB76" i="3" a="1"/>
  <c r="AB76" i="3" s="1"/>
  <c r="Z360" i="3" a="1"/>
  <c r="Z360" i="3" s="1"/>
  <c r="Y360" i="3" a="1"/>
  <c r="Y360" i="3" s="1"/>
  <c r="AF360" i="3" a="1"/>
  <c r="AF360" i="3" s="1"/>
  <c r="U360" i="3" a="1"/>
  <c r="U360" i="3" s="1"/>
  <c r="H360" i="3"/>
  <c r="AB360" i="3" a="1"/>
  <c r="AB360" i="3" s="1"/>
  <c r="AC360" i="3" a="1"/>
  <c r="AC360" i="3" s="1"/>
  <c r="I360" i="3" a="1"/>
  <c r="I360" i="3" s="1"/>
  <c r="AG360" i="3" a="1"/>
  <c r="AG360" i="3" s="1"/>
  <c r="G360" i="3" a="1"/>
  <c r="G360" i="3" s="1"/>
  <c r="D360" i="3" a="1"/>
  <c r="D360" i="3" s="1"/>
  <c r="F360" i="3" a="1"/>
  <c r="F360" i="3" s="1"/>
  <c r="AA360" i="3" a="1"/>
  <c r="AA360" i="3" s="1"/>
  <c r="E360" i="3" a="1"/>
  <c r="E360" i="3" s="1"/>
  <c r="AG138" i="3" a="1"/>
  <c r="AG138" i="3" s="1"/>
  <c r="I138" i="3" a="1"/>
  <c r="I138" i="3" s="1"/>
  <c r="H138" i="3"/>
  <c r="AA138" i="3" a="1"/>
  <c r="AA138" i="3" s="1"/>
  <c r="AC138" i="3" a="1"/>
  <c r="AC138" i="3" s="1"/>
  <c r="Z138" i="3" a="1"/>
  <c r="Z138" i="3" s="1"/>
  <c r="D138" i="3" a="1"/>
  <c r="D138" i="3" s="1"/>
  <c r="AB138" i="3" a="1"/>
  <c r="AB138" i="3" s="1"/>
  <c r="Y138" i="3" a="1"/>
  <c r="Y138" i="3" s="1"/>
  <c r="AF138" i="3" a="1"/>
  <c r="AF138" i="3" s="1"/>
  <c r="H126" i="3"/>
  <c r="AF126" i="3" a="1"/>
  <c r="AF126" i="3" s="1"/>
  <c r="Z126" i="3" a="1"/>
  <c r="Z126" i="3" s="1"/>
  <c r="Y126" i="3" a="1"/>
  <c r="Y126" i="3" s="1"/>
  <c r="D126" i="3" a="1"/>
  <c r="D126" i="3" s="1"/>
  <c r="AB126" i="3" a="1"/>
  <c r="AB126" i="3" s="1"/>
  <c r="AA126" i="3" a="1"/>
  <c r="AA126" i="3" s="1"/>
  <c r="AC126" i="3" a="1"/>
  <c r="AC126" i="3" s="1"/>
  <c r="AG126" i="3" a="1"/>
  <c r="AG126" i="3" s="1"/>
  <c r="I126" i="3" a="1"/>
  <c r="I126" i="3" s="1"/>
  <c r="AA114" i="3" a="1"/>
  <c r="AA114" i="3" s="1"/>
  <c r="AC114" i="3" a="1"/>
  <c r="AC114" i="3" s="1"/>
  <c r="H114" i="3"/>
  <c r="I114" i="3" a="1"/>
  <c r="I114" i="3" s="1"/>
  <c r="AG114" i="3" a="1"/>
  <c r="AG114" i="3" s="1"/>
  <c r="Z114" i="3" a="1"/>
  <c r="Z114" i="3" s="1"/>
  <c r="AF114" i="3" a="1"/>
  <c r="AF114" i="3" s="1"/>
  <c r="Y114" i="3" a="1"/>
  <c r="Y114" i="3" s="1"/>
  <c r="D114" i="3" a="1"/>
  <c r="D114" i="3" s="1"/>
  <c r="AB114" i="3" a="1"/>
  <c r="AB114" i="3" s="1"/>
  <c r="D98" i="3" a="1"/>
  <c r="D98" i="3" s="1"/>
  <c r="Z98" i="3" a="1"/>
  <c r="Z98" i="3" s="1"/>
  <c r="Y98" i="3" a="1"/>
  <c r="Y98" i="3" s="1"/>
  <c r="AB98" i="3" a="1"/>
  <c r="AB98" i="3" s="1"/>
  <c r="AA98" i="3" a="1"/>
  <c r="AA98" i="3" s="1"/>
  <c r="AG98" i="3" a="1"/>
  <c r="AG98" i="3" s="1"/>
  <c r="AC98" i="3" a="1"/>
  <c r="AC98" i="3" s="1"/>
  <c r="I98" i="3" a="1"/>
  <c r="I98" i="3" s="1"/>
  <c r="AF98" i="3" a="1"/>
  <c r="AF98" i="3" s="1"/>
  <c r="H98" i="3"/>
  <c r="AB341" i="3" a="1"/>
  <c r="AB341" i="3" s="1"/>
  <c r="AA341" i="3" a="1"/>
  <c r="AA341" i="3" s="1"/>
  <c r="AF341" i="3" a="1"/>
  <c r="AF341" i="3" s="1"/>
  <c r="H341" i="3"/>
  <c r="AC341" i="3" a="1"/>
  <c r="AC341" i="3" s="1"/>
  <c r="I341" i="3" a="1"/>
  <c r="I341" i="3" s="1"/>
  <c r="AG341" i="3" a="1"/>
  <c r="AG341" i="3" s="1"/>
  <c r="Z341" i="3" a="1"/>
  <c r="Z341" i="3" s="1"/>
  <c r="Y341" i="3" a="1"/>
  <c r="Y341" i="3" s="1"/>
  <c r="D341" i="3" a="1"/>
  <c r="D341" i="3" s="1"/>
  <c r="AC93" i="3" a="1"/>
  <c r="AC93" i="3" s="1"/>
  <c r="H93" i="3"/>
  <c r="I93" i="3" a="1"/>
  <c r="I93" i="3" s="1"/>
  <c r="AF93" i="3" a="1"/>
  <c r="AF93" i="3" s="1"/>
  <c r="Y93" i="3" a="1"/>
  <c r="Y93" i="3" s="1"/>
  <c r="D93" i="3" a="1"/>
  <c r="D93" i="3" s="1"/>
  <c r="AB93" i="3" a="1"/>
  <c r="AB93" i="3" s="1"/>
  <c r="AA93" i="3" a="1"/>
  <c r="AA93" i="3" s="1"/>
  <c r="Z93" i="3" a="1"/>
  <c r="Z93" i="3" s="1"/>
  <c r="AG93" i="3" a="1"/>
  <c r="AG93" i="3" s="1"/>
  <c r="AB13" i="3" a="1"/>
  <c r="AB13" i="3" s="1"/>
  <c r="AG13" i="3" a="1"/>
  <c r="AG13" i="3" s="1"/>
  <c r="AA13" i="3" a="1"/>
  <c r="AA13" i="3" s="1"/>
  <c r="AF13" i="3" a="1"/>
  <c r="AF13" i="3" s="1"/>
  <c r="H13" i="3"/>
  <c r="G13" i="3" a="1"/>
  <c r="G13" i="3" s="1"/>
  <c r="Z13" i="3" a="1"/>
  <c r="Z13" i="3" s="1"/>
  <c r="D13" i="3" a="1"/>
  <c r="D13" i="3" s="1"/>
  <c r="Y13" i="3" a="1"/>
  <c r="Y13" i="3" s="1"/>
  <c r="U13" i="3" a="1"/>
  <c r="U13" i="3" s="1"/>
  <c r="AC13" i="3" a="1"/>
  <c r="AC13" i="3" s="1"/>
  <c r="I13" i="3" a="1"/>
  <c r="I13" i="3" s="1"/>
  <c r="AC87" i="3" a="1"/>
  <c r="AC87" i="3" s="1"/>
  <c r="AG87" i="3" a="1"/>
  <c r="AG87" i="3" s="1"/>
  <c r="AF87" i="3" a="1"/>
  <c r="AF87" i="3" s="1"/>
  <c r="AA87" i="3" a="1"/>
  <c r="AA87" i="3" s="1"/>
  <c r="I87" i="3" a="1"/>
  <c r="I87" i="3" s="1"/>
  <c r="H87" i="3"/>
  <c r="Z87" i="3" a="1"/>
  <c r="Z87" i="3" s="1"/>
  <c r="D87" i="3" a="1"/>
  <c r="D87" i="3" s="1"/>
  <c r="Y87" i="3" a="1"/>
  <c r="Y87" i="3" s="1"/>
  <c r="AB87" i="3" a="1"/>
  <c r="AB87" i="3" s="1"/>
  <c r="Y34" i="3" a="1"/>
  <c r="Y34" i="3" s="1"/>
  <c r="AG34" i="3" a="1"/>
  <c r="AG34" i="3" s="1"/>
  <c r="D34" i="3" a="1"/>
  <c r="D34" i="3" s="1"/>
  <c r="I34" i="3" a="1"/>
  <c r="I34" i="3" s="1"/>
  <c r="AF34" i="3" a="1"/>
  <c r="AF34" i="3" s="1"/>
  <c r="H34" i="3"/>
  <c r="AA34" i="3" a="1"/>
  <c r="AA34" i="3" s="1"/>
  <c r="Z34" i="3" a="1"/>
  <c r="Z34" i="3" s="1"/>
  <c r="AC34" i="3" a="1"/>
  <c r="AC34" i="3" s="1"/>
  <c r="AB34" i="3" a="1"/>
  <c r="AB34" i="3" s="1"/>
  <c r="AA55" i="3" a="1"/>
  <c r="AA55" i="3" s="1"/>
  <c r="AC55" i="3" a="1"/>
  <c r="AC55" i="3" s="1"/>
  <c r="D55" i="3" a="1"/>
  <c r="D55" i="3" s="1"/>
  <c r="AG55" i="3" a="1"/>
  <c r="AG55" i="3" s="1"/>
  <c r="H55" i="3"/>
  <c r="I55" i="3" a="1"/>
  <c r="I55" i="3" s="1"/>
  <c r="Z55" i="3" a="1"/>
  <c r="Z55" i="3" s="1"/>
  <c r="AF55" i="3" a="1"/>
  <c r="AF55" i="3" s="1"/>
  <c r="Y55" i="3" a="1"/>
  <c r="Y55" i="3" s="1"/>
  <c r="AB55" i="3" a="1"/>
  <c r="AB55" i="3" s="1"/>
  <c r="Z251" i="3" a="1"/>
  <c r="Z251" i="3" s="1"/>
  <c r="Y251" i="3" a="1"/>
  <c r="Y251" i="3" s="1"/>
  <c r="AB251" i="3" a="1"/>
  <c r="AB251" i="3" s="1"/>
  <c r="AA251" i="3" a="1"/>
  <c r="AA251" i="3" s="1"/>
  <c r="AC251" i="3" a="1"/>
  <c r="AC251" i="3" s="1"/>
  <c r="H251" i="3"/>
  <c r="I251" i="3" a="1"/>
  <c r="I251" i="3" s="1"/>
  <c r="AG251" i="3" a="1"/>
  <c r="AG251" i="3" s="1"/>
  <c r="AF251" i="3" a="1"/>
  <c r="AF251" i="3" s="1"/>
  <c r="D251" i="3" a="1"/>
  <c r="D251" i="3" s="1"/>
  <c r="AF380" i="3" a="1"/>
  <c r="AF380" i="3" s="1"/>
  <c r="AC380" i="3" a="1"/>
  <c r="AC380" i="3" s="1"/>
  <c r="E380" i="3" a="1"/>
  <c r="E380" i="3" s="1"/>
  <c r="H380" i="3"/>
  <c r="G380" i="3" a="1"/>
  <c r="G380" i="3" s="1"/>
  <c r="U380" i="3" a="1"/>
  <c r="U380" i="3" s="1"/>
  <c r="AG380" i="3" a="1"/>
  <c r="AG380" i="3" s="1"/>
  <c r="Z380" i="3" a="1"/>
  <c r="Z380" i="3" s="1"/>
  <c r="F380" i="3" a="1"/>
  <c r="F380" i="3" s="1"/>
  <c r="I380" i="3" a="1"/>
  <c r="I380" i="3" s="1"/>
  <c r="AB380" i="3" a="1"/>
  <c r="AB380" i="3" s="1"/>
  <c r="Y380" i="3" a="1"/>
  <c r="Y380" i="3" s="1"/>
  <c r="AA380" i="3" a="1"/>
  <c r="AA380" i="3" s="1"/>
  <c r="G346" i="3" a="1"/>
  <c r="G346" i="3" s="1"/>
  <c r="Y346" i="3" a="1"/>
  <c r="Y346" i="3" s="1"/>
  <c r="AC346" i="3" a="1"/>
  <c r="AC346" i="3" s="1"/>
  <c r="U346" i="3" a="1"/>
  <c r="U346" i="3" s="1"/>
  <c r="F346" i="3" a="1"/>
  <c r="F346" i="3" s="1"/>
  <c r="H346" i="3"/>
  <c r="AB346" i="3" a="1"/>
  <c r="AB346" i="3" s="1"/>
  <c r="Z346" i="3" a="1"/>
  <c r="Z346" i="3" s="1"/>
  <c r="AG346" i="3" a="1"/>
  <c r="AG346" i="3" s="1"/>
  <c r="I346" i="3" a="1"/>
  <c r="I346" i="3" s="1"/>
  <c r="AA346" i="3" a="1"/>
  <c r="AA346" i="3" s="1"/>
  <c r="E346" i="3" a="1"/>
  <c r="E346" i="3" s="1"/>
  <c r="AF346" i="3" a="1"/>
  <c r="AF346" i="3" s="1"/>
  <c r="AC123" i="3" a="1"/>
  <c r="AC123" i="3" s="1"/>
  <c r="AB123" i="3" a="1"/>
  <c r="AB123" i="3" s="1"/>
  <c r="E123" i="3" a="1"/>
  <c r="E123" i="3" s="1"/>
  <c r="AA123" i="3" a="1"/>
  <c r="AA123" i="3" s="1"/>
  <c r="U123" i="3" a="1"/>
  <c r="U123" i="3" s="1"/>
  <c r="Z123" i="3" a="1"/>
  <c r="Z123" i="3" s="1"/>
  <c r="H123" i="3"/>
  <c r="Y123" i="3" a="1"/>
  <c r="Y123" i="3" s="1"/>
  <c r="I123" i="3" a="1"/>
  <c r="I123" i="3" s="1"/>
  <c r="AF123" i="3" a="1"/>
  <c r="AF123" i="3" s="1"/>
  <c r="F123" i="3" a="1"/>
  <c r="F123" i="3" s="1"/>
  <c r="AG123" i="3" a="1"/>
  <c r="AG123" i="3" s="1"/>
  <c r="G123" i="3" a="1"/>
  <c r="G123" i="3" s="1"/>
  <c r="Z54" i="3" a="1"/>
  <c r="Z54" i="3" s="1"/>
  <c r="AF54" i="3" a="1"/>
  <c r="AF54" i="3" s="1"/>
  <c r="AG54" i="3" a="1"/>
  <c r="AG54" i="3" s="1"/>
  <c r="H54" i="3"/>
  <c r="AA54" i="3" a="1"/>
  <c r="AA54" i="3" s="1"/>
  <c r="AB54" i="3" a="1"/>
  <c r="AB54" i="3" s="1"/>
  <c r="E54" i="3" a="1"/>
  <c r="E54" i="3" s="1"/>
  <c r="Y54" i="3" a="1"/>
  <c r="Y54" i="3" s="1"/>
  <c r="U54" i="3" a="1"/>
  <c r="U54" i="3" s="1"/>
  <c r="G54" i="3" a="1"/>
  <c r="G54" i="3" s="1"/>
  <c r="AC54" i="3" a="1"/>
  <c r="AC54" i="3" s="1"/>
  <c r="F54" i="3" a="1"/>
  <c r="F54" i="3" s="1"/>
  <c r="I54" i="3" a="1"/>
  <c r="I54" i="3" s="1"/>
  <c r="F41" i="3" a="1"/>
  <c r="F41" i="3" s="1"/>
  <c r="Z41" i="3" a="1"/>
  <c r="Z41" i="3" s="1"/>
  <c r="I41" i="3" a="1"/>
  <c r="I41" i="3" s="1"/>
  <c r="AC41" i="3" a="1"/>
  <c r="AC41" i="3" s="1"/>
  <c r="G41" i="3" a="1"/>
  <c r="G41" i="3" s="1"/>
  <c r="AA41" i="3" a="1"/>
  <c r="AA41" i="3" s="1"/>
  <c r="AB41" i="3" a="1"/>
  <c r="AB41" i="3" s="1"/>
  <c r="E41" i="3" a="1"/>
  <c r="E41" i="3" s="1"/>
  <c r="Y41" i="3" a="1"/>
  <c r="Y41" i="3" s="1"/>
  <c r="U41" i="3" a="1"/>
  <c r="U41" i="3" s="1"/>
  <c r="AG41" i="3" a="1"/>
  <c r="AG41" i="3" s="1"/>
  <c r="H41" i="3"/>
  <c r="AF41" i="3" a="1"/>
  <c r="AF41" i="3" s="1"/>
  <c r="AA237" i="3" a="1"/>
  <c r="AA237" i="3" s="1"/>
  <c r="D237" i="3" a="1"/>
  <c r="D237" i="3" s="1"/>
  <c r="Y237" i="3" a="1"/>
  <c r="Y237" i="3" s="1"/>
  <c r="Z237" i="3" a="1"/>
  <c r="Z237" i="3" s="1"/>
  <c r="AG237" i="3" a="1"/>
  <c r="AG237" i="3" s="1"/>
  <c r="AB237" i="3" a="1"/>
  <c r="AB237" i="3" s="1"/>
  <c r="I237" i="3" a="1"/>
  <c r="I237" i="3" s="1"/>
  <c r="H237" i="3"/>
  <c r="AC237" i="3" a="1"/>
  <c r="AC237" i="3" s="1"/>
  <c r="AF237" i="3" a="1"/>
  <c r="AF237" i="3" s="1"/>
  <c r="AG229" i="3" a="1"/>
  <c r="AG229" i="3" s="1"/>
  <c r="I229" i="3" a="1"/>
  <c r="I229" i="3" s="1"/>
  <c r="H229" i="3"/>
  <c r="Z229" i="3" a="1"/>
  <c r="Z229" i="3" s="1"/>
  <c r="AF229" i="3" a="1"/>
  <c r="AF229" i="3" s="1"/>
  <c r="Y229" i="3" a="1"/>
  <c r="Y229" i="3" s="1"/>
  <c r="D229" i="3" a="1"/>
  <c r="D229" i="3" s="1"/>
  <c r="AB229" i="3" a="1"/>
  <c r="AB229" i="3" s="1"/>
  <c r="AA229" i="3" a="1"/>
  <c r="AA229" i="3" s="1"/>
  <c r="AC229" i="3" a="1"/>
  <c r="AC229" i="3" s="1"/>
  <c r="AA399" i="3" a="1"/>
  <c r="AA399" i="3" s="1"/>
  <c r="AG399" i="3" a="1"/>
  <c r="AG399" i="3" s="1"/>
  <c r="AF399" i="3" a="1"/>
  <c r="AF399" i="3" s="1"/>
  <c r="AC399" i="3" a="1"/>
  <c r="AC399" i="3" s="1"/>
  <c r="Z399" i="3" a="1"/>
  <c r="Z399" i="3" s="1"/>
  <c r="Y399" i="3" a="1"/>
  <c r="Y399" i="3" s="1"/>
  <c r="D399" i="3" a="1"/>
  <c r="D399" i="3" s="1"/>
  <c r="H399" i="3"/>
  <c r="I399" i="3" a="1"/>
  <c r="I399" i="3" s="1"/>
  <c r="AB399" i="3" a="1"/>
  <c r="AB399" i="3" s="1"/>
  <c r="AA202" i="3" a="1"/>
  <c r="AA202" i="3" s="1"/>
  <c r="Z202" i="3" a="1"/>
  <c r="Z202" i="3" s="1"/>
  <c r="AC202" i="3" a="1"/>
  <c r="AC202" i="3" s="1"/>
  <c r="Y202" i="3" a="1"/>
  <c r="Y202" i="3" s="1"/>
  <c r="D202" i="3" a="1"/>
  <c r="D202" i="3" s="1"/>
  <c r="AB202" i="3" a="1"/>
  <c r="AB202" i="3" s="1"/>
  <c r="AG202" i="3" a="1"/>
  <c r="AG202" i="3" s="1"/>
  <c r="AF202" i="3" a="1"/>
  <c r="AF202" i="3" s="1"/>
  <c r="H202" i="3"/>
  <c r="I202" i="3" a="1"/>
  <c r="I202" i="3" s="1"/>
  <c r="I294" i="3" a="1"/>
  <c r="I294" i="3" s="1"/>
  <c r="H294" i="3"/>
  <c r="E294" i="3" a="1"/>
  <c r="E294" i="3" s="1"/>
  <c r="G294" i="3" a="1"/>
  <c r="G294" i="3" s="1"/>
  <c r="U294" i="3" a="1"/>
  <c r="U294" i="3" s="1"/>
  <c r="F294" i="3" a="1"/>
  <c r="F294" i="3" s="1"/>
  <c r="Y294" i="3" a="1"/>
  <c r="Y294" i="3" s="1"/>
  <c r="AB294" i="3" a="1"/>
  <c r="AB294" i="3" s="1"/>
  <c r="AG294" i="3" a="1"/>
  <c r="AG294" i="3" s="1"/>
  <c r="AC294" i="3" a="1"/>
  <c r="AC294" i="3" s="1"/>
  <c r="Z294" i="3" a="1"/>
  <c r="Z294" i="3" s="1"/>
  <c r="AF294" i="3" a="1"/>
  <c r="AF294" i="3" s="1"/>
  <c r="AA294" i="3" a="1"/>
  <c r="AA294" i="3" s="1"/>
  <c r="AA291" i="3" a="1"/>
  <c r="AA291" i="3" s="1"/>
  <c r="Z291" i="3" a="1"/>
  <c r="Z291" i="3" s="1"/>
  <c r="AG291" i="3" a="1"/>
  <c r="AG291" i="3" s="1"/>
  <c r="AB291" i="3" a="1"/>
  <c r="AB291" i="3" s="1"/>
  <c r="AC291" i="3" a="1"/>
  <c r="AC291" i="3" s="1"/>
  <c r="AF291" i="3" a="1"/>
  <c r="AF291" i="3" s="1"/>
  <c r="I291" i="3" a="1"/>
  <c r="I291" i="3" s="1"/>
  <c r="H291" i="3"/>
  <c r="D291" i="3" a="1"/>
  <c r="D291" i="3" s="1"/>
  <c r="Y291" i="3" a="1"/>
  <c r="Y291" i="3" s="1"/>
  <c r="AB286" i="3" a="1"/>
  <c r="AB286" i="3" s="1"/>
  <c r="AC286" i="3" a="1"/>
  <c r="AC286" i="3" s="1"/>
  <c r="D286" i="3" a="1"/>
  <c r="D286" i="3" s="1"/>
  <c r="I286" i="3" a="1"/>
  <c r="I286" i="3" s="1"/>
  <c r="Z286" i="3" a="1"/>
  <c r="Z286" i="3" s="1"/>
  <c r="Y286" i="3" a="1"/>
  <c r="Y286" i="3" s="1"/>
  <c r="AA286" i="3" a="1"/>
  <c r="AA286" i="3" s="1"/>
  <c r="AG286" i="3" a="1"/>
  <c r="AG286" i="3" s="1"/>
  <c r="AF286" i="3" a="1"/>
  <c r="AF286" i="3" s="1"/>
  <c r="H286" i="3"/>
  <c r="Z280" i="3" a="1"/>
  <c r="Z280" i="3" s="1"/>
  <c r="AB280" i="3" a="1"/>
  <c r="AB280" i="3" s="1"/>
  <c r="AA280" i="3" a="1"/>
  <c r="AA280" i="3" s="1"/>
  <c r="D280" i="3" a="1"/>
  <c r="D280" i="3" s="1"/>
  <c r="AG280" i="3" a="1"/>
  <c r="AG280" i="3" s="1"/>
  <c r="AC280" i="3" a="1"/>
  <c r="AC280" i="3" s="1"/>
  <c r="H280" i="3"/>
  <c r="I280" i="3" a="1"/>
  <c r="I280" i="3" s="1"/>
  <c r="AF280" i="3" a="1"/>
  <c r="AF280" i="3" s="1"/>
  <c r="Y280" i="3" a="1"/>
  <c r="Y280" i="3" s="1"/>
  <c r="I385" i="3" a="1"/>
  <c r="I385" i="3" s="1"/>
  <c r="AA385" i="3" a="1"/>
  <c r="AA385" i="3" s="1"/>
  <c r="AB385" i="3" a="1"/>
  <c r="AB385" i="3" s="1"/>
  <c r="AF385" i="3" a="1"/>
  <c r="AF385" i="3" s="1"/>
  <c r="Z385" i="3" a="1"/>
  <c r="Z385" i="3" s="1"/>
  <c r="AG385" i="3" a="1"/>
  <c r="AG385" i="3" s="1"/>
  <c r="AC385" i="3" a="1"/>
  <c r="AC385" i="3" s="1"/>
  <c r="H385" i="3"/>
  <c r="Y385" i="3" a="1"/>
  <c r="Y385" i="3" s="1"/>
  <c r="D385" i="3" a="1"/>
  <c r="D385" i="3" s="1"/>
  <c r="I211" i="3" a="1"/>
  <c r="I211" i="3" s="1"/>
  <c r="G211" i="3" a="1"/>
  <c r="G211" i="3" s="1"/>
  <c r="H211" i="3"/>
  <c r="F211" i="3" a="1"/>
  <c r="F211" i="3" s="1"/>
  <c r="AG211" i="3" a="1"/>
  <c r="AG211" i="3" s="1"/>
  <c r="D211" i="3" a="1"/>
  <c r="D211" i="3" s="1"/>
  <c r="Z211" i="3" a="1"/>
  <c r="Z211" i="3" s="1"/>
  <c r="U211" i="3" a="1"/>
  <c r="U211" i="3" s="1"/>
  <c r="Y211" i="3" a="1"/>
  <c r="Y211" i="3" s="1"/>
  <c r="AC211" i="3" a="1"/>
  <c r="AC211" i="3" s="1"/>
  <c r="E211" i="3" a="1"/>
  <c r="E211" i="3" s="1"/>
  <c r="AB211" i="3" a="1"/>
  <c r="AB211" i="3" s="1"/>
  <c r="AA211" i="3" a="1"/>
  <c r="AA211" i="3" s="1"/>
  <c r="AF211" i="3" a="1"/>
  <c r="AF211" i="3" s="1"/>
  <c r="Y187" i="3" a="1"/>
  <c r="Y187" i="3" s="1"/>
  <c r="AG187" i="3" a="1"/>
  <c r="AG187" i="3" s="1"/>
  <c r="AF187" i="3" a="1"/>
  <c r="AF187" i="3" s="1"/>
  <c r="AB187" i="3" a="1"/>
  <c r="AB187" i="3" s="1"/>
  <c r="H187" i="3"/>
  <c r="I187" i="3" a="1"/>
  <c r="I187" i="3" s="1"/>
  <c r="AC187" i="3" a="1"/>
  <c r="AC187" i="3" s="1"/>
  <c r="Z187" i="3" a="1"/>
  <c r="Z187" i="3" s="1"/>
  <c r="AA187" i="3" a="1"/>
  <c r="AA187" i="3" s="1"/>
  <c r="D187" i="3" a="1"/>
  <c r="D187" i="3" s="1"/>
  <c r="G145" i="3" a="1"/>
  <c r="G145" i="3" s="1"/>
  <c r="AB145" i="3" a="1"/>
  <c r="AB145" i="3" s="1"/>
  <c r="E145" i="3" a="1"/>
  <c r="E145" i="3" s="1"/>
  <c r="AA145" i="3" a="1"/>
  <c r="AA145" i="3" s="1"/>
  <c r="Z145" i="3" a="1"/>
  <c r="Z145" i="3" s="1"/>
  <c r="Y145" i="3" a="1"/>
  <c r="Y145" i="3" s="1"/>
  <c r="AC145" i="3" a="1"/>
  <c r="AC145" i="3" s="1"/>
  <c r="D145" i="3" a="1"/>
  <c r="D145" i="3" s="1"/>
  <c r="AG145" i="3" a="1"/>
  <c r="AG145" i="3" s="1"/>
  <c r="H145" i="3"/>
  <c r="U145" i="3" a="1"/>
  <c r="U145" i="3" s="1"/>
  <c r="F145" i="3" a="1"/>
  <c r="F145" i="3" s="1"/>
  <c r="AF145" i="3" a="1"/>
  <c r="AF145" i="3" s="1"/>
  <c r="I145" i="3" a="1"/>
  <c r="I145" i="3" s="1"/>
  <c r="I20" i="3" a="1"/>
  <c r="I20" i="3" s="1"/>
  <c r="AA20" i="3" a="1"/>
  <c r="AA20" i="3" s="1"/>
  <c r="Z20" i="3" a="1"/>
  <c r="Z20" i="3" s="1"/>
  <c r="AC20" i="3" a="1"/>
  <c r="AC20" i="3" s="1"/>
  <c r="AB20" i="3" a="1"/>
  <c r="AB20" i="3" s="1"/>
  <c r="AG20" i="3" a="1"/>
  <c r="AG20" i="3" s="1"/>
  <c r="D20" i="3" a="1"/>
  <c r="D20" i="3" s="1"/>
  <c r="Y20" i="3" a="1"/>
  <c r="Y20" i="3" s="1"/>
  <c r="U20" i="3" a="1"/>
  <c r="U20" i="3" s="1"/>
  <c r="AF20" i="3" a="1"/>
  <c r="AF20" i="3" s="1"/>
  <c r="H20" i="3"/>
  <c r="G20" i="3" a="1"/>
  <c r="G20" i="3" s="1"/>
  <c r="AG268" i="3" a="1"/>
  <c r="AG268" i="3" s="1"/>
  <c r="H268" i="3"/>
  <c r="Y268" i="3" a="1"/>
  <c r="Y268" i="3" s="1"/>
  <c r="AB268" i="3" a="1"/>
  <c r="AB268" i="3" s="1"/>
  <c r="AA268" i="3" a="1"/>
  <c r="AA268" i="3" s="1"/>
  <c r="AC268" i="3" a="1"/>
  <c r="AC268" i="3" s="1"/>
  <c r="I268" i="3" a="1"/>
  <c r="I268" i="3" s="1"/>
  <c r="D268" i="3" a="1"/>
  <c r="D268" i="3" s="1"/>
  <c r="Z268" i="3" a="1"/>
  <c r="Z268" i="3" s="1"/>
  <c r="AF268" i="3" a="1"/>
  <c r="AF268" i="3" s="1"/>
  <c r="AB311" i="3" a="1"/>
  <c r="AB311" i="3" s="1"/>
  <c r="Y311" i="3" a="1"/>
  <c r="Y311" i="3" s="1"/>
  <c r="AC311" i="3" a="1"/>
  <c r="AC311" i="3" s="1"/>
  <c r="AG311" i="3" a="1"/>
  <c r="AG311" i="3" s="1"/>
  <c r="H311" i="3"/>
  <c r="AA311" i="3" a="1"/>
  <c r="AA311" i="3" s="1"/>
  <c r="AF311" i="3" a="1"/>
  <c r="AF311" i="3" s="1"/>
  <c r="I311" i="3" a="1"/>
  <c r="I311" i="3" s="1"/>
  <c r="D311" i="3" a="1"/>
  <c r="D311" i="3" s="1"/>
  <c r="Z311" i="3" a="1"/>
  <c r="Z311" i="3" s="1"/>
  <c r="H374" i="3"/>
  <c r="I374" i="3" a="1"/>
  <c r="I374" i="3" s="1"/>
  <c r="AC374" i="3" a="1"/>
  <c r="AC374" i="3" s="1"/>
  <c r="D374" i="3" a="1"/>
  <c r="D374" i="3" s="1"/>
  <c r="AA374" i="3" a="1"/>
  <c r="AA374" i="3" s="1"/>
  <c r="AB374" i="3" a="1"/>
  <c r="AB374" i="3" s="1"/>
  <c r="Y374" i="3" a="1"/>
  <c r="Y374" i="3" s="1"/>
  <c r="AG374" i="3" a="1"/>
  <c r="AG374" i="3" s="1"/>
  <c r="Z374" i="3" a="1"/>
  <c r="Z374" i="3" s="1"/>
  <c r="AF374" i="3" a="1"/>
  <c r="AF374" i="3" s="1"/>
  <c r="Y270" i="3" a="1"/>
  <c r="Y270" i="3" s="1"/>
  <c r="AF270" i="3" a="1"/>
  <c r="AF270" i="3" s="1"/>
  <c r="H270" i="3"/>
  <c r="AB270" i="3" a="1"/>
  <c r="AB270" i="3" s="1"/>
  <c r="Z270" i="3" a="1"/>
  <c r="Z270" i="3" s="1"/>
  <c r="AG270" i="3" a="1"/>
  <c r="AG270" i="3" s="1"/>
  <c r="AA270" i="3" a="1"/>
  <c r="AA270" i="3" s="1"/>
  <c r="AC270" i="3" a="1"/>
  <c r="AC270" i="3" s="1"/>
  <c r="I270" i="3" a="1"/>
  <c r="I270" i="3" s="1"/>
  <c r="D270" i="3" a="1"/>
  <c r="D270" i="3" s="1"/>
  <c r="H363" i="3"/>
  <c r="Y363" i="3" a="1"/>
  <c r="Y363" i="3" s="1"/>
  <c r="D363" i="3" a="1"/>
  <c r="D363" i="3" s="1"/>
  <c r="Z363" i="3" a="1"/>
  <c r="Z363" i="3" s="1"/>
  <c r="AA363" i="3" a="1"/>
  <c r="AA363" i="3" s="1"/>
  <c r="AF363" i="3" a="1"/>
  <c r="AF363" i="3" s="1"/>
  <c r="AB363" i="3" a="1"/>
  <c r="AB363" i="3" s="1"/>
  <c r="AG363" i="3" a="1"/>
  <c r="AG363" i="3" s="1"/>
  <c r="I363" i="3" a="1"/>
  <c r="I363" i="3" s="1"/>
  <c r="AC363" i="3" a="1"/>
  <c r="AC363" i="3" s="1"/>
  <c r="I180" i="3" a="1"/>
  <c r="I180" i="3" s="1"/>
  <c r="Y180" i="3" a="1"/>
  <c r="Y180" i="3" s="1"/>
  <c r="AB180" i="3" a="1"/>
  <c r="AB180" i="3" s="1"/>
  <c r="AA180" i="3" a="1"/>
  <c r="AA180" i="3" s="1"/>
  <c r="AC180" i="3" a="1"/>
  <c r="AC180" i="3" s="1"/>
  <c r="H180" i="3"/>
  <c r="F180" i="3" a="1"/>
  <c r="F180" i="3" s="1"/>
  <c r="D180" i="3" a="1"/>
  <c r="D180" i="3" s="1"/>
  <c r="AG180" i="3" a="1"/>
  <c r="AG180" i="3" s="1"/>
  <c r="Z180" i="3" a="1"/>
  <c r="Z180" i="3" s="1"/>
  <c r="AF180" i="3" a="1"/>
  <c r="AF180" i="3" s="1"/>
  <c r="I359" i="3" a="1"/>
  <c r="I359" i="3" s="1"/>
  <c r="AB359" i="3" a="1"/>
  <c r="AB359" i="3" s="1"/>
  <c r="Z359" i="3" a="1"/>
  <c r="Z359" i="3" s="1"/>
  <c r="H359" i="3"/>
  <c r="D359" i="3" a="1"/>
  <c r="D359" i="3" s="1"/>
  <c r="AG359" i="3" a="1"/>
  <c r="AG359" i="3" s="1"/>
  <c r="Y359" i="3" a="1"/>
  <c r="Y359" i="3" s="1"/>
  <c r="AF359" i="3" a="1"/>
  <c r="AF359" i="3" s="1"/>
  <c r="AA359" i="3" a="1"/>
  <c r="AA359" i="3" s="1"/>
  <c r="AC359" i="3" a="1"/>
  <c r="AC359" i="3" s="1"/>
  <c r="Z81" i="3" a="1"/>
  <c r="Z81" i="3" s="1"/>
  <c r="AB81" i="3" a="1"/>
  <c r="AB81" i="3" s="1"/>
  <c r="AA81" i="3" a="1"/>
  <c r="AA81" i="3" s="1"/>
  <c r="D81" i="3" a="1"/>
  <c r="D81" i="3" s="1"/>
  <c r="AC81" i="3" a="1"/>
  <c r="AC81" i="3" s="1"/>
  <c r="AG81" i="3" a="1"/>
  <c r="AG81" i="3" s="1"/>
  <c r="Y81" i="3" a="1"/>
  <c r="Y81" i="3" s="1"/>
  <c r="I81" i="3" a="1"/>
  <c r="I81" i="3" s="1"/>
  <c r="H81" i="3"/>
  <c r="AF81" i="3" a="1"/>
  <c r="AF81" i="3" s="1"/>
  <c r="I137" i="3" a="1"/>
  <c r="I137" i="3" s="1"/>
  <c r="Z137" i="3" a="1"/>
  <c r="Z137" i="3" s="1"/>
  <c r="Y137" i="3" a="1"/>
  <c r="Y137" i="3" s="1"/>
  <c r="AG137" i="3" a="1"/>
  <c r="AG137" i="3" s="1"/>
  <c r="AF137" i="3" a="1"/>
  <c r="AF137" i="3" s="1"/>
  <c r="AC137" i="3" a="1"/>
  <c r="AC137" i="3" s="1"/>
  <c r="H137" i="3"/>
  <c r="AA137" i="3" a="1"/>
  <c r="AA137" i="3" s="1"/>
  <c r="AB137" i="3" a="1"/>
  <c r="AB137" i="3" s="1"/>
  <c r="D137" i="3" a="1"/>
  <c r="D137" i="3" s="1"/>
  <c r="I121" i="3" a="1"/>
  <c r="I121" i="3" s="1"/>
  <c r="AG121" i="3" a="1"/>
  <c r="AG121" i="3" s="1"/>
  <c r="E121" i="3" a="1"/>
  <c r="E121" i="3" s="1"/>
  <c r="H121" i="3"/>
  <c r="U121" i="3" a="1"/>
  <c r="U121" i="3" s="1"/>
  <c r="Z121" i="3" a="1"/>
  <c r="Z121" i="3" s="1"/>
  <c r="AB121" i="3" a="1"/>
  <c r="AB121" i="3" s="1"/>
  <c r="AA121" i="3" a="1"/>
  <c r="AA121" i="3" s="1"/>
  <c r="F121" i="3" a="1"/>
  <c r="F121" i="3" s="1"/>
  <c r="AF121" i="3" a="1"/>
  <c r="AF121" i="3" s="1"/>
  <c r="G121" i="3" a="1"/>
  <c r="G121" i="3" s="1"/>
  <c r="AC121" i="3" a="1"/>
  <c r="AC121" i="3" s="1"/>
  <c r="Y121" i="3" a="1"/>
  <c r="Y121" i="3" s="1"/>
  <c r="D121" i="3" a="1"/>
  <c r="D121" i="3" s="1"/>
  <c r="AF113" i="3" a="1"/>
  <c r="AF113" i="3" s="1"/>
  <c r="D113" i="3" a="1"/>
  <c r="D113" i="3" s="1"/>
  <c r="Z113" i="3" a="1"/>
  <c r="Z113" i="3" s="1"/>
  <c r="AG113" i="3" a="1"/>
  <c r="AG113" i="3" s="1"/>
  <c r="I113" i="3" a="1"/>
  <c r="I113" i="3" s="1"/>
  <c r="AC113" i="3" a="1"/>
  <c r="AC113" i="3" s="1"/>
  <c r="H113" i="3"/>
  <c r="Y113" i="3" a="1"/>
  <c r="Y113" i="3" s="1"/>
  <c r="AA113" i="3" a="1"/>
  <c r="AA113" i="3" s="1"/>
  <c r="AB113" i="3" a="1"/>
  <c r="AB113" i="3" s="1"/>
  <c r="D105" i="3" a="1"/>
  <c r="D105" i="3" s="1"/>
  <c r="H105" i="3"/>
  <c r="Z105" i="3" a="1"/>
  <c r="Z105" i="3" s="1"/>
  <c r="Y105" i="3" a="1"/>
  <c r="Y105" i="3" s="1"/>
  <c r="AG105" i="3" a="1"/>
  <c r="AG105" i="3" s="1"/>
  <c r="AC105" i="3" a="1"/>
  <c r="AC105" i="3" s="1"/>
  <c r="AB105" i="3" a="1"/>
  <c r="AB105" i="3" s="1"/>
  <c r="AA105" i="3" a="1"/>
  <c r="AA105" i="3" s="1"/>
  <c r="AF105" i="3" a="1"/>
  <c r="AF105" i="3" s="1"/>
  <c r="I105" i="3" a="1"/>
  <c r="I105" i="3" s="1"/>
  <c r="I352" i="3" a="1"/>
  <c r="I352" i="3" s="1"/>
  <c r="AA352" i="3" a="1"/>
  <c r="AA352" i="3" s="1"/>
  <c r="AC352" i="3" a="1"/>
  <c r="AC352" i="3" s="1"/>
  <c r="AF352" i="3" a="1"/>
  <c r="AF352" i="3" s="1"/>
  <c r="AG352" i="3" a="1"/>
  <c r="AG352" i="3" s="1"/>
  <c r="H352" i="3"/>
  <c r="Z352" i="3" a="1"/>
  <c r="Z352" i="3" s="1"/>
  <c r="AB352" i="3" a="1"/>
  <c r="AB352" i="3" s="1"/>
  <c r="D352" i="3" a="1"/>
  <c r="D352" i="3" s="1"/>
  <c r="Y352" i="3" a="1"/>
  <c r="Y352" i="3" s="1"/>
  <c r="I92" i="3" a="1"/>
  <c r="I92" i="3" s="1"/>
  <c r="H92" i="3"/>
  <c r="Z92" i="3" a="1"/>
  <c r="Z92" i="3" s="1"/>
  <c r="AA92" i="3" a="1"/>
  <c r="AA92" i="3" s="1"/>
  <c r="AC92" i="3" a="1"/>
  <c r="AC92" i="3" s="1"/>
  <c r="D92" i="3" a="1"/>
  <c r="D92" i="3" s="1"/>
  <c r="Y92" i="3" a="1"/>
  <c r="Y92" i="3" s="1"/>
  <c r="AB92" i="3" a="1"/>
  <c r="AB92" i="3" s="1"/>
  <c r="AG92" i="3" a="1"/>
  <c r="AG92" i="3" s="1"/>
  <c r="AF92" i="3" a="1"/>
  <c r="AF92" i="3" s="1"/>
  <c r="H11" i="3"/>
  <c r="AC11" i="3" a="1"/>
  <c r="AC11" i="3" s="1"/>
  <c r="AB11" i="3" a="1"/>
  <c r="AB11" i="3" s="1"/>
  <c r="D11" i="3" a="1"/>
  <c r="D11" i="3" s="1"/>
  <c r="I11" i="3" a="1"/>
  <c r="I11" i="3" s="1"/>
  <c r="Y11" i="3" a="1"/>
  <c r="Y11" i="3" s="1"/>
  <c r="U11" i="3" a="1"/>
  <c r="U11" i="3" s="1"/>
  <c r="AF11" i="3" a="1"/>
  <c r="AF11" i="3" s="1"/>
  <c r="G11" i="3" a="1"/>
  <c r="G11" i="3" s="1"/>
  <c r="AA11" i="3" a="1"/>
  <c r="AA11" i="3" s="1"/>
  <c r="AG11" i="3" a="1"/>
  <c r="AG11" i="3" s="1"/>
  <c r="Z11" i="3" a="1"/>
  <c r="Z11" i="3" s="1"/>
  <c r="AA322" i="3" a="1"/>
  <c r="AA322" i="3" s="1"/>
  <c r="AC322" i="3" a="1"/>
  <c r="AC322" i="3" s="1"/>
  <c r="AG322" i="3" a="1"/>
  <c r="AG322" i="3" s="1"/>
  <c r="I322" i="3" a="1"/>
  <c r="I322" i="3" s="1"/>
  <c r="Z322" i="3" a="1"/>
  <c r="Z322" i="3" s="1"/>
  <c r="Y322" i="3" a="1"/>
  <c r="Y322" i="3" s="1"/>
  <c r="AF322" i="3" a="1"/>
  <c r="AF322" i="3" s="1"/>
  <c r="H322" i="3"/>
  <c r="AB322" i="3" a="1"/>
  <c r="AB322" i="3" s="1"/>
  <c r="D322" i="3" a="1"/>
  <c r="D322" i="3" s="1"/>
  <c r="AA86" i="3" a="1"/>
  <c r="AA86" i="3" s="1"/>
  <c r="AF86" i="3" a="1"/>
  <c r="AF86" i="3" s="1"/>
  <c r="Z86" i="3" a="1"/>
  <c r="Z86" i="3" s="1"/>
  <c r="Y86" i="3" a="1"/>
  <c r="Y86" i="3" s="1"/>
  <c r="AC86" i="3" a="1"/>
  <c r="AC86" i="3" s="1"/>
  <c r="H86" i="3"/>
  <c r="AB86" i="3" a="1"/>
  <c r="AB86" i="3" s="1"/>
  <c r="AG86" i="3" a="1"/>
  <c r="AG86" i="3" s="1"/>
  <c r="I86" i="3" a="1"/>
  <c r="I86" i="3" s="1"/>
  <c r="D86" i="3" a="1"/>
  <c r="D86" i="3" s="1"/>
  <c r="D35" i="3" a="1"/>
  <c r="D35" i="3" s="1"/>
  <c r="Y35" i="3" a="1"/>
  <c r="Y35" i="3" s="1"/>
  <c r="H35" i="3"/>
  <c r="AB35" i="3" a="1"/>
  <c r="AB35" i="3" s="1"/>
  <c r="Z35" i="3" a="1"/>
  <c r="Z35" i="3" s="1"/>
  <c r="AC35" i="3" a="1"/>
  <c r="AC35" i="3" s="1"/>
  <c r="AA35" i="3" a="1"/>
  <c r="AA35" i="3" s="1"/>
  <c r="AG35" i="3" a="1"/>
  <c r="AG35" i="3" s="1"/>
  <c r="I35" i="3" a="1"/>
  <c r="I35" i="3" s="1"/>
  <c r="AF35" i="3" a="1"/>
  <c r="AF35" i="3" s="1"/>
  <c r="Y290" i="3" a="1"/>
  <c r="Y290" i="3" s="1"/>
  <c r="AC290" i="3" a="1"/>
  <c r="AC290" i="3" s="1"/>
  <c r="I290" i="3" a="1"/>
  <c r="I290" i="3" s="1"/>
  <c r="H290" i="3"/>
  <c r="AA290" i="3" a="1"/>
  <c r="AA290" i="3" s="1"/>
  <c r="AF290" i="3" a="1"/>
  <c r="AF290" i="3" s="1"/>
  <c r="AB290" i="3" a="1"/>
  <c r="AB290" i="3" s="1"/>
  <c r="D290" i="3" a="1"/>
  <c r="D290" i="3" s="1"/>
  <c r="Z290" i="3" a="1"/>
  <c r="Z290" i="3" s="1"/>
  <c r="AG290" i="3" a="1"/>
  <c r="AG290" i="3" s="1"/>
  <c r="H236" i="3"/>
  <c r="I236" i="3" a="1"/>
  <c r="I236" i="3" s="1"/>
  <c r="Y236" i="3" a="1"/>
  <c r="Y236" i="3" s="1"/>
  <c r="AC236" i="3" a="1"/>
  <c r="AC236" i="3" s="1"/>
  <c r="AG236" i="3" a="1"/>
  <c r="AG236" i="3" s="1"/>
  <c r="AF236" i="3" a="1"/>
  <c r="AF236" i="3" s="1"/>
  <c r="AA236" i="3" a="1"/>
  <c r="AA236" i="3" s="1"/>
  <c r="AB236" i="3" a="1"/>
  <c r="AB236" i="3" s="1"/>
  <c r="D236" i="3" a="1"/>
  <c r="D236" i="3" s="1"/>
  <c r="Z236" i="3" a="1"/>
  <c r="Z236" i="3" s="1"/>
  <c r="Y279" i="3" a="1"/>
  <c r="Y279" i="3" s="1"/>
  <c r="AG279" i="3" a="1"/>
  <c r="AG279" i="3" s="1"/>
  <c r="AF279" i="3" a="1"/>
  <c r="AF279" i="3" s="1"/>
  <c r="D279" i="3" a="1"/>
  <c r="D279" i="3" s="1"/>
  <c r="H279" i="3"/>
  <c r="AA279" i="3" a="1"/>
  <c r="AA279" i="3" s="1"/>
  <c r="I279" i="3" a="1"/>
  <c r="I279" i="3" s="1"/>
  <c r="AC279" i="3" a="1"/>
  <c r="AC279" i="3" s="1"/>
  <c r="Z279" i="3" a="1"/>
  <c r="Z279" i="3" s="1"/>
  <c r="AB279" i="3" a="1"/>
  <c r="AB279" i="3" s="1"/>
  <c r="Z122" i="3" a="1"/>
  <c r="Z122" i="3" s="1"/>
  <c r="AB122" i="3" a="1"/>
  <c r="AB122" i="3" s="1"/>
  <c r="U122" i="3" a="1"/>
  <c r="U122" i="3" s="1"/>
  <c r="AF122" i="3" a="1"/>
  <c r="AF122" i="3" s="1"/>
  <c r="Y122" i="3" a="1"/>
  <c r="Y122" i="3" s="1"/>
  <c r="AA122" i="3" a="1"/>
  <c r="AA122" i="3" s="1"/>
  <c r="H122" i="3"/>
  <c r="F122" i="3" a="1"/>
  <c r="F122" i="3" s="1"/>
  <c r="G122" i="3" a="1"/>
  <c r="G122" i="3" s="1"/>
  <c r="AG122" i="3" a="1"/>
  <c r="AG122" i="3" s="1"/>
  <c r="I122" i="3" a="1"/>
  <c r="I122" i="3" s="1"/>
  <c r="E122" i="3" a="1"/>
  <c r="E122" i="3" s="1"/>
  <c r="AC122" i="3" a="1"/>
  <c r="AC122" i="3" s="1"/>
  <c r="AC67" i="3" a="1"/>
  <c r="AC67" i="3" s="1"/>
  <c r="E67" i="3" a="1"/>
  <c r="E67" i="3" s="1"/>
  <c r="U67" i="3" a="1"/>
  <c r="U67" i="3" s="1"/>
  <c r="Z67" i="3" a="1"/>
  <c r="Z67" i="3" s="1"/>
  <c r="Y67" i="3" a="1"/>
  <c r="Y67" i="3" s="1"/>
  <c r="F67" i="3" a="1"/>
  <c r="F67" i="3" s="1"/>
  <c r="AF67" i="3" a="1"/>
  <c r="AF67" i="3" s="1"/>
  <c r="H67" i="3"/>
  <c r="G67" i="3" a="1"/>
  <c r="G67" i="3" s="1"/>
  <c r="I67" i="3" a="1"/>
  <c r="I67" i="3" s="1"/>
  <c r="AB67" i="3" a="1"/>
  <c r="AB67" i="3" s="1"/>
  <c r="AG67" i="3" a="1"/>
  <c r="AG67" i="3" s="1"/>
  <c r="AA67" i="3" a="1"/>
  <c r="AA67" i="3" s="1"/>
  <c r="H43" i="3"/>
  <c r="AF43" i="3" a="1"/>
  <c r="AF43" i="3" s="1"/>
  <c r="E43" i="3" a="1"/>
  <c r="E43" i="3" s="1"/>
  <c r="AB43" i="3" a="1"/>
  <c r="AB43" i="3" s="1"/>
  <c r="AA43" i="3" a="1"/>
  <c r="AA43" i="3" s="1"/>
  <c r="AC43" i="3" a="1"/>
  <c r="AC43" i="3" s="1"/>
  <c r="Z43" i="3" a="1"/>
  <c r="Z43" i="3" s="1"/>
  <c r="U43" i="3" a="1"/>
  <c r="U43" i="3" s="1"/>
  <c r="Y43" i="3" a="1"/>
  <c r="Y43" i="3" s="1"/>
  <c r="G43" i="3" a="1"/>
  <c r="G43" i="3" s="1"/>
  <c r="AG43" i="3" a="1"/>
  <c r="AG43" i="3" s="1"/>
  <c r="F43" i="3" a="1"/>
  <c r="F43" i="3" s="1"/>
  <c r="I43" i="3" a="1"/>
  <c r="I43" i="3" s="1"/>
  <c r="AC295" i="3" a="1"/>
  <c r="AC295" i="3" s="1"/>
  <c r="AB295" i="3" a="1"/>
  <c r="AB295" i="3" s="1"/>
  <c r="AG295" i="3" a="1"/>
  <c r="AG295" i="3" s="1"/>
  <c r="H295" i="3"/>
  <c r="F295" i="3" a="1"/>
  <c r="F295" i="3" s="1"/>
  <c r="Z295" i="3" a="1"/>
  <c r="Z295" i="3" s="1"/>
  <c r="Y295" i="3" a="1"/>
  <c r="Y295" i="3" s="1"/>
  <c r="E295" i="3" a="1"/>
  <c r="E295" i="3" s="1"/>
  <c r="U295" i="3" a="1"/>
  <c r="U295" i="3" s="1"/>
  <c r="AA295" i="3" a="1"/>
  <c r="AA295" i="3" s="1"/>
  <c r="I295" i="3" a="1"/>
  <c r="I295" i="3" s="1"/>
  <c r="G295" i="3" a="1"/>
  <c r="G295" i="3" s="1"/>
  <c r="AF295" i="3" a="1"/>
  <c r="AF295" i="3" s="1"/>
  <c r="AB285" i="3" a="1"/>
  <c r="AB285" i="3" s="1"/>
  <c r="I285" i="3" a="1"/>
  <c r="I285" i="3" s="1"/>
  <c r="AA285" i="3" a="1"/>
  <c r="AA285" i="3" s="1"/>
  <c r="D285" i="3" a="1"/>
  <c r="D285" i="3" s="1"/>
  <c r="AG285" i="3" a="1"/>
  <c r="AG285" i="3" s="1"/>
  <c r="AF285" i="3" a="1"/>
  <c r="AF285" i="3" s="1"/>
  <c r="H285" i="3"/>
  <c r="Z285" i="3" a="1"/>
  <c r="Z285" i="3" s="1"/>
  <c r="AC285" i="3" a="1"/>
  <c r="AC285" i="3" s="1"/>
  <c r="Y285" i="3" a="1"/>
  <c r="Y285" i="3" s="1"/>
  <c r="AA228" i="3" a="1"/>
  <c r="AA228" i="3" s="1"/>
  <c r="AB228" i="3" a="1"/>
  <c r="AB228" i="3" s="1"/>
  <c r="Y228" i="3" a="1"/>
  <c r="Y228" i="3" s="1"/>
  <c r="AF228" i="3" a="1"/>
  <c r="AF228" i="3" s="1"/>
  <c r="D228" i="3" a="1"/>
  <c r="D228" i="3" s="1"/>
  <c r="AG228" i="3" a="1"/>
  <c r="AG228" i="3" s="1"/>
  <c r="H228" i="3"/>
  <c r="AC228" i="3" a="1"/>
  <c r="AC228" i="3" s="1"/>
  <c r="I228" i="3" a="1"/>
  <c r="I228" i="3" s="1"/>
  <c r="Z228" i="3" a="1"/>
  <c r="Z228" i="3" s="1"/>
  <c r="AA275" i="3" a="1"/>
  <c r="AA275" i="3" s="1"/>
  <c r="H275" i="3"/>
  <c r="I275" i="3" a="1"/>
  <c r="I275" i="3" s="1"/>
  <c r="AB275" i="3" a="1"/>
  <c r="AB275" i="3" s="1"/>
  <c r="AG275" i="3" a="1"/>
  <c r="AG275" i="3" s="1"/>
  <c r="AF275" i="3" a="1"/>
  <c r="AF275" i="3" s="1"/>
  <c r="Z275" i="3" a="1"/>
  <c r="Z275" i="3" s="1"/>
  <c r="Y275" i="3" a="1"/>
  <c r="Y275" i="3" s="1"/>
  <c r="D275" i="3" a="1"/>
  <c r="D275" i="3" s="1"/>
  <c r="AC275" i="3" a="1"/>
  <c r="AC275" i="3" s="1"/>
  <c r="H210" i="3"/>
  <c r="Z210" i="3" a="1"/>
  <c r="Z210" i="3" s="1"/>
  <c r="Y210" i="3" a="1"/>
  <c r="Y210" i="3" s="1"/>
  <c r="AF210" i="3" a="1"/>
  <c r="AF210" i="3" s="1"/>
  <c r="E210" i="3" a="1"/>
  <c r="E210" i="3" s="1"/>
  <c r="U210" i="3" a="1"/>
  <c r="U210" i="3" s="1"/>
  <c r="AB210" i="3" a="1"/>
  <c r="AB210" i="3" s="1"/>
  <c r="AA210" i="3" a="1"/>
  <c r="AA210" i="3" s="1"/>
  <c r="F210" i="3" a="1"/>
  <c r="F210" i="3" s="1"/>
  <c r="G210" i="3" a="1"/>
  <c r="G210" i="3" s="1"/>
  <c r="AC210" i="3" a="1"/>
  <c r="AC210" i="3" s="1"/>
  <c r="I210" i="3" a="1"/>
  <c r="I210" i="3" s="1"/>
  <c r="AG210" i="3" a="1"/>
  <c r="AG210" i="3" s="1"/>
  <c r="D210" i="3" a="1"/>
  <c r="D210" i="3" s="1"/>
  <c r="F201" i="3" a="1"/>
  <c r="F201" i="3" s="1"/>
  <c r="AB201" i="3" a="1"/>
  <c r="AB201" i="3" s="1"/>
  <c r="E201" i="3" a="1"/>
  <c r="E201" i="3" s="1"/>
  <c r="U201" i="3" a="1"/>
  <c r="U201" i="3" s="1"/>
  <c r="D201" i="3" a="1"/>
  <c r="D201" i="3" s="1"/>
  <c r="G201" i="3" a="1"/>
  <c r="G201" i="3" s="1"/>
  <c r="AF201" i="3" a="1"/>
  <c r="AF201" i="3" s="1"/>
  <c r="Y201" i="3" a="1"/>
  <c r="Y201" i="3" s="1"/>
  <c r="Z201" i="3" a="1"/>
  <c r="Z201" i="3" s="1"/>
  <c r="I201" i="3" a="1"/>
  <c r="I201" i="3" s="1"/>
  <c r="AC201" i="3" a="1"/>
  <c r="AC201" i="3" s="1"/>
  <c r="H201" i="3"/>
  <c r="AG201" i="3" a="1"/>
  <c r="AG201" i="3" s="1"/>
  <c r="AA201" i="3" a="1"/>
  <c r="AA201" i="3" s="1"/>
  <c r="AC194" i="3" a="1"/>
  <c r="AC194" i="3" s="1"/>
  <c r="I194" i="3" a="1"/>
  <c r="I194" i="3" s="1"/>
  <c r="Y194" i="3" a="1"/>
  <c r="Y194" i="3" s="1"/>
  <c r="AG194" i="3" a="1"/>
  <c r="AG194" i="3" s="1"/>
  <c r="AB194" i="3" a="1"/>
  <c r="AB194" i="3" s="1"/>
  <c r="D194" i="3" a="1"/>
  <c r="D194" i="3" s="1"/>
  <c r="AF194" i="3" a="1"/>
  <c r="AF194" i="3" s="1"/>
  <c r="H194" i="3"/>
  <c r="Z194" i="3" a="1"/>
  <c r="Z194" i="3" s="1"/>
  <c r="AA194" i="3" a="1"/>
  <c r="AA194" i="3" s="1"/>
  <c r="H186" i="3"/>
  <c r="AA186" i="3" a="1"/>
  <c r="AA186" i="3" s="1"/>
  <c r="AF186" i="3" a="1"/>
  <c r="AF186" i="3" s="1"/>
  <c r="Z186" i="3" a="1"/>
  <c r="Z186" i="3" s="1"/>
  <c r="AC186" i="3" a="1"/>
  <c r="AC186" i="3" s="1"/>
  <c r="F186" i="3" a="1"/>
  <c r="F186" i="3" s="1"/>
  <c r="G186" i="3" a="1"/>
  <c r="G186" i="3" s="1"/>
  <c r="AB186" i="3" a="1"/>
  <c r="AB186" i="3" s="1"/>
  <c r="U186" i="3" a="1"/>
  <c r="U186" i="3" s="1"/>
  <c r="E186" i="3" a="1"/>
  <c r="E186" i="3" s="1"/>
  <c r="D186" i="3" a="1"/>
  <c r="D186" i="3" s="1"/>
  <c r="Y186" i="3" a="1"/>
  <c r="Y186" i="3" s="1"/>
  <c r="I186" i="3" a="1"/>
  <c r="I186" i="3" s="1"/>
  <c r="AG186" i="3" a="1"/>
  <c r="AG186" i="3" s="1"/>
  <c r="I181" i="3" a="1"/>
  <c r="I181" i="3" s="1"/>
  <c r="Y181" i="3" a="1"/>
  <c r="Y181" i="3" s="1"/>
  <c r="AC181" i="3" a="1"/>
  <c r="AC181" i="3" s="1"/>
  <c r="AB181" i="3" a="1"/>
  <c r="AB181" i="3" s="1"/>
  <c r="D181" i="3" a="1"/>
  <c r="D181" i="3" s="1"/>
  <c r="AF181" i="3" a="1"/>
  <c r="AF181" i="3" s="1"/>
  <c r="AG181" i="3" a="1"/>
  <c r="AG181" i="3" s="1"/>
  <c r="H181" i="3"/>
  <c r="Z181" i="3" a="1"/>
  <c r="Z181" i="3" s="1"/>
  <c r="AA181" i="3" a="1"/>
  <c r="AA181" i="3" s="1"/>
  <c r="Z358" i="3" a="1"/>
  <c r="Z358" i="3" s="1"/>
  <c r="AA358" i="3" a="1"/>
  <c r="AA358" i="3" s="1"/>
  <c r="D358" i="3" a="1"/>
  <c r="D358" i="3" s="1"/>
  <c r="AG358" i="3" a="1"/>
  <c r="AG358" i="3" s="1"/>
  <c r="AC358" i="3" a="1"/>
  <c r="AC358" i="3" s="1"/>
  <c r="I358" i="3" a="1"/>
  <c r="I358" i="3" s="1"/>
  <c r="Y358" i="3" a="1"/>
  <c r="Y358" i="3" s="1"/>
  <c r="AB358" i="3" a="1"/>
  <c r="AB358" i="3" s="1"/>
  <c r="H358" i="3"/>
  <c r="AF358" i="3" a="1"/>
  <c r="AF358" i="3" s="1"/>
  <c r="Z173" i="3" a="1"/>
  <c r="Z173" i="3" s="1"/>
  <c r="AC173" i="3" a="1"/>
  <c r="AC173" i="3" s="1"/>
  <c r="D173" i="3" a="1"/>
  <c r="D173" i="3" s="1"/>
  <c r="AG173" i="3" a="1"/>
  <c r="AG173" i="3" s="1"/>
  <c r="H173" i="3"/>
  <c r="I173" i="3" a="1"/>
  <c r="I173" i="3" s="1"/>
  <c r="Y173" i="3" a="1"/>
  <c r="Y173" i="3" s="1"/>
  <c r="AB173" i="3" a="1"/>
  <c r="AB173" i="3" s="1"/>
  <c r="AA173" i="3" a="1"/>
  <c r="AA173" i="3" s="1"/>
  <c r="AF173" i="3" a="1"/>
  <c r="AF173" i="3" s="1"/>
  <c r="AA112" i="3" a="1"/>
  <c r="AA112" i="3" s="1"/>
  <c r="AB112" i="3" a="1"/>
  <c r="AB112" i="3" s="1"/>
  <c r="AC112" i="3" a="1"/>
  <c r="AC112" i="3" s="1"/>
  <c r="Z112" i="3" a="1"/>
  <c r="Z112" i="3" s="1"/>
  <c r="Y112" i="3" a="1"/>
  <c r="Y112" i="3" s="1"/>
  <c r="AF112" i="3" a="1"/>
  <c r="AF112" i="3" s="1"/>
  <c r="D112" i="3" a="1"/>
  <c r="D112" i="3" s="1"/>
  <c r="H112" i="3"/>
  <c r="AG112" i="3" a="1"/>
  <c r="AG112" i="3" s="1"/>
  <c r="I112" i="3" a="1"/>
  <c r="I112" i="3" s="1"/>
  <c r="AF350" i="3" a="1"/>
  <c r="AF350" i="3" s="1"/>
  <c r="Z350" i="3" a="1"/>
  <c r="Z350" i="3" s="1"/>
  <c r="AB350" i="3" a="1"/>
  <c r="AB350" i="3" s="1"/>
  <c r="AA350" i="3" a="1"/>
  <c r="AA350" i="3" s="1"/>
  <c r="AC350" i="3" a="1"/>
  <c r="AC350" i="3" s="1"/>
  <c r="D350" i="3" a="1"/>
  <c r="D350" i="3" s="1"/>
  <c r="I350" i="3" a="1"/>
  <c r="I350" i="3" s="1"/>
  <c r="AG350" i="3" a="1"/>
  <c r="AG350" i="3" s="1"/>
  <c r="H350" i="3"/>
  <c r="Y350" i="3" a="1"/>
  <c r="Y350" i="3" s="1"/>
  <c r="Z46" i="3" a="1"/>
  <c r="Z46" i="3" s="1"/>
  <c r="AB46" i="3" a="1"/>
  <c r="AB46" i="3" s="1"/>
  <c r="AA46" i="3" a="1"/>
  <c r="AA46" i="3" s="1"/>
  <c r="Y46" i="3" a="1"/>
  <c r="Y46" i="3" s="1"/>
  <c r="AF46" i="3" a="1"/>
  <c r="AF46" i="3" s="1"/>
  <c r="AC46" i="3" a="1"/>
  <c r="AC46" i="3" s="1"/>
  <c r="AG46" i="3" a="1"/>
  <c r="AG46" i="3" s="1"/>
  <c r="I46" i="3" a="1"/>
  <c r="I46" i="3" s="1"/>
  <c r="H46" i="3"/>
  <c r="D46" i="3" a="1"/>
  <c r="D46" i="3" s="1"/>
  <c r="AB271" i="3" a="1"/>
  <c r="AB271" i="3" s="1"/>
  <c r="D271" i="3" a="1"/>
  <c r="D271" i="3" s="1"/>
  <c r="Z271" i="3" a="1"/>
  <c r="Z271" i="3" s="1"/>
  <c r="AG271" i="3" a="1"/>
  <c r="AG271" i="3" s="1"/>
  <c r="H271" i="3"/>
  <c r="I271" i="3" a="1"/>
  <c r="I271" i="3" s="1"/>
  <c r="AF271" i="3" a="1"/>
  <c r="AF271" i="3" s="1"/>
  <c r="Y271" i="3" a="1"/>
  <c r="Y271" i="3" s="1"/>
  <c r="AA271" i="3" a="1"/>
  <c r="AA271" i="3" s="1"/>
  <c r="AC271" i="3" a="1"/>
  <c r="AC271" i="3" s="1"/>
  <c r="AC267" i="3" a="1"/>
  <c r="AC267" i="3" s="1"/>
  <c r="AF267" i="3" a="1"/>
  <c r="AF267" i="3" s="1"/>
  <c r="D267" i="3" a="1"/>
  <c r="D267" i="3" s="1"/>
  <c r="H267" i="3"/>
  <c r="I267" i="3" a="1"/>
  <c r="I267" i="3" s="1"/>
  <c r="Z267" i="3" a="1"/>
  <c r="Z267" i="3" s="1"/>
  <c r="Y267" i="3" a="1"/>
  <c r="Y267" i="3" s="1"/>
  <c r="AA267" i="3" a="1"/>
  <c r="AA267" i="3" s="1"/>
  <c r="AG267" i="3" a="1"/>
  <c r="AG267" i="3" s="1"/>
  <c r="AB267" i="3" a="1"/>
  <c r="AB267" i="3" s="1"/>
  <c r="H174" i="3"/>
  <c r="AG174" i="3" a="1"/>
  <c r="AG174" i="3" s="1"/>
  <c r="AF174" i="3" a="1"/>
  <c r="AF174" i="3" s="1"/>
  <c r="I174" i="3" a="1"/>
  <c r="I174" i="3" s="1"/>
  <c r="AC174" i="3" a="1"/>
  <c r="AC174" i="3" s="1"/>
  <c r="AA174" i="3" a="1"/>
  <c r="AA174" i="3" s="1"/>
  <c r="Z174" i="3" a="1"/>
  <c r="Z174" i="3" s="1"/>
  <c r="AB174" i="3" a="1"/>
  <c r="AB174" i="3" s="1"/>
  <c r="D174" i="3" a="1"/>
  <c r="D174" i="3" s="1"/>
  <c r="Y174" i="3" a="1"/>
  <c r="Y174" i="3" s="1"/>
  <c r="AG144" i="3" a="1"/>
  <c r="AG144" i="3" s="1"/>
  <c r="H144" i="3"/>
  <c r="Y144" i="3" a="1"/>
  <c r="Y144" i="3" s="1"/>
  <c r="AC144" i="3" a="1"/>
  <c r="AC144" i="3" s="1"/>
  <c r="Z144" i="3" a="1"/>
  <c r="Z144" i="3" s="1"/>
  <c r="D144" i="3" a="1"/>
  <c r="D144" i="3" s="1"/>
  <c r="AB144" i="3" a="1"/>
  <c r="AB144" i="3" s="1"/>
  <c r="AA144" i="3" a="1"/>
  <c r="AA144" i="3" s="1"/>
  <c r="I144" i="3" a="1"/>
  <c r="I144" i="3" s="1"/>
  <c r="AF144" i="3" a="1"/>
  <c r="AF144" i="3" s="1"/>
  <c r="AA136" i="3" a="1"/>
  <c r="AA136" i="3" s="1"/>
  <c r="AF136" i="3" a="1"/>
  <c r="AF136" i="3" s="1"/>
  <c r="D136" i="3" a="1"/>
  <c r="D136" i="3" s="1"/>
  <c r="AC136" i="3" a="1"/>
  <c r="AC136" i="3" s="1"/>
  <c r="I136" i="3" a="1"/>
  <c r="I136" i="3" s="1"/>
  <c r="U136" i="3" a="1"/>
  <c r="U136" i="3" s="1"/>
  <c r="Z136" i="3" a="1"/>
  <c r="Z136" i="3" s="1"/>
  <c r="E136" i="3" a="1"/>
  <c r="E136" i="3" s="1"/>
  <c r="H136" i="3"/>
  <c r="AG136" i="3" a="1"/>
  <c r="AG136" i="3" s="1"/>
  <c r="AB136" i="3" a="1"/>
  <c r="AB136" i="3" s="1"/>
  <c r="F136" i="3" a="1"/>
  <c r="F136" i="3" s="1"/>
  <c r="G136" i="3" a="1"/>
  <c r="G136" i="3" s="1"/>
  <c r="Y136" i="3" a="1"/>
  <c r="Y136" i="3" s="1"/>
  <c r="Y120" i="3" a="1"/>
  <c r="Y120" i="3" s="1"/>
  <c r="AG120" i="3" a="1"/>
  <c r="AG120" i="3" s="1"/>
  <c r="D120" i="3" a="1"/>
  <c r="D120" i="3" s="1"/>
  <c r="H120" i="3"/>
  <c r="I120" i="3" a="1"/>
  <c r="I120" i="3" s="1"/>
  <c r="AC120" i="3" a="1"/>
  <c r="AC120" i="3" s="1"/>
  <c r="AB120" i="3" a="1"/>
  <c r="AB120" i="3" s="1"/>
  <c r="AF120" i="3" a="1"/>
  <c r="AF120" i="3" s="1"/>
  <c r="Z120" i="3" a="1"/>
  <c r="Z120" i="3" s="1"/>
  <c r="AA120" i="3" a="1"/>
  <c r="AA120" i="3" s="1"/>
  <c r="Y261" i="3" a="1"/>
  <c r="Y261" i="3" s="1"/>
  <c r="AA261" i="3" a="1"/>
  <c r="AA261" i="3" s="1"/>
  <c r="AC261" i="3" a="1"/>
  <c r="AC261" i="3" s="1"/>
  <c r="I261" i="3" a="1"/>
  <c r="I261" i="3" s="1"/>
  <c r="D261" i="3" a="1"/>
  <c r="D261" i="3" s="1"/>
  <c r="F261" i="3" a="1"/>
  <c r="F261" i="3" s="1"/>
  <c r="U261" i="3" a="1"/>
  <c r="U261" i="3" s="1"/>
  <c r="E261" i="3" a="1"/>
  <c r="E261" i="3" s="1"/>
  <c r="G261" i="3" a="1"/>
  <c r="G261" i="3" s="1"/>
  <c r="AG261" i="3" a="1"/>
  <c r="AG261" i="3" s="1"/>
  <c r="H261" i="3"/>
  <c r="AF261" i="3" a="1"/>
  <c r="AF261" i="3" s="1"/>
  <c r="Z261" i="3" a="1"/>
  <c r="Z261" i="3" s="1"/>
  <c r="AB261" i="3" a="1"/>
  <c r="AB261" i="3" s="1"/>
  <c r="AA95" i="3" a="1"/>
  <c r="AA95" i="3" s="1"/>
  <c r="AF95" i="3" a="1"/>
  <c r="AF95" i="3" s="1"/>
  <c r="AC95" i="3" a="1"/>
  <c r="AC95" i="3" s="1"/>
  <c r="Z95" i="3" a="1"/>
  <c r="Z95" i="3" s="1"/>
  <c r="Y95" i="3" a="1"/>
  <c r="Y95" i="3" s="1"/>
  <c r="AG95" i="3" a="1"/>
  <c r="AG95" i="3" s="1"/>
  <c r="D95" i="3" a="1"/>
  <c r="D95" i="3" s="1"/>
  <c r="F95" i="3" a="1"/>
  <c r="F95" i="3" s="1"/>
  <c r="I95" i="3" a="1"/>
  <c r="I95" i="3" s="1"/>
  <c r="H95" i="3"/>
  <c r="U95" i="3" a="1"/>
  <c r="U95" i="3" s="1"/>
  <c r="G95" i="3" a="1"/>
  <c r="G95" i="3" s="1"/>
  <c r="AB95" i="3" a="1"/>
  <c r="AB95" i="3" s="1"/>
  <c r="E95" i="3" a="1"/>
  <c r="E95" i="3" s="1"/>
  <c r="H338" i="3"/>
  <c r="AB338" i="3" a="1"/>
  <c r="AB338" i="3" s="1"/>
  <c r="Z338" i="3" a="1"/>
  <c r="Z338" i="3" s="1"/>
  <c r="AG338" i="3" a="1"/>
  <c r="AG338" i="3" s="1"/>
  <c r="I338" i="3" a="1"/>
  <c r="I338" i="3" s="1"/>
  <c r="AF338" i="3" a="1"/>
  <c r="AF338" i="3" s="1"/>
  <c r="AC338" i="3" a="1"/>
  <c r="AC338" i="3" s="1"/>
  <c r="AA338" i="3" a="1"/>
  <c r="AA338" i="3" s="1"/>
  <c r="D338" i="3" a="1"/>
  <c r="D338" i="3" s="1"/>
  <c r="Y338" i="3" a="1"/>
  <c r="Y338" i="3" s="1"/>
  <c r="AB19" i="3" a="1"/>
  <c r="AB19" i="3" s="1"/>
  <c r="AC19" i="3" a="1"/>
  <c r="AC19" i="3" s="1"/>
  <c r="H19" i="3"/>
  <c r="AA19" i="3" a="1"/>
  <c r="AA19" i="3" s="1"/>
  <c r="AF19" i="3" a="1"/>
  <c r="AF19" i="3" s="1"/>
  <c r="D19" i="3" a="1"/>
  <c r="D19" i="3" s="1"/>
  <c r="I19" i="3" a="1"/>
  <c r="I19" i="3" s="1"/>
  <c r="Y19" i="3" a="1"/>
  <c r="Y19" i="3" s="1"/>
  <c r="U19" i="3" a="1"/>
  <c r="U19" i="3" s="1"/>
  <c r="G19" i="3" a="1"/>
  <c r="G19" i="3" s="1"/>
  <c r="AG19" i="3" a="1"/>
  <c r="AG19" i="3" s="1"/>
  <c r="Z19" i="3" a="1"/>
  <c r="Z19" i="3" s="1"/>
  <c r="U9" i="3" a="1"/>
  <c r="U9" i="3" s="1"/>
  <c r="AC9" i="3" a="1"/>
  <c r="AC9" i="3" s="1"/>
  <c r="AF9" i="3" a="1"/>
  <c r="AF9" i="3" s="1"/>
  <c r="Y9" i="3" a="1"/>
  <c r="Y9" i="3" s="1"/>
  <c r="AB9" i="3" a="1"/>
  <c r="AB9" i="3" s="1"/>
  <c r="AA9" i="3" a="1"/>
  <c r="AA9" i="3" s="1"/>
  <c r="I9" i="3" a="1"/>
  <c r="I9" i="3" s="1"/>
  <c r="F9" i="3" a="1"/>
  <c r="F9" i="3" s="1"/>
  <c r="Z9" i="3" a="1"/>
  <c r="Z9" i="3" s="1"/>
  <c r="D9" i="3" a="1"/>
  <c r="D9" i="3" s="1"/>
  <c r="H9" i="3"/>
  <c r="G9" i="3" a="1"/>
  <c r="G9" i="3" s="1"/>
  <c r="AG9" i="3" a="1"/>
  <c r="AG9" i="3" s="1"/>
  <c r="E9" i="3" a="1"/>
  <c r="E9" i="3" s="1"/>
  <c r="I256" i="3" a="1"/>
  <c r="I256" i="3" s="1"/>
  <c r="AB256" i="3" a="1"/>
  <c r="AB256" i="3" s="1"/>
  <c r="AG256" i="3" a="1"/>
  <c r="AG256" i="3" s="1"/>
  <c r="Z256" i="3" a="1"/>
  <c r="Z256" i="3" s="1"/>
  <c r="Y256" i="3" a="1"/>
  <c r="Y256" i="3" s="1"/>
  <c r="D256" i="3" a="1"/>
  <c r="D256" i="3" s="1"/>
  <c r="H256" i="3"/>
  <c r="AA256" i="3" a="1"/>
  <c r="AA256" i="3" s="1"/>
  <c r="AF256" i="3" a="1"/>
  <c r="AF256" i="3" s="1"/>
  <c r="AC256" i="3" a="1"/>
  <c r="AC256" i="3" s="1"/>
  <c r="Z20" i="8" l="1"/>
  <c r="Z20" i="7"/>
  <c r="Z19" i="7"/>
  <c r="Z21" i="7"/>
  <c r="Z18" i="7"/>
  <c r="Z21" i="8"/>
  <c r="Z19" i="8"/>
  <c r="Z18" i="8"/>
  <c r="E17" i="4"/>
  <c r="E16" i="5"/>
  <c r="E19" i="4"/>
  <c r="E18" i="5"/>
  <c r="E20" i="4"/>
  <c r="E19" i="5"/>
  <c r="D17" i="4"/>
  <c r="D16" i="5"/>
  <c r="D20" i="4"/>
  <c r="D19" i="5"/>
  <c r="D18" i="4"/>
  <c r="D17" i="5"/>
  <c r="D19" i="4"/>
  <c r="D18" i="5"/>
  <c r="E18" i="4"/>
  <c r="E17" i="5"/>
  <c r="V80" i="3"/>
  <c r="M54" i="3" a="1"/>
  <c r="M54" i="3" s="1"/>
  <c r="M36" i="3" a="1"/>
  <c r="M36" i="3" s="1"/>
  <c r="M297" i="3" a="1"/>
  <c r="M297" i="3" s="1"/>
  <c r="M43" i="3" a="1"/>
  <c r="M43" i="3" s="1"/>
  <c r="M292" i="3" a="1"/>
  <c r="M292" i="3" s="1"/>
  <c r="V350" i="3"/>
  <c r="P279" i="3"/>
  <c r="V283" i="3"/>
  <c r="V221" i="3"/>
  <c r="P84" i="3"/>
  <c r="V132" i="3"/>
  <c r="V137" i="3"/>
  <c r="V255" i="3"/>
  <c r="P207" i="3"/>
  <c r="V231" i="3"/>
  <c r="P86" i="3"/>
  <c r="V107" i="3"/>
  <c r="P277" i="3"/>
  <c r="V366" i="3"/>
  <c r="P222" i="3"/>
  <c r="P253" i="3"/>
  <c r="V135" i="3"/>
  <c r="P385" i="3"/>
  <c r="V35" i="3"/>
  <c r="P284" i="3"/>
  <c r="P232" i="3"/>
  <c r="M57" i="3" a="1"/>
  <c r="M57" i="3" s="1"/>
  <c r="P184" i="3"/>
  <c r="V371" i="3"/>
  <c r="P264" i="3"/>
  <c r="P364" i="3"/>
  <c r="M24" i="3" a="1"/>
  <c r="M24" i="3" s="1"/>
  <c r="P20" i="3"/>
  <c r="M48" i="3" a="1"/>
  <c r="M48" i="3" s="1"/>
  <c r="M39" i="3" a="1"/>
  <c r="M39" i="3" s="1"/>
  <c r="P4" i="3"/>
  <c r="V268" i="3"/>
  <c r="V367" i="3"/>
  <c r="M30" i="3" a="1"/>
  <c r="M30" i="3" s="1"/>
  <c r="M56" i="3" a="1"/>
  <c r="M56" i="3" s="1"/>
  <c r="V83" i="3"/>
  <c r="P213" i="3"/>
  <c r="V81" i="3"/>
  <c r="V177" i="3"/>
  <c r="V263" i="3"/>
  <c r="P216" i="3"/>
  <c r="P400" i="3"/>
  <c r="M31" i="3" a="1"/>
  <c r="M31" i="3" s="1"/>
  <c r="V338" i="3"/>
  <c r="V87" i="3"/>
  <c r="P116" i="3"/>
  <c r="P305" i="3"/>
  <c r="V332" i="3"/>
  <c r="V99" i="3"/>
  <c r="V260" i="3"/>
  <c r="P81" i="3"/>
  <c r="P289" i="3"/>
  <c r="V275" i="3"/>
  <c r="P119" i="3"/>
  <c r="V271" i="3"/>
  <c r="V98" i="3"/>
  <c r="P233" i="3"/>
  <c r="V105" i="3"/>
  <c r="V90" i="3"/>
  <c r="V46" i="3"/>
  <c r="V180" i="3"/>
  <c r="V270" i="3"/>
  <c r="P278" i="3"/>
  <c r="P115" i="3"/>
  <c r="P187" i="3"/>
  <c r="V303" i="3"/>
  <c r="V253" i="3"/>
  <c r="V222" i="3"/>
  <c r="V40" i="3"/>
  <c r="P227" i="3"/>
  <c r="M22" i="3" a="1"/>
  <c r="M22" i="3" s="1"/>
  <c r="M45" i="3" a="1"/>
  <c r="M45" i="3" s="1"/>
  <c r="M38" i="3" a="1"/>
  <c r="M38" i="3" s="1"/>
  <c r="M26" i="3" a="1"/>
  <c r="M26" i="3" s="1"/>
  <c r="M67" i="3" a="1"/>
  <c r="M67" i="3" s="1"/>
  <c r="P322" i="3"/>
  <c r="P228" i="3"/>
  <c r="P55" i="3"/>
  <c r="M27" i="3" a="1"/>
  <c r="M27" i="3" s="1"/>
  <c r="P46" i="3"/>
  <c r="M42" i="3" a="1"/>
  <c r="M42" i="3" s="1"/>
  <c r="P196" i="3"/>
  <c r="P374" i="3"/>
  <c r="V247" i="3"/>
  <c r="V264" i="3"/>
  <c r="M47" i="3" a="1"/>
  <c r="M47" i="3" s="1"/>
  <c r="V77" i="3"/>
  <c r="V58" i="3"/>
  <c r="V250" i="3"/>
  <c r="P87" i="3"/>
  <c r="P194" i="3"/>
  <c r="V257" i="3"/>
  <c r="M32" i="3" a="1"/>
  <c r="M32" i="3" s="1"/>
  <c r="P83" i="3"/>
  <c r="P398" i="3"/>
  <c r="P371" i="3"/>
  <c r="M296" i="3" a="1"/>
  <c r="M296" i="3" s="1"/>
  <c r="M41" i="3" a="1"/>
  <c r="M41" i="3" s="1"/>
  <c r="M49" i="3" a="1"/>
  <c r="M49" i="3" s="1"/>
  <c r="M299" i="3" a="1"/>
  <c r="M299" i="3" s="1"/>
  <c r="M298" i="3" a="1"/>
  <c r="M298" i="3" s="1"/>
  <c r="M23" i="3" a="1"/>
  <c r="M23" i="3" s="1"/>
  <c r="M295" i="3" a="1"/>
  <c r="M295" i="3" s="1"/>
  <c r="M28" i="3" a="1"/>
  <c r="M28" i="3" s="1"/>
  <c r="P14" i="3"/>
  <c r="M294" i="3" a="1"/>
  <c r="M294" i="3" s="1"/>
  <c r="P237" i="3"/>
  <c r="M51" i="3" a="1"/>
  <c r="M51" i="3" s="1"/>
  <c r="P205" i="3"/>
  <c r="M29" i="3" a="1"/>
  <c r="M29" i="3" s="1"/>
  <c r="M293" i="3" a="1"/>
  <c r="M293" i="3" s="1"/>
  <c r="M59" i="3" a="1"/>
  <c r="M59" i="3" s="1"/>
  <c r="V375" i="3"/>
  <c r="V198" i="3"/>
  <c r="V228" i="3"/>
  <c r="V312" i="3"/>
  <c r="V86" i="3"/>
  <c r="V181" i="3"/>
  <c r="V187" i="3"/>
  <c r="V399" i="3"/>
  <c r="V120" i="3"/>
  <c r="V113" i="3"/>
  <c r="V237" i="3"/>
  <c r="V55" i="3"/>
  <c r="V139" i="3"/>
  <c r="V365" i="3"/>
  <c r="V110" i="3"/>
  <c r="V206" i="3"/>
  <c r="V251" i="3"/>
  <c r="V342" i="3"/>
  <c r="V278" i="3"/>
  <c r="V115" i="3"/>
  <c r="V13" i="3"/>
  <c r="Z19" i="5" s="1"/>
  <c r="V230" i="3"/>
  <c r="V146" i="3"/>
  <c r="V362" i="3"/>
  <c r="V205" i="3"/>
  <c r="V225" i="3"/>
  <c r="V15" i="3"/>
  <c r="V116" i="3"/>
  <c r="V337" i="3"/>
  <c r="V111" i="3"/>
  <c r="P99" i="3"/>
  <c r="P94" i="3"/>
  <c r="V372" i="3"/>
  <c r="V36" i="3"/>
  <c r="P306" i="3"/>
  <c r="P77" i="3"/>
  <c r="P7" i="3"/>
  <c r="P78" i="3"/>
  <c r="V227" i="3"/>
  <c r="V233" i="3"/>
  <c r="P304" i="3"/>
  <c r="V39" i="3"/>
  <c r="P120" i="3"/>
  <c r="P183" i="3"/>
  <c r="V30" i="3"/>
  <c r="P15" i="3"/>
  <c r="P188" i="3"/>
  <c r="V217" i="3"/>
  <c r="P236" i="3"/>
  <c r="P13" i="3"/>
  <c r="P182" i="3"/>
  <c r="P256" i="3"/>
  <c r="V289" i="3"/>
  <c r="P137" i="3"/>
  <c r="P214" i="3"/>
  <c r="P352" i="3"/>
  <c r="P287" i="3"/>
  <c r="P117" i="3"/>
  <c r="V118" i="3"/>
  <c r="P80" i="3"/>
  <c r="P378" i="3"/>
  <c r="P229" i="3"/>
  <c r="P386" i="3"/>
  <c r="P266" i="3"/>
  <c r="P367" i="3"/>
  <c r="P332" i="3"/>
  <c r="P11" i="3"/>
  <c r="P135" i="3"/>
  <c r="P34" i="3"/>
  <c r="P282" i="3"/>
  <c r="P138" i="3"/>
  <c r="V144" i="3"/>
  <c r="V384" i="3"/>
  <c r="V123" i="3"/>
  <c r="V191" i="3"/>
  <c r="V112" i="3"/>
  <c r="V114" i="3"/>
  <c r="V396" i="3"/>
  <c r="V54" i="3"/>
  <c r="V339" i="3"/>
  <c r="P90" i="3"/>
  <c r="V261" i="3"/>
  <c r="V395" i="3"/>
  <c r="V319" i="3"/>
  <c r="V117" i="3"/>
  <c r="P260" i="3"/>
  <c r="V199" i="3"/>
  <c r="V179" i="3"/>
  <c r="P276" i="3"/>
  <c r="P357" i="3"/>
  <c r="V43" i="3"/>
  <c r="V299" i="3"/>
  <c r="V119" i="3"/>
  <c r="P147" i="3"/>
  <c r="V357" i="3"/>
  <c r="V136" i="3"/>
  <c r="V380" i="3"/>
  <c r="P58" i="3"/>
  <c r="V387" i="3"/>
  <c r="V24" i="3"/>
  <c r="V82" i="3"/>
  <c r="V277" i="3"/>
  <c r="V234" i="3"/>
  <c r="V229" i="3"/>
  <c r="V38" i="3"/>
  <c r="V173" i="3"/>
  <c r="P280" i="3"/>
  <c r="V305" i="3"/>
  <c r="V31" i="3"/>
  <c r="V184" i="3"/>
  <c r="V355" i="3"/>
  <c r="V280" i="3"/>
  <c r="V243" i="3"/>
  <c r="V18" i="3"/>
  <c r="V291" i="3"/>
  <c r="V192" i="3"/>
  <c r="P93" i="3"/>
  <c r="V26" i="3"/>
  <c r="V309" i="3"/>
  <c r="V373" i="3"/>
  <c r="V41" i="3"/>
  <c r="V351" i="3"/>
  <c r="V57" i="3"/>
  <c r="P132" i="3"/>
  <c r="P290" i="3"/>
  <c r="V145" i="3"/>
  <c r="P139" i="3"/>
  <c r="P243" i="3"/>
  <c r="P111" i="3"/>
  <c r="P107" i="3"/>
  <c r="V16" i="3"/>
  <c r="V121" i="3"/>
  <c r="V59" i="3"/>
  <c r="V95" i="3"/>
  <c r="V349" i="3"/>
  <c r="V254" i="3"/>
  <c r="V329" i="3"/>
  <c r="V220" i="3"/>
  <c r="P171" i="3"/>
  <c r="P179" i="3"/>
  <c r="V296" i="3"/>
  <c r="V211" i="3"/>
  <c r="V360" i="3"/>
  <c r="V22" i="3"/>
  <c r="V297" i="3"/>
  <c r="V376" i="3"/>
  <c r="V262" i="3"/>
  <c r="V51" i="3"/>
  <c r="V143" i="3"/>
  <c r="P220" i="3"/>
  <c r="V170" i="3"/>
  <c r="V201" i="3"/>
  <c r="V172" i="3"/>
  <c r="P98" i="3"/>
  <c r="V209" i="3"/>
  <c r="V293" i="3"/>
  <c r="V216" i="3"/>
  <c r="V302" i="3"/>
  <c r="V190" i="3"/>
  <c r="V348" i="3"/>
  <c r="V7" i="3"/>
  <c r="Z25" i="4" s="1"/>
  <c r="V171" i="3"/>
  <c r="P359" i="3"/>
  <c r="P108" i="3"/>
  <c r="P382" i="3"/>
  <c r="P258" i="3"/>
  <c r="P114" i="3"/>
  <c r="V307" i="3"/>
  <c r="V294" i="3"/>
  <c r="V256" i="3"/>
  <c r="V89" i="3"/>
  <c r="P202" i="3"/>
  <c r="P174" i="3"/>
  <c r="P274" i="3"/>
  <c r="V27" i="3"/>
  <c r="V42" i="3"/>
  <c r="V168" i="3"/>
  <c r="V345" i="3"/>
  <c r="V141" i="3"/>
  <c r="V276" i="3"/>
  <c r="P112" i="3"/>
  <c r="P271" i="3"/>
  <c r="V389" i="3"/>
  <c r="V236" i="3"/>
  <c r="P255" i="3"/>
  <c r="V340" i="3"/>
  <c r="V103" i="3"/>
  <c r="P180" i="3"/>
  <c r="V200" i="3"/>
  <c r="V336" i="3"/>
  <c r="V314" i="3"/>
  <c r="V223" i="3"/>
  <c r="V122" i="3"/>
  <c r="V32" i="3"/>
  <c r="V196" i="3"/>
  <c r="V203" i="3"/>
  <c r="V287" i="3"/>
  <c r="V290" i="3"/>
  <c r="V108" i="3"/>
  <c r="P316" i="3"/>
  <c r="P365" i="3"/>
  <c r="V248" i="3"/>
  <c r="V398" i="3"/>
  <c r="V69" i="3"/>
  <c r="V47" i="3"/>
  <c r="V186" i="3"/>
  <c r="V382" i="3"/>
  <c r="P235" i="3"/>
  <c r="P363" i="3"/>
  <c r="V298" i="3"/>
  <c r="V215" i="3"/>
  <c r="V259" i="3"/>
  <c r="V212" i="3"/>
  <c r="V324" i="3"/>
  <c r="V210" i="3"/>
  <c r="V346" i="3"/>
  <c r="V265" i="3"/>
  <c r="V226" i="3"/>
  <c r="P338" i="3"/>
  <c r="P270" i="3"/>
  <c r="P283" i="3"/>
  <c r="V56" i="3"/>
  <c r="V9" i="3"/>
  <c r="V327" i="3"/>
  <c r="V320" i="3"/>
  <c r="V195" i="3"/>
  <c r="V45" i="3"/>
  <c r="V142" i="3"/>
  <c r="V48" i="3"/>
  <c r="V182" i="3"/>
  <c r="V78" i="3"/>
  <c r="V96" i="3"/>
  <c r="P307" i="3"/>
  <c r="V292" i="3"/>
  <c r="V169" i="3"/>
  <c r="V79" i="3"/>
  <c r="V359" i="3"/>
  <c r="P252" i="3"/>
  <c r="P17" i="3"/>
  <c r="V363" i="3"/>
  <c r="V76" i="3"/>
  <c r="V274" i="3"/>
  <c r="V232" i="3"/>
  <c r="V194" i="3"/>
  <c r="P189" i="3"/>
  <c r="P40" i="3"/>
  <c r="V266" i="3"/>
  <c r="V131" i="3"/>
  <c r="V94" i="3"/>
  <c r="V279" i="3"/>
  <c r="V92" i="3"/>
  <c r="P113" i="3"/>
  <c r="P375" i="3"/>
  <c r="P291" i="3"/>
  <c r="P92" i="3"/>
  <c r="V322" i="3"/>
  <c r="V358" i="3"/>
  <c r="V20" i="3"/>
  <c r="Z18" i="5" s="1"/>
  <c r="V386" i="3"/>
  <c r="V213" i="3"/>
  <c r="V352" i="3"/>
  <c r="V84" i="3"/>
  <c r="V147" i="3"/>
  <c r="V126" i="3"/>
  <c r="P259" i="3"/>
  <c r="P341" i="3"/>
  <c r="P251" i="3"/>
  <c r="V188" i="3"/>
  <c r="V11" i="3"/>
  <c r="Z26" i="4" s="1"/>
  <c r="V183" i="3"/>
  <c r="P105" i="3"/>
  <c r="V128" i="3"/>
  <c r="V235" i="3"/>
  <c r="V267" i="3"/>
  <c r="V197" i="3"/>
  <c r="P109" i="3"/>
  <c r="P118" i="3"/>
  <c r="P221" i="3"/>
  <c r="P275" i="3"/>
  <c r="P350" i="3"/>
  <c r="P110" i="3"/>
  <c r="V109" i="3"/>
  <c r="V378" i="3"/>
  <c r="P178" i="3"/>
  <c r="P372" i="3"/>
  <c r="P197" i="3"/>
  <c r="V249" i="3"/>
  <c r="V311" i="3"/>
  <c r="V174" i="3"/>
  <c r="V341" i="3"/>
  <c r="V400" i="3"/>
  <c r="V178" i="3"/>
  <c r="V189" i="3"/>
  <c r="V385" i="3"/>
  <c r="V17" i="3"/>
  <c r="V140" i="3"/>
  <c r="V214" i="3"/>
  <c r="V364" i="3"/>
  <c r="V383" i="3"/>
  <c r="V93" i="3"/>
  <c r="V14" i="3"/>
  <c r="N1213" i="12" s="1"/>
  <c r="O1213" i="12" s="1"/>
  <c r="V284" i="3"/>
  <c r="V4" i="3"/>
  <c r="Z21" i="4" s="1"/>
  <c r="V202" i="3"/>
  <c r="V316" i="3"/>
  <c r="V269" i="3"/>
  <c r="V306" i="3"/>
  <c r="V34" i="3"/>
  <c r="V19" i="3"/>
  <c r="V49" i="3"/>
  <c r="V208" i="3"/>
  <c r="V258" i="3"/>
  <c r="V304" i="3"/>
  <c r="V374" i="3"/>
  <c r="V5" i="3"/>
  <c r="V286" i="3"/>
  <c r="V281" i="3"/>
  <c r="V29" i="3"/>
  <c r="V138" i="3"/>
  <c r="V207" i="3"/>
  <c r="V377" i="3"/>
  <c r="V252" i="3"/>
  <c r="V295" i="3"/>
  <c r="V392" i="3"/>
  <c r="V28" i="3"/>
  <c r="V193" i="3"/>
  <c r="V282" i="3"/>
  <c r="V224" i="3"/>
  <c r="V285" i="3"/>
  <c r="V67" i="3"/>
  <c r="V23" i="3"/>
  <c r="X80" i="4" l="1"/>
  <c r="X81" i="4"/>
  <c r="X49" i="5"/>
  <c r="X50" i="5"/>
  <c r="N2" i="12"/>
  <c r="O2" i="12" s="1"/>
  <c r="X89" i="4"/>
  <c r="N3" i="12"/>
  <c r="O3" i="12" s="1"/>
  <c r="N4" i="12"/>
  <c r="O4" i="12" s="1"/>
  <c r="N5" i="12"/>
  <c r="O5" i="12" s="1"/>
  <c r="N6" i="12"/>
  <c r="O6" i="12" s="1"/>
  <c r="N7" i="12"/>
  <c r="O7" i="12" s="1"/>
  <c r="N8" i="12"/>
  <c r="O8" i="12" s="1"/>
  <c r="N9" i="12"/>
  <c r="O9" i="12" s="1"/>
  <c r="N10" i="12"/>
  <c r="O10" i="12" s="1"/>
  <c r="N11" i="12"/>
  <c r="O11" i="12" s="1"/>
  <c r="M80" i="4"/>
  <c r="K80" i="4"/>
  <c r="J80" i="4"/>
  <c r="D80" i="4"/>
  <c r="W80" i="4"/>
  <c r="Z80" i="4" s="1"/>
  <c r="U80" i="4"/>
  <c r="L80" i="4"/>
  <c r="Y80" i="4"/>
  <c r="I80" i="4"/>
  <c r="H80" i="4"/>
  <c r="E80" i="4"/>
  <c r="C80" i="4"/>
  <c r="X82" i="4"/>
  <c r="X84" i="4"/>
  <c r="X83" i="4"/>
  <c r="N12" i="12"/>
  <c r="O12" i="12" s="1"/>
  <c r="N13" i="12"/>
  <c r="O13" i="12" s="1"/>
  <c r="N14" i="12"/>
  <c r="O14" i="12" s="1"/>
  <c r="N15" i="12"/>
  <c r="O15" i="12" s="1"/>
  <c r="N16" i="12"/>
  <c r="O16" i="12" s="1"/>
  <c r="N17" i="12"/>
  <c r="O17" i="12" s="1"/>
  <c r="N18" i="12"/>
  <c r="O18" i="12" s="1"/>
  <c r="N19" i="12"/>
  <c r="O19" i="12" s="1"/>
  <c r="N20" i="12"/>
  <c r="O20" i="12" s="1"/>
  <c r="N21" i="12"/>
  <c r="O21" i="12" s="1"/>
  <c r="N22" i="12"/>
  <c r="O22" i="12" s="1"/>
  <c r="L82" i="4"/>
  <c r="W82" i="4"/>
  <c r="Z82" i="4" s="1"/>
  <c r="M82" i="4"/>
  <c r="I82" i="4"/>
  <c r="H82" i="4"/>
  <c r="E82" i="4"/>
  <c r="U82" i="4"/>
  <c r="K82" i="4"/>
  <c r="D82" i="4"/>
  <c r="C82" i="4"/>
  <c r="J82" i="4"/>
  <c r="Y82" i="4"/>
  <c r="X43" i="5"/>
  <c r="N23" i="12"/>
  <c r="O23" i="12" s="1"/>
  <c r="X39" i="5"/>
  <c r="N24" i="12"/>
  <c r="O24" i="12" s="1"/>
  <c r="I43" i="5"/>
  <c r="S43" i="5"/>
  <c r="H43" i="5"/>
  <c r="E43" i="5"/>
  <c r="D43" i="5"/>
  <c r="M43" i="5"/>
  <c r="K43" i="5"/>
  <c r="J43" i="5"/>
  <c r="L43" i="5"/>
  <c r="C43" i="5"/>
  <c r="W43" i="5"/>
  <c r="Z43" i="5" s="1"/>
  <c r="I40" i="5"/>
  <c r="H40" i="5"/>
  <c r="D40" i="5"/>
  <c r="W40" i="5"/>
  <c r="Z40" i="5" s="1"/>
  <c r="E40" i="5"/>
  <c r="C40" i="5"/>
  <c r="K40" i="5"/>
  <c r="X40" i="5"/>
  <c r="J40" i="5"/>
  <c r="S40" i="5"/>
  <c r="M40" i="5"/>
  <c r="L40" i="5"/>
  <c r="N26" i="12"/>
  <c r="O26" i="12" s="1"/>
  <c r="N25" i="12"/>
  <c r="O25" i="12" s="1"/>
  <c r="N28" i="12"/>
  <c r="O28" i="12" s="1"/>
  <c r="N27" i="12"/>
  <c r="O27" i="12" s="1"/>
  <c r="N29" i="12"/>
  <c r="O29" i="12" s="1"/>
  <c r="L23" i="7"/>
  <c r="K23" i="7"/>
  <c r="J23" i="7"/>
  <c r="C23" i="7"/>
  <c r="Y23" i="7"/>
  <c r="I23" i="7"/>
  <c r="W23" i="7"/>
  <c r="Z23" i="7" s="1"/>
  <c r="H23" i="7"/>
  <c r="E23" i="7"/>
  <c r="G23" i="7"/>
  <c r="D23" i="7"/>
  <c r="M23" i="7"/>
  <c r="X23" i="7"/>
  <c r="I22" i="5"/>
  <c r="J22" i="5"/>
  <c r="K22" i="5"/>
  <c r="G22" i="5"/>
  <c r="L22" i="5"/>
  <c r="N30" i="12"/>
  <c r="O30" i="12" s="1"/>
  <c r="Y22" i="5"/>
  <c r="D22" i="5"/>
  <c r="M22" i="5"/>
  <c r="W22" i="5"/>
  <c r="Z22" i="5" s="1"/>
  <c r="C22" i="5"/>
  <c r="E22" i="5"/>
  <c r="X22" i="5"/>
  <c r="H22" i="5"/>
  <c r="N31" i="12"/>
  <c r="O31" i="12" s="1"/>
  <c r="N32" i="12"/>
  <c r="O32" i="12" s="1"/>
  <c r="N33" i="12"/>
  <c r="O33" i="12" s="1"/>
  <c r="N34" i="12"/>
  <c r="O34" i="12" s="1"/>
  <c r="N35" i="12"/>
  <c r="O35" i="12" s="1"/>
  <c r="Z19" i="4"/>
  <c r="DV19" i="4" s="1"/>
  <c r="N36" i="12"/>
  <c r="O36" i="12" s="1"/>
  <c r="AE18" i="9"/>
  <c r="Z18" i="4"/>
  <c r="Z22" i="4"/>
  <c r="Z27" i="4"/>
  <c r="DV21" i="4"/>
  <c r="Z23" i="4"/>
  <c r="ED23" i="4" s="1"/>
  <c r="Z20" i="4"/>
  <c r="DV20" i="4" s="1"/>
  <c r="Z24" i="4"/>
  <c r="AQ24" i="4" s="1"/>
  <c r="N37" i="12"/>
  <c r="O37" i="12" s="1"/>
  <c r="N38" i="12"/>
  <c r="O38" i="12" s="1"/>
  <c r="X174" i="4"/>
  <c r="X175" i="4"/>
  <c r="N39" i="12"/>
  <c r="O39" i="12" s="1"/>
  <c r="X97" i="8"/>
  <c r="N40" i="12"/>
  <c r="O40" i="12" s="1"/>
  <c r="N41" i="12"/>
  <c r="O41" i="12" s="1"/>
  <c r="N42" i="12"/>
  <c r="O42" i="12" s="1"/>
  <c r="N43" i="12"/>
  <c r="O43" i="12" s="1"/>
  <c r="X98" i="5"/>
  <c r="N44" i="12"/>
  <c r="O44" i="12" s="1"/>
  <c r="X159" i="4"/>
  <c r="N45" i="12"/>
  <c r="O45" i="12" s="1"/>
  <c r="N46" i="12"/>
  <c r="O46" i="12" s="1"/>
  <c r="N47" i="12"/>
  <c r="O47" i="12" s="1"/>
  <c r="N48" i="12"/>
  <c r="O48" i="12" s="1"/>
  <c r="N49" i="12"/>
  <c r="O49" i="12" s="1"/>
  <c r="N50" i="12"/>
  <c r="O50" i="12" s="1"/>
  <c r="X109" i="8"/>
  <c r="N51" i="12"/>
  <c r="O51" i="12" s="1"/>
  <c r="X110" i="8"/>
  <c r="N52" i="12"/>
  <c r="O52" i="12" s="1"/>
  <c r="N53" i="12"/>
  <c r="O53" i="12" s="1"/>
  <c r="X171" i="4"/>
  <c r="N54" i="12"/>
  <c r="O54" i="12" s="1"/>
  <c r="H170" i="9"/>
  <c r="H102" i="9"/>
  <c r="H78" i="9"/>
  <c r="H31" i="9"/>
  <c r="H144" i="9"/>
  <c r="H100" i="9"/>
  <c r="H125" i="9"/>
  <c r="H41" i="9"/>
  <c r="H114" i="9"/>
  <c r="H120" i="9"/>
  <c r="H61" i="9"/>
  <c r="H67" i="9"/>
  <c r="H73" i="9"/>
  <c r="H91" i="9"/>
  <c r="H54" i="9"/>
  <c r="H37" i="9"/>
  <c r="H55" i="9"/>
  <c r="H143" i="9"/>
  <c r="H164" i="9"/>
  <c r="H96" i="9"/>
  <c r="H119" i="9"/>
  <c r="H150" i="9"/>
  <c r="H35" i="9"/>
  <c r="H64" i="9"/>
  <c r="H136" i="9"/>
  <c r="H113" i="9"/>
  <c r="H149" i="9"/>
  <c r="H52" i="9"/>
  <c r="H103" i="9"/>
  <c r="H57" i="9"/>
  <c r="H42" i="9"/>
  <c r="H50" i="9"/>
  <c r="H107" i="9"/>
  <c r="H88" i="9"/>
  <c r="H40" i="9"/>
  <c r="H128" i="9"/>
  <c r="H86" i="9"/>
  <c r="H82" i="9"/>
  <c r="H83" i="9"/>
  <c r="H115" i="9"/>
  <c r="H95" i="9"/>
  <c r="H69" i="9"/>
  <c r="H36" i="9"/>
  <c r="H33" i="9"/>
  <c r="H74" i="9"/>
  <c r="H60" i="9"/>
  <c r="H108" i="9"/>
  <c r="H165" i="9"/>
  <c r="H51" i="9"/>
  <c r="H30" i="9"/>
  <c r="H26" i="9"/>
  <c r="H167" i="9"/>
  <c r="H160" i="9"/>
  <c r="H58" i="9"/>
  <c r="H140" i="9"/>
  <c r="H76" i="9"/>
  <c r="H48" i="9"/>
  <c r="H147" i="9"/>
  <c r="H105" i="9"/>
  <c r="H80" i="9"/>
  <c r="H152" i="9"/>
  <c r="H97" i="9"/>
  <c r="H101" i="9"/>
  <c r="H53" i="9"/>
  <c r="H79" i="9"/>
  <c r="H59" i="9"/>
  <c r="H63" i="9"/>
  <c r="H77" i="9"/>
  <c r="H98" i="9"/>
  <c r="H72" i="9"/>
  <c r="H112" i="9"/>
  <c r="H29" i="9"/>
  <c r="H56" i="9"/>
  <c r="H124" i="9"/>
  <c r="H139" i="9"/>
  <c r="H49" i="9"/>
  <c r="H131" i="9"/>
  <c r="H111" i="9"/>
  <c r="H28" i="9"/>
  <c r="H122" i="9"/>
  <c r="H75" i="9"/>
  <c r="H145" i="9"/>
  <c r="H154" i="9"/>
  <c r="H110" i="9"/>
  <c r="H93" i="9"/>
  <c r="H68" i="9"/>
  <c r="H27" i="9"/>
  <c r="H117" i="9"/>
  <c r="H118" i="9"/>
  <c r="H161" i="9"/>
  <c r="H106" i="9"/>
  <c r="H168" i="9"/>
  <c r="H146" i="9"/>
  <c r="H70" i="9"/>
  <c r="H65" i="9"/>
  <c r="H25" i="9"/>
  <c r="H94" i="9"/>
  <c r="H123" i="9"/>
  <c r="H155" i="9"/>
  <c r="H32" i="9"/>
  <c r="H66" i="9"/>
  <c r="H45" i="9"/>
  <c r="H99" i="9"/>
  <c r="H90" i="9"/>
  <c r="H141" i="9"/>
  <c r="H43" i="9"/>
  <c r="H127" i="9"/>
  <c r="H87" i="9"/>
  <c r="H34" i="9"/>
  <c r="H38" i="9"/>
  <c r="H104" i="9"/>
  <c r="H134" i="9"/>
  <c r="H157" i="9"/>
  <c r="H81" i="9"/>
  <c r="H62" i="9"/>
  <c r="H44" i="9"/>
  <c r="H151" i="9"/>
  <c r="H158" i="9"/>
  <c r="H148" i="9"/>
  <c r="H121" i="9"/>
  <c r="H84" i="9"/>
  <c r="H130" i="9"/>
  <c r="H118" i="8"/>
  <c r="H73" i="8"/>
  <c r="H66" i="8"/>
  <c r="H113" i="8"/>
  <c r="H106" i="8"/>
  <c r="H80" i="8"/>
  <c r="H84" i="8"/>
  <c r="H116" i="8"/>
  <c r="H24" i="8"/>
  <c r="H29" i="8"/>
  <c r="H39" i="8"/>
  <c r="H50" i="8"/>
  <c r="H46" i="8"/>
  <c r="H77" i="8"/>
  <c r="H69" i="8"/>
  <c r="H115" i="8"/>
  <c r="H58" i="8"/>
  <c r="H74" i="8"/>
  <c r="H76" i="8"/>
  <c r="H52" i="8"/>
  <c r="H107" i="8"/>
  <c r="H110" i="8"/>
  <c r="H47" i="8"/>
  <c r="H45" i="8"/>
  <c r="H35" i="8"/>
  <c r="H109" i="8"/>
  <c r="H40" i="8"/>
  <c r="H60" i="8"/>
  <c r="H75" i="8"/>
  <c r="H70" i="8"/>
  <c r="H44" i="8"/>
  <c r="H81" i="8"/>
  <c r="H100" i="8"/>
  <c r="H72" i="8"/>
  <c r="H48" i="8"/>
  <c r="H36" i="8"/>
  <c r="H32" i="8"/>
  <c r="H105" i="8"/>
  <c r="H43" i="8"/>
  <c r="H67" i="8"/>
  <c r="H63" i="8"/>
  <c r="H38" i="8"/>
  <c r="H53" i="8"/>
  <c r="H61" i="8"/>
  <c r="H68" i="8"/>
  <c r="H64" i="8"/>
  <c r="H71" i="8"/>
  <c r="H33" i="8"/>
  <c r="H89" i="8"/>
  <c r="H94" i="8"/>
  <c r="H34" i="8"/>
  <c r="H97" i="8"/>
  <c r="H96" i="8"/>
  <c r="H26" i="8"/>
  <c r="H56" i="8"/>
  <c r="H54" i="8"/>
  <c r="H102" i="8"/>
  <c r="H78" i="8"/>
  <c r="H55" i="8"/>
  <c r="H28" i="8"/>
  <c r="H31" i="8"/>
  <c r="H27" i="8"/>
  <c r="H90" i="8"/>
  <c r="H51" i="8"/>
  <c r="H88" i="8"/>
  <c r="H25" i="8"/>
  <c r="H30" i="8"/>
  <c r="H111" i="8"/>
  <c r="H91" i="8"/>
  <c r="H23" i="8"/>
  <c r="H83" i="8"/>
  <c r="H86" i="8"/>
  <c r="H37" i="8"/>
  <c r="H85" i="8"/>
  <c r="H57" i="8"/>
  <c r="H87" i="8"/>
  <c r="H93" i="8"/>
  <c r="H102" i="7"/>
  <c r="H28" i="7"/>
  <c r="H68" i="7"/>
  <c r="H76" i="7"/>
  <c r="H30" i="7"/>
  <c r="H90" i="7"/>
  <c r="H87" i="7"/>
  <c r="H94" i="7"/>
  <c r="H75" i="7"/>
  <c r="H97" i="7"/>
  <c r="H51" i="7"/>
  <c r="H35" i="7"/>
  <c r="H78" i="7"/>
  <c r="H60" i="7"/>
  <c r="H73" i="7"/>
  <c r="H37" i="7"/>
  <c r="H31" i="7"/>
  <c r="H53" i="7"/>
  <c r="H71" i="7"/>
  <c r="H49" i="7"/>
  <c r="H69" i="7"/>
  <c r="H100" i="7"/>
  <c r="H72" i="7"/>
  <c r="H32" i="7"/>
  <c r="H27" i="7"/>
  <c r="H45" i="7"/>
  <c r="H29" i="7"/>
  <c r="H62" i="7"/>
  <c r="H82" i="7"/>
  <c r="H91" i="7"/>
  <c r="H65" i="7"/>
  <c r="H63" i="7"/>
  <c r="H33" i="7"/>
  <c r="H59" i="7"/>
  <c r="H41" i="7"/>
  <c r="H46" i="7"/>
  <c r="H99" i="7"/>
  <c r="H47" i="7"/>
  <c r="H74" i="7"/>
  <c r="H54" i="7"/>
  <c r="H26" i="7"/>
  <c r="H57" i="7"/>
  <c r="H66" i="7"/>
  <c r="H95" i="7"/>
  <c r="H38" i="7"/>
  <c r="H34" i="7"/>
  <c r="H25" i="7"/>
  <c r="H56" i="7"/>
  <c r="H79" i="7"/>
  <c r="H36" i="7"/>
  <c r="H64" i="7"/>
  <c r="H40" i="7"/>
  <c r="H52" i="7"/>
  <c r="H39" i="7"/>
  <c r="H85" i="7"/>
  <c r="H92" i="7"/>
  <c r="H44" i="7"/>
  <c r="H50" i="7"/>
  <c r="H81" i="7"/>
  <c r="H24" i="7"/>
  <c r="H118" i="5"/>
  <c r="H89" i="5"/>
  <c r="H66" i="5"/>
  <c r="H25" i="5"/>
  <c r="H116" i="5"/>
  <c r="H103" i="5"/>
  <c r="H49" i="5"/>
  <c r="H32" i="5"/>
  <c r="H30" i="5"/>
  <c r="H72" i="5"/>
  <c r="H108" i="5"/>
  <c r="H26" i="5"/>
  <c r="H41" i="5"/>
  <c r="H87" i="5"/>
  <c r="H63" i="5"/>
  <c r="H77" i="5"/>
  <c r="H80" i="5"/>
  <c r="H31" i="5"/>
  <c r="H106" i="5"/>
  <c r="H90" i="5"/>
  <c r="H29" i="5"/>
  <c r="H71" i="5"/>
  <c r="H56" i="5"/>
  <c r="H46" i="5"/>
  <c r="H54" i="5"/>
  <c r="H91" i="5"/>
  <c r="H36" i="5"/>
  <c r="H51" i="5"/>
  <c r="H28" i="5"/>
  <c r="H114" i="5"/>
  <c r="H48" i="5"/>
  <c r="H98" i="5"/>
  <c r="H45" i="5"/>
  <c r="H35" i="5"/>
  <c r="H52" i="5"/>
  <c r="H95" i="5"/>
  <c r="H78" i="5"/>
  <c r="H60" i="5"/>
  <c r="H68" i="5"/>
  <c r="H79" i="5"/>
  <c r="H61" i="5"/>
  <c r="H65" i="5"/>
  <c r="H47" i="5"/>
  <c r="H86" i="5"/>
  <c r="H110" i="5"/>
  <c r="H27" i="5"/>
  <c r="H53" i="5"/>
  <c r="H101" i="5"/>
  <c r="H57" i="5"/>
  <c r="H112" i="5"/>
  <c r="H75" i="5"/>
  <c r="H76" i="5"/>
  <c r="H84" i="5"/>
  <c r="H97" i="5"/>
  <c r="H24" i="5"/>
  <c r="H83" i="5"/>
  <c r="H62" i="5"/>
  <c r="H42" i="5"/>
  <c r="H73" i="5"/>
  <c r="H23" i="5"/>
  <c r="H69" i="5"/>
  <c r="H88" i="5"/>
  <c r="H111" i="5"/>
  <c r="H81" i="5"/>
  <c r="H44" i="5"/>
  <c r="H59" i="5"/>
  <c r="H107" i="5"/>
  <c r="H94" i="5"/>
  <c r="H92" i="5"/>
  <c r="H74" i="5"/>
  <c r="H58" i="5"/>
  <c r="H39" i="5"/>
  <c r="H50" i="5"/>
  <c r="H33" i="5"/>
  <c r="H193" i="4"/>
  <c r="H31" i="4"/>
  <c r="H110" i="4"/>
  <c r="H36" i="4"/>
  <c r="H30" i="4"/>
  <c r="H102" i="4"/>
  <c r="H162" i="4"/>
  <c r="H55" i="4"/>
  <c r="H129" i="4"/>
  <c r="H128" i="4"/>
  <c r="H51" i="4"/>
  <c r="H87" i="4"/>
  <c r="H54" i="4"/>
  <c r="H142" i="4"/>
  <c r="H33" i="4"/>
  <c r="H171" i="4"/>
  <c r="H179" i="4"/>
  <c r="H86" i="4"/>
  <c r="H191" i="4"/>
  <c r="H151" i="4"/>
  <c r="H48" i="4"/>
  <c r="H88" i="4"/>
  <c r="H105" i="4"/>
  <c r="H40" i="4"/>
  <c r="H39" i="4"/>
  <c r="H181" i="4"/>
  <c r="H83" i="4"/>
  <c r="H164" i="4"/>
  <c r="H126" i="4"/>
  <c r="H90" i="4"/>
  <c r="H112" i="4"/>
  <c r="H99" i="4"/>
  <c r="H115" i="4"/>
  <c r="H136" i="4"/>
  <c r="H139" i="4"/>
  <c r="H122" i="4"/>
  <c r="H133" i="4"/>
  <c r="H134" i="4"/>
  <c r="H175" i="4"/>
  <c r="H144" i="4"/>
  <c r="H116" i="4"/>
  <c r="H186" i="4"/>
  <c r="H176" i="4"/>
  <c r="H69" i="4"/>
  <c r="H43" i="4"/>
  <c r="H124" i="4"/>
  <c r="H42" i="4"/>
  <c r="H119" i="4"/>
  <c r="H125" i="4"/>
  <c r="H153" i="4"/>
  <c r="H45" i="4"/>
  <c r="H100" i="4"/>
  <c r="H94" i="4"/>
  <c r="H145" i="4"/>
  <c r="H130" i="4"/>
  <c r="H81" i="4"/>
  <c r="H63" i="4"/>
  <c r="H61" i="4"/>
  <c r="H34" i="4"/>
  <c r="H158" i="4"/>
  <c r="H156" i="4"/>
  <c r="H56" i="4"/>
  <c r="H49" i="4"/>
  <c r="H108" i="4"/>
  <c r="H106" i="4"/>
  <c r="H127" i="4"/>
  <c r="H73" i="4"/>
  <c r="H47" i="4"/>
  <c r="H154" i="4"/>
  <c r="H46" i="4"/>
  <c r="H168" i="4"/>
  <c r="H174" i="4"/>
  <c r="H131" i="4"/>
  <c r="H95" i="4"/>
  <c r="H121" i="4"/>
  <c r="H68" i="4"/>
  <c r="H178" i="4"/>
  <c r="H137" i="4"/>
  <c r="H169" i="4"/>
  <c r="H185" i="4"/>
  <c r="H104" i="4"/>
  <c r="H75" i="4"/>
  <c r="H76" i="4"/>
  <c r="H67" i="4"/>
  <c r="H93" i="4"/>
  <c r="H173" i="4"/>
  <c r="H111" i="4"/>
  <c r="H113" i="4"/>
  <c r="H159" i="4"/>
  <c r="H41" i="4"/>
  <c r="H57" i="4"/>
  <c r="H150" i="4"/>
  <c r="H32" i="4"/>
  <c r="H123" i="4"/>
  <c r="H79" i="4"/>
  <c r="H98" i="4"/>
  <c r="H184" i="4"/>
  <c r="H172" i="4"/>
  <c r="H157" i="4"/>
  <c r="H143" i="4"/>
  <c r="H65" i="4"/>
  <c r="H182" i="4"/>
  <c r="H177" i="4"/>
  <c r="H167" i="4"/>
  <c r="H89" i="4"/>
  <c r="H74" i="4"/>
  <c r="H60" i="4"/>
  <c r="H37" i="4"/>
  <c r="H132" i="4"/>
  <c r="H140" i="4"/>
  <c r="H44" i="4"/>
  <c r="H64" i="4"/>
  <c r="H149" i="4"/>
  <c r="H91" i="4"/>
  <c r="H38" i="4"/>
  <c r="H117" i="4"/>
  <c r="H50" i="4"/>
  <c r="H53" i="4"/>
  <c r="H72" i="4"/>
  <c r="H180" i="4"/>
  <c r="H183" i="4"/>
  <c r="H146" i="4"/>
  <c r="H188" i="4"/>
  <c r="H147" i="4"/>
  <c r="H96" i="4"/>
  <c r="H120" i="4"/>
  <c r="H59" i="4"/>
  <c r="H35" i="4"/>
  <c r="H71" i="4"/>
  <c r="H138" i="4"/>
  <c r="H103" i="4"/>
  <c r="H92" i="4"/>
  <c r="H148" i="4"/>
  <c r="H101" i="4"/>
  <c r="H85" i="4"/>
  <c r="H107" i="4"/>
  <c r="H190" i="4"/>
  <c r="H52" i="4"/>
  <c r="H84" i="4"/>
  <c r="N55" i="12"/>
  <c r="O55" i="12" s="1"/>
  <c r="N56" i="12"/>
  <c r="O56" i="12" s="1"/>
  <c r="N57" i="12"/>
  <c r="O57" i="12" s="1"/>
  <c r="N58" i="12"/>
  <c r="O58" i="12" s="1"/>
  <c r="N59" i="12"/>
  <c r="O59" i="12" s="1"/>
  <c r="N60" i="12"/>
  <c r="O60" i="12" s="1"/>
  <c r="X42" i="5"/>
  <c r="N61" i="12"/>
  <c r="O61" i="12" s="1"/>
  <c r="N107" i="12"/>
  <c r="O107" i="12" s="1"/>
  <c r="N62" i="12"/>
  <c r="O62" i="12" s="1"/>
  <c r="N63" i="12"/>
  <c r="O63" i="12" s="1"/>
  <c r="N64" i="12"/>
  <c r="O64" i="12" s="1"/>
  <c r="N65" i="12"/>
  <c r="O65" i="12" s="1"/>
  <c r="N66" i="12"/>
  <c r="O66" i="12" s="1"/>
  <c r="N67" i="12"/>
  <c r="O67" i="12" s="1"/>
  <c r="E42" i="5"/>
  <c r="C42" i="5"/>
  <c r="S42" i="5"/>
  <c r="M42" i="5"/>
  <c r="L42" i="5"/>
  <c r="K42" i="5"/>
  <c r="I42" i="5"/>
  <c r="D42" i="5"/>
  <c r="W42" i="5"/>
  <c r="Z42" i="5" s="1"/>
  <c r="J42" i="5"/>
  <c r="U81" i="4"/>
  <c r="L81" i="4"/>
  <c r="J81" i="4"/>
  <c r="E81" i="4"/>
  <c r="W81" i="4"/>
  <c r="Z81" i="4" s="1"/>
  <c r="M81" i="4"/>
  <c r="C81" i="4"/>
  <c r="K81" i="4"/>
  <c r="Y81" i="4"/>
  <c r="I81" i="4"/>
  <c r="D81" i="4"/>
  <c r="L90" i="4"/>
  <c r="E90" i="4"/>
  <c r="C90" i="4"/>
  <c r="K90" i="4"/>
  <c r="Y90" i="4"/>
  <c r="X90" i="4"/>
  <c r="W90" i="4"/>
  <c r="Z90" i="4" s="1"/>
  <c r="M90" i="4"/>
  <c r="D90" i="4"/>
  <c r="J90" i="4"/>
  <c r="I90" i="4"/>
  <c r="U90" i="4"/>
  <c r="X71" i="8"/>
  <c r="N68" i="12"/>
  <c r="O68" i="12" s="1"/>
  <c r="X70" i="8"/>
  <c r="N69" i="12"/>
  <c r="O69" i="12" s="1"/>
  <c r="N70" i="12"/>
  <c r="O70" i="12" s="1"/>
  <c r="N71" i="12"/>
  <c r="O71" i="12" s="1"/>
  <c r="X75" i="5"/>
  <c r="X76" i="5"/>
  <c r="N72" i="12"/>
  <c r="O72" i="12" s="1"/>
  <c r="X124" i="4"/>
  <c r="N73" i="12"/>
  <c r="O73" i="12" s="1"/>
  <c r="N74" i="12"/>
  <c r="O74" i="12" s="1"/>
  <c r="N75" i="12"/>
  <c r="O75" i="12" s="1"/>
  <c r="N76" i="12"/>
  <c r="O76" i="12" s="1"/>
  <c r="X67" i="8"/>
  <c r="N77" i="12"/>
  <c r="O77" i="12" s="1"/>
  <c r="N78" i="12"/>
  <c r="O78" i="12" s="1"/>
  <c r="N79" i="12"/>
  <c r="O79" i="12" s="1"/>
  <c r="X72" i="5"/>
  <c r="N80" i="12"/>
  <c r="O80" i="12" s="1"/>
  <c r="X121" i="4"/>
  <c r="N81" i="12"/>
  <c r="O81" i="12" s="1"/>
  <c r="N82" i="12"/>
  <c r="O82" i="12" s="1"/>
  <c r="N83" i="12"/>
  <c r="O83" i="12" s="1"/>
  <c r="N84" i="12"/>
  <c r="O84" i="12" s="1"/>
  <c r="X78" i="8"/>
  <c r="N85" i="12"/>
  <c r="O85" i="12" s="1"/>
  <c r="N86" i="12"/>
  <c r="O86" i="12" s="1"/>
  <c r="N87" i="12"/>
  <c r="O87" i="12" s="1"/>
  <c r="N88" i="12"/>
  <c r="O88" i="12" s="1"/>
  <c r="X66" i="7"/>
  <c r="N89" i="12"/>
  <c r="O89" i="12" s="1"/>
  <c r="X81" i="5"/>
  <c r="N90" i="12"/>
  <c r="O90" i="12" s="1"/>
  <c r="X134" i="4"/>
  <c r="N91" i="12"/>
  <c r="O91" i="12" s="1"/>
  <c r="N92" i="12"/>
  <c r="O92" i="12" s="1"/>
  <c r="N93" i="12"/>
  <c r="O93" i="12" s="1"/>
  <c r="N94" i="12"/>
  <c r="O94" i="12" s="1"/>
  <c r="N95" i="12"/>
  <c r="O95" i="12" s="1"/>
  <c r="N96" i="12"/>
  <c r="O96" i="12" s="1"/>
  <c r="N97" i="12"/>
  <c r="O97" i="12" s="1"/>
  <c r="N98" i="12"/>
  <c r="O98" i="12" s="1"/>
  <c r="N99" i="12"/>
  <c r="O99" i="12" s="1"/>
  <c r="C70" i="8"/>
  <c r="U70" i="8" s="1"/>
  <c r="Y70" i="8"/>
  <c r="J70" i="8"/>
  <c r="L70" i="8"/>
  <c r="M70" i="8"/>
  <c r="W70" i="8"/>
  <c r="Z70" i="8" s="1"/>
  <c r="K70" i="8"/>
  <c r="I70" i="8"/>
  <c r="D70" i="8"/>
  <c r="E70" i="8"/>
  <c r="I75" i="5"/>
  <c r="E75" i="5"/>
  <c r="D75" i="5"/>
  <c r="K75" i="5"/>
  <c r="C75" i="5"/>
  <c r="W75" i="5"/>
  <c r="Z75" i="5" s="1"/>
  <c r="S75" i="5"/>
  <c r="L75" i="5"/>
  <c r="M75" i="5"/>
  <c r="J75" i="5"/>
  <c r="K124" i="4"/>
  <c r="E124" i="4"/>
  <c r="C124" i="4"/>
  <c r="U124" i="4"/>
  <c r="M124" i="4"/>
  <c r="I124" i="4"/>
  <c r="D124" i="4"/>
  <c r="Y124" i="4"/>
  <c r="L124" i="4"/>
  <c r="J124" i="4"/>
  <c r="W124" i="4"/>
  <c r="Z124" i="4" s="1"/>
  <c r="X125" i="4"/>
  <c r="N100" i="12"/>
  <c r="O100" i="12" s="1"/>
  <c r="N101" i="12"/>
  <c r="O101" i="12" s="1"/>
  <c r="N102" i="12"/>
  <c r="O102" i="12" s="1"/>
  <c r="N103" i="12"/>
  <c r="O103" i="12" s="1"/>
  <c r="N104" i="12"/>
  <c r="O104" i="12" s="1"/>
  <c r="N154" i="12"/>
  <c r="O154" i="12" s="1"/>
  <c r="X92" i="4"/>
  <c r="N105" i="12"/>
  <c r="O105" i="12" s="1"/>
  <c r="N106" i="12"/>
  <c r="O106" i="12" s="1"/>
  <c r="N108" i="12"/>
  <c r="O108" i="12" s="1"/>
  <c r="N109" i="12"/>
  <c r="O109" i="12" s="1"/>
  <c r="N110" i="12"/>
  <c r="O110" i="12" s="1"/>
  <c r="N111" i="12"/>
  <c r="O111" i="12" s="1"/>
  <c r="N112" i="12"/>
  <c r="O112" i="12" s="1"/>
  <c r="N113" i="12"/>
  <c r="O113" i="12" s="1"/>
  <c r="X143" i="4"/>
  <c r="N114" i="12"/>
  <c r="O114" i="12" s="1"/>
  <c r="X129" i="4"/>
  <c r="N115" i="12"/>
  <c r="O115" i="12" s="1"/>
  <c r="J129" i="4"/>
  <c r="M129" i="4"/>
  <c r="U129" i="4"/>
  <c r="L129" i="4"/>
  <c r="K129" i="4"/>
  <c r="Y129" i="4"/>
  <c r="D129" i="4"/>
  <c r="C129" i="4"/>
  <c r="W129" i="4"/>
  <c r="Z129" i="4" s="1"/>
  <c r="I129" i="4"/>
  <c r="E129" i="4"/>
  <c r="N116" i="12"/>
  <c r="O116" i="12" s="1"/>
  <c r="N117" i="12"/>
  <c r="O117" i="12" s="1"/>
  <c r="N118" i="12"/>
  <c r="O118" i="12" s="1"/>
  <c r="N119" i="12"/>
  <c r="O119" i="12" s="1"/>
  <c r="N120" i="12"/>
  <c r="O120" i="12" s="1"/>
  <c r="C101" i="9"/>
  <c r="D101" i="9"/>
  <c r="AD101" i="9"/>
  <c r="Z101" i="9"/>
  <c r="X101" i="9"/>
  <c r="M101" i="9"/>
  <c r="J101" i="9"/>
  <c r="K101" i="9"/>
  <c r="AB101" i="9"/>
  <c r="AE101" i="9" s="1"/>
  <c r="L101" i="9"/>
  <c r="I101" i="9"/>
  <c r="E101" i="9"/>
  <c r="AC101" i="9"/>
  <c r="AA101" i="9"/>
  <c r="Y101" i="9"/>
  <c r="C77" i="9"/>
  <c r="AD77" i="9"/>
  <c r="D77" i="9"/>
  <c r="AC77" i="9"/>
  <c r="Y77" i="9"/>
  <c r="AB77" i="9"/>
  <c r="AE77" i="9" s="1"/>
  <c r="AA77" i="9"/>
  <c r="I77" i="9"/>
  <c r="Z77" i="9"/>
  <c r="J77" i="9"/>
  <c r="X77" i="9"/>
  <c r="L77" i="9"/>
  <c r="E77" i="9"/>
  <c r="K77" i="9"/>
  <c r="M77" i="9"/>
  <c r="E79" i="9"/>
  <c r="D79" i="9"/>
  <c r="C79" i="9"/>
  <c r="Z79" i="9"/>
  <c r="I79" i="9"/>
  <c r="AC79" i="9"/>
  <c r="M79" i="9"/>
  <c r="X79" i="9"/>
  <c r="K79" i="9"/>
  <c r="AD79" i="9"/>
  <c r="Y79" i="9"/>
  <c r="J79" i="9"/>
  <c r="AA79" i="9"/>
  <c r="L79" i="9"/>
  <c r="AB79" i="9"/>
  <c r="AE79" i="9" s="1"/>
  <c r="D60" i="9"/>
  <c r="C60" i="9"/>
  <c r="M60" i="9"/>
  <c r="K60" i="9"/>
  <c r="J60" i="9"/>
  <c r="L60" i="9"/>
  <c r="AD60" i="9"/>
  <c r="AC60" i="9"/>
  <c r="AB60" i="9"/>
  <c r="AE60" i="9" s="1"/>
  <c r="AA60" i="9"/>
  <c r="Y60" i="9"/>
  <c r="Z60" i="9"/>
  <c r="X60" i="9"/>
  <c r="I60" i="9"/>
  <c r="E60" i="9"/>
  <c r="E52" i="9"/>
  <c r="L52" i="9"/>
  <c r="C52" i="9"/>
  <c r="D52" i="9"/>
  <c r="Y52" i="9"/>
  <c r="AC52" i="9"/>
  <c r="M52" i="9"/>
  <c r="AB52" i="9"/>
  <c r="AE52" i="9" s="1"/>
  <c r="X52" i="9"/>
  <c r="K52" i="9"/>
  <c r="I52" i="9"/>
  <c r="J52" i="9"/>
  <c r="AD52" i="9"/>
  <c r="Z52" i="9"/>
  <c r="AA52" i="9"/>
  <c r="D49" i="9"/>
  <c r="AB49" i="9"/>
  <c r="AE49" i="9" s="1"/>
  <c r="C49" i="9"/>
  <c r="AC49" i="9"/>
  <c r="Z49" i="9"/>
  <c r="E49" i="9"/>
  <c r="J49" i="9"/>
  <c r="X49" i="9"/>
  <c r="AD49" i="9"/>
  <c r="M49" i="9"/>
  <c r="K49" i="9"/>
  <c r="AA49" i="9"/>
  <c r="I49" i="9"/>
  <c r="Y49" i="9"/>
  <c r="L49" i="9"/>
  <c r="D50" i="9"/>
  <c r="E50" i="9"/>
  <c r="AD50" i="9"/>
  <c r="Z50" i="9"/>
  <c r="C50" i="9"/>
  <c r="AA50" i="9"/>
  <c r="I50" i="9"/>
  <c r="Y50" i="9"/>
  <c r="K50" i="9"/>
  <c r="M50" i="9"/>
  <c r="AC50" i="9"/>
  <c r="AB50" i="9"/>
  <c r="AE50" i="9" s="1"/>
  <c r="X50" i="9"/>
  <c r="L50" i="9"/>
  <c r="J50" i="9"/>
  <c r="N121" i="12"/>
  <c r="O121" i="12" s="1"/>
  <c r="N122" i="12"/>
  <c r="O122" i="12" s="1"/>
  <c r="X120" i="4"/>
  <c r="N123" i="12"/>
  <c r="O123" i="12" s="1"/>
  <c r="X68" i="8"/>
  <c r="X64" i="7"/>
  <c r="X73" i="5"/>
  <c r="N124" i="12"/>
  <c r="O124" i="12" s="1"/>
  <c r="X122" i="4"/>
  <c r="N125" i="12"/>
  <c r="O125" i="12" s="1"/>
  <c r="N126" i="12"/>
  <c r="O126" i="12" s="1"/>
  <c r="N127" i="12"/>
  <c r="O127" i="12" s="1"/>
  <c r="N128" i="12"/>
  <c r="O128" i="12" s="1"/>
  <c r="N129" i="12"/>
  <c r="O129" i="12" s="1"/>
  <c r="N130" i="12"/>
  <c r="O130" i="12" s="1"/>
  <c r="N131" i="12"/>
  <c r="O131" i="12" s="1"/>
  <c r="N132" i="12"/>
  <c r="O132" i="12" s="1"/>
  <c r="N133" i="12"/>
  <c r="O133" i="12" s="1"/>
  <c r="N134" i="12"/>
  <c r="O134" i="12" s="1"/>
  <c r="X73" i="8"/>
  <c r="N135" i="12"/>
  <c r="O135" i="12" s="1"/>
  <c r="N136" i="12"/>
  <c r="O136" i="12" s="1"/>
  <c r="N137" i="12"/>
  <c r="O137" i="12" s="1"/>
  <c r="N138" i="12"/>
  <c r="O138" i="12" s="1"/>
  <c r="X77" i="5"/>
  <c r="N139" i="12"/>
  <c r="O139" i="12" s="1"/>
  <c r="X128" i="4"/>
  <c r="N140" i="12"/>
  <c r="O140" i="12" s="1"/>
  <c r="N141" i="12"/>
  <c r="O141" i="12" s="1"/>
  <c r="N142" i="12"/>
  <c r="O142" i="12" s="1"/>
  <c r="N143" i="12"/>
  <c r="O143" i="12" s="1"/>
  <c r="N144" i="12"/>
  <c r="O144" i="12" s="1"/>
  <c r="X69" i="8"/>
  <c r="N145" i="12"/>
  <c r="O145" i="12" s="1"/>
  <c r="N146" i="12"/>
  <c r="O146" i="12" s="1"/>
  <c r="N147" i="12"/>
  <c r="O147" i="12" s="1"/>
  <c r="X74" i="5"/>
  <c r="N148" i="12"/>
  <c r="O148" i="12" s="1"/>
  <c r="X123" i="4"/>
  <c r="N149" i="12"/>
  <c r="O149" i="12" s="1"/>
  <c r="N150" i="12"/>
  <c r="O150" i="12" s="1"/>
  <c r="N151" i="12"/>
  <c r="O151" i="12" s="1"/>
  <c r="N152" i="12"/>
  <c r="O152" i="12" s="1"/>
  <c r="N153" i="12"/>
  <c r="O153" i="12" s="1"/>
  <c r="W68" i="8"/>
  <c r="Z68" i="8" s="1"/>
  <c r="J68" i="8"/>
  <c r="Y68" i="8"/>
  <c r="L68" i="8"/>
  <c r="I68" i="8"/>
  <c r="E68" i="8"/>
  <c r="C68" i="8"/>
  <c r="U68" i="8" s="1"/>
  <c r="M68" i="8"/>
  <c r="D68" i="8"/>
  <c r="K68" i="8"/>
  <c r="C73" i="5"/>
  <c r="W73" i="5"/>
  <c r="Z73" i="5" s="1"/>
  <c r="E73" i="5"/>
  <c r="D73" i="5"/>
  <c r="M73" i="5"/>
  <c r="S73" i="5"/>
  <c r="I73" i="5"/>
  <c r="L73" i="5"/>
  <c r="K73" i="5"/>
  <c r="J73" i="5"/>
  <c r="L131" i="4"/>
  <c r="K131" i="4"/>
  <c r="J131" i="4"/>
  <c r="I131" i="4"/>
  <c r="Y131" i="4"/>
  <c r="E131" i="4"/>
  <c r="D131" i="4"/>
  <c r="X131" i="4"/>
  <c r="U131" i="4"/>
  <c r="M131" i="4"/>
  <c r="C131" i="4"/>
  <c r="W131" i="4"/>
  <c r="Z131" i="4" s="1"/>
  <c r="C132" i="4"/>
  <c r="D132" i="4"/>
  <c r="E132" i="4"/>
  <c r="I132" i="4"/>
  <c r="J132" i="4"/>
  <c r="K132" i="4"/>
  <c r="L132" i="4"/>
  <c r="U132" i="4"/>
  <c r="W132" i="4"/>
  <c r="Z132" i="4" s="1"/>
  <c r="M132" i="4"/>
  <c r="Y132" i="4"/>
  <c r="X132" i="4"/>
  <c r="M122" i="4"/>
  <c r="L122" i="4"/>
  <c r="J122" i="4"/>
  <c r="K122" i="4"/>
  <c r="I122" i="4"/>
  <c r="E122" i="4"/>
  <c r="D122" i="4"/>
  <c r="U122" i="4"/>
  <c r="C122" i="4"/>
  <c r="Y122" i="4"/>
  <c r="W122" i="4"/>
  <c r="Z122" i="4" s="1"/>
  <c r="C56" i="5"/>
  <c r="D56" i="5"/>
  <c r="S56" i="5"/>
  <c r="L56" i="5"/>
  <c r="W56" i="5"/>
  <c r="Z56" i="5" s="1"/>
  <c r="X56" i="5"/>
  <c r="E56" i="5"/>
  <c r="J56" i="5"/>
  <c r="I56" i="5"/>
  <c r="K56" i="5"/>
  <c r="M56" i="5"/>
  <c r="N155" i="12"/>
  <c r="O155" i="12" s="1"/>
  <c r="I44" i="8"/>
  <c r="J44" i="8"/>
  <c r="L44" i="8"/>
  <c r="Y44" i="8"/>
  <c r="X44" i="8"/>
  <c r="W44" i="8"/>
  <c r="Z44" i="8" s="1"/>
  <c r="K44" i="8"/>
  <c r="E44" i="8"/>
  <c r="D44" i="8"/>
  <c r="C44" i="8"/>
  <c r="U44" i="8" s="1"/>
  <c r="M44" i="8"/>
  <c r="D102" i="4"/>
  <c r="L99" i="4"/>
  <c r="K99" i="4"/>
  <c r="C99" i="4"/>
  <c r="X99" i="4"/>
  <c r="M99" i="4"/>
  <c r="J99" i="4"/>
  <c r="U99" i="4"/>
  <c r="E99" i="4"/>
  <c r="Y99" i="4"/>
  <c r="I99" i="4"/>
  <c r="W99" i="4"/>
  <c r="Z99" i="4" s="1"/>
  <c r="D99" i="4"/>
  <c r="K98" i="4"/>
  <c r="I98" i="4"/>
  <c r="M98" i="4"/>
  <c r="X98" i="4"/>
  <c r="E98" i="4"/>
  <c r="C98" i="4"/>
  <c r="U98" i="4"/>
  <c r="L98" i="4"/>
  <c r="J98" i="4"/>
  <c r="D98" i="4"/>
  <c r="Y98" i="4"/>
  <c r="W98" i="4"/>
  <c r="Z98" i="4" s="1"/>
  <c r="X56" i="8"/>
  <c r="N156" i="12"/>
  <c r="O156" i="12" s="1"/>
  <c r="N157" i="12"/>
  <c r="O157" i="12" s="1"/>
  <c r="N158" i="12"/>
  <c r="O158" i="12" s="1"/>
  <c r="X104" i="4"/>
  <c r="N159" i="12"/>
  <c r="O159" i="12" s="1"/>
  <c r="N160" i="12"/>
  <c r="O160" i="12" s="1"/>
  <c r="N161" i="12"/>
  <c r="O161" i="12" s="1"/>
  <c r="N162" i="12"/>
  <c r="O162" i="12" s="1"/>
  <c r="N163" i="12"/>
  <c r="O163" i="12" s="1"/>
  <c r="N164" i="12"/>
  <c r="O164" i="12" s="1"/>
  <c r="X107" i="4"/>
  <c r="X61" i="5"/>
  <c r="N165" i="12"/>
  <c r="O165" i="12" s="1"/>
  <c r="X55" i="8"/>
  <c r="N166" i="12"/>
  <c r="O166" i="12" s="1"/>
  <c r="N167" i="12"/>
  <c r="O167" i="12" s="1"/>
  <c r="N168" i="12"/>
  <c r="O168" i="12" s="1"/>
  <c r="N169" i="12"/>
  <c r="O169" i="12" s="1"/>
  <c r="I61" i="5"/>
  <c r="K61" i="5"/>
  <c r="E61" i="5"/>
  <c r="S61" i="5"/>
  <c r="D61" i="5"/>
  <c r="C61" i="5"/>
  <c r="M61" i="5"/>
  <c r="J61" i="5"/>
  <c r="W61" i="5"/>
  <c r="Z61" i="5" s="1"/>
  <c r="L61" i="5"/>
  <c r="M104" i="4"/>
  <c r="J104" i="4"/>
  <c r="W104" i="4"/>
  <c r="Z104" i="4" s="1"/>
  <c r="L104" i="4"/>
  <c r="K104" i="4"/>
  <c r="I104" i="4"/>
  <c r="E104" i="4"/>
  <c r="U104" i="4"/>
  <c r="D104" i="4"/>
  <c r="C104" i="4"/>
  <c r="Y104" i="4"/>
  <c r="N170" i="12"/>
  <c r="O170" i="12" s="1"/>
  <c r="N171" i="12"/>
  <c r="O171" i="12" s="1"/>
  <c r="X41" i="5"/>
  <c r="N172" i="12"/>
  <c r="O172" i="12" s="1"/>
  <c r="X52" i="5"/>
  <c r="N173" i="12"/>
  <c r="O173" i="12" s="1"/>
  <c r="N174" i="12"/>
  <c r="O174" i="12" s="1"/>
  <c r="N175" i="12"/>
  <c r="O175" i="12" s="1"/>
  <c r="N176" i="12"/>
  <c r="O176" i="12" s="1"/>
  <c r="N177" i="12"/>
  <c r="O177" i="12" s="1"/>
  <c r="N178" i="12"/>
  <c r="O178" i="12" s="1"/>
  <c r="N179" i="12"/>
  <c r="O179" i="12" s="1"/>
  <c r="X48" i="5"/>
  <c r="X88" i="4"/>
  <c r="N180" i="12"/>
  <c r="O180" i="12" s="1"/>
  <c r="N181" i="12"/>
  <c r="O181" i="12" s="1"/>
  <c r="N182" i="12"/>
  <c r="O182" i="12" s="1"/>
  <c r="N183" i="12"/>
  <c r="O183" i="12" s="1"/>
  <c r="N184" i="12"/>
  <c r="O184" i="12" s="1"/>
  <c r="N185" i="12"/>
  <c r="O185" i="12" s="1"/>
  <c r="N186" i="12"/>
  <c r="O186" i="12" s="1"/>
  <c r="X93" i="4"/>
  <c r="N187" i="12"/>
  <c r="O187" i="12" s="1"/>
  <c r="N188" i="12"/>
  <c r="O188" i="12" s="1"/>
  <c r="N189" i="12"/>
  <c r="O189" i="12" s="1"/>
  <c r="N190" i="12"/>
  <c r="O190" i="12" s="1"/>
  <c r="N191" i="12"/>
  <c r="O191" i="12" s="1"/>
  <c r="X45" i="5"/>
  <c r="N192" i="12"/>
  <c r="O192" i="12" s="1"/>
  <c r="N193" i="12"/>
  <c r="O193" i="12" s="1"/>
  <c r="N194" i="12"/>
  <c r="O194" i="12" s="1"/>
  <c r="N195" i="12"/>
  <c r="O195" i="12" s="1"/>
  <c r="N196" i="12"/>
  <c r="O196" i="12" s="1"/>
  <c r="N197" i="12"/>
  <c r="O197" i="12" s="1"/>
  <c r="N198" i="12"/>
  <c r="O198" i="12" s="1"/>
  <c r="N199" i="12"/>
  <c r="O199" i="12" s="1"/>
  <c r="N200" i="12"/>
  <c r="O200" i="12" s="1"/>
  <c r="N201" i="12"/>
  <c r="O201" i="12" s="1"/>
  <c r="N202" i="12"/>
  <c r="O202" i="12" s="1"/>
  <c r="N203" i="12"/>
  <c r="O203" i="12" s="1"/>
  <c r="N204" i="12"/>
  <c r="O204" i="12" s="1"/>
  <c r="N205" i="12"/>
  <c r="O205" i="12" s="1"/>
  <c r="N206" i="12"/>
  <c r="O206" i="12" s="1"/>
  <c r="X79" i="4"/>
  <c r="N207" i="12"/>
  <c r="O207" i="12" s="1"/>
  <c r="N208" i="12"/>
  <c r="O208" i="12" s="1"/>
  <c r="N209" i="12"/>
  <c r="O209" i="12" s="1"/>
  <c r="N210" i="12"/>
  <c r="O210" i="12" s="1"/>
  <c r="N211" i="12"/>
  <c r="O211" i="12" s="1"/>
  <c r="N212" i="12"/>
  <c r="O212" i="12" s="1"/>
  <c r="N213" i="12"/>
  <c r="O213" i="12" s="1"/>
  <c r="N214" i="12"/>
  <c r="O214" i="12" s="1"/>
  <c r="N215" i="12"/>
  <c r="O215" i="12" s="1"/>
  <c r="N216" i="12"/>
  <c r="O216" i="12" s="1"/>
  <c r="N217" i="12"/>
  <c r="O217" i="12" s="1"/>
  <c r="N218" i="12"/>
  <c r="O218" i="12" s="1"/>
  <c r="N219" i="12"/>
  <c r="O219" i="12" s="1"/>
  <c r="I50" i="5"/>
  <c r="E50" i="5"/>
  <c r="D50" i="5"/>
  <c r="C50" i="5"/>
  <c r="W50" i="5"/>
  <c r="Z50" i="5" s="1"/>
  <c r="J50" i="5"/>
  <c r="S50" i="5"/>
  <c r="M50" i="5"/>
  <c r="L50" i="5"/>
  <c r="K50" i="5"/>
  <c r="I88" i="4"/>
  <c r="C88" i="4"/>
  <c r="Y88" i="4"/>
  <c r="U88" i="4"/>
  <c r="L88" i="4"/>
  <c r="E88" i="4"/>
  <c r="K88" i="4"/>
  <c r="M88" i="4"/>
  <c r="J88" i="4"/>
  <c r="D88" i="4"/>
  <c r="W88" i="4"/>
  <c r="Z88" i="4" s="1"/>
  <c r="S45" i="5"/>
  <c r="K45" i="5"/>
  <c r="M45" i="5"/>
  <c r="J45" i="5"/>
  <c r="I45" i="5"/>
  <c r="E45" i="5"/>
  <c r="D45" i="5"/>
  <c r="C45" i="5"/>
  <c r="W45" i="5"/>
  <c r="Z45" i="5" s="1"/>
  <c r="L45" i="5"/>
  <c r="U84" i="4"/>
  <c r="M84" i="4"/>
  <c r="C84" i="4"/>
  <c r="I84" i="4"/>
  <c r="L84" i="4"/>
  <c r="D84" i="4"/>
  <c r="J84" i="4"/>
  <c r="Y84" i="4"/>
  <c r="E84" i="4"/>
  <c r="K84" i="4"/>
  <c r="W84" i="4"/>
  <c r="Z84" i="4" s="1"/>
  <c r="E41" i="5"/>
  <c r="D41" i="5"/>
  <c r="C41" i="5"/>
  <c r="W41" i="5"/>
  <c r="Z41" i="5" s="1"/>
  <c r="S41" i="5"/>
  <c r="M41" i="5"/>
  <c r="L41" i="5"/>
  <c r="K41" i="5"/>
  <c r="I41" i="5"/>
  <c r="J41" i="5"/>
  <c r="E39" i="5"/>
  <c r="M39" i="5"/>
  <c r="K39" i="5"/>
  <c r="D39" i="5"/>
  <c r="C39" i="5"/>
  <c r="S39" i="5"/>
  <c r="L39" i="5"/>
  <c r="J39" i="5"/>
  <c r="I39" i="5"/>
  <c r="W39" i="5"/>
  <c r="Z39" i="5" s="1"/>
  <c r="W92" i="4"/>
  <c r="Z92" i="4" s="1"/>
  <c r="Y92" i="4"/>
  <c r="E92" i="4"/>
  <c r="K92" i="4"/>
  <c r="C92" i="4"/>
  <c r="L92" i="4"/>
  <c r="J92" i="4"/>
  <c r="I92" i="4"/>
  <c r="M92" i="4"/>
  <c r="U92" i="4"/>
  <c r="D92" i="4"/>
  <c r="N220" i="12"/>
  <c r="O220" i="12" s="1"/>
  <c r="N221" i="12"/>
  <c r="O221" i="12" s="1"/>
  <c r="N222" i="12"/>
  <c r="O222" i="12" s="1"/>
  <c r="X50" i="8"/>
  <c r="N223" i="12"/>
  <c r="O223" i="12" s="1"/>
  <c r="N224" i="12"/>
  <c r="O224" i="12" s="1"/>
  <c r="N225" i="12"/>
  <c r="O225" i="12" s="1"/>
  <c r="N226" i="12"/>
  <c r="O226" i="12" s="1"/>
  <c r="N227" i="12"/>
  <c r="O227" i="12" s="1"/>
  <c r="N228" i="12"/>
  <c r="O228" i="12" s="1"/>
  <c r="N229" i="12"/>
  <c r="O229" i="12" s="1"/>
  <c r="N230" i="12"/>
  <c r="O230" i="12" s="1"/>
  <c r="N231" i="12"/>
  <c r="O231" i="12" s="1"/>
  <c r="N232" i="12"/>
  <c r="O232" i="12" s="1"/>
  <c r="N233" i="12"/>
  <c r="O233" i="12" s="1"/>
  <c r="N234" i="12"/>
  <c r="O234" i="12" s="1"/>
  <c r="N235" i="12"/>
  <c r="O235" i="12" s="1"/>
  <c r="N236" i="12"/>
  <c r="O236" i="12" s="1"/>
  <c r="K63" i="4"/>
  <c r="G63" i="4"/>
  <c r="J63" i="4"/>
  <c r="C63" i="4"/>
  <c r="I63" i="4"/>
  <c r="Y63" i="4"/>
  <c r="E63" i="4"/>
  <c r="D63" i="4"/>
  <c r="X63" i="4"/>
  <c r="W63" i="4"/>
  <c r="Z63" i="4" s="1"/>
  <c r="M63" i="4"/>
  <c r="L63" i="4"/>
  <c r="AC149" i="9"/>
  <c r="N237" i="12"/>
  <c r="O237" i="12" s="1"/>
  <c r="AC161" i="9"/>
  <c r="N238" i="12"/>
  <c r="O238" i="12" s="1"/>
  <c r="AC160" i="9"/>
  <c r="N239" i="12"/>
  <c r="O239" i="12" s="1"/>
  <c r="AC154" i="9"/>
  <c r="N240" i="12"/>
  <c r="O240" i="12" s="1"/>
  <c r="AB160" i="9"/>
  <c r="AE160" i="9" s="1"/>
  <c r="AA160" i="9"/>
  <c r="X160" i="9"/>
  <c r="AD160" i="9"/>
  <c r="Z160" i="9"/>
  <c r="Y160" i="9"/>
  <c r="K160" i="9"/>
  <c r="J160" i="9"/>
  <c r="I160" i="9"/>
  <c r="E160" i="9"/>
  <c r="D160" i="9"/>
  <c r="C160" i="9"/>
  <c r="M160" i="9"/>
  <c r="L160" i="9"/>
  <c r="I161" i="9"/>
  <c r="C161" i="9"/>
  <c r="E161" i="9"/>
  <c r="J161" i="9"/>
  <c r="L161" i="9"/>
  <c r="Z161" i="9"/>
  <c r="AB161" i="9"/>
  <c r="AE161" i="9" s="1"/>
  <c r="AD161" i="9"/>
  <c r="Y161" i="9"/>
  <c r="D161" i="9"/>
  <c r="K161" i="9"/>
  <c r="M161" i="9"/>
  <c r="X161" i="9"/>
  <c r="AA161" i="9"/>
  <c r="N241" i="12"/>
  <c r="O241" i="12" s="1"/>
  <c r="N242" i="12"/>
  <c r="O242" i="12" s="1"/>
  <c r="N244" i="12"/>
  <c r="O244" i="12" s="1"/>
  <c r="N243" i="12"/>
  <c r="O243" i="12" s="1"/>
  <c r="X60" i="5"/>
  <c r="X25" i="5"/>
  <c r="X26" i="5"/>
  <c r="X29" i="7"/>
  <c r="X30" i="7"/>
  <c r="X32" i="7"/>
  <c r="AC33" i="9"/>
  <c r="AC40" i="9"/>
  <c r="X33" i="7"/>
  <c r="AC35" i="9"/>
  <c r="AC102" i="9"/>
  <c r="AC103" i="9"/>
  <c r="AC36" i="9"/>
  <c r="X24" i="8"/>
  <c r="AC41" i="9"/>
  <c r="AC104" i="9"/>
  <c r="AC30" i="9"/>
  <c r="AC38" i="9"/>
  <c r="AC105" i="9"/>
  <c r="AC37" i="9"/>
  <c r="X25" i="8"/>
  <c r="AC31" i="9"/>
  <c r="AC32" i="9"/>
  <c r="AC34" i="9"/>
  <c r="X53" i="8"/>
  <c r="X52" i="8"/>
  <c r="X28" i="8"/>
  <c r="X31" i="8"/>
  <c r="X29" i="8"/>
  <c r="X30" i="8"/>
  <c r="X50" i="7"/>
  <c r="X102" i="4"/>
  <c r="X24" i="5"/>
  <c r="N245" i="12"/>
  <c r="O245" i="12" s="1"/>
  <c r="N246" i="12"/>
  <c r="O246" i="12" s="1"/>
  <c r="N247" i="12"/>
  <c r="O247" i="12" s="1"/>
  <c r="N248" i="12"/>
  <c r="O248" i="12" s="1"/>
  <c r="N249" i="12"/>
  <c r="O249" i="12" s="1"/>
  <c r="N250" i="12"/>
  <c r="O250" i="12" s="1"/>
  <c r="N251" i="12"/>
  <c r="O251" i="12" s="1"/>
  <c r="N265" i="12"/>
  <c r="O265" i="12" s="1"/>
  <c r="N264" i="12"/>
  <c r="O264" i="12" s="1"/>
  <c r="N273" i="12"/>
  <c r="O273" i="12" s="1"/>
  <c r="N260" i="12"/>
  <c r="O260" i="12" s="1"/>
  <c r="N256" i="12"/>
  <c r="O256" i="12" s="1"/>
  <c r="N269" i="12"/>
  <c r="O269" i="12" s="1"/>
  <c r="N274" i="12"/>
  <c r="O274" i="12" s="1"/>
  <c r="N277" i="12"/>
  <c r="O277" i="12" s="1"/>
  <c r="N272" i="12"/>
  <c r="O272" i="12" s="1"/>
  <c r="N252" i="12"/>
  <c r="O252" i="12" s="1"/>
  <c r="N266" i="12"/>
  <c r="O266" i="12" s="1"/>
  <c r="N271" i="12"/>
  <c r="O271" i="12" s="1"/>
  <c r="N257" i="12"/>
  <c r="O257" i="12" s="1"/>
  <c r="N268" i="12"/>
  <c r="O268" i="12" s="1"/>
  <c r="N261" i="12"/>
  <c r="O261" i="12" s="1"/>
  <c r="N263" i="12"/>
  <c r="O263" i="12" s="1"/>
  <c r="N253" i="12"/>
  <c r="O253" i="12" s="1"/>
  <c r="N267" i="12"/>
  <c r="O267" i="12" s="1"/>
  <c r="N275" i="12"/>
  <c r="O275" i="12" s="1"/>
  <c r="N254" i="12"/>
  <c r="O254" i="12" s="1"/>
  <c r="N270" i="12"/>
  <c r="O270" i="12" s="1"/>
  <c r="N276" i="12"/>
  <c r="O276" i="12" s="1"/>
  <c r="N262" i="12"/>
  <c r="O262" i="12" s="1"/>
  <c r="N258" i="12"/>
  <c r="O258" i="12" s="1"/>
  <c r="N278" i="12"/>
  <c r="O278" i="12" s="1"/>
  <c r="N259" i="12"/>
  <c r="O259" i="12" s="1"/>
  <c r="N255" i="12"/>
  <c r="O255" i="12" s="1"/>
  <c r="C53" i="8"/>
  <c r="U53" i="8" s="1"/>
  <c r="M53" i="8"/>
  <c r="L53" i="8"/>
  <c r="K53" i="8"/>
  <c r="I53" i="8"/>
  <c r="E53" i="8"/>
  <c r="Y53" i="8"/>
  <c r="D53" i="8"/>
  <c r="W53" i="8"/>
  <c r="Z53" i="8" s="1"/>
  <c r="J53" i="8"/>
  <c r="L50" i="7"/>
  <c r="W50" i="7"/>
  <c r="Z50" i="7" s="1"/>
  <c r="M50" i="7"/>
  <c r="K50" i="7"/>
  <c r="J50" i="7"/>
  <c r="I50" i="7"/>
  <c r="E50" i="7"/>
  <c r="Y50" i="7"/>
  <c r="D50" i="7"/>
  <c r="C50" i="7"/>
  <c r="C69" i="8"/>
  <c r="U69" i="8" s="1"/>
  <c r="M69" i="8"/>
  <c r="K69" i="8"/>
  <c r="J69" i="8"/>
  <c r="I69" i="8"/>
  <c r="D69" i="8"/>
  <c r="W69" i="8"/>
  <c r="Z69" i="8" s="1"/>
  <c r="Y69" i="8"/>
  <c r="L69" i="8"/>
  <c r="E69" i="8"/>
  <c r="C60" i="5"/>
  <c r="W60" i="5"/>
  <c r="Z60" i="5" s="1"/>
  <c r="I60" i="5"/>
  <c r="L60" i="5"/>
  <c r="M60" i="5"/>
  <c r="D60" i="5"/>
  <c r="J60" i="5"/>
  <c r="E60" i="5"/>
  <c r="K60" i="5"/>
  <c r="S60" i="5"/>
  <c r="I74" i="5"/>
  <c r="C74" i="5"/>
  <c r="K74" i="5"/>
  <c r="L74" i="5"/>
  <c r="E74" i="5"/>
  <c r="D74" i="5"/>
  <c r="W74" i="5"/>
  <c r="Z74" i="5" s="1"/>
  <c r="J74" i="5"/>
  <c r="S74" i="5"/>
  <c r="M74" i="5"/>
  <c r="L64" i="4"/>
  <c r="D64" i="4"/>
  <c r="X64" i="4"/>
  <c r="K64" i="4"/>
  <c r="G64" i="4"/>
  <c r="Y64" i="4"/>
  <c r="M64" i="4"/>
  <c r="U64" i="4"/>
  <c r="J64" i="4"/>
  <c r="I64" i="4"/>
  <c r="C64" i="4"/>
  <c r="W64" i="4"/>
  <c r="Z64" i="4" s="1"/>
  <c r="E64" i="4"/>
  <c r="X52" i="4"/>
  <c r="Y52" i="4"/>
  <c r="Y53" i="4"/>
  <c r="X53" i="4"/>
  <c r="Y24" i="5"/>
  <c r="G24" i="5"/>
  <c r="I24" i="5"/>
  <c r="E24" i="5"/>
  <c r="D24" i="5"/>
  <c r="C24" i="5"/>
  <c r="K24" i="5"/>
  <c r="W24" i="5"/>
  <c r="Z24" i="5" s="1"/>
  <c r="L24" i="5"/>
  <c r="M24" i="5"/>
  <c r="J24" i="5"/>
  <c r="E52" i="4"/>
  <c r="D52" i="4"/>
  <c r="M52" i="4"/>
  <c r="I52" i="4"/>
  <c r="C52" i="4"/>
  <c r="G52" i="4"/>
  <c r="U52" i="4"/>
  <c r="L52" i="4"/>
  <c r="W52" i="4"/>
  <c r="Z52" i="4" s="1"/>
  <c r="K52" i="4"/>
  <c r="J52" i="4"/>
  <c r="G25" i="9"/>
  <c r="E25" i="9"/>
  <c r="AC25" i="9"/>
  <c r="AB25" i="9"/>
  <c r="AE25" i="9" s="1"/>
  <c r="D25" i="9"/>
  <c r="C25" i="9"/>
  <c r="AD25" i="9"/>
  <c r="AA25" i="9"/>
  <c r="Y25" i="9"/>
  <c r="X25" i="9"/>
  <c r="Z25" i="9"/>
  <c r="K25" i="9"/>
  <c r="M25" i="9"/>
  <c r="L25" i="9"/>
  <c r="J25" i="9"/>
  <c r="I25" i="9"/>
  <c r="N1085" i="12"/>
  <c r="O1085" i="12" s="1"/>
  <c r="N1101" i="12"/>
  <c r="O1101" i="12" s="1"/>
  <c r="N385" i="12"/>
  <c r="O385" i="12" s="1"/>
  <c r="N1462" i="12"/>
  <c r="O1462" i="12" s="1"/>
  <c r="N939" i="12"/>
  <c r="O939" i="12" s="1"/>
  <c r="N1367" i="12"/>
  <c r="O1367" i="12" s="1"/>
  <c r="N1065" i="12"/>
  <c r="O1065" i="12" s="1"/>
  <c r="N945" i="12"/>
  <c r="O945" i="12" s="1"/>
  <c r="N1447" i="12"/>
  <c r="O1447" i="12" s="1"/>
  <c r="N1480" i="12"/>
  <c r="O1480" i="12" s="1"/>
  <c r="N1391" i="12"/>
  <c r="O1391" i="12" s="1"/>
  <c r="N1479" i="12"/>
  <c r="O1479" i="12" s="1"/>
  <c r="N1478" i="12"/>
  <c r="O1478" i="12" s="1"/>
  <c r="N942" i="12"/>
  <c r="O942" i="12" s="1"/>
  <c r="N1394" i="12"/>
  <c r="O1394" i="12" s="1"/>
  <c r="N1368" i="12"/>
  <c r="O1368" i="12" s="1"/>
  <c r="N1063" i="12"/>
  <c r="O1063" i="12" s="1"/>
  <c r="N1424" i="12"/>
  <c r="O1424" i="12" s="1"/>
  <c r="N1390" i="12"/>
  <c r="O1390" i="12" s="1"/>
  <c r="N1392" i="12"/>
  <c r="O1392" i="12" s="1"/>
  <c r="N1422" i="12"/>
  <c r="O1422" i="12" s="1"/>
  <c r="N1482" i="12"/>
  <c r="O1482" i="12" s="1"/>
  <c r="N1421" i="12"/>
  <c r="O1421" i="12" s="1"/>
  <c r="N941" i="12"/>
  <c r="O941" i="12" s="1"/>
  <c r="N1449" i="12"/>
  <c r="O1449" i="12" s="1"/>
  <c r="N1241" i="12"/>
  <c r="O1241" i="12" s="1"/>
  <c r="N1450" i="12"/>
  <c r="O1450" i="12" s="1"/>
  <c r="N934" i="12"/>
  <c r="O934" i="12" s="1"/>
  <c r="N388" i="12"/>
  <c r="O388" i="12" s="1"/>
  <c r="N1448" i="12"/>
  <c r="O1448" i="12" s="1"/>
  <c r="N363" i="12"/>
  <c r="O363" i="12" s="1"/>
  <c r="N1064" i="12"/>
  <c r="O1064" i="12" s="1"/>
  <c r="N1439" i="12"/>
  <c r="O1439" i="12" s="1"/>
  <c r="N1244" i="12"/>
  <c r="O1244" i="12" s="1"/>
  <c r="N688" i="12"/>
  <c r="O688" i="12" s="1"/>
  <c r="N1243" i="12"/>
  <c r="O1243" i="12" s="1"/>
  <c r="N933" i="12"/>
  <c r="O933" i="12" s="1"/>
  <c r="N1311" i="12"/>
  <c r="O1311" i="12" s="1"/>
  <c r="N1395" i="12"/>
  <c r="O1395" i="12" s="1"/>
  <c r="N937" i="12"/>
  <c r="O937" i="12" s="1"/>
  <c r="N1434" i="12"/>
  <c r="O1434" i="12" s="1"/>
  <c r="N1437" i="12"/>
  <c r="O1437" i="12" s="1"/>
  <c r="N1310" i="12"/>
  <c r="O1310" i="12" s="1"/>
  <c r="N1339" i="12"/>
  <c r="O1339" i="12" s="1"/>
  <c r="N940" i="12"/>
  <c r="O940" i="12" s="1"/>
  <c r="N943" i="12"/>
  <c r="O943" i="12" s="1"/>
  <c r="N1452" i="12"/>
  <c r="O1452" i="12" s="1"/>
  <c r="N1435" i="12"/>
  <c r="O1435" i="12" s="1"/>
  <c r="N1312" i="12"/>
  <c r="O1312" i="12" s="1"/>
  <c r="N1340" i="12"/>
  <c r="O1340" i="12" s="1"/>
  <c r="N1147" i="12"/>
  <c r="O1147" i="12" s="1"/>
  <c r="N944" i="12"/>
  <c r="O944" i="12" s="1"/>
  <c r="N1144" i="12"/>
  <c r="O1144" i="12" s="1"/>
  <c r="N936" i="12"/>
  <c r="O936" i="12" s="1"/>
  <c r="N400" i="12"/>
  <c r="O400" i="12" s="1"/>
  <c r="N1066" i="12"/>
  <c r="O1066" i="12" s="1"/>
  <c r="N1423" i="12"/>
  <c r="O1423" i="12" s="1"/>
  <c r="N1242" i="12"/>
  <c r="O1242" i="12" s="1"/>
  <c r="N1393" i="12"/>
  <c r="O1393" i="12" s="1"/>
  <c r="N1481" i="12"/>
  <c r="O1481" i="12" s="1"/>
  <c r="N1425" i="12"/>
  <c r="O1425" i="12" s="1"/>
  <c r="N1440" i="12"/>
  <c r="O1440" i="12" s="1"/>
  <c r="N1483" i="12"/>
  <c r="O1483" i="12" s="1"/>
  <c r="N1426" i="12"/>
  <c r="O1426" i="12" s="1"/>
  <c r="N389" i="12"/>
  <c r="O389" i="12" s="1"/>
  <c r="N1341" i="12"/>
  <c r="O1341" i="12" s="1"/>
  <c r="N387" i="12"/>
  <c r="O387" i="12" s="1"/>
  <c r="N931" i="12"/>
  <c r="O931" i="12" s="1"/>
  <c r="N938" i="12"/>
  <c r="O938" i="12" s="1"/>
  <c r="N1361" i="12"/>
  <c r="O1361" i="12" s="1"/>
  <c r="N1451" i="12"/>
  <c r="O1451" i="12" s="1"/>
  <c r="N1084" i="12"/>
  <c r="O1084" i="12" s="1"/>
  <c r="N741" i="12"/>
  <c r="O741" i="12" s="1"/>
  <c r="N843" i="12"/>
  <c r="O843" i="12" s="1"/>
  <c r="N824" i="12"/>
  <c r="O824" i="12" s="1"/>
  <c r="N822" i="12"/>
  <c r="O822" i="12" s="1"/>
  <c r="N880" i="12"/>
  <c r="O880" i="12" s="1"/>
  <c r="N292" i="12"/>
  <c r="O292" i="12" s="1"/>
  <c r="N1463" i="12"/>
  <c r="O1463" i="12" s="1"/>
  <c r="N1239" i="12"/>
  <c r="O1239" i="12" s="1"/>
  <c r="N1240" i="12"/>
  <c r="O1240" i="12" s="1"/>
  <c r="N332" i="12"/>
  <c r="O332" i="12" s="1"/>
  <c r="N1214" i="12"/>
  <c r="O1214" i="12" s="1"/>
  <c r="N840" i="12"/>
  <c r="O840" i="12" s="1"/>
  <c r="N823" i="12"/>
  <c r="O823" i="12" s="1"/>
  <c r="N825" i="12"/>
  <c r="O825" i="12" s="1"/>
  <c r="N361" i="12"/>
  <c r="O361" i="12" s="1"/>
  <c r="AE16" i="9"/>
  <c r="E33" i="9"/>
  <c r="D33" i="9"/>
  <c r="C33" i="9"/>
  <c r="M33" i="9"/>
  <c r="X33" i="9"/>
  <c r="AD33" i="9"/>
  <c r="K33" i="9"/>
  <c r="AA33" i="9"/>
  <c r="Y33" i="9"/>
  <c r="AB33" i="9"/>
  <c r="AE33" i="9" s="1"/>
  <c r="I33" i="9"/>
  <c r="G33" i="9"/>
  <c r="Z33" i="9"/>
  <c r="L33" i="9"/>
  <c r="J33" i="9"/>
  <c r="X40" i="4"/>
  <c r="DS40" i="4" s="1"/>
  <c r="X36" i="4"/>
  <c r="DS36" i="4" s="1"/>
  <c r="X48" i="4"/>
  <c r="AC28" i="9"/>
  <c r="BB28" i="9" s="1"/>
  <c r="AE17" i="9"/>
  <c r="AE19" i="9"/>
  <c r="AE20" i="9"/>
  <c r="Z199" i="4"/>
  <c r="G40" i="4"/>
  <c r="G36" i="4"/>
  <c r="G28" i="9"/>
  <c r="G30" i="9"/>
  <c r="Z197" i="4"/>
  <c r="Z196" i="4"/>
  <c r="Z200" i="4"/>
  <c r="Z17" i="5"/>
  <c r="Z17" i="4"/>
  <c r="AE22" i="9"/>
  <c r="AE23" i="9"/>
  <c r="Z16" i="5"/>
  <c r="AE21" i="9"/>
  <c r="U16" i="9"/>
  <c r="U17" i="9"/>
  <c r="AX21" i="4"/>
  <c r="U36" i="4"/>
  <c r="U40" i="4"/>
  <c r="C28" i="9"/>
  <c r="C30" i="9"/>
  <c r="C40" i="4"/>
  <c r="C36" i="4"/>
  <c r="I17" i="9"/>
  <c r="E17" i="9"/>
  <c r="E16" i="9"/>
  <c r="L16" i="9"/>
  <c r="J17" i="9"/>
  <c r="D16" i="9"/>
  <c r="K17" i="9"/>
  <c r="D17" i="9"/>
  <c r="L17" i="9"/>
  <c r="E28" i="9"/>
  <c r="E40" i="4"/>
  <c r="AB28" i="9"/>
  <c r="AE28" i="9" s="1"/>
  <c r="M28" i="9"/>
  <c r="W40" i="4"/>
  <c r="Z40" i="4" s="1"/>
  <c r="D40" i="4"/>
  <c r="M40" i="4"/>
  <c r="Y40" i="4"/>
  <c r="AD28" i="9"/>
  <c r="M30" i="9"/>
  <c r="Y36" i="4"/>
  <c r="AB30" i="9"/>
  <c r="AE30" i="9" s="1"/>
  <c r="D36" i="4"/>
  <c r="AD30" i="9"/>
  <c r="D28" i="9"/>
  <c r="W36" i="4"/>
  <c r="Z36" i="4" s="1"/>
  <c r="M36" i="4"/>
  <c r="E36" i="4"/>
  <c r="AA30" i="9"/>
  <c r="X28" i="9"/>
  <c r="I30" i="9"/>
  <c r="Y28" i="9"/>
  <c r="L40" i="4"/>
  <c r="AA28" i="9"/>
  <c r="Y30" i="9"/>
  <c r="X30" i="9"/>
  <c r="J30" i="9"/>
  <c r="L28" i="9"/>
  <c r="J28" i="9"/>
  <c r="I36" i="4"/>
  <c r="Z30" i="9"/>
  <c r="K28" i="9"/>
  <c r="I40" i="4"/>
  <c r="I28" i="9"/>
  <c r="L36" i="4"/>
  <c r="K30" i="9"/>
  <c r="K36" i="4"/>
  <c r="L30" i="9"/>
  <c r="Z28" i="9"/>
  <c r="J40" i="4"/>
  <c r="J36" i="4"/>
  <c r="K40" i="4"/>
  <c r="D30" i="9"/>
  <c r="E30" i="9"/>
  <c r="BX80" i="4" l="1"/>
  <c r="BY80" i="4" s="1"/>
  <c r="CZ80" i="4"/>
  <c r="AL80" i="4"/>
  <c r="AM80" i="4" s="1"/>
  <c r="FF80" i="4"/>
  <c r="FD80" i="4"/>
  <c r="CQ80" i="4"/>
  <c r="CR80" i="4" s="1"/>
  <c r="DS80" i="4"/>
  <c r="CG80" i="4"/>
  <c r="DJ80" i="4"/>
  <c r="DK80" i="4" s="1"/>
  <c r="EM80" i="4"/>
  <c r="EC80" i="4"/>
  <c r="ED80" i="4" s="1"/>
  <c r="BN80" i="4"/>
  <c r="AB80" i="4"/>
  <c r="BE80" i="4"/>
  <c r="BF80" i="4" s="1"/>
  <c r="EU80" i="4"/>
  <c r="EV80" i="4" s="1"/>
  <c r="FN80" i="4"/>
  <c r="FO80" i="4" s="1"/>
  <c r="EK80" i="4"/>
  <c r="AU80" i="4"/>
  <c r="DU80" i="4"/>
  <c r="AD80" i="4"/>
  <c r="BP80" i="4"/>
  <c r="DB80" i="4"/>
  <c r="CI80" i="4"/>
  <c r="AW80" i="4"/>
  <c r="AW82" i="4"/>
  <c r="EM82" i="4"/>
  <c r="AU82" i="4"/>
  <c r="BX82" i="4"/>
  <c r="BY82" i="4" s="1"/>
  <c r="EC82" i="4"/>
  <c r="ED82" i="4" s="1"/>
  <c r="BN82" i="4"/>
  <c r="FF82" i="4"/>
  <c r="CQ82" i="4"/>
  <c r="CR82" i="4" s="1"/>
  <c r="BE82" i="4"/>
  <c r="BF82" i="4" s="1"/>
  <c r="CG82" i="4"/>
  <c r="DJ82" i="4"/>
  <c r="DK82" i="4" s="1"/>
  <c r="EK82" i="4"/>
  <c r="EU82" i="4"/>
  <c r="EV82" i="4" s="1"/>
  <c r="FN82" i="4"/>
  <c r="FO82" i="4" s="1"/>
  <c r="CZ82" i="4"/>
  <c r="AL82" i="4"/>
  <c r="AM82" i="4" s="1"/>
  <c r="FD82" i="4"/>
  <c r="DS82" i="4"/>
  <c r="AB82" i="4"/>
  <c r="BP82" i="4"/>
  <c r="CI82" i="4"/>
  <c r="DB82" i="4"/>
  <c r="DU82" i="4"/>
  <c r="AD82" i="4"/>
  <c r="AL43" i="5"/>
  <c r="AM43" i="5" s="1"/>
  <c r="AB43" i="5"/>
  <c r="AD43" i="5"/>
  <c r="AB40" i="5"/>
  <c r="AL40" i="5"/>
  <c r="AM40" i="5" s="1"/>
  <c r="AD40" i="5"/>
  <c r="AB23" i="7"/>
  <c r="AL23" i="7"/>
  <c r="AM23" i="7" s="1"/>
  <c r="AD23" i="7"/>
  <c r="AL22" i="5"/>
  <c r="AM22" i="5" s="1"/>
  <c r="AB22" i="5"/>
  <c r="AD22" i="5"/>
  <c r="DV23" i="4"/>
  <c r="EH23" i="4"/>
  <c r="AD42" i="5"/>
  <c r="AL42" i="5"/>
  <c r="AM42" i="5" s="1"/>
  <c r="AB42" i="5"/>
  <c r="DJ81" i="4"/>
  <c r="DK81" i="4" s="1"/>
  <c r="EM81" i="4"/>
  <c r="EK81" i="4"/>
  <c r="CZ81" i="4"/>
  <c r="DS81" i="4"/>
  <c r="BE81" i="4"/>
  <c r="BF81" i="4" s="1"/>
  <c r="FD81" i="4"/>
  <c r="AU81" i="4"/>
  <c r="FN81" i="4"/>
  <c r="FO81" i="4" s="1"/>
  <c r="DB81" i="4"/>
  <c r="BX81" i="4"/>
  <c r="BY81" i="4" s="1"/>
  <c r="BN81" i="4"/>
  <c r="AB81" i="4"/>
  <c r="EC81" i="4"/>
  <c r="ED81" i="4" s="1"/>
  <c r="CQ81" i="4"/>
  <c r="CR81" i="4" s="1"/>
  <c r="EU81" i="4"/>
  <c r="EV81" i="4" s="1"/>
  <c r="AL81" i="4"/>
  <c r="AM81" i="4" s="1"/>
  <c r="FF81" i="4"/>
  <c r="CG81" i="4"/>
  <c r="CI81" i="4"/>
  <c r="AW81" i="4"/>
  <c r="BP81" i="4"/>
  <c r="AD81" i="4"/>
  <c r="DU81" i="4"/>
  <c r="AU90" i="4"/>
  <c r="BX90" i="4"/>
  <c r="BY90" i="4" s="1"/>
  <c r="DJ90" i="4"/>
  <c r="DK90" i="4" s="1"/>
  <c r="EM90" i="4"/>
  <c r="BN90" i="4"/>
  <c r="FF90" i="4"/>
  <c r="AW90" i="4"/>
  <c r="EK90" i="4"/>
  <c r="AL90" i="4"/>
  <c r="AM90" i="4" s="1"/>
  <c r="EC90" i="4"/>
  <c r="ED90" i="4" s="1"/>
  <c r="BP90" i="4"/>
  <c r="CQ90" i="4"/>
  <c r="CR90" i="4" s="1"/>
  <c r="BE90" i="4"/>
  <c r="BF90" i="4" s="1"/>
  <c r="EU90" i="4"/>
  <c r="EV90" i="4" s="1"/>
  <c r="CZ90" i="4"/>
  <c r="AB90" i="4"/>
  <c r="FN90" i="4"/>
  <c r="FO90" i="4" s="1"/>
  <c r="FD90" i="4"/>
  <c r="DU90" i="4"/>
  <c r="DS90" i="4"/>
  <c r="CG90" i="4"/>
  <c r="DB90" i="4"/>
  <c r="AD90" i="4"/>
  <c r="CI90" i="4"/>
  <c r="AL70" i="8"/>
  <c r="AM70" i="8" s="1"/>
  <c r="BP70" i="8"/>
  <c r="BN70" i="8"/>
  <c r="CG70" i="8"/>
  <c r="BX70" i="8"/>
  <c r="BY70" i="8" s="1"/>
  <c r="CQ70" i="8"/>
  <c r="CR70" i="8" s="1"/>
  <c r="AB70" i="8"/>
  <c r="BE70" i="8"/>
  <c r="BF70" i="8" s="1"/>
  <c r="CI70" i="8"/>
  <c r="AU70" i="8"/>
  <c r="AD70" i="8"/>
  <c r="AW70" i="8"/>
  <c r="AL75" i="5"/>
  <c r="AM75" i="5" s="1"/>
  <c r="AB75" i="5"/>
  <c r="AD75" i="5"/>
  <c r="AW124" i="4"/>
  <c r="EM124" i="4"/>
  <c r="AU124" i="4"/>
  <c r="EK124" i="4"/>
  <c r="BE124" i="4"/>
  <c r="BF124" i="4" s="1"/>
  <c r="CZ124" i="4"/>
  <c r="FD124" i="4"/>
  <c r="DS124" i="4"/>
  <c r="AB124" i="4"/>
  <c r="BX124" i="4"/>
  <c r="BY124" i="4" s="1"/>
  <c r="FF124" i="4"/>
  <c r="EC124" i="4"/>
  <c r="ED124" i="4" s="1"/>
  <c r="AL124" i="4"/>
  <c r="AM124" i="4" s="1"/>
  <c r="FN124" i="4"/>
  <c r="FO124" i="4" s="1"/>
  <c r="BN124" i="4"/>
  <c r="CG124" i="4"/>
  <c r="EU124" i="4"/>
  <c r="EV124" i="4" s="1"/>
  <c r="CQ124" i="4"/>
  <c r="CR124" i="4" s="1"/>
  <c r="DJ124" i="4"/>
  <c r="DK124" i="4" s="1"/>
  <c r="CI124" i="4"/>
  <c r="DB124" i="4"/>
  <c r="DU124" i="4"/>
  <c r="BP124" i="4"/>
  <c r="AD124" i="4"/>
  <c r="AU129" i="4"/>
  <c r="BN129" i="4"/>
  <c r="EU129" i="4"/>
  <c r="EV129" i="4" s="1"/>
  <c r="AD129" i="4"/>
  <c r="DJ129" i="4"/>
  <c r="DK129" i="4" s="1"/>
  <c r="EM129" i="4"/>
  <c r="AB129" i="4"/>
  <c r="EK129" i="4"/>
  <c r="BX129" i="4"/>
  <c r="BY129" i="4" s="1"/>
  <c r="CG129" i="4"/>
  <c r="CZ129" i="4"/>
  <c r="AL129" i="4"/>
  <c r="AM129" i="4" s="1"/>
  <c r="CI129" i="4"/>
  <c r="FF129" i="4"/>
  <c r="DU129" i="4"/>
  <c r="EC129" i="4"/>
  <c r="ED129" i="4" s="1"/>
  <c r="FN129" i="4"/>
  <c r="FO129" i="4" s="1"/>
  <c r="CQ129" i="4"/>
  <c r="CR129" i="4" s="1"/>
  <c r="DS129" i="4"/>
  <c r="FD129" i="4"/>
  <c r="BE129" i="4"/>
  <c r="BF129" i="4" s="1"/>
  <c r="AW129" i="4"/>
  <c r="DB129" i="4"/>
  <c r="BP129" i="4"/>
  <c r="BJ101" i="9"/>
  <c r="BK101" i="9" s="1"/>
  <c r="AI101" i="9"/>
  <c r="AG101" i="9"/>
  <c r="BB101" i="9"/>
  <c r="AZ101" i="9"/>
  <c r="AQ101" i="9"/>
  <c r="AR101" i="9" s="1"/>
  <c r="AI77" i="9"/>
  <c r="AG77" i="9"/>
  <c r="BB77" i="9"/>
  <c r="AZ77" i="9"/>
  <c r="BJ77" i="9"/>
  <c r="BK77" i="9" s="1"/>
  <c r="AQ77" i="9"/>
  <c r="AR77" i="9" s="1"/>
  <c r="AI79" i="9"/>
  <c r="AG79" i="9"/>
  <c r="BJ79" i="9"/>
  <c r="BK79" i="9" s="1"/>
  <c r="BB79" i="9"/>
  <c r="AZ79" i="9"/>
  <c r="AQ79" i="9"/>
  <c r="AR79" i="9" s="1"/>
  <c r="AI60" i="9"/>
  <c r="AG60" i="9"/>
  <c r="AQ60" i="9"/>
  <c r="AR60" i="9" s="1"/>
  <c r="BJ60" i="9"/>
  <c r="BK60" i="9" s="1"/>
  <c r="BB60" i="9"/>
  <c r="AZ60" i="9"/>
  <c r="AG52" i="9"/>
  <c r="BJ52" i="9"/>
  <c r="BK52" i="9" s="1"/>
  <c r="AZ52" i="9"/>
  <c r="AI52" i="9"/>
  <c r="AQ52" i="9"/>
  <c r="AR52" i="9" s="1"/>
  <c r="BB52" i="9"/>
  <c r="AI49" i="9"/>
  <c r="BB49" i="9"/>
  <c r="AZ49" i="9"/>
  <c r="AG49" i="9"/>
  <c r="AQ49" i="9"/>
  <c r="AR49" i="9" s="1"/>
  <c r="BJ49" i="9"/>
  <c r="BK49" i="9" s="1"/>
  <c r="AQ50" i="9"/>
  <c r="AR50" i="9" s="1"/>
  <c r="AI50" i="9"/>
  <c r="AG50" i="9"/>
  <c r="BB50" i="9"/>
  <c r="AZ50" i="9"/>
  <c r="BJ50" i="9"/>
  <c r="BK50" i="9" s="1"/>
  <c r="BP68" i="8"/>
  <c r="BN68" i="8"/>
  <c r="CI68" i="8"/>
  <c r="CG68" i="8"/>
  <c r="BX68" i="8"/>
  <c r="BY68" i="8" s="1"/>
  <c r="AW68" i="8"/>
  <c r="AU68" i="8"/>
  <c r="AD68" i="8"/>
  <c r="CQ68" i="8"/>
  <c r="CR68" i="8" s="1"/>
  <c r="AB68" i="8"/>
  <c r="AL68" i="8"/>
  <c r="AM68" i="8" s="1"/>
  <c r="BE68" i="8"/>
  <c r="BF68" i="8" s="1"/>
  <c r="AL73" i="5"/>
  <c r="AM73" i="5" s="1"/>
  <c r="AD73" i="5"/>
  <c r="AB73" i="5"/>
  <c r="EM131" i="4"/>
  <c r="BX131" i="4"/>
  <c r="BY131" i="4" s="1"/>
  <c r="EK131" i="4"/>
  <c r="FD131" i="4"/>
  <c r="BE131" i="4"/>
  <c r="BF131" i="4" s="1"/>
  <c r="DB131" i="4"/>
  <c r="CZ131" i="4"/>
  <c r="AL131" i="4"/>
  <c r="AM131" i="4" s="1"/>
  <c r="EC131" i="4"/>
  <c r="ED131" i="4" s="1"/>
  <c r="AD131" i="4"/>
  <c r="FF131" i="4"/>
  <c r="CQ131" i="4"/>
  <c r="CR131" i="4" s="1"/>
  <c r="AB131" i="4"/>
  <c r="CI131" i="4"/>
  <c r="CG131" i="4"/>
  <c r="EU131" i="4"/>
  <c r="EV131" i="4" s="1"/>
  <c r="FN131" i="4"/>
  <c r="FO131" i="4" s="1"/>
  <c r="DS131" i="4"/>
  <c r="BP131" i="4"/>
  <c r="BN131" i="4"/>
  <c r="AW131" i="4"/>
  <c r="DJ131" i="4"/>
  <c r="DK131" i="4" s="1"/>
  <c r="AU131" i="4"/>
  <c r="DU131" i="4"/>
  <c r="FN132" i="4"/>
  <c r="FO132" i="4" s="1"/>
  <c r="BP132" i="4"/>
  <c r="AL132" i="4"/>
  <c r="AM132" i="4" s="1"/>
  <c r="CZ132" i="4"/>
  <c r="AU132" i="4"/>
  <c r="DJ132" i="4"/>
  <c r="DK132" i="4" s="1"/>
  <c r="AW132" i="4"/>
  <c r="CQ132" i="4"/>
  <c r="CR132" i="4" s="1"/>
  <c r="EC132" i="4"/>
  <c r="ED132" i="4" s="1"/>
  <c r="DB132" i="4"/>
  <c r="BX132" i="4"/>
  <c r="BY132" i="4" s="1"/>
  <c r="EU132" i="4"/>
  <c r="EV132" i="4" s="1"/>
  <c r="CI132" i="4"/>
  <c r="EK132" i="4"/>
  <c r="EM132" i="4"/>
  <c r="FD132" i="4"/>
  <c r="AB132" i="4"/>
  <c r="AD132" i="4"/>
  <c r="FF132" i="4"/>
  <c r="BN132" i="4"/>
  <c r="CG132" i="4"/>
  <c r="BE132" i="4"/>
  <c r="BF132" i="4" s="1"/>
  <c r="DS132" i="4"/>
  <c r="DU132" i="4"/>
  <c r="DB122" i="4"/>
  <c r="AL122" i="4"/>
  <c r="AM122" i="4" s="1"/>
  <c r="EM122" i="4"/>
  <c r="EK122" i="4"/>
  <c r="BX122" i="4"/>
  <c r="BY122" i="4" s="1"/>
  <c r="CZ122" i="4"/>
  <c r="CI122" i="4"/>
  <c r="FN122" i="4"/>
  <c r="FO122" i="4" s="1"/>
  <c r="EC122" i="4"/>
  <c r="ED122" i="4" s="1"/>
  <c r="BP122" i="4"/>
  <c r="BN122" i="4"/>
  <c r="CQ122" i="4"/>
  <c r="CR122" i="4" s="1"/>
  <c r="AB122" i="4"/>
  <c r="FF122" i="4"/>
  <c r="AD122" i="4"/>
  <c r="EU122" i="4"/>
  <c r="EV122" i="4" s="1"/>
  <c r="FD122" i="4"/>
  <c r="DS122" i="4"/>
  <c r="BE122" i="4"/>
  <c r="BF122" i="4" s="1"/>
  <c r="CG122" i="4"/>
  <c r="AW122" i="4"/>
  <c r="DJ122" i="4"/>
  <c r="DK122" i="4" s="1"/>
  <c r="AU122" i="4"/>
  <c r="DU122" i="4"/>
  <c r="AB56" i="5"/>
  <c r="AD56" i="5"/>
  <c r="AL56" i="5"/>
  <c r="AM56" i="5" s="1"/>
  <c r="BN44" i="8"/>
  <c r="AB44" i="8"/>
  <c r="BE44" i="8"/>
  <c r="BF44" i="8" s="1"/>
  <c r="CI44" i="8"/>
  <c r="CQ44" i="8"/>
  <c r="CR44" i="8" s="1"/>
  <c r="CG44" i="8"/>
  <c r="BX44" i="8"/>
  <c r="BY44" i="8" s="1"/>
  <c r="AL44" i="8"/>
  <c r="AM44" i="8" s="1"/>
  <c r="BP44" i="8"/>
  <c r="AU44" i="8"/>
  <c r="AD44" i="8"/>
  <c r="AW44" i="8"/>
  <c r="AW99" i="4"/>
  <c r="BX99" i="4"/>
  <c r="BY99" i="4" s="1"/>
  <c r="AL99" i="4"/>
  <c r="AM99" i="4" s="1"/>
  <c r="DJ99" i="4"/>
  <c r="DK99" i="4" s="1"/>
  <c r="AU99" i="4"/>
  <c r="CG99" i="4"/>
  <c r="EM99" i="4"/>
  <c r="CZ99" i="4"/>
  <c r="FN99" i="4"/>
  <c r="FO99" i="4" s="1"/>
  <c r="BN99" i="4"/>
  <c r="FF99" i="4"/>
  <c r="DU99" i="4"/>
  <c r="EK99" i="4"/>
  <c r="EC99" i="4"/>
  <c r="ED99" i="4" s="1"/>
  <c r="FD99" i="4"/>
  <c r="AB99" i="4"/>
  <c r="EU99" i="4"/>
  <c r="EV99" i="4" s="1"/>
  <c r="DS99" i="4"/>
  <c r="BE99" i="4"/>
  <c r="BF99" i="4" s="1"/>
  <c r="CQ99" i="4"/>
  <c r="CR99" i="4" s="1"/>
  <c r="DB99" i="4"/>
  <c r="CI99" i="4"/>
  <c r="BP99" i="4"/>
  <c r="AD99" i="4"/>
  <c r="AW98" i="4"/>
  <c r="AU98" i="4"/>
  <c r="EM98" i="4"/>
  <c r="DB98" i="4"/>
  <c r="BN98" i="4"/>
  <c r="FD98" i="4"/>
  <c r="AB98" i="4"/>
  <c r="DS98" i="4"/>
  <c r="EK98" i="4"/>
  <c r="FF98" i="4"/>
  <c r="CQ98" i="4"/>
  <c r="CR98" i="4" s="1"/>
  <c r="DJ98" i="4"/>
  <c r="DK98" i="4" s="1"/>
  <c r="BX98" i="4"/>
  <c r="BY98" i="4" s="1"/>
  <c r="EU98" i="4"/>
  <c r="EV98" i="4" s="1"/>
  <c r="CZ98" i="4"/>
  <c r="FN98" i="4"/>
  <c r="FO98" i="4" s="1"/>
  <c r="AL98" i="4"/>
  <c r="AM98" i="4" s="1"/>
  <c r="EC98" i="4"/>
  <c r="ED98" i="4" s="1"/>
  <c r="DU98" i="4"/>
  <c r="BE98" i="4"/>
  <c r="BF98" i="4" s="1"/>
  <c r="CG98" i="4"/>
  <c r="AD98" i="4"/>
  <c r="BP98" i="4"/>
  <c r="CI98" i="4"/>
  <c r="AB61" i="5"/>
  <c r="AL61" i="5"/>
  <c r="AM61" i="5" s="1"/>
  <c r="AD61" i="5"/>
  <c r="AU104" i="4"/>
  <c r="EM104" i="4"/>
  <c r="EK104" i="4"/>
  <c r="BX104" i="4"/>
  <c r="BY104" i="4" s="1"/>
  <c r="CZ104" i="4"/>
  <c r="FF104" i="4"/>
  <c r="CQ104" i="4"/>
  <c r="CR104" i="4" s="1"/>
  <c r="FD104" i="4"/>
  <c r="AD104" i="4"/>
  <c r="AB104" i="4"/>
  <c r="CG104" i="4"/>
  <c r="DJ104" i="4"/>
  <c r="DK104" i="4" s="1"/>
  <c r="DB104" i="4"/>
  <c r="AW104" i="4"/>
  <c r="FN104" i="4"/>
  <c r="FO104" i="4" s="1"/>
  <c r="AL104" i="4"/>
  <c r="AM104" i="4" s="1"/>
  <c r="BN104" i="4"/>
  <c r="BE104" i="4"/>
  <c r="BF104" i="4" s="1"/>
  <c r="EU104" i="4"/>
  <c r="EV104" i="4" s="1"/>
  <c r="EC104" i="4"/>
  <c r="ED104" i="4" s="1"/>
  <c r="DU104" i="4"/>
  <c r="DS104" i="4"/>
  <c r="CI104" i="4"/>
  <c r="BP104" i="4"/>
  <c r="AL50" i="5"/>
  <c r="AM50" i="5" s="1"/>
  <c r="AB50" i="5"/>
  <c r="AD50" i="5"/>
  <c r="FF88" i="4"/>
  <c r="BE88" i="4"/>
  <c r="BF88" i="4" s="1"/>
  <c r="EM88" i="4"/>
  <c r="AU88" i="4"/>
  <c r="EC88" i="4"/>
  <c r="ED88" i="4" s="1"/>
  <c r="BN88" i="4"/>
  <c r="CQ88" i="4"/>
  <c r="CR88" i="4" s="1"/>
  <c r="DS88" i="4"/>
  <c r="EK88" i="4"/>
  <c r="AB88" i="4"/>
  <c r="CG88" i="4"/>
  <c r="FN88" i="4"/>
  <c r="FO88" i="4" s="1"/>
  <c r="DJ88" i="4"/>
  <c r="DK88" i="4" s="1"/>
  <c r="BX88" i="4"/>
  <c r="BY88" i="4" s="1"/>
  <c r="CZ88" i="4"/>
  <c r="FD88" i="4"/>
  <c r="AL88" i="4"/>
  <c r="AM88" i="4" s="1"/>
  <c r="EU88" i="4"/>
  <c r="EV88" i="4" s="1"/>
  <c r="AW88" i="4"/>
  <c r="CI88" i="4"/>
  <c r="AD88" i="4"/>
  <c r="BP88" i="4"/>
  <c r="DB88" i="4"/>
  <c r="DU88" i="4"/>
  <c r="AL45" i="5"/>
  <c r="AM45" i="5" s="1"/>
  <c r="AD45" i="5"/>
  <c r="AB45" i="5"/>
  <c r="EC84" i="4"/>
  <c r="ED84" i="4" s="1"/>
  <c r="AL84" i="4"/>
  <c r="AM84" i="4" s="1"/>
  <c r="FF84" i="4"/>
  <c r="CZ84" i="4"/>
  <c r="DJ84" i="4"/>
  <c r="DK84" i="4" s="1"/>
  <c r="EM84" i="4"/>
  <c r="AW84" i="4"/>
  <c r="EK84" i="4"/>
  <c r="AU84" i="4"/>
  <c r="CQ84" i="4"/>
  <c r="CR84" i="4" s="1"/>
  <c r="DU84" i="4"/>
  <c r="FN84" i="4"/>
  <c r="FO84" i="4" s="1"/>
  <c r="BX84" i="4"/>
  <c r="BY84" i="4" s="1"/>
  <c r="FD84" i="4"/>
  <c r="AB84" i="4"/>
  <c r="BE84" i="4"/>
  <c r="BF84" i="4" s="1"/>
  <c r="CG84" i="4"/>
  <c r="BN84" i="4"/>
  <c r="DS84" i="4"/>
  <c r="EU84" i="4"/>
  <c r="EV84" i="4" s="1"/>
  <c r="DB84" i="4"/>
  <c r="AD84" i="4"/>
  <c r="CI84" i="4"/>
  <c r="BP84" i="4"/>
  <c r="AB41" i="5"/>
  <c r="AL41" i="5"/>
  <c r="AM41" i="5" s="1"/>
  <c r="AD41" i="5"/>
  <c r="AL39" i="5"/>
  <c r="AM39" i="5" s="1"/>
  <c r="AD39" i="5"/>
  <c r="AB39" i="5"/>
  <c r="DS92" i="4"/>
  <c r="CG92" i="4"/>
  <c r="AU92" i="4"/>
  <c r="CZ92" i="4"/>
  <c r="CQ92" i="4"/>
  <c r="CR92" i="4" s="1"/>
  <c r="DU92" i="4"/>
  <c r="EM92" i="4"/>
  <c r="EK92" i="4"/>
  <c r="BN92" i="4"/>
  <c r="FF92" i="4"/>
  <c r="BX92" i="4"/>
  <c r="BY92" i="4" s="1"/>
  <c r="BE92" i="4"/>
  <c r="BF92" i="4" s="1"/>
  <c r="FN92" i="4"/>
  <c r="FO92" i="4" s="1"/>
  <c r="DJ92" i="4"/>
  <c r="DK92" i="4" s="1"/>
  <c r="FD92" i="4"/>
  <c r="AB92" i="4"/>
  <c r="EC92" i="4"/>
  <c r="ED92" i="4" s="1"/>
  <c r="AL92" i="4"/>
  <c r="AM92" i="4" s="1"/>
  <c r="EU92" i="4"/>
  <c r="EV92" i="4" s="1"/>
  <c r="AW92" i="4"/>
  <c r="DB92" i="4"/>
  <c r="AD92" i="4"/>
  <c r="CI92" i="4"/>
  <c r="BP92" i="4"/>
  <c r="DV18" i="4"/>
  <c r="EM63" i="4"/>
  <c r="BX63" i="4"/>
  <c r="BY63" i="4" s="1"/>
  <c r="EK63" i="4"/>
  <c r="DB63" i="4"/>
  <c r="CZ63" i="4"/>
  <c r="AL63" i="4"/>
  <c r="AM63" i="4" s="1"/>
  <c r="BP63" i="4"/>
  <c r="EC63" i="4"/>
  <c r="ED63" i="4" s="1"/>
  <c r="BN63" i="4"/>
  <c r="AD63" i="4"/>
  <c r="AW63" i="4"/>
  <c r="FN63" i="4"/>
  <c r="FO63" i="4" s="1"/>
  <c r="FF63" i="4"/>
  <c r="CQ63" i="4"/>
  <c r="CR63" i="4" s="1"/>
  <c r="AB63" i="4"/>
  <c r="CI63" i="4"/>
  <c r="EU63" i="4"/>
  <c r="EV63" i="4" s="1"/>
  <c r="FD63" i="4"/>
  <c r="DJ63" i="4"/>
  <c r="DK63" i="4" s="1"/>
  <c r="AU63" i="4"/>
  <c r="DU63" i="4"/>
  <c r="DS63" i="4"/>
  <c r="BE63" i="4"/>
  <c r="BF63" i="4" s="1"/>
  <c r="CG63" i="4"/>
  <c r="AG160" i="9"/>
  <c r="AI160" i="9"/>
  <c r="AQ160" i="9"/>
  <c r="AR160" i="9" s="1"/>
  <c r="AZ160" i="9"/>
  <c r="BB160" i="9"/>
  <c r="BJ160" i="9"/>
  <c r="BK160" i="9" s="1"/>
  <c r="BJ161" i="9"/>
  <c r="BK161" i="9" s="1"/>
  <c r="BB161" i="9"/>
  <c r="AZ161" i="9"/>
  <c r="AQ161" i="9"/>
  <c r="AR161" i="9" s="1"/>
  <c r="AI161" i="9"/>
  <c r="AG161" i="9"/>
  <c r="AU53" i="8"/>
  <c r="BX53" i="8"/>
  <c r="BY53" i="8" s="1"/>
  <c r="AL53" i="8"/>
  <c r="AM53" i="8" s="1"/>
  <c r="BN53" i="8"/>
  <c r="CQ53" i="8"/>
  <c r="CR53" i="8" s="1"/>
  <c r="AB53" i="8"/>
  <c r="BE53" i="8"/>
  <c r="BF53" i="8" s="1"/>
  <c r="CG53" i="8"/>
  <c r="AW53" i="8"/>
  <c r="AD53" i="8"/>
  <c r="BP53" i="8"/>
  <c r="CI53" i="8"/>
  <c r="AB50" i="7"/>
  <c r="AL50" i="7"/>
  <c r="AM50" i="7" s="1"/>
  <c r="AD50" i="7"/>
  <c r="AL69" i="8"/>
  <c r="AM69" i="8" s="1"/>
  <c r="CQ69" i="8"/>
  <c r="CR69" i="8" s="1"/>
  <c r="AB69" i="8"/>
  <c r="BX69" i="8"/>
  <c r="BY69" i="8" s="1"/>
  <c r="BP69" i="8"/>
  <c r="AD69" i="8"/>
  <c r="BN69" i="8"/>
  <c r="BE69" i="8"/>
  <c r="BF69" i="8" s="1"/>
  <c r="CG69" i="8"/>
  <c r="AW69" i="8"/>
  <c r="AU69" i="8"/>
  <c r="CI69" i="8"/>
  <c r="AL60" i="5"/>
  <c r="AM60" i="5" s="1"/>
  <c r="AB60" i="5"/>
  <c r="AD60" i="5"/>
  <c r="AL74" i="5"/>
  <c r="AM74" i="5" s="1"/>
  <c r="AB74" i="5"/>
  <c r="AD74" i="5"/>
  <c r="BN64" i="4"/>
  <c r="CQ64" i="4"/>
  <c r="CR64" i="4" s="1"/>
  <c r="DU64" i="4"/>
  <c r="EK64" i="4"/>
  <c r="DS64" i="4"/>
  <c r="EU64" i="4"/>
  <c r="EV64" i="4" s="1"/>
  <c r="AW64" i="4"/>
  <c r="DJ64" i="4"/>
  <c r="DK64" i="4" s="1"/>
  <c r="AU64" i="4"/>
  <c r="EM64" i="4"/>
  <c r="BX64" i="4"/>
  <c r="BY64" i="4" s="1"/>
  <c r="DB64" i="4"/>
  <c r="AB64" i="4"/>
  <c r="BE64" i="4"/>
  <c r="BF64" i="4" s="1"/>
  <c r="CI64" i="4"/>
  <c r="CG64" i="4"/>
  <c r="FD64" i="4"/>
  <c r="CZ64" i="4"/>
  <c r="AL64" i="4"/>
  <c r="AM64" i="4" s="1"/>
  <c r="FN64" i="4"/>
  <c r="FO64" i="4" s="1"/>
  <c r="EC64" i="4"/>
  <c r="ED64" i="4" s="1"/>
  <c r="AD64" i="4"/>
  <c r="FF64" i="4"/>
  <c r="BP64" i="4"/>
  <c r="AL24" i="5"/>
  <c r="AM24" i="5" s="1"/>
  <c r="AD24" i="5"/>
  <c r="AB24" i="5"/>
  <c r="BP52" i="4"/>
  <c r="FF52" i="4"/>
  <c r="AU52" i="4"/>
  <c r="EC52" i="4"/>
  <c r="ED52" i="4" s="1"/>
  <c r="FD52" i="4"/>
  <c r="EM52" i="4"/>
  <c r="AL52" i="4"/>
  <c r="AM52" i="4" s="1"/>
  <c r="EK52" i="4"/>
  <c r="CQ52" i="4"/>
  <c r="CR52" i="4" s="1"/>
  <c r="BX52" i="4"/>
  <c r="BY52" i="4" s="1"/>
  <c r="FN52" i="4"/>
  <c r="FO52" i="4" s="1"/>
  <c r="CZ52" i="4"/>
  <c r="BN52" i="4"/>
  <c r="DU52" i="4"/>
  <c r="AD52" i="4"/>
  <c r="DS52" i="4"/>
  <c r="AB52" i="4"/>
  <c r="BE52" i="4"/>
  <c r="BF52" i="4" s="1"/>
  <c r="EU52" i="4"/>
  <c r="EV52" i="4" s="1"/>
  <c r="CG52" i="4"/>
  <c r="DJ52" i="4"/>
  <c r="DK52" i="4" s="1"/>
  <c r="AW52" i="4"/>
  <c r="DB52" i="4"/>
  <c r="CI52" i="4"/>
  <c r="AG25" i="9"/>
  <c r="BB25" i="9"/>
  <c r="AZ25" i="9"/>
  <c r="BJ25" i="9"/>
  <c r="BK25" i="9" s="1"/>
  <c r="AQ25" i="9"/>
  <c r="AR25" i="9" s="1"/>
  <c r="AI25" i="9"/>
  <c r="AI33" i="9"/>
  <c r="AG33" i="9"/>
  <c r="BB33" i="9"/>
  <c r="AZ33" i="9"/>
  <c r="AQ33" i="9"/>
  <c r="AR33" i="9" s="1"/>
  <c r="BJ33" i="9"/>
  <c r="BK33" i="9" s="1"/>
  <c r="ED26" i="4"/>
  <c r="DV26" i="4"/>
  <c r="EH26" i="4"/>
  <c r="DV27" i="4"/>
  <c r="ED27" i="4"/>
  <c r="EH27" i="4"/>
  <c r="DK199" i="4"/>
  <c r="ED199" i="4"/>
  <c r="DV199" i="4"/>
  <c r="EH199" i="4"/>
  <c r="AX17" i="4"/>
  <c r="DV17" i="4"/>
  <c r="BN40" i="4"/>
  <c r="EC40" i="4"/>
  <c r="ED40" i="4" s="1"/>
  <c r="DU40" i="4"/>
  <c r="DV24" i="4"/>
  <c r="ED24" i="4"/>
  <c r="EH24" i="4"/>
  <c r="DC196" i="4"/>
  <c r="DV196" i="4"/>
  <c r="ED196" i="4"/>
  <c r="EH196" i="4"/>
  <c r="EC36" i="4"/>
  <c r="ED36" i="4" s="1"/>
  <c r="DU36" i="4"/>
  <c r="ED22" i="4"/>
  <c r="DV22" i="4"/>
  <c r="EH22" i="4"/>
  <c r="DV25" i="4"/>
  <c r="ED25" i="4"/>
  <c r="EH25" i="4"/>
  <c r="X197" i="4"/>
  <c r="DC199" i="4"/>
  <c r="V18" i="8"/>
  <c r="V17" i="8" s="1"/>
  <c r="X200" i="4"/>
  <c r="AR22" i="9"/>
  <c r="BK22" i="9"/>
  <c r="BO22" i="9"/>
  <c r="AR21" i="9"/>
  <c r="BO21" i="9"/>
  <c r="BK21" i="9"/>
  <c r="AR23" i="9"/>
  <c r="BK23" i="9"/>
  <c r="BO23" i="9"/>
  <c r="FS26" i="4"/>
  <c r="FO26" i="4"/>
  <c r="FO23" i="4"/>
  <c r="FS23" i="4"/>
  <c r="FO25" i="4"/>
  <c r="FS25" i="4"/>
  <c r="FO22" i="4"/>
  <c r="FS22" i="4"/>
  <c r="FS27" i="4"/>
  <c r="FO27" i="4"/>
  <c r="FO24" i="4"/>
  <c r="FS24" i="4"/>
  <c r="EZ26" i="4"/>
  <c r="EV26" i="4"/>
  <c r="EV23" i="4"/>
  <c r="EZ23" i="4"/>
  <c r="EV25" i="4"/>
  <c r="EZ25" i="4"/>
  <c r="EV22" i="4"/>
  <c r="EZ22" i="4"/>
  <c r="EZ27" i="4"/>
  <c r="EV27" i="4"/>
  <c r="EV24" i="4"/>
  <c r="EZ24" i="4"/>
  <c r="DK23" i="4"/>
  <c r="DO23" i="4"/>
  <c r="DK25" i="4"/>
  <c r="DO25" i="4"/>
  <c r="DO26" i="4"/>
  <c r="DK26" i="4"/>
  <c r="DK22" i="4"/>
  <c r="DO22" i="4"/>
  <c r="DK27" i="4"/>
  <c r="DO27" i="4"/>
  <c r="DK24" i="4"/>
  <c r="DO24" i="4"/>
  <c r="CR23" i="4"/>
  <c r="CV23" i="4"/>
  <c r="CV26" i="4"/>
  <c r="CR26" i="4"/>
  <c r="CR25" i="4"/>
  <c r="CV25" i="4"/>
  <c r="CR22" i="4"/>
  <c r="CV22" i="4"/>
  <c r="CR27" i="4"/>
  <c r="CV27" i="4"/>
  <c r="CR24" i="4"/>
  <c r="CV24" i="4"/>
  <c r="CC26" i="4"/>
  <c r="BY26" i="4"/>
  <c r="BY23" i="4"/>
  <c r="CC23" i="4"/>
  <c r="BY25" i="4"/>
  <c r="CC25" i="4"/>
  <c r="BY22" i="4"/>
  <c r="CC22" i="4"/>
  <c r="CC27" i="4"/>
  <c r="BY27" i="4"/>
  <c r="BY24" i="4"/>
  <c r="CC24" i="4"/>
  <c r="BJ26" i="4"/>
  <c r="BF26" i="4"/>
  <c r="BF23" i="4"/>
  <c r="BJ23" i="4"/>
  <c r="BF25" i="4"/>
  <c r="BJ25" i="4"/>
  <c r="BF22" i="4"/>
  <c r="BJ22" i="4"/>
  <c r="BF27" i="4"/>
  <c r="BJ27" i="4"/>
  <c r="BF24" i="4"/>
  <c r="BJ24" i="4"/>
  <c r="AQ25" i="4"/>
  <c r="AQ27" i="4"/>
  <c r="AQ26" i="4"/>
  <c r="AQ23" i="4"/>
  <c r="AX18" i="4"/>
  <c r="AX19" i="4"/>
  <c r="AX20" i="4"/>
  <c r="AQ22" i="4"/>
  <c r="AM22" i="4"/>
  <c r="AE18" i="7"/>
  <c r="BJ28" i="9"/>
  <c r="BK28" i="9" s="1"/>
  <c r="AG28" i="9"/>
  <c r="AZ28" i="9"/>
  <c r="AQ28" i="9"/>
  <c r="AR28" i="9" s="1"/>
  <c r="AI28" i="9"/>
  <c r="AW40" i="4"/>
  <c r="BE40" i="4"/>
  <c r="BF40" i="4" s="1"/>
  <c r="CQ40" i="4"/>
  <c r="CR40" i="4" s="1"/>
  <c r="CI40" i="4"/>
  <c r="AD40" i="4"/>
  <c r="DB40" i="4"/>
  <c r="FN40" i="4"/>
  <c r="FO40" i="4" s="1"/>
  <c r="EU40" i="4"/>
  <c r="EV40" i="4" s="1"/>
  <c r="FD40" i="4"/>
  <c r="BX40" i="4"/>
  <c r="BY40" i="4" s="1"/>
  <c r="FF40" i="4"/>
  <c r="EM40" i="4"/>
  <c r="DJ40" i="4"/>
  <c r="DK40" i="4" s="1"/>
  <c r="CZ40" i="4"/>
  <c r="BP40" i="4"/>
  <c r="AU40" i="4"/>
  <c r="AL40" i="4"/>
  <c r="AM40" i="4" s="1"/>
  <c r="CG40" i="4"/>
  <c r="AB40" i="4"/>
  <c r="EK40" i="4"/>
  <c r="AG30" i="9"/>
  <c r="BJ30" i="9"/>
  <c r="BK30" i="9" s="1"/>
  <c r="AQ30" i="9"/>
  <c r="AR30" i="9" s="1"/>
  <c r="BB30" i="9"/>
  <c r="AI30" i="9"/>
  <c r="AZ30" i="9"/>
  <c r="BE36" i="4"/>
  <c r="BF36" i="4" s="1"/>
  <c r="FF36" i="4"/>
  <c r="CQ36" i="4"/>
  <c r="CR36" i="4" s="1"/>
  <c r="DB36" i="4"/>
  <c r="CI36" i="4"/>
  <c r="AU36" i="4"/>
  <c r="AB36" i="4"/>
  <c r="FD36" i="4"/>
  <c r="EM36" i="4"/>
  <c r="BN36" i="4"/>
  <c r="AW36" i="4"/>
  <c r="EK36" i="4"/>
  <c r="FN36" i="4"/>
  <c r="FO36" i="4" s="1"/>
  <c r="CG36" i="4"/>
  <c r="AL36" i="4"/>
  <c r="AM36" i="4" s="1"/>
  <c r="CZ36" i="4"/>
  <c r="EU36" i="4"/>
  <c r="EV36" i="4" s="1"/>
  <c r="AD36" i="4"/>
  <c r="BX36" i="4"/>
  <c r="BY36" i="4" s="1"/>
  <c r="BP36" i="4"/>
  <c r="DJ36" i="4"/>
  <c r="DK36" i="4" s="1"/>
  <c r="BC20" i="9"/>
  <c r="AJ20" i="9"/>
  <c r="BQ17" i="4"/>
  <c r="DC17" i="4"/>
  <c r="CJ17" i="4"/>
  <c r="EN17" i="4"/>
  <c r="AE17" i="4"/>
  <c r="FG17" i="4"/>
  <c r="AE20" i="7"/>
  <c r="AE196" i="4"/>
  <c r="BY196" i="4"/>
  <c r="AQ196" i="4"/>
  <c r="CJ196" i="4"/>
  <c r="FG196" i="4"/>
  <c r="EN196" i="4"/>
  <c r="DK196" i="4"/>
  <c r="BJ196" i="4"/>
  <c r="BQ196" i="4"/>
  <c r="AX196" i="4"/>
  <c r="AM196" i="4"/>
  <c r="FS196" i="4"/>
  <c r="EV196" i="4"/>
  <c r="EZ196" i="4"/>
  <c r="CR196" i="4"/>
  <c r="DO196" i="4"/>
  <c r="CC196" i="4"/>
  <c r="BF196" i="4"/>
  <c r="CV196" i="4"/>
  <c r="FO196" i="4"/>
  <c r="DC19" i="4"/>
  <c r="FG19" i="4"/>
  <c r="EN19" i="4"/>
  <c r="CJ19" i="4"/>
  <c r="BQ19" i="4"/>
  <c r="AE19" i="4"/>
  <c r="AE19" i="7"/>
  <c r="BC18" i="9"/>
  <c r="AJ18" i="9"/>
  <c r="BC22" i="9"/>
  <c r="AV22" i="9"/>
  <c r="AJ22" i="9"/>
  <c r="BC19" i="9"/>
  <c r="AJ19" i="9"/>
  <c r="BC17" i="9"/>
  <c r="AJ17" i="9"/>
  <c r="BQ22" i="4"/>
  <c r="DC22" i="4"/>
  <c r="FG22" i="4"/>
  <c r="AX22" i="4"/>
  <c r="CJ22" i="4"/>
  <c r="EN22" i="4"/>
  <c r="AE22" i="4"/>
  <c r="DC18" i="4"/>
  <c r="CJ18" i="4"/>
  <c r="EN18" i="4"/>
  <c r="BQ18" i="4"/>
  <c r="AE18" i="4"/>
  <c r="AX18" i="8"/>
  <c r="CJ18" i="8"/>
  <c r="BQ18" i="8"/>
  <c r="AE18" i="8"/>
  <c r="CJ19" i="8"/>
  <c r="BQ19" i="8"/>
  <c r="AX19" i="8"/>
  <c r="AE19" i="8"/>
  <c r="CJ21" i="8"/>
  <c r="AX21" i="8"/>
  <c r="BQ21" i="8"/>
  <c r="AE21" i="8"/>
  <c r="BC21" i="9"/>
  <c r="AV21" i="9"/>
  <c r="AJ21" i="9"/>
  <c r="AE21" i="7"/>
  <c r="DC27" i="4"/>
  <c r="FG27" i="4"/>
  <c r="CJ27" i="4"/>
  <c r="BQ27" i="4"/>
  <c r="EN27" i="4"/>
  <c r="AX27" i="4"/>
  <c r="AE27" i="4"/>
  <c r="AM27" i="4"/>
  <c r="DC26" i="4"/>
  <c r="CJ26" i="4"/>
  <c r="BQ26" i="4"/>
  <c r="AX26" i="4"/>
  <c r="EN26" i="4"/>
  <c r="FG26" i="4"/>
  <c r="AM26" i="4"/>
  <c r="AE26" i="4"/>
  <c r="BC28" i="9"/>
  <c r="BC23" i="9"/>
  <c r="AJ23" i="9"/>
  <c r="AV23" i="9"/>
  <c r="DC23" i="4"/>
  <c r="FG23" i="4"/>
  <c r="BQ23" i="4"/>
  <c r="AX23" i="4"/>
  <c r="EN23" i="4"/>
  <c r="CJ23" i="4"/>
  <c r="AM23" i="4"/>
  <c r="AE23" i="4"/>
  <c r="BC16" i="9"/>
  <c r="AJ16" i="9"/>
  <c r="DC20" i="4"/>
  <c r="CJ20" i="4"/>
  <c r="FG20" i="4"/>
  <c r="EN20" i="4"/>
  <c r="BQ20" i="4"/>
  <c r="AE20" i="4"/>
  <c r="BQ20" i="8"/>
  <c r="AX20" i="8"/>
  <c r="CJ20" i="8"/>
  <c r="AE20" i="8"/>
  <c r="FG25" i="4"/>
  <c r="DC25" i="4"/>
  <c r="EN25" i="4"/>
  <c r="CJ25" i="4"/>
  <c r="BQ25" i="4"/>
  <c r="AX25" i="4"/>
  <c r="AE25" i="4"/>
  <c r="AM25" i="4"/>
  <c r="FG24" i="4"/>
  <c r="EN24" i="4"/>
  <c r="CJ24" i="4"/>
  <c r="AX24" i="4"/>
  <c r="DC24" i="4"/>
  <c r="BQ24" i="4"/>
  <c r="AM24" i="4"/>
  <c r="AE24" i="4"/>
  <c r="AE199" i="4"/>
  <c r="BQ199" i="4"/>
  <c r="AX199" i="4"/>
  <c r="FG199" i="4"/>
  <c r="CJ199" i="4"/>
  <c r="EN199" i="4"/>
  <c r="CV199" i="4"/>
  <c r="BF199" i="4"/>
  <c r="EZ199" i="4"/>
  <c r="CC199" i="4"/>
  <c r="AQ199" i="4"/>
  <c r="CR199" i="4"/>
  <c r="AM199" i="4"/>
  <c r="DO199" i="4"/>
  <c r="EV199" i="4"/>
  <c r="FO199" i="4"/>
  <c r="FS199" i="4"/>
  <c r="BJ199" i="4"/>
  <c r="BY199" i="4"/>
  <c r="DC21" i="4"/>
  <c r="EN21" i="4"/>
  <c r="BQ21" i="4"/>
  <c r="FG21" i="4"/>
  <c r="CJ21" i="4"/>
  <c r="AE21" i="4"/>
  <c r="BQ80" i="4" l="1"/>
  <c r="CB80" i="4"/>
  <c r="CC80" i="4" s="1"/>
  <c r="AE80" i="4"/>
  <c r="AP80" i="4"/>
  <c r="AQ80" i="4" s="1"/>
  <c r="CU80" i="4"/>
  <c r="CV80" i="4" s="1"/>
  <c r="CJ80" i="4"/>
  <c r="DC80" i="4"/>
  <c r="DN80" i="4"/>
  <c r="DO80" i="4" s="1"/>
  <c r="DV80" i="4"/>
  <c r="EG80" i="4"/>
  <c r="EH80" i="4" s="1"/>
  <c r="AX80" i="4"/>
  <c r="BI80" i="4"/>
  <c r="BJ80" i="4" s="1"/>
  <c r="EY80" i="4"/>
  <c r="EZ80" i="4" s="1"/>
  <c r="EN80" i="4"/>
  <c r="FG80" i="4"/>
  <c r="FR80" i="4"/>
  <c r="FS80" i="4" s="1"/>
  <c r="AP82" i="4"/>
  <c r="AQ82" i="4" s="1"/>
  <c r="AE82" i="4"/>
  <c r="DV82" i="4"/>
  <c r="EG82" i="4"/>
  <c r="EH82" i="4" s="1"/>
  <c r="DC82" i="4"/>
  <c r="DN82" i="4"/>
  <c r="DO82" i="4" s="1"/>
  <c r="CJ82" i="4"/>
  <c r="CU82" i="4"/>
  <c r="CV82" i="4" s="1"/>
  <c r="BQ82" i="4"/>
  <c r="CB82" i="4"/>
  <c r="CC82" i="4" s="1"/>
  <c r="FG82" i="4"/>
  <c r="FR82" i="4"/>
  <c r="FS82" i="4" s="1"/>
  <c r="EN82" i="4"/>
  <c r="EY82" i="4"/>
  <c r="EZ82" i="4" s="1"/>
  <c r="AX82" i="4"/>
  <c r="BI82" i="4"/>
  <c r="BJ82" i="4" s="1"/>
  <c r="AP43" i="5"/>
  <c r="AQ43" i="5" s="1"/>
  <c r="AE43" i="5"/>
  <c r="AP40" i="5"/>
  <c r="AQ40" i="5" s="1"/>
  <c r="AE40" i="5"/>
  <c r="AP23" i="7"/>
  <c r="AQ23" i="7" s="1"/>
  <c r="AE23" i="7"/>
  <c r="AE22" i="5"/>
  <c r="AP22" i="5"/>
  <c r="AQ22" i="5" s="1"/>
  <c r="AP42" i="5"/>
  <c r="AQ42" i="5" s="1"/>
  <c r="AE42" i="5"/>
  <c r="DV81" i="4"/>
  <c r="EG81" i="4"/>
  <c r="EH81" i="4" s="1"/>
  <c r="AP81" i="4"/>
  <c r="AQ81" i="4" s="1"/>
  <c r="AE81" i="4"/>
  <c r="CB81" i="4"/>
  <c r="CC81" i="4" s="1"/>
  <c r="BQ81" i="4"/>
  <c r="AX81" i="4"/>
  <c r="BI81" i="4"/>
  <c r="BJ81" i="4" s="1"/>
  <c r="CU81" i="4"/>
  <c r="CV81" i="4" s="1"/>
  <c r="CJ81" i="4"/>
  <c r="FR81" i="4"/>
  <c r="FS81" i="4" s="1"/>
  <c r="FG81" i="4"/>
  <c r="DC81" i="4"/>
  <c r="DN81" i="4"/>
  <c r="DO81" i="4" s="1"/>
  <c r="EN81" i="4"/>
  <c r="EY81" i="4"/>
  <c r="EZ81" i="4" s="1"/>
  <c r="CU90" i="4"/>
  <c r="CV90" i="4" s="1"/>
  <c r="CJ90" i="4"/>
  <c r="AP90" i="4"/>
  <c r="AQ90" i="4" s="1"/>
  <c r="AE90" i="4"/>
  <c r="DC90" i="4"/>
  <c r="DN90" i="4"/>
  <c r="DO90" i="4" s="1"/>
  <c r="DV90" i="4"/>
  <c r="EG90" i="4"/>
  <c r="EH90" i="4" s="1"/>
  <c r="CB90" i="4"/>
  <c r="CC90" i="4" s="1"/>
  <c r="BQ90" i="4"/>
  <c r="BI90" i="4"/>
  <c r="BJ90" i="4" s="1"/>
  <c r="AX90" i="4"/>
  <c r="FR90" i="4"/>
  <c r="FS90" i="4" s="1"/>
  <c r="FG90" i="4"/>
  <c r="EN90" i="4"/>
  <c r="EY90" i="4"/>
  <c r="EZ90" i="4" s="1"/>
  <c r="BI70" i="8"/>
  <c r="BJ70" i="8" s="1"/>
  <c r="AX70" i="8"/>
  <c r="AE70" i="8"/>
  <c r="AP70" i="8"/>
  <c r="AQ70" i="8" s="1"/>
  <c r="CU70" i="8"/>
  <c r="CV70" i="8" s="1"/>
  <c r="CJ70" i="8"/>
  <c r="BQ70" i="8"/>
  <c r="CB70" i="8"/>
  <c r="CC70" i="8" s="1"/>
  <c r="AP75" i="5"/>
  <c r="AQ75" i="5" s="1"/>
  <c r="AE75" i="5"/>
  <c r="AP124" i="4"/>
  <c r="AQ124" i="4" s="1"/>
  <c r="AE124" i="4"/>
  <c r="CB124" i="4"/>
  <c r="CC124" i="4" s="1"/>
  <c r="BQ124" i="4"/>
  <c r="EG124" i="4"/>
  <c r="EH124" i="4" s="1"/>
  <c r="DV124" i="4"/>
  <c r="DC124" i="4"/>
  <c r="DN124" i="4"/>
  <c r="DO124" i="4" s="1"/>
  <c r="CJ124" i="4"/>
  <c r="CU124" i="4"/>
  <c r="CV124" i="4" s="1"/>
  <c r="FR124" i="4"/>
  <c r="FS124" i="4" s="1"/>
  <c r="FG124" i="4"/>
  <c r="EN124" i="4"/>
  <c r="EY124" i="4"/>
  <c r="EZ124" i="4" s="1"/>
  <c r="BI124" i="4"/>
  <c r="BJ124" i="4" s="1"/>
  <c r="AX124" i="4"/>
  <c r="BQ129" i="4"/>
  <c r="CB129" i="4"/>
  <c r="CC129" i="4" s="1"/>
  <c r="DN129" i="4"/>
  <c r="DO129" i="4" s="1"/>
  <c r="DC129" i="4"/>
  <c r="BI129" i="4"/>
  <c r="BJ129" i="4" s="1"/>
  <c r="AX129" i="4"/>
  <c r="EG129" i="4"/>
  <c r="EH129" i="4" s="1"/>
  <c r="DV129" i="4"/>
  <c r="FR129" i="4"/>
  <c r="FS129" i="4" s="1"/>
  <c r="FG129" i="4"/>
  <c r="CU129" i="4"/>
  <c r="CV129" i="4" s="1"/>
  <c r="CJ129" i="4"/>
  <c r="EN129" i="4"/>
  <c r="EY129" i="4"/>
  <c r="EZ129" i="4" s="1"/>
  <c r="AE129" i="4"/>
  <c r="AP129" i="4"/>
  <c r="AQ129" i="4" s="1"/>
  <c r="BN101" i="9"/>
  <c r="BO101" i="9" s="1"/>
  <c r="BC101" i="9"/>
  <c r="AJ101" i="9"/>
  <c r="AU101" i="9"/>
  <c r="AV101" i="9" s="1"/>
  <c r="BN77" i="9"/>
  <c r="BO77" i="9" s="1"/>
  <c r="BC77" i="9"/>
  <c r="AJ77" i="9"/>
  <c r="AU77" i="9"/>
  <c r="AV77" i="9" s="1"/>
  <c r="BN79" i="9"/>
  <c r="BO79" i="9" s="1"/>
  <c r="BC79" i="9"/>
  <c r="AJ79" i="9"/>
  <c r="AU79" i="9"/>
  <c r="AV79" i="9" s="1"/>
  <c r="BN60" i="9"/>
  <c r="BO60" i="9" s="1"/>
  <c r="BC60" i="9"/>
  <c r="AJ60" i="9"/>
  <c r="AU60" i="9"/>
  <c r="AV60" i="9" s="1"/>
  <c r="AJ52" i="9"/>
  <c r="AU52" i="9"/>
  <c r="AV52" i="9" s="1"/>
  <c r="BN52" i="9"/>
  <c r="BO52" i="9" s="1"/>
  <c r="BC52" i="9"/>
  <c r="BC49" i="9"/>
  <c r="BN49" i="9"/>
  <c r="BO49" i="9" s="1"/>
  <c r="AJ49" i="9"/>
  <c r="AU49" i="9"/>
  <c r="AV49" i="9" s="1"/>
  <c r="BN50" i="9"/>
  <c r="BO50" i="9" s="1"/>
  <c r="BC50" i="9"/>
  <c r="AJ50" i="9"/>
  <c r="AU50" i="9"/>
  <c r="AV50" i="9" s="1"/>
  <c r="AP68" i="8"/>
  <c r="AQ68" i="8" s="1"/>
  <c r="AE68" i="8"/>
  <c r="BI68" i="8"/>
  <c r="BJ68" i="8" s="1"/>
  <c r="AX68" i="8"/>
  <c r="CU68" i="8"/>
  <c r="CV68" i="8" s="1"/>
  <c r="CJ68" i="8"/>
  <c r="CB68" i="8"/>
  <c r="CC68" i="8" s="1"/>
  <c r="BQ68" i="8"/>
  <c r="AP73" i="5"/>
  <c r="AQ73" i="5" s="1"/>
  <c r="AE73" i="5"/>
  <c r="EG131" i="4"/>
  <c r="EH131" i="4" s="1"/>
  <c r="DV131" i="4"/>
  <c r="AX131" i="4"/>
  <c r="BI131" i="4"/>
  <c r="BJ131" i="4" s="1"/>
  <c r="CB131" i="4"/>
  <c r="CC131" i="4" s="1"/>
  <c r="BQ131" i="4"/>
  <c r="CJ131" i="4"/>
  <c r="CU131" i="4"/>
  <c r="CV131" i="4" s="1"/>
  <c r="FG131" i="4"/>
  <c r="FR131" i="4"/>
  <c r="FS131" i="4" s="1"/>
  <c r="AP131" i="4"/>
  <c r="AQ131" i="4" s="1"/>
  <c r="AE131" i="4"/>
  <c r="DC131" i="4"/>
  <c r="DN131" i="4"/>
  <c r="DO131" i="4" s="1"/>
  <c r="EN131" i="4"/>
  <c r="EY131" i="4"/>
  <c r="EZ131" i="4" s="1"/>
  <c r="EG132" i="4"/>
  <c r="EH132" i="4" s="1"/>
  <c r="DV132" i="4"/>
  <c r="FG132" i="4"/>
  <c r="FR132" i="4"/>
  <c r="FS132" i="4" s="1"/>
  <c r="AP132" i="4"/>
  <c r="AQ132" i="4" s="1"/>
  <c r="AE132" i="4"/>
  <c r="EN132" i="4"/>
  <c r="EY132" i="4"/>
  <c r="EZ132" i="4" s="1"/>
  <c r="CU132" i="4"/>
  <c r="CV132" i="4" s="1"/>
  <c r="CJ132" i="4"/>
  <c r="DC132" i="4"/>
  <c r="DN132" i="4"/>
  <c r="DO132" i="4" s="1"/>
  <c r="AX132" i="4"/>
  <c r="BI132" i="4"/>
  <c r="BJ132" i="4" s="1"/>
  <c r="CB132" i="4"/>
  <c r="CC132" i="4" s="1"/>
  <c r="BQ132" i="4"/>
  <c r="BI122" i="4"/>
  <c r="BJ122" i="4" s="1"/>
  <c r="AX122" i="4"/>
  <c r="EG122" i="4"/>
  <c r="EH122" i="4" s="1"/>
  <c r="DV122" i="4"/>
  <c r="AP122" i="4"/>
  <c r="AQ122" i="4" s="1"/>
  <c r="AE122" i="4"/>
  <c r="FR122" i="4"/>
  <c r="FS122" i="4" s="1"/>
  <c r="FG122" i="4"/>
  <c r="BQ122" i="4"/>
  <c r="CB122" i="4"/>
  <c r="CC122" i="4" s="1"/>
  <c r="CJ122" i="4"/>
  <c r="CU122" i="4"/>
  <c r="CV122" i="4" s="1"/>
  <c r="EN122" i="4"/>
  <c r="EY122" i="4"/>
  <c r="EZ122" i="4" s="1"/>
  <c r="DC122" i="4"/>
  <c r="DN122" i="4"/>
  <c r="DO122" i="4" s="1"/>
  <c r="AP56" i="5"/>
  <c r="AQ56" i="5" s="1"/>
  <c r="AE56" i="5"/>
  <c r="BI44" i="8"/>
  <c r="BJ44" i="8" s="1"/>
  <c r="AX44" i="8"/>
  <c r="AE44" i="8"/>
  <c r="AP44" i="8"/>
  <c r="AQ44" i="8" s="1"/>
  <c r="CB44" i="8"/>
  <c r="CC44" i="8" s="1"/>
  <c r="BQ44" i="8"/>
  <c r="CU44" i="8"/>
  <c r="CV44" i="8" s="1"/>
  <c r="CJ44" i="8"/>
  <c r="AP99" i="4"/>
  <c r="AQ99" i="4" s="1"/>
  <c r="AE99" i="4"/>
  <c r="CB99" i="4"/>
  <c r="CC99" i="4" s="1"/>
  <c r="BQ99" i="4"/>
  <c r="CJ99" i="4"/>
  <c r="CU99" i="4"/>
  <c r="CV99" i="4" s="1"/>
  <c r="DC99" i="4"/>
  <c r="DN99" i="4"/>
  <c r="DO99" i="4" s="1"/>
  <c r="EG99" i="4"/>
  <c r="EH99" i="4" s="1"/>
  <c r="DV99" i="4"/>
  <c r="FR99" i="4"/>
  <c r="FS99" i="4" s="1"/>
  <c r="FG99" i="4"/>
  <c r="EN99" i="4"/>
  <c r="EY99" i="4"/>
  <c r="EZ99" i="4" s="1"/>
  <c r="AX99" i="4"/>
  <c r="BI99" i="4"/>
  <c r="BJ99" i="4" s="1"/>
  <c r="CJ98" i="4"/>
  <c r="CU98" i="4"/>
  <c r="CV98" i="4" s="1"/>
  <c r="CB98" i="4"/>
  <c r="CC98" i="4" s="1"/>
  <c r="BQ98" i="4"/>
  <c r="AE98" i="4"/>
  <c r="AP98" i="4"/>
  <c r="AQ98" i="4" s="1"/>
  <c r="DV98" i="4"/>
  <c r="EG98" i="4"/>
  <c r="EH98" i="4" s="1"/>
  <c r="FG98" i="4"/>
  <c r="FR98" i="4"/>
  <c r="FS98" i="4" s="1"/>
  <c r="DN98" i="4"/>
  <c r="DO98" i="4" s="1"/>
  <c r="DC98" i="4"/>
  <c r="EN98" i="4"/>
  <c r="EY98" i="4"/>
  <c r="EZ98" i="4" s="1"/>
  <c r="BI98" i="4"/>
  <c r="BJ98" i="4" s="1"/>
  <c r="AX98" i="4"/>
  <c r="AP61" i="5"/>
  <c r="AQ61" i="5" s="1"/>
  <c r="AE61" i="5"/>
  <c r="EG104" i="4"/>
  <c r="EH104" i="4" s="1"/>
  <c r="DV104" i="4"/>
  <c r="BI104" i="4"/>
  <c r="BJ104" i="4" s="1"/>
  <c r="AX104" i="4"/>
  <c r="DC104" i="4"/>
  <c r="DN104" i="4"/>
  <c r="DO104" i="4" s="1"/>
  <c r="CB104" i="4"/>
  <c r="CC104" i="4" s="1"/>
  <c r="BQ104" i="4"/>
  <c r="CJ104" i="4"/>
  <c r="CU104" i="4"/>
  <c r="CV104" i="4" s="1"/>
  <c r="AP104" i="4"/>
  <c r="AQ104" i="4" s="1"/>
  <c r="AE104" i="4"/>
  <c r="FR104" i="4"/>
  <c r="FS104" i="4" s="1"/>
  <c r="FG104" i="4"/>
  <c r="EN104" i="4"/>
  <c r="EY104" i="4"/>
  <c r="EZ104" i="4" s="1"/>
  <c r="AP50" i="5"/>
  <c r="AQ50" i="5" s="1"/>
  <c r="AE50" i="5"/>
  <c r="EG88" i="4"/>
  <c r="EH88" i="4" s="1"/>
  <c r="DV88" i="4"/>
  <c r="DC88" i="4"/>
  <c r="DN88" i="4"/>
  <c r="DO88" i="4" s="1"/>
  <c r="CB88" i="4"/>
  <c r="CC88" i="4" s="1"/>
  <c r="BQ88" i="4"/>
  <c r="AP88" i="4"/>
  <c r="AQ88" i="4" s="1"/>
  <c r="AE88" i="4"/>
  <c r="CU88" i="4"/>
  <c r="CV88" i="4" s="1"/>
  <c r="CJ88" i="4"/>
  <c r="AX88" i="4"/>
  <c r="BI88" i="4"/>
  <c r="BJ88" i="4" s="1"/>
  <c r="EY88" i="4"/>
  <c r="EZ88" i="4" s="1"/>
  <c r="EN88" i="4"/>
  <c r="FR88" i="4"/>
  <c r="FS88" i="4" s="1"/>
  <c r="FG88" i="4"/>
  <c r="AP45" i="5"/>
  <c r="AQ45" i="5" s="1"/>
  <c r="AE45" i="5"/>
  <c r="BQ84" i="4"/>
  <c r="CB84" i="4"/>
  <c r="CC84" i="4" s="1"/>
  <c r="CU84" i="4"/>
  <c r="CV84" i="4" s="1"/>
  <c r="CJ84" i="4"/>
  <c r="AE84" i="4"/>
  <c r="AP84" i="4"/>
  <c r="AQ84" i="4" s="1"/>
  <c r="DN84" i="4"/>
  <c r="DO84" i="4" s="1"/>
  <c r="DC84" i="4"/>
  <c r="DV84" i="4"/>
  <c r="EG84" i="4"/>
  <c r="EH84" i="4" s="1"/>
  <c r="AX84" i="4"/>
  <c r="BI84" i="4"/>
  <c r="BJ84" i="4" s="1"/>
  <c r="EN84" i="4"/>
  <c r="EY84" i="4"/>
  <c r="EZ84" i="4" s="1"/>
  <c r="FG84" i="4"/>
  <c r="FR84" i="4"/>
  <c r="FS84" i="4" s="1"/>
  <c r="AP41" i="5"/>
  <c r="AQ41" i="5" s="1"/>
  <c r="AE41" i="5"/>
  <c r="AP39" i="5"/>
  <c r="AQ39" i="5" s="1"/>
  <c r="AE39" i="5"/>
  <c r="CB92" i="4"/>
  <c r="CC92" i="4" s="1"/>
  <c r="BQ92" i="4"/>
  <c r="CU92" i="4"/>
  <c r="CV92" i="4" s="1"/>
  <c r="CJ92" i="4"/>
  <c r="AP92" i="4"/>
  <c r="AQ92" i="4" s="1"/>
  <c r="AE92" i="4"/>
  <c r="DC92" i="4"/>
  <c r="DN92" i="4"/>
  <c r="DO92" i="4" s="1"/>
  <c r="AX92" i="4"/>
  <c r="BI92" i="4"/>
  <c r="BJ92" i="4" s="1"/>
  <c r="FR92" i="4"/>
  <c r="FS92" i="4" s="1"/>
  <c r="FG92" i="4"/>
  <c r="EN92" i="4"/>
  <c r="EY92" i="4"/>
  <c r="EZ92" i="4" s="1"/>
  <c r="DV92" i="4"/>
  <c r="EG92" i="4"/>
  <c r="EH92" i="4" s="1"/>
  <c r="EG63" i="4"/>
  <c r="EH63" i="4" s="1"/>
  <c r="DV63" i="4"/>
  <c r="BI63" i="4"/>
  <c r="BJ63" i="4" s="1"/>
  <c r="AX63" i="4"/>
  <c r="AP63" i="4"/>
  <c r="AQ63" i="4" s="1"/>
  <c r="AE63" i="4"/>
  <c r="FR63" i="4"/>
  <c r="FS63" i="4" s="1"/>
  <c r="FG63" i="4"/>
  <c r="BQ63" i="4"/>
  <c r="CB63" i="4"/>
  <c r="CC63" i="4" s="1"/>
  <c r="DC63" i="4"/>
  <c r="DN63" i="4"/>
  <c r="DO63" i="4" s="1"/>
  <c r="CU63" i="4"/>
  <c r="CV63" i="4" s="1"/>
  <c r="CJ63" i="4"/>
  <c r="EN63" i="4"/>
  <c r="EY63" i="4"/>
  <c r="EZ63" i="4" s="1"/>
  <c r="AR159" i="9"/>
  <c r="AJ160" i="9"/>
  <c r="AU160" i="9"/>
  <c r="AV160" i="9" s="1"/>
  <c r="BC160" i="9"/>
  <c r="BN160" i="9"/>
  <c r="BO160" i="9" s="1"/>
  <c r="BN161" i="9"/>
  <c r="BO161" i="9" s="1"/>
  <c r="BC161" i="9"/>
  <c r="AU161" i="9"/>
  <c r="AV161" i="9" s="1"/>
  <c r="AJ161" i="9"/>
  <c r="CU53" i="8"/>
  <c r="CV53" i="8" s="1"/>
  <c r="CJ53" i="8"/>
  <c r="CB53" i="8"/>
  <c r="CC53" i="8" s="1"/>
  <c r="BQ53" i="8"/>
  <c r="AE53" i="8"/>
  <c r="AP53" i="8"/>
  <c r="AQ53" i="8" s="1"/>
  <c r="BI53" i="8"/>
  <c r="BJ53" i="8" s="1"/>
  <c r="AX53" i="8"/>
  <c r="AE50" i="7"/>
  <c r="AP50" i="7"/>
  <c r="AQ50" i="7" s="1"/>
  <c r="CU69" i="8"/>
  <c r="CV69" i="8" s="1"/>
  <c r="CJ69" i="8"/>
  <c r="AX69" i="8"/>
  <c r="BI69" i="8"/>
  <c r="BJ69" i="8" s="1"/>
  <c r="AE69" i="8"/>
  <c r="AP69" i="8"/>
  <c r="AQ69" i="8" s="1"/>
  <c r="BQ69" i="8"/>
  <c r="CB69" i="8"/>
  <c r="CC69" i="8" s="1"/>
  <c r="AP60" i="5"/>
  <c r="AQ60" i="5" s="1"/>
  <c r="AE60" i="5"/>
  <c r="AP74" i="5"/>
  <c r="AQ74" i="5" s="1"/>
  <c r="AE74" i="5"/>
  <c r="AP64" i="4"/>
  <c r="AQ64" i="4" s="1"/>
  <c r="AE64" i="4"/>
  <c r="BQ64" i="4"/>
  <c r="CB64" i="4"/>
  <c r="CC64" i="4" s="1"/>
  <c r="DN64" i="4"/>
  <c r="DO64" i="4" s="1"/>
  <c r="DC64" i="4"/>
  <c r="FR64" i="4"/>
  <c r="FS64" i="4" s="1"/>
  <c r="FG64" i="4"/>
  <c r="EN64" i="4"/>
  <c r="EY64" i="4"/>
  <c r="EZ64" i="4" s="1"/>
  <c r="CU64" i="4"/>
  <c r="CV64" i="4" s="1"/>
  <c r="CJ64" i="4"/>
  <c r="AX64" i="4"/>
  <c r="BI64" i="4"/>
  <c r="BJ64" i="4" s="1"/>
  <c r="DV64" i="4"/>
  <c r="EG64" i="4"/>
  <c r="EH64" i="4" s="1"/>
  <c r="AP24" i="5"/>
  <c r="AQ24" i="5" s="1"/>
  <c r="AE24" i="5"/>
  <c r="CU52" i="4"/>
  <c r="CV52" i="4" s="1"/>
  <c r="CJ52" i="4"/>
  <c r="BI52" i="4"/>
  <c r="BJ52" i="4" s="1"/>
  <c r="AX52" i="4"/>
  <c r="DV52" i="4"/>
  <c r="EG52" i="4"/>
  <c r="EH52" i="4" s="1"/>
  <c r="DC52" i="4"/>
  <c r="DN52" i="4"/>
  <c r="DO52" i="4" s="1"/>
  <c r="AP52" i="4"/>
  <c r="AQ52" i="4" s="1"/>
  <c r="AE52" i="4"/>
  <c r="EN52" i="4"/>
  <c r="EY52" i="4"/>
  <c r="EZ52" i="4" s="1"/>
  <c r="FG52" i="4"/>
  <c r="FR52" i="4"/>
  <c r="FS52" i="4" s="1"/>
  <c r="CB52" i="4"/>
  <c r="CC52" i="4" s="1"/>
  <c r="BQ52" i="4"/>
  <c r="AJ25" i="9"/>
  <c r="AU25" i="9"/>
  <c r="AV25" i="9" s="1"/>
  <c r="BN25" i="9"/>
  <c r="BO25" i="9" s="1"/>
  <c r="BC25" i="9"/>
  <c r="BN33" i="9"/>
  <c r="BO33" i="9" s="1"/>
  <c r="BC33" i="9"/>
  <c r="AJ33" i="9"/>
  <c r="AU33" i="9"/>
  <c r="AV33" i="9" s="1"/>
  <c r="DJ200" i="4"/>
  <c r="DK200" i="4" s="1"/>
  <c r="DK198" i="4" s="1"/>
  <c r="EC200" i="4"/>
  <c r="ED200" i="4" s="1"/>
  <c r="DU200" i="4"/>
  <c r="DB197" i="4"/>
  <c r="DC197" i="4" s="1"/>
  <c r="EC197" i="4"/>
  <c r="ED197" i="4" s="1"/>
  <c r="DU197" i="4"/>
  <c r="DV40" i="4"/>
  <c r="EG40" i="4"/>
  <c r="EH40" i="4" s="1"/>
  <c r="DV16" i="4"/>
  <c r="EG36" i="4"/>
  <c r="EH36" i="4" s="1"/>
  <c r="DV36" i="4"/>
  <c r="AD197" i="4"/>
  <c r="AE197" i="4" s="1"/>
  <c r="AE195" i="4" s="1"/>
  <c r="DJ197" i="4"/>
  <c r="DK197" i="4" s="1"/>
  <c r="CQ197" i="4"/>
  <c r="CR197" i="4" s="1"/>
  <c r="EM197" i="4"/>
  <c r="EN197" i="4" s="1"/>
  <c r="EN195" i="4" s="1"/>
  <c r="AL197" i="4"/>
  <c r="AM197" i="4" s="1"/>
  <c r="AM195" i="4" s="1"/>
  <c r="BE197" i="4"/>
  <c r="BF197" i="4" s="1"/>
  <c r="BF195" i="4" s="1"/>
  <c r="FN197" i="4"/>
  <c r="FO197" i="4" s="1"/>
  <c r="FO195" i="4" s="1"/>
  <c r="AW197" i="4"/>
  <c r="AX197" i="4" s="1"/>
  <c r="AX195" i="4" s="1"/>
  <c r="FF197" i="4"/>
  <c r="FG197" i="4" s="1"/>
  <c r="FG195" i="4" s="1"/>
  <c r="CI197" i="4"/>
  <c r="CJ197" i="4" s="1"/>
  <c r="CJ195" i="4" s="1"/>
  <c r="EU197" i="4"/>
  <c r="EV197" i="4" s="1"/>
  <c r="EV195" i="4" s="1"/>
  <c r="BX197" i="4"/>
  <c r="BY197" i="4" s="1"/>
  <c r="BY195" i="4" s="1"/>
  <c r="BP197" i="4"/>
  <c r="BQ197" i="4" s="1"/>
  <c r="BQ195" i="4" s="1"/>
  <c r="FF200" i="4"/>
  <c r="FG200" i="4" s="1"/>
  <c r="AW200" i="4"/>
  <c r="AX200" i="4" s="1"/>
  <c r="EM200" i="4"/>
  <c r="EN200" i="4" s="1"/>
  <c r="DB200" i="4"/>
  <c r="CQ200" i="4"/>
  <c r="CR200" i="4" s="1"/>
  <c r="BE200" i="4"/>
  <c r="BF200" i="4" s="1"/>
  <c r="BX200" i="4"/>
  <c r="BY200" i="4" s="1"/>
  <c r="EU200" i="4"/>
  <c r="EV200" i="4" s="1"/>
  <c r="BP200" i="4"/>
  <c r="BQ200" i="4" s="1"/>
  <c r="AD200" i="4"/>
  <c r="AE200" i="4" s="1"/>
  <c r="FN200" i="4"/>
  <c r="FO200" i="4" s="1"/>
  <c r="CI200" i="4"/>
  <c r="CJ200" i="4" s="1"/>
  <c r="AL200" i="4"/>
  <c r="AM200" i="4" s="1"/>
  <c r="DC16" i="4"/>
  <c r="BN30" i="9"/>
  <c r="BO30" i="9" s="1"/>
  <c r="BN28" i="9"/>
  <c r="BO28" i="9" s="1"/>
  <c r="AU30" i="9"/>
  <c r="AV30" i="9" s="1"/>
  <c r="AJ28" i="9"/>
  <c r="AU28" i="9"/>
  <c r="AV28" i="9" s="1"/>
  <c r="FG40" i="4"/>
  <c r="FR40" i="4"/>
  <c r="FS40" i="4" s="1"/>
  <c r="FG36" i="4"/>
  <c r="FR36" i="4"/>
  <c r="FS36" i="4" s="1"/>
  <c r="EN36" i="4"/>
  <c r="EY36" i="4"/>
  <c r="EZ36" i="4" s="1"/>
  <c r="EN40" i="4"/>
  <c r="EY40" i="4"/>
  <c r="EZ40" i="4" s="1"/>
  <c r="DC40" i="4"/>
  <c r="DN40" i="4"/>
  <c r="DO40" i="4" s="1"/>
  <c r="DC36" i="4"/>
  <c r="DN36" i="4"/>
  <c r="DO36" i="4" s="1"/>
  <c r="CJ40" i="4"/>
  <c r="CU40" i="4"/>
  <c r="CV40" i="4" s="1"/>
  <c r="CJ36" i="4"/>
  <c r="CU36" i="4"/>
  <c r="CV36" i="4" s="1"/>
  <c r="BQ40" i="4"/>
  <c r="CB40" i="4"/>
  <c r="CC40" i="4" s="1"/>
  <c r="BQ36" i="4"/>
  <c r="CB36" i="4"/>
  <c r="CC36" i="4" s="1"/>
  <c r="AX40" i="4"/>
  <c r="BI40" i="4"/>
  <c r="BJ40" i="4" s="1"/>
  <c r="AX36" i="4"/>
  <c r="BI36" i="4"/>
  <c r="BJ36" i="4" s="1"/>
  <c r="AP40" i="4"/>
  <c r="AQ40" i="4" s="1"/>
  <c r="AE36" i="4"/>
  <c r="AP36" i="4"/>
  <c r="AQ36" i="4" s="1"/>
  <c r="AE40" i="4"/>
  <c r="AE17" i="7"/>
  <c r="AJ30" i="9"/>
  <c r="BC30" i="9"/>
  <c r="AJ15" i="9"/>
  <c r="BC15" i="9"/>
  <c r="AE17" i="8"/>
  <c r="BQ17" i="8"/>
  <c r="CJ17" i="8"/>
  <c r="AX17" i="8"/>
  <c r="FG16" i="4"/>
  <c r="AE16" i="4"/>
  <c r="EN16" i="4"/>
  <c r="CJ16" i="4"/>
  <c r="BQ16" i="4"/>
  <c r="AV159" i="9" l="1"/>
  <c r="AJ159" i="9"/>
  <c r="DN200" i="4"/>
  <c r="DO200" i="4" s="1"/>
  <c r="EG197" i="4"/>
  <c r="EH197" i="4" s="1"/>
  <c r="DV197" i="4"/>
  <c r="EG200" i="4"/>
  <c r="EH200" i="4" s="1"/>
  <c r="DV200" i="4"/>
  <c r="ED198" i="4"/>
  <c r="DN197" i="4"/>
  <c r="DO197" i="4" s="1"/>
  <c r="CU197" i="4"/>
  <c r="CV197" i="4" s="1"/>
  <c r="FR197" i="4"/>
  <c r="FS197" i="4" s="1"/>
  <c r="FS195" i="4" s="1"/>
  <c r="CB197" i="4"/>
  <c r="CC197" i="4" s="1"/>
  <c r="CC195" i="4" s="1"/>
  <c r="BI197" i="4"/>
  <c r="BJ197" i="4" s="1"/>
  <c r="BJ195" i="4" s="1"/>
  <c r="EY197" i="4"/>
  <c r="EZ197" i="4" s="1"/>
  <c r="EZ195" i="4" s="1"/>
  <c r="AP197" i="4"/>
  <c r="AQ197" i="4" s="1"/>
  <c r="AQ195" i="4" s="1"/>
  <c r="EN198" i="4"/>
  <c r="EN194" i="4" s="1"/>
  <c r="BY198" i="4"/>
  <c r="BY194" i="4" s="1"/>
  <c r="CR194" i="4"/>
  <c r="BF198" i="4"/>
  <c r="BF194" i="4" s="1"/>
  <c r="AX198" i="4"/>
  <c r="AX194" i="4" s="1"/>
  <c r="FO198" i="4"/>
  <c r="FO194" i="4" s="1"/>
  <c r="EV198" i="4"/>
  <c r="EV194" i="4" s="1"/>
  <c r="CJ198" i="4"/>
  <c r="CJ194" i="4" s="1"/>
  <c r="BQ198" i="4"/>
  <c r="BQ194" i="4" s="1"/>
  <c r="AE198" i="4"/>
  <c r="AE194" i="4" s="1"/>
  <c r="AM198" i="4"/>
  <c r="AM194" i="4" s="1"/>
  <c r="CU200" i="4"/>
  <c r="CV200" i="4" s="1"/>
  <c r="FR200" i="4"/>
  <c r="FS200" i="4" s="1"/>
  <c r="FS198" i="4" s="1"/>
  <c r="DC200" i="4"/>
  <c r="EY200" i="4"/>
  <c r="EZ200" i="4" s="1"/>
  <c r="BI200" i="4"/>
  <c r="BJ200" i="4" s="1"/>
  <c r="BJ198" i="4" s="1"/>
  <c r="CB200" i="4"/>
  <c r="CC200" i="4" s="1"/>
  <c r="AP200" i="4"/>
  <c r="AQ200" i="4" s="1"/>
  <c r="AQ198" i="4" s="1"/>
  <c r="DO194" i="4"/>
  <c r="FG198" i="4"/>
  <c r="FG194" i="4" s="1"/>
  <c r="DK194" i="4"/>
  <c r="ED194" i="4" l="1"/>
  <c r="FS194" i="4"/>
  <c r="BJ194" i="4"/>
  <c r="AQ194" i="4"/>
  <c r="DC194" i="4"/>
  <c r="EZ198" i="4"/>
  <c r="EZ194" i="4" s="1"/>
  <c r="CC198" i="4"/>
  <c r="CC194" i="4" s="1"/>
  <c r="AX16" i="4" l="1"/>
  <c r="V17" i="7" l="1"/>
  <c r="AE16" i="5" l="1"/>
  <c r="AE18" i="5" l="1"/>
  <c r="AE17" i="5"/>
  <c r="AE19" i="5"/>
  <c r="AE15" i="5" l="1"/>
  <c r="N70" i="5" l="1"/>
  <c r="N37" i="5" s="1"/>
  <c r="N20" i="5" l="1" a="1"/>
  <c r="N20" i="5" s="1"/>
  <c r="N15" i="5" l="1"/>
  <c r="AC100" i="9" l="1"/>
  <c r="D103" i="9"/>
  <c r="D100" i="9"/>
  <c r="E102" i="9"/>
  <c r="Z102" i="9"/>
  <c r="AD102" i="9"/>
  <c r="Y102" i="9"/>
  <c r="X102" i="9"/>
  <c r="AB102" i="9"/>
  <c r="AE102" i="9" s="1"/>
  <c r="M102" i="9"/>
  <c r="L102" i="9"/>
  <c r="K102" i="9"/>
  <c r="I102" i="9"/>
  <c r="AA102" i="9"/>
  <c r="J102" i="9"/>
  <c r="E106" i="9"/>
  <c r="M106" i="9"/>
  <c r="AC106" i="9"/>
  <c r="J106" i="9"/>
  <c r="X106" i="9"/>
  <c r="D106" i="9"/>
  <c r="K106" i="9"/>
  <c r="AD106" i="9"/>
  <c r="AB106" i="9"/>
  <c r="AE106" i="9" s="1"/>
  <c r="L106" i="9"/>
  <c r="Y106" i="9"/>
  <c r="I106" i="9"/>
  <c r="AA106" i="9"/>
  <c r="Z106" i="9"/>
  <c r="C106" i="9"/>
  <c r="N1428" i="12"/>
  <c r="O1428" i="12" s="1"/>
  <c r="N1338" i="12"/>
  <c r="O1338" i="12" s="1"/>
  <c r="N1432" i="12"/>
  <c r="O1432" i="12" s="1"/>
  <c r="N1431" i="12"/>
  <c r="O1431" i="12" s="1"/>
  <c r="N1429" i="12"/>
  <c r="O1429" i="12" s="1"/>
  <c r="N1433" i="12"/>
  <c r="O1433" i="12" s="1"/>
  <c r="N1430" i="12"/>
  <c r="O1430" i="12" s="1"/>
  <c r="L79" i="4"/>
  <c r="D79" i="4"/>
  <c r="K79" i="4"/>
  <c r="J79" i="4"/>
  <c r="I79" i="4"/>
  <c r="W79" i="4"/>
  <c r="Z79" i="4" s="1"/>
  <c r="C79" i="4"/>
  <c r="U79" i="4"/>
  <c r="E79" i="4"/>
  <c r="Y79" i="4"/>
  <c r="AD79" i="4"/>
  <c r="M79" i="4"/>
  <c r="X28" i="7"/>
  <c r="X176" i="4"/>
  <c r="X55" i="4"/>
  <c r="DJ55" i="4" s="1"/>
  <c r="AC150" i="9"/>
  <c r="L102" i="4"/>
  <c r="C102" i="4"/>
  <c r="Y102" i="4"/>
  <c r="U102" i="4"/>
  <c r="I102" i="4"/>
  <c r="K102" i="4"/>
  <c r="E102" i="4"/>
  <c r="W102" i="4"/>
  <c r="Z102" i="4" s="1"/>
  <c r="J102" i="4"/>
  <c r="M102" i="4"/>
  <c r="X100" i="4"/>
  <c r="X103" i="4"/>
  <c r="X101" i="4"/>
  <c r="K65" i="7"/>
  <c r="Y65" i="7"/>
  <c r="L65" i="7"/>
  <c r="X65" i="7"/>
  <c r="J65" i="7"/>
  <c r="C65" i="7"/>
  <c r="W65" i="7"/>
  <c r="Z65" i="7" s="1"/>
  <c r="I65" i="7"/>
  <c r="M65" i="7"/>
  <c r="E65" i="7"/>
  <c r="D65" i="7"/>
  <c r="L64" i="7"/>
  <c r="K64" i="7"/>
  <c r="J64" i="7"/>
  <c r="Y64" i="7"/>
  <c r="I64" i="7"/>
  <c r="E64" i="7"/>
  <c r="D64" i="7"/>
  <c r="C64" i="7"/>
  <c r="M64" i="7"/>
  <c r="W64" i="7"/>
  <c r="Z64" i="7" s="1"/>
  <c r="W80" i="5"/>
  <c r="Z80" i="5" s="1"/>
  <c r="E80" i="5"/>
  <c r="I80" i="5"/>
  <c r="D80" i="5"/>
  <c r="K80" i="5"/>
  <c r="C80" i="5"/>
  <c r="L80" i="5"/>
  <c r="X80" i="5"/>
  <c r="S80" i="5"/>
  <c r="M80" i="5"/>
  <c r="J80" i="5"/>
  <c r="K77" i="8"/>
  <c r="I77" i="8"/>
  <c r="C77" i="8"/>
  <c r="U77" i="8" s="1"/>
  <c r="X77" i="8"/>
  <c r="J77" i="8"/>
  <c r="M77" i="8"/>
  <c r="E77" i="8"/>
  <c r="Y77" i="8"/>
  <c r="W77" i="8"/>
  <c r="Z77" i="8" s="1"/>
  <c r="L77" i="8"/>
  <c r="D77" i="8"/>
  <c r="M133" i="4"/>
  <c r="E133" i="4"/>
  <c r="U133" i="4"/>
  <c r="L133" i="4"/>
  <c r="D133" i="4"/>
  <c r="C133" i="4"/>
  <c r="Y133" i="4"/>
  <c r="J133" i="4"/>
  <c r="W133" i="4"/>
  <c r="Z133" i="4" s="1"/>
  <c r="K133" i="4"/>
  <c r="I133" i="4"/>
  <c r="X133" i="4"/>
  <c r="N279" i="12"/>
  <c r="O279" i="12" s="1"/>
  <c r="N283" i="12"/>
  <c r="O283" i="12" s="1"/>
  <c r="N282" i="12"/>
  <c r="O282" i="12" s="1"/>
  <c r="N281" i="12"/>
  <c r="O281" i="12" s="1"/>
  <c r="N280" i="12"/>
  <c r="O280" i="12" s="1"/>
  <c r="N285" i="12"/>
  <c r="O285" i="12" s="1"/>
  <c r="N284" i="12"/>
  <c r="O284" i="12" s="1"/>
  <c r="N289" i="12"/>
  <c r="O289" i="12" s="1"/>
  <c r="N288" i="12"/>
  <c r="O288" i="12" s="1"/>
  <c r="N287" i="12"/>
  <c r="O287" i="12" s="1"/>
  <c r="N286" i="12"/>
  <c r="O286" i="12" s="1"/>
  <c r="N290" i="12"/>
  <c r="O290" i="12" s="1"/>
  <c r="X59" i="5"/>
  <c r="C52" i="8"/>
  <c r="U52" i="8" s="1"/>
  <c r="L52" i="8"/>
  <c r="D52" i="8"/>
  <c r="M52" i="8"/>
  <c r="J52" i="8"/>
  <c r="I52" i="8"/>
  <c r="E52" i="8"/>
  <c r="W52" i="8"/>
  <c r="Z52" i="8" s="1"/>
  <c r="Y52" i="8"/>
  <c r="K52" i="8"/>
  <c r="K51" i="7"/>
  <c r="J51" i="7"/>
  <c r="D51" i="7"/>
  <c r="E51" i="7"/>
  <c r="I51" i="7"/>
  <c r="Y51" i="7"/>
  <c r="L51" i="7"/>
  <c r="C51" i="7"/>
  <c r="M51" i="7"/>
  <c r="W51" i="7"/>
  <c r="Z51" i="7" s="1"/>
  <c r="X51" i="7"/>
  <c r="I59" i="5"/>
  <c r="K59" i="5"/>
  <c r="E59" i="5"/>
  <c r="M59" i="5"/>
  <c r="D59" i="5"/>
  <c r="C59" i="5"/>
  <c r="S59" i="5"/>
  <c r="L59" i="5"/>
  <c r="W59" i="5"/>
  <c r="Z59" i="5" s="1"/>
  <c r="J59" i="5"/>
  <c r="N360" i="12"/>
  <c r="O360" i="12" s="1"/>
  <c r="C45" i="8"/>
  <c r="U45" i="8" s="1"/>
  <c r="W45" i="8"/>
  <c r="Z45" i="8" s="1"/>
  <c r="K45" i="8"/>
  <c r="Y45" i="8"/>
  <c r="I45" i="8"/>
  <c r="E45" i="8"/>
  <c r="D45" i="8"/>
  <c r="X45" i="8"/>
  <c r="L45" i="8"/>
  <c r="M45" i="8"/>
  <c r="J45" i="8"/>
  <c r="N706" i="12"/>
  <c r="O706" i="12" s="1"/>
  <c r="N1464" i="12"/>
  <c r="O1464" i="12" s="1"/>
  <c r="N683" i="12"/>
  <c r="O683" i="12" s="1"/>
  <c r="N325" i="12"/>
  <c r="O325" i="12" s="1"/>
  <c r="N914" i="12"/>
  <c r="O914" i="12" s="1"/>
  <c r="N653" i="12"/>
  <c r="O653" i="12" s="1"/>
  <c r="N601" i="12"/>
  <c r="O601" i="12" s="1"/>
  <c r="N976" i="12"/>
  <c r="O976" i="12" s="1"/>
  <c r="N762" i="12"/>
  <c r="O762" i="12" s="1"/>
  <c r="N971" i="12"/>
  <c r="O971" i="12" s="1"/>
  <c r="N1107" i="12"/>
  <c r="O1107" i="12" s="1"/>
  <c r="N308" i="12"/>
  <c r="O308" i="12" s="1"/>
  <c r="N736" i="12"/>
  <c r="O736" i="12" s="1"/>
  <c r="N947" i="12"/>
  <c r="O947" i="12" s="1"/>
  <c r="N1374" i="12"/>
  <c r="O1374" i="12" s="1"/>
  <c r="N1378" i="12"/>
  <c r="O1378" i="12" s="1"/>
  <c r="N408" i="12"/>
  <c r="O408" i="12" s="1"/>
  <c r="N1025" i="12"/>
  <c r="O1025" i="12" s="1"/>
  <c r="N1354" i="12"/>
  <c r="O1354" i="12" s="1"/>
  <c r="N1158" i="12"/>
  <c r="O1158" i="12" s="1"/>
  <c r="N734" i="12"/>
  <c r="O734" i="12" s="1"/>
  <c r="N1467" i="12"/>
  <c r="O1467" i="12" s="1"/>
  <c r="N701" i="12"/>
  <c r="O701" i="12" s="1"/>
  <c r="N552" i="12"/>
  <c r="O552" i="12" s="1"/>
  <c r="N646" i="12"/>
  <c r="O646" i="12" s="1"/>
  <c r="N298" i="12"/>
  <c r="O298" i="12" s="1"/>
  <c r="N1035" i="12"/>
  <c r="O1035" i="12" s="1"/>
  <c r="N862" i="12"/>
  <c r="O862" i="12" s="1"/>
  <c r="N301" i="12"/>
  <c r="O301" i="12" s="1"/>
  <c r="N1372" i="12"/>
  <c r="O1372" i="12" s="1"/>
  <c r="N686" i="12"/>
  <c r="O686" i="12" s="1"/>
  <c r="N1050" i="12"/>
  <c r="O1050" i="12" s="1"/>
  <c r="N511" i="12"/>
  <c r="O511" i="12" s="1"/>
  <c r="N1128" i="12"/>
  <c r="O1128" i="12" s="1"/>
  <c r="N1359" i="12"/>
  <c r="O1359" i="12" s="1"/>
  <c r="N544" i="12"/>
  <c r="O544" i="12" s="1"/>
  <c r="N820" i="12"/>
  <c r="O820" i="12" s="1"/>
  <c r="N468" i="12"/>
  <c r="O468" i="12" s="1"/>
  <c r="N951" i="12"/>
  <c r="O951" i="12" s="1"/>
  <c r="N787" i="12"/>
  <c r="O787" i="12" s="1"/>
  <c r="N574" i="12"/>
  <c r="O574" i="12" s="1"/>
  <c r="N969" i="12"/>
  <c r="O969" i="12" s="1"/>
  <c r="N1489" i="12"/>
  <c r="O1489" i="12" s="1"/>
  <c r="N811" i="12"/>
  <c r="O811" i="12" s="1"/>
  <c r="N1124" i="12"/>
  <c r="O1124" i="12" s="1"/>
  <c r="N1351" i="12"/>
  <c r="O1351" i="12" s="1"/>
  <c r="N975" i="12"/>
  <c r="O975" i="12" s="1"/>
  <c r="N456" i="12"/>
  <c r="O456" i="12" s="1"/>
  <c r="N479" i="12"/>
  <c r="O479" i="12" s="1"/>
  <c r="N1290" i="12"/>
  <c r="O1290" i="12" s="1"/>
  <c r="N743" i="12"/>
  <c r="O743" i="12" s="1"/>
  <c r="N553" i="12"/>
  <c r="O553" i="12" s="1"/>
  <c r="N908" i="12"/>
  <c r="O908" i="12" s="1"/>
  <c r="N430" i="12"/>
  <c r="O430" i="12" s="1"/>
  <c r="N948" i="12"/>
  <c r="O948" i="12" s="1"/>
  <c r="N1295" i="12"/>
  <c r="O1295" i="12" s="1"/>
  <c r="N663" i="12"/>
  <c r="O663" i="12" s="1"/>
  <c r="N724" i="12"/>
  <c r="O724" i="12" s="1"/>
  <c r="N693" i="12"/>
  <c r="O693" i="12" s="1"/>
  <c r="N1314" i="12"/>
  <c r="O1314" i="12" s="1"/>
  <c r="N1408" i="12"/>
  <c r="O1408" i="12" s="1"/>
  <c r="N896" i="12"/>
  <c r="O896" i="12" s="1"/>
  <c r="N1275" i="12"/>
  <c r="O1275" i="12" s="1"/>
  <c r="N1475" i="12"/>
  <c r="O1475" i="12" s="1"/>
  <c r="N550" i="12"/>
  <c r="O550" i="12" s="1"/>
  <c r="N953" i="12"/>
  <c r="O953" i="12" s="1"/>
  <c r="N790" i="12"/>
  <c r="O790" i="12" s="1"/>
  <c r="N1216" i="12"/>
  <c r="O1216" i="12" s="1"/>
  <c r="N293" i="12"/>
  <c r="O293" i="12" s="1"/>
  <c r="N837" i="12"/>
  <c r="O837" i="12" s="1"/>
  <c r="N804" i="12"/>
  <c r="O804" i="12" s="1"/>
  <c r="N1405" i="12"/>
  <c r="O1405" i="12" s="1"/>
  <c r="N704" i="12"/>
  <c r="O704" i="12" s="1"/>
  <c r="N1005" i="12"/>
  <c r="O1005" i="12" s="1"/>
  <c r="N952" i="12"/>
  <c r="O952" i="12" s="1"/>
  <c r="N1157" i="12"/>
  <c r="O1157" i="12" s="1"/>
  <c r="N1419" i="12"/>
  <c r="O1419" i="12" s="1"/>
  <c r="N1355" i="12"/>
  <c r="O1355" i="12" s="1"/>
  <c r="N1263" i="12"/>
  <c r="O1263" i="12" s="1"/>
  <c r="N323" i="12"/>
  <c r="O323" i="12" s="1"/>
  <c r="N1145" i="12"/>
  <c r="O1145" i="12" s="1"/>
  <c r="N1256" i="12"/>
  <c r="O1256" i="12" s="1"/>
  <c r="N654" i="12"/>
  <c r="O654" i="12" s="1"/>
  <c r="N854" i="12"/>
  <c r="O854" i="12" s="1"/>
  <c r="N1061" i="12"/>
  <c r="O1061" i="12" s="1"/>
  <c r="N1420" i="12"/>
  <c r="O1420" i="12" s="1"/>
  <c r="N331" i="12"/>
  <c r="O331" i="12" s="1"/>
  <c r="N457" i="12"/>
  <c r="O457" i="12" s="1"/>
  <c r="N333" i="12"/>
  <c r="O333" i="12" s="1"/>
  <c r="N912" i="12"/>
  <c r="O912" i="12" s="1"/>
  <c r="N1184" i="12"/>
  <c r="O1184" i="12" s="1"/>
  <c r="N1254" i="12"/>
  <c r="O1254" i="12" s="1"/>
  <c r="N1318" i="12"/>
  <c r="O1318" i="12" s="1"/>
  <c r="N789" i="12"/>
  <c r="O789" i="12" s="1"/>
  <c r="N1024" i="12"/>
  <c r="O1024" i="12" s="1"/>
  <c r="N1136" i="12"/>
  <c r="O1136" i="12" s="1"/>
  <c r="N1021" i="12"/>
  <c r="O1021" i="12" s="1"/>
  <c r="N711" i="12"/>
  <c r="O711" i="12" s="1"/>
  <c r="N428" i="12"/>
  <c r="O428" i="12" s="1"/>
  <c r="N894" i="12"/>
  <c r="O894" i="12" s="1"/>
  <c r="N581" i="12"/>
  <c r="O581" i="12" s="1"/>
  <c r="N320" i="12"/>
  <c r="O320" i="12" s="1"/>
  <c r="N1287" i="12"/>
  <c r="O1287" i="12" s="1"/>
  <c r="N982" i="12"/>
  <c r="O982" i="12" s="1"/>
  <c r="N1192" i="12"/>
  <c r="O1192" i="12" s="1"/>
  <c r="N367" i="12"/>
  <c r="O367" i="12" s="1"/>
  <c r="N305" i="12"/>
  <c r="O305" i="12" s="1"/>
  <c r="N397" i="12"/>
  <c r="O397" i="12" s="1"/>
  <c r="N1069" i="12"/>
  <c r="O1069" i="12" s="1"/>
  <c r="N364" i="12"/>
  <c r="O364" i="12" s="1"/>
  <c r="N673" i="12"/>
  <c r="O673" i="12" s="1"/>
  <c r="N1176" i="12"/>
  <c r="O1176" i="12" s="1"/>
  <c r="N620" i="12"/>
  <c r="O620" i="12" s="1"/>
  <c r="N1179" i="12"/>
  <c r="O1179" i="12" s="1"/>
  <c r="N1455" i="12"/>
  <c r="O1455" i="12" s="1"/>
  <c r="N519" i="12"/>
  <c r="O519" i="12" s="1"/>
  <c r="N1208" i="12"/>
  <c r="O1208" i="12" s="1"/>
  <c r="N1356" i="12"/>
  <c r="O1356" i="12" s="1"/>
  <c r="N369" i="12"/>
  <c r="O369" i="12" s="1"/>
  <c r="N733" i="12"/>
  <c r="O733" i="12" s="1"/>
  <c r="N475" i="12"/>
  <c r="O475" i="12" s="1"/>
  <c r="N559" i="12"/>
  <c r="O559" i="12" s="1"/>
  <c r="N405" i="12"/>
  <c r="O405" i="12" s="1"/>
  <c r="N1261" i="12"/>
  <c r="O1261" i="12" s="1"/>
  <c r="N851" i="12"/>
  <c r="O851" i="12" s="1"/>
  <c r="N594" i="12"/>
  <c r="O594" i="12" s="1"/>
  <c r="N810" i="12"/>
  <c r="O810" i="12" s="1"/>
  <c r="N655" i="12"/>
  <c r="O655" i="12" s="1"/>
  <c r="N571" i="12"/>
  <c r="O571" i="12" s="1"/>
  <c r="N861" i="12"/>
  <c r="O861" i="12" s="1"/>
  <c r="N639" i="12"/>
  <c r="O639" i="12" s="1"/>
  <c r="N508" i="12"/>
  <c r="O508" i="12" s="1"/>
  <c r="N459" i="12"/>
  <c r="O459" i="12" s="1"/>
  <c r="N1397" i="12"/>
  <c r="O1397" i="12" s="1"/>
  <c r="N957" i="12"/>
  <c r="O957" i="12" s="1"/>
  <c r="N897" i="12"/>
  <c r="O897" i="12" s="1"/>
  <c r="N587" i="12"/>
  <c r="O587" i="12" s="1"/>
  <c r="N841" i="12"/>
  <c r="O841" i="12" s="1"/>
  <c r="N1162" i="12"/>
  <c r="O1162" i="12" s="1"/>
  <c r="N1385" i="12"/>
  <c r="O1385" i="12" s="1"/>
  <c r="N1222" i="12"/>
  <c r="O1222" i="12" s="1"/>
  <c r="N973" i="12"/>
  <c r="O973" i="12" s="1"/>
  <c r="N529" i="12"/>
  <c r="O529" i="12" s="1"/>
  <c r="N1045" i="12"/>
  <c r="O1045" i="12" s="1"/>
  <c r="N792" i="12"/>
  <c r="O792" i="12" s="1"/>
  <c r="N1040" i="12"/>
  <c r="O1040" i="12" s="1"/>
  <c r="N1274" i="12"/>
  <c r="O1274" i="12" s="1"/>
  <c r="N1300" i="12"/>
  <c r="O1300" i="12" s="1"/>
  <c r="N1081" i="12"/>
  <c r="O1081" i="12" s="1"/>
  <c r="N412" i="12"/>
  <c r="O412" i="12" s="1"/>
  <c r="N1194" i="12"/>
  <c r="O1194" i="12" s="1"/>
  <c r="N1141" i="12"/>
  <c r="O1141" i="12" s="1"/>
  <c r="N1149" i="12"/>
  <c r="O1149" i="12" s="1"/>
  <c r="N1246" i="12"/>
  <c r="O1246" i="12" s="1"/>
  <c r="N575" i="12"/>
  <c r="O575" i="12" s="1"/>
  <c r="N995" i="12"/>
  <c r="O995" i="12" s="1"/>
  <c r="N1046" i="12"/>
  <c r="O1046" i="12" s="1"/>
  <c r="N313" i="12"/>
  <c r="O313" i="12" s="1"/>
  <c r="N535" i="12"/>
  <c r="O535" i="12" s="1"/>
  <c r="N606" i="12"/>
  <c r="O606" i="12" s="1"/>
  <c r="N863" i="12"/>
  <c r="O863" i="12" s="1"/>
  <c r="N1209" i="12"/>
  <c r="O1209" i="12" s="1"/>
  <c r="N359" i="12"/>
  <c r="O359" i="12" s="1"/>
  <c r="N1322" i="12"/>
  <c r="O1322" i="12" s="1"/>
  <c r="N913" i="12"/>
  <c r="O913" i="12" s="1"/>
  <c r="N365" i="12"/>
  <c r="O365" i="12" s="1"/>
  <c r="N393" i="12"/>
  <c r="O393" i="12" s="1"/>
  <c r="N496" i="12"/>
  <c r="O496" i="12" s="1"/>
  <c r="N681" i="12"/>
  <c r="O681" i="12" s="1"/>
  <c r="N779" i="12"/>
  <c r="O779" i="12" s="1"/>
  <c r="N467" i="12"/>
  <c r="O467" i="12" s="1"/>
  <c r="N857" i="12"/>
  <c r="O857" i="12" s="1"/>
  <c r="N1125" i="12"/>
  <c r="O1125" i="12" s="1"/>
  <c r="N1072" i="12"/>
  <c r="O1072" i="12" s="1"/>
  <c r="N322" i="12"/>
  <c r="O322" i="12" s="1"/>
  <c r="N583" i="12"/>
  <c r="O583" i="12" s="1"/>
  <c r="N994" i="12"/>
  <c r="O994" i="12" s="1"/>
  <c r="N748" i="12"/>
  <c r="O748" i="12" s="1"/>
  <c r="N906" i="12"/>
  <c r="O906" i="12" s="1"/>
  <c r="N898" i="12"/>
  <c r="O898" i="12" s="1"/>
  <c r="N354" i="12"/>
  <c r="O354" i="12" s="1"/>
  <c r="N626" i="12"/>
  <c r="O626" i="12" s="1"/>
  <c r="N788" i="12"/>
  <c r="O788" i="12" s="1"/>
  <c r="N1401" i="12"/>
  <c r="O1401" i="12" s="1"/>
  <c r="N435" i="12"/>
  <c r="O435" i="12" s="1"/>
  <c r="N990" i="12"/>
  <c r="O990" i="12" s="1"/>
  <c r="N420" i="12"/>
  <c r="O420" i="12" s="1"/>
  <c r="N401" i="12"/>
  <c r="O401" i="12" s="1"/>
  <c r="N392" i="12"/>
  <c r="O392" i="12" s="1"/>
  <c r="N307" i="12"/>
  <c r="O307" i="12" s="1"/>
  <c r="N1115" i="12"/>
  <c r="O1115" i="12" s="1"/>
  <c r="N517" i="12"/>
  <c r="O517" i="12" s="1"/>
  <c r="N1363" i="12"/>
  <c r="O1363" i="12" s="1"/>
  <c r="N1349" i="12"/>
  <c r="O1349" i="12" s="1"/>
  <c r="N470" i="12"/>
  <c r="O470" i="12" s="1"/>
  <c r="N380" i="12"/>
  <c r="O380" i="12" s="1"/>
  <c r="N901" i="12"/>
  <c r="O901" i="12" s="1"/>
  <c r="N327" i="12"/>
  <c r="O327" i="12" s="1"/>
  <c r="N900" i="12"/>
  <c r="O900" i="12" s="1"/>
  <c r="N1188" i="12"/>
  <c r="O1188" i="12" s="1"/>
  <c r="N1109" i="12"/>
  <c r="O1109" i="12" s="1"/>
  <c r="N1376" i="12"/>
  <c r="O1376" i="12" s="1"/>
  <c r="N555" i="12"/>
  <c r="O555" i="12" s="1"/>
  <c r="N803" i="12"/>
  <c r="O803" i="12" s="1"/>
  <c r="N422" i="12"/>
  <c r="O422" i="12" s="1"/>
  <c r="N366" i="12"/>
  <c r="O366" i="12" s="1"/>
  <c r="N1231" i="12"/>
  <c r="O1231" i="12" s="1"/>
  <c r="N1297" i="12"/>
  <c r="O1297" i="12" s="1"/>
  <c r="N458" i="12"/>
  <c r="O458" i="12" s="1"/>
  <c r="N1037" i="12"/>
  <c r="O1037" i="12" s="1"/>
  <c r="N1032" i="12"/>
  <c r="O1032" i="12" s="1"/>
  <c r="N576" i="12"/>
  <c r="O576" i="12" s="1"/>
  <c r="N358" i="12"/>
  <c r="O358" i="12" s="1"/>
  <c r="N632" i="12"/>
  <c r="O632" i="12" s="1"/>
  <c r="N1187" i="12"/>
  <c r="O1187" i="12" s="1"/>
  <c r="N1453" i="12"/>
  <c r="O1453" i="12" s="1"/>
  <c r="N1079" i="12"/>
  <c r="O1079" i="12" s="1"/>
  <c r="N672" i="12"/>
  <c r="O672" i="12" s="1"/>
  <c r="N484" i="12"/>
  <c r="O484" i="12" s="1"/>
  <c r="N891" i="12"/>
  <c r="O891" i="12" s="1"/>
  <c r="N684" i="12"/>
  <c r="O684" i="12" s="1"/>
  <c r="N481" i="12"/>
  <c r="O481" i="12" s="1"/>
  <c r="N1191" i="12"/>
  <c r="O1191" i="12" s="1"/>
  <c r="N1327" i="12"/>
  <c r="O1327" i="12" s="1"/>
  <c r="N1319" i="12"/>
  <c r="O1319" i="12" s="1"/>
  <c r="N431" i="12"/>
  <c r="O431" i="12" s="1"/>
  <c r="N740" i="12"/>
  <c r="O740" i="12" s="1"/>
  <c r="N1330" i="12"/>
  <c r="O1330" i="12" s="1"/>
  <c r="N1332" i="12"/>
  <c r="O1332" i="12" s="1"/>
  <c r="N757" i="12"/>
  <c r="O757" i="12" s="1"/>
  <c r="N526" i="12"/>
  <c r="O526" i="12" s="1"/>
  <c r="N1465" i="12"/>
  <c r="O1465" i="12" s="1"/>
  <c r="N979" i="12"/>
  <c r="O979" i="12" s="1"/>
  <c r="N1315" i="12"/>
  <c r="O1315" i="12" s="1"/>
  <c r="N1104" i="12"/>
  <c r="O1104" i="12" s="1"/>
  <c r="N492" i="12"/>
  <c r="O492" i="12" s="1"/>
  <c r="N1348" i="12"/>
  <c r="O1348" i="12" s="1"/>
  <c r="N483" i="12"/>
  <c r="O483" i="12" s="1"/>
  <c r="N1099" i="12"/>
  <c r="O1099" i="12" s="1"/>
  <c r="N1370" i="12"/>
  <c r="O1370" i="12" s="1"/>
  <c r="N968" i="12"/>
  <c r="O968" i="12" s="1"/>
  <c r="N415" i="12"/>
  <c r="O415" i="12" s="1"/>
  <c r="N545" i="12"/>
  <c r="O545" i="12" s="1"/>
  <c r="N1285" i="12"/>
  <c r="O1285" i="12" s="1"/>
  <c r="N1023" i="12"/>
  <c r="O1023" i="12" s="1"/>
  <c r="N463" i="12"/>
  <c r="O463" i="12" s="1"/>
  <c r="N489" i="12"/>
  <c r="O489" i="12" s="1"/>
  <c r="N791" i="12"/>
  <c r="O791" i="12" s="1"/>
  <c r="N543" i="12"/>
  <c r="O543" i="12" s="1"/>
  <c r="N315" i="12"/>
  <c r="O315" i="12" s="1"/>
  <c r="N1304" i="12"/>
  <c r="O1304" i="12" s="1"/>
  <c r="N679" i="12"/>
  <c r="O679" i="12" s="1"/>
  <c r="N536" i="12"/>
  <c r="O536" i="12" s="1"/>
  <c r="N402" i="12"/>
  <c r="O402" i="12" s="1"/>
  <c r="N694" i="12"/>
  <c r="O694" i="12" s="1"/>
  <c r="N713" i="12"/>
  <c r="O713" i="12" s="1"/>
  <c r="N1076" i="12"/>
  <c r="O1076" i="12" s="1"/>
  <c r="N560" i="12"/>
  <c r="O560" i="12" s="1"/>
  <c r="N1234" i="12"/>
  <c r="O1234" i="12" s="1"/>
  <c r="N328" i="12"/>
  <c r="O328" i="12" s="1"/>
  <c r="N1444" i="12"/>
  <c r="O1444" i="12" s="1"/>
  <c r="N564" i="12"/>
  <c r="O564" i="12" s="1"/>
  <c r="N1386" i="12"/>
  <c r="O1386" i="12" s="1"/>
  <c r="N1399" i="12"/>
  <c r="O1399" i="12" s="1"/>
  <c r="N691" i="12"/>
  <c r="O691" i="12" s="1"/>
  <c r="N1302" i="12"/>
  <c r="O1302" i="12" s="1"/>
  <c r="N329" i="12"/>
  <c r="O329" i="12" s="1"/>
  <c r="N423" i="12"/>
  <c r="O423" i="12" s="1"/>
  <c r="N642" i="12"/>
  <c r="O642" i="12" s="1"/>
  <c r="N954" i="12"/>
  <c r="O954" i="12" s="1"/>
  <c r="N523" i="12"/>
  <c r="O523" i="12" s="1"/>
  <c r="N1159" i="12"/>
  <c r="O1159" i="12" s="1"/>
  <c r="N556" i="12"/>
  <c r="O556" i="12" s="1"/>
  <c r="N745" i="12"/>
  <c r="O745" i="12" s="1"/>
  <c r="N667" i="12"/>
  <c r="O667" i="12" s="1"/>
  <c r="N1379" i="12"/>
  <c r="O1379" i="12" s="1"/>
  <c r="N444" i="12"/>
  <c r="O444" i="12" s="1"/>
  <c r="N723" i="12"/>
  <c r="O723" i="12" s="1"/>
  <c r="N647" i="12"/>
  <c r="O647" i="12" s="1"/>
  <c r="N1058" i="12"/>
  <c r="O1058" i="12" s="1"/>
  <c r="N383" i="12"/>
  <c r="O383" i="12" s="1"/>
  <c r="N669" i="12"/>
  <c r="O669" i="12" s="1"/>
  <c r="N439" i="12"/>
  <c r="O439" i="12" s="1"/>
  <c r="N291" i="12"/>
  <c r="O291" i="12" s="1"/>
  <c r="N999" i="12"/>
  <c r="O999" i="12" s="1"/>
  <c r="N371" i="12"/>
  <c r="O371" i="12" s="1"/>
  <c r="N1182" i="12"/>
  <c r="O1182" i="12" s="1"/>
  <c r="N1235" i="12"/>
  <c r="O1235" i="12" s="1"/>
  <c r="N834" i="12"/>
  <c r="O834" i="12" s="1"/>
  <c r="N1443" i="12"/>
  <c r="O1443" i="12" s="1"/>
  <c r="N396" i="12"/>
  <c r="O396" i="12" s="1"/>
  <c r="N1316" i="12"/>
  <c r="O1316" i="12" s="1"/>
  <c r="N569" i="12"/>
  <c r="O569" i="12" s="1"/>
  <c r="N876" i="12"/>
  <c r="O876" i="12" s="1"/>
  <c r="N473" i="12"/>
  <c r="O473" i="12" s="1"/>
  <c r="N395" i="12"/>
  <c r="O395" i="12" s="1"/>
  <c r="N1334" i="12"/>
  <c r="O1334" i="12" s="1"/>
  <c r="N767" i="12"/>
  <c r="O767" i="12" s="1"/>
  <c r="N1018" i="12"/>
  <c r="O1018" i="12" s="1"/>
  <c r="N1100" i="12"/>
  <c r="O1100" i="12" s="1"/>
  <c r="N1160" i="12"/>
  <c r="O1160" i="12" s="1"/>
  <c r="N1155" i="12"/>
  <c r="O1155" i="12" s="1"/>
  <c r="N403" i="12"/>
  <c r="O403" i="12" s="1"/>
  <c r="N1441" i="12"/>
  <c r="O1441" i="12" s="1"/>
  <c r="N839" i="12"/>
  <c r="O839" i="12" s="1"/>
  <c r="N563" i="12"/>
  <c r="O563" i="12" s="1"/>
  <c r="N441" i="12"/>
  <c r="O441" i="12" s="1"/>
  <c r="N709" i="12"/>
  <c r="O709" i="12" s="1"/>
  <c r="N386" i="12"/>
  <c r="O386" i="12" s="1"/>
  <c r="N836" i="12"/>
  <c r="O836" i="12" s="1"/>
  <c r="N1087" i="12"/>
  <c r="O1087" i="12" s="1"/>
  <c r="N717" i="12"/>
  <c r="O717" i="12" s="1"/>
  <c r="N1177" i="12"/>
  <c r="O1177" i="12" s="1"/>
  <c r="N885" i="12"/>
  <c r="O885" i="12" s="1"/>
  <c r="N1269" i="12"/>
  <c r="O1269" i="12" s="1"/>
  <c r="N616" i="12"/>
  <c r="O616" i="12" s="1"/>
  <c r="N304" i="12"/>
  <c r="O304" i="12" s="1"/>
  <c r="N923" i="12"/>
  <c r="O923" i="12" s="1"/>
  <c r="N368" i="12"/>
  <c r="O368" i="12" s="1"/>
  <c r="N1303" i="12"/>
  <c r="O1303" i="12" s="1"/>
  <c r="N1270" i="12"/>
  <c r="O1270" i="12" s="1"/>
  <c r="N1236" i="12"/>
  <c r="O1236" i="12" s="1"/>
  <c r="N714" i="12"/>
  <c r="O714" i="12" s="1"/>
  <c r="N761" i="12"/>
  <c r="O761" i="12" s="1"/>
  <c r="N628" i="12"/>
  <c r="O628" i="12" s="1"/>
  <c r="N1217" i="12"/>
  <c r="O1217" i="12" s="1"/>
  <c r="N1411" i="12"/>
  <c r="O1411" i="12" s="1"/>
  <c r="N699" i="12"/>
  <c r="O699" i="12" s="1"/>
  <c r="N1015" i="12"/>
  <c r="O1015" i="12" s="1"/>
  <c r="N661" i="12"/>
  <c r="O661" i="12" s="1"/>
  <c r="N675" i="12"/>
  <c r="O675" i="12" s="1"/>
  <c r="N1224" i="12"/>
  <c r="O1224" i="12" s="1"/>
  <c r="N610" i="12"/>
  <c r="O610" i="12" s="1"/>
  <c r="N503" i="12"/>
  <c r="O503" i="12" s="1"/>
  <c r="N755" i="12"/>
  <c r="O755" i="12" s="1"/>
  <c r="N1293" i="12"/>
  <c r="O1293" i="12" s="1"/>
  <c r="N1488" i="12"/>
  <c r="O1488" i="12" s="1"/>
  <c r="N828" i="12"/>
  <c r="O828" i="12" s="1"/>
  <c r="N855" i="12"/>
  <c r="O855" i="12" s="1"/>
  <c r="N1190" i="12"/>
  <c r="O1190" i="12" s="1"/>
  <c r="N450" i="12"/>
  <c r="O450" i="12" s="1"/>
  <c r="N750" i="12"/>
  <c r="O750" i="12" s="1"/>
  <c r="N772" i="12"/>
  <c r="O772" i="12" s="1"/>
  <c r="N932" i="12"/>
  <c r="O932" i="12" s="1"/>
  <c r="N573" i="12"/>
  <c r="O573" i="12" s="1"/>
  <c r="N351" i="12"/>
  <c r="O351" i="12" s="1"/>
  <c r="N1133" i="12"/>
  <c r="O1133" i="12" s="1"/>
  <c r="N1279" i="12"/>
  <c r="O1279" i="12" s="1"/>
  <c r="N1406" i="12"/>
  <c r="O1406" i="12" s="1"/>
  <c r="N1436" i="12"/>
  <c r="O1436" i="12" s="1"/>
  <c r="N427" i="12"/>
  <c r="O427" i="12" s="1"/>
  <c r="N776" i="12"/>
  <c r="O776" i="12" s="1"/>
  <c r="N1375" i="12"/>
  <c r="O1375" i="12" s="1"/>
  <c r="N1134" i="12"/>
  <c r="O1134" i="12" s="1"/>
  <c r="N985" i="12"/>
  <c r="O985" i="12" s="1"/>
  <c r="N1460" i="12"/>
  <c r="O1460" i="12" s="1"/>
  <c r="N1366" i="12"/>
  <c r="O1366" i="12" s="1"/>
  <c r="N1053" i="12"/>
  <c r="O1053" i="12" s="1"/>
  <c r="N509" i="12"/>
  <c r="O509" i="12" s="1"/>
  <c r="N497" i="12"/>
  <c r="O497" i="12" s="1"/>
  <c r="N1173" i="12"/>
  <c r="O1173" i="12" s="1"/>
  <c r="N650" i="12"/>
  <c r="O650" i="12" s="1"/>
  <c r="N765" i="12"/>
  <c r="O765" i="12" s="1"/>
  <c r="N1059" i="12"/>
  <c r="O1059" i="12" s="1"/>
  <c r="N621" i="12"/>
  <c r="O621" i="12" s="1"/>
  <c r="N998" i="12"/>
  <c r="O998" i="12" s="1"/>
  <c r="N1296" i="12"/>
  <c r="O1296" i="12" s="1"/>
  <c r="N756" i="12"/>
  <c r="O756" i="12" s="1"/>
  <c r="N1320" i="12"/>
  <c r="O1320" i="12" s="1"/>
  <c r="N760" i="12"/>
  <c r="O760" i="12" s="1"/>
  <c r="N532" i="12"/>
  <c r="O532" i="12" s="1"/>
  <c r="N537" i="12"/>
  <c r="O537" i="12" s="1"/>
  <c r="N411" i="12"/>
  <c r="O411" i="12" s="1"/>
  <c r="N1172" i="12"/>
  <c r="O1172" i="12" s="1"/>
  <c r="N1218" i="12"/>
  <c r="O1218" i="12" s="1"/>
  <c r="N800" i="12"/>
  <c r="O800" i="12" s="1"/>
  <c r="N330" i="12"/>
  <c r="O330" i="12" s="1"/>
  <c r="N382" i="12"/>
  <c r="O382" i="12" s="1"/>
  <c r="N1011" i="12"/>
  <c r="O1011" i="12" s="1"/>
  <c r="N751" i="12"/>
  <c r="O751" i="12" s="1"/>
  <c r="N567" i="12"/>
  <c r="O567" i="12" s="1"/>
  <c r="N849" i="12"/>
  <c r="O849" i="12" s="1"/>
  <c r="N1491" i="12"/>
  <c r="O1491" i="12" s="1"/>
  <c r="N1382" i="12"/>
  <c r="O1382" i="12" s="1"/>
  <c r="N310" i="12"/>
  <c r="O310" i="12" s="1"/>
  <c r="N618" i="12"/>
  <c r="O618" i="12" s="1"/>
  <c r="N1306" i="12"/>
  <c r="O1306" i="12" s="1"/>
  <c r="N858" i="12"/>
  <c r="O858" i="12" s="1"/>
  <c r="N345" i="12"/>
  <c r="O345" i="12" s="1"/>
  <c r="N1283" i="12"/>
  <c r="O1283" i="12" s="1"/>
  <c r="N1238" i="12"/>
  <c r="O1238" i="12" s="1"/>
  <c r="N1484" i="12"/>
  <c r="O1484" i="12" s="1"/>
  <c r="N409" i="12"/>
  <c r="O409" i="12" s="1"/>
  <c r="N895" i="12"/>
  <c r="O895" i="12" s="1"/>
  <c r="N370" i="12"/>
  <c r="O370" i="12" s="1"/>
  <c r="N827" i="12"/>
  <c r="O827" i="12" s="1"/>
  <c r="N1404" i="12"/>
  <c r="O1404" i="12" s="1"/>
  <c r="N707" i="12"/>
  <c r="O707" i="12" s="1"/>
  <c r="N375" i="12"/>
  <c r="O375" i="12" s="1"/>
  <c r="N1403" i="12"/>
  <c r="O1403" i="12" s="1"/>
  <c r="N1008" i="12"/>
  <c r="O1008" i="12" s="1"/>
  <c r="N565" i="12"/>
  <c r="O565" i="12" s="1"/>
  <c r="N795" i="12"/>
  <c r="O795" i="12" s="1"/>
  <c r="N362" i="12"/>
  <c r="O362" i="12" s="1"/>
  <c r="N1346" i="12"/>
  <c r="O1346" i="12" s="1"/>
  <c r="N918" i="12"/>
  <c r="O918" i="12" s="1"/>
  <c r="N404" i="12"/>
  <c r="O404" i="12" s="1"/>
  <c r="N1267" i="12"/>
  <c r="O1267" i="12" s="1"/>
  <c r="N921" i="12"/>
  <c r="O921" i="12" s="1"/>
  <c r="N1459" i="12"/>
  <c r="O1459" i="12" s="1"/>
  <c r="N1027" i="12"/>
  <c r="O1027" i="12" s="1"/>
  <c r="N1205" i="12"/>
  <c r="O1205" i="12" s="1"/>
  <c r="N1186" i="12"/>
  <c r="O1186" i="12" s="1"/>
  <c r="N1362" i="12"/>
  <c r="O1362" i="12" s="1"/>
  <c r="N904" i="12"/>
  <c r="O904" i="12" s="1"/>
  <c r="N1180" i="12"/>
  <c r="O1180" i="12" s="1"/>
  <c r="N831" i="12"/>
  <c r="O831" i="12" s="1"/>
  <c r="N1331" i="12"/>
  <c r="O1331" i="12" s="1"/>
  <c r="N739" i="12"/>
  <c r="O739" i="12" s="1"/>
  <c r="N520" i="12"/>
  <c r="O520" i="12" s="1"/>
  <c r="N644" i="12"/>
  <c r="O644" i="12" s="1"/>
  <c r="N1249" i="12"/>
  <c r="O1249" i="12" s="1"/>
  <c r="N502" i="12"/>
  <c r="O502" i="12" s="1"/>
  <c r="N848" i="12"/>
  <c r="O848" i="12" s="1"/>
  <c r="N783" i="12"/>
  <c r="O783" i="12" s="1"/>
  <c r="N1116" i="12"/>
  <c r="O1116" i="12" s="1"/>
  <c r="N1156" i="12"/>
  <c r="O1156" i="12" s="1"/>
  <c r="N1377" i="12"/>
  <c r="O1377" i="12" s="1"/>
  <c r="N797" i="12"/>
  <c r="O797" i="12" s="1"/>
  <c r="N1233" i="12"/>
  <c r="O1233" i="12" s="1"/>
  <c r="N1468" i="12"/>
  <c r="O1468" i="12" s="1"/>
  <c r="N754" i="12"/>
  <c r="O754" i="12" s="1"/>
  <c r="N819" i="12"/>
  <c r="O819" i="12" s="1"/>
  <c r="N1281" i="12"/>
  <c r="O1281" i="12" s="1"/>
  <c r="N1122" i="12"/>
  <c r="O1122" i="12" s="1"/>
  <c r="N658" i="12"/>
  <c r="O658" i="12" s="1"/>
  <c r="N1477" i="12"/>
  <c r="O1477" i="12" s="1"/>
  <c r="N784" i="12"/>
  <c r="O784" i="12" s="1"/>
  <c r="N1197" i="12"/>
  <c r="O1197" i="12" s="1"/>
  <c r="N685" i="12"/>
  <c r="O685" i="12" s="1"/>
  <c r="N1215" i="12"/>
  <c r="O1215" i="12" s="1"/>
  <c r="N1248" i="12"/>
  <c r="O1248" i="12" s="1"/>
  <c r="N645" i="12"/>
  <c r="O645" i="12" s="1"/>
  <c r="N455" i="12"/>
  <c r="O455" i="12" s="1"/>
  <c r="N622" i="12"/>
  <c r="O622" i="12" s="1"/>
  <c r="N1044" i="12"/>
  <c r="O1044" i="12" s="1"/>
  <c r="N958" i="12"/>
  <c r="O958" i="12" s="1"/>
  <c r="N356" i="12"/>
  <c r="O356" i="12" s="1"/>
  <c r="N1388" i="12"/>
  <c r="O1388" i="12" s="1"/>
  <c r="N1073" i="12"/>
  <c r="O1073" i="12" s="1"/>
  <c r="N600" i="12"/>
  <c r="O600" i="12" s="1"/>
  <c r="N1129" i="12"/>
  <c r="O1129" i="12" s="1"/>
  <c r="N1000" i="12"/>
  <c r="O1000" i="12" s="1"/>
  <c r="N1080" i="12"/>
  <c r="O1080" i="12" s="1"/>
  <c r="N1337" i="12"/>
  <c r="O1337" i="12" s="1"/>
  <c r="N1384" i="12"/>
  <c r="O1384" i="12" s="1"/>
  <c r="N903" i="12"/>
  <c r="O903" i="12" s="1"/>
  <c r="N1284" i="12"/>
  <c r="O1284" i="12" s="1"/>
  <c r="N737" i="12"/>
  <c r="O737" i="12" s="1"/>
  <c r="N805" i="12"/>
  <c r="O805" i="12" s="1"/>
  <c r="N546" i="12"/>
  <c r="O546" i="12" s="1"/>
  <c r="N1416" i="12"/>
  <c r="O1416" i="12" s="1"/>
  <c r="N1364" i="12"/>
  <c r="O1364" i="12" s="1"/>
  <c r="N1253" i="12"/>
  <c r="O1253" i="12" s="1"/>
  <c r="N437" i="12"/>
  <c r="O437" i="12" s="1"/>
  <c r="N1148" i="12"/>
  <c r="O1148" i="12" s="1"/>
  <c r="N1247" i="12"/>
  <c r="O1247" i="12" s="1"/>
  <c r="N1207" i="12"/>
  <c r="O1207" i="12" s="1"/>
  <c r="N1143" i="12"/>
  <c r="O1143" i="12" s="1"/>
  <c r="N1387" i="12"/>
  <c r="O1387" i="12" s="1"/>
  <c r="N1164" i="12"/>
  <c r="O1164" i="12" s="1"/>
  <c r="N997" i="12"/>
  <c r="O997" i="12" s="1"/>
  <c r="N406" i="12"/>
  <c r="O406" i="12" s="1"/>
  <c r="N1098" i="12"/>
  <c r="O1098" i="12" s="1"/>
  <c r="N991" i="12"/>
  <c r="O991" i="12" s="1"/>
  <c r="N773" i="12"/>
  <c r="O773" i="12" s="1"/>
  <c r="N830" i="12"/>
  <c r="O830" i="12" s="1"/>
  <c r="N527" i="12"/>
  <c r="O527" i="12" s="1"/>
  <c r="N1418" i="12"/>
  <c r="O1418" i="12" s="1"/>
  <c r="N1352" i="12"/>
  <c r="O1352" i="12" s="1"/>
  <c r="N1258" i="12"/>
  <c r="O1258" i="12" s="1"/>
  <c r="N510" i="12"/>
  <c r="O510" i="12" s="1"/>
  <c r="N873" i="12"/>
  <c r="O873" i="12" s="1"/>
  <c r="N425" i="12"/>
  <c r="O425" i="12" s="1"/>
  <c r="N678" i="12"/>
  <c r="O678" i="12" s="1"/>
  <c r="N698" i="12"/>
  <c r="O698" i="12" s="1"/>
  <c r="N729" i="12"/>
  <c r="O729" i="12" s="1"/>
  <c r="N469" i="12"/>
  <c r="O469" i="12" s="1"/>
  <c r="N922" i="12"/>
  <c r="O922" i="12" s="1"/>
  <c r="N806" i="12"/>
  <c r="O806" i="12" s="1"/>
  <c r="N670" i="12"/>
  <c r="O670" i="12" s="1"/>
  <c r="N424" i="12"/>
  <c r="O424" i="12" s="1"/>
  <c r="N1038" i="12"/>
  <c r="O1038" i="12" s="1"/>
  <c r="N1245" i="12"/>
  <c r="O1245" i="12" s="1"/>
  <c r="N1414" i="12"/>
  <c r="O1414" i="12" s="1"/>
  <c r="N568" i="12"/>
  <c r="O568" i="12" s="1"/>
  <c r="N1211" i="12"/>
  <c r="O1211" i="12" s="1"/>
  <c r="N868" i="12"/>
  <c r="O868" i="12" s="1"/>
  <c r="N635" i="12"/>
  <c r="O635" i="12" s="1"/>
  <c r="N1342" i="12"/>
  <c r="O1342" i="12" s="1"/>
  <c r="N677" i="12"/>
  <c r="O677" i="12" s="1"/>
  <c r="N920" i="12"/>
  <c r="O920" i="12" s="1"/>
  <c r="N1237" i="12"/>
  <c r="O1237" i="12" s="1"/>
  <c r="N429" i="12"/>
  <c r="O429" i="12" s="1"/>
  <c r="N818" i="12"/>
  <c r="O818" i="12" s="1"/>
  <c r="N1002" i="12"/>
  <c r="O1002" i="12" s="1"/>
  <c r="N1088" i="12"/>
  <c r="O1088" i="12" s="1"/>
  <c r="N352" i="12"/>
  <c r="O352" i="12" s="1"/>
  <c r="N377" i="12"/>
  <c r="O377" i="12" s="1"/>
  <c r="N656" i="12"/>
  <c r="O656" i="12" s="1"/>
  <c r="N649" i="12"/>
  <c r="O649" i="12" s="1"/>
  <c r="N860" i="12"/>
  <c r="O860" i="12" s="1"/>
  <c r="N633" i="12"/>
  <c r="O633" i="12" s="1"/>
  <c r="N1055" i="12"/>
  <c r="O1055" i="12" s="1"/>
  <c r="N813" i="12"/>
  <c r="O813" i="12" s="1"/>
  <c r="N877" i="12"/>
  <c r="O877" i="12" s="1"/>
  <c r="N710" i="12"/>
  <c r="O710" i="12" s="1"/>
  <c r="N955" i="12"/>
  <c r="O955" i="12" s="1"/>
  <c r="N695" i="12"/>
  <c r="O695" i="12" s="1"/>
  <c r="N768" i="12"/>
  <c r="O768" i="12" s="1"/>
  <c r="N1396" i="12"/>
  <c r="O1396" i="12" s="1"/>
  <c r="N984" i="12"/>
  <c r="O984" i="12" s="1"/>
  <c r="N1042" i="12"/>
  <c r="O1042" i="12" s="1"/>
  <c r="N312" i="12"/>
  <c r="O312" i="12" s="1"/>
  <c r="N337" i="12"/>
  <c r="O337" i="12" s="1"/>
  <c r="N749" i="12"/>
  <c r="O749" i="12" s="1"/>
  <c r="N442" i="12"/>
  <c r="O442" i="12" s="1"/>
  <c r="N1169" i="12"/>
  <c r="O1169" i="12" s="1"/>
  <c r="N611" i="12"/>
  <c r="O611" i="12" s="1"/>
  <c r="N1026" i="12"/>
  <c r="O1026" i="12" s="1"/>
  <c r="N1016" i="12"/>
  <c r="O1016" i="12" s="1"/>
  <c r="N1014" i="12"/>
  <c r="O1014" i="12" s="1"/>
  <c r="N821" i="12"/>
  <c r="O821" i="12" s="1"/>
  <c r="N433" i="12"/>
  <c r="O433" i="12" s="1"/>
  <c r="N1360" i="12"/>
  <c r="O1360" i="12" s="1"/>
  <c r="N980" i="12"/>
  <c r="O980" i="12" s="1"/>
  <c r="N844" i="12"/>
  <c r="O844" i="12" s="1"/>
  <c r="N1371" i="12"/>
  <c r="O1371" i="12" s="1"/>
  <c r="N542" i="12"/>
  <c r="O542" i="12" s="1"/>
  <c r="N524" i="12"/>
  <c r="O524" i="12" s="1"/>
  <c r="N1358" i="12"/>
  <c r="O1358" i="12" s="1"/>
  <c r="N1094" i="12"/>
  <c r="O1094" i="12" s="1"/>
  <c r="N1010" i="12"/>
  <c r="O1010" i="12" s="1"/>
  <c r="N657" i="12"/>
  <c r="O657" i="12" s="1"/>
  <c r="N452" i="12"/>
  <c r="O452" i="12" s="1"/>
  <c r="N1034" i="12"/>
  <c r="O1034" i="12" s="1"/>
  <c r="N1457" i="12"/>
  <c r="O1457" i="12" s="1"/>
  <c r="N627" i="12"/>
  <c r="O627" i="12" s="1"/>
  <c r="N641" i="12"/>
  <c r="O641" i="12" s="1"/>
  <c r="N1185" i="12"/>
  <c r="O1185" i="12" s="1"/>
  <c r="N1250" i="12"/>
  <c r="O1250" i="12" s="1"/>
  <c r="N504" i="12"/>
  <c r="O504" i="12" s="1"/>
  <c r="N697" i="12"/>
  <c r="O697" i="12" s="1"/>
  <c r="N1289" i="12"/>
  <c r="O1289" i="12" s="1"/>
  <c r="N725" i="12"/>
  <c r="O725" i="12" s="1"/>
  <c r="N417" i="12"/>
  <c r="O417" i="12" s="1"/>
  <c r="N1445" i="12"/>
  <c r="O1445" i="12" s="1"/>
  <c r="N373" i="12"/>
  <c r="O373" i="12" s="1"/>
  <c r="N453" i="12"/>
  <c r="O453" i="12" s="1"/>
  <c r="N1030" i="12"/>
  <c r="O1030" i="12" s="1"/>
  <c r="N488" i="12"/>
  <c r="O488" i="12" s="1"/>
  <c r="N1277" i="12"/>
  <c r="O1277" i="12" s="1"/>
  <c r="N414" i="12"/>
  <c r="O414" i="12" s="1"/>
  <c r="N1048" i="12"/>
  <c r="O1048" i="12" s="1"/>
  <c r="N764" i="12"/>
  <c r="O764" i="12" s="1"/>
  <c r="N295" i="12"/>
  <c r="O295" i="12" s="1"/>
  <c r="N1204" i="12"/>
  <c r="O1204" i="12" s="1"/>
  <c r="N864" i="12"/>
  <c r="O864" i="12" s="1"/>
  <c r="N869" i="12"/>
  <c r="O869" i="12" s="1"/>
  <c r="N807" i="12"/>
  <c r="O807" i="12" s="1"/>
  <c r="N732" i="12"/>
  <c r="O732" i="12" s="1"/>
  <c r="N856" i="12"/>
  <c r="O856" i="12" s="1"/>
  <c r="N500" i="12"/>
  <c r="O500" i="12" s="1"/>
  <c r="N866" i="12"/>
  <c r="O866" i="12" s="1"/>
  <c r="N534" i="12"/>
  <c r="O534" i="12" s="1"/>
  <c r="N950" i="12"/>
  <c r="O950" i="12" s="1"/>
  <c r="N1487" i="12"/>
  <c r="O1487" i="12" s="1"/>
  <c r="N1292" i="12"/>
  <c r="O1292" i="12" s="1"/>
  <c r="N782" i="12"/>
  <c r="O782" i="12" s="1"/>
  <c r="N533" i="12"/>
  <c r="O533" i="12" s="1"/>
  <c r="N911" i="12"/>
  <c r="O911" i="12" s="1"/>
  <c r="N794" i="12"/>
  <c r="O794" i="12" s="1"/>
  <c r="N378" i="12"/>
  <c r="O378" i="12" s="1"/>
  <c r="N781" i="12"/>
  <c r="O781" i="12" s="1"/>
  <c r="N682" i="12"/>
  <c r="O682" i="12" s="1"/>
  <c r="N1298" i="12"/>
  <c r="O1298" i="12" s="1"/>
  <c r="N501" i="12"/>
  <c r="O501" i="12" s="1"/>
  <c r="N929" i="12"/>
  <c r="O929" i="12" s="1"/>
  <c r="N548" i="12"/>
  <c r="O548" i="12" s="1"/>
  <c r="N1152" i="12"/>
  <c r="O1152" i="12" s="1"/>
  <c r="N446" i="12"/>
  <c r="O446" i="12" s="1"/>
  <c r="N1181" i="12"/>
  <c r="O1181" i="12" s="1"/>
  <c r="N640" i="12"/>
  <c r="O640" i="12" s="1"/>
  <c r="N604" i="12"/>
  <c r="O604" i="12" s="1"/>
  <c r="N893" i="12"/>
  <c r="O893" i="12" s="1"/>
  <c r="N607" i="12"/>
  <c r="O607" i="12" s="1"/>
  <c r="N1264" i="12"/>
  <c r="O1264" i="12" s="1"/>
  <c r="N753" i="12"/>
  <c r="O753" i="12" s="1"/>
  <c r="N660" i="12"/>
  <c r="O660" i="12" s="1"/>
  <c r="N1365" i="12"/>
  <c r="O1365" i="12" s="1"/>
  <c r="N924" i="12"/>
  <c r="O924" i="12" s="1"/>
  <c r="N1123" i="12"/>
  <c r="O1123" i="12" s="1"/>
  <c r="N454" i="12"/>
  <c r="O454" i="12" s="1"/>
  <c r="N462" i="12"/>
  <c r="O462" i="12" s="1"/>
  <c r="N1009" i="12"/>
  <c r="O1009" i="12" s="1"/>
  <c r="N1114" i="12"/>
  <c r="O1114" i="12" s="1"/>
  <c r="N1161" i="12"/>
  <c r="O1161" i="12" s="1"/>
  <c r="N498" i="12"/>
  <c r="O498" i="12" s="1"/>
  <c r="N1174" i="12"/>
  <c r="O1174" i="12" s="1"/>
  <c r="N447" i="12"/>
  <c r="O447" i="12" s="1"/>
  <c r="N727" i="12"/>
  <c r="O727" i="12" s="1"/>
  <c r="N770" i="12"/>
  <c r="O770" i="12" s="1"/>
  <c r="N859" i="12"/>
  <c r="O859" i="12" s="1"/>
  <c r="N1103" i="12"/>
  <c r="O1103" i="12" s="1"/>
  <c r="N1476" i="12"/>
  <c r="O1476" i="12" s="1"/>
  <c r="N561" i="12"/>
  <c r="O561" i="12" s="1"/>
  <c r="N890" i="12"/>
  <c r="O890" i="12" s="1"/>
  <c r="N835" i="12"/>
  <c r="O835" i="12" s="1"/>
  <c r="N731" i="12"/>
  <c r="O731" i="12" s="1"/>
  <c r="N1013" i="12"/>
  <c r="O1013" i="12" s="1"/>
  <c r="N482" i="12"/>
  <c r="O482" i="12" s="1"/>
  <c r="N566" i="12"/>
  <c r="O566" i="12" s="1"/>
  <c r="N775" i="12"/>
  <c r="O775" i="12" s="1"/>
  <c r="N759" i="12"/>
  <c r="O759" i="12" s="1"/>
  <c r="N294" i="12"/>
  <c r="O294" i="12" s="1"/>
  <c r="N1146" i="12"/>
  <c r="O1146" i="12" s="1"/>
  <c r="N1086" i="12"/>
  <c r="O1086" i="12" s="1"/>
  <c r="N1137" i="12"/>
  <c r="O1137" i="12" s="1"/>
  <c r="N1127" i="12"/>
  <c r="O1127" i="12" s="1"/>
  <c r="N605" i="12"/>
  <c r="O605" i="12" s="1"/>
  <c r="N702" i="12"/>
  <c r="O702" i="12" s="1"/>
  <c r="N419" i="12"/>
  <c r="O419" i="12" s="1"/>
  <c r="N1336" i="12"/>
  <c r="O1336" i="12" s="1"/>
  <c r="N445" i="12"/>
  <c r="O445" i="12" s="1"/>
  <c r="N1268" i="12"/>
  <c r="O1268" i="12" s="1"/>
  <c r="N1170" i="12"/>
  <c r="O1170" i="12" s="1"/>
  <c r="N1056" i="12"/>
  <c r="O1056" i="12" s="1"/>
  <c r="N833" i="12"/>
  <c r="O833" i="12" s="1"/>
  <c r="N1273" i="12"/>
  <c r="O1273" i="12" s="1"/>
  <c r="N1271" i="12"/>
  <c r="O1271" i="12" s="1"/>
  <c r="N1196" i="12"/>
  <c r="O1196" i="12" s="1"/>
  <c r="N965" i="12"/>
  <c r="O965" i="12" s="1"/>
  <c r="N1369" i="12"/>
  <c r="O1369" i="12" s="1"/>
  <c r="N961" i="12"/>
  <c r="O961" i="12" s="1"/>
  <c r="N486" i="12"/>
  <c r="O486" i="12" s="1"/>
  <c r="N909" i="12"/>
  <c r="O909" i="12" s="1"/>
  <c r="N838" i="12"/>
  <c r="O838" i="12" s="1"/>
  <c r="N1226" i="12"/>
  <c r="O1226" i="12" s="1"/>
  <c r="N715" i="12"/>
  <c r="O715" i="12" s="1"/>
  <c r="N596" i="12"/>
  <c r="O596" i="12" s="1"/>
  <c r="N1262" i="12"/>
  <c r="O1262" i="12" s="1"/>
  <c r="N614" i="12"/>
  <c r="O614" i="12" s="1"/>
  <c r="N1077" i="12"/>
  <c r="O1077" i="12" s="1"/>
  <c r="N865" i="12"/>
  <c r="O865" i="12" s="1"/>
  <c r="N925" i="12"/>
  <c r="O925" i="12" s="1"/>
  <c r="N738" i="12"/>
  <c r="O738" i="12" s="1"/>
  <c r="N816" i="12"/>
  <c r="O816" i="12" s="1"/>
  <c r="N809" i="12"/>
  <c r="O809" i="12" s="1"/>
  <c r="N324" i="12"/>
  <c r="O324" i="12" s="1"/>
  <c r="N314" i="12"/>
  <c r="O314" i="12" s="1"/>
  <c r="N1344" i="12"/>
  <c r="O1344" i="12" s="1"/>
  <c r="N870" i="12"/>
  <c r="O870" i="12" s="1"/>
  <c r="N1003" i="12"/>
  <c r="O1003" i="12" s="1"/>
  <c r="N410" i="12"/>
  <c r="O410" i="12" s="1"/>
  <c r="N1119" i="12"/>
  <c r="O1119" i="12" s="1"/>
  <c r="N341" i="12"/>
  <c r="O341" i="12" s="1"/>
  <c r="N1083" i="12"/>
  <c r="O1083" i="12" s="1"/>
  <c r="N812" i="12"/>
  <c r="O812" i="12" s="1"/>
  <c r="N318" i="12"/>
  <c r="O318" i="12" s="1"/>
  <c r="N1140" i="12"/>
  <c r="O1140" i="12" s="1"/>
  <c r="N867" i="12"/>
  <c r="O867" i="12" s="1"/>
  <c r="N1251" i="12"/>
  <c r="O1251" i="12" s="1"/>
  <c r="N882" i="12"/>
  <c r="O882" i="12" s="1"/>
  <c r="N1307" i="12"/>
  <c r="O1307" i="12" s="1"/>
  <c r="N1082" i="12"/>
  <c r="O1082" i="12" s="1"/>
  <c r="N1227" i="12"/>
  <c r="O1227" i="12" s="1"/>
  <c r="N316" i="12"/>
  <c r="O316" i="12" s="1"/>
  <c r="N872" i="12"/>
  <c r="O872" i="12" s="1"/>
  <c r="N296" i="12"/>
  <c r="O296" i="12" s="1"/>
  <c r="N1469" i="12"/>
  <c r="O1469" i="12" s="1"/>
  <c r="N989" i="12"/>
  <c r="O989" i="12" s="1"/>
  <c r="N421" i="12"/>
  <c r="O421" i="12" s="1"/>
  <c r="N719" i="12"/>
  <c r="O719" i="12" s="1"/>
  <c r="N1305" i="12"/>
  <c r="O1305" i="12" s="1"/>
  <c r="N522" i="12"/>
  <c r="O522" i="12" s="1"/>
  <c r="N1474" i="12"/>
  <c r="O1474" i="12" s="1"/>
  <c r="N1219" i="12"/>
  <c r="O1219" i="12" s="1"/>
  <c r="N1323" i="12"/>
  <c r="O1323" i="12" s="1"/>
  <c r="N448" i="12"/>
  <c r="O448" i="12" s="1"/>
  <c r="N1417" i="12"/>
  <c r="O1417" i="12" s="1"/>
  <c r="N491" i="12"/>
  <c r="O491" i="12" s="1"/>
  <c r="N1409" i="12"/>
  <c r="O1409" i="12" s="1"/>
  <c r="N630" i="12"/>
  <c r="O630" i="12" s="1"/>
  <c r="N608" i="12"/>
  <c r="O608" i="12" s="1"/>
  <c r="N1259" i="12"/>
  <c r="O1259" i="12" s="1"/>
  <c r="N634" i="12"/>
  <c r="O634" i="12" s="1"/>
  <c r="N547" i="12"/>
  <c r="O547" i="12" s="1"/>
  <c r="N946" i="12"/>
  <c r="O946" i="12" s="1"/>
  <c r="N875" i="12"/>
  <c r="O875" i="12" s="1"/>
  <c r="N1280" i="12"/>
  <c r="O1280" i="12" s="1"/>
  <c r="N1353" i="12"/>
  <c r="O1353" i="12" s="1"/>
  <c r="N1078" i="12"/>
  <c r="O1078" i="12" s="1"/>
  <c r="N1442" i="12"/>
  <c r="O1442" i="12" s="1"/>
  <c r="N350" i="12"/>
  <c r="O350" i="12" s="1"/>
  <c r="N1007" i="12"/>
  <c r="O1007" i="12" s="1"/>
  <c r="N1019" i="12"/>
  <c r="O1019" i="12" s="1"/>
  <c r="N752" i="12"/>
  <c r="O752" i="12" s="1"/>
  <c r="N1138" i="12"/>
  <c r="O1138" i="12" s="1"/>
  <c r="N309" i="12"/>
  <c r="O309" i="12" s="1"/>
  <c r="N1075" i="12"/>
  <c r="O1075" i="12" s="1"/>
  <c r="N603" i="12"/>
  <c r="O603" i="12" s="1"/>
  <c r="N438" i="12"/>
  <c r="O438" i="12" s="1"/>
  <c r="N652" i="12"/>
  <c r="O652" i="12" s="1"/>
  <c r="N703" i="12"/>
  <c r="O703" i="12" s="1"/>
  <c r="N1329" i="12"/>
  <c r="O1329" i="12" s="1"/>
  <c r="N398" i="12"/>
  <c r="O398" i="12" s="1"/>
  <c r="N832" i="12"/>
  <c r="O832" i="12" s="1"/>
  <c r="N993" i="12"/>
  <c r="O993" i="12" s="1"/>
  <c r="N394" i="12"/>
  <c r="O394" i="12" s="1"/>
  <c r="N319" i="12"/>
  <c r="O319" i="12" s="1"/>
  <c r="N372" i="12"/>
  <c r="O372" i="12" s="1"/>
  <c r="N769" i="12"/>
  <c r="O769" i="12" s="1"/>
  <c r="N572" i="12"/>
  <c r="O572" i="12" s="1"/>
  <c r="N443" i="12"/>
  <c r="O443" i="12" s="1"/>
  <c r="N1057" i="12"/>
  <c r="O1057" i="12" s="1"/>
  <c r="N1036" i="12"/>
  <c r="O1036" i="12" s="1"/>
  <c r="N472" i="12"/>
  <c r="O472" i="12" s="1"/>
  <c r="N357" i="12"/>
  <c r="O357" i="12" s="1"/>
  <c r="N478" i="12"/>
  <c r="O478" i="12" s="1"/>
  <c r="N379" i="12"/>
  <c r="O379" i="12" s="1"/>
  <c r="N1163" i="12"/>
  <c r="O1163" i="12" s="1"/>
  <c r="N589" i="12"/>
  <c r="O589" i="12" s="1"/>
  <c r="N334" i="12"/>
  <c r="O334" i="12" s="1"/>
  <c r="N381" i="12"/>
  <c r="O381" i="12" s="1"/>
  <c r="N591" i="12"/>
  <c r="O591" i="12" s="1"/>
  <c r="N619" i="12"/>
  <c r="O619" i="12" s="1"/>
  <c r="N1278" i="12"/>
  <c r="O1278" i="12" s="1"/>
  <c r="N1446" i="12"/>
  <c r="O1446" i="12" s="1"/>
  <c r="N964" i="12"/>
  <c r="O964" i="12" s="1"/>
  <c r="N1321" i="12"/>
  <c r="O1321" i="12" s="1"/>
  <c r="N578" i="12"/>
  <c r="O578" i="12" s="1"/>
  <c r="N1012" i="12"/>
  <c r="O1012" i="12" s="1"/>
  <c r="N1189" i="12"/>
  <c r="O1189" i="12" s="1"/>
  <c r="N297" i="12"/>
  <c r="O297" i="12" s="1"/>
  <c r="N1308" i="12"/>
  <c r="O1308" i="12" s="1"/>
  <c r="N541" i="12"/>
  <c r="O541" i="12" s="1"/>
  <c r="N460" i="12"/>
  <c r="O460" i="12" s="1"/>
  <c r="N676" i="12"/>
  <c r="O676" i="12" s="1"/>
  <c r="N558" i="12"/>
  <c r="O558" i="12" s="1"/>
  <c r="N1135" i="12"/>
  <c r="O1135" i="12" s="1"/>
  <c r="N1093" i="12"/>
  <c r="O1093" i="12" s="1"/>
  <c r="N1131" i="12"/>
  <c r="O1131" i="12" s="1"/>
  <c r="N1486" i="12"/>
  <c r="O1486" i="12" s="1"/>
  <c r="N1068" i="12"/>
  <c r="O1068" i="12" s="1"/>
  <c r="N1257" i="12"/>
  <c r="O1257" i="12" s="1"/>
  <c r="N907" i="12"/>
  <c r="O907" i="12" s="1"/>
  <c r="N353" i="12"/>
  <c r="O353" i="12" s="1"/>
  <c r="N662" i="12"/>
  <c r="O662" i="12" s="1"/>
  <c r="N777" i="12"/>
  <c r="O777" i="12" s="1"/>
  <c r="N436" i="12"/>
  <c r="O436" i="12" s="1"/>
  <c r="N1228" i="12"/>
  <c r="O1228" i="12" s="1"/>
  <c r="N721" i="12"/>
  <c r="O721" i="12" s="1"/>
  <c r="N609" i="12"/>
  <c r="O609" i="12" s="1"/>
  <c r="N348" i="12"/>
  <c r="O348" i="12" s="1"/>
  <c r="N888" i="12"/>
  <c r="O888" i="12" s="1"/>
  <c r="N584" i="12"/>
  <c r="O584" i="12" s="1"/>
  <c r="N1260" i="12"/>
  <c r="O1260" i="12" s="1"/>
  <c r="N1041" i="12"/>
  <c r="O1041" i="12" s="1"/>
  <c r="N1347" i="12"/>
  <c r="O1347" i="12" s="1"/>
  <c r="N1402" i="12"/>
  <c r="O1402" i="12" s="1"/>
  <c r="N1229" i="12"/>
  <c r="O1229" i="12" s="1"/>
  <c r="N597" i="12"/>
  <c r="O597" i="12" s="1"/>
  <c r="N1153" i="12"/>
  <c r="O1153" i="12" s="1"/>
  <c r="N659" i="12"/>
  <c r="O659" i="12" s="1"/>
  <c r="N801" i="12"/>
  <c r="O801" i="12" s="1"/>
  <c r="N340" i="12"/>
  <c r="O340" i="12" s="1"/>
  <c r="N525" i="12"/>
  <c r="O525" i="12" s="1"/>
  <c r="N826" i="12"/>
  <c r="O826" i="12" s="1"/>
  <c r="N1165" i="12"/>
  <c r="O1165" i="12" s="1"/>
  <c r="N871" i="12"/>
  <c r="O871" i="12" s="1"/>
  <c r="N1113" i="12"/>
  <c r="O1113" i="12" s="1"/>
  <c r="N1458" i="12"/>
  <c r="O1458" i="12" s="1"/>
  <c r="N1490" i="12"/>
  <c r="O1490" i="12" s="1"/>
  <c r="N1060" i="12"/>
  <c r="O1060" i="12" s="1"/>
  <c r="N983" i="12"/>
  <c r="O983" i="12" s="1"/>
  <c r="N1091" i="12"/>
  <c r="O1091" i="12" s="1"/>
  <c r="N1006" i="12"/>
  <c r="O1006" i="12" s="1"/>
  <c r="N1343" i="12"/>
  <c r="O1343" i="12" s="1"/>
  <c r="N1470" i="12"/>
  <c r="O1470" i="12" s="1"/>
  <c r="N592" i="12"/>
  <c r="O592" i="12" s="1"/>
  <c r="N956" i="12"/>
  <c r="O956" i="12" s="1"/>
  <c r="N978" i="12"/>
  <c r="O978" i="12" s="1"/>
  <c r="N674" i="12"/>
  <c r="O674" i="12" s="1"/>
  <c r="N1168" i="12"/>
  <c r="O1168" i="12" s="1"/>
  <c r="N1201" i="12"/>
  <c r="O1201" i="12" s="1"/>
  <c r="N705" i="12"/>
  <c r="O705" i="12" s="1"/>
  <c r="N1350" i="12"/>
  <c r="O1350" i="12" s="1"/>
  <c r="N690" i="12"/>
  <c r="O690" i="12" s="1"/>
  <c r="N648" i="12"/>
  <c r="O648" i="12" s="1"/>
  <c r="N886" i="12"/>
  <c r="O886" i="12" s="1"/>
  <c r="N1272" i="12"/>
  <c r="O1272" i="12" s="1"/>
  <c r="N554" i="12"/>
  <c r="O554" i="12" s="1"/>
  <c r="N1203" i="12"/>
  <c r="O1203" i="12" s="1"/>
  <c r="N746" i="12"/>
  <c r="O746" i="12" s="1"/>
  <c r="N1120" i="12"/>
  <c r="O1120" i="12" s="1"/>
  <c r="N1118" i="12"/>
  <c r="O1118" i="12" s="1"/>
  <c r="N1200" i="12"/>
  <c r="O1200" i="12" s="1"/>
  <c r="N595" i="12"/>
  <c r="O595" i="12" s="1"/>
  <c r="N1202" i="12"/>
  <c r="O1202" i="12" s="1"/>
  <c r="N582" i="12"/>
  <c r="O582" i="12" s="1"/>
  <c r="N1167" i="12"/>
  <c r="O1167" i="12" s="1"/>
  <c r="N1266" i="12"/>
  <c r="O1266" i="12" s="1"/>
  <c r="N910" i="12"/>
  <c r="O910" i="12" s="1"/>
  <c r="N730" i="12"/>
  <c r="O730" i="12" s="1"/>
  <c r="N302" i="12"/>
  <c r="O302" i="12" s="1"/>
  <c r="N916" i="12"/>
  <c r="O916" i="12" s="1"/>
  <c r="N793" i="12"/>
  <c r="O793" i="12" s="1"/>
  <c r="N949" i="12"/>
  <c r="O949" i="12" s="1"/>
  <c r="N1096" i="12"/>
  <c r="O1096" i="12" s="1"/>
  <c r="N680" i="12"/>
  <c r="O680" i="12" s="1"/>
  <c r="N963" i="12"/>
  <c r="O963" i="12" s="1"/>
  <c r="N418" i="12"/>
  <c r="O418" i="12" s="1"/>
  <c r="N464" i="12"/>
  <c r="O464" i="12" s="1"/>
  <c r="N919" i="12"/>
  <c r="O919" i="12" s="1"/>
  <c r="N1407" i="12"/>
  <c r="O1407" i="12" s="1"/>
  <c r="N716" i="12"/>
  <c r="O716" i="12" s="1"/>
  <c r="N1105" i="12"/>
  <c r="O1105" i="12" s="1"/>
  <c r="N981" i="12"/>
  <c r="O981" i="12" s="1"/>
  <c r="N1313" i="12"/>
  <c r="O1313" i="12" s="1"/>
  <c r="N299" i="12"/>
  <c r="O299" i="12" s="1"/>
  <c r="N586" i="12"/>
  <c r="O586" i="12" s="1"/>
  <c r="N1092" i="12"/>
  <c r="O1092" i="12" s="1"/>
  <c r="N802" i="12"/>
  <c r="O802" i="12" s="1"/>
  <c r="N376" i="12"/>
  <c r="O376" i="12" s="1"/>
  <c r="N1130" i="12"/>
  <c r="O1130" i="12" s="1"/>
  <c r="N1454" i="12"/>
  <c r="O1454" i="12" s="1"/>
  <c r="N557" i="12"/>
  <c r="O557" i="12" s="1"/>
  <c r="N440" i="12"/>
  <c r="O440" i="12" s="1"/>
  <c r="N590" i="12"/>
  <c r="O590" i="12" s="1"/>
  <c r="N1410" i="12"/>
  <c r="O1410" i="12" s="1"/>
  <c r="N1029" i="12"/>
  <c r="O1029" i="12" s="1"/>
  <c r="N986" i="12"/>
  <c r="O986" i="12" s="1"/>
  <c r="N514" i="12"/>
  <c r="O514" i="12" s="1"/>
  <c r="N884" i="12"/>
  <c r="O884" i="12" s="1"/>
  <c r="N850" i="12"/>
  <c r="O850" i="12" s="1"/>
  <c r="N696" i="12"/>
  <c r="O696" i="12" s="1"/>
  <c r="N780" i="12"/>
  <c r="O780" i="12" s="1"/>
  <c r="N1121" i="12"/>
  <c r="O1121" i="12" s="1"/>
  <c r="N1380" i="12"/>
  <c r="O1380" i="12" s="1"/>
  <c r="N562" i="12"/>
  <c r="O562" i="12" s="1"/>
  <c r="N1252" i="12"/>
  <c r="O1252" i="12" s="1"/>
  <c r="N1381" i="12"/>
  <c r="O1381" i="12" s="1"/>
  <c r="N962" i="12"/>
  <c r="O962" i="12" s="1"/>
  <c r="N339" i="12"/>
  <c r="O339" i="12" s="1"/>
  <c r="N624" i="12"/>
  <c r="O624" i="12" s="1"/>
  <c r="N643" i="12"/>
  <c r="O643" i="12" s="1"/>
  <c r="N1171" i="12"/>
  <c r="O1171" i="12" s="1"/>
  <c r="N570" i="12"/>
  <c r="O570" i="12" s="1"/>
  <c r="N666" i="12"/>
  <c r="O666" i="12" s="1"/>
  <c r="N1413" i="12"/>
  <c r="O1413" i="12" s="1"/>
  <c r="N1456" i="12"/>
  <c r="O1456" i="12" s="1"/>
  <c r="N636" i="12"/>
  <c r="O636" i="12" s="1"/>
  <c r="N338" i="12"/>
  <c r="O338" i="12" s="1"/>
  <c r="N959" i="12"/>
  <c r="O959" i="12" s="1"/>
  <c r="N466" i="12"/>
  <c r="O466" i="12" s="1"/>
  <c r="N540" i="12"/>
  <c r="O540" i="12" s="1"/>
  <c r="N1438" i="12"/>
  <c r="O1438" i="12" s="1"/>
  <c r="N902" i="12"/>
  <c r="O902" i="12" s="1"/>
  <c r="N970" i="12"/>
  <c r="O970" i="12" s="1"/>
  <c r="N461" i="12"/>
  <c r="O461" i="12" s="1"/>
  <c r="N987" i="12"/>
  <c r="O987" i="12" s="1"/>
  <c r="N355" i="12"/>
  <c r="O355" i="12" s="1"/>
  <c r="N651" i="12"/>
  <c r="O651" i="12" s="1"/>
  <c r="N1373" i="12"/>
  <c r="O1373" i="12" s="1"/>
  <c r="N434" i="12"/>
  <c r="O434" i="12" s="1"/>
  <c r="N1043" i="12"/>
  <c r="O1043" i="12" s="1"/>
  <c r="N518" i="12"/>
  <c r="O518" i="12" s="1"/>
  <c r="N1485" i="12"/>
  <c r="O1485" i="12" s="1"/>
  <c r="N1039" i="12"/>
  <c r="O1039" i="12" s="1"/>
  <c r="N1054" i="12"/>
  <c r="O1054" i="12" s="1"/>
  <c r="N303" i="12"/>
  <c r="O303" i="12" s="1"/>
  <c r="N1345" i="12"/>
  <c r="O1345" i="12" s="1"/>
  <c r="N966" i="12"/>
  <c r="O966" i="12" s="1"/>
  <c r="N996" i="12"/>
  <c r="O996" i="12" s="1"/>
  <c r="N451" i="12"/>
  <c r="O451" i="12" s="1"/>
  <c r="N915" i="12"/>
  <c r="O915" i="12" s="1"/>
  <c r="N1111" i="12"/>
  <c r="O1111" i="12" s="1"/>
  <c r="N1022" i="12"/>
  <c r="O1022" i="12" s="1"/>
  <c r="N878" i="12"/>
  <c r="O878" i="12" s="1"/>
  <c r="N728" i="12"/>
  <c r="O728" i="12" s="1"/>
  <c r="N1089" i="12"/>
  <c r="O1089" i="12" s="1"/>
  <c r="N1288" i="12"/>
  <c r="O1288" i="12" s="1"/>
  <c r="N1178" i="12"/>
  <c r="O1178" i="12" s="1"/>
  <c r="N664" i="12"/>
  <c r="O664" i="12" s="1"/>
  <c r="N1151" i="12"/>
  <c r="O1151" i="12" s="1"/>
  <c r="N1028" i="12"/>
  <c r="O1028" i="12" s="1"/>
  <c r="N585" i="12"/>
  <c r="O585" i="12" s="1"/>
  <c r="N977" i="12"/>
  <c r="O977" i="12" s="1"/>
  <c r="N471" i="12"/>
  <c r="O471" i="12" s="1"/>
  <c r="N1232" i="12"/>
  <c r="O1232" i="12" s="1"/>
  <c r="N513" i="12"/>
  <c r="O513" i="12" s="1"/>
  <c r="N758" i="12"/>
  <c r="O758" i="12" s="1"/>
  <c r="N499" i="12"/>
  <c r="O499" i="12" s="1"/>
  <c r="N505" i="12"/>
  <c r="O505" i="12" s="1"/>
  <c r="N874" i="12"/>
  <c r="O874" i="12" s="1"/>
  <c r="N1357" i="12"/>
  <c r="O1357" i="12" s="1"/>
  <c r="N623" i="12"/>
  <c r="O623" i="12" s="1"/>
  <c r="N1461" i="12"/>
  <c r="O1461" i="12" s="1"/>
  <c r="N960" i="12"/>
  <c r="O960" i="12" s="1"/>
  <c r="N1383" i="12"/>
  <c r="O1383" i="12" s="1"/>
  <c r="N579" i="12"/>
  <c r="O579" i="12" s="1"/>
  <c r="N774" i="12"/>
  <c r="O774" i="12" s="1"/>
  <c r="N1255" i="12"/>
  <c r="O1255" i="12" s="1"/>
  <c r="N335" i="12"/>
  <c r="O335" i="12" s="1"/>
  <c r="N1095" i="12"/>
  <c r="O1095" i="12" s="1"/>
  <c r="N899" i="12"/>
  <c r="O899" i="12" s="1"/>
  <c r="N346" i="12"/>
  <c r="O346" i="12" s="1"/>
  <c r="N1193" i="12"/>
  <c r="O1193" i="12" s="1"/>
  <c r="N588" i="12"/>
  <c r="O588" i="12" s="1"/>
  <c r="N712" i="12"/>
  <c r="O712" i="12" s="1"/>
  <c r="N808" i="12"/>
  <c r="O808" i="12" s="1"/>
  <c r="N551" i="12"/>
  <c r="O551" i="12" s="1"/>
  <c r="N1466" i="12"/>
  <c r="O1466" i="12" s="1"/>
  <c r="N1102" i="12"/>
  <c r="O1102" i="12" s="1"/>
  <c r="N881" i="12"/>
  <c r="O881" i="12" s="1"/>
  <c r="N1415" i="12"/>
  <c r="O1415" i="12" s="1"/>
  <c r="N1282" i="12"/>
  <c r="O1282" i="12" s="1"/>
  <c r="N988" i="12"/>
  <c r="O988" i="12" s="1"/>
  <c r="N326" i="12"/>
  <c r="O326" i="12" s="1"/>
  <c r="N317" i="12"/>
  <c r="O317" i="12" s="1"/>
  <c r="N593" i="12"/>
  <c r="O593" i="12" s="1"/>
  <c r="N599" i="12"/>
  <c r="O599" i="12" s="1"/>
  <c r="N972" i="12"/>
  <c r="O972" i="12" s="1"/>
  <c r="N689" i="12"/>
  <c r="O689" i="12" s="1"/>
  <c r="N407" i="12"/>
  <c r="O407" i="12" s="1"/>
  <c r="N1067" i="12"/>
  <c r="O1067" i="12" s="1"/>
  <c r="N426" i="12"/>
  <c r="O426" i="12" s="1"/>
  <c r="N1117" i="12"/>
  <c r="O1117" i="12" s="1"/>
  <c r="N1049" i="12"/>
  <c r="O1049" i="12" s="1"/>
  <c r="N531" i="12"/>
  <c r="O531" i="12" s="1"/>
  <c r="N930" i="12"/>
  <c r="O930" i="12" s="1"/>
  <c r="N1175" i="12"/>
  <c r="O1175" i="12" s="1"/>
  <c r="N926" i="12"/>
  <c r="O926" i="12" s="1"/>
  <c r="N1183" i="12"/>
  <c r="O1183" i="12" s="1"/>
  <c r="N763" i="12"/>
  <c r="O763" i="12" s="1"/>
  <c r="N374" i="12"/>
  <c r="O374" i="12" s="1"/>
  <c r="N1301" i="12"/>
  <c r="O1301" i="12" s="1"/>
  <c r="N786" i="12"/>
  <c r="O786" i="12" s="1"/>
  <c r="N817" i="12"/>
  <c r="O817" i="12" s="1"/>
  <c r="N1299" i="12"/>
  <c r="O1299" i="12" s="1"/>
  <c r="N1276" i="12"/>
  <c r="O1276" i="12" s="1"/>
  <c r="N476" i="12"/>
  <c r="O476" i="12" s="1"/>
  <c r="N528" i="12"/>
  <c r="O528" i="12" s="1"/>
  <c r="N1472" i="12"/>
  <c r="O1472" i="12" s="1"/>
  <c r="N1324" i="12"/>
  <c r="O1324" i="12" s="1"/>
  <c r="N1427" i="12"/>
  <c r="O1427" i="12" s="1"/>
  <c r="N384" i="12"/>
  <c r="O384" i="12" s="1"/>
  <c r="N300" i="12"/>
  <c r="O300" i="12" s="1"/>
  <c r="N1473" i="12"/>
  <c r="O1473" i="12" s="1"/>
  <c r="N917" i="12"/>
  <c r="O917" i="12" s="1"/>
  <c r="N530" i="12"/>
  <c r="O530" i="12" s="1"/>
  <c r="N1225" i="12"/>
  <c r="O1225" i="12" s="1"/>
  <c r="N506" i="12"/>
  <c r="O506" i="12" s="1"/>
  <c r="N718" i="12"/>
  <c r="O718" i="12" s="1"/>
  <c r="N598" i="12"/>
  <c r="O598" i="12" s="1"/>
  <c r="N1206" i="12"/>
  <c r="O1206" i="12" s="1"/>
  <c r="N700" i="12"/>
  <c r="O700" i="12" s="1"/>
  <c r="N829" i="12"/>
  <c r="O829" i="12" s="1"/>
  <c r="N432" i="12"/>
  <c r="O432" i="12" s="1"/>
  <c r="N692" i="12"/>
  <c r="O692" i="12" s="1"/>
  <c r="N846" i="12"/>
  <c r="O846" i="12" s="1"/>
  <c r="N477" i="12"/>
  <c r="O477" i="12" s="1"/>
  <c r="N485" i="12"/>
  <c r="O485" i="12" s="1"/>
  <c r="N1220" i="12"/>
  <c r="O1220" i="12" s="1"/>
  <c r="N1097" i="12"/>
  <c r="O1097" i="12" s="1"/>
  <c r="N602" i="12"/>
  <c r="O602" i="12" s="1"/>
  <c r="N1106" i="12"/>
  <c r="O1106" i="12" s="1"/>
  <c r="N1052" i="12"/>
  <c r="O1052" i="12" s="1"/>
  <c r="N766" i="12"/>
  <c r="O766" i="12" s="1"/>
  <c r="N1412" i="12"/>
  <c r="O1412" i="12" s="1"/>
  <c r="N1166" i="12"/>
  <c r="O1166" i="12" s="1"/>
  <c r="N507" i="12"/>
  <c r="O507" i="12" s="1"/>
  <c r="N1265" i="12"/>
  <c r="O1265" i="12" s="1"/>
  <c r="N1112" i="12"/>
  <c r="O1112" i="12" s="1"/>
  <c r="N735" i="12"/>
  <c r="O735" i="12" s="1"/>
  <c r="N390" i="12"/>
  <c r="O390" i="12" s="1"/>
  <c r="N516" i="12"/>
  <c r="O516" i="12" s="1"/>
  <c r="N1291" i="12"/>
  <c r="O1291" i="12" s="1"/>
  <c r="N1333" i="12"/>
  <c r="O1333" i="12" s="1"/>
  <c r="N580" i="12"/>
  <c r="O580" i="12" s="1"/>
  <c r="N343" i="12"/>
  <c r="O343" i="12" s="1"/>
  <c r="N799" i="12"/>
  <c r="O799" i="12" s="1"/>
  <c r="N883" i="12"/>
  <c r="O883" i="12" s="1"/>
  <c r="N720" i="12"/>
  <c r="O720" i="12" s="1"/>
  <c r="N1033" i="12"/>
  <c r="O1033" i="12" s="1"/>
  <c r="N306" i="12"/>
  <c r="O306" i="12" s="1"/>
  <c r="N1328" i="12"/>
  <c r="O1328" i="12" s="1"/>
  <c r="N617" i="12"/>
  <c r="O617" i="12" s="1"/>
  <c r="N1150" i="12"/>
  <c r="O1150" i="12" s="1"/>
  <c r="N512" i="12"/>
  <c r="O512" i="12" s="1"/>
  <c r="N521" i="12"/>
  <c r="O521" i="12" s="1"/>
  <c r="N344" i="12"/>
  <c r="O344" i="12" s="1"/>
  <c r="N612" i="12"/>
  <c r="O612" i="12" s="1"/>
  <c r="N493" i="12"/>
  <c r="O493" i="12" s="1"/>
  <c r="N349" i="12"/>
  <c r="O349" i="12" s="1"/>
  <c r="N798" i="12"/>
  <c r="O798" i="12" s="1"/>
  <c r="N847" i="12"/>
  <c r="O847" i="12" s="1"/>
  <c r="N889" i="12"/>
  <c r="O889" i="12" s="1"/>
  <c r="N1326" i="12"/>
  <c r="O1326" i="12" s="1"/>
  <c r="N577" i="12"/>
  <c r="O577" i="12" s="1"/>
  <c r="N495" i="12"/>
  <c r="O495" i="12" s="1"/>
  <c r="N538" i="12"/>
  <c r="O538" i="12" s="1"/>
  <c r="N778" i="12"/>
  <c r="O778" i="12" s="1"/>
  <c r="N796" i="12"/>
  <c r="O796" i="12" s="1"/>
  <c r="N1212" i="12"/>
  <c r="O1212" i="12" s="1"/>
  <c r="N631" i="12"/>
  <c r="O631" i="12" s="1"/>
  <c r="N1223" i="12"/>
  <c r="O1223" i="12" s="1"/>
  <c r="N1017" i="12"/>
  <c r="O1017" i="12" s="1"/>
  <c r="N1325" i="12"/>
  <c r="O1325" i="12" s="1"/>
  <c r="N815" i="12"/>
  <c r="O815" i="12" s="1"/>
  <c r="N321" i="12"/>
  <c r="O321" i="12" s="1"/>
  <c r="N1317" i="12"/>
  <c r="O1317" i="12" s="1"/>
  <c r="N935" i="12"/>
  <c r="O935" i="12" s="1"/>
  <c r="N1471" i="12"/>
  <c r="O1471" i="12" s="1"/>
  <c r="N1001" i="12"/>
  <c r="O1001" i="12" s="1"/>
  <c r="N413" i="12"/>
  <c r="O413" i="12" s="1"/>
  <c r="N905" i="12"/>
  <c r="O905" i="12" s="1"/>
  <c r="N1294" i="12"/>
  <c r="O1294" i="12" s="1"/>
  <c r="N1020" i="12"/>
  <c r="O1020" i="12" s="1"/>
  <c r="N625" i="12"/>
  <c r="O625" i="12" s="1"/>
  <c r="N814" i="12"/>
  <c r="O814" i="12" s="1"/>
  <c r="N722" i="12"/>
  <c r="O722" i="12" s="1"/>
  <c r="N974" i="12"/>
  <c r="O974" i="12" s="1"/>
  <c r="N474" i="12"/>
  <c r="O474" i="12" s="1"/>
  <c r="N1074" i="12"/>
  <c r="O1074" i="12" s="1"/>
  <c r="N726" i="12"/>
  <c r="O726" i="12" s="1"/>
  <c r="N336" i="12"/>
  <c r="O336" i="12" s="1"/>
  <c r="N1210" i="12"/>
  <c r="O1210" i="12" s="1"/>
  <c r="N665" i="12"/>
  <c r="O665" i="12" s="1"/>
  <c r="N747" i="12"/>
  <c r="O747" i="12" s="1"/>
  <c r="N465" i="12"/>
  <c r="O465" i="12" s="1"/>
  <c r="N1070" i="12"/>
  <c r="O1070" i="12" s="1"/>
  <c r="N342" i="12"/>
  <c r="O342" i="12" s="1"/>
  <c r="N638" i="12"/>
  <c r="O638" i="12" s="1"/>
  <c r="N887" i="12"/>
  <c r="O887" i="12" s="1"/>
  <c r="N615" i="12"/>
  <c r="O615" i="12" s="1"/>
  <c r="N928" i="12"/>
  <c r="O928" i="12" s="1"/>
  <c r="N1031" i="12"/>
  <c r="O1031" i="12" s="1"/>
  <c r="N1335" i="12"/>
  <c r="O1335" i="12" s="1"/>
  <c r="N629" i="12"/>
  <c r="O629" i="12" s="1"/>
  <c r="N1090" i="12"/>
  <c r="O1090" i="12" s="1"/>
  <c r="N967" i="12"/>
  <c r="O967" i="12" s="1"/>
  <c r="N1398" i="12"/>
  <c r="O1398" i="12" s="1"/>
  <c r="N992" i="12"/>
  <c r="O992" i="12" s="1"/>
  <c r="N1195" i="12"/>
  <c r="O1195" i="12" s="1"/>
  <c r="N785" i="12"/>
  <c r="O785" i="12" s="1"/>
  <c r="N391" i="12"/>
  <c r="O391" i="12" s="1"/>
  <c r="N892" i="12"/>
  <c r="O892" i="12" s="1"/>
  <c r="N637" i="12"/>
  <c r="O637" i="12" s="1"/>
  <c r="N494" i="12"/>
  <c r="O494" i="12" s="1"/>
  <c r="N1062" i="12"/>
  <c r="O1062" i="12" s="1"/>
  <c r="N1389" i="12"/>
  <c r="O1389" i="12" s="1"/>
  <c r="N927" i="12"/>
  <c r="O927" i="12" s="1"/>
  <c r="N1047" i="12"/>
  <c r="O1047" i="12" s="1"/>
  <c r="N1142" i="12"/>
  <c r="O1142" i="12" s="1"/>
  <c r="N1126" i="12"/>
  <c r="O1126" i="12" s="1"/>
  <c r="N539" i="12"/>
  <c r="O539" i="12" s="1"/>
  <c r="N671" i="12"/>
  <c r="O671" i="12" s="1"/>
  <c r="N708" i="12"/>
  <c r="O708" i="12" s="1"/>
  <c r="N399" i="12"/>
  <c r="O399" i="12" s="1"/>
  <c r="N1286" i="12"/>
  <c r="O1286" i="12" s="1"/>
  <c r="N549" i="12"/>
  <c r="O549" i="12" s="1"/>
  <c r="N1139" i="12"/>
  <c r="O1139" i="12" s="1"/>
  <c r="N449" i="12"/>
  <c r="O449" i="12" s="1"/>
  <c r="N1154" i="12"/>
  <c r="O1154" i="12" s="1"/>
  <c r="N1400" i="12"/>
  <c r="O1400" i="12" s="1"/>
  <c r="N771" i="12"/>
  <c r="O771" i="12" s="1"/>
  <c r="N742" i="12"/>
  <c r="O742" i="12" s="1"/>
  <c r="N1221" i="12"/>
  <c r="O1221" i="12" s="1"/>
  <c r="N744" i="12"/>
  <c r="O744" i="12" s="1"/>
  <c r="N613" i="12"/>
  <c r="O613" i="12" s="1"/>
  <c r="N311" i="12"/>
  <c r="O311" i="12" s="1"/>
  <c r="N1051" i="12"/>
  <c r="O1051" i="12" s="1"/>
  <c r="N687" i="12"/>
  <c r="O687" i="12" s="1"/>
  <c r="N845" i="12"/>
  <c r="O845" i="12" s="1"/>
  <c r="N347" i="12"/>
  <c r="O347" i="12" s="1"/>
  <c r="N1004" i="12"/>
  <c r="O1004" i="12" s="1"/>
  <c r="N480" i="12"/>
  <c r="O480" i="12" s="1"/>
  <c r="N1132" i="12"/>
  <c r="O1132" i="12" s="1"/>
  <c r="N416" i="12"/>
  <c r="O416" i="12" s="1"/>
  <c r="N1230" i="12"/>
  <c r="O1230" i="12" s="1"/>
  <c r="N515" i="12"/>
  <c r="O515" i="12" s="1"/>
  <c r="N1110" i="12"/>
  <c r="O1110" i="12" s="1"/>
  <c r="N668" i="12"/>
  <c r="O668" i="12" s="1"/>
  <c r="AC130" i="9"/>
  <c r="AQ130" i="9" s="1"/>
  <c r="D54" i="9"/>
  <c r="E54" i="9"/>
  <c r="C54" i="9"/>
  <c r="I54" i="9"/>
  <c r="M54" i="9"/>
  <c r="AB54" i="9"/>
  <c r="AE54" i="9" s="1"/>
  <c r="X54" i="9"/>
  <c r="AC54" i="9"/>
  <c r="Y54" i="9"/>
  <c r="L54" i="9"/>
  <c r="K54" i="9"/>
  <c r="J54" i="9"/>
  <c r="AD54" i="9"/>
  <c r="Z54" i="9"/>
  <c r="AA54" i="9"/>
  <c r="D76" i="9"/>
  <c r="AB76" i="9"/>
  <c r="AE76" i="9" s="1"/>
  <c r="L76" i="9"/>
  <c r="AC76" i="9"/>
  <c r="J76" i="9"/>
  <c r="Y76" i="9"/>
  <c r="Z76" i="9"/>
  <c r="E76" i="9"/>
  <c r="I76" i="9"/>
  <c r="M76" i="9"/>
  <c r="C76" i="9"/>
  <c r="AD76" i="9"/>
  <c r="AA76" i="9"/>
  <c r="X76" i="9"/>
  <c r="K76" i="9"/>
  <c r="D124" i="9"/>
  <c r="C124" i="9"/>
  <c r="M124" i="9"/>
  <c r="L124" i="9"/>
  <c r="AD124" i="9"/>
  <c r="Y124" i="9"/>
  <c r="K124" i="9"/>
  <c r="I124" i="9"/>
  <c r="AC124" i="9"/>
  <c r="J124" i="9"/>
  <c r="E124" i="9"/>
  <c r="X124" i="9"/>
  <c r="AB124" i="9"/>
  <c r="AE124" i="9" s="1"/>
  <c r="AA124" i="9"/>
  <c r="Z124" i="9"/>
  <c r="M126" i="4"/>
  <c r="U126" i="4"/>
  <c r="L126" i="4"/>
  <c r="K126" i="4"/>
  <c r="J126" i="4"/>
  <c r="I126" i="4"/>
  <c r="X126" i="4"/>
  <c r="E126" i="4"/>
  <c r="D126" i="4"/>
  <c r="C126" i="4"/>
  <c r="Y126" i="4"/>
  <c r="W126" i="4"/>
  <c r="Z126" i="4" s="1"/>
  <c r="E86" i="5"/>
  <c r="C86" i="5"/>
  <c r="D86" i="5"/>
  <c r="W86" i="5"/>
  <c r="Z86" i="5" s="1"/>
  <c r="I86" i="5"/>
  <c r="M86" i="5"/>
  <c r="J86" i="5"/>
  <c r="X86" i="5"/>
  <c r="S86" i="5"/>
  <c r="L86" i="5"/>
  <c r="K86" i="5"/>
  <c r="I87" i="5"/>
  <c r="E87" i="5"/>
  <c r="W87" i="5"/>
  <c r="Z87" i="5" s="1"/>
  <c r="S87" i="5"/>
  <c r="M87" i="5"/>
  <c r="D87" i="5"/>
  <c r="C87" i="5"/>
  <c r="X87" i="5"/>
  <c r="L87" i="5"/>
  <c r="K87" i="5"/>
  <c r="J87" i="5"/>
  <c r="X83" i="8"/>
  <c r="BX83" i="8" s="1"/>
  <c r="C85" i="8"/>
  <c r="U85" i="8" s="1"/>
  <c r="I85" i="8"/>
  <c r="L85" i="8"/>
  <c r="W85" i="8"/>
  <c r="Z85" i="8" s="1"/>
  <c r="Y85" i="8"/>
  <c r="D85" i="8"/>
  <c r="E85" i="8"/>
  <c r="X85" i="8"/>
  <c r="M85" i="8"/>
  <c r="J85" i="8"/>
  <c r="K85" i="8"/>
  <c r="X91" i="8"/>
  <c r="Y91" i="8"/>
  <c r="I91" i="8"/>
  <c r="E91" i="8"/>
  <c r="J91" i="8"/>
  <c r="W91" i="8"/>
  <c r="Z91" i="8" s="1"/>
  <c r="M91" i="8"/>
  <c r="L91" i="8"/>
  <c r="K91" i="8"/>
  <c r="D91" i="8"/>
  <c r="C91" i="8"/>
  <c r="U91" i="8" s="1"/>
  <c r="X84" i="8"/>
  <c r="M84" i="8"/>
  <c r="E84" i="8"/>
  <c r="L84" i="8"/>
  <c r="I84" i="8"/>
  <c r="C84" i="8"/>
  <c r="U84" i="8" s="1"/>
  <c r="D84" i="8"/>
  <c r="K84" i="8"/>
  <c r="W84" i="8"/>
  <c r="Z84" i="8" s="1"/>
  <c r="Y84" i="8"/>
  <c r="J84" i="8"/>
  <c r="I91" i="5"/>
  <c r="J91" i="5"/>
  <c r="E91" i="5"/>
  <c r="W91" i="5"/>
  <c r="Z91" i="5" s="1"/>
  <c r="S91" i="5"/>
  <c r="L91" i="5"/>
  <c r="D91" i="5"/>
  <c r="C91" i="5"/>
  <c r="X91" i="5"/>
  <c r="M91" i="5"/>
  <c r="K91" i="5"/>
  <c r="X92" i="5"/>
  <c r="C92" i="5"/>
  <c r="S92" i="5"/>
  <c r="M92" i="5"/>
  <c r="L92" i="5"/>
  <c r="K92" i="5"/>
  <c r="J92" i="5"/>
  <c r="E92" i="5"/>
  <c r="W92" i="5"/>
  <c r="Z92" i="5" s="1"/>
  <c r="I92" i="5"/>
  <c r="D92" i="5"/>
  <c r="L143" i="4"/>
  <c r="J143" i="4"/>
  <c r="E143" i="4"/>
  <c r="K143" i="4"/>
  <c r="I143" i="4"/>
  <c r="Y143" i="4"/>
  <c r="D143" i="4"/>
  <c r="C143" i="4"/>
  <c r="U143" i="4"/>
  <c r="W143" i="4"/>
  <c r="Z143" i="4" s="1"/>
  <c r="M143" i="4"/>
  <c r="L100" i="4"/>
  <c r="U100" i="4"/>
  <c r="K100" i="4"/>
  <c r="M100" i="4"/>
  <c r="J100" i="4"/>
  <c r="W100" i="4"/>
  <c r="Z100" i="4" s="1"/>
  <c r="I100" i="4"/>
  <c r="C100" i="4"/>
  <c r="E100" i="4"/>
  <c r="D100" i="4"/>
  <c r="Y100" i="4"/>
  <c r="E26" i="8"/>
  <c r="M26" i="8"/>
  <c r="D26" i="8"/>
  <c r="C26" i="8"/>
  <c r="U26" i="8" s="1"/>
  <c r="L26" i="8"/>
  <c r="I26" i="8"/>
  <c r="J26" i="8"/>
  <c r="K26" i="8"/>
  <c r="W26" i="8"/>
  <c r="Z26" i="8" s="1"/>
  <c r="Y26" i="8"/>
  <c r="G26" i="8"/>
  <c r="X26" i="8"/>
  <c r="C80" i="8"/>
  <c r="U80" i="8" s="1"/>
  <c r="Y80" i="8"/>
  <c r="W80" i="8"/>
  <c r="Z80" i="8" s="1"/>
  <c r="M80" i="8"/>
  <c r="X80" i="8"/>
  <c r="L80" i="8"/>
  <c r="K80" i="8"/>
  <c r="I80" i="8"/>
  <c r="J80" i="8"/>
  <c r="E80" i="8"/>
  <c r="D80" i="8"/>
  <c r="M89" i="4"/>
  <c r="L89" i="4"/>
  <c r="Y89" i="4"/>
  <c r="K89" i="4"/>
  <c r="J89" i="4"/>
  <c r="I89" i="4"/>
  <c r="E89" i="4"/>
  <c r="D89" i="4"/>
  <c r="C89" i="4"/>
  <c r="U89" i="4"/>
  <c r="W89" i="4"/>
  <c r="Z89" i="4" s="1"/>
  <c r="I49" i="5"/>
  <c r="W49" i="5"/>
  <c r="Z49" i="5" s="1"/>
  <c r="E49" i="5"/>
  <c r="D49" i="5"/>
  <c r="S49" i="5"/>
  <c r="M49" i="5"/>
  <c r="K49" i="5"/>
  <c r="L49" i="5"/>
  <c r="J49" i="5"/>
  <c r="C49" i="5"/>
  <c r="L43" i="8"/>
  <c r="K43" i="8"/>
  <c r="C43" i="8"/>
  <c r="U43" i="8" s="1"/>
  <c r="Y43" i="8"/>
  <c r="D43" i="8"/>
  <c r="X43" i="8"/>
  <c r="M43" i="8"/>
  <c r="I43" i="8"/>
  <c r="W43" i="8"/>
  <c r="Z43" i="8" s="1"/>
  <c r="E43" i="8"/>
  <c r="J43" i="8"/>
  <c r="X45" i="4"/>
  <c r="DS45" i="4" s="1"/>
  <c r="X39" i="4"/>
  <c r="DS39" i="4" s="1"/>
  <c r="X42" i="4"/>
  <c r="DS42" i="4" s="1"/>
  <c r="X47" i="4"/>
  <c r="DS47" i="4" s="1"/>
  <c r="X34" i="4"/>
  <c r="DS34" i="4" s="1"/>
  <c r="X41" i="4"/>
  <c r="CI41" i="4" s="1"/>
  <c r="X31" i="4"/>
  <c r="DS31" i="4" s="1"/>
  <c r="X43" i="4"/>
  <c r="DS43" i="4" s="1"/>
  <c r="X46" i="4"/>
  <c r="DS46" i="4" s="1"/>
  <c r="X32" i="4"/>
  <c r="DS32" i="4" s="1"/>
  <c r="X37" i="4"/>
  <c r="DS37" i="4" s="1"/>
  <c r="X33" i="4"/>
  <c r="DS33" i="4" s="1"/>
  <c r="X35" i="4"/>
  <c r="DS35" i="4" s="1"/>
  <c r="X44" i="4"/>
  <c r="DS44" i="4" s="1"/>
  <c r="X38" i="4"/>
  <c r="I172" i="4"/>
  <c r="J172" i="4"/>
  <c r="K172" i="4"/>
  <c r="U172" i="4"/>
  <c r="W172" i="4"/>
  <c r="Z172" i="4" s="1"/>
  <c r="L172" i="4"/>
  <c r="M172" i="4"/>
  <c r="X172" i="4"/>
  <c r="Y172" i="4"/>
  <c r="C172" i="4"/>
  <c r="D172" i="4"/>
  <c r="E172" i="4"/>
  <c r="E36" i="9"/>
  <c r="D36" i="9"/>
  <c r="I36" i="9"/>
  <c r="G36" i="9"/>
  <c r="Y36" i="9"/>
  <c r="X36" i="9"/>
  <c r="AB36" i="9"/>
  <c r="AE36" i="9" s="1"/>
  <c r="AD36" i="9"/>
  <c r="C36" i="9"/>
  <c r="K36" i="9"/>
  <c r="M36" i="9"/>
  <c r="Z36" i="9"/>
  <c r="AA36" i="9"/>
  <c r="L36" i="9"/>
  <c r="J36" i="9"/>
  <c r="G38" i="9"/>
  <c r="Y38" i="9"/>
  <c r="J38" i="9"/>
  <c r="AB38" i="9"/>
  <c r="AE38" i="9" s="1"/>
  <c r="K38" i="9"/>
  <c r="AD38" i="9"/>
  <c r="AA38" i="9"/>
  <c r="X38" i="9"/>
  <c r="E38" i="9"/>
  <c r="L38" i="9"/>
  <c r="D38" i="9"/>
  <c r="C38" i="9"/>
  <c r="Z38" i="9"/>
  <c r="M38" i="9"/>
  <c r="I38" i="9"/>
  <c r="L149" i="4"/>
  <c r="I149" i="4"/>
  <c r="E149" i="4"/>
  <c r="J149" i="4"/>
  <c r="D149" i="4"/>
  <c r="C149" i="4"/>
  <c r="X149" i="4"/>
  <c r="Y149" i="4"/>
  <c r="U149" i="4"/>
  <c r="K149" i="4"/>
  <c r="W149" i="4"/>
  <c r="Z149" i="4" s="1"/>
  <c r="M149" i="4"/>
  <c r="L142" i="4"/>
  <c r="I142" i="4"/>
  <c r="E142" i="4"/>
  <c r="D142" i="4"/>
  <c r="K142" i="4"/>
  <c r="U142" i="4"/>
  <c r="C142" i="4"/>
  <c r="Y142" i="4"/>
  <c r="M142" i="4"/>
  <c r="X142" i="4"/>
  <c r="W142" i="4"/>
  <c r="Z142" i="4" s="1"/>
  <c r="J142" i="4"/>
  <c r="L151" i="4"/>
  <c r="E151" i="4"/>
  <c r="U151" i="4"/>
  <c r="C151" i="4"/>
  <c r="D151" i="4"/>
  <c r="J151" i="4"/>
  <c r="X151" i="4"/>
  <c r="M151" i="4"/>
  <c r="W151" i="4"/>
  <c r="Z151" i="4" s="1"/>
  <c r="K151" i="4"/>
  <c r="I151" i="4"/>
  <c r="Y151" i="4"/>
  <c r="L136" i="4"/>
  <c r="W136" i="4"/>
  <c r="Z136" i="4" s="1"/>
  <c r="U136" i="4"/>
  <c r="M136" i="4"/>
  <c r="C136" i="4"/>
  <c r="Y136" i="4"/>
  <c r="D136" i="4"/>
  <c r="J136" i="4"/>
  <c r="X136" i="4"/>
  <c r="K136" i="4"/>
  <c r="I136" i="4"/>
  <c r="L174" i="4"/>
  <c r="U174" i="4"/>
  <c r="W174" i="4"/>
  <c r="Z174" i="4" s="1"/>
  <c r="C174" i="4"/>
  <c r="K174" i="4"/>
  <c r="J174" i="4"/>
  <c r="I174" i="4"/>
  <c r="M174" i="4"/>
  <c r="D174" i="4"/>
  <c r="Y174" i="4"/>
  <c r="E174" i="4"/>
  <c r="X179" i="4"/>
  <c r="X173" i="4"/>
  <c r="X178" i="4"/>
  <c r="X177" i="4"/>
  <c r="X50" i="4"/>
  <c r="DS50" i="4" s="1"/>
  <c r="X51" i="4"/>
  <c r="DS51" i="4" s="1"/>
  <c r="X54" i="4"/>
  <c r="DJ54" i="4" s="1"/>
  <c r="X49" i="4"/>
  <c r="DS49" i="4" s="1"/>
  <c r="X56" i="4"/>
  <c r="Y30" i="8"/>
  <c r="E30" i="8"/>
  <c r="J30" i="8"/>
  <c r="G30" i="8"/>
  <c r="W30" i="8"/>
  <c r="Z30" i="8" s="1"/>
  <c r="M30" i="8"/>
  <c r="D30" i="8"/>
  <c r="C30" i="8"/>
  <c r="U30" i="8" s="1"/>
  <c r="I30" i="8"/>
  <c r="L30" i="8"/>
  <c r="K30" i="8"/>
  <c r="E29" i="8"/>
  <c r="C29" i="8"/>
  <c r="U29" i="8" s="1"/>
  <c r="D29" i="8"/>
  <c r="G29" i="8"/>
  <c r="Y29" i="8"/>
  <c r="W29" i="8"/>
  <c r="Z29" i="8" s="1"/>
  <c r="M29" i="8"/>
  <c r="L29" i="8"/>
  <c r="K29" i="8"/>
  <c r="J29" i="8"/>
  <c r="I29" i="8"/>
  <c r="D28" i="8"/>
  <c r="G28" i="8"/>
  <c r="E28" i="8"/>
  <c r="C28" i="8"/>
  <c r="U28" i="8" s="1"/>
  <c r="Y28" i="8"/>
  <c r="L28" i="8"/>
  <c r="J28" i="8"/>
  <c r="W28" i="8"/>
  <c r="Z28" i="8" s="1"/>
  <c r="M28" i="8"/>
  <c r="K28" i="8"/>
  <c r="I28" i="8"/>
  <c r="L30" i="7"/>
  <c r="K30" i="7"/>
  <c r="J30" i="7"/>
  <c r="E30" i="7"/>
  <c r="I30" i="7"/>
  <c r="W30" i="7"/>
  <c r="Z30" i="7" s="1"/>
  <c r="G30" i="7"/>
  <c r="D30" i="7"/>
  <c r="C30" i="7"/>
  <c r="M30" i="7"/>
  <c r="Y30" i="7"/>
  <c r="L29" i="7"/>
  <c r="C29" i="7"/>
  <c r="K29" i="7"/>
  <c r="J29" i="7"/>
  <c r="I29" i="7"/>
  <c r="Y29" i="7"/>
  <c r="W29" i="7"/>
  <c r="Z29" i="7" s="1"/>
  <c r="M29" i="7"/>
  <c r="G29" i="7"/>
  <c r="E29" i="7"/>
  <c r="D29" i="7"/>
  <c r="L56" i="4"/>
  <c r="E56" i="4"/>
  <c r="I56" i="4"/>
  <c r="D56" i="4"/>
  <c r="G56" i="4"/>
  <c r="C56" i="4"/>
  <c r="Y56" i="4"/>
  <c r="K56" i="4"/>
  <c r="M56" i="4"/>
  <c r="J56" i="4"/>
  <c r="U56" i="4"/>
  <c r="W56" i="4"/>
  <c r="Z56" i="4" s="1"/>
  <c r="G27" i="5"/>
  <c r="W27" i="5"/>
  <c r="Z27" i="5" s="1"/>
  <c r="E27" i="5"/>
  <c r="D27" i="5"/>
  <c r="I27" i="5"/>
  <c r="C27" i="5"/>
  <c r="K27" i="5"/>
  <c r="M27" i="5"/>
  <c r="J27" i="5"/>
  <c r="X27" i="5"/>
  <c r="Y27" i="5"/>
  <c r="L27" i="5"/>
  <c r="L54" i="4"/>
  <c r="K54" i="4"/>
  <c r="E54" i="4"/>
  <c r="J54" i="4"/>
  <c r="I54" i="4"/>
  <c r="G54" i="4"/>
  <c r="D54" i="4"/>
  <c r="C54" i="4"/>
  <c r="Y54" i="4"/>
  <c r="W54" i="4"/>
  <c r="Z54" i="4" s="1"/>
  <c r="U54" i="4"/>
  <c r="M54" i="4"/>
  <c r="L23" i="5"/>
  <c r="G23" i="5"/>
  <c r="E23" i="5"/>
  <c r="D23" i="5"/>
  <c r="C23" i="5"/>
  <c r="X23" i="5"/>
  <c r="I23" i="5"/>
  <c r="Y23" i="5"/>
  <c r="W23" i="5"/>
  <c r="Z23" i="5" s="1"/>
  <c r="M23" i="5"/>
  <c r="J23" i="5"/>
  <c r="K23" i="5"/>
  <c r="M48" i="4"/>
  <c r="L48" i="4"/>
  <c r="Y48" i="4"/>
  <c r="K48" i="4"/>
  <c r="J48" i="4"/>
  <c r="C48" i="4"/>
  <c r="U48" i="4"/>
  <c r="I48" i="4"/>
  <c r="G48" i="4"/>
  <c r="E48" i="4"/>
  <c r="D48" i="4"/>
  <c r="W48" i="4"/>
  <c r="Z48" i="4" s="1"/>
  <c r="X130" i="4"/>
  <c r="W117" i="4"/>
  <c r="Z117" i="4" s="1"/>
  <c r="W73" i="8"/>
  <c r="Z73" i="8" s="1"/>
  <c r="J73" i="8"/>
  <c r="I73" i="8"/>
  <c r="E73" i="8"/>
  <c r="M73" i="8"/>
  <c r="C73" i="8"/>
  <c r="U73" i="8" s="1"/>
  <c r="Y73" i="8"/>
  <c r="D73" i="8"/>
  <c r="K73" i="8"/>
  <c r="L73" i="8"/>
  <c r="C77" i="5"/>
  <c r="I77" i="5"/>
  <c r="E77" i="5"/>
  <c r="D77" i="5"/>
  <c r="W77" i="5"/>
  <c r="Z77" i="5" s="1"/>
  <c r="S77" i="5"/>
  <c r="L77" i="5"/>
  <c r="M77" i="5"/>
  <c r="J77" i="5"/>
  <c r="K77" i="5"/>
  <c r="L128" i="4"/>
  <c r="J128" i="4"/>
  <c r="M128" i="4"/>
  <c r="K128" i="4"/>
  <c r="U128" i="4"/>
  <c r="W128" i="4"/>
  <c r="Z128" i="4" s="1"/>
  <c r="D128" i="4"/>
  <c r="I128" i="4"/>
  <c r="E128" i="4"/>
  <c r="Y128" i="4"/>
  <c r="C128" i="4"/>
  <c r="X54" i="5"/>
  <c r="X46" i="8"/>
  <c r="AW46" i="8" s="1"/>
  <c r="DS121" i="4"/>
  <c r="X94" i="4"/>
  <c r="AC99" i="9"/>
  <c r="D99" i="9"/>
  <c r="X99" i="9"/>
  <c r="I99" i="9"/>
  <c r="J99" i="9"/>
  <c r="K99" i="9"/>
  <c r="C99" i="9"/>
  <c r="Z99" i="9"/>
  <c r="AA99" i="9"/>
  <c r="AB99" i="9"/>
  <c r="AE99" i="9" s="1"/>
  <c r="Y99" i="9"/>
  <c r="E99" i="9"/>
  <c r="M99" i="9"/>
  <c r="L99" i="9"/>
  <c r="AD99" i="9"/>
  <c r="AB103" i="9"/>
  <c r="AE103" i="9" s="1"/>
  <c r="Y103" i="9"/>
  <c r="M103" i="9"/>
  <c r="K103" i="9"/>
  <c r="E103" i="9"/>
  <c r="I103" i="9"/>
  <c r="Z103" i="9"/>
  <c r="C103" i="9"/>
  <c r="X103" i="9"/>
  <c r="AA103" i="9"/>
  <c r="AD103" i="9"/>
  <c r="L103" i="9"/>
  <c r="J103" i="9"/>
  <c r="C100" i="9"/>
  <c r="J100" i="9"/>
  <c r="L100" i="9"/>
  <c r="K100" i="9"/>
  <c r="Y100" i="9"/>
  <c r="AA100" i="9"/>
  <c r="E100" i="9"/>
  <c r="I100" i="9"/>
  <c r="M100" i="9"/>
  <c r="AD100" i="9"/>
  <c r="Z100" i="9"/>
  <c r="AB100" i="9"/>
  <c r="AE100" i="9" s="1"/>
  <c r="X100" i="9"/>
  <c r="AC73" i="9"/>
  <c r="AC80" i="9"/>
  <c r="AC56" i="9"/>
  <c r="D80" i="9"/>
  <c r="I80" i="9"/>
  <c r="Z80" i="9"/>
  <c r="L80" i="9"/>
  <c r="C80" i="9"/>
  <c r="M80" i="9"/>
  <c r="AB80" i="9"/>
  <c r="AE80" i="9" s="1"/>
  <c r="AA80" i="9"/>
  <c r="K80" i="9"/>
  <c r="Y80" i="9"/>
  <c r="X80" i="9"/>
  <c r="AD80" i="9"/>
  <c r="J80" i="9"/>
  <c r="E80" i="9"/>
  <c r="AC55" i="9"/>
  <c r="AD55" i="9"/>
  <c r="I55" i="9"/>
  <c r="E55" i="9"/>
  <c r="AB55" i="9"/>
  <c r="AE55" i="9" s="1"/>
  <c r="AA55" i="9"/>
  <c r="D55" i="9"/>
  <c r="J55" i="9"/>
  <c r="C55" i="9"/>
  <c r="Y55" i="9"/>
  <c r="Z55" i="9"/>
  <c r="X55" i="9"/>
  <c r="M55" i="9"/>
  <c r="L55" i="9"/>
  <c r="K55" i="9"/>
  <c r="X93" i="8"/>
  <c r="X110" i="5"/>
  <c r="X153" i="4"/>
  <c r="X94" i="5"/>
  <c r="L38" i="4"/>
  <c r="Y38" i="4"/>
  <c r="K38" i="4"/>
  <c r="E38" i="4"/>
  <c r="C38" i="4"/>
  <c r="J38" i="4"/>
  <c r="I38" i="4"/>
  <c r="G38" i="4"/>
  <c r="D38" i="4"/>
  <c r="M38" i="4"/>
  <c r="W38" i="4"/>
  <c r="Z38" i="4" s="1"/>
  <c r="U38" i="4"/>
  <c r="X51" i="8"/>
  <c r="M32" i="4"/>
  <c r="L32" i="4"/>
  <c r="K32" i="4"/>
  <c r="J32" i="4"/>
  <c r="G32" i="4"/>
  <c r="C32" i="4"/>
  <c r="I32" i="4"/>
  <c r="E32" i="4"/>
  <c r="D32" i="4"/>
  <c r="Y32" i="4"/>
  <c r="W32" i="4"/>
  <c r="Z32" i="4" s="1"/>
  <c r="U32" i="4"/>
  <c r="AU50" i="8"/>
  <c r="X144" i="4"/>
  <c r="C51" i="8"/>
  <c r="U51" i="8" s="1"/>
  <c r="E51" i="8"/>
  <c r="D51" i="8"/>
  <c r="W51" i="8"/>
  <c r="Z51" i="8" s="1"/>
  <c r="J51" i="8"/>
  <c r="I51" i="8"/>
  <c r="L51" i="8"/>
  <c r="Y51" i="8"/>
  <c r="K51" i="8"/>
  <c r="M51" i="8"/>
  <c r="I57" i="5"/>
  <c r="W57" i="5"/>
  <c r="Z57" i="5" s="1"/>
  <c r="S57" i="5"/>
  <c r="X57" i="5"/>
  <c r="K57" i="5"/>
  <c r="E57" i="5"/>
  <c r="D57" i="5"/>
  <c r="C57" i="5"/>
  <c r="L57" i="5"/>
  <c r="M57" i="5"/>
  <c r="J57" i="5"/>
  <c r="X53" i="5"/>
  <c r="W121" i="4"/>
  <c r="Z121" i="4" s="1"/>
  <c r="E121" i="4"/>
  <c r="D121" i="4"/>
  <c r="L121" i="4"/>
  <c r="J121" i="4"/>
  <c r="I121" i="4"/>
  <c r="Y121" i="4"/>
  <c r="C121" i="4"/>
  <c r="M121" i="4"/>
  <c r="K121" i="4"/>
  <c r="U121" i="4"/>
  <c r="E111" i="9"/>
  <c r="E110" i="9"/>
  <c r="AC78" i="9"/>
  <c r="C56" i="8"/>
  <c r="U56" i="8" s="1"/>
  <c r="Y56" i="8"/>
  <c r="W56" i="8"/>
  <c r="Z56" i="8" s="1"/>
  <c r="M56" i="8"/>
  <c r="K56" i="8"/>
  <c r="J56" i="8"/>
  <c r="I56" i="8"/>
  <c r="L56" i="8"/>
  <c r="D56" i="8"/>
  <c r="E56" i="8"/>
  <c r="X53" i="7"/>
  <c r="X62" i="7"/>
  <c r="X49" i="7"/>
  <c r="X62" i="5"/>
  <c r="X54" i="8"/>
  <c r="X105" i="4"/>
  <c r="X58" i="5"/>
  <c r="S118" i="5"/>
  <c r="C55" i="8"/>
  <c r="U55" i="8" s="1"/>
  <c r="Y55" i="8"/>
  <c r="L55" i="8"/>
  <c r="J55" i="8"/>
  <c r="E55" i="8"/>
  <c r="M55" i="8"/>
  <c r="K55" i="8"/>
  <c r="W55" i="8"/>
  <c r="Z55" i="8" s="1"/>
  <c r="I55" i="8"/>
  <c r="D55" i="8"/>
  <c r="S114" i="5"/>
  <c r="S116" i="5"/>
  <c r="S110" i="5"/>
  <c r="S111" i="5"/>
  <c r="S112" i="5"/>
  <c r="S106" i="5"/>
  <c r="S107" i="5"/>
  <c r="S108" i="5"/>
  <c r="S101" i="5"/>
  <c r="S103" i="5"/>
  <c r="S97" i="5"/>
  <c r="S98" i="5"/>
  <c r="S94" i="5"/>
  <c r="S95" i="5"/>
  <c r="S89" i="5"/>
  <c r="S88" i="5"/>
  <c r="S90" i="5"/>
  <c r="S83" i="5"/>
  <c r="S84" i="5"/>
  <c r="S71" i="5"/>
  <c r="S72" i="5"/>
  <c r="S76" i="5"/>
  <c r="S78" i="5"/>
  <c r="S79" i="5"/>
  <c r="S81" i="5"/>
  <c r="S68" i="5"/>
  <c r="S69" i="5"/>
  <c r="S65" i="5"/>
  <c r="S66" i="5"/>
  <c r="S63" i="5"/>
  <c r="S62" i="5"/>
  <c r="S58" i="5"/>
  <c r="S47" i="5"/>
  <c r="S52" i="5"/>
  <c r="S54" i="5"/>
  <c r="S46" i="5"/>
  <c r="S44" i="5"/>
  <c r="S51" i="5"/>
  <c r="S53" i="5"/>
  <c r="S48" i="5"/>
  <c r="E51" i="5"/>
  <c r="I51" i="5"/>
  <c r="D51" i="5"/>
  <c r="M51" i="5"/>
  <c r="K51" i="5"/>
  <c r="C51" i="5"/>
  <c r="X51" i="5"/>
  <c r="L51" i="5"/>
  <c r="W51" i="5"/>
  <c r="Z51" i="5" s="1"/>
  <c r="J51" i="5"/>
  <c r="Y116" i="4"/>
  <c r="L116" i="4"/>
  <c r="K116" i="4"/>
  <c r="X116" i="4"/>
  <c r="W116" i="4"/>
  <c r="Z116" i="4" s="1"/>
  <c r="U116" i="4"/>
  <c r="M116" i="4"/>
  <c r="J116" i="4"/>
  <c r="I116" i="4"/>
  <c r="E116" i="4"/>
  <c r="D116" i="4"/>
  <c r="C116" i="4"/>
  <c r="Y105" i="4"/>
  <c r="M105" i="4"/>
  <c r="U105" i="4"/>
  <c r="W105" i="4"/>
  <c r="Z105" i="4" s="1"/>
  <c r="I105" i="4"/>
  <c r="L105" i="4"/>
  <c r="K105" i="4"/>
  <c r="J105" i="4"/>
  <c r="D105" i="4"/>
  <c r="E105" i="4"/>
  <c r="C105" i="4"/>
  <c r="X86" i="4"/>
  <c r="Y91" i="4"/>
  <c r="E91" i="4"/>
  <c r="X91" i="4"/>
  <c r="M91" i="4"/>
  <c r="L91" i="4"/>
  <c r="C91" i="4"/>
  <c r="W91" i="4"/>
  <c r="Z91" i="4" s="1"/>
  <c r="U91" i="4"/>
  <c r="K91" i="4"/>
  <c r="J91" i="4"/>
  <c r="I91" i="4"/>
  <c r="D91" i="4"/>
  <c r="X119" i="4"/>
  <c r="K19" i="9"/>
  <c r="E24" i="8"/>
  <c r="K18" i="9"/>
  <c r="AB43" i="9"/>
  <c r="AE43" i="9" s="1"/>
  <c r="D18" i="9"/>
  <c r="Y24" i="8"/>
  <c r="J20" i="9"/>
  <c r="L18" i="9"/>
  <c r="W24" i="8"/>
  <c r="Z24" i="8" s="1"/>
  <c r="C24" i="8"/>
  <c r="U24" i="8" s="1"/>
  <c r="L19" i="9"/>
  <c r="E19" i="9"/>
  <c r="J24" i="8"/>
  <c r="J43" i="9"/>
  <c r="C43" i="9"/>
  <c r="E43" i="9"/>
  <c r="AC43" i="9"/>
  <c r="I43" i="9"/>
  <c r="U20" i="9"/>
  <c r="M24" i="8"/>
  <c r="Y43" i="9"/>
  <c r="G43" i="9"/>
  <c r="K20" i="9"/>
  <c r="X43" i="9"/>
  <c r="AD43" i="9"/>
  <c r="L24" i="8"/>
  <c r="I18" i="9"/>
  <c r="L43" i="9"/>
  <c r="I24" i="8"/>
  <c r="D19" i="9"/>
  <c r="U19" i="9"/>
  <c r="AA43" i="9"/>
  <c r="J19" i="9"/>
  <c r="K24" i="8"/>
  <c r="U18" i="9"/>
  <c r="Z43" i="9"/>
  <c r="D43" i="9"/>
  <c r="D20" i="9"/>
  <c r="I20" i="9"/>
  <c r="J18" i="9"/>
  <c r="I19" i="9"/>
  <c r="E20" i="9"/>
  <c r="K43" i="9"/>
  <c r="L20" i="9"/>
  <c r="G24" i="8"/>
  <c r="E18" i="9"/>
  <c r="D24" i="8"/>
  <c r="G24" i="7"/>
  <c r="G47" i="4"/>
  <c r="G46" i="4"/>
  <c r="G45" i="4"/>
  <c r="G39" i="4"/>
  <c r="G34" i="4"/>
  <c r="G43" i="4"/>
  <c r="G31" i="4"/>
  <c r="G26" i="9"/>
  <c r="G29" i="9"/>
  <c r="G31" i="9"/>
  <c r="G41" i="9"/>
  <c r="I26" i="7"/>
  <c r="Y26" i="7"/>
  <c r="W26" i="7"/>
  <c r="Z26" i="7" s="1"/>
  <c r="D26" i="7"/>
  <c r="E25" i="7"/>
  <c r="W25" i="7"/>
  <c r="Z25" i="7" s="1"/>
  <c r="I25" i="7"/>
  <c r="Y25" i="7"/>
  <c r="K39" i="4"/>
  <c r="M39" i="4"/>
  <c r="L39" i="4"/>
  <c r="U37" i="4"/>
  <c r="U43" i="4"/>
  <c r="U50" i="4"/>
  <c r="U41" i="4"/>
  <c r="U34" i="4"/>
  <c r="U47" i="4"/>
  <c r="C42" i="9"/>
  <c r="C29" i="9"/>
  <c r="C44" i="9"/>
  <c r="C46" i="4"/>
  <c r="C49" i="4"/>
  <c r="C50" i="4"/>
  <c r="C31" i="4"/>
  <c r="D31" i="9"/>
  <c r="G25" i="8"/>
  <c r="G25" i="7"/>
  <c r="G33" i="4"/>
  <c r="G35" i="4"/>
  <c r="G27" i="9"/>
  <c r="G44" i="9"/>
  <c r="G32" i="9"/>
  <c r="K26" i="7"/>
  <c r="C26" i="7"/>
  <c r="L26" i="7"/>
  <c r="L25" i="7"/>
  <c r="C25" i="7"/>
  <c r="M25" i="7"/>
  <c r="Y39" i="4"/>
  <c r="I39" i="4"/>
  <c r="U39" i="4"/>
  <c r="E39" i="4"/>
  <c r="U33" i="4"/>
  <c r="U45" i="4"/>
  <c r="U49" i="4"/>
  <c r="U31" i="4"/>
  <c r="C27" i="9"/>
  <c r="C41" i="9"/>
  <c r="C26" i="9"/>
  <c r="C31" i="9"/>
  <c r="C24" i="7"/>
  <c r="C47" i="4"/>
  <c r="C42" i="4"/>
  <c r="C34" i="4"/>
  <c r="AD29" i="9"/>
  <c r="AD32" i="9"/>
  <c r="K42" i="4"/>
  <c r="AA41" i="9"/>
  <c r="W37" i="4"/>
  <c r="Z37" i="4" s="1"/>
  <c r="K47" i="4"/>
  <c r="W25" i="8"/>
  <c r="Z25" i="8" s="1"/>
  <c r="AB41" i="9"/>
  <c r="AE41" i="9" s="1"/>
  <c r="J42" i="4"/>
  <c r="D41" i="4"/>
  <c r="AA27" i="9"/>
  <c r="K41" i="9"/>
  <c r="E41" i="4"/>
  <c r="K45" i="4"/>
  <c r="D42" i="4"/>
  <c r="M41" i="9"/>
  <c r="E26" i="9"/>
  <c r="Y41" i="9"/>
  <c r="L34" i="4"/>
  <c r="I41" i="9"/>
  <c r="L47" i="4"/>
  <c r="G26" i="7"/>
  <c r="G42" i="4"/>
  <c r="G41" i="4"/>
  <c r="G44" i="4"/>
  <c r="G37" i="4"/>
  <c r="G49" i="4"/>
  <c r="G50" i="4"/>
  <c r="G34" i="9"/>
  <c r="G42" i="9"/>
  <c r="J26" i="7"/>
  <c r="E26" i="7"/>
  <c r="X26" i="7"/>
  <c r="M26" i="7"/>
  <c r="K25" i="7"/>
  <c r="X25" i="7"/>
  <c r="J25" i="7"/>
  <c r="D25" i="7"/>
  <c r="J39" i="4"/>
  <c r="W39" i="4"/>
  <c r="Z39" i="4" s="1"/>
  <c r="C39" i="4"/>
  <c r="D39" i="4"/>
  <c r="U46" i="4"/>
  <c r="U42" i="4"/>
  <c r="U44" i="4"/>
  <c r="U35" i="4"/>
  <c r="C32" i="9"/>
  <c r="C34" i="9"/>
  <c r="C25" i="8"/>
  <c r="U25" i="8" s="1"/>
  <c r="C44" i="4"/>
  <c r="C45" i="4"/>
  <c r="C41" i="4"/>
  <c r="C35" i="4"/>
  <c r="C33" i="4"/>
  <c r="C43" i="4"/>
  <c r="C37" i="4"/>
  <c r="W24" i="7"/>
  <c r="Z24" i="7" s="1"/>
  <c r="X41" i="9"/>
  <c r="D31" i="4"/>
  <c r="L41" i="4"/>
  <c r="J41" i="9"/>
  <c r="L42" i="4"/>
  <c r="Y45" i="4"/>
  <c r="W34" i="4"/>
  <c r="Z34" i="4" s="1"/>
  <c r="E34" i="4"/>
  <c r="L41" i="9"/>
  <c r="X44" i="9"/>
  <c r="K34" i="9"/>
  <c r="M50" i="4"/>
  <c r="L49" i="4"/>
  <c r="D44" i="9"/>
  <c r="I37" i="4"/>
  <c r="AB42" i="9"/>
  <c r="AE42" i="9" s="1"/>
  <c r="W49" i="4"/>
  <c r="Z49" i="4" s="1"/>
  <c r="AD44" i="9"/>
  <c r="K27" i="9"/>
  <c r="Y37" i="4"/>
  <c r="X26" i="9"/>
  <c r="D27" i="9"/>
  <c r="M41" i="4"/>
  <c r="E42" i="9"/>
  <c r="D45" i="4"/>
  <c r="L37" i="4"/>
  <c r="Y25" i="8"/>
  <c r="Y35" i="4"/>
  <c r="Y47" i="4"/>
  <c r="M25" i="8"/>
  <c r="W44" i="4"/>
  <c r="Z44" i="4" s="1"/>
  <c r="E35" i="4"/>
  <c r="I47" i="4"/>
  <c r="L25" i="8"/>
  <c r="Y44" i="4"/>
  <c r="D50" i="4"/>
  <c r="I35" i="4"/>
  <c r="I46" i="4"/>
  <c r="J34" i="4"/>
  <c r="K44" i="4"/>
  <c r="W50" i="4"/>
  <c r="Z50" i="4" s="1"/>
  <c r="K35" i="4"/>
  <c r="J44" i="9"/>
  <c r="Z34" i="9"/>
  <c r="D37" i="4"/>
  <c r="D47" i="4"/>
  <c r="E34" i="9"/>
  <c r="J44" i="4"/>
  <c r="Y50" i="4"/>
  <c r="E27" i="9"/>
  <c r="I49" i="4"/>
  <c r="M44" i="9"/>
  <c r="J34" i="9"/>
  <c r="J35" i="4"/>
  <c r="J37" i="4"/>
  <c r="D44" i="4"/>
  <c r="L50" i="4"/>
  <c r="L46" i="4"/>
  <c r="M44" i="4"/>
  <c r="AA34" i="9"/>
  <c r="K46" i="4"/>
  <c r="M35" i="4"/>
  <c r="M34" i="4"/>
  <c r="D42" i="9"/>
  <c r="D46" i="4"/>
  <c r="Y42" i="9"/>
  <c r="E42" i="4"/>
  <c r="K41" i="4"/>
  <c r="E25" i="8"/>
  <c r="J25" i="8"/>
  <c r="D25" i="8"/>
  <c r="D34" i="4"/>
  <c r="E41" i="9"/>
  <c r="M46" i="4"/>
  <c r="AB44" i="9"/>
  <c r="AE44" i="9" s="1"/>
  <c r="Y27" i="9"/>
  <c r="J26" i="9"/>
  <c r="AA44" i="9"/>
  <c r="Z27" i="9"/>
  <c r="J49" i="4"/>
  <c r="I26" i="9"/>
  <c r="J45" i="4"/>
  <c r="M42" i="9"/>
  <c r="L45" i="4"/>
  <c r="D49" i="4"/>
  <c r="K44" i="9"/>
  <c r="W35" i="4"/>
  <c r="Z35" i="4" s="1"/>
  <c r="I34" i="4"/>
  <c r="L42" i="9"/>
  <c r="AC26" i="9"/>
  <c r="D34" i="9"/>
  <c r="M45" i="4"/>
  <c r="AD42" i="9"/>
  <c r="AD26" i="9"/>
  <c r="W31" i="4"/>
  <c r="Z31" i="4" s="1"/>
  <c r="AC27" i="9"/>
  <c r="I42" i="9"/>
  <c r="L26" i="9"/>
  <c r="L31" i="4"/>
  <c r="AB27" i="9"/>
  <c r="AE27" i="9" s="1"/>
  <c r="E47" i="4"/>
  <c r="K42" i="9"/>
  <c r="Y26" i="9"/>
  <c r="I31" i="4"/>
  <c r="J27" i="9"/>
  <c r="E44" i="4"/>
  <c r="I50" i="4"/>
  <c r="J46" i="4"/>
  <c r="K49" i="4"/>
  <c r="E37" i="4"/>
  <c r="Z42" i="9"/>
  <c r="K26" i="9"/>
  <c r="J31" i="4"/>
  <c r="Y46" i="4"/>
  <c r="Y34" i="4"/>
  <c r="L44" i="4"/>
  <c r="J50" i="4"/>
  <c r="L27" i="9"/>
  <c r="K34" i="4"/>
  <c r="J41" i="4"/>
  <c r="AA26" i="9"/>
  <c r="I41" i="4"/>
  <c r="D26" i="9"/>
  <c r="Y31" i="4"/>
  <c r="W41" i="4"/>
  <c r="Z41" i="4" s="1"/>
  <c r="M31" i="4"/>
  <c r="I34" i="9"/>
  <c r="K37" i="4"/>
  <c r="M42" i="4"/>
  <c r="I42" i="4"/>
  <c r="M37" i="4"/>
  <c r="D41" i="9"/>
  <c r="AD41" i="9"/>
  <c r="Z41" i="9"/>
  <c r="I44" i="4"/>
  <c r="M49" i="4"/>
  <c r="AB26" i="9"/>
  <c r="AE26" i="9" s="1"/>
  <c r="E46" i="4"/>
  <c r="AC42" i="9"/>
  <c r="K50" i="4"/>
  <c r="W45" i="4"/>
  <c r="Z45" i="4" s="1"/>
  <c r="AA42" i="9"/>
  <c r="E44" i="9"/>
  <c r="E49" i="4"/>
  <c r="Y42" i="4"/>
  <c r="AD27" i="9"/>
  <c r="J47" i="4"/>
  <c r="Y41" i="4"/>
  <c r="L44" i="9"/>
  <c r="AD34" i="9"/>
  <c r="W46" i="4"/>
  <c r="Z46" i="4" s="1"/>
  <c r="M47" i="4"/>
  <c r="Y44" i="9"/>
  <c r="E45" i="4"/>
  <c r="I44" i="9"/>
  <c r="AB34" i="9"/>
  <c r="AE34" i="9" s="1"/>
  <c r="M34" i="9"/>
  <c r="M26" i="9"/>
  <c r="K31" i="4"/>
  <c r="M27" i="9"/>
  <c r="W42" i="4"/>
  <c r="Z42" i="4" s="1"/>
  <c r="Z44" i="9"/>
  <c r="X34" i="9"/>
  <c r="L35" i="4"/>
  <c r="W47" i="4"/>
  <c r="Z47" i="4" s="1"/>
  <c r="E31" i="4"/>
  <c r="J42" i="9"/>
  <c r="AC44" i="9"/>
  <c r="L34" i="9"/>
  <c r="I25" i="8"/>
  <c r="K43" i="4"/>
  <c r="I43" i="4"/>
  <c r="E43" i="4"/>
  <c r="X42" i="9"/>
  <c r="Y34" i="9"/>
  <c r="E50" i="4"/>
  <c r="D35" i="4"/>
  <c r="Y49" i="4"/>
  <c r="W43" i="4"/>
  <c r="Z43" i="4" s="1"/>
  <c r="L43" i="4"/>
  <c r="D43" i="4"/>
  <c r="J43" i="4"/>
  <c r="Z26" i="9"/>
  <c r="I27" i="9"/>
  <c r="X27" i="9"/>
  <c r="K25" i="8"/>
  <c r="I45" i="4"/>
  <c r="M43" i="4"/>
  <c r="Y43" i="4"/>
  <c r="I29" i="9"/>
  <c r="Y29" i="9"/>
  <c r="X29" i="9"/>
  <c r="K29" i="9"/>
  <c r="L29" i="9"/>
  <c r="K24" i="7"/>
  <c r="M24" i="7"/>
  <c r="I24" i="7"/>
  <c r="J32" i="9"/>
  <c r="D32" i="9"/>
  <c r="I32" i="9"/>
  <c r="Y32" i="9"/>
  <c r="J33" i="4"/>
  <c r="K33" i="4"/>
  <c r="AD31" i="9"/>
  <c r="M33" i="4"/>
  <c r="K31" i="9"/>
  <c r="E33" i="4"/>
  <c r="Z32" i="9"/>
  <c r="AB29" i="9"/>
  <c r="AE29" i="9" s="1"/>
  <c r="D29" i="9"/>
  <c r="Z29" i="9"/>
  <c r="AC29" i="9"/>
  <c r="L24" i="7"/>
  <c r="D24" i="7"/>
  <c r="AB32" i="9"/>
  <c r="AE32" i="9" s="1"/>
  <c r="L32" i="9"/>
  <c r="X32" i="9"/>
  <c r="K32" i="9"/>
  <c r="AB31" i="9"/>
  <c r="AE31" i="9" s="1"/>
  <c r="J31" i="9"/>
  <c r="Y31" i="9"/>
  <c r="X31" i="9"/>
  <c r="Y33" i="4"/>
  <c r="L31" i="9"/>
  <c r="D33" i="4"/>
  <c r="M29" i="9"/>
  <c r="E31" i="9"/>
  <c r="AA29" i="9"/>
  <c r="J29" i="9"/>
  <c r="E29" i="9"/>
  <c r="J24" i="7"/>
  <c r="Y24" i="7"/>
  <c r="E24" i="7"/>
  <c r="X24" i="7"/>
  <c r="M32" i="9"/>
  <c r="E32" i="9"/>
  <c r="AA32" i="9"/>
  <c r="I33" i="4"/>
  <c r="Z31" i="9"/>
  <c r="I31" i="9"/>
  <c r="L33" i="4"/>
  <c r="AA31" i="9"/>
  <c r="M31" i="9"/>
  <c r="W33" i="4"/>
  <c r="Z33" i="4" s="1"/>
  <c r="AA131" i="9"/>
  <c r="D52" i="7"/>
  <c r="Y72" i="4"/>
  <c r="E182" i="4"/>
  <c r="D91" i="9"/>
  <c r="J159" i="4"/>
  <c r="I92" i="7"/>
  <c r="C92" i="7"/>
  <c r="G31" i="5"/>
  <c r="D41" i="7"/>
  <c r="C71" i="7"/>
  <c r="E88" i="8"/>
  <c r="J78" i="5"/>
  <c r="AD148" i="9"/>
  <c r="C57" i="7"/>
  <c r="L47" i="8"/>
  <c r="AD93" i="9"/>
  <c r="C134" i="4"/>
  <c r="M33" i="7"/>
  <c r="Y63" i="7"/>
  <c r="C94" i="5"/>
  <c r="D144" i="9"/>
  <c r="D165" i="9"/>
  <c r="M108" i="9"/>
  <c r="D78" i="7"/>
  <c r="AA125" i="9"/>
  <c r="D33" i="7"/>
  <c r="J90" i="8"/>
  <c r="G57" i="4"/>
  <c r="D36" i="8"/>
  <c r="C48" i="9"/>
  <c r="Y146" i="4"/>
  <c r="E173" i="4"/>
  <c r="U138" i="4"/>
  <c r="C106" i="4"/>
  <c r="C148" i="4"/>
  <c r="D169" i="4"/>
  <c r="D105" i="9"/>
  <c r="G36" i="8"/>
  <c r="E151" i="9"/>
  <c r="C61" i="9"/>
  <c r="C86" i="4"/>
  <c r="D89" i="8"/>
  <c r="K23" i="8"/>
  <c r="C28" i="5"/>
  <c r="L40" i="9"/>
  <c r="M67" i="4"/>
  <c r="AD131" i="9"/>
  <c r="AD149" i="9"/>
  <c r="C95" i="4"/>
  <c r="D57" i="4"/>
  <c r="D114" i="9"/>
  <c r="I50" i="8"/>
  <c r="Y72" i="9"/>
  <c r="G35" i="9"/>
  <c r="Z86" i="9"/>
  <c r="E31" i="8"/>
  <c r="M53" i="7"/>
  <c r="U85" i="4"/>
  <c r="C83" i="9"/>
  <c r="C98" i="9"/>
  <c r="C93" i="4"/>
  <c r="C144" i="9"/>
  <c r="D31" i="7"/>
  <c r="I52" i="5"/>
  <c r="Y36" i="8"/>
  <c r="G27" i="8"/>
  <c r="M87" i="4"/>
  <c r="Y93" i="9"/>
  <c r="G75" i="4"/>
  <c r="E193" i="4"/>
  <c r="M96" i="4"/>
  <c r="D150" i="9"/>
  <c r="E123" i="4"/>
  <c r="G69" i="4"/>
  <c r="Z130" i="9"/>
  <c r="U93" i="4"/>
  <c r="D144" i="4"/>
  <c r="C36" i="7"/>
  <c r="C95" i="9"/>
  <c r="M83" i="9"/>
  <c r="Y90" i="7"/>
  <c r="M86" i="9"/>
  <c r="AA93" i="9"/>
  <c r="E148" i="4"/>
  <c r="D59" i="9"/>
  <c r="AD115" i="9"/>
  <c r="E123" i="9"/>
  <c r="X157" i="9"/>
  <c r="K106" i="4"/>
  <c r="J125" i="9"/>
  <c r="M50" i="8"/>
  <c r="D170" i="9"/>
  <c r="G35" i="8"/>
  <c r="M81" i="8"/>
  <c r="Y38" i="8"/>
  <c r="C177" i="4"/>
  <c r="E93" i="4"/>
  <c r="M125" i="4"/>
  <c r="L85" i="4"/>
  <c r="D158" i="9"/>
  <c r="Y40" i="8"/>
  <c r="K28" i="7"/>
  <c r="L50" i="8"/>
  <c r="C68" i="9"/>
  <c r="E33" i="8"/>
  <c r="M55" i="4"/>
  <c r="M69" i="4"/>
  <c r="M96" i="8"/>
  <c r="X72" i="9"/>
  <c r="AA150" i="9"/>
  <c r="E154" i="9"/>
  <c r="E46" i="7"/>
  <c r="C72" i="7"/>
  <c r="C149" i="9"/>
  <c r="E93" i="9"/>
  <c r="I47" i="7"/>
  <c r="E150" i="9"/>
  <c r="AA88" i="9"/>
  <c r="E60" i="7"/>
  <c r="U71" i="4"/>
  <c r="AA40" i="9"/>
  <c r="C185" i="4"/>
  <c r="M62" i="5"/>
  <c r="E56" i="9"/>
  <c r="AD146" i="9"/>
  <c r="K83" i="4"/>
  <c r="E109" i="8"/>
  <c r="Y35" i="8"/>
  <c r="C170" i="9"/>
  <c r="E130" i="9"/>
  <c r="C140" i="9"/>
  <c r="C120" i="9"/>
  <c r="E106" i="4"/>
  <c r="I57" i="8"/>
  <c r="X140" i="9"/>
  <c r="D40" i="8"/>
  <c r="U167" i="4"/>
  <c r="Y154" i="4"/>
  <c r="M130" i="4"/>
  <c r="J117" i="4"/>
  <c r="C118" i="5"/>
  <c r="J130" i="9"/>
  <c r="J57" i="8"/>
  <c r="D145" i="9"/>
  <c r="D115" i="8"/>
  <c r="M40" i="8"/>
  <c r="E82" i="7"/>
  <c r="E81" i="7"/>
  <c r="C97" i="9"/>
  <c r="C183" i="4"/>
  <c r="D67" i="4"/>
  <c r="M128" i="9"/>
  <c r="C103" i="5"/>
  <c r="Y78" i="8"/>
  <c r="M117" i="9"/>
  <c r="L93" i="4"/>
  <c r="M127" i="9"/>
  <c r="E104" i="9"/>
  <c r="E72" i="9"/>
  <c r="AD86" i="9"/>
  <c r="C44" i="7"/>
  <c r="Y72" i="7"/>
  <c r="M111" i="4"/>
  <c r="Y151" i="9"/>
  <c r="E75" i="4"/>
  <c r="C103" i="4"/>
  <c r="U146" i="4"/>
  <c r="C58" i="5"/>
  <c r="Y35" i="5"/>
  <c r="Y57" i="4"/>
  <c r="D125" i="9"/>
  <c r="E52" i="5"/>
  <c r="Y55" i="4"/>
  <c r="Y184" i="4"/>
  <c r="M75" i="8"/>
  <c r="D72" i="9"/>
  <c r="E58" i="8"/>
  <c r="C112" i="9"/>
  <c r="D108" i="4"/>
  <c r="D57" i="9"/>
  <c r="C127" i="4"/>
  <c r="J154" i="9"/>
  <c r="L27" i="8"/>
  <c r="U193" i="4"/>
  <c r="AD154" i="9"/>
  <c r="U87" i="4"/>
  <c r="X111" i="9"/>
  <c r="AA87" i="9"/>
  <c r="K50" i="8"/>
  <c r="C162" i="4"/>
  <c r="J28" i="7"/>
  <c r="D141" i="9"/>
  <c r="M78" i="5"/>
  <c r="D106" i="8"/>
  <c r="K53" i="7"/>
  <c r="Y73" i="4"/>
  <c r="G26" i="5"/>
  <c r="C45" i="7"/>
  <c r="D134" i="9"/>
  <c r="D167" i="4"/>
  <c r="C152" i="9"/>
  <c r="C49" i="7"/>
  <c r="AD170" i="9"/>
  <c r="U182" i="4"/>
  <c r="M95" i="7"/>
  <c r="D52" i="5"/>
  <c r="C121" i="9"/>
  <c r="M152" i="9"/>
  <c r="L36" i="5"/>
  <c r="M110" i="9"/>
  <c r="Y31" i="7"/>
  <c r="E110" i="8"/>
  <c r="AD113" i="9"/>
  <c r="C33" i="5"/>
  <c r="Z125" i="9"/>
  <c r="C147" i="4"/>
  <c r="C40" i="9"/>
  <c r="E139" i="4"/>
  <c r="L30" i="4"/>
  <c r="E60" i="8"/>
  <c r="I40" i="9"/>
  <c r="D153" i="4"/>
  <c r="C62" i="5"/>
  <c r="C45" i="9"/>
  <c r="M104" i="9"/>
  <c r="E167" i="4"/>
  <c r="M188" i="4"/>
  <c r="C156" i="4"/>
  <c r="C52" i="7"/>
  <c r="M113" i="8"/>
  <c r="J36" i="7"/>
  <c r="L87" i="8"/>
  <c r="L86" i="9"/>
  <c r="AD61" i="9"/>
  <c r="C41" i="7"/>
  <c r="E102" i="7"/>
  <c r="D93" i="8"/>
  <c r="X53" i="9"/>
  <c r="AD63" i="9"/>
  <c r="Y56" i="9"/>
  <c r="M27" i="7"/>
  <c r="U101" i="4"/>
  <c r="C86" i="9"/>
  <c r="D71" i="8"/>
  <c r="E71" i="8"/>
  <c r="I83" i="8"/>
  <c r="D120" i="4"/>
  <c r="E81" i="8"/>
  <c r="I76" i="4"/>
  <c r="U162" i="4"/>
  <c r="U154" i="4"/>
  <c r="M193" i="4"/>
  <c r="C123" i="4"/>
  <c r="C101" i="5"/>
  <c r="Z48" i="9"/>
  <c r="C63" i="9"/>
  <c r="C47" i="7"/>
  <c r="M67" i="8"/>
  <c r="Y102" i="8"/>
  <c r="E105" i="9"/>
  <c r="M63" i="7"/>
  <c r="C58" i="9"/>
  <c r="J115" i="9"/>
  <c r="X104" i="9"/>
  <c r="I53" i="9"/>
  <c r="Y76" i="4"/>
  <c r="K173" i="4"/>
  <c r="M120" i="4"/>
  <c r="M40" i="9"/>
  <c r="C46" i="7"/>
  <c r="E39" i="8"/>
  <c r="D106" i="4"/>
  <c r="E40" i="7"/>
  <c r="U159" i="4"/>
  <c r="C95" i="5"/>
  <c r="E95" i="7"/>
  <c r="D83" i="4"/>
  <c r="U83" i="4"/>
  <c r="Y137" i="4"/>
  <c r="M168" i="4"/>
  <c r="Y54" i="8"/>
  <c r="Y86" i="9"/>
  <c r="M89" i="8"/>
  <c r="X59" i="9"/>
  <c r="E94" i="8"/>
  <c r="M167" i="4"/>
  <c r="Y48" i="8"/>
  <c r="M72" i="8"/>
  <c r="L150" i="4"/>
  <c r="J175" i="4"/>
  <c r="C81" i="9"/>
  <c r="J35" i="7"/>
  <c r="M98" i="9"/>
  <c r="Y108" i="9"/>
  <c r="U145" i="4"/>
  <c r="J66" i="9"/>
  <c r="Y105" i="8"/>
  <c r="C139" i="4"/>
  <c r="L60" i="4"/>
  <c r="C62" i="7"/>
  <c r="C81" i="7"/>
  <c r="D107" i="9"/>
  <c r="I46" i="5"/>
  <c r="M106" i="8"/>
  <c r="C46" i="5"/>
  <c r="K91" i="7"/>
  <c r="M110" i="4"/>
  <c r="M134" i="9"/>
  <c r="L119" i="9"/>
  <c r="D182" i="4"/>
  <c r="L62" i="9"/>
  <c r="C88" i="5"/>
  <c r="L53" i="7"/>
  <c r="AD157" i="9"/>
  <c r="M123" i="9"/>
  <c r="Z64" i="9"/>
  <c r="C168" i="9"/>
  <c r="K119" i="9"/>
  <c r="Y153" i="4"/>
  <c r="C191" i="4"/>
  <c r="C78" i="7"/>
  <c r="M58" i="8"/>
  <c r="M111" i="8"/>
  <c r="K87" i="8"/>
  <c r="U75" i="4"/>
  <c r="E107" i="9"/>
  <c r="M105" i="8"/>
  <c r="L125" i="4"/>
  <c r="L111" i="8"/>
  <c r="E32" i="7"/>
  <c r="M173" i="4"/>
  <c r="AD97" i="9"/>
  <c r="C123" i="9"/>
  <c r="I38" i="8"/>
  <c r="J64" i="8"/>
  <c r="E83" i="4"/>
  <c r="C171" i="4"/>
  <c r="C111" i="4"/>
  <c r="C181" i="4"/>
  <c r="E89" i="8"/>
  <c r="L93" i="9"/>
  <c r="Y97" i="9"/>
  <c r="K112" i="9"/>
  <c r="C70" i="9"/>
  <c r="D149" i="9"/>
  <c r="I145" i="9"/>
  <c r="D85" i="7"/>
  <c r="G37" i="8"/>
  <c r="AD114" i="9"/>
  <c r="E162" i="4"/>
  <c r="AD120" i="9"/>
  <c r="I27" i="7"/>
  <c r="E100" i="7"/>
  <c r="G34" i="7"/>
  <c r="E188" i="4"/>
  <c r="K41" i="7"/>
  <c r="D46" i="8"/>
  <c r="M38" i="7"/>
  <c r="Y101" i="4"/>
  <c r="G33" i="5"/>
  <c r="K78" i="5"/>
  <c r="E66" i="7"/>
  <c r="AA117" i="9"/>
  <c r="G65" i="4"/>
  <c r="D101" i="5"/>
  <c r="Y61" i="4"/>
  <c r="C105" i="9"/>
  <c r="L95" i="7"/>
  <c r="U103" i="4"/>
  <c r="D103" i="4"/>
  <c r="M59" i="4"/>
  <c r="D138" i="4"/>
  <c r="D97" i="7"/>
  <c r="AA104" i="9"/>
  <c r="I55" i="4"/>
  <c r="K122" i="9"/>
  <c r="J88" i="9"/>
  <c r="AD130" i="9"/>
  <c r="K47" i="8"/>
  <c r="M82" i="9"/>
  <c r="AD134" i="9"/>
  <c r="M97" i="9"/>
  <c r="D74" i="4"/>
  <c r="L48" i="8"/>
  <c r="C113" i="9"/>
  <c r="Y125" i="4"/>
  <c r="D61" i="4"/>
  <c r="C138" i="4"/>
  <c r="M136" i="9"/>
  <c r="E55" i="4"/>
  <c r="K127" i="9"/>
  <c r="I106" i="4"/>
  <c r="L39" i="8"/>
  <c r="M35" i="5"/>
  <c r="I49" i="7"/>
  <c r="Y32" i="8"/>
  <c r="L57" i="8"/>
  <c r="M165" i="9"/>
  <c r="G40" i="8"/>
  <c r="Z139" i="9"/>
  <c r="J93" i="9"/>
  <c r="K108" i="4"/>
  <c r="K60" i="7"/>
  <c r="K45" i="9"/>
  <c r="M90" i="9"/>
  <c r="G68" i="4"/>
  <c r="E97" i="8"/>
  <c r="D83" i="8"/>
  <c r="D57" i="7"/>
  <c r="C101" i="4"/>
  <c r="C193" i="4"/>
  <c r="AA130" i="9"/>
  <c r="E66" i="8"/>
  <c r="L103" i="4"/>
  <c r="Y78" i="7"/>
  <c r="C48" i="5"/>
  <c r="J85" i="4"/>
  <c r="M56" i="9"/>
  <c r="I86" i="9"/>
  <c r="G36" i="7"/>
  <c r="AD64" i="9"/>
  <c r="C128" i="9"/>
  <c r="J191" i="4"/>
  <c r="E46" i="8"/>
  <c r="Y149" i="9"/>
  <c r="E34" i="7"/>
  <c r="U186" i="4"/>
  <c r="I125" i="9"/>
  <c r="Y134" i="4"/>
  <c r="K72" i="4"/>
  <c r="D157" i="4"/>
  <c r="K177" i="4"/>
  <c r="Y47" i="7"/>
  <c r="E36" i="8"/>
  <c r="D92" i="7"/>
  <c r="C75" i="4"/>
  <c r="C66" i="5"/>
  <c r="L40" i="8"/>
  <c r="D88" i="9"/>
  <c r="C176" i="4"/>
  <c r="U95" i="4"/>
  <c r="Y31" i="8"/>
  <c r="G39" i="8"/>
  <c r="J156" i="4"/>
  <c r="I45" i="7"/>
  <c r="D69" i="9"/>
  <c r="D145" i="4"/>
  <c r="E60" i="4"/>
  <c r="D50" i="8"/>
  <c r="K117" i="4"/>
  <c r="K106" i="5"/>
  <c r="D86" i="9"/>
  <c r="M144" i="9"/>
  <c r="C94" i="4"/>
  <c r="M100" i="8"/>
  <c r="E52" i="7"/>
  <c r="D71" i="7"/>
  <c r="Y75" i="8"/>
  <c r="AA165" i="9"/>
  <c r="E119" i="4"/>
  <c r="M93" i="4"/>
  <c r="M114" i="9"/>
  <c r="U68" i="4"/>
  <c r="D157" i="9"/>
  <c r="M84" i="9"/>
  <c r="I154" i="4"/>
  <c r="J113" i="9"/>
  <c r="D116" i="8"/>
  <c r="E99" i="7"/>
  <c r="G40" i="7"/>
  <c r="Z115" i="9"/>
  <c r="M120" i="9"/>
  <c r="Z114" i="9"/>
  <c r="G40" i="9"/>
  <c r="D167" i="9"/>
  <c r="C122" i="9"/>
  <c r="L72" i="4"/>
  <c r="G71" i="4"/>
  <c r="K37" i="7"/>
  <c r="E190" i="4"/>
  <c r="C145" i="4"/>
  <c r="M102" i="8"/>
  <c r="D110" i="4"/>
  <c r="I86" i="4"/>
  <c r="K31" i="7"/>
  <c r="C29" i="5"/>
  <c r="M182" i="4"/>
  <c r="M119" i="4"/>
  <c r="M139" i="9"/>
  <c r="M110" i="8"/>
  <c r="C96" i="4"/>
  <c r="E27" i="7"/>
  <c r="Y57" i="7"/>
  <c r="E138" i="4"/>
  <c r="L74" i="7"/>
  <c r="D82" i="9"/>
  <c r="E146" i="9"/>
  <c r="L111" i="9"/>
  <c r="M138" i="4"/>
  <c r="K58" i="5"/>
  <c r="C114" i="9"/>
  <c r="AD68" i="9"/>
  <c r="K125" i="9"/>
  <c r="X145" i="9"/>
  <c r="M93" i="9"/>
  <c r="J73" i="7"/>
  <c r="I188" i="4"/>
  <c r="E82" i="9"/>
  <c r="C60" i="7"/>
  <c r="C67" i="4"/>
  <c r="C140" i="4"/>
  <c r="K46" i="7"/>
  <c r="X141" i="9"/>
  <c r="D78" i="5"/>
  <c r="U173" i="4"/>
  <c r="Y130" i="4"/>
  <c r="D93" i="4"/>
  <c r="L72" i="9"/>
  <c r="K138" i="4"/>
  <c r="G37" i="7"/>
  <c r="E145" i="4"/>
  <c r="D60" i="4"/>
  <c r="C89" i="5"/>
  <c r="E68" i="9"/>
  <c r="D40" i="9"/>
  <c r="C66" i="7"/>
  <c r="G35" i="7"/>
  <c r="D45" i="7"/>
  <c r="D113" i="4"/>
  <c r="U156" i="4"/>
  <c r="Z72" i="9"/>
  <c r="U108" i="4"/>
  <c r="I30" i="4"/>
  <c r="I72" i="9"/>
  <c r="C130" i="4"/>
  <c r="C40" i="7"/>
  <c r="Y83" i="4"/>
  <c r="AD104" i="9"/>
  <c r="K53" i="9"/>
  <c r="D150" i="4"/>
  <c r="L140" i="9"/>
  <c r="M87" i="9"/>
  <c r="X57" i="9"/>
  <c r="U181" i="4"/>
  <c r="Y27" i="8"/>
  <c r="L65" i="4"/>
  <c r="E107" i="4"/>
  <c r="J50" i="8"/>
  <c r="I158" i="4"/>
  <c r="X136" i="9"/>
  <c r="I146" i="4"/>
  <c r="Y95" i="4"/>
  <c r="M63" i="8"/>
  <c r="Y125" i="9"/>
  <c r="C167" i="4"/>
  <c r="AD83" i="9"/>
  <c r="I62" i="5"/>
  <c r="AD51" i="9"/>
  <c r="K90" i="8"/>
  <c r="M98" i="5"/>
  <c r="J53" i="7"/>
  <c r="J62" i="9"/>
  <c r="J94" i="8"/>
  <c r="E90" i="9"/>
  <c r="L168" i="4"/>
  <c r="C102" i="7"/>
  <c r="C74" i="7"/>
  <c r="E139" i="9"/>
  <c r="M123" i="4"/>
  <c r="I70" i="9"/>
  <c r="M101" i="4"/>
  <c r="J106" i="4"/>
  <c r="M141" i="9"/>
  <c r="D36" i="5"/>
  <c r="C74" i="9"/>
  <c r="E110" i="4"/>
  <c r="E87" i="7"/>
  <c r="M149" i="9"/>
  <c r="U147" i="4"/>
  <c r="I170" i="9"/>
  <c r="E57" i="4"/>
  <c r="Y85" i="7"/>
  <c r="C184" i="4"/>
  <c r="L46" i="5"/>
  <c r="K139" i="9"/>
  <c r="G38" i="7"/>
  <c r="C59" i="4"/>
  <c r="U110" i="4"/>
  <c r="I113" i="9"/>
  <c r="Y87" i="7"/>
  <c r="C120" i="4"/>
  <c r="L73" i="7"/>
  <c r="E98" i="9"/>
  <c r="K52" i="5"/>
  <c r="D68" i="7"/>
  <c r="M46" i="5"/>
  <c r="AD165" i="9"/>
  <c r="AA56" i="9"/>
  <c r="G53" i="4"/>
  <c r="D37" i="8"/>
  <c r="Y193" i="4"/>
  <c r="L57" i="7"/>
  <c r="K27" i="7"/>
  <c r="E157" i="4"/>
  <c r="I23" i="8"/>
  <c r="J47" i="8"/>
  <c r="C96" i="9"/>
  <c r="J127" i="4"/>
  <c r="E155" i="9"/>
  <c r="M95" i="9"/>
  <c r="E76" i="4"/>
  <c r="I183" i="4"/>
  <c r="Y113" i="8"/>
  <c r="L148" i="4"/>
  <c r="U111" i="4"/>
  <c r="C111" i="9"/>
  <c r="Y111" i="4"/>
  <c r="X131" i="9"/>
  <c r="M82" i="7"/>
  <c r="J108" i="5"/>
  <c r="C25" i="5"/>
  <c r="J75" i="8"/>
  <c r="K85" i="4"/>
  <c r="C158" i="4"/>
  <c r="E75" i="8"/>
  <c r="X146" i="9"/>
  <c r="M57" i="9"/>
  <c r="U123" i="4"/>
  <c r="C27" i="7"/>
  <c r="K130" i="9"/>
  <c r="C94" i="7"/>
  <c r="Y93" i="4"/>
  <c r="U184" i="4"/>
  <c r="C115" i="4"/>
  <c r="C127" i="9"/>
  <c r="K57" i="8"/>
  <c r="M94" i="4"/>
  <c r="U190" i="4"/>
  <c r="J75" i="4"/>
  <c r="AA118" i="9"/>
  <c r="M91" i="9"/>
  <c r="C31" i="7"/>
  <c r="E75" i="9"/>
  <c r="M71" i="8"/>
  <c r="I64" i="9"/>
  <c r="J68" i="9"/>
  <c r="M176" i="4"/>
  <c r="M91" i="7"/>
  <c r="C114" i="5"/>
  <c r="K143" i="9"/>
  <c r="Y46" i="8"/>
  <c r="Y60" i="4"/>
  <c r="K59" i="9"/>
  <c r="E115" i="4"/>
  <c r="C71" i="5"/>
  <c r="Y167" i="4"/>
  <c r="J87" i="8"/>
  <c r="AD82" i="9"/>
  <c r="C83" i="5"/>
  <c r="L54" i="8"/>
  <c r="I119" i="4"/>
  <c r="Y108" i="4"/>
  <c r="Y28" i="7"/>
  <c r="Y60" i="8"/>
  <c r="E34" i="8"/>
  <c r="E69" i="4"/>
  <c r="U117" i="4"/>
  <c r="Y34" i="8"/>
  <c r="D140" i="9"/>
  <c r="M47" i="8"/>
  <c r="L96" i="9"/>
  <c r="I117" i="9"/>
  <c r="AD45" i="9"/>
  <c r="J93" i="4"/>
  <c r="K93" i="9"/>
  <c r="L179" i="4"/>
  <c r="K90" i="9"/>
  <c r="C167" i="9"/>
  <c r="J41" i="7"/>
  <c r="I67" i="8"/>
  <c r="Y97" i="8"/>
  <c r="K30" i="4"/>
  <c r="E30" i="4"/>
  <c r="K193" i="4"/>
  <c r="U191" i="4"/>
  <c r="Y61" i="8"/>
  <c r="E78" i="7"/>
  <c r="C108" i="9"/>
  <c r="C104" i="9"/>
  <c r="J62" i="5"/>
  <c r="U30" i="4"/>
  <c r="G37" i="9"/>
  <c r="L63" i="8"/>
  <c r="M49" i="7"/>
  <c r="M48" i="8"/>
  <c r="M31" i="7"/>
  <c r="U57" i="4"/>
  <c r="E113" i="4"/>
  <c r="M115" i="4"/>
  <c r="Y59" i="9"/>
  <c r="M35" i="7"/>
  <c r="I96" i="9"/>
  <c r="U144" i="4"/>
  <c r="L37" i="8"/>
  <c r="E76" i="7"/>
  <c r="AA48" i="9"/>
  <c r="C155" i="9"/>
  <c r="I143" i="9"/>
  <c r="C130" i="9"/>
  <c r="C119" i="4"/>
  <c r="C69" i="9"/>
  <c r="D23" i="8"/>
  <c r="C151" i="9"/>
  <c r="M66" i="5"/>
  <c r="D186" i="4"/>
  <c r="D47" i="8"/>
  <c r="J104" i="9"/>
  <c r="I78" i="5"/>
  <c r="M130" i="9"/>
  <c r="D98" i="9"/>
  <c r="AD141" i="9"/>
  <c r="Y67" i="4"/>
  <c r="D81" i="9"/>
  <c r="D128" i="9"/>
  <c r="J183" i="4"/>
  <c r="M87" i="8"/>
  <c r="C68" i="4"/>
  <c r="U53" i="4"/>
  <c r="L191" i="4"/>
  <c r="C173" i="4"/>
  <c r="D27" i="7"/>
  <c r="D107" i="4"/>
  <c r="L56" i="7"/>
  <c r="C35" i="9"/>
  <c r="C113" i="4"/>
  <c r="J40" i="9"/>
  <c r="C55" i="4"/>
  <c r="D127" i="9"/>
  <c r="E159" i="4"/>
  <c r="D75" i="4"/>
  <c r="Z66" i="9"/>
  <c r="D143" i="9"/>
  <c r="C56" i="7"/>
  <c r="J52" i="5"/>
  <c r="AD152" i="9"/>
  <c r="U59" i="4"/>
  <c r="J27" i="8"/>
  <c r="D32" i="8"/>
  <c r="AD40" i="9"/>
  <c r="K165" i="9"/>
  <c r="G73" i="4"/>
  <c r="C180" i="4"/>
  <c r="X91" i="9"/>
  <c r="D176" i="4"/>
  <c r="C82" i="9"/>
  <c r="D86" i="4"/>
  <c r="J114" i="9"/>
  <c r="U157" i="4"/>
  <c r="M32" i="8"/>
  <c r="U179" i="4"/>
  <c r="C57" i="9"/>
  <c r="C154" i="9"/>
  <c r="M60" i="8"/>
  <c r="E86" i="9"/>
  <c r="M46" i="8"/>
  <c r="M119" i="9"/>
  <c r="Y177" i="4"/>
  <c r="L23" i="8"/>
  <c r="D46" i="5"/>
  <c r="E116" i="5"/>
  <c r="M74" i="8"/>
  <c r="C112" i="4"/>
  <c r="D59" i="4"/>
  <c r="I162" i="4"/>
  <c r="E111" i="4"/>
  <c r="G35" i="5"/>
  <c r="C53" i="5"/>
  <c r="D139" i="4"/>
  <c r="J145" i="4"/>
  <c r="I27" i="8"/>
  <c r="C139" i="9"/>
  <c r="M54" i="8"/>
  <c r="J150" i="9"/>
  <c r="Z40" i="9"/>
  <c r="J94" i="4"/>
  <c r="E23" i="8"/>
  <c r="AA61" i="9"/>
  <c r="Y89" i="8"/>
  <c r="K72" i="9"/>
  <c r="C68" i="5"/>
  <c r="L85" i="7"/>
  <c r="M76" i="7"/>
  <c r="D188" i="4"/>
  <c r="E85" i="4"/>
  <c r="M112" i="4"/>
  <c r="C66" i="9"/>
  <c r="Y191" i="4"/>
  <c r="M52" i="5"/>
  <c r="C54" i="7"/>
  <c r="M146" i="4"/>
  <c r="E186" i="4"/>
  <c r="G31" i="7"/>
  <c r="C110" i="9"/>
  <c r="D54" i="7"/>
  <c r="D193" i="4"/>
  <c r="E108" i="9"/>
  <c r="U175" i="4"/>
  <c r="G32" i="8"/>
  <c r="C68" i="7"/>
  <c r="K81" i="9"/>
  <c r="U176" i="4"/>
  <c r="L58" i="8"/>
  <c r="C87" i="9"/>
  <c r="D113" i="8"/>
  <c r="M162" i="4"/>
  <c r="Y91" i="7"/>
  <c r="D39" i="8"/>
  <c r="M102" i="7"/>
  <c r="M164" i="4"/>
  <c r="J60" i="8"/>
  <c r="C90" i="9"/>
  <c r="D121" i="9"/>
  <c r="K75" i="8"/>
  <c r="L33" i="7"/>
  <c r="C74" i="4"/>
  <c r="D75" i="8"/>
  <c r="G34" i="8"/>
  <c r="I88" i="8"/>
  <c r="D118" i="9"/>
  <c r="J138" i="4"/>
  <c r="E136" i="9"/>
  <c r="Z158" i="9"/>
  <c r="K58" i="8"/>
  <c r="C81" i="5"/>
  <c r="M83" i="4"/>
  <c r="AA86" i="9"/>
  <c r="I47" i="8"/>
  <c r="L59" i="4"/>
  <c r="M157" i="9"/>
  <c r="Y165" i="9"/>
  <c r="M85" i="7"/>
  <c r="Y112" i="9"/>
  <c r="L44" i="7"/>
  <c r="D63" i="8"/>
  <c r="M61" i="8"/>
  <c r="C84" i="9"/>
  <c r="AA119" i="9"/>
  <c r="L75" i="8"/>
  <c r="Y121" i="9"/>
  <c r="D95" i="7"/>
  <c r="E32" i="8"/>
  <c r="E97" i="9"/>
  <c r="Y162" i="4"/>
  <c r="U134" i="4"/>
  <c r="C145" i="9"/>
  <c r="D90" i="9"/>
  <c r="D147" i="9"/>
  <c r="Y95" i="7"/>
  <c r="U127" i="4"/>
  <c r="D85" i="4"/>
  <c r="D179" i="4"/>
  <c r="K40" i="9"/>
  <c r="K86" i="9"/>
  <c r="M181" i="4"/>
  <c r="I190" i="4"/>
  <c r="I87" i="8"/>
  <c r="D119" i="4"/>
  <c r="Z93" i="9"/>
  <c r="I85" i="4"/>
  <c r="C90" i="7"/>
  <c r="I113" i="4"/>
  <c r="L68" i="4"/>
  <c r="D79" i="7"/>
  <c r="K60" i="4"/>
  <c r="L71" i="8"/>
  <c r="L29" i="5"/>
  <c r="M125" i="9"/>
  <c r="D62" i="9"/>
  <c r="K44" i="7"/>
  <c r="C107" i="9"/>
  <c r="G38" i="8"/>
  <c r="E73" i="9"/>
  <c r="U74" i="4"/>
  <c r="C182" i="4"/>
  <c r="C39" i="7"/>
  <c r="D162" i="4"/>
  <c r="Y40" i="7"/>
  <c r="I94" i="9"/>
  <c r="Y74" i="8"/>
  <c r="M183" i="4"/>
  <c r="D156" i="4"/>
  <c r="X107" i="9"/>
  <c r="G23" i="8"/>
  <c r="L78" i="5"/>
  <c r="I60" i="7"/>
  <c r="G72" i="4"/>
  <c r="M107" i="9"/>
  <c r="L138" i="4"/>
  <c r="Y53" i="7"/>
  <c r="D76" i="4"/>
  <c r="Y40" i="9"/>
  <c r="L28" i="7"/>
  <c r="Y23" i="8"/>
  <c r="Y107" i="4"/>
  <c r="C137" i="4"/>
  <c r="E117" i="4"/>
  <c r="J82" i="7"/>
  <c r="U185" i="4"/>
  <c r="C73" i="9"/>
  <c r="D74" i="9"/>
  <c r="K62" i="5"/>
  <c r="M81" i="7"/>
  <c r="I71" i="7"/>
  <c r="X44" i="5"/>
  <c r="X112" i="5"/>
  <c r="X95" i="5"/>
  <c r="X35" i="5"/>
  <c r="X79" i="5"/>
  <c r="X69" i="5"/>
  <c r="X47" i="5"/>
  <c r="X108" i="5"/>
  <c r="X111" i="5"/>
  <c r="X32" i="5"/>
  <c r="X63" i="5"/>
  <c r="X65" i="5"/>
  <c r="X78" i="5"/>
  <c r="X90" i="5"/>
  <c r="X28" i="5"/>
  <c r="X29" i="5"/>
  <c r="X46" i="5"/>
  <c r="W27" i="7"/>
  <c r="X89" i="5"/>
  <c r="X66" i="5"/>
  <c r="X31" i="5"/>
  <c r="X83" i="5"/>
  <c r="X84" i="5"/>
  <c r="X36" i="5"/>
  <c r="W48" i="5"/>
  <c r="Z48" i="5" s="1"/>
  <c r="X88" i="5"/>
  <c r="X30" i="5"/>
  <c r="W25" i="5"/>
  <c r="X114" i="5"/>
  <c r="X33" i="5"/>
  <c r="X68" i="5"/>
  <c r="X71" i="5"/>
  <c r="X107" i="5"/>
  <c r="X106" i="5"/>
  <c r="X103" i="5"/>
  <c r="X101" i="5"/>
  <c r="X118" i="5"/>
  <c r="X97" i="5"/>
  <c r="X116" i="5"/>
  <c r="Z35" i="9"/>
  <c r="AC152" i="9"/>
  <c r="AC97" i="9"/>
  <c r="AC147" i="9"/>
  <c r="AC114" i="9"/>
  <c r="AC108" i="9"/>
  <c r="AC120" i="9"/>
  <c r="AC74" i="9"/>
  <c r="AC151" i="9"/>
  <c r="AC145" i="9"/>
  <c r="AC117" i="9"/>
  <c r="AC69" i="9"/>
  <c r="AC88" i="9"/>
  <c r="AC123" i="9"/>
  <c r="AC93" i="9"/>
  <c r="AC98" i="9"/>
  <c r="AC58" i="9"/>
  <c r="AC48" i="9"/>
  <c r="AC65" i="9"/>
  <c r="AC127" i="9"/>
  <c r="AC131" i="9"/>
  <c r="AC95" i="9"/>
  <c r="AC112" i="9"/>
  <c r="AC57" i="9"/>
  <c r="AC157" i="9"/>
  <c r="AC94" i="9"/>
  <c r="AC113" i="9"/>
  <c r="AC136" i="9"/>
  <c r="AC87" i="9"/>
  <c r="AC90" i="9"/>
  <c r="AC139" i="9"/>
  <c r="AC148" i="9"/>
  <c r="AC83" i="9"/>
  <c r="AC91" i="9"/>
  <c r="AC59" i="9"/>
  <c r="AC84" i="9"/>
  <c r="AC119" i="9"/>
  <c r="AC167" i="9"/>
  <c r="AC144" i="9"/>
  <c r="AC53" i="9"/>
  <c r="AC122" i="9"/>
  <c r="X57" i="7"/>
  <c r="AC75" i="9"/>
  <c r="AC146" i="9"/>
  <c r="X40" i="8"/>
  <c r="AB78" i="9"/>
  <c r="AE78" i="9" s="1"/>
  <c r="AC143" i="9"/>
  <c r="X36" i="8"/>
  <c r="AC51" i="9"/>
  <c r="AC81" i="9"/>
  <c r="X82" i="7"/>
  <c r="AC70" i="9"/>
  <c r="AC155" i="9"/>
  <c r="AC170" i="9"/>
  <c r="AC66" i="9"/>
  <c r="AC118" i="9"/>
  <c r="AC45" i="9"/>
  <c r="X74" i="7"/>
  <c r="X61" i="8"/>
  <c r="AC68" i="9"/>
  <c r="X111" i="8"/>
  <c r="X69" i="7"/>
  <c r="X75" i="4"/>
  <c r="X75" i="7"/>
  <c r="X73" i="7"/>
  <c r="AC72" i="9"/>
  <c r="AC121" i="9"/>
  <c r="X36" i="7"/>
  <c r="AA35" i="9"/>
  <c r="AC61" i="9"/>
  <c r="X73" i="4"/>
  <c r="X72" i="7"/>
  <c r="X107" i="8"/>
  <c r="AC67" i="9"/>
  <c r="X32" i="8"/>
  <c r="X90" i="8"/>
  <c r="AC158" i="9"/>
  <c r="X41" i="7"/>
  <c r="AC64" i="9"/>
  <c r="X64" i="8"/>
  <c r="AC107" i="9"/>
  <c r="AC140" i="9"/>
  <c r="X38" i="7"/>
  <c r="X150" i="4"/>
  <c r="X47" i="7"/>
  <c r="X34" i="7"/>
  <c r="C31" i="8"/>
  <c r="U31" i="8" s="1"/>
  <c r="W180" i="4"/>
  <c r="Z180" i="4" s="1"/>
  <c r="X185" i="4"/>
  <c r="X118" i="8"/>
  <c r="X87" i="4"/>
  <c r="X92" i="7"/>
  <c r="W87" i="8"/>
  <c r="Z87" i="8" s="1"/>
  <c r="X76" i="7"/>
  <c r="X76" i="8"/>
  <c r="X181" i="4"/>
  <c r="AC115" i="9"/>
  <c r="X37" i="7"/>
  <c r="AC165" i="9"/>
  <c r="X74" i="4"/>
  <c r="X48" i="8"/>
  <c r="X116" i="8"/>
  <c r="X154" i="4"/>
  <c r="AC128" i="9"/>
  <c r="X147" i="4"/>
  <c r="AC111" i="9"/>
  <c r="X60" i="4"/>
  <c r="X74" i="8"/>
  <c r="X72" i="4"/>
  <c r="X39" i="8"/>
  <c r="X35" i="7"/>
  <c r="X54" i="7"/>
  <c r="X38" i="8"/>
  <c r="X88" i="8"/>
  <c r="X106" i="4"/>
  <c r="AC110" i="9"/>
  <c r="X115" i="8"/>
  <c r="X39" i="7"/>
  <c r="X193" i="4"/>
  <c r="AC82" i="9"/>
  <c r="X111" i="4"/>
  <c r="X40" i="7"/>
  <c r="X46" i="7"/>
  <c r="X33" i="8"/>
  <c r="X157" i="4"/>
  <c r="AC141" i="9"/>
  <c r="X182" i="4"/>
  <c r="X156" i="4"/>
  <c r="X57" i="4"/>
  <c r="X115" i="4"/>
  <c r="W60" i="4"/>
  <c r="Z60" i="4" s="1"/>
  <c r="X79" i="7"/>
  <c r="X186" i="4"/>
  <c r="X87" i="8"/>
  <c r="X67" i="4"/>
  <c r="W150" i="4"/>
  <c r="Z150" i="4" s="1"/>
  <c r="W91" i="7"/>
  <c r="Z91" i="7" s="1"/>
  <c r="X113" i="4"/>
  <c r="X108" i="4"/>
  <c r="W35" i="5"/>
  <c r="Z35" i="5" s="1"/>
  <c r="W35" i="8"/>
  <c r="Z35" i="8" s="1"/>
  <c r="W57" i="7"/>
  <c r="Z57" i="7" s="1"/>
  <c r="W89" i="5"/>
  <c r="Z89" i="5" s="1"/>
  <c r="W94" i="4"/>
  <c r="Z94" i="4" s="1"/>
  <c r="W109" i="8"/>
  <c r="Z109" i="8" s="1"/>
  <c r="W46" i="7"/>
  <c r="Z46" i="7" s="1"/>
  <c r="W123" i="4"/>
  <c r="Z123" i="4" s="1"/>
  <c r="AC164" i="9"/>
  <c r="W46" i="8"/>
  <c r="Z46" i="8" s="1"/>
  <c r="X127" i="4"/>
  <c r="X146" i="4"/>
  <c r="W159" i="4"/>
  <c r="Z159" i="4" s="1"/>
  <c r="W61" i="8"/>
  <c r="Z61" i="8" s="1"/>
  <c r="W36" i="5"/>
  <c r="Z36" i="5" s="1"/>
  <c r="C67" i="8"/>
  <c r="U67" i="8" s="1"/>
  <c r="C97" i="8"/>
  <c r="U97" i="8" s="1"/>
  <c r="W153" i="4"/>
  <c r="Z153" i="4" s="1"/>
  <c r="AB107" i="9"/>
  <c r="AE107" i="9" s="1"/>
  <c r="X168" i="4"/>
  <c r="W39" i="7"/>
  <c r="Z39" i="7" s="1"/>
  <c r="W83" i="4"/>
  <c r="Z83" i="4" s="1"/>
  <c r="W186" i="4"/>
  <c r="Z186" i="4" s="1"/>
  <c r="C83" i="8"/>
  <c r="U83" i="8" s="1"/>
  <c r="W82" i="7"/>
  <c r="Z82" i="7" s="1"/>
  <c r="W190" i="4"/>
  <c r="Z190" i="4" s="1"/>
  <c r="AC125" i="9"/>
  <c r="W50" i="8"/>
  <c r="Z50" i="8" s="1"/>
  <c r="W83" i="8"/>
  <c r="Z83" i="8" s="1"/>
  <c r="W54" i="5"/>
  <c r="Z54" i="5" s="1"/>
  <c r="W66" i="8"/>
  <c r="Z66" i="8" s="1"/>
  <c r="C115" i="8"/>
  <c r="U115" i="8" s="1"/>
  <c r="C76" i="8"/>
  <c r="U76" i="8" s="1"/>
  <c r="W58" i="8"/>
  <c r="Z58" i="8" s="1"/>
  <c r="AB168" i="9"/>
  <c r="AE168" i="9" s="1"/>
  <c r="W146" i="4"/>
  <c r="Z146" i="4" s="1"/>
  <c r="W60" i="7"/>
  <c r="Z60" i="7" s="1"/>
  <c r="W74" i="4"/>
  <c r="Z74" i="4" s="1"/>
  <c r="W137" i="4"/>
  <c r="Z137" i="4" s="1"/>
  <c r="AB155" i="9"/>
  <c r="AE155" i="9" s="1"/>
  <c r="X100" i="7"/>
  <c r="W106" i="8"/>
  <c r="Z106" i="8" s="1"/>
  <c r="X37" i="8"/>
  <c r="W66" i="5"/>
  <c r="Z66" i="5" s="1"/>
  <c r="W115" i="8"/>
  <c r="Z115" i="8" s="1"/>
  <c r="W26" i="5"/>
  <c r="Z26" i="5" s="1"/>
  <c r="C86" i="8"/>
  <c r="U86" i="8" s="1"/>
  <c r="W32" i="8"/>
  <c r="Z32" i="8" s="1"/>
  <c r="W62" i="5"/>
  <c r="Z62" i="5" s="1"/>
  <c r="W81" i="5"/>
  <c r="Z81" i="5" s="1"/>
  <c r="W101" i="4"/>
  <c r="Z101" i="4" s="1"/>
  <c r="X164" i="4"/>
  <c r="W31" i="8"/>
  <c r="Z31" i="8" s="1"/>
  <c r="W105" i="8"/>
  <c r="Z105" i="8" s="1"/>
  <c r="W63" i="8"/>
  <c r="Z63" i="8" s="1"/>
  <c r="W37" i="7"/>
  <c r="Z37" i="7" s="1"/>
  <c r="W175" i="4"/>
  <c r="Z175" i="4" s="1"/>
  <c r="AC63" i="9"/>
  <c r="X27" i="7"/>
  <c r="X148" i="4"/>
  <c r="AB94" i="9"/>
  <c r="AE94" i="9" s="1"/>
  <c r="AB56" i="9"/>
  <c r="AE56" i="9" s="1"/>
  <c r="C118" i="8"/>
  <c r="U118" i="8" s="1"/>
  <c r="W48" i="8"/>
  <c r="Z48" i="8" s="1"/>
  <c r="C89" i="8"/>
  <c r="U89" i="8" s="1"/>
  <c r="W112" i="4"/>
  <c r="Z112" i="4" s="1"/>
  <c r="C46" i="8"/>
  <c r="U46" i="8" s="1"/>
  <c r="C100" i="8"/>
  <c r="U100" i="8" s="1"/>
  <c r="X140" i="4"/>
  <c r="X57" i="8"/>
  <c r="X183" i="4"/>
  <c r="W36" i="7"/>
  <c r="Z36" i="7" s="1"/>
  <c r="X60" i="8"/>
  <c r="W130" i="4"/>
  <c r="Z130" i="4" s="1"/>
  <c r="AB62" i="9"/>
  <c r="AE62" i="9" s="1"/>
  <c r="AB61" i="9"/>
  <c r="AE61" i="9" s="1"/>
  <c r="W75" i="4"/>
  <c r="Z75" i="4" s="1"/>
  <c r="W79" i="7"/>
  <c r="Z79" i="7" s="1"/>
  <c r="C39" i="8"/>
  <c r="U39" i="8" s="1"/>
  <c r="W106" i="5"/>
  <c r="Z106" i="5" s="1"/>
  <c r="C116" i="8"/>
  <c r="U116" i="8" s="1"/>
  <c r="W28" i="7"/>
  <c r="Z28" i="7" s="1"/>
  <c r="X95" i="4"/>
  <c r="W185" i="4"/>
  <c r="Z185" i="4" s="1"/>
  <c r="X188" i="4"/>
  <c r="W39" i="8"/>
  <c r="Z39" i="8" s="1"/>
  <c r="AB98" i="9"/>
  <c r="AE98" i="9" s="1"/>
  <c r="C107" i="8"/>
  <c r="U107" i="8" s="1"/>
  <c r="W60" i="8"/>
  <c r="Z60" i="8" s="1"/>
  <c r="C96" i="8"/>
  <c r="U96" i="8" s="1"/>
  <c r="W95" i="4"/>
  <c r="Z95" i="4" s="1"/>
  <c r="AB146" i="9"/>
  <c r="AE146" i="9" s="1"/>
  <c r="X96" i="4"/>
  <c r="AB35" i="9"/>
  <c r="AB73" i="9"/>
  <c r="AE73" i="9" s="1"/>
  <c r="X69" i="4"/>
  <c r="X162" i="4"/>
  <c r="W88" i="8"/>
  <c r="Z88" i="8" s="1"/>
  <c r="AB58" i="9"/>
  <c r="AE58" i="9" s="1"/>
  <c r="X78" i="7"/>
  <c r="W53" i="5"/>
  <c r="Z53" i="5" s="1"/>
  <c r="W45" i="7"/>
  <c r="Z45" i="7" s="1"/>
  <c r="W63" i="5"/>
  <c r="Z63" i="5" s="1"/>
  <c r="X94" i="8"/>
  <c r="W94" i="7"/>
  <c r="Z94" i="7" s="1"/>
  <c r="W31" i="7"/>
  <c r="Z31" i="7" s="1"/>
  <c r="W176" i="4"/>
  <c r="Z176" i="4" s="1"/>
  <c r="W171" i="4"/>
  <c r="Z171" i="4" s="1"/>
  <c r="W53" i="4"/>
  <c r="Z53" i="4" s="1"/>
  <c r="W140" i="4"/>
  <c r="Z140" i="4" s="1"/>
  <c r="W44" i="5"/>
  <c r="Z44" i="5" s="1"/>
  <c r="W56" i="7"/>
  <c r="Z56" i="7" s="1"/>
  <c r="W27" i="8"/>
  <c r="Z27" i="8" s="1"/>
  <c r="X68" i="4"/>
  <c r="X89" i="8"/>
  <c r="X87" i="7"/>
  <c r="W28" i="5"/>
  <c r="Z28" i="5" s="1"/>
  <c r="AB149" i="9"/>
  <c r="AE149" i="9" s="1"/>
  <c r="AB114" i="9"/>
  <c r="AE114" i="9" s="1"/>
  <c r="AB120" i="9"/>
  <c r="AE120" i="9" s="1"/>
  <c r="W97" i="7"/>
  <c r="Z97" i="7" s="1"/>
  <c r="AB37" i="9"/>
  <c r="AE37" i="9" s="1"/>
  <c r="AB140" i="9"/>
  <c r="AE140" i="9" s="1"/>
  <c r="AB104" i="9"/>
  <c r="AE104" i="9" s="1"/>
  <c r="W65" i="5"/>
  <c r="Z65" i="5" s="1"/>
  <c r="W66" i="7"/>
  <c r="Z66" i="7" s="1"/>
  <c r="X65" i="4"/>
  <c r="X86" i="8"/>
  <c r="X63" i="7"/>
  <c r="AB141" i="9"/>
  <c r="AE141" i="9" s="1"/>
  <c r="AB127" i="9"/>
  <c r="AE127" i="9" s="1"/>
  <c r="W68" i="5"/>
  <c r="Z68" i="5" s="1"/>
  <c r="W111" i="4"/>
  <c r="Z111" i="4" s="1"/>
  <c r="AB86" i="9"/>
  <c r="AE86" i="9" s="1"/>
  <c r="X190" i="4"/>
  <c r="W32" i="5"/>
  <c r="Z32" i="5" s="1"/>
  <c r="C64" i="8"/>
  <c r="U64" i="8" s="1"/>
  <c r="W106" i="4"/>
  <c r="Z106" i="4" s="1"/>
  <c r="AC86" i="9"/>
  <c r="X68" i="7"/>
  <c r="X106" i="8"/>
  <c r="X59" i="4"/>
  <c r="X95" i="7"/>
  <c r="X63" i="8"/>
  <c r="X180" i="4"/>
  <c r="X145" i="4"/>
  <c r="X184" i="4"/>
  <c r="X52" i="7"/>
  <c r="AC62" i="9"/>
  <c r="W33" i="8"/>
  <c r="Z33" i="8" s="1"/>
  <c r="W71" i="5"/>
  <c r="Z71" i="5" s="1"/>
  <c r="W74" i="7"/>
  <c r="Z74" i="7" s="1"/>
  <c r="W164" i="4"/>
  <c r="Z164" i="4" s="1"/>
  <c r="W111" i="5"/>
  <c r="Z111" i="5" s="1"/>
  <c r="X72" i="8"/>
  <c r="X81" i="8"/>
  <c r="X117" i="4"/>
  <c r="X47" i="8"/>
  <c r="X139" i="4"/>
  <c r="W113" i="8"/>
  <c r="Z113" i="8" s="1"/>
  <c r="AB125" i="9"/>
  <c r="AE125" i="9" s="1"/>
  <c r="W79" i="5"/>
  <c r="Z79" i="5" s="1"/>
  <c r="C87" i="8"/>
  <c r="U87" i="8" s="1"/>
  <c r="W120" i="4"/>
  <c r="Z120" i="4" s="1"/>
  <c r="W76" i="5"/>
  <c r="Z76" i="5" s="1"/>
  <c r="W119" i="4"/>
  <c r="Z119" i="4" s="1"/>
  <c r="AB145" i="9"/>
  <c r="AE145" i="9" s="1"/>
  <c r="X35" i="8"/>
  <c r="X34" i="8"/>
  <c r="W40" i="7"/>
  <c r="Z40" i="7" s="1"/>
  <c r="W78" i="5"/>
  <c r="Z78" i="5" s="1"/>
  <c r="C90" i="8"/>
  <c r="U90" i="8" s="1"/>
  <c r="X71" i="4"/>
  <c r="W86" i="8"/>
  <c r="Z86" i="8" s="1"/>
  <c r="X191" i="4"/>
  <c r="W34" i="8"/>
  <c r="Z34" i="8" s="1"/>
  <c r="AC96" i="9"/>
  <c r="AC168" i="9"/>
  <c r="X59" i="7"/>
  <c r="X76" i="4"/>
  <c r="W173" i="4"/>
  <c r="Z173" i="4" s="1"/>
  <c r="W38" i="8"/>
  <c r="Z38" i="8" s="1"/>
  <c r="X58" i="8"/>
  <c r="X31" i="7"/>
  <c r="W38" i="7"/>
  <c r="Z38" i="7" s="1"/>
  <c r="C57" i="8"/>
  <c r="U57" i="8" s="1"/>
  <c r="AB112" i="9"/>
  <c r="AE112" i="9" s="1"/>
  <c r="C75" i="8"/>
  <c r="U75" i="8" s="1"/>
  <c r="W63" i="7"/>
  <c r="Z63" i="7" s="1"/>
  <c r="AB115" i="9"/>
  <c r="AE115" i="9" s="1"/>
  <c r="AB88" i="9"/>
  <c r="AE88" i="9" s="1"/>
  <c r="X75" i="8"/>
  <c r="W110" i="5"/>
  <c r="Z110" i="5" s="1"/>
  <c r="X137" i="4"/>
  <c r="X158" i="4"/>
  <c r="W93" i="4"/>
  <c r="Z93" i="4" s="1"/>
  <c r="C106" i="8"/>
  <c r="U106" i="8" s="1"/>
  <c r="W54" i="8"/>
  <c r="Z54" i="8" s="1"/>
  <c r="W62" i="7"/>
  <c r="Z62" i="7" s="1"/>
  <c r="W47" i="5"/>
  <c r="Z47" i="5" s="1"/>
  <c r="W177" i="4"/>
  <c r="Z177" i="4" s="1"/>
  <c r="W78" i="7"/>
  <c r="Z78" i="7" s="1"/>
  <c r="W90" i="8"/>
  <c r="Z90" i="8" s="1"/>
  <c r="W52" i="7"/>
  <c r="Z52" i="7" s="1"/>
  <c r="W75" i="8"/>
  <c r="Z75" i="8" s="1"/>
  <c r="W144" i="4"/>
  <c r="Z144" i="4" s="1"/>
  <c r="C48" i="8"/>
  <c r="U48" i="8" s="1"/>
  <c r="W183" i="4"/>
  <c r="Z183" i="4" s="1"/>
  <c r="W188" i="4"/>
  <c r="Z188" i="4" s="1"/>
  <c r="W23" i="8"/>
  <c r="W107" i="8"/>
  <c r="Z107" i="8" s="1"/>
  <c r="AB143" i="9"/>
  <c r="AE143" i="9" s="1"/>
  <c r="Y110" i="9"/>
  <c r="E90" i="7"/>
  <c r="M76" i="5"/>
  <c r="J69" i="5"/>
  <c r="Y71" i="8"/>
  <c r="D48" i="5"/>
  <c r="Y120" i="9"/>
  <c r="J96" i="9"/>
  <c r="J86" i="8"/>
  <c r="X170" i="9"/>
  <c r="M72" i="5"/>
  <c r="K71" i="5"/>
  <c r="M86" i="4"/>
  <c r="D97" i="5"/>
  <c r="D34" i="7"/>
  <c r="I107" i="8"/>
  <c r="L79" i="5"/>
  <c r="E63" i="7"/>
  <c r="J164" i="9"/>
  <c r="Y147" i="4"/>
  <c r="Z164" i="9"/>
  <c r="X155" i="9"/>
  <c r="M112" i="9"/>
  <c r="L69" i="4"/>
  <c r="L90" i="5"/>
  <c r="AB84" i="9"/>
  <c r="AE84" i="9" s="1"/>
  <c r="W178" i="4"/>
  <c r="Z178" i="4" s="1"/>
  <c r="C71" i="8"/>
  <c r="U71" i="8" s="1"/>
  <c r="W81" i="8"/>
  <c r="Z81" i="8" s="1"/>
  <c r="AB66" i="9"/>
  <c r="AE66" i="9" s="1"/>
  <c r="X102" i="8"/>
  <c r="X138" i="4"/>
  <c r="W98" i="5"/>
  <c r="Z98" i="5" s="1"/>
  <c r="AB113" i="9"/>
  <c r="AE113" i="9" s="1"/>
  <c r="W97" i="8"/>
  <c r="Z97" i="8" s="1"/>
  <c r="X102" i="7"/>
  <c r="D58" i="5"/>
  <c r="Y88" i="9"/>
  <c r="I60" i="8"/>
  <c r="AA143" i="9"/>
  <c r="L75" i="7"/>
  <c r="J111" i="5"/>
  <c r="J66" i="5"/>
  <c r="M97" i="7"/>
  <c r="L68" i="5"/>
  <c r="I47" i="5"/>
  <c r="K44" i="5"/>
  <c r="J58" i="5"/>
  <c r="I156" i="4"/>
  <c r="J35" i="5"/>
  <c r="L188" i="4"/>
  <c r="Y34" i="7"/>
  <c r="D53" i="4"/>
  <c r="I63" i="5"/>
  <c r="J67" i="8"/>
  <c r="L83" i="9"/>
  <c r="Z107" i="9"/>
  <c r="L32" i="5"/>
  <c r="K150" i="9"/>
  <c r="I134" i="9"/>
  <c r="D190" i="4"/>
  <c r="Y70" i="9"/>
  <c r="L147" i="4"/>
  <c r="Y113" i="4"/>
  <c r="J30" i="5"/>
  <c r="J36" i="8"/>
  <c r="I58" i="8"/>
  <c r="AA158" i="9"/>
  <c r="D94" i="4"/>
  <c r="K102" i="8"/>
  <c r="K113" i="4"/>
  <c r="J84" i="5"/>
  <c r="W55" i="4"/>
  <c r="Z55" i="4" s="1"/>
  <c r="X97" i="7"/>
  <c r="W108" i="4"/>
  <c r="Z108" i="4" s="1"/>
  <c r="W193" i="4"/>
  <c r="Z193" i="4" s="1"/>
  <c r="AB74" i="9"/>
  <c r="AE74" i="9" s="1"/>
  <c r="W100" i="8"/>
  <c r="Z100" i="8" s="1"/>
  <c r="AB51" i="9"/>
  <c r="AE51" i="9" s="1"/>
  <c r="AB53" i="9"/>
  <c r="AE53" i="9" s="1"/>
  <c r="AB167" i="9"/>
  <c r="AE167" i="9" s="1"/>
  <c r="W94" i="8"/>
  <c r="Z94" i="8" s="1"/>
  <c r="M26" i="5"/>
  <c r="D101" i="4"/>
  <c r="K114" i="5"/>
  <c r="J53" i="4"/>
  <c r="I109" i="8"/>
  <c r="E30" i="5"/>
  <c r="Y67" i="8"/>
  <c r="J95" i="4"/>
  <c r="Y64" i="8"/>
  <c r="K164" i="4"/>
  <c r="D25" i="5"/>
  <c r="K118" i="5"/>
  <c r="E33" i="5"/>
  <c r="Y94" i="7"/>
  <c r="E26" i="5"/>
  <c r="AD65" i="9"/>
  <c r="I97" i="5"/>
  <c r="L115" i="9"/>
  <c r="C65" i="5"/>
  <c r="I53" i="4"/>
  <c r="I63" i="7"/>
  <c r="I35" i="5"/>
  <c r="K89" i="5"/>
  <c r="Y117" i="9"/>
  <c r="E57" i="9"/>
  <c r="K150" i="4"/>
  <c r="J94" i="5"/>
  <c r="C110" i="8"/>
  <c r="U110" i="8" s="1"/>
  <c r="W184" i="4"/>
  <c r="Z184" i="4" s="1"/>
  <c r="W71" i="4"/>
  <c r="Z71" i="4" s="1"/>
  <c r="W181" i="4"/>
  <c r="Z181" i="4" s="1"/>
  <c r="W114" i="5"/>
  <c r="Z114" i="5" s="1"/>
  <c r="W68" i="4"/>
  <c r="Z68" i="4" s="1"/>
  <c r="J101" i="5"/>
  <c r="K87" i="7"/>
  <c r="E48" i="5"/>
  <c r="K69" i="7"/>
  <c r="AA78" i="9"/>
  <c r="D59" i="7"/>
  <c r="D53" i="5"/>
  <c r="E156" i="4"/>
  <c r="I66" i="7"/>
  <c r="E110" i="5"/>
  <c r="L113" i="8"/>
  <c r="J114" i="5"/>
  <c r="Z152" i="9"/>
  <c r="L93" i="8"/>
  <c r="D63" i="7"/>
  <c r="D71" i="4"/>
  <c r="Y148" i="9"/>
  <c r="X27" i="8"/>
  <c r="W46" i="5"/>
  <c r="Z46" i="5" s="1"/>
  <c r="W125" i="4"/>
  <c r="Z125" i="4" s="1"/>
  <c r="AB63" i="9"/>
  <c r="AE63" i="9" s="1"/>
  <c r="AB128" i="9"/>
  <c r="AE128" i="9" s="1"/>
  <c r="W67" i="8"/>
  <c r="Z67" i="8" s="1"/>
  <c r="W156" i="4"/>
  <c r="Z156" i="4" s="1"/>
  <c r="AB91" i="9"/>
  <c r="AE91" i="9" s="1"/>
  <c r="X66" i="8"/>
  <c r="W179" i="4"/>
  <c r="Z179" i="4" s="1"/>
  <c r="C30" i="4"/>
  <c r="I94" i="8"/>
  <c r="K47" i="5"/>
  <c r="I60" i="4"/>
  <c r="Y65" i="9"/>
  <c r="I56" i="7"/>
  <c r="M95" i="5"/>
  <c r="E112" i="5"/>
  <c r="K90" i="5"/>
  <c r="K68" i="9"/>
  <c r="D84" i="5"/>
  <c r="I120" i="9"/>
  <c r="D118" i="5"/>
  <c r="L97" i="7"/>
  <c r="K66" i="7"/>
  <c r="L134" i="9"/>
  <c r="W94" i="5"/>
  <c r="Z94" i="5" s="1"/>
  <c r="AB68" i="9"/>
  <c r="AE68" i="9" s="1"/>
  <c r="W65" i="4"/>
  <c r="Z65" i="4" s="1"/>
  <c r="AB67" i="9"/>
  <c r="AE67" i="9" s="1"/>
  <c r="AB154" i="9"/>
  <c r="AE154" i="9" s="1"/>
  <c r="W68" i="7"/>
  <c r="Z68" i="7" s="1"/>
  <c r="W59" i="7"/>
  <c r="Z59" i="7" s="1"/>
  <c r="X45" i="7"/>
  <c r="L64" i="8"/>
  <c r="I108" i="9"/>
  <c r="K37" i="9"/>
  <c r="AA167" i="9"/>
  <c r="X87" i="9"/>
  <c r="Y136" i="9"/>
  <c r="Y145" i="9"/>
  <c r="K31" i="5"/>
  <c r="AA152" i="9"/>
  <c r="E118" i="5"/>
  <c r="W88" i="5"/>
  <c r="Z88" i="5" s="1"/>
  <c r="W86" i="4"/>
  <c r="Z86" i="4" s="1"/>
  <c r="W100" i="7"/>
  <c r="Z100" i="7" s="1"/>
  <c r="W92" i="7"/>
  <c r="Z92" i="7" s="1"/>
  <c r="W110" i="4"/>
  <c r="Z110" i="4" s="1"/>
  <c r="X99" i="7"/>
  <c r="W107" i="5"/>
  <c r="Z107" i="5" s="1"/>
  <c r="W75" i="7"/>
  <c r="Z75" i="7" s="1"/>
  <c r="W102" i="7"/>
  <c r="Z102" i="7" s="1"/>
  <c r="E89" i="5"/>
  <c r="D79" i="5"/>
  <c r="E29" i="5"/>
  <c r="D37" i="7"/>
  <c r="I28" i="5"/>
  <c r="AA113" i="9"/>
  <c r="J178" i="4"/>
  <c r="Y178" i="4"/>
  <c r="L69" i="5"/>
  <c r="L30" i="5"/>
  <c r="E171" i="4"/>
  <c r="I68" i="7"/>
  <c r="M103" i="5"/>
  <c r="Y38" i="7"/>
  <c r="Y152" i="9"/>
  <c r="E168" i="9"/>
  <c r="D61" i="8"/>
  <c r="K141" i="9"/>
  <c r="D112" i="9"/>
  <c r="M63" i="5"/>
  <c r="I72" i="8"/>
  <c r="K65" i="5"/>
  <c r="J182" i="4"/>
  <c r="I93" i="8"/>
  <c r="M145" i="4"/>
  <c r="D154" i="4"/>
  <c r="L110" i="4"/>
  <c r="I152" i="9"/>
  <c r="K69" i="5"/>
  <c r="I117" i="4"/>
  <c r="I182" i="4"/>
  <c r="I168" i="9"/>
  <c r="M71" i="4"/>
  <c r="K131" i="9"/>
  <c r="J68" i="7"/>
  <c r="J66" i="8"/>
  <c r="I111" i="8"/>
  <c r="K64" i="8"/>
  <c r="C61" i="8"/>
  <c r="U61" i="8" s="1"/>
  <c r="W87" i="4"/>
  <c r="Z87" i="4" s="1"/>
  <c r="AB121" i="9"/>
  <c r="AE121" i="9" s="1"/>
  <c r="AB90" i="9"/>
  <c r="AE90" i="9" s="1"/>
  <c r="C111" i="8"/>
  <c r="U111" i="8" s="1"/>
  <c r="W49" i="7"/>
  <c r="Z49" i="7" s="1"/>
  <c r="AB75" i="9"/>
  <c r="AE75" i="9" s="1"/>
  <c r="W113" i="4"/>
  <c r="Z113" i="4" s="1"/>
  <c r="Z143" i="9"/>
  <c r="M112" i="5"/>
  <c r="K88" i="5"/>
  <c r="L31" i="5"/>
  <c r="Z150" i="9"/>
  <c r="J61" i="4"/>
  <c r="J112" i="5"/>
  <c r="AD139" i="9"/>
  <c r="K62" i="7"/>
  <c r="K101" i="4"/>
  <c r="K190" i="4"/>
  <c r="I130" i="4"/>
  <c r="L35" i="5"/>
  <c r="J48" i="9"/>
  <c r="D94" i="7"/>
  <c r="K71" i="8"/>
  <c r="W81" i="7"/>
  <c r="Z81" i="7" s="1"/>
  <c r="AB111" i="9"/>
  <c r="AE111" i="9" s="1"/>
  <c r="AB157" i="9"/>
  <c r="AE157" i="9" s="1"/>
  <c r="W44" i="7"/>
  <c r="Z44" i="7" s="1"/>
  <c r="AB96" i="9"/>
  <c r="AE96" i="9" s="1"/>
  <c r="AB118" i="9"/>
  <c r="AE118" i="9" s="1"/>
  <c r="W90" i="5"/>
  <c r="Z90" i="5" s="1"/>
  <c r="AB170" i="9"/>
  <c r="AE170" i="9" s="1"/>
  <c r="W182" i="4"/>
  <c r="Z182" i="4" s="1"/>
  <c r="D98" i="5"/>
  <c r="K105" i="9"/>
  <c r="AA139" i="9"/>
  <c r="L71" i="4"/>
  <c r="K115" i="9"/>
  <c r="L33" i="5"/>
  <c r="L139" i="4"/>
  <c r="K137" i="4"/>
  <c r="E140" i="4"/>
  <c r="Z140" i="9"/>
  <c r="J108" i="4"/>
  <c r="L154" i="4"/>
  <c r="X82" i="9"/>
  <c r="J71" i="8"/>
  <c r="K94" i="9"/>
  <c r="I95" i="9"/>
  <c r="M72" i="7"/>
  <c r="D109" i="8"/>
  <c r="I78" i="8"/>
  <c r="X154" i="9"/>
  <c r="E71" i="4"/>
  <c r="I149" i="9"/>
  <c r="K158" i="9"/>
  <c r="L46" i="7"/>
  <c r="E183" i="4"/>
  <c r="L70" i="9"/>
  <c r="L130" i="4"/>
  <c r="X169" i="4"/>
  <c r="W72" i="4"/>
  <c r="Z72" i="4" s="1"/>
  <c r="C32" i="8"/>
  <c r="U32" i="8" s="1"/>
  <c r="W154" i="4"/>
  <c r="Z154" i="4" s="1"/>
  <c r="W116" i="8"/>
  <c r="Z116" i="8" s="1"/>
  <c r="C78" i="8"/>
  <c r="U78" i="8" s="1"/>
  <c r="C34" i="8"/>
  <c r="U34" i="8" s="1"/>
  <c r="I53" i="5"/>
  <c r="M53" i="4"/>
  <c r="J99" i="7"/>
  <c r="D33" i="5"/>
  <c r="K39" i="8"/>
  <c r="L150" i="9"/>
  <c r="Y48" i="9"/>
  <c r="AA154" i="9"/>
  <c r="AB152" i="9"/>
  <c r="AE152" i="9" s="1"/>
  <c r="W116" i="5"/>
  <c r="Z116" i="5" s="1"/>
  <c r="W85" i="4"/>
  <c r="Z85" i="4" s="1"/>
  <c r="W76" i="7"/>
  <c r="Z76" i="7" s="1"/>
  <c r="W72" i="7"/>
  <c r="Z72" i="7" s="1"/>
  <c r="AB59" i="9"/>
  <c r="AE59" i="9" s="1"/>
  <c r="X61" i="4"/>
  <c r="X105" i="8"/>
  <c r="X100" i="8"/>
  <c r="W84" i="5"/>
  <c r="Z84" i="5" s="1"/>
  <c r="W52" i="5"/>
  <c r="Z52" i="5" s="1"/>
  <c r="C93" i="8"/>
  <c r="U93" i="8" s="1"/>
  <c r="I35" i="7"/>
  <c r="M57" i="4"/>
  <c r="I105" i="9"/>
  <c r="M106" i="5"/>
  <c r="I81" i="5"/>
  <c r="J72" i="7"/>
  <c r="W157" i="4"/>
  <c r="Z157" i="4" s="1"/>
  <c r="W111" i="8"/>
  <c r="Z111" i="8" s="1"/>
  <c r="AB119" i="9"/>
  <c r="AE119" i="9" s="1"/>
  <c r="W95" i="5"/>
  <c r="Z95" i="5" s="1"/>
  <c r="W32" i="7"/>
  <c r="Z32" i="7" s="1"/>
  <c r="W97" i="5"/>
  <c r="Z97" i="5" s="1"/>
  <c r="AB139" i="9"/>
  <c r="AE139" i="9" s="1"/>
  <c r="W67" i="4"/>
  <c r="Z67" i="4" s="1"/>
  <c r="C81" i="8"/>
  <c r="U81" i="8" s="1"/>
  <c r="AB147" i="9"/>
  <c r="AE147" i="9" s="1"/>
  <c r="K53" i="5"/>
  <c r="M79" i="5"/>
  <c r="E79" i="5"/>
  <c r="Y76" i="8"/>
  <c r="L63" i="5"/>
  <c r="Y127" i="9"/>
  <c r="L101" i="4"/>
  <c r="I79" i="5"/>
  <c r="D71" i="5"/>
  <c r="K35" i="8"/>
  <c r="M108" i="5"/>
  <c r="K74" i="4"/>
  <c r="M58" i="9"/>
  <c r="K151" i="9"/>
  <c r="Z74" i="9"/>
  <c r="AA51" i="9"/>
  <c r="K115" i="8"/>
  <c r="D127" i="4"/>
  <c r="J144" i="9"/>
  <c r="I59" i="4"/>
  <c r="I110" i="8"/>
  <c r="L74" i="4"/>
  <c r="Z94" i="9"/>
  <c r="Z141" i="9"/>
  <c r="K136" i="9"/>
  <c r="AB81" i="9"/>
  <c r="AE81" i="9" s="1"/>
  <c r="W33" i="7"/>
  <c r="Z33" i="7" s="1"/>
  <c r="X71" i="7"/>
  <c r="W107" i="4"/>
  <c r="Z107" i="4" s="1"/>
  <c r="W73" i="7"/>
  <c r="Z73" i="7" s="1"/>
  <c r="W72" i="5"/>
  <c r="Z72" i="5" s="1"/>
  <c r="AB93" i="9"/>
  <c r="AE93" i="9" s="1"/>
  <c r="X94" i="7"/>
  <c r="X30" i="4"/>
  <c r="C74" i="8"/>
  <c r="U74" i="8" s="1"/>
  <c r="D44" i="5"/>
  <c r="E158" i="4"/>
  <c r="I33" i="5"/>
  <c r="I36" i="7"/>
  <c r="M29" i="5"/>
  <c r="E69" i="5"/>
  <c r="K95" i="5"/>
  <c r="X168" i="9"/>
  <c r="L118" i="5"/>
  <c r="K60" i="8"/>
  <c r="K54" i="7"/>
  <c r="J54" i="7"/>
  <c r="K67" i="8"/>
  <c r="J39" i="7"/>
  <c r="I111" i="9"/>
  <c r="K57" i="9"/>
  <c r="K148" i="9"/>
  <c r="Y91" i="9"/>
  <c r="E100" i="8"/>
  <c r="D87" i="7"/>
  <c r="Y90" i="8"/>
  <c r="AD151" i="9"/>
  <c r="W51" i="4"/>
  <c r="Z51" i="4" s="1"/>
  <c r="W35" i="7"/>
  <c r="Z35" i="7" s="1"/>
  <c r="W83" i="5"/>
  <c r="Z83" i="5" s="1"/>
  <c r="W72" i="8"/>
  <c r="Z72" i="8" s="1"/>
  <c r="C88" i="8"/>
  <c r="U88" i="8" s="1"/>
  <c r="W108" i="5"/>
  <c r="Z108" i="5" s="1"/>
  <c r="AB151" i="9"/>
  <c r="AE151" i="9" s="1"/>
  <c r="W73" i="4"/>
  <c r="Z73" i="4" s="1"/>
  <c r="AB136" i="9"/>
  <c r="AE136" i="9" s="1"/>
  <c r="I82" i="7"/>
  <c r="J65" i="5"/>
  <c r="AD95" i="9"/>
  <c r="I44" i="5"/>
  <c r="J122" i="9"/>
  <c r="Y82" i="9"/>
  <c r="L84" i="5"/>
  <c r="K110" i="8"/>
  <c r="I75" i="7"/>
  <c r="K106" i="8"/>
  <c r="J95" i="5"/>
  <c r="L58" i="5"/>
  <c r="I164" i="4"/>
  <c r="D94" i="5"/>
  <c r="C108" i="5"/>
  <c r="E121" i="9"/>
  <c r="E54" i="8"/>
  <c r="Y82" i="7"/>
  <c r="M127" i="4"/>
  <c r="I35" i="8"/>
  <c r="Y188" i="4"/>
  <c r="D26" i="5"/>
  <c r="K74" i="9"/>
  <c r="AB48" i="9"/>
  <c r="AE48" i="9" s="1"/>
  <c r="W71" i="7"/>
  <c r="Z71" i="7" s="1"/>
  <c r="AB105" i="9"/>
  <c r="AE105" i="9" s="1"/>
  <c r="C36" i="8"/>
  <c r="U36" i="8" s="1"/>
  <c r="X85" i="7"/>
  <c r="AB87" i="9"/>
  <c r="AE87" i="9" s="1"/>
  <c r="W147" i="4"/>
  <c r="Z147" i="4" s="1"/>
  <c r="W90" i="7"/>
  <c r="Z90" i="7" s="1"/>
  <c r="W99" i="7"/>
  <c r="Z99" i="7" s="1"/>
  <c r="W57" i="4"/>
  <c r="Z57" i="4" s="1"/>
  <c r="W34" i="7"/>
  <c r="Z34" i="7" s="1"/>
  <c r="J54" i="8"/>
  <c r="J94" i="7"/>
  <c r="L76" i="7"/>
  <c r="L134" i="4"/>
  <c r="W69" i="4"/>
  <c r="Z69" i="4" s="1"/>
  <c r="W134" i="4"/>
  <c r="Z134" i="4" s="1"/>
  <c r="AB40" i="9"/>
  <c r="AE40" i="9" s="1"/>
  <c r="AB69" i="9"/>
  <c r="AE69" i="9" s="1"/>
  <c r="C47" i="8"/>
  <c r="U47" i="8" s="1"/>
  <c r="AB70" i="9"/>
  <c r="AE70" i="9" s="1"/>
  <c r="W162" i="4"/>
  <c r="Z162" i="4" s="1"/>
  <c r="X90" i="7"/>
  <c r="X91" i="7"/>
  <c r="W59" i="4"/>
  <c r="Z59" i="4" s="1"/>
  <c r="C109" i="8"/>
  <c r="U109" i="8" s="1"/>
  <c r="C105" i="8"/>
  <c r="U105" i="8" s="1"/>
  <c r="AB82" i="9"/>
  <c r="AE82" i="9" s="1"/>
  <c r="X110" i="4"/>
  <c r="AB108" i="9"/>
  <c r="AE108" i="9" s="1"/>
  <c r="C54" i="8"/>
  <c r="U54" i="8" s="1"/>
  <c r="W76" i="4"/>
  <c r="Z76" i="4" s="1"/>
  <c r="D112" i="5"/>
  <c r="J28" i="5"/>
  <c r="I83" i="4"/>
  <c r="I61" i="9"/>
  <c r="L95" i="5"/>
  <c r="E178" i="4"/>
  <c r="W138" i="4"/>
  <c r="Z138" i="4" s="1"/>
  <c r="W115" i="4"/>
  <c r="Z115" i="4" s="1"/>
  <c r="W74" i="8"/>
  <c r="Z74" i="8" s="1"/>
  <c r="W102" i="8"/>
  <c r="Z102" i="8" s="1"/>
  <c r="C50" i="8"/>
  <c r="U50" i="8" s="1"/>
  <c r="W47" i="7"/>
  <c r="Z47" i="7" s="1"/>
  <c r="C94" i="8"/>
  <c r="U94" i="8" s="1"/>
  <c r="X44" i="7"/>
  <c r="L83" i="4"/>
  <c r="AD155" i="9"/>
  <c r="K98" i="5"/>
  <c r="E65" i="5"/>
  <c r="J139" i="4"/>
  <c r="L54" i="7"/>
  <c r="E53" i="4"/>
  <c r="X78" i="9"/>
  <c r="I175" i="4"/>
  <c r="K32" i="5"/>
  <c r="K78" i="9"/>
  <c r="Z134" i="9"/>
  <c r="M169" i="4"/>
  <c r="K184" i="4"/>
  <c r="M48" i="5"/>
  <c r="W57" i="8"/>
  <c r="Z57" i="8" s="1"/>
  <c r="AB95" i="9"/>
  <c r="AE95" i="9" s="1"/>
  <c r="AB64" i="9"/>
  <c r="AE64" i="9" s="1"/>
  <c r="W101" i="5"/>
  <c r="Z101" i="5" s="1"/>
  <c r="C40" i="8"/>
  <c r="U40" i="8" s="1"/>
  <c r="W40" i="8"/>
  <c r="Z40" i="8" s="1"/>
  <c r="W127" i="4"/>
  <c r="Z127" i="4" s="1"/>
  <c r="W103" i="5"/>
  <c r="Z103" i="5" s="1"/>
  <c r="C38" i="8"/>
  <c r="U38" i="8" s="1"/>
  <c r="L82" i="9"/>
  <c r="L78" i="7"/>
  <c r="Y25" i="5"/>
  <c r="K96" i="9"/>
  <c r="Y111" i="8"/>
  <c r="L66" i="5"/>
  <c r="I46" i="8"/>
  <c r="AA70" i="9"/>
  <c r="L106" i="8"/>
  <c r="J158" i="9"/>
  <c r="K123" i="4"/>
  <c r="L164" i="4"/>
  <c r="J137" i="4"/>
  <c r="D107" i="5"/>
  <c r="K97" i="9"/>
  <c r="L100" i="7"/>
  <c r="I102" i="8"/>
  <c r="J110" i="8"/>
  <c r="E96" i="9"/>
  <c r="J111" i="4"/>
  <c r="K47" i="7"/>
  <c r="Y100" i="8"/>
  <c r="J169" i="4"/>
  <c r="X45" i="9"/>
  <c r="L136" i="9"/>
  <c r="AB45" i="9"/>
  <c r="AE45" i="9" s="1"/>
  <c r="W110" i="8"/>
  <c r="Z110" i="8" s="1"/>
  <c r="W118" i="5"/>
  <c r="Z118" i="5" s="1"/>
  <c r="X112" i="4"/>
  <c r="AB122" i="9"/>
  <c r="AE122" i="9" s="1"/>
  <c r="W169" i="4"/>
  <c r="Z169" i="4" s="1"/>
  <c r="W61" i="4"/>
  <c r="Z61" i="4" s="1"/>
  <c r="W76" i="8"/>
  <c r="Z76" i="8" s="1"/>
  <c r="AB110" i="9"/>
  <c r="AE110" i="9" s="1"/>
  <c r="W87" i="7"/>
  <c r="Z87" i="7" s="1"/>
  <c r="X85" i="4"/>
  <c r="D47" i="5"/>
  <c r="K81" i="8"/>
  <c r="E95" i="9"/>
  <c r="K35" i="7"/>
  <c r="K84" i="5"/>
  <c r="X113" i="9"/>
  <c r="J46" i="8"/>
  <c r="M90" i="5"/>
  <c r="C158" i="9"/>
  <c r="M54" i="5"/>
  <c r="M30" i="5"/>
  <c r="J106" i="5"/>
  <c r="I31" i="5"/>
  <c r="J88" i="5"/>
  <c r="M68" i="9"/>
  <c r="M75" i="7"/>
  <c r="M147" i="9"/>
  <c r="E47" i="5"/>
  <c r="D123" i="9"/>
  <c r="D97" i="8"/>
  <c r="X74" i="9"/>
  <c r="L178" i="4"/>
  <c r="Z90" i="9"/>
  <c r="I99" i="7"/>
  <c r="X150" i="9"/>
  <c r="K81" i="7"/>
  <c r="L111" i="5"/>
  <c r="M175" i="4"/>
  <c r="L183" i="4"/>
  <c r="M48" i="9"/>
  <c r="K38" i="8"/>
  <c r="L45" i="9"/>
  <c r="D63" i="9"/>
  <c r="L63" i="9"/>
  <c r="M109" i="8"/>
  <c r="E175" i="4"/>
  <c r="AD67" i="9"/>
  <c r="I61" i="8"/>
  <c r="J110" i="9"/>
  <c r="W47" i="8"/>
  <c r="Z47" i="8" s="1"/>
  <c r="W37" i="8"/>
  <c r="Z37" i="8" s="1"/>
  <c r="C27" i="8"/>
  <c r="U27" i="8" s="1"/>
  <c r="W30" i="5"/>
  <c r="Z30" i="5" s="1"/>
  <c r="W71" i="8"/>
  <c r="Z71" i="8" s="1"/>
  <c r="AB117" i="9"/>
  <c r="AE117" i="9" s="1"/>
  <c r="X96" i="8"/>
  <c r="X167" i="4"/>
  <c r="X23" i="8"/>
  <c r="W191" i="4"/>
  <c r="Z191" i="4" s="1"/>
  <c r="W69" i="7"/>
  <c r="Z69" i="7" s="1"/>
  <c r="I37" i="9"/>
  <c r="I54" i="5"/>
  <c r="Y64" i="9"/>
  <c r="J81" i="5"/>
  <c r="I171" i="4"/>
  <c r="E69" i="7"/>
  <c r="J79" i="7"/>
  <c r="AA91" i="9"/>
  <c r="E114" i="5"/>
  <c r="E111" i="5"/>
  <c r="I32" i="5"/>
  <c r="X98" i="9"/>
  <c r="L106" i="5"/>
  <c r="L110" i="8"/>
  <c r="I181" i="4"/>
  <c r="I86" i="8"/>
  <c r="I75" i="4"/>
  <c r="E96" i="8"/>
  <c r="AD121" i="9"/>
  <c r="AD73" i="9"/>
  <c r="L35" i="7"/>
  <c r="D38" i="8"/>
  <c r="K78" i="7"/>
  <c r="I140" i="4"/>
  <c r="X149" i="9"/>
  <c r="L164" i="9"/>
  <c r="D94" i="8"/>
  <c r="K108" i="9"/>
  <c r="K59" i="7"/>
  <c r="D74" i="7"/>
  <c r="L36" i="7"/>
  <c r="K93" i="8"/>
  <c r="L86" i="8"/>
  <c r="K125" i="4"/>
  <c r="E51" i="9"/>
  <c r="E61" i="9"/>
  <c r="K65" i="4"/>
  <c r="X61" i="9"/>
  <c r="AA59" i="9"/>
  <c r="K74" i="7"/>
  <c r="E32" i="5"/>
  <c r="Z147" i="9"/>
  <c r="C72" i="8"/>
  <c r="U72" i="8" s="1"/>
  <c r="AB164" i="9"/>
  <c r="AE164" i="9" s="1"/>
  <c r="W85" i="7"/>
  <c r="Z85" i="7" s="1"/>
  <c r="W112" i="5"/>
  <c r="Z112" i="5" s="1"/>
  <c r="W168" i="4"/>
  <c r="Z168" i="4" s="1"/>
  <c r="AB72" i="9"/>
  <c r="AE72" i="9" s="1"/>
  <c r="W54" i="7"/>
  <c r="Z54" i="7" s="1"/>
  <c r="E53" i="9"/>
  <c r="I118" i="5"/>
  <c r="J69" i="7"/>
  <c r="J79" i="5"/>
  <c r="I31" i="8"/>
  <c r="J54" i="5"/>
  <c r="K28" i="5"/>
  <c r="C63" i="5"/>
  <c r="K25" i="5"/>
  <c r="I180" i="4"/>
  <c r="K186" i="4"/>
  <c r="M36" i="5"/>
  <c r="I84" i="5"/>
  <c r="K68" i="5"/>
  <c r="K178" i="4"/>
  <c r="E37" i="8"/>
  <c r="AA151" i="9"/>
  <c r="J157" i="9"/>
  <c r="E95" i="5"/>
  <c r="J56" i="7"/>
  <c r="L47" i="5"/>
  <c r="M185" i="4"/>
  <c r="M74" i="7"/>
  <c r="I81" i="9"/>
  <c r="D89" i="5"/>
  <c r="I57" i="4"/>
  <c r="W64" i="8"/>
  <c r="Z64" i="8" s="1"/>
  <c r="C113" i="8"/>
  <c r="U113" i="8" s="1"/>
  <c r="C102" i="8"/>
  <c r="U102" i="8" s="1"/>
  <c r="X56" i="7"/>
  <c r="C60" i="8"/>
  <c r="U60" i="8" s="1"/>
  <c r="AA62" i="9"/>
  <c r="E81" i="9"/>
  <c r="D81" i="8"/>
  <c r="K75" i="9"/>
  <c r="Y122" i="9"/>
  <c r="D32" i="5"/>
  <c r="J108" i="9"/>
  <c r="J49" i="7"/>
  <c r="E72" i="5"/>
  <c r="L44" i="5"/>
  <c r="K63" i="5"/>
  <c r="D72" i="5"/>
  <c r="J167" i="4"/>
  <c r="J32" i="5"/>
  <c r="D97" i="9"/>
  <c r="M89" i="5"/>
  <c r="L31" i="8"/>
  <c r="D185" i="4"/>
  <c r="E107" i="8"/>
  <c r="K76" i="5"/>
  <c r="AD147" i="9"/>
  <c r="I123" i="4"/>
  <c r="J38" i="8"/>
  <c r="C34" i="7"/>
  <c r="E94" i="4"/>
  <c r="E36" i="5"/>
  <c r="Y39" i="8"/>
  <c r="K32" i="7"/>
  <c r="W103" i="4"/>
  <c r="Z103" i="4" s="1"/>
  <c r="AB134" i="9"/>
  <c r="AE134" i="9" s="1"/>
  <c r="AB148" i="9"/>
  <c r="AE148" i="9" s="1"/>
  <c r="W96" i="4"/>
  <c r="Z96" i="4" s="1"/>
  <c r="W89" i="8"/>
  <c r="Z89" i="8" s="1"/>
  <c r="W69" i="5"/>
  <c r="Z69" i="5" s="1"/>
  <c r="W93" i="8"/>
  <c r="Z93" i="8" s="1"/>
  <c r="W158" i="4"/>
  <c r="Z158" i="4" s="1"/>
  <c r="W148" i="4"/>
  <c r="Z148" i="4" s="1"/>
  <c r="W30" i="4"/>
  <c r="Y69" i="9"/>
  <c r="Z37" i="9"/>
  <c r="J89" i="8"/>
  <c r="L69" i="7"/>
  <c r="L145" i="9"/>
  <c r="K81" i="5"/>
  <c r="J123" i="4"/>
  <c r="L103" i="5"/>
  <c r="J193" i="4"/>
  <c r="L35" i="8"/>
  <c r="E97" i="7"/>
  <c r="J106" i="8"/>
  <c r="I78" i="7"/>
  <c r="J83" i="8"/>
  <c r="E88" i="5"/>
  <c r="M41" i="7"/>
  <c r="M93" i="8"/>
  <c r="C72" i="4"/>
  <c r="Z108" i="9"/>
  <c r="Y74" i="4"/>
  <c r="Y73" i="9"/>
  <c r="J107" i="8"/>
  <c r="D119" i="9"/>
  <c r="J67" i="9"/>
  <c r="X60" i="7"/>
  <c r="W33" i="5"/>
  <c r="Z33" i="5" s="1"/>
  <c r="AB144" i="9"/>
  <c r="AE144" i="9" s="1"/>
  <c r="W31" i="5"/>
  <c r="Z31" i="5" s="1"/>
  <c r="AB57" i="9"/>
  <c r="AE57" i="9" s="1"/>
  <c r="W167" i="4"/>
  <c r="Z167" i="4" s="1"/>
  <c r="AB123" i="9"/>
  <c r="AE123" i="9" s="1"/>
  <c r="AC134" i="9"/>
  <c r="W96" i="8"/>
  <c r="Z96" i="8" s="1"/>
  <c r="AB131" i="9"/>
  <c r="AE131" i="9" s="1"/>
  <c r="AA95" i="9"/>
  <c r="J103" i="5"/>
  <c r="Z157" i="9"/>
  <c r="K26" i="5"/>
  <c r="X144" i="9"/>
  <c r="D95" i="5"/>
  <c r="J118" i="8"/>
  <c r="I40" i="7"/>
  <c r="K83" i="9"/>
  <c r="J33" i="5"/>
  <c r="L116" i="8"/>
  <c r="X152" i="9"/>
  <c r="I69" i="4"/>
  <c r="K91" i="9"/>
  <c r="J125" i="4"/>
  <c r="J58" i="8"/>
  <c r="J91" i="9"/>
  <c r="M75" i="9"/>
  <c r="K46" i="8"/>
  <c r="J136" i="9"/>
  <c r="D148" i="4"/>
  <c r="W145" i="4"/>
  <c r="Z145" i="4" s="1"/>
  <c r="W53" i="7"/>
  <c r="Z53" i="7" s="1"/>
  <c r="W29" i="5"/>
  <c r="Z29" i="5" s="1"/>
  <c r="AB130" i="9"/>
  <c r="AE130" i="9" s="1"/>
  <c r="W95" i="7"/>
  <c r="Z95" i="7" s="1"/>
  <c r="L74" i="9"/>
  <c r="X56" i="9"/>
  <c r="J97" i="8"/>
  <c r="Y36" i="5"/>
  <c r="K162" i="4"/>
  <c r="AB97" i="9"/>
  <c r="AE97" i="9" s="1"/>
  <c r="C37" i="8"/>
  <c r="U37" i="8" s="1"/>
  <c r="C35" i="8"/>
  <c r="U35" i="8" s="1"/>
  <c r="W41" i="7"/>
  <c r="Z41" i="7" s="1"/>
  <c r="AB158" i="9"/>
  <c r="AE158" i="9" s="1"/>
  <c r="C66" i="8"/>
  <c r="U66" i="8" s="1"/>
  <c r="W78" i="8"/>
  <c r="Z78" i="8" s="1"/>
  <c r="W139" i="4"/>
  <c r="Z139" i="4" s="1"/>
  <c r="C23" i="8"/>
  <c r="U23" i="8" s="1"/>
  <c r="E72" i="7"/>
  <c r="M88" i="8"/>
  <c r="K111" i="5"/>
  <c r="Y33" i="7"/>
  <c r="I62" i="9"/>
  <c r="Y68" i="4"/>
  <c r="I76" i="8"/>
  <c r="L114" i="5"/>
  <c r="I87" i="7"/>
  <c r="AB165" i="9"/>
  <c r="AE165" i="9" s="1"/>
  <c r="W36" i="8"/>
  <c r="Z36" i="8" s="1"/>
  <c r="C63" i="8"/>
  <c r="U63" i="8" s="1"/>
  <c r="W58" i="5"/>
  <c r="Z58" i="5" s="1"/>
  <c r="AB65" i="9"/>
  <c r="AE65" i="9" s="1"/>
  <c r="C33" i="8"/>
  <c r="U33" i="8" s="1"/>
  <c r="AE150" i="9"/>
  <c r="W118" i="8"/>
  <c r="Z118" i="8" s="1"/>
  <c r="AB83" i="9"/>
  <c r="AE83" i="9" s="1"/>
  <c r="C58" i="8"/>
  <c r="U58" i="8" s="1"/>
  <c r="X113" i="8"/>
  <c r="X81" i="7"/>
  <c r="I65" i="5"/>
  <c r="K181" i="4"/>
  <c r="K72" i="8"/>
  <c r="J97" i="5"/>
  <c r="M73" i="9"/>
  <c r="J113" i="4"/>
  <c r="E81" i="5"/>
  <c r="I167" i="4"/>
  <c r="I114" i="5"/>
  <c r="X122" i="9"/>
  <c r="K108" i="5"/>
  <c r="M81" i="5"/>
  <c r="I145" i="4"/>
  <c r="J72" i="5"/>
  <c r="AA155" i="9"/>
  <c r="K167" i="9"/>
  <c r="D111" i="5"/>
  <c r="E67" i="8"/>
  <c r="I32" i="7"/>
  <c r="E92" i="7"/>
  <c r="K127" i="4"/>
  <c r="E168" i="4"/>
  <c r="Z97" i="9"/>
  <c r="Z51" i="9"/>
  <c r="AA164" i="9"/>
  <c r="I147" i="4"/>
  <c r="L38" i="8"/>
  <c r="Z63" i="9"/>
  <c r="I128" i="9"/>
  <c r="Y90" i="9"/>
  <c r="J143" i="9"/>
  <c r="K66" i="9"/>
  <c r="I91" i="9"/>
  <c r="J81" i="9"/>
  <c r="Y114" i="9"/>
  <c r="I185" i="4"/>
  <c r="L51" i="4"/>
  <c r="J47" i="7"/>
  <c r="L81" i="5"/>
  <c r="M145" i="9"/>
  <c r="I58" i="5"/>
  <c r="I57" i="7"/>
  <c r="J58" i="9"/>
  <c r="K118" i="8"/>
  <c r="AA65" i="9"/>
  <c r="I115" i="4"/>
  <c r="L59" i="7"/>
  <c r="J117" i="9"/>
  <c r="D30" i="5"/>
  <c r="J55" i="4"/>
  <c r="U119" i="4"/>
  <c r="Y167" i="9"/>
  <c r="AA128" i="9"/>
  <c r="Y72" i="8"/>
  <c r="I88" i="5"/>
  <c r="I111" i="5"/>
  <c r="Z155" i="9"/>
  <c r="AD96" i="9"/>
  <c r="Y123" i="9"/>
  <c r="Y87" i="4"/>
  <c r="L148" i="9"/>
  <c r="J69" i="4"/>
  <c r="K157" i="9"/>
  <c r="D62" i="7"/>
  <c r="I71" i="4"/>
  <c r="Y168" i="9"/>
  <c r="AD119" i="9"/>
  <c r="L75" i="9"/>
  <c r="J140" i="9"/>
  <c r="I65" i="4"/>
  <c r="J44" i="7"/>
  <c r="E78" i="5"/>
  <c r="M94" i="5"/>
  <c r="D107" i="8"/>
  <c r="D115" i="4"/>
  <c r="J94" i="9"/>
  <c r="X119" i="9"/>
  <c r="J38" i="7"/>
  <c r="E93" i="8"/>
  <c r="L62" i="7"/>
  <c r="E153" i="4"/>
  <c r="Z117" i="9"/>
  <c r="D68" i="4"/>
  <c r="K72" i="7"/>
  <c r="L81" i="7"/>
  <c r="Y145" i="4"/>
  <c r="K134" i="9"/>
  <c r="I118" i="8"/>
  <c r="M101" i="5"/>
  <c r="I118" i="9"/>
  <c r="E67" i="9"/>
  <c r="E46" i="5"/>
  <c r="G25" i="5"/>
  <c r="Y127" i="4"/>
  <c r="I39" i="7"/>
  <c r="U139" i="4"/>
  <c r="D87" i="9"/>
  <c r="M113" i="4"/>
  <c r="D28" i="7"/>
  <c r="M153" i="4"/>
  <c r="C147" i="9"/>
  <c r="C136" i="9"/>
  <c r="Y175" i="4"/>
  <c r="X48" i="9"/>
  <c r="K40" i="7"/>
  <c r="I100" i="7"/>
  <c r="J127" i="9"/>
  <c r="E131" i="9"/>
  <c r="AD69" i="9"/>
  <c r="C107" i="4"/>
  <c r="AD123" i="9"/>
  <c r="D83" i="5"/>
  <c r="D108" i="9"/>
  <c r="D110" i="5"/>
  <c r="D81" i="7"/>
  <c r="I104" i="9"/>
  <c r="M60" i="7"/>
  <c r="C28" i="7"/>
  <c r="K56" i="7"/>
  <c r="Y103" i="4"/>
  <c r="L61" i="4"/>
  <c r="E59" i="7"/>
  <c r="D86" i="8"/>
  <c r="L171" i="4"/>
  <c r="E87" i="8"/>
  <c r="C97" i="5"/>
  <c r="D171" i="4"/>
  <c r="E39" i="7"/>
  <c r="X108" i="9"/>
  <c r="D49" i="7"/>
  <c r="Y96" i="9"/>
  <c r="M65" i="9"/>
  <c r="X93" i="9"/>
  <c r="E181" i="4"/>
  <c r="J119" i="4"/>
  <c r="D78" i="8"/>
  <c r="D147" i="4"/>
  <c r="L66" i="8"/>
  <c r="I67" i="4"/>
  <c r="J31" i="5"/>
  <c r="Y68" i="7"/>
  <c r="AD117" i="9"/>
  <c r="I137" i="4"/>
  <c r="L108" i="9"/>
  <c r="L89" i="5"/>
  <c r="Y58" i="8"/>
  <c r="AA115" i="9"/>
  <c r="M164" i="9"/>
  <c r="I96" i="4"/>
  <c r="M108" i="4"/>
  <c r="Y143" i="9"/>
  <c r="I56" i="9"/>
  <c r="K123" i="9"/>
  <c r="AD167" i="9"/>
  <c r="J81" i="8"/>
  <c r="L79" i="7"/>
  <c r="J57" i="9"/>
  <c r="K146" i="4"/>
  <c r="E95" i="4"/>
  <c r="M78" i="7"/>
  <c r="K29" i="5"/>
  <c r="L117" i="4"/>
  <c r="C51" i="4"/>
  <c r="J168" i="9"/>
  <c r="Y110" i="8"/>
  <c r="K62" i="9"/>
  <c r="D33" i="8"/>
  <c r="M57" i="7"/>
  <c r="Z58" i="9"/>
  <c r="I69" i="7"/>
  <c r="I101" i="4"/>
  <c r="Y148" i="4"/>
  <c r="J134" i="9"/>
  <c r="I39" i="8"/>
  <c r="AD110" i="9"/>
  <c r="K94" i="5"/>
  <c r="AA90" i="9"/>
  <c r="E48" i="9"/>
  <c r="L102" i="8"/>
  <c r="E35" i="8"/>
  <c r="K36" i="5"/>
  <c r="AD143" i="9"/>
  <c r="E106" i="8"/>
  <c r="K27" i="8"/>
  <c r="J167" i="9"/>
  <c r="G74" i="4"/>
  <c r="I106" i="8"/>
  <c r="I36" i="8"/>
  <c r="Y171" i="4"/>
  <c r="G59" i="4"/>
  <c r="G32" i="7"/>
  <c r="Y63" i="8"/>
  <c r="J86" i="9"/>
  <c r="I72" i="4"/>
  <c r="Y81" i="8"/>
  <c r="E37" i="7"/>
  <c r="J34" i="8"/>
  <c r="D164" i="9"/>
  <c r="Y37" i="8"/>
  <c r="C82" i="7"/>
  <c r="L175" i="4"/>
  <c r="X40" i="9"/>
  <c r="K185" i="4"/>
  <c r="L104" i="9"/>
  <c r="K37" i="8"/>
  <c r="Y88" i="8"/>
  <c r="C76" i="4"/>
  <c r="L64" i="9"/>
  <c r="G51" i="4"/>
  <c r="E59" i="4"/>
  <c r="C188" i="4"/>
  <c r="E130" i="4"/>
  <c r="Y96" i="8"/>
  <c r="K76" i="4"/>
  <c r="Y146" i="9"/>
  <c r="M95" i="4"/>
  <c r="D66" i="7"/>
  <c r="I46" i="7"/>
  <c r="C107" i="5"/>
  <c r="AA157" i="9"/>
  <c r="E108" i="5"/>
  <c r="J63" i="5"/>
  <c r="E72" i="8"/>
  <c r="I115" i="9"/>
  <c r="Z146" i="9"/>
  <c r="M70" i="9"/>
  <c r="D102" i="7"/>
  <c r="J147" i="9"/>
  <c r="E58" i="5"/>
  <c r="U183" i="4"/>
  <c r="J184" i="4"/>
  <c r="E74" i="7"/>
  <c r="J53" i="9"/>
  <c r="M99" i="7"/>
  <c r="M110" i="5"/>
  <c r="AA81" i="9"/>
  <c r="K147" i="4"/>
  <c r="J37" i="9"/>
  <c r="X112" i="9"/>
  <c r="Z121" i="9"/>
  <c r="Y140" i="9"/>
  <c r="E40" i="8"/>
  <c r="E72" i="4"/>
  <c r="L184" i="4"/>
  <c r="D115" i="9"/>
  <c r="E167" i="9"/>
  <c r="E115" i="9"/>
  <c r="D37" i="9"/>
  <c r="L40" i="7"/>
  <c r="K58" i="9"/>
  <c r="AD66" i="9"/>
  <c r="L98" i="5"/>
  <c r="M62" i="9"/>
  <c r="X69" i="9"/>
  <c r="E62" i="9"/>
  <c r="Y35" i="7"/>
  <c r="Y115" i="8"/>
  <c r="AD70" i="9"/>
  <c r="I54" i="8"/>
  <c r="D70" i="9"/>
  <c r="M45" i="9"/>
  <c r="M94" i="9"/>
  <c r="M72" i="4"/>
  <c r="Y118" i="8"/>
  <c r="K57" i="7"/>
  <c r="I98" i="9"/>
  <c r="K51" i="9"/>
  <c r="J23" i="8"/>
  <c r="Y113" i="9"/>
  <c r="L27" i="7"/>
  <c r="D100" i="7"/>
  <c r="C175" i="4"/>
  <c r="C117" i="9"/>
  <c r="C164" i="9"/>
  <c r="D123" i="4"/>
  <c r="C54" i="5"/>
  <c r="C47" i="5"/>
  <c r="J30" i="4"/>
  <c r="M64" i="9"/>
  <c r="Y119" i="9"/>
  <c r="AA145" i="9"/>
  <c r="M66" i="8"/>
  <c r="U76" i="4"/>
  <c r="K130" i="4"/>
  <c r="J57" i="4"/>
  <c r="L78" i="8"/>
  <c r="I63" i="9"/>
  <c r="E47" i="8"/>
  <c r="D88" i="8"/>
  <c r="E58" i="9"/>
  <c r="C65" i="9"/>
  <c r="I85" i="7"/>
  <c r="K144" i="9"/>
  <c r="M54" i="7"/>
  <c r="E177" i="4"/>
  <c r="M60" i="4"/>
  <c r="I32" i="8"/>
  <c r="AA75" i="9"/>
  <c r="J27" i="7"/>
  <c r="I79" i="7"/>
  <c r="D68" i="5"/>
  <c r="J128" i="9"/>
  <c r="M155" i="9"/>
  <c r="D151" i="9"/>
  <c r="L76" i="5"/>
  <c r="X96" i="9"/>
  <c r="D48" i="8"/>
  <c r="D38" i="7"/>
  <c r="J111" i="8"/>
  <c r="J93" i="8"/>
  <c r="L78" i="9"/>
  <c r="Z144" i="9"/>
  <c r="L99" i="7"/>
  <c r="J68" i="4"/>
  <c r="J29" i="5"/>
  <c r="K109" i="8"/>
  <c r="D120" i="9"/>
  <c r="K146" i="9"/>
  <c r="L34" i="7"/>
  <c r="K84" i="9"/>
  <c r="Z61" i="9"/>
  <c r="M71" i="5"/>
  <c r="J46" i="7"/>
  <c r="M147" i="4"/>
  <c r="Y45" i="9"/>
  <c r="D76" i="7"/>
  <c r="X68" i="9"/>
  <c r="X114" i="9"/>
  <c r="M88" i="5"/>
  <c r="J72" i="8"/>
  <c r="Z131" i="9"/>
  <c r="L185" i="4"/>
  <c r="Z136" i="9"/>
  <c r="L101" i="5"/>
  <c r="I131" i="9"/>
  <c r="E118" i="8"/>
  <c r="L190" i="4"/>
  <c r="L109" i="8"/>
  <c r="Z56" i="9"/>
  <c r="K38" i="7"/>
  <c r="J63" i="7"/>
  <c r="G33" i="8"/>
  <c r="K48" i="5"/>
  <c r="M58" i="5"/>
  <c r="L48" i="5"/>
  <c r="L72" i="7"/>
  <c r="J78" i="7"/>
  <c r="I139" i="9"/>
  <c r="K57" i="4"/>
  <c r="L53" i="5"/>
  <c r="M92" i="7"/>
  <c r="K140" i="9"/>
  <c r="I65" i="9"/>
  <c r="E94" i="5"/>
  <c r="Y190" i="4"/>
  <c r="C112" i="5"/>
  <c r="Z128" i="9"/>
  <c r="E88" i="9"/>
  <c r="I136" i="9"/>
  <c r="K64" i="9"/>
  <c r="J96" i="8"/>
  <c r="Y111" i="9"/>
  <c r="C110" i="5"/>
  <c r="L86" i="4"/>
  <c r="M37" i="8"/>
  <c r="E63" i="8"/>
  <c r="M47" i="5"/>
  <c r="I123" i="9"/>
  <c r="M45" i="7"/>
  <c r="L107" i="8"/>
  <c r="M90" i="8"/>
  <c r="D148" i="9"/>
  <c r="AA66" i="9"/>
  <c r="E150" i="4"/>
  <c r="D154" i="9"/>
  <c r="I119" i="9"/>
  <c r="E127" i="9"/>
  <c r="I45" i="9"/>
  <c r="I40" i="8"/>
  <c r="K168" i="9"/>
  <c r="Z148" i="9"/>
  <c r="K105" i="8"/>
  <c r="J32" i="7"/>
  <c r="K90" i="7"/>
  <c r="J115" i="4"/>
  <c r="AD74" i="9"/>
  <c r="L61" i="9"/>
  <c r="I107" i="9"/>
  <c r="E57" i="8"/>
  <c r="L157" i="4"/>
  <c r="C63" i="7"/>
  <c r="D64" i="9"/>
  <c r="Y85" i="4"/>
  <c r="C38" i="7"/>
  <c r="J46" i="5"/>
  <c r="J51" i="9"/>
  <c r="J78" i="9"/>
  <c r="I120" i="4"/>
  <c r="C35" i="5"/>
  <c r="AA105" i="9"/>
  <c r="Y36" i="7"/>
  <c r="Z59" i="9"/>
  <c r="M46" i="7"/>
  <c r="I165" i="9"/>
  <c r="J35" i="8"/>
  <c r="G30" i="5"/>
  <c r="U178" i="4"/>
  <c r="U72" i="4"/>
  <c r="M53" i="5"/>
  <c r="G55" i="4"/>
  <c r="M87" i="7"/>
  <c r="E27" i="8"/>
  <c r="M97" i="8"/>
  <c r="C73" i="7"/>
  <c r="Y66" i="8"/>
  <c r="I48" i="8"/>
  <c r="U150" i="4"/>
  <c r="G36" i="5"/>
  <c r="Y35" i="9"/>
  <c r="L112" i="5"/>
  <c r="J48" i="5"/>
  <c r="L37" i="9"/>
  <c r="J152" i="9"/>
  <c r="D39" i="7"/>
  <c r="J150" i="4"/>
  <c r="J141" i="9"/>
  <c r="Z118" i="9"/>
  <c r="J67" i="4"/>
  <c r="J31" i="8"/>
  <c r="J95" i="9"/>
  <c r="E74" i="8"/>
  <c r="K34" i="7"/>
  <c r="D46" i="7"/>
  <c r="L167" i="9"/>
  <c r="L66" i="7"/>
  <c r="K97" i="8"/>
  <c r="J63" i="9"/>
  <c r="M111" i="5"/>
  <c r="I97" i="7"/>
  <c r="E75" i="7"/>
  <c r="C33" i="7"/>
  <c r="Y139" i="9"/>
  <c r="M158" i="4"/>
  <c r="J60" i="4"/>
  <c r="K94" i="4"/>
  <c r="K154" i="4"/>
  <c r="D88" i="5"/>
  <c r="D136" i="9"/>
  <c r="AD98" i="9"/>
  <c r="K71" i="4"/>
  <c r="X37" i="9"/>
  <c r="J69" i="9"/>
  <c r="J76" i="5"/>
  <c r="C169" i="4"/>
  <c r="J116" i="5"/>
  <c r="I127" i="9"/>
  <c r="D111" i="4"/>
  <c r="K36" i="8"/>
  <c r="D34" i="8"/>
  <c r="I186" i="4"/>
  <c r="D108" i="5"/>
  <c r="M191" i="4"/>
  <c r="E87" i="4"/>
  <c r="L97" i="9"/>
  <c r="L108" i="5"/>
  <c r="M44" i="7"/>
  <c r="M117" i="4"/>
  <c r="Y131" i="9"/>
  <c r="L105" i="9"/>
  <c r="J164" i="4"/>
  <c r="D53" i="7"/>
  <c r="I95" i="4"/>
  <c r="K171" i="4"/>
  <c r="Y51" i="4"/>
  <c r="M65" i="5"/>
  <c r="Y94" i="4"/>
  <c r="I167" i="9"/>
  <c r="D180" i="4"/>
  <c r="Y112" i="4"/>
  <c r="M154" i="4"/>
  <c r="J51" i="4"/>
  <c r="D155" i="9"/>
  <c r="C143" i="9"/>
  <c r="L45" i="7"/>
  <c r="K63" i="9"/>
  <c r="D96" i="9"/>
  <c r="J76" i="8"/>
  <c r="AA112" i="9"/>
  <c r="J33" i="7"/>
  <c r="J34" i="7"/>
  <c r="AA123" i="9"/>
  <c r="Y157" i="9"/>
  <c r="L106" i="4"/>
  <c r="Y62" i="9"/>
  <c r="J144" i="4"/>
  <c r="L186" i="4"/>
  <c r="D130" i="4"/>
  <c r="L143" i="9"/>
  <c r="E54" i="7"/>
  <c r="K119" i="4"/>
  <c r="L180" i="4"/>
  <c r="J105" i="8"/>
  <c r="J68" i="5"/>
  <c r="L110" i="9"/>
  <c r="L87" i="7"/>
  <c r="AA107" i="9"/>
  <c r="I84" i="9"/>
  <c r="E35" i="5"/>
  <c r="D54" i="5"/>
  <c r="Y32" i="5"/>
  <c r="J149" i="9"/>
  <c r="D76" i="5"/>
  <c r="K121" i="9"/>
  <c r="E37" i="9"/>
  <c r="Z167" i="9"/>
  <c r="Y61" i="9"/>
  <c r="L107" i="5"/>
  <c r="X94" i="9"/>
  <c r="AA45" i="9"/>
  <c r="D45" i="9"/>
  <c r="Y99" i="7"/>
  <c r="C79" i="5"/>
  <c r="L34" i="8"/>
  <c r="L120" i="4"/>
  <c r="E70" i="9"/>
  <c r="C67" i="9"/>
  <c r="E33" i="7"/>
  <c r="E50" i="8"/>
  <c r="U120" i="4"/>
  <c r="D75" i="7"/>
  <c r="Z110" i="9"/>
  <c r="Y79" i="7"/>
  <c r="I112" i="9"/>
  <c r="Y155" i="9"/>
  <c r="U96" i="4"/>
  <c r="C168" i="4"/>
  <c r="D27" i="8"/>
  <c r="M171" i="4"/>
  <c r="K59" i="4"/>
  <c r="I179" i="4"/>
  <c r="C78" i="9"/>
  <c r="C32" i="5"/>
  <c r="C95" i="7"/>
  <c r="Y144" i="4"/>
  <c r="Y33" i="8"/>
  <c r="C64" i="9"/>
  <c r="U137" i="4"/>
  <c r="M72" i="9"/>
  <c r="Y87" i="9"/>
  <c r="E176" i="4"/>
  <c r="Y59" i="7"/>
  <c r="E137" i="4"/>
  <c r="C99" i="7"/>
  <c r="AD158" i="9"/>
  <c r="M34" i="7"/>
  <c r="E76" i="5"/>
  <c r="I30" i="5"/>
  <c r="I36" i="5"/>
  <c r="K86" i="8"/>
  <c r="I33" i="8"/>
  <c r="J45" i="9"/>
  <c r="L167" i="4"/>
  <c r="J33" i="8"/>
  <c r="Y83" i="9"/>
  <c r="D113" i="9"/>
  <c r="E94" i="9"/>
  <c r="Y115" i="9"/>
  <c r="I169" i="4"/>
  <c r="L53" i="9"/>
  <c r="L98" i="9"/>
  <c r="Y31" i="5"/>
  <c r="Z113" i="9"/>
  <c r="M67" i="9"/>
  <c r="I74" i="9"/>
  <c r="K110" i="4"/>
  <c r="Z149" i="9"/>
  <c r="Y71" i="7"/>
  <c r="Y37" i="9"/>
  <c r="I83" i="9"/>
  <c r="L96" i="4"/>
  <c r="J72" i="4"/>
  <c r="D28" i="5"/>
  <c r="E96" i="4"/>
  <c r="M94" i="8"/>
  <c r="I66" i="8"/>
  <c r="I31" i="7"/>
  <c r="M158" i="9"/>
  <c r="I154" i="9"/>
  <c r="E106" i="5"/>
  <c r="M68" i="5"/>
  <c r="X148" i="9"/>
  <c r="M66" i="9"/>
  <c r="K78" i="8"/>
  <c r="L73" i="9"/>
  <c r="M37" i="9"/>
  <c r="D35" i="9"/>
  <c r="X118" i="9"/>
  <c r="K164" i="9"/>
  <c r="J75" i="7"/>
  <c r="J116" i="8"/>
  <c r="E87" i="9"/>
  <c r="K107" i="9"/>
  <c r="M51" i="4"/>
  <c r="X35" i="9"/>
  <c r="J44" i="5"/>
  <c r="D72" i="8"/>
  <c r="K95" i="4"/>
  <c r="Y182" i="4"/>
  <c r="Y97" i="7"/>
  <c r="L111" i="4"/>
  <c r="J145" i="9"/>
  <c r="M97" i="5"/>
  <c r="J83" i="5"/>
  <c r="M40" i="7"/>
  <c r="E41" i="7"/>
  <c r="D94" i="9"/>
  <c r="Y169" i="4"/>
  <c r="K35" i="9"/>
  <c r="L88" i="5"/>
  <c r="M56" i="7"/>
  <c r="Y157" i="4"/>
  <c r="D75" i="9"/>
  <c r="M121" i="9"/>
  <c r="X164" i="9"/>
  <c r="K61" i="4"/>
  <c r="M107" i="5"/>
  <c r="C75" i="9"/>
  <c r="L41" i="7"/>
  <c r="I89" i="5"/>
  <c r="L115" i="8"/>
  <c r="C51" i="9"/>
  <c r="L114" i="9"/>
  <c r="C159" i="4"/>
  <c r="M30" i="4"/>
  <c r="C36" i="5"/>
  <c r="K114" i="9"/>
  <c r="U51" i="4"/>
  <c r="AA58" i="9"/>
  <c r="U148" i="4"/>
  <c r="K144" i="4"/>
  <c r="U94" i="4"/>
  <c r="U55" i="4"/>
  <c r="E125" i="9"/>
  <c r="Y94" i="9"/>
  <c r="E53" i="7"/>
  <c r="M75" i="4"/>
  <c r="J151" i="9"/>
  <c r="E90" i="5"/>
  <c r="Y98" i="9"/>
  <c r="E103" i="5"/>
  <c r="M35" i="9"/>
  <c r="K86" i="4"/>
  <c r="K70" i="9"/>
  <c r="L107" i="9"/>
  <c r="D178" i="4"/>
  <c r="L26" i="5"/>
  <c r="M168" i="9"/>
  <c r="M64" i="8"/>
  <c r="L59" i="9"/>
  <c r="Z62" i="9"/>
  <c r="K139" i="4"/>
  <c r="I158" i="9"/>
  <c r="D73" i="4"/>
  <c r="Z65" i="9"/>
  <c r="K75" i="4"/>
  <c r="D102" i="8"/>
  <c r="L100" i="8"/>
  <c r="K155" i="9"/>
  <c r="I29" i="5"/>
  <c r="M114" i="5"/>
  <c r="D122" i="9"/>
  <c r="J100" i="8"/>
  <c r="Y164" i="9"/>
  <c r="L139" i="9"/>
  <c r="K79" i="5"/>
  <c r="K55" i="4"/>
  <c r="J170" i="9"/>
  <c r="L113" i="9"/>
  <c r="E62" i="5"/>
  <c r="J73" i="4"/>
  <c r="J26" i="5"/>
  <c r="J90" i="7"/>
  <c r="J66" i="7"/>
  <c r="K157" i="4"/>
  <c r="L53" i="4"/>
  <c r="X83" i="9"/>
  <c r="Y63" i="9"/>
  <c r="I101" i="5"/>
  <c r="M76" i="4"/>
  <c r="AD78" i="9"/>
  <c r="Y75" i="7"/>
  <c r="M81" i="9"/>
  <c r="L76" i="8"/>
  <c r="E85" i="7"/>
  <c r="K159" i="4"/>
  <c r="J72" i="9"/>
  <c r="D173" i="4"/>
  <c r="J39" i="8"/>
  <c r="J134" i="4"/>
  <c r="J92" i="7"/>
  <c r="AA94" i="9"/>
  <c r="K75" i="7"/>
  <c r="M32" i="5"/>
  <c r="M150" i="4"/>
  <c r="J112" i="4"/>
  <c r="E68" i="4"/>
  <c r="J109" i="8"/>
  <c r="E101" i="5"/>
  <c r="J158" i="4"/>
  <c r="K71" i="7"/>
  <c r="I176" i="4"/>
  <c r="AA120" i="9"/>
  <c r="J101" i="4"/>
  <c r="AA144" i="9"/>
  <c r="L122" i="9"/>
  <c r="AD136" i="9"/>
  <c r="E145" i="9"/>
  <c r="K79" i="7"/>
  <c r="K45" i="7"/>
  <c r="E102" i="8"/>
  <c r="Y84" i="9"/>
  <c r="K128" i="9"/>
  <c r="J87" i="9"/>
  <c r="M39" i="8"/>
  <c r="X123" i="9"/>
  <c r="L25" i="5"/>
  <c r="L37" i="7"/>
  <c r="I88" i="9"/>
  <c r="L52" i="7"/>
  <c r="I58" i="9"/>
  <c r="J118" i="9"/>
  <c r="D95" i="9"/>
  <c r="Z57" i="9"/>
  <c r="K33" i="5"/>
  <c r="X110" i="9"/>
  <c r="E57" i="7"/>
  <c r="AA96" i="9"/>
  <c r="K95" i="7"/>
  <c r="I108" i="5"/>
  <c r="L115" i="4"/>
  <c r="K188" i="4"/>
  <c r="L95" i="4"/>
  <c r="C125" i="4"/>
  <c r="E31" i="7"/>
  <c r="Y86" i="8"/>
  <c r="C69" i="4"/>
  <c r="K68" i="4"/>
  <c r="L88" i="9"/>
  <c r="I68" i="5"/>
  <c r="L91" i="9"/>
  <c r="Y158" i="9"/>
  <c r="E127" i="4"/>
  <c r="L54" i="5"/>
  <c r="Y176" i="4"/>
  <c r="Y49" i="7"/>
  <c r="I106" i="5"/>
  <c r="D110" i="8"/>
  <c r="K94" i="8"/>
  <c r="Y37" i="7"/>
  <c r="E36" i="7"/>
  <c r="I73" i="7"/>
  <c r="L72" i="5"/>
  <c r="J83" i="4"/>
  <c r="K74" i="8"/>
  <c r="M113" i="9"/>
  <c r="L112" i="4"/>
  <c r="K94" i="7"/>
  <c r="K113" i="9"/>
  <c r="I146" i="9"/>
  <c r="J48" i="8"/>
  <c r="J76" i="7"/>
  <c r="K36" i="7"/>
  <c r="I95" i="7"/>
  <c r="X73" i="9"/>
  <c r="E28" i="5"/>
  <c r="J70" i="9"/>
  <c r="E128" i="9"/>
  <c r="K111" i="8"/>
  <c r="D44" i="7"/>
  <c r="Y69" i="4"/>
  <c r="L94" i="5"/>
  <c r="C69" i="5"/>
  <c r="K93" i="4"/>
  <c r="L116" i="5"/>
  <c r="E114" i="9"/>
  <c r="J102" i="8"/>
  <c r="E119" i="9"/>
  <c r="L107" i="4"/>
  <c r="I89" i="8"/>
  <c r="Z168" i="9"/>
  <c r="Y159" i="4"/>
  <c r="AD145" i="9"/>
  <c r="J91" i="7"/>
  <c r="M137" i="4"/>
  <c r="E101" i="4"/>
  <c r="M148" i="9"/>
  <c r="J35" i="9"/>
  <c r="L127" i="4"/>
  <c r="I93" i="9"/>
  <c r="J188" i="4"/>
  <c r="M71" i="7"/>
  <c r="L130" i="9"/>
  <c r="L49" i="7"/>
  <c r="L76" i="4"/>
  <c r="I90" i="7"/>
  <c r="C157" i="4"/>
  <c r="C146" i="9"/>
  <c r="L125" i="9"/>
  <c r="K48" i="9"/>
  <c r="E179" i="4"/>
  <c r="K145" i="9"/>
  <c r="E25" i="5"/>
  <c r="M159" i="4"/>
  <c r="I93" i="4"/>
  <c r="J148" i="4"/>
  <c r="J90" i="9"/>
  <c r="J65" i="4"/>
  <c r="M107" i="4"/>
  <c r="D66" i="9"/>
  <c r="K40" i="8"/>
  <c r="D72" i="7"/>
  <c r="D81" i="5"/>
  <c r="Y71" i="4"/>
  <c r="L193" i="4"/>
  <c r="K30" i="5"/>
  <c r="E63" i="5"/>
  <c r="M33" i="8"/>
  <c r="I74" i="8"/>
  <c r="Y139" i="4"/>
  <c r="M83" i="5"/>
  <c r="D90" i="5"/>
  <c r="X105" i="9"/>
  <c r="E113" i="9"/>
  <c r="X81" i="9"/>
  <c r="L36" i="8"/>
  <c r="J75" i="9"/>
  <c r="L90" i="9"/>
  <c r="J107" i="5"/>
  <c r="AA170" i="9"/>
  <c r="J89" i="5"/>
  <c r="L91" i="7"/>
  <c r="Z96" i="9"/>
  <c r="J40" i="8"/>
  <c r="K101" i="5"/>
  <c r="I178" i="4"/>
  <c r="L181" i="4"/>
  <c r="I110" i="9"/>
  <c r="D137" i="4"/>
  <c r="J56" i="9"/>
  <c r="D65" i="5"/>
  <c r="E71" i="5"/>
  <c r="C73" i="4"/>
  <c r="C88" i="9"/>
  <c r="L82" i="7"/>
  <c r="E105" i="8"/>
  <c r="D53" i="9"/>
  <c r="C165" i="9"/>
  <c r="X64" i="9"/>
  <c r="AA57" i="9"/>
  <c r="I144" i="4"/>
  <c r="L39" i="7"/>
  <c r="L72" i="8"/>
  <c r="L155" i="9"/>
  <c r="E185" i="4"/>
  <c r="D72" i="4"/>
  <c r="M150" i="9"/>
  <c r="K158" i="4"/>
  <c r="M186" i="4"/>
  <c r="L51" i="9"/>
  <c r="M61" i="9"/>
  <c r="L65" i="5"/>
  <c r="I59" i="9"/>
  <c r="K31" i="8"/>
  <c r="J95" i="7"/>
  <c r="K96" i="4"/>
  <c r="Z82" i="9"/>
  <c r="I110" i="4"/>
  <c r="M31" i="5"/>
  <c r="M105" i="9"/>
  <c r="L90" i="8"/>
  <c r="AA64" i="9"/>
  <c r="K112" i="4"/>
  <c r="Z84" i="9"/>
  <c r="I155" i="9"/>
  <c r="J97" i="9"/>
  <c r="M25" i="5"/>
  <c r="L141" i="9"/>
  <c r="L67" i="8"/>
  <c r="K87" i="4"/>
  <c r="K76" i="7"/>
  <c r="AD150" i="9"/>
  <c r="D61" i="9"/>
  <c r="Z105" i="9"/>
  <c r="E165" i="9"/>
  <c r="D66" i="8"/>
  <c r="M85" i="4"/>
  <c r="Z122" i="9"/>
  <c r="Z98" i="9"/>
  <c r="U153" i="4"/>
  <c r="L147" i="9"/>
  <c r="I53" i="7"/>
  <c r="Y41" i="7"/>
  <c r="C125" i="9"/>
  <c r="M38" i="8"/>
  <c r="M115" i="8"/>
  <c r="D35" i="7"/>
  <c r="AD91" i="9"/>
  <c r="AD112" i="9"/>
  <c r="AD57" i="9"/>
  <c r="G61" i="4"/>
  <c r="AD168" i="9"/>
  <c r="D82" i="7"/>
  <c r="D177" i="4"/>
  <c r="Y179" i="4"/>
  <c r="L118" i="9"/>
  <c r="X97" i="9"/>
  <c r="K51" i="4"/>
  <c r="J179" i="4"/>
  <c r="C93" i="9"/>
  <c r="D51" i="4"/>
  <c r="I96" i="8"/>
  <c r="K99" i="7"/>
  <c r="D118" i="8"/>
  <c r="Y128" i="9"/>
  <c r="L67" i="4"/>
  <c r="Y138" i="4"/>
  <c r="AA68" i="9"/>
  <c r="I110" i="5"/>
  <c r="D184" i="4"/>
  <c r="I71" i="8"/>
  <c r="K76" i="8"/>
  <c r="E141" i="9"/>
  <c r="J73" i="9"/>
  <c r="X134" i="9"/>
  <c r="M157" i="4"/>
  <c r="X127" i="9"/>
  <c r="M106" i="4"/>
  <c r="M76" i="8"/>
  <c r="J96" i="4"/>
  <c r="J140" i="4"/>
  <c r="J102" i="7"/>
  <c r="E134" i="9"/>
  <c r="D103" i="5"/>
  <c r="K69" i="9"/>
  <c r="K63" i="7"/>
  <c r="AA121" i="9"/>
  <c r="C44" i="5"/>
  <c r="D67" i="9"/>
  <c r="J52" i="7"/>
  <c r="K52" i="7"/>
  <c r="J87" i="7"/>
  <c r="D51" i="9"/>
  <c r="J176" i="4"/>
  <c r="I116" i="8"/>
  <c r="L94" i="8"/>
  <c r="I122" i="9"/>
  <c r="D158" i="4"/>
  <c r="AA147" i="9"/>
  <c r="D95" i="4"/>
  <c r="C84" i="5"/>
  <c r="AD107" i="9"/>
  <c r="K98" i="9"/>
  <c r="M52" i="7"/>
  <c r="I66" i="9"/>
  <c r="Y87" i="8"/>
  <c r="AD122" i="9"/>
  <c r="C119" i="9"/>
  <c r="Z91" i="9"/>
  <c r="Z145" i="9"/>
  <c r="AA73" i="9"/>
  <c r="AA111" i="9"/>
  <c r="L58" i="9"/>
  <c r="I108" i="4"/>
  <c r="M68" i="4"/>
  <c r="J86" i="4"/>
  <c r="K68" i="7"/>
  <c r="Y32" i="7"/>
  <c r="J85" i="7"/>
  <c r="I150" i="9"/>
  <c r="D35" i="5"/>
  <c r="I71" i="5"/>
  <c r="M69" i="7"/>
  <c r="J107" i="4"/>
  <c r="L83" i="8"/>
  <c r="J107" i="9"/>
  <c r="J105" i="9"/>
  <c r="L149" i="9"/>
  <c r="Y183" i="4"/>
  <c r="Y147" i="9"/>
  <c r="L62" i="5"/>
  <c r="I147" i="9"/>
  <c r="K110" i="5"/>
  <c r="J40" i="7"/>
  <c r="D67" i="8"/>
  <c r="AD88" i="9"/>
  <c r="E154" i="4"/>
  <c r="K54" i="5"/>
  <c r="D69" i="5"/>
  <c r="I94" i="5"/>
  <c r="L38" i="7"/>
  <c r="E44" i="5"/>
  <c r="I72" i="5"/>
  <c r="I153" i="4"/>
  <c r="I113" i="8"/>
  <c r="L153" i="4"/>
  <c r="X58" i="9"/>
  <c r="K49" i="7"/>
  <c r="E83" i="5"/>
  <c r="U115" i="4"/>
  <c r="I98" i="5"/>
  <c r="I103" i="5"/>
  <c r="J87" i="4"/>
  <c r="L90" i="7"/>
  <c r="I69" i="5"/>
  <c r="K140" i="4"/>
  <c r="I82" i="9"/>
  <c r="K113" i="8"/>
  <c r="M36" i="7"/>
  <c r="L112" i="9"/>
  <c r="K96" i="8"/>
  <c r="K115" i="4"/>
  <c r="J146" i="4"/>
  <c r="L69" i="9"/>
  <c r="C94" i="9"/>
  <c r="L55" i="4"/>
  <c r="E40" i="9"/>
  <c r="E64" i="8"/>
  <c r="Y44" i="7"/>
  <c r="I151" i="9"/>
  <c r="Y76" i="7"/>
  <c r="E38" i="7"/>
  <c r="Y51" i="9"/>
  <c r="M134" i="4"/>
  <c r="M73" i="4"/>
  <c r="D83" i="9"/>
  <c r="I75" i="8"/>
  <c r="Z83" i="9"/>
  <c r="Y54" i="7"/>
  <c r="E66" i="9"/>
  <c r="C53" i="4"/>
  <c r="G28" i="5"/>
  <c r="E157" i="9"/>
  <c r="J153" i="4"/>
  <c r="D96" i="8"/>
  <c r="Y100" i="7"/>
  <c r="E61" i="4"/>
  <c r="J113" i="8"/>
  <c r="AD56" i="9"/>
  <c r="Z95" i="9"/>
  <c r="I105" i="8"/>
  <c r="Z123" i="9"/>
  <c r="I81" i="8"/>
  <c r="Y141" i="9"/>
  <c r="L146" i="9"/>
  <c r="Z112" i="9"/>
  <c r="J74" i="8"/>
  <c r="D58" i="8"/>
  <c r="AD164" i="9"/>
  <c r="D100" i="8"/>
  <c r="Z81" i="9"/>
  <c r="M84" i="5"/>
  <c r="E191" i="4"/>
  <c r="AA168" i="9"/>
  <c r="J47" i="5"/>
  <c r="AA74" i="9"/>
  <c r="AA67" i="9"/>
  <c r="Y93" i="8"/>
  <c r="I76" i="5"/>
  <c r="I116" i="5"/>
  <c r="L63" i="7"/>
  <c r="AA140" i="9"/>
  <c r="L97" i="5"/>
  <c r="E112" i="4"/>
  <c r="C37" i="9"/>
  <c r="I73" i="9"/>
  <c r="L32" i="7"/>
  <c r="Y180" i="4"/>
  <c r="J74" i="7"/>
  <c r="K179" i="4"/>
  <c r="X88" i="9"/>
  <c r="D31" i="5"/>
  <c r="I112" i="5"/>
  <c r="I51" i="9"/>
  <c r="J146" i="9"/>
  <c r="J53" i="5"/>
  <c r="K61" i="9"/>
  <c r="Z75" i="9"/>
  <c r="L84" i="9"/>
  <c r="AA83" i="9"/>
  <c r="M79" i="7"/>
  <c r="L28" i="5"/>
  <c r="E65" i="4"/>
  <c r="L154" i="9"/>
  <c r="Y144" i="9"/>
  <c r="M66" i="7"/>
  <c r="Y73" i="7"/>
  <c r="J71" i="4"/>
  <c r="Y81" i="9"/>
  <c r="L173" i="4"/>
  <c r="K53" i="4"/>
  <c r="K92" i="7"/>
  <c r="D139" i="9"/>
  <c r="Y105" i="9"/>
  <c r="D96" i="4"/>
  <c r="J110" i="5"/>
  <c r="M78" i="9"/>
  <c r="D84" i="9"/>
  <c r="AD105" i="9"/>
  <c r="Y30" i="5"/>
  <c r="I59" i="7"/>
  <c r="X65" i="9"/>
  <c r="AD48" i="9"/>
  <c r="K100" i="8"/>
  <c r="E158" i="9"/>
  <c r="L168" i="9"/>
  <c r="I141" i="9"/>
  <c r="K83" i="8"/>
  <c r="E94" i="7"/>
  <c r="AA149" i="9"/>
  <c r="X66" i="9"/>
  <c r="Z53" i="9"/>
  <c r="L158" i="4"/>
  <c r="I90" i="8"/>
  <c r="C150" i="4"/>
  <c r="C30" i="5"/>
  <c r="E118" i="9"/>
  <c r="M59" i="9"/>
  <c r="J120" i="4"/>
  <c r="U61" i="4"/>
  <c r="M143" i="9"/>
  <c r="C59" i="9"/>
  <c r="G30" i="4"/>
  <c r="AD94" i="9"/>
  <c r="C190" i="4"/>
  <c r="M178" i="4"/>
  <c r="Y140" i="4"/>
  <c r="AD144" i="9"/>
  <c r="K152" i="9"/>
  <c r="M88" i="9"/>
  <c r="L61" i="8"/>
  <c r="U177" i="4"/>
  <c r="Y59" i="4"/>
  <c r="C53" i="7"/>
  <c r="M103" i="4"/>
  <c r="C83" i="4"/>
  <c r="C106" i="5"/>
  <c r="G28" i="7"/>
  <c r="I127" i="4"/>
  <c r="C35" i="7"/>
  <c r="Y158" i="4"/>
  <c r="M59" i="7"/>
  <c r="Y107" i="8"/>
  <c r="D69" i="4"/>
  <c r="I125" i="4"/>
  <c r="M37" i="7"/>
  <c r="K73" i="9"/>
  <c r="K87" i="9"/>
  <c r="M118" i="8"/>
  <c r="E170" i="9"/>
  <c r="Y150" i="9"/>
  <c r="J82" i="9"/>
  <c r="L35" i="9"/>
  <c r="K73" i="7"/>
  <c r="E164" i="9"/>
  <c r="L92" i="7"/>
  <c r="L140" i="4"/>
  <c r="I35" i="9"/>
  <c r="J71" i="7"/>
  <c r="L123" i="9"/>
  <c r="D65" i="4"/>
  <c r="X128" i="9"/>
  <c r="D112" i="4"/>
  <c r="L46" i="8"/>
  <c r="L120" i="9"/>
  <c r="Y26" i="5"/>
  <c r="I52" i="7"/>
  <c r="D116" i="5"/>
  <c r="K175" i="4"/>
  <c r="Y46" i="7"/>
  <c r="I97" i="8"/>
  <c r="I48" i="5"/>
  <c r="L73" i="4"/>
  <c r="C178" i="4"/>
  <c r="J173" i="4"/>
  <c r="AA141" i="9"/>
  <c r="I193" i="4"/>
  <c r="K82" i="9"/>
  <c r="K149" i="9"/>
  <c r="E48" i="8"/>
  <c r="X117" i="9"/>
  <c r="D31" i="8"/>
  <c r="I83" i="5"/>
  <c r="L56" i="9"/>
  <c r="E65" i="9"/>
  <c r="L105" i="8"/>
  <c r="K112" i="5"/>
  <c r="E97" i="5"/>
  <c r="Y134" i="9"/>
  <c r="J37" i="7"/>
  <c r="I90" i="9"/>
  <c r="I74" i="4"/>
  <c r="M111" i="9"/>
  <c r="X147" i="9"/>
  <c r="D117" i="9"/>
  <c r="K182" i="4"/>
  <c r="K82" i="7"/>
  <c r="Y95" i="9"/>
  <c r="C37" i="7"/>
  <c r="C61" i="4"/>
  <c r="J25" i="5"/>
  <c r="K97" i="5"/>
  <c r="AA37" i="9"/>
  <c r="E59" i="9"/>
  <c r="I51" i="4"/>
  <c r="L87" i="4"/>
  <c r="J148" i="9"/>
  <c r="I107" i="4"/>
  <c r="C116" i="5"/>
  <c r="I168" i="4"/>
  <c r="L95" i="9"/>
  <c r="M122" i="9"/>
  <c r="J154" i="4"/>
  <c r="M140" i="4"/>
  <c r="AD58" i="9"/>
  <c r="M116" i="5"/>
  <c r="D73" i="9"/>
  <c r="X63" i="9"/>
  <c r="M154" i="9"/>
  <c r="D175" i="4"/>
  <c r="K118" i="9"/>
  <c r="M69" i="5"/>
  <c r="I157" i="9"/>
  <c r="AD62" i="9"/>
  <c r="L157" i="9"/>
  <c r="E184" i="4"/>
  <c r="J61" i="9"/>
  <c r="Y53" i="9"/>
  <c r="X143" i="9"/>
  <c r="C87" i="4"/>
  <c r="J36" i="5"/>
  <c r="J100" i="7"/>
  <c r="Y33" i="5"/>
  <c r="E180" i="4"/>
  <c r="X115" i="9"/>
  <c r="AD37" i="9"/>
  <c r="E78" i="8"/>
  <c r="J45" i="7"/>
  <c r="M69" i="9"/>
  <c r="K145" i="4"/>
  <c r="M74" i="4"/>
  <c r="Z104" i="9"/>
  <c r="AD127" i="9"/>
  <c r="E120" i="9"/>
  <c r="E122" i="9"/>
  <c r="Z154" i="9"/>
  <c r="C146" i="4"/>
  <c r="C100" i="7"/>
  <c r="C72" i="9"/>
  <c r="AA127" i="9"/>
  <c r="E147" i="4"/>
  <c r="K117" i="9"/>
  <c r="Y83" i="8"/>
  <c r="D106" i="5"/>
  <c r="K107" i="8"/>
  <c r="E61" i="8"/>
  <c r="Z45" i="9"/>
  <c r="Y56" i="7"/>
  <c r="I159" i="4"/>
  <c r="L159" i="4"/>
  <c r="J57" i="7"/>
  <c r="J139" i="9"/>
  <c r="L65" i="9"/>
  <c r="AA114" i="9"/>
  <c r="E91" i="7"/>
  <c r="E111" i="8"/>
  <c r="J121" i="9"/>
  <c r="I111" i="4"/>
  <c r="K97" i="7"/>
  <c r="J118" i="5"/>
  <c r="J62" i="7"/>
  <c r="Y81" i="7"/>
  <c r="AA98" i="9"/>
  <c r="Y117" i="4"/>
  <c r="J98" i="9"/>
  <c r="K73" i="4"/>
  <c r="E116" i="8"/>
  <c r="E115" i="8"/>
  <c r="I26" i="5"/>
  <c r="M115" i="9"/>
  <c r="D110" i="9"/>
  <c r="Y164" i="4"/>
  <c r="L118" i="8"/>
  <c r="Y116" i="8"/>
  <c r="K102" i="7"/>
  <c r="I148" i="9"/>
  <c r="J168" i="4"/>
  <c r="E134" i="4"/>
  <c r="I68" i="4"/>
  <c r="M184" i="4"/>
  <c r="Y62" i="7"/>
  <c r="J131" i="9"/>
  <c r="Y39" i="7"/>
  <c r="E45" i="7"/>
  <c r="K120" i="4"/>
  <c r="C179" i="4"/>
  <c r="U65" i="4"/>
  <c r="G32" i="5"/>
  <c r="G27" i="7"/>
  <c r="L66" i="9"/>
  <c r="C118" i="9"/>
  <c r="E164" i="4"/>
  <c r="X90" i="9"/>
  <c r="D104" i="9"/>
  <c r="C91" i="7"/>
  <c r="Y110" i="4"/>
  <c r="AD125" i="9"/>
  <c r="L81" i="9"/>
  <c r="D87" i="4"/>
  <c r="M131" i="9"/>
  <c r="Y57" i="9"/>
  <c r="M65" i="4"/>
  <c r="M100" i="7"/>
  <c r="L102" i="7"/>
  <c r="Y29" i="5"/>
  <c r="E144" i="9"/>
  <c r="K110" i="9"/>
  <c r="M151" i="9"/>
  <c r="E83" i="8"/>
  <c r="I107" i="5"/>
  <c r="J171" i="4"/>
  <c r="J181" i="4"/>
  <c r="K107" i="5"/>
  <c r="I94" i="4"/>
  <c r="I78" i="9"/>
  <c r="X70" i="9"/>
  <c r="E44" i="7"/>
  <c r="D90" i="8"/>
  <c r="J120" i="9"/>
  <c r="L96" i="8"/>
  <c r="D68" i="9"/>
  <c r="Z151" i="9"/>
  <c r="K63" i="8"/>
  <c r="I144" i="9"/>
  <c r="L121" i="9"/>
  <c r="L74" i="8"/>
  <c r="E152" i="9"/>
  <c r="L47" i="7"/>
  <c r="D73" i="7"/>
  <c r="I115" i="8"/>
  <c r="M51" i="9"/>
  <c r="J84" i="9"/>
  <c r="M28" i="5"/>
  <c r="J185" i="4"/>
  <c r="L68" i="9"/>
  <c r="L94" i="7"/>
  <c r="Y120" i="4"/>
  <c r="K66" i="8"/>
  <c r="L97" i="8"/>
  <c r="X121" i="9"/>
  <c r="J123" i="9"/>
  <c r="D181" i="4"/>
  <c r="M74" i="9"/>
  <c r="J37" i="8"/>
  <c r="I63" i="8"/>
  <c r="L89" i="8"/>
  <c r="Y106" i="8"/>
  <c r="M34" i="8"/>
  <c r="Y118" i="9"/>
  <c r="K67" i="9"/>
  <c r="M139" i="4"/>
  <c r="D30" i="4"/>
  <c r="C115" i="9"/>
  <c r="E83" i="9"/>
  <c r="C108" i="4"/>
  <c r="U112" i="4"/>
  <c r="C98" i="5"/>
  <c r="E103" i="4"/>
  <c r="C71" i="4"/>
  <c r="E144" i="4"/>
  <c r="AD140" i="9"/>
  <c r="M146" i="9"/>
  <c r="G41" i="7"/>
  <c r="M179" i="4"/>
  <c r="M31" i="8"/>
  <c r="D130" i="9"/>
  <c r="D78" i="9"/>
  <c r="AD111" i="9"/>
  <c r="K88" i="8"/>
  <c r="M140" i="9"/>
  <c r="D87" i="8"/>
  <c r="Y173" i="4"/>
  <c r="C134" i="9"/>
  <c r="U106" i="4"/>
  <c r="L156" i="4"/>
  <c r="X165" i="9"/>
  <c r="M190" i="4"/>
  <c r="D47" i="7"/>
  <c r="AD118" i="9"/>
  <c r="I164" i="9"/>
  <c r="D36" i="7"/>
  <c r="D76" i="8"/>
  <c r="C32" i="7"/>
  <c r="K65" i="9"/>
  <c r="G39" i="7"/>
  <c r="D60" i="7"/>
  <c r="I150" i="4"/>
  <c r="M73" i="7"/>
  <c r="M27" i="8"/>
  <c r="L117" i="9"/>
  <c r="C186" i="4"/>
  <c r="J71" i="5"/>
  <c r="AA136" i="9"/>
  <c r="M83" i="8"/>
  <c r="K69" i="4"/>
  <c r="M107" i="8"/>
  <c r="AA148" i="9"/>
  <c r="I177" i="4"/>
  <c r="Y75" i="4"/>
  <c r="I34" i="7"/>
  <c r="L144" i="4"/>
  <c r="X84" i="9"/>
  <c r="E147" i="9"/>
  <c r="Y185" i="4"/>
  <c r="L67" i="9"/>
  <c r="Y86" i="4"/>
  <c r="K35" i="5"/>
  <c r="L48" i="9"/>
  <c r="M118" i="5"/>
  <c r="I91" i="7"/>
  <c r="Y106" i="4"/>
  <c r="L68" i="7"/>
  <c r="E68" i="5"/>
  <c r="D40" i="7"/>
  <c r="L60" i="8"/>
  <c r="E53" i="5"/>
  <c r="X151" i="9"/>
  <c r="D66" i="5"/>
  <c r="D62" i="5"/>
  <c r="E84" i="5"/>
  <c r="I37" i="7"/>
  <c r="E86" i="4"/>
  <c r="Z119" i="9"/>
  <c r="I48" i="9"/>
  <c r="I68" i="9"/>
  <c r="I134" i="4"/>
  <c r="D48" i="9"/>
  <c r="J32" i="8"/>
  <c r="I90" i="5"/>
  <c r="K54" i="8"/>
  <c r="I148" i="4"/>
  <c r="AA108" i="9"/>
  <c r="Y92" i="7"/>
  <c r="AA110" i="9"/>
  <c r="M57" i="8"/>
  <c r="Y119" i="4"/>
  <c r="C56" i="9"/>
  <c r="C26" i="5"/>
  <c r="L165" i="9"/>
  <c r="AD75" i="9"/>
  <c r="E56" i="7"/>
  <c r="G60" i="4"/>
  <c r="D111" i="8"/>
  <c r="M86" i="8"/>
  <c r="K180" i="4"/>
  <c r="I28" i="7"/>
  <c r="D134" i="4"/>
  <c r="Y27" i="7"/>
  <c r="Z78" i="9"/>
  <c r="U180" i="4"/>
  <c r="D60" i="8"/>
  <c r="Z165" i="9"/>
  <c r="I33" i="7"/>
  <c r="M63" i="9"/>
  <c r="E38" i="8"/>
  <c r="J186" i="4"/>
  <c r="K83" i="5"/>
  <c r="AA84" i="9"/>
  <c r="J83" i="9"/>
  <c r="M53" i="9"/>
  <c r="AA82" i="9"/>
  <c r="L144" i="9"/>
  <c r="E35" i="9"/>
  <c r="K32" i="8"/>
  <c r="J112" i="9"/>
  <c r="K33" i="7"/>
  <c r="AA63" i="9"/>
  <c r="Y75" i="9"/>
  <c r="I72" i="7"/>
  <c r="E67" i="4"/>
  <c r="E31" i="5"/>
  <c r="E54" i="5"/>
  <c r="K100" i="7"/>
  <c r="J81" i="7"/>
  <c r="L57" i="4"/>
  <c r="D111" i="9"/>
  <c r="K103" i="5"/>
  <c r="Y115" i="4"/>
  <c r="M33" i="5"/>
  <c r="C150" i="9"/>
  <c r="Y170" i="9"/>
  <c r="J130" i="4"/>
  <c r="L71" i="5"/>
  <c r="K167" i="4"/>
  <c r="M118" i="9"/>
  <c r="J88" i="8"/>
  <c r="J64" i="9"/>
  <c r="D56" i="7"/>
  <c r="L176" i="4"/>
  <c r="L94" i="4"/>
  <c r="C31" i="5"/>
  <c r="E51" i="4"/>
  <c r="K116" i="8"/>
  <c r="J60" i="7"/>
  <c r="AD87" i="9"/>
  <c r="Y67" i="9"/>
  <c r="J78" i="8"/>
  <c r="D159" i="4"/>
  <c r="J110" i="4"/>
  <c r="L119" i="4"/>
  <c r="C91" i="9"/>
  <c r="J59" i="4"/>
  <c r="E45" i="9"/>
  <c r="C141" i="9"/>
  <c r="X86" i="9"/>
  <c r="M62" i="7"/>
  <c r="K154" i="9"/>
  <c r="Y123" i="4"/>
  <c r="J115" i="8"/>
  <c r="E74" i="9"/>
  <c r="L71" i="7"/>
  <c r="E149" i="9"/>
  <c r="I61" i="4"/>
  <c r="Y78" i="9"/>
  <c r="J97" i="7"/>
  <c r="D164" i="4"/>
  <c r="L75" i="4"/>
  <c r="I74" i="7"/>
  <c r="AA97" i="9"/>
  <c r="J180" i="4"/>
  <c r="D29" i="5"/>
  <c r="Z111" i="9"/>
  <c r="L152" i="9"/>
  <c r="K66" i="5"/>
  <c r="E69" i="9"/>
  <c r="I34" i="8"/>
  <c r="K176" i="4"/>
  <c r="D56" i="9"/>
  <c r="I25" i="5"/>
  <c r="J155" i="9"/>
  <c r="I95" i="5"/>
  <c r="K56" i="9"/>
  <c r="M35" i="8"/>
  <c r="E146" i="4"/>
  <c r="M44" i="5"/>
  <c r="I114" i="9"/>
  <c r="K111" i="4"/>
  <c r="X120" i="9"/>
  <c r="J74" i="4"/>
  <c r="J76" i="4"/>
  <c r="K170" i="9"/>
  <c r="AD81" i="9"/>
  <c r="K89" i="8"/>
  <c r="I38" i="7"/>
  <c r="Y45" i="7"/>
  <c r="K61" i="8"/>
  <c r="I44" i="7"/>
  <c r="D90" i="7"/>
  <c r="K148" i="4"/>
  <c r="X125" i="9"/>
  <c r="U86" i="4"/>
  <c r="J157" i="4"/>
  <c r="K46" i="5"/>
  <c r="C59" i="7"/>
  <c r="K104" i="9"/>
  <c r="C164" i="4"/>
  <c r="E125" i="4"/>
  <c r="I73" i="4"/>
  <c r="L87" i="9"/>
  <c r="Y50" i="8"/>
  <c r="G31" i="8"/>
  <c r="Z170" i="9"/>
  <c r="E169" i="4"/>
  <c r="J98" i="5"/>
  <c r="I75" i="9"/>
  <c r="I138" i="4"/>
  <c r="J59" i="7"/>
  <c r="E47" i="7"/>
  <c r="J162" i="4"/>
  <c r="Y58" i="9"/>
  <c r="I139" i="4"/>
  <c r="Z127" i="9"/>
  <c r="L110" i="5"/>
  <c r="C153" i="4"/>
  <c r="L31" i="7"/>
  <c r="K48" i="8"/>
  <c r="E66" i="5"/>
  <c r="K39" i="7"/>
  <c r="Y94" i="8"/>
  <c r="J31" i="7"/>
  <c r="K191" i="4"/>
  <c r="D191" i="4"/>
  <c r="K33" i="8"/>
  <c r="C69" i="7"/>
  <c r="I87" i="4"/>
  <c r="Y109" i="8"/>
  <c r="I69" i="9"/>
  <c r="K169" i="4"/>
  <c r="X158" i="9"/>
  <c r="M32" i="7"/>
  <c r="X51" i="9"/>
  <c r="L127" i="9"/>
  <c r="D54" i="8"/>
  <c r="J59" i="9"/>
  <c r="X95" i="9"/>
  <c r="Y107" i="9"/>
  <c r="D125" i="4"/>
  <c r="M47" i="7"/>
  <c r="C76" i="5"/>
  <c r="AA134" i="9"/>
  <c r="K95" i="9"/>
  <c r="L177" i="4"/>
  <c r="G76" i="4"/>
  <c r="K88" i="9"/>
  <c r="J61" i="8"/>
  <c r="K34" i="8"/>
  <c r="I87" i="9"/>
  <c r="Y74" i="7"/>
  <c r="L81" i="8"/>
  <c r="M68" i="7"/>
  <c r="AA53" i="9"/>
  <c r="I67" i="9"/>
  <c r="K134" i="4"/>
  <c r="I94" i="7"/>
  <c r="I81" i="7"/>
  <c r="Y65" i="4"/>
  <c r="U67" i="4"/>
  <c r="Y57" i="8"/>
  <c r="D183" i="4"/>
  <c r="M23" i="8"/>
  <c r="U125" i="4"/>
  <c r="X130" i="9"/>
  <c r="L162" i="4"/>
  <c r="M177" i="4"/>
  <c r="L151" i="9"/>
  <c r="D74" i="8"/>
  <c r="L170" i="9"/>
  <c r="E74" i="4"/>
  <c r="C97" i="7"/>
  <c r="K120" i="9"/>
  <c r="M61" i="4"/>
  <c r="Y186" i="4"/>
  <c r="X139" i="9"/>
  <c r="J190" i="4"/>
  <c r="L182" i="4"/>
  <c r="L158" i="9"/>
  <c r="Y66" i="9"/>
  <c r="I62" i="7"/>
  <c r="J65" i="9"/>
  <c r="Z87" i="9"/>
  <c r="M96" i="9"/>
  <c r="X75" i="9"/>
  <c r="I76" i="7"/>
  <c r="E73" i="7"/>
  <c r="K111" i="9"/>
  <c r="Y60" i="7"/>
  <c r="AA146" i="9"/>
  <c r="D146" i="9"/>
  <c r="K116" i="5"/>
  <c r="K153" i="4"/>
  <c r="C131" i="9"/>
  <c r="Z120" i="9"/>
  <c r="AA122" i="9"/>
  <c r="D114" i="5"/>
  <c r="E140" i="9"/>
  <c r="Y150" i="4"/>
  <c r="J63" i="8"/>
  <c r="J177" i="4"/>
  <c r="K107" i="4"/>
  <c r="J111" i="9"/>
  <c r="Y28" i="5"/>
  <c r="K168" i="4"/>
  <c r="X167" i="9"/>
  <c r="Z70" i="9"/>
  <c r="E107" i="5"/>
  <c r="I54" i="7"/>
  <c r="Z73" i="9"/>
  <c r="L137" i="4"/>
  <c r="I173" i="4"/>
  <c r="L83" i="5"/>
  <c r="I100" i="8"/>
  <c r="K85" i="7"/>
  <c r="K147" i="9"/>
  <c r="J119" i="9"/>
  <c r="AD53" i="9"/>
  <c r="I112" i="4"/>
  <c r="L33" i="8"/>
  <c r="G67" i="4"/>
  <c r="Y104" i="9"/>
  <c r="U107" i="4"/>
  <c r="U188" i="4"/>
  <c r="D55" i="4"/>
  <c r="E108" i="4"/>
  <c r="I102" i="7"/>
  <c r="Z88" i="9"/>
  <c r="G29" i="5"/>
  <c r="C62" i="9"/>
  <c r="I64" i="8"/>
  <c r="U130" i="4"/>
  <c r="L131" i="9"/>
  <c r="E143" i="9"/>
  <c r="D63" i="5"/>
  <c r="G33" i="7"/>
  <c r="C87" i="7"/>
  <c r="AD128" i="9"/>
  <c r="D168" i="9"/>
  <c r="G45" i="9"/>
  <c r="AA72" i="9"/>
  <c r="E86" i="8"/>
  <c r="D91" i="7"/>
  <c r="Y181" i="4"/>
  <c r="M148" i="4"/>
  <c r="E117" i="9"/>
  <c r="D117" i="4"/>
  <c r="E113" i="8"/>
  <c r="E90" i="8"/>
  <c r="C60" i="4"/>
  <c r="I66" i="5"/>
  <c r="L169" i="4"/>
  <c r="I41" i="7"/>
  <c r="C111" i="5"/>
  <c r="L145" i="4"/>
  <c r="I184" i="4"/>
  <c r="K183" i="4"/>
  <c r="L108" i="4"/>
  <c r="E64" i="9"/>
  <c r="I121" i="9"/>
  <c r="Y156" i="4"/>
  <c r="AD35" i="9"/>
  <c r="E73" i="4"/>
  <c r="Y96" i="4"/>
  <c r="L113" i="4"/>
  <c r="AA69" i="9"/>
  <c r="K72" i="5"/>
  <c r="L32" i="8"/>
  <c r="L88" i="8"/>
  <c r="X62" i="9"/>
  <c r="M78" i="8"/>
  <c r="D140" i="4"/>
  <c r="K67" i="4"/>
  <c r="E63" i="9"/>
  <c r="J90" i="5"/>
  <c r="Y154" i="9"/>
  <c r="L123" i="4"/>
  <c r="L128" i="9"/>
  <c r="M180" i="4"/>
  <c r="I57" i="9"/>
  <c r="L60" i="7"/>
  <c r="K156" i="4"/>
  <c r="C154" i="4"/>
  <c r="Y68" i="9"/>
  <c r="C75" i="7"/>
  <c r="M170" i="9"/>
  <c r="M167" i="9"/>
  <c r="D58" i="9"/>
  <c r="Y69" i="7"/>
  <c r="M36" i="8"/>
  <c r="M116" i="8"/>
  <c r="U140" i="4"/>
  <c r="AD72" i="9"/>
  <c r="L57" i="9"/>
  <c r="C144" i="4"/>
  <c r="AD84" i="9"/>
  <c r="E91" i="9"/>
  <c r="Y52" i="7"/>
  <c r="E112" i="9"/>
  <c r="C90" i="5"/>
  <c r="C78" i="5"/>
  <c r="J103" i="4"/>
  <c r="E49" i="7"/>
  <c r="C72" i="5"/>
  <c r="AD59" i="9"/>
  <c r="I130" i="9"/>
  <c r="Y130" i="9"/>
  <c r="U113" i="4"/>
  <c r="M90" i="7"/>
  <c r="X67" i="9"/>
  <c r="C79" i="7"/>
  <c r="D64" i="8"/>
  <c r="C52" i="5"/>
  <c r="I157" i="4"/>
  <c r="M28" i="7"/>
  <c r="C53" i="9"/>
  <c r="Y30" i="4"/>
  <c r="D152" i="9"/>
  <c r="L52" i="5"/>
  <c r="E71" i="7"/>
  <c r="I97" i="9"/>
  <c r="C85" i="7"/>
  <c r="E98" i="5"/>
  <c r="C157" i="9"/>
  <c r="Y47" i="8"/>
  <c r="C65" i="4"/>
  <c r="I191" i="4"/>
  <c r="AD108" i="9"/>
  <c r="I140" i="9"/>
  <c r="D35" i="8"/>
  <c r="L94" i="9"/>
  <c r="K103" i="4"/>
  <c r="M94" i="7"/>
  <c r="Y74" i="9"/>
  <c r="M39" i="7"/>
  <c r="E84" i="9"/>
  <c r="E78" i="9"/>
  <c r="E120" i="4"/>
  <c r="J165" i="9"/>
  <c r="C110" i="4"/>
  <c r="E28" i="7"/>
  <c r="U171" i="4"/>
  <c r="D93" i="9"/>
  <c r="D99" i="7"/>
  <c r="AD90" i="9"/>
  <c r="Y66" i="7"/>
  <c r="C85" i="4"/>
  <c r="L146" i="4"/>
  <c r="M144" i="4"/>
  <c r="M156" i="4"/>
  <c r="I37" i="8"/>
  <c r="C57" i="4"/>
  <c r="E35" i="7"/>
  <c r="C148" i="9"/>
  <c r="D65" i="9"/>
  <c r="I103" i="4"/>
  <c r="D57" i="8"/>
  <c r="D105" i="8"/>
  <c r="D146" i="4"/>
  <c r="Y168" i="4"/>
  <c r="E148" i="9"/>
  <c r="J147" i="4"/>
  <c r="Y102" i="7"/>
  <c r="C117" i="4"/>
  <c r="J74" i="9"/>
  <c r="N238" i="3" l="1"/>
  <c r="N218" i="3"/>
  <c r="N246" i="3"/>
  <c r="N379" i="3"/>
  <c r="N353" i="3"/>
  <c r="N313" i="3"/>
  <c r="N288" i="3"/>
  <c r="N106" i="3"/>
  <c r="N61" i="3"/>
  <c r="BB102" i="9"/>
  <c r="AG102" i="9"/>
  <c r="AZ102" i="9"/>
  <c r="AQ102" i="9"/>
  <c r="AR102" i="9" s="1"/>
  <c r="BJ102" i="9"/>
  <c r="BK102" i="9" s="1"/>
  <c r="AI102" i="9"/>
  <c r="AG106" i="9"/>
  <c r="BB106" i="9"/>
  <c r="AZ106" i="9"/>
  <c r="AQ106" i="9"/>
  <c r="AR106" i="9" s="1"/>
  <c r="BJ106" i="9"/>
  <c r="BK106" i="9" s="1"/>
  <c r="AI106" i="9"/>
  <c r="BN79" i="4"/>
  <c r="CI79" i="4"/>
  <c r="CG79" i="4"/>
  <c r="EU79" i="4"/>
  <c r="EV79" i="4" s="1"/>
  <c r="EM79" i="4"/>
  <c r="BX79" i="4"/>
  <c r="BY79" i="4" s="1"/>
  <c r="EK79" i="4"/>
  <c r="FF79" i="4"/>
  <c r="DS79" i="4"/>
  <c r="BE79" i="4"/>
  <c r="BF79" i="4" s="1"/>
  <c r="FN79" i="4"/>
  <c r="FO79" i="4" s="1"/>
  <c r="BP79" i="4"/>
  <c r="CQ79" i="4"/>
  <c r="CR79" i="4" s="1"/>
  <c r="AB79" i="4"/>
  <c r="FD79" i="4"/>
  <c r="DB79" i="4"/>
  <c r="CZ79" i="4"/>
  <c r="AL79" i="4"/>
  <c r="AM79" i="4" s="1"/>
  <c r="EC79" i="4"/>
  <c r="ED79" i="4" s="1"/>
  <c r="DU79" i="4"/>
  <c r="AW79" i="4"/>
  <c r="DJ79" i="4"/>
  <c r="DK79" i="4" s="1"/>
  <c r="AU79" i="4"/>
  <c r="DK55" i="4"/>
  <c r="DS55" i="4"/>
  <c r="AU102" i="4"/>
  <c r="DB102" i="4"/>
  <c r="CZ102" i="4"/>
  <c r="FN102" i="4"/>
  <c r="FO102" i="4" s="1"/>
  <c r="EC102" i="4"/>
  <c r="ED102" i="4" s="1"/>
  <c r="BN102" i="4"/>
  <c r="FF102" i="4"/>
  <c r="DU102" i="4"/>
  <c r="AB102" i="4"/>
  <c r="AW102" i="4"/>
  <c r="DS102" i="4"/>
  <c r="EM102" i="4"/>
  <c r="FD102" i="4"/>
  <c r="DJ102" i="4"/>
  <c r="DK102" i="4" s="1"/>
  <c r="EK102" i="4"/>
  <c r="BX102" i="4"/>
  <c r="BY102" i="4" s="1"/>
  <c r="AL102" i="4"/>
  <c r="AM102" i="4" s="1"/>
  <c r="CQ102" i="4"/>
  <c r="CR102" i="4" s="1"/>
  <c r="BE102" i="4"/>
  <c r="BF102" i="4" s="1"/>
  <c r="CG102" i="4"/>
  <c r="EU102" i="4"/>
  <c r="EV102" i="4" s="1"/>
  <c r="CI102" i="4"/>
  <c r="BP102" i="4"/>
  <c r="AD102" i="4"/>
  <c r="N369" i="3"/>
  <c r="AB65" i="7"/>
  <c r="AD65" i="7"/>
  <c r="AL65" i="7"/>
  <c r="AM65" i="7" s="1"/>
  <c r="AB64" i="7"/>
  <c r="AL64" i="7"/>
  <c r="AM64" i="7" s="1"/>
  <c r="AD64" i="7"/>
  <c r="AB80" i="5"/>
  <c r="AD80" i="5"/>
  <c r="AL80" i="5"/>
  <c r="AM80" i="5" s="1"/>
  <c r="N245" i="3"/>
  <c r="AL77" i="8"/>
  <c r="AM77" i="8" s="1"/>
  <c r="BP77" i="8"/>
  <c r="BN77" i="8"/>
  <c r="CQ77" i="8"/>
  <c r="CR77" i="8" s="1"/>
  <c r="AB77" i="8"/>
  <c r="AW77" i="8"/>
  <c r="BX77" i="8"/>
  <c r="BY77" i="8" s="1"/>
  <c r="CI77" i="8"/>
  <c r="CG77" i="8"/>
  <c r="BE77" i="8"/>
  <c r="BF77" i="8" s="1"/>
  <c r="AU77" i="8"/>
  <c r="AD77" i="8"/>
  <c r="N244" i="3"/>
  <c r="AU133" i="4"/>
  <c r="AL133" i="4"/>
  <c r="AM133" i="4" s="1"/>
  <c r="FD133" i="4"/>
  <c r="EM133" i="4"/>
  <c r="DB133" i="4"/>
  <c r="CZ133" i="4"/>
  <c r="EC133" i="4"/>
  <c r="ED133" i="4" s="1"/>
  <c r="BE133" i="4"/>
  <c r="BF133" i="4" s="1"/>
  <c r="EU133" i="4"/>
  <c r="EV133" i="4" s="1"/>
  <c r="AW133" i="4"/>
  <c r="EK133" i="4"/>
  <c r="BX133" i="4"/>
  <c r="BY133" i="4" s="1"/>
  <c r="DU133" i="4"/>
  <c r="DS133" i="4"/>
  <c r="FF133" i="4"/>
  <c r="AD133" i="4"/>
  <c r="FN133" i="4"/>
  <c r="FO133" i="4" s="1"/>
  <c r="BN133" i="4"/>
  <c r="CQ133" i="4"/>
  <c r="CR133" i="4" s="1"/>
  <c r="AB133" i="4"/>
  <c r="CG133" i="4"/>
  <c r="DJ133" i="4"/>
  <c r="DK133" i="4" s="1"/>
  <c r="CI133" i="4"/>
  <c r="BP133" i="4"/>
  <c r="N219" i="3"/>
  <c r="N318" i="3"/>
  <c r="AL52" i="8"/>
  <c r="AM52" i="8" s="1"/>
  <c r="AB52" i="8"/>
  <c r="BN52" i="8"/>
  <c r="CQ52" i="8"/>
  <c r="CR52" i="8" s="1"/>
  <c r="BE52" i="8"/>
  <c r="BF52" i="8" s="1"/>
  <c r="CG52" i="8"/>
  <c r="AU52" i="8"/>
  <c r="BX52" i="8"/>
  <c r="BY52" i="8" s="1"/>
  <c r="BP52" i="8"/>
  <c r="AD52" i="8"/>
  <c r="AW52" i="8"/>
  <c r="CI52" i="8"/>
  <c r="AL51" i="7"/>
  <c r="AM51" i="7" s="1"/>
  <c r="AB51" i="7"/>
  <c r="AD51" i="7"/>
  <c r="AL59" i="5"/>
  <c r="AM59" i="5" s="1"/>
  <c r="AB59" i="5"/>
  <c r="AD59" i="5"/>
  <c r="N321" i="3"/>
  <c r="N343" i="3"/>
  <c r="N370" i="3"/>
  <c r="AL45" i="8"/>
  <c r="AM45" i="8" s="1"/>
  <c r="CI45" i="8"/>
  <c r="CG45" i="8"/>
  <c r="BN45" i="8"/>
  <c r="AB45" i="8"/>
  <c r="BE45" i="8"/>
  <c r="BF45" i="8" s="1"/>
  <c r="AW45" i="8"/>
  <c r="CQ45" i="8"/>
  <c r="CR45" i="8" s="1"/>
  <c r="BX45" i="8"/>
  <c r="BY45" i="8" s="1"/>
  <c r="AU45" i="8"/>
  <c r="AD45" i="8"/>
  <c r="BP45" i="8"/>
  <c r="BB54" i="9"/>
  <c r="AZ54" i="9"/>
  <c r="AQ54" i="9"/>
  <c r="AR54" i="9" s="1"/>
  <c r="AI54" i="9"/>
  <c r="AG54" i="9"/>
  <c r="BJ54" i="9"/>
  <c r="BK54" i="9" s="1"/>
  <c r="BJ76" i="9"/>
  <c r="BK76" i="9" s="1"/>
  <c r="AZ76" i="9"/>
  <c r="AI76" i="9"/>
  <c r="AG76" i="9"/>
  <c r="BB76" i="9"/>
  <c r="AQ76" i="9"/>
  <c r="AR76" i="9" s="1"/>
  <c r="AI124" i="9"/>
  <c r="AG124" i="9"/>
  <c r="BJ124" i="9"/>
  <c r="BK124" i="9" s="1"/>
  <c r="BB124" i="9"/>
  <c r="AZ124" i="9"/>
  <c r="AQ124" i="9"/>
  <c r="AR124" i="9" s="1"/>
  <c r="AW126" i="4"/>
  <c r="AU126" i="4"/>
  <c r="EM126" i="4"/>
  <c r="DJ126" i="4"/>
  <c r="DK126" i="4" s="1"/>
  <c r="EK126" i="4"/>
  <c r="BX126" i="4"/>
  <c r="BY126" i="4" s="1"/>
  <c r="DB126" i="4"/>
  <c r="CZ126" i="4"/>
  <c r="FN126" i="4"/>
  <c r="FO126" i="4" s="1"/>
  <c r="EC126" i="4"/>
  <c r="ED126" i="4" s="1"/>
  <c r="AL126" i="4"/>
  <c r="AM126" i="4" s="1"/>
  <c r="BN126" i="4"/>
  <c r="FF126" i="4"/>
  <c r="FD126" i="4"/>
  <c r="CQ126" i="4"/>
  <c r="CR126" i="4" s="1"/>
  <c r="DU126" i="4"/>
  <c r="DS126" i="4"/>
  <c r="AB126" i="4"/>
  <c r="BE126" i="4"/>
  <c r="BF126" i="4" s="1"/>
  <c r="CI126" i="4"/>
  <c r="EU126" i="4"/>
  <c r="EV126" i="4" s="1"/>
  <c r="CG126" i="4"/>
  <c r="AD126" i="4"/>
  <c r="BP126" i="4"/>
  <c r="N129" i="3"/>
  <c r="BY83" i="8"/>
  <c r="AL86" i="5"/>
  <c r="AM86" i="5" s="1"/>
  <c r="AD86" i="5"/>
  <c r="AB86" i="5"/>
  <c r="AL87" i="5"/>
  <c r="AM87" i="5" s="1"/>
  <c r="AB87" i="5"/>
  <c r="AD87" i="5"/>
  <c r="AB134" i="4"/>
  <c r="EK134" i="4"/>
  <c r="DJ134" i="4"/>
  <c r="DK134" i="4" s="1"/>
  <c r="EU134" i="4"/>
  <c r="EV134" i="4" s="1"/>
  <c r="CG134" i="4"/>
  <c r="CI134" i="4"/>
  <c r="AD134" i="4"/>
  <c r="FD134" i="4"/>
  <c r="BP134" i="4"/>
  <c r="EC134" i="4"/>
  <c r="ED134" i="4" s="1"/>
  <c r="CQ134" i="4"/>
  <c r="CR134" i="4" s="1"/>
  <c r="FF134" i="4"/>
  <c r="BX134" i="4"/>
  <c r="BY134" i="4" s="1"/>
  <c r="AU134" i="4"/>
  <c r="DS134" i="4"/>
  <c r="BN134" i="4"/>
  <c r="FN134" i="4"/>
  <c r="FO134" i="4" s="1"/>
  <c r="CZ134" i="4"/>
  <c r="DB134" i="4"/>
  <c r="EM134" i="4"/>
  <c r="AL134" i="4"/>
  <c r="AM134" i="4" s="1"/>
  <c r="AW134" i="4"/>
  <c r="BE134" i="4"/>
  <c r="BF134" i="4" s="1"/>
  <c r="DU134" i="4"/>
  <c r="AB85" i="8"/>
  <c r="BP85" i="8"/>
  <c r="AU85" i="8"/>
  <c r="AL85" i="8"/>
  <c r="AM85" i="8" s="1"/>
  <c r="BX85" i="8"/>
  <c r="BY85" i="8" s="1"/>
  <c r="BE85" i="8"/>
  <c r="BF85" i="8" s="1"/>
  <c r="AD85" i="8"/>
  <c r="BN85" i="8"/>
  <c r="CI85" i="8"/>
  <c r="AW85" i="8"/>
  <c r="CG85" i="8"/>
  <c r="CQ85" i="8"/>
  <c r="CR85" i="8" s="1"/>
  <c r="BP91" i="8"/>
  <c r="CI91" i="8"/>
  <c r="CG91" i="8"/>
  <c r="BX91" i="8"/>
  <c r="BY91" i="8" s="1"/>
  <c r="BN91" i="8"/>
  <c r="AU91" i="8"/>
  <c r="AD91" i="8"/>
  <c r="AB91" i="8"/>
  <c r="BE91" i="8"/>
  <c r="BF91" i="8" s="1"/>
  <c r="CQ91" i="8"/>
  <c r="CR91" i="8" s="1"/>
  <c r="AW91" i="8"/>
  <c r="AL91" i="8"/>
  <c r="AM91" i="8" s="1"/>
  <c r="AL84" i="8"/>
  <c r="AM84" i="8" s="1"/>
  <c r="CQ84" i="8"/>
  <c r="CR84" i="8" s="1"/>
  <c r="CI84" i="8"/>
  <c r="AW84" i="8"/>
  <c r="AU84" i="8"/>
  <c r="BX84" i="8"/>
  <c r="BY84" i="8" s="1"/>
  <c r="AD84" i="8"/>
  <c r="BE84" i="8"/>
  <c r="BF84" i="8" s="1"/>
  <c r="AB84" i="8"/>
  <c r="BN84" i="8"/>
  <c r="CG84" i="8"/>
  <c r="BP84" i="8"/>
  <c r="AL91" i="5"/>
  <c r="AM91" i="5" s="1"/>
  <c r="AB91" i="5"/>
  <c r="AD91" i="5"/>
  <c r="AD92" i="5"/>
  <c r="AL92" i="5"/>
  <c r="AM92" i="5" s="1"/>
  <c r="AB92" i="5"/>
  <c r="BX143" i="4"/>
  <c r="BY143" i="4" s="1"/>
  <c r="DB143" i="4"/>
  <c r="CI143" i="4"/>
  <c r="EU143" i="4"/>
  <c r="EV143" i="4" s="1"/>
  <c r="AU143" i="4"/>
  <c r="EM143" i="4"/>
  <c r="AL143" i="4"/>
  <c r="AM143" i="4" s="1"/>
  <c r="EK143" i="4"/>
  <c r="AD143" i="4"/>
  <c r="FF143" i="4"/>
  <c r="CQ143" i="4"/>
  <c r="CR143" i="4" s="1"/>
  <c r="AB143" i="4"/>
  <c r="AW143" i="4"/>
  <c r="CZ143" i="4"/>
  <c r="FN143" i="4"/>
  <c r="FO143" i="4" s="1"/>
  <c r="DU143" i="4"/>
  <c r="CG143" i="4"/>
  <c r="BP143" i="4"/>
  <c r="EC143" i="4"/>
  <c r="ED143" i="4" s="1"/>
  <c r="BN143" i="4"/>
  <c r="DS143" i="4"/>
  <c r="DJ143" i="4"/>
  <c r="DK143" i="4" s="1"/>
  <c r="FD143" i="4"/>
  <c r="BE143" i="4"/>
  <c r="BF143" i="4" s="1"/>
  <c r="N100" i="3"/>
  <c r="DS100" i="4"/>
  <c r="EM100" i="4"/>
  <c r="BX100" i="4"/>
  <c r="BY100" i="4" s="1"/>
  <c r="EC100" i="4"/>
  <c r="ED100" i="4" s="1"/>
  <c r="AD100" i="4"/>
  <c r="EK100" i="4"/>
  <c r="CZ100" i="4"/>
  <c r="AL100" i="4"/>
  <c r="AM100" i="4" s="1"/>
  <c r="FN100" i="4"/>
  <c r="FO100" i="4" s="1"/>
  <c r="FD100" i="4"/>
  <c r="DU100" i="4"/>
  <c r="EU100" i="4"/>
  <c r="EV100" i="4" s="1"/>
  <c r="AW100" i="4"/>
  <c r="DJ100" i="4"/>
  <c r="DK100" i="4" s="1"/>
  <c r="AU100" i="4"/>
  <c r="BN100" i="4"/>
  <c r="FF100" i="4"/>
  <c r="AB100" i="4"/>
  <c r="BE100" i="4"/>
  <c r="BF100" i="4" s="1"/>
  <c r="DB100" i="4"/>
  <c r="BP100" i="4"/>
  <c r="CQ100" i="4"/>
  <c r="CR100" i="4" s="1"/>
  <c r="CI100" i="4"/>
  <c r="CG100" i="4"/>
  <c r="AL26" i="8"/>
  <c r="AM26" i="8" s="1"/>
  <c r="BX26" i="8"/>
  <c r="BY26" i="8" s="1"/>
  <c r="BN26" i="8"/>
  <c r="AU26" i="8"/>
  <c r="CQ26" i="8"/>
  <c r="CR26" i="8" s="1"/>
  <c r="AB26" i="8"/>
  <c r="BE26" i="8"/>
  <c r="BF26" i="8" s="1"/>
  <c r="CG26" i="8"/>
  <c r="AD26" i="8"/>
  <c r="AW26" i="8"/>
  <c r="BP26" i="8"/>
  <c r="CI26" i="8"/>
  <c r="N127" i="3"/>
  <c r="N241" i="3"/>
  <c r="N390" i="3"/>
  <c r="AU80" i="8"/>
  <c r="BN80" i="8"/>
  <c r="AD80" i="8"/>
  <c r="CQ80" i="8"/>
  <c r="CR80" i="8" s="1"/>
  <c r="CI80" i="8"/>
  <c r="CG80" i="8"/>
  <c r="AW80" i="8"/>
  <c r="AL80" i="8"/>
  <c r="AM80" i="8" s="1"/>
  <c r="BP80" i="8"/>
  <c r="AB80" i="8"/>
  <c r="BE80" i="8"/>
  <c r="BF80" i="8" s="1"/>
  <c r="BX80" i="8"/>
  <c r="BY80" i="8" s="1"/>
  <c r="AU89" i="4"/>
  <c r="EM89" i="4"/>
  <c r="EK89" i="4"/>
  <c r="BX89" i="4"/>
  <c r="BY89" i="4" s="1"/>
  <c r="CZ89" i="4"/>
  <c r="FN89" i="4"/>
  <c r="FO89" i="4" s="1"/>
  <c r="AL89" i="4"/>
  <c r="AM89" i="4" s="1"/>
  <c r="EC89" i="4"/>
  <c r="ED89" i="4" s="1"/>
  <c r="BN89" i="4"/>
  <c r="FF89" i="4"/>
  <c r="FD89" i="4"/>
  <c r="CQ89" i="4"/>
  <c r="CR89" i="4" s="1"/>
  <c r="AD89" i="4"/>
  <c r="DU89" i="4"/>
  <c r="BP89" i="4"/>
  <c r="DB89" i="4"/>
  <c r="DS89" i="4"/>
  <c r="BE89" i="4"/>
  <c r="BF89" i="4" s="1"/>
  <c r="EU89" i="4"/>
  <c r="EV89" i="4" s="1"/>
  <c r="DJ89" i="4"/>
  <c r="DK89" i="4" s="1"/>
  <c r="CG89" i="4"/>
  <c r="AW89" i="4"/>
  <c r="AB89" i="4"/>
  <c r="CI89" i="4"/>
  <c r="AL49" i="5"/>
  <c r="AM49" i="5" s="1"/>
  <c r="AB49" i="5"/>
  <c r="AD49" i="5"/>
  <c r="CG43" i="8"/>
  <c r="BX43" i="8"/>
  <c r="BY43" i="8" s="1"/>
  <c r="BE43" i="8"/>
  <c r="BF43" i="8" s="1"/>
  <c r="BN43" i="8"/>
  <c r="AL43" i="8"/>
  <c r="AM43" i="8" s="1"/>
  <c r="AU43" i="8"/>
  <c r="AB43" i="8"/>
  <c r="CQ43" i="8"/>
  <c r="CR43" i="8" s="1"/>
  <c r="CI43" i="8"/>
  <c r="BP43" i="8"/>
  <c r="AW43" i="8"/>
  <c r="AD43" i="8"/>
  <c r="DS41" i="4"/>
  <c r="BJ36" i="9"/>
  <c r="BK36" i="9" s="1"/>
  <c r="AI36" i="9"/>
  <c r="AG36" i="9"/>
  <c r="BB36" i="9"/>
  <c r="AZ36" i="9"/>
  <c r="AQ36" i="9"/>
  <c r="AR36" i="9" s="1"/>
  <c r="N66" i="3"/>
  <c r="N63" i="3"/>
  <c r="AG38" i="9"/>
  <c r="BJ38" i="9"/>
  <c r="BK38" i="9" s="1"/>
  <c r="BB38" i="9"/>
  <c r="AZ38" i="9"/>
  <c r="AQ38" i="9"/>
  <c r="AR38" i="9" s="1"/>
  <c r="AI38" i="9"/>
  <c r="DB149" i="4"/>
  <c r="FN149" i="4"/>
  <c r="FO149" i="4" s="1"/>
  <c r="FF149" i="4"/>
  <c r="CQ149" i="4"/>
  <c r="CR149" i="4" s="1"/>
  <c r="FD149" i="4"/>
  <c r="CI149" i="4"/>
  <c r="CG149" i="4"/>
  <c r="EK149" i="4"/>
  <c r="CZ149" i="4"/>
  <c r="AL149" i="4"/>
  <c r="AM149" i="4" s="1"/>
  <c r="AW149" i="4"/>
  <c r="EM149" i="4"/>
  <c r="BX149" i="4"/>
  <c r="BY149" i="4" s="1"/>
  <c r="BP149" i="4"/>
  <c r="EC149" i="4"/>
  <c r="ED149" i="4" s="1"/>
  <c r="BN149" i="4"/>
  <c r="AD149" i="4"/>
  <c r="AB149" i="4"/>
  <c r="DU149" i="4"/>
  <c r="DS149" i="4"/>
  <c r="BE149" i="4"/>
  <c r="BF149" i="4" s="1"/>
  <c r="EU149" i="4"/>
  <c r="EV149" i="4" s="1"/>
  <c r="DJ149" i="4"/>
  <c r="DK149" i="4" s="1"/>
  <c r="AU149" i="4"/>
  <c r="EK142" i="4"/>
  <c r="EC142" i="4"/>
  <c r="ED142" i="4" s="1"/>
  <c r="BN142" i="4"/>
  <c r="AD142" i="4"/>
  <c r="FF142" i="4"/>
  <c r="CQ142" i="4"/>
  <c r="CR142" i="4" s="1"/>
  <c r="AB142" i="4"/>
  <c r="FD142" i="4"/>
  <c r="DU142" i="4"/>
  <c r="CI142" i="4"/>
  <c r="EU142" i="4"/>
  <c r="EV142" i="4" s="1"/>
  <c r="EM142" i="4"/>
  <c r="BX142" i="4"/>
  <c r="BY142" i="4" s="1"/>
  <c r="DB142" i="4"/>
  <c r="CZ142" i="4"/>
  <c r="AL142" i="4"/>
  <c r="AM142" i="4" s="1"/>
  <c r="FN142" i="4"/>
  <c r="FO142" i="4" s="1"/>
  <c r="BP142" i="4"/>
  <c r="DJ142" i="4"/>
  <c r="DK142" i="4" s="1"/>
  <c r="AU142" i="4"/>
  <c r="DS142" i="4"/>
  <c r="BE142" i="4"/>
  <c r="BF142" i="4" s="1"/>
  <c r="CG142" i="4"/>
  <c r="AW142" i="4"/>
  <c r="CZ151" i="4"/>
  <c r="EC151" i="4"/>
  <c r="ED151" i="4" s="1"/>
  <c r="BN151" i="4"/>
  <c r="AD151" i="4"/>
  <c r="FF151" i="4"/>
  <c r="CQ151" i="4"/>
  <c r="CR151" i="4" s="1"/>
  <c r="AB151" i="4"/>
  <c r="DB151" i="4"/>
  <c r="AL151" i="4"/>
  <c r="AM151" i="4" s="1"/>
  <c r="FN151" i="4"/>
  <c r="FO151" i="4" s="1"/>
  <c r="BP151" i="4"/>
  <c r="CI151" i="4"/>
  <c r="CG151" i="4"/>
  <c r="EU151" i="4"/>
  <c r="EV151" i="4" s="1"/>
  <c r="AW151" i="4"/>
  <c r="DJ151" i="4"/>
  <c r="DK151" i="4" s="1"/>
  <c r="AU151" i="4"/>
  <c r="EM151" i="4"/>
  <c r="BX151" i="4"/>
  <c r="BY151" i="4" s="1"/>
  <c r="EK151" i="4"/>
  <c r="FD151" i="4"/>
  <c r="DU151" i="4"/>
  <c r="DS151" i="4"/>
  <c r="BE151" i="4"/>
  <c r="BF151" i="4" s="1"/>
  <c r="CZ136" i="4"/>
  <c r="BP136" i="4"/>
  <c r="CQ136" i="4"/>
  <c r="CR136" i="4" s="1"/>
  <c r="AB136" i="4"/>
  <c r="CG136" i="4"/>
  <c r="AW136" i="4"/>
  <c r="DJ136" i="4"/>
  <c r="DK136" i="4" s="1"/>
  <c r="AU136" i="4"/>
  <c r="EM136" i="4"/>
  <c r="BX136" i="4"/>
  <c r="BY136" i="4" s="1"/>
  <c r="EK136" i="4"/>
  <c r="DB136" i="4"/>
  <c r="AL136" i="4"/>
  <c r="AM136" i="4" s="1"/>
  <c r="FN136" i="4"/>
  <c r="FO136" i="4" s="1"/>
  <c r="EC136" i="4"/>
  <c r="ED136" i="4" s="1"/>
  <c r="BN136" i="4"/>
  <c r="AD136" i="4"/>
  <c r="FF136" i="4"/>
  <c r="FD136" i="4"/>
  <c r="EU136" i="4"/>
  <c r="EV136" i="4" s="1"/>
  <c r="DU136" i="4"/>
  <c r="DS136" i="4"/>
  <c r="BE136" i="4"/>
  <c r="BF136" i="4" s="1"/>
  <c r="CI136" i="4"/>
  <c r="N185" i="3"/>
  <c r="DS174" i="4"/>
  <c r="EU174" i="4"/>
  <c r="EV174" i="4" s="1"/>
  <c r="EM174" i="4"/>
  <c r="BX174" i="4"/>
  <c r="BY174" i="4" s="1"/>
  <c r="EK174" i="4"/>
  <c r="BP174" i="4"/>
  <c r="CQ174" i="4"/>
  <c r="CR174" i="4" s="1"/>
  <c r="AB174" i="4"/>
  <c r="FD174" i="4"/>
  <c r="BE174" i="4"/>
  <c r="BF174" i="4" s="1"/>
  <c r="AU174" i="4"/>
  <c r="FF174" i="4"/>
  <c r="AW174" i="4"/>
  <c r="DJ174" i="4"/>
  <c r="DK174" i="4" s="1"/>
  <c r="CZ174" i="4"/>
  <c r="AL174" i="4"/>
  <c r="AM174" i="4" s="1"/>
  <c r="CI174" i="4"/>
  <c r="CG174" i="4"/>
  <c r="DB174" i="4"/>
  <c r="FN174" i="4"/>
  <c r="FO174" i="4" s="1"/>
  <c r="AD174" i="4"/>
  <c r="EC174" i="4"/>
  <c r="ED174" i="4" s="1"/>
  <c r="BN174" i="4"/>
  <c r="DU174" i="4"/>
  <c r="DS53" i="4"/>
  <c r="DJ53" i="4"/>
  <c r="DK53" i="4" s="1"/>
  <c r="DK54" i="4"/>
  <c r="DS57" i="4"/>
  <c r="DJ57" i="4"/>
  <c r="DK57" i="4" s="1"/>
  <c r="AB30" i="8"/>
  <c r="BP30" i="8"/>
  <c r="BN30" i="8"/>
  <c r="AD30" i="8"/>
  <c r="BE30" i="8"/>
  <c r="BF30" i="8" s="1"/>
  <c r="CQ30" i="8"/>
  <c r="CR30" i="8" s="1"/>
  <c r="CI30" i="8"/>
  <c r="CG30" i="8"/>
  <c r="AW30" i="8"/>
  <c r="AU30" i="8"/>
  <c r="BX30" i="8"/>
  <c r="BY30" i="8" s="1"/>
  <c r="AL30" i="8"/>
  <c r="AM30" i="8" s="1"/>
  <c r="BP29" i="8"/>
  <c r="BN29" i="8"/>
  <c r="BX29" i="8"/>
  <c r="BY29" i="8" s="1"/>
  <c r="AD29" i="8"/>
  <c r="CQ29" i="8"/>
  <c r="CR29" i="8" s="1"/>
  <c r="AB29" i="8"/>
  <c r="BE29" i="8"/>
  <c r="BF29" i="8" s="1"/>
  <c r="CI29" i="8"/>
  <c r="CG29" i="8"/>
  <c r="AW29" i="8"/>
  <c r="AU29" i="8"/>
  <c r="AL29" i="8"/>
  <c r="AM29" i="8" s="1"/>
  <c r="CG28" i="8"/>
  <c r="BP28" i="8"/>
  <c r="BN28" i="8"/>
  <c r="AD28" i="8"/>
  <c r="CQ28" i="8"/>
  <c r="CR28" i="8" s="1"/>
  <c r="AB28" i="8"/>
  <c r="BE28" i="8"/>
  <c r="BF28" i="8" s="1"/>
  <c r="CI28" i="8"/>
  <c r="AW28" i="8"/>
  <c r="BX28" i="8"/>
  <c r="BY28" i="8" s="1"/>
  <c r="AU28" i="8"/>
  <c r="AL28" i="8"/>
  <c r="AM28" i="8" s="1"/>
  <c r="AB30" i="7"/>
  <c r="AL30" i="7"/>
  <c r="AM30" i="7" s="1"/>
  <c r="AD30" i="7"/>
  <c r="AB29" i="7"/>
  <c r="AL29" i="7"/>
  <c r="AM29" i="7" s="1"/>
  <c r="AD29" i="7"/>
  <c r="N75" i="3"/>
  <c r="N73" i="3"/>
  <c r="N65" i="3"/>
  <c r="N70" i="3"/>
  <c r="CZ56" i="4"/>
  <c r="AL56" i="4"/>
  <c r="AM56" i="4" s="1"/>
  <c r="FN56" i="4"/>
  <c r="FO56" i="4" s="1"/>
  <c r="DJ56" i="4"/>
  <c r="DK56" i="4" s="1"/>
  <c r="AU56" i="4"/>
  <c r="EU56" i="4"/>
  <c r="EV56" i="4" s="1"/>
  <c r="AW56" i="4"/>
  <c r="EM56" i="4"/>
  <c r="BX56" i="4"/>
  <c r="BY56" i="4" s="1"/>
  <c r="DB56" i="4"/>
  <c r="DU56" i="4"/>
  <c r="DS56" i="4"/>
  <c r="CG56" i="4"/>
  <c r="EK56" i="4"/>
  <c r="BP56" i="4"/>
  <c r="EC56" i="4"/>
  <c r="ED56" i="4" s="1"/>
  <c r="BN56" i="4"/>
  <c r="AD56" i="4"/>
  <c r="FF56" i="4"/>
  <c r="CQ56" i="4"/>
  <c r="CR56" i="4" s="1"/>
  <c r="AB56" i="4"/>
  <c r="FD56" i="4"/>
  <c r="BE56" i="4"/>
  <c r="BF56" i="4" s="1"/>
  <c r="CI56" i="4"/>
  <c r="AL27" i="5"/>
  <c r="AM27" i="5" s="1"/>
  <c r="AD27" i="5"/>
  <c r="AB27" i="5"/>
  <c r="AL54" i="4"/>
  <c r="AM54" i="4" s="1"/>
  <c r="BP54" i="4"/>
  <c r="EC54" i="4"/>
  <c r="ED54" i="4" s="1"/>
  <c r="EM54" i="4"/>
  <c r="BX54" i="4"/>
  <c r="BY54" i="4" s="1"/>
  <c r="EK54" i="4"/>
  <c r="CZ54" i="4"/>
  <c r="DB54" i="4"/>
  <c r="FN54" i="4"/>
  <c r="FO54" i="4" s="1"/>
  <c r="FF54" i="4"/>
  <c r="CQ54" i="4"/>
  <c r="CR54" i="4" s="1"/>
  <c r="AB54" i="4"/>
  <c r="FD54" i="4"/>
  <c r="DU54" i="4"/>
  <c r="AD54" i="4"/>
  <c r="DS54" i="4"/>
  <c r="BE54" i="4"/>
  <c r="BF54" i="4" s="1"/>
  <c r="BN54" i="4"/>
  <c r="CI54" i="4"/>
  <c r="CG54" i="4"/>
  <c r="EU54" i="4"/>
  <c r="EV54" i="4" s="1"/>
  <c r="AW54" i="4"/>
  <c r="AU54" i="4"/>
  <c r="AL23" i="5"/>
  <c r="AM23" i="5" s="1"/>
  <c r="AD23" i="5"/>
  <c r="AB23" i="5"/>
  <c r="BN48" i="4"/>
  <c r="EK48" i="4"/>
  <c r="BX48" i="4"/>
  <c r="BY48" i="4" s="1"/>
  <c r="EC48" i="4"/>
  <c r="ED48" i="4" s="1"/>
  <c r="DB48" i="4"/>
  <c r="FN48" i="4"/>
  <c r="FO48" i="4" s="1"/>
  <c r="CZ48" i="4"/>
  <c r="AL48" i="4"/>
  <c r="AM48" i="4" s="1"/>
  <c r="BP48" i="4"/>
  <c r="FF48" i="4"/>
  <c r="AD48" i="4"/>
  <c r="FD48" i="4"/>
  <c r="CQ48" i="4"/>
  <c r="CR48" i="4" s="1"/>
  <c r="AB48" i="4"/>
  <c r="DU48" i="4"/>
  <c r="DS48" i="4"/>
  <c r="BE48" i="4"/>
  <c r="BF48" i="4" s="1"/>
  <c r="CI48" i="4"/>
  <c r="EU48" i="4"/>
  <c r="EV48" i="4" s="1"/>
  <c r="CG48" i="4"/>
  <c r="AW48" i="4"/>
  <c r="DJ48" i="4"/>
  <c r="DK48" i="4" s="1"/>
  <c r="AU48" i="4"/>
  <c r="EM48" i="4"/>
  <c r="N72" i="3"/>
  <c r="N74" i="3"/>
  <c r="N71" i="3"/>
  <c r="N68" i="3"/>
  <c r="N64" i="3"/>
  <c r="N53" i="3"/>
  <c r="N52" i="3"/>
  <c r="N331" i="3"/>
  <c r="AL73" i="8"/>
  <c r="AM73" i="8" s="1"/>
  <c r="CQ73" i="8"/>
  <c r="CR73" i="8" s="1"/>
  <c r="AD73" i="8"/>
  <c r="AU73" i="8"/>
  <c r="BE73" i="8"/>
  <c r="BF73" i="8" s="1"/>
  <c r="BN73" i="8"/>
  <c r="AB73" i="8"/>
  <c r="BX73" i="8"/>
  <c r="BY73" i="8" s="1"/>
  <c r="CI73" i="8"/>
  <c r="CG73" i="8"/>
  <c r="AW73" i="8"/>
  <c r="BP73" i="8"/>
  <c r="AB77" i="5"/>
  <c r="AL77" i="5"/>
  <c r="AM77" i="5" s="1"/>
  <c r="AD77" i="5"/>
  <c r="N102" i="3"/>
  <c r="FN128" i="4"/>
  <c r="FO128" i="4" s="1"/>
  <c r="AU128" i="4"/>
  <c r="AL128" i="4"/>
  <c r="AM128" i="4" s="1"/>
  <c r="FD128" i="4"/>
  <c r="EM128" i="4"/>
  <c r="BX128" i="4"/>
  <c r="BY128" i="4" s="1"/>
  <c r="AD128" i="4"/>
  <c r="CQ128" i="4"/>
  <c r="CR128" i="4" s="1"/>
  <c r="EK128" i="4"/>
  <c r="DU128" i="4"/>
  <c r="CZ128" i="4"/>
  <c r="FF128" i="4"/>
  <c r="DB128" i="4"/>
  <c r="AB128" i="4"/>
  <c r="BP128" i="4"/>
  <c r="EC128" i="4"/>
  <c r="ED128" i="4" s="1"/>
  <c r="BN128" i="4"/>
  <c r="DS128" i="4"/>
  <c r="BE128" i="4"/>
  <c r="BF128" i="4" s="1"/>
  <c r="CI128" i="4"/>
  <c r="CG128" i="4"/>
  <c r="EU128" i="4"/>
  <c r="EV128" i="4" s="1"/>
  <c r="DJ128" i="4"/>
  <c r="DK128" i="4" s="1"/>
  <c r="AW128" i="4"/>
  <c r="N101" i="3"/>
  <c r="N388" i="3"/>
  <c r="N356" i="3"/>
  <c r="N167" i="3"/>
  <c r="N166" i="3"/>
  <c r="AZ99" i="9"/>
  <c r="AI99" i="9"/>
  <c r="AG99" i="9"/>
  <c r="BB99" i="9"/>
  <c r="AQ99" i="9"/>
  <c r="AR99" i="9" s="1"/>
  <c r="BJ99" i="9"/>
  <c r="BK99" i="9" s="1"/>
  <c r="AG103" i="9"/>
  <c r="AZ103" i="9"/>
  <c r="BJ103" i="9"/>
  <c r="BK103" i="9" s="1"/>
  <c r="AQ103" i="9"/>
  <c r="AR103" i="9" s="1"/>
  <c r="AI103" i="9"/>
  <c r="BB103" i="9"/>
  <c r="AG100" i="9"/>
  <c r="AZ100" i="9"/>
  <c r="AQ100" i="9"/>
  <c r="AR100" i="9" s="1"/>
  <c r="BJ100" i="9"/>
  <c r="BK100" i="9" s="1"/>
  <c r="AI100" i="9"/>
  <c r="BB100" i="9"/>
  <c r="BJ80" i="9"/>
  <c r="BK80" i="9" s="1"/>
  <c r="AI80" i="9"/>
  <c r="AG80" i="9"/>
  <c r="BB80" i="9"/>
  <c r="AZ80" i="9"/>
  <c r="AQ80" i="9"/>
  <c r="AR80" i="9" s="1"/>
  <c r="AG55" i="9"/>
  <c r="BJ55" i="9"/>
  <c r="BK55" i="9" s="1"/>
  <c r="AZ55" i="9"/>
  <c r="AQ55" i="9"/>
  <c r="AR55" i="9" s="1"/>
  <c r="AI55" i="9"/>
  <c r="BB55" i="9"/>
  <c r="N361" i="3"/>
  <c r="FN38" i="4"/>
  <c r="FO38" i="4" s="1"/>
  <c r="DJ38" i="4"/>
  <c r="DK38" i="4" s="1"/>
  <c r="EM38" i="4"/>
  <c r="BX38" i="4"/>
  <c r="BY38" i="4" s="1"/>
  <c r="DU38" i="4"/>
  <c r="AW38" i="4"/>
  <c r="EK38" i="4"/>
  <c r="AU38" i="4"/>
  <c r="EC38" i="4"/>
  <c r="ED38" i="4" s="1"/>
  <c r="AD38" i="4"/>
  <c r="AB38" i="4"/>
  <c r="FD38" i="4"/>
  <c r="DB38" i="4"/>
  <c r="BP38" i="4"/>
  <c r="FF38" i="4"/>
  <c r="CZ38" i="4"/>
  <c r="AL38" i="4"/>
  <c r="AM38" i="4" s="1"/>
  <c r="BN38" i="4"/>
  <c r="CQ38" i="4"/>
  <c r="CR38" i="4" s="1"/>
  <c r="DS38" i="4"/>
  <c r="BE38" i="4"/>
  <c r="BF38" i="4" s="1"/>
  <c r="CI38" i="4"/>
  <c r="CG38" i="4"/>
  <c r="EU38" i="4"/>
  <c r="EV38" i="4" s="1"/>
  <c r="AU32" i="4"/>
  <c r="BP32" i="4"/>
  <c r="EM32" i="4"/>
  <c r="EK32" i="4"/>
  <c r="BX32" i="4"/>
  <c r="BY32" i="4" s="1"/>
  <c r="FN32" i="4"/>
  <c r="FO32" i="4" s="1"/>
  <c r="BN32" i="4"/>
  <c r="CZ32" i="4"/>
  <c r="AL32" i="4"/>
  <c r="AM32" i="4" s="1"/>
  <c r="EC32" i="4"/>
  <c r="ED32" i="4" s="1"/>
  <c r="FD32" i="4"/>
  <c r="AD32" i="4"/>
  <c r="DU32" i="4"/>
  <c r="CQ32" i="4"/>
  <c r="CR32" i="4" s="1"/>
  <c r="AB32" i="4"/>
  <c r="CG32" i="4"/>
  <c r="FF32" i="4"/>
  <c r="BE32" i="4"/>
  <c r="BF32" i="4" s="1"/>
  <c r="EU32" i="4"/>
  <c r="EV32" i="4" s="1"/>
  <c r="CI32" i="4"/>
  <c r="DJ32" i="4"/>
  <c r="DK32" i="4" s="1"/>
  <c r="AW32" i="4"/>
  <c r="DB32" i="4"/>
  <c r="N25" i="3"/>
  <c r="N37" i="3"/>
  <c r="DS83" i="4"/>
  <c r="EC83" i="4"/>
  <c r="ED83" i="4" s="1"/>
  <c r="DU83" i="4"/>
  <c r="DU95" i="4"/>
  <c r="EC95" i="4"/>
  <c r="ED95" i="4" s="1"/>
  <c r="DS95" i="4"/>
  <c r="EC67" i="4"/>
  <c r="ED67" i="4" s="1"/>
  <c r="DS67" i="4"/>
  <c r="DU67" i="4"/>
  <c r="DU184" i="4"/>
  <c r="DS184" i="4"/>
  <c r="EC184" i="4"/>
  <c r="ED184" i="4" s="1"/>
  <c r="DU65" i="4"/>
  <c r="DS65" i="4"/>
  <c r="EC65" i="4"/>
  <c r="ED65" i="4" s="1"/>
  <c r="DS125" i="4"/>
  <c r="DU125" i="4"/>
  <c r="EC125" i="4"/>
  <c r="ED125" i="4" s="1"/>
  <c r="EC47" i="4"/>
  <c r="ED47" i="4" s="1"/>
  <c r="DU47" i="4"/>
  <c r="DU175" i="4"/>
  <c r="DS175" i="4"/>
  <c r="EC175" i="4"/>
  <c r="ED175" i="4" s="1"/>
  <c r="EC145" i="4"/>
  <c r="ED145" i="4" s="1"/>
  <c r="DU145" i="4"/>
  <c r="DS145" i="4"/>
  <c r="DU186" i="4"/>
  <c r="DS186" i="4"/>
  <c r="EC186" i="4"/>
  <c r="ED186" i="4" s="1"/>
  <c r="DS85" i="4"/>
  <c r="EC85" i="4"/>
  <c r="ED85" i="4" s="1"/>
  <c r="DU85" i="4"/>
  <c r="DU106" i="4"/>
  <c r="DS106" i="4"/>
  <c r="EC106" i="4"/>
  <c r="ED106" i="4" s="1"/>
  <c r="DU121" i="4"/>
  <c r="EC121" i="4"/>
  <c r="ED121" i="4" s="1"/>
  <c r="EC130" i="4"/>
  <c r="ED130" i="4" s="1"/>
  <c r="DS130" i="4"/>
  <c r="DU130" i="4"/>
  <c r="DS73" i="4"/>
  <c r="EC73" i="4"/>
  <c r="ED73" i="4" s="1"/>
  <c r="DU73" i="4"/>
  <c r="EC33" i="4"/>
  <c r="ED33" i="4" s="1"/>
  <c r="DU33" i="4"/>
  <c r="EC39" i="4"/>
  <c r="ED39" i="4" s="1"/>
  <c r="DU39" i="4"/>
  <c r="DS61" i="4"/>
  <c r="EC61" i="4"/>
  <c r="ED61" i="4" s="1"/>
  <c r="DU61" i="4"/>
  <c r="EC115" i="4"/>
  <c r="ED115" i="4" s="1"/>
  <c r="DU115" i="4"/>
  <c r="DS115" i="4"/>
  <c r="EC37" i="4"/>
  <c r="ED37" i="4" s="1"/>
  <c r="DU37" i="4"/>
  <c r="DU57" i="4"/>
  <c r="EC57" i="4"/>
  <c r="ED57" i="4" s="1"/>
  <c r="DS87" i="4"/>
  <c r="DU87" i="4"/>
  <c r="EC87" i="4"/>
  <c r="ED87" i="4" s="1"/>
  <c r="EC148" i="4"/>
  <c r="ED148" i="4" s="1"/>
  <c r="DU148" i="4"/>
  <c r="DS148" i="4"/>
  <c r="EC181" i="4"/>
  <c r="ED181" i="4" s="1"/>
  <c r="DU181" i="4"/>
  <c r="DS181" i="4"/>
  <c r="DU169" i="4"/>
  <c r="DS169" i="4"/>
  <c r="EC169" i="4"/>
  <c r="ED169" i="4" s="1"/>
  <c r="DU180" i="4"/>
  <c r="DS180" i="4"/>
  <c r="EC180" i="4"/>
  <c r="ED180" i="4" s="1"/>
  <c r="EC42" i="4"/>
  <c r="ED42" i="4" s="1"/>
  <c r="DU42" i="4"/>
  <c r="DU173" i="4"/>
  <c r="EC173" i="4"/>
  <c r="ED173" i="4" s="1"/>
  <c r="DS173" i="4"/>
  <c r="EC35" i="4"/>
  <c r="ED35" i="4" s="1"/>
  <c r="DU35" i="4"/>
  <c r="DS91" i="4"/>
  <c r="EC91" i="4"/>
  <c r="ED91" i="4" s="1"/>
  <c r="DU91" i="4"/>
  <c r="DS112" i="4"/>
  <c r="EC112" i="4"/>
  <c r="ED112" i="4" s="1"/>
  <c r="DU112" i="4"/>
  <c r="DU59" i="4"/>
  <c r="DS59" i="4"/>
  <c r="EC59" i="4"/>
  <c r="ED59" i="4" s="1"/>
  <c r="DU156" i="4"/>
  <c r="EC156" i="4"/>
  <c r="ED156" i="4" s="1"/>
  <c r="DS156" i="4"/>
  <c r="DS30" i="4"/>
  <c r="EC30" i="4"/>
  <c r="DU30" i="4"/>
  <c r="EC190" i="4"/>
  <c r="ED190" i="4" s="1"/>
  <c r="DU190" i="4"/>
  <c r="DS190" i="4"/>
  <c r="EC68" i="4"/>
  <c r="ED68" i="4" s="1"/>
  <c r="DU68" i="4"/>
  <c r="DS68" i="4"/>
  <c r="EC150" i="4"/>
  <c r="ED150" i="4" s="1"/>
  <c r="DU150" i="4"/>
  <c r="DS150" i="4"/>
  <c r="EC101" i="4"/>
  <c r="ED101" i="4" s="1"/>
  <c r="DS101" i="4"/>
  <c r="DU101" i="4"/>
  <c r="DS146" i="4"/>
  <c r="EC146" i="4"/>
  <c r="ED146" i="4" s="1"/>
  <c r="DU146" i="4"/>
  <c r="DS183" i="4"/>
  <c r="DU183" i="4"/>
  <c r="EC183" i="4"/>
  <c r="ED183" i="4" s="1"/>
  <c r="DU49" i="4"/>
  <c r="EC49" i="4"/>
  <c r="ED49" i="4" s="1"/>
  <c r="EC111" i="4"/>
  <c r="ED111" i="4" s="1"/>
  <c r="DS111" i="4"/>
  <c r="DU111" i="4"/>
  <c r="DU43" i="4"/>
  <c r="EC43" i="4"/>
  <c r="ED43" i="4" s="1"/>
  <c r="EC158" i="4"/>
  <c r="ED158" i="4" s="1"/>
  <c r="DU158" i="4"/>
  <c r="DS158" i="4"/>
  <c r="EC117" i="4"/>
  <c r="ED117" i="4" s="1"/>
  <c r="DU117" i="4"/>
  <c r="DS117" i="4"/>
  <c r="EC116" i="4"/>
  <c r="ED116" i="4" s="1"/>
  <c r="DU116" i="4"/>
  <c r="DS116" i="4"/>
  <c r="EC123" i="4"/>
  <c r="ED123" i="4" s="1"/>
  <c r="DS123" i="4"/>
  <c r="DU123" i="4"/>
  <c r="EC113" i="4"/>
  <c r="ED113" i="4" s="1"/>
  <c r="DU113" i="4"/>
  <c r="DS113" i="4"/>
  <c r="DS162" i="4"/>
  <c r="EC162" i="4"/>
  <c r="ED162" i="4" s="1"/>
  <c r="DU162" i="4"/>
  <c r="EC157" i="4"/>
  <c r="ED157" i="4" s="1"/>
  <c r="DU157" i="4"/>
  <c r="DS157" i="4"/>
  <c r="EC179" i="4"/>
  <c r="ED179" i="4" s="1"/>
  <c r="DU179" i="4"/>
  <c r="DS179" i="4"/>
  <c r="DS172" i="4"/>
  <c r="DU172" i="4"/>
  <c r="EC172" i="4"/>
  <c r="ED172" i="4" s="1"/>
  <c r="DS140" i="4"/>
  <c r="EC140" i="4"/>
  <c r="ED140" i="4" s="1"/>
  <c r="DU140" i="4"/>
  <c r="DU139" i="4"/>
  <c r="DS139" i="4"/>
  <c r="EC139" i="4"/>
  <c r="ED139" i="4" s="1"/>
  <c r="EC167" i="4"/>
  <c r="ED167" i="4" s="1"/>
  <c r="DS167" i="4"/>
  <c r="DU167" i="4"/>
  <c r="DS137" i="4"/>
  <c r="EC137" i="4"/>
  <c r="ED137" i="4" s="1"/>
  <c r="DU137" i="4"/>
  <c r="EC193" i="4"/>
  <c r="ED193" i="4" s="1"/>
  <c r="DS193" i="4"/>
  <c r="DU193" i="4"/>
  <c r="EC31" i="4"/>
  <c r="ED31" i="4" s="1"/>
  <c r="DU31" i="4"/>
  <c r="DU46" i="4"/>
  <c r="EC46" i="4"/>
  <c r="ED46" i="4" s="1"/>
  <c r="EC72" i="4"/>
  <c r="ED72" i="4" s="1"/>
  <c r="DU72" i="4"/>
  <c r="DS72" i="4"/>
  <c r="DU185" i="4"/>
  <c r="DS185" i="4"/>
  <c r="EC185" i="4"/>
  <c r="ED185" i="4" s="1"/>
  <c r="DU45" i="4"/>
  <c r="EC45" i="4"/>
  <c r="ED45" i="4" s="1"/>
  <c r="DU60" i="4"/>
  <c r="DS60" i="4"/>
  <c r="EC60" i="4"/>
  <c r="ED60" i="4" s="1"/>
  <c r="EC76" i="4"/>
  <c r="ED76" i="4" s="1"/>
  <c r="DS76" i="4"/>
  <c r="DU76" i="4"/>
  <c r="DS154" i="4"/>
  <c r="EC154" i="4"/>
  <c r="ED154" i="4" s="1"/>
  <c r="DU154" i="4"/>
  <c r="EC41" i="4"/>
  <c r="ED41" i="4" s="1"/>
  <c r="DU41" i="4"/>
  <c r="EC44" i="4"/>
  <c r="ED44" i="4" s="1"/>
  <c r="DU44" i="4"/>
  <c r="DS144" i="4"/>
  <c r="EC144" i="4"/>
  <c r="ED144" i="4" s="1"/>
  <c r="DU144" i="4"/>
  <c r="DU71" i="4"/>
  <c r="DS71" i="4"/>
  <c r="EC71" i="4"/>
  <c r="ED71" i="4" s="1"/>
  <c r="EC168" i="4"/>
  <c r="ED168" i="4" s="1"/>
  <c r="DU168" i="4"/>
  <c r="DS168" i="4"/>
  <c r="DU182" i="4"/>
  <c r="DS182" i="4"/>
  <c r="EC182" i="4"/>
  <c r="ED182" i="4" s="1"/>
  <c r="EC69" i="4"/>
  <c r="ED69" i="4" s="1"/>
  <c r="DS69" i="4"/>
  <c r="DU69" i="4"/>
  <c r="DU127" i="4"/>
  <c r="EC127" i="4"/>
  <c r="ED127" i="4" s="1"/>
  <c r="DS127" i="4"/>
  <c r="EC103" i="4"/>
  <c r="ED103" i="4" s="1"/>
  <c r="DS103" i="4"/>
  <c r="DU103" i="4"/>
  <c r="EC53" i="4"/>
  <c r="ED53" i="4" s="1"/>
  <c r="DU53" i="4"/>
  <c r="EC96" i="4"/>
  <c r="ED96" i="4" s="1"/>
  <c r="DU96" i="4"/>
  <c r="DS96" i="4"/>
  <c r="DU147" i="4"/>
  <c r="DS147" i="4"/>
  <c r="EC147" i="4"/>
  <c r="ED147" i="4" s="1"/>
  <c r="EC34" i="4"/>
  <c r="ED34" i="4" s="1"/>
  <c r="DU34" i="4"/>
  <c r="EC74" i="4"/>
  <c r="ED74" i="4" s="1"/>
  <c r="DU74" i="4"/>
  <c r="DS74" i="4"/>
  <c r="DS153" i="4"/>
  <c r="DU153" i="4"/>
  <c r="EC153" i="4"/>
  <c r="ED153" i="4" s="1"/>
  <c r="EC164" i="4"/>
  <c r="ED164" i="4" s="1"/>
  <c r="DS164" i="4"/>
  <c r="DU164" i="4"/>
  <c r="DS171" i="4"/>
  <c r="DU171" i="4"/>
  <c r="EC171" i="4"/>
  <c r="ED171" i="4" s="1"/>
  <c r="DU51" i="4"/>
  <c r="EC51" i="4"/>
  <c r="ED51" i="4" s="1"/>
  <c r="DU119" i="4"/>
  <c r="DS119" i="4"/>
  <c r="EC119" i="4"/>
  <c r="ED119" i="4" s="1"/>
  <c r="DS75" i="4"/>
  <c r="EC75" i="4"/>
  <c r="ED75" i="4" s="1"/>
  <c r="DU75" i="4"/>
  <c r="DS110" i="4"/>
  <c r="EC110" i="4"/>
  <c r="ED110" i="4" s="1"/>
  <c r="DU110" i="4"/>
  <c r="DS191" i="4"/>
  <c r="EC191" i="4"/>
  <c r="ED191" i="4" s="1"/>
  <c r="DU191" i="4"/>
  <c r="EC55" i="4"/>
  <c r="ED55" i="4" s="1"/>
  <c r="DU55" i="4"/>
  <c r="DU188" i="4"/>
  <c r="EC188" i="4"/>
  <c r="ED188" i="4" s="1"/>
  <c r="DS188" i="4"/>
  <c r="EC159" i="4"/>
  <c r="ED159" i="4" s="1"/>
  <c r="DU159" i="4"/>
  <c r="DS159" i="4"/>
  <c r="DU93" i="4"/>
  <c r="DS93" i="4"/>
  <c r="EC93" i="4"/>
  <c r="ED93" i="4" s="1"/>
  <c r="DU178" i="4"/>
  <c r="DS178" i="4"/>
  <c r="EC178" i="4"/>
  <c r="ED178" i="4" s="1"/>
  <c r="DS120" i="4"/>
  <c r="DU120" i="4"/>
  <c r="EC120" i="4"/>
  <c r="ED120" i="4" s="1"/>
  <c r="EC105" i="4"/>
  <c r="ED105" i="4" s="1"/>
  <c r="DU105" i="4"/>
  <c r="DS105" i="4"/>
  <c r="DS138" i="4"/>
  <c r="EC138" i="4"/>
  <c r="ED138" i="4" s="1"/>
  <c r="DU138" i="4"/>
  <c r="DU177" i="4"/>
  <c r="EC177" i="4"/>
  <c r="ED177" i="4" s="1"/>
  <c r="DS177" i="4"/>
  <c r="DU176" i="4"/>
  <c r="EC176" i="4"/>
  <c r="ED176" i="4" s="1"/>
  <c r="DS176" i="4"/>
  <c r="EC107" i="4"/>
  <c r="ED107" i="4" s="1"/>
  <c r="DU107" i="4"/>
  <c r="DS107" i="4"/>
  <c r="DU50" i="4"/>
  <c r="EC50" i="4"/>
  <c r="ED50" i="4" s="1"/>
  <c r="EC94" i="4"/>
  <c r="ED94" i="4" s="1"/>
  <c r="DS94" i="4"/>
  <c r="DU94" i="4"/>
  <c r="DS108" i="4"/>
  <c r="DU108" i="4"/>
  <c r="EC108" i="4"/>
  <c r="ED108" i="4" s="1"/>
  <c r="DS86" i="4"/>
  <c r="EC86" i="4"/>
  <c r="ED86" i="4" s="1"/>
  <c r="DU86" i="4"/>
  <c r="BP50" i="8"/>
  <c r="BQ50" i="8" s="1"/>
  <c r="AW50" i="8"/>
  <c r="AX50" i="8" s="1"/>
  <c r="AD50" i="8"/>
  <c r="AE50" i="8" s="1"/>
  <c r="BE50" i="8"/>
  <c r="BF50" i="8" s="1"/>
  <c r="CG50" i="8"/>
  <c r="CQ50" i="8"/>
  <c r="CR50" i="8" s="1"/>
  <c r="CI50" i="8"/>
  <c r="CJ50" i="8" s="1"/>
  <c r="BX50" i="8"/>
  <c r="BY50" i="8" s="1"/>
  <c r="AB50" i="8"/>
  <c r="BN50" i="8"/>
  <c r="AL50" i="8"/>
  <c r="AM50" i="8" s="1"/>
  <c r="AL51" i="8"/>
  <c r="AM51" i="8" s="1"/>
  <c r="BX51" i="8"/>
  <c r="BY51" i="8" s="1"/>
  <c r="CQ51" i="8"/>
  <c r="CR51" i="8" s="1"/>
  <c r="BN51" i="8"/>
  <c r="CG51" i="8"/>
  <c r="AB51" i="8"/>
  <c r="BE51" i="8"/>
  <c r="BF51" i="8" s="1"/>
  <c r="AU51" i="8"/>
  <c r="AD51" i="8"/>
  <c r="BP51" i="8"/>
  <c r="CI51" i="8"/>
  <c r="AW51" i="8"/>
  <c r="AB57" i="5"/>
  <c r="AL57" i="5"/>
  <c r="AM57" i="5" s="1"/>
  <c r="AD57" i="5"/>
  <c r="N315" i="3"/>
  <c r="CZ83" i="4"/>
  <c r="AB121" i="4"/>
  <c r="EM121" i="4"/>
  <c r="BX121" i="4"/>
  <c r="BY121" i="4" s="1"/>
  <c r="CZ121" i="4"/>
  <c r="EU121" i="4"/>
  <c r="EV121" i="4" s="1"/>
  <c r="BN121" i="4"/>
  <c r="EK121" i="4"/>
  <c r="DB121" i="4"/>
  <c r="CQ121" i="4"/>
  <c r="CR121" i="4" s="1"/>
  <c r="BE121" i="4"/>
  <c r="BF121" i="4" s="1"/>
  <c r="CG121" i="4"/>
  <c r="FN121" i="4"/>
  <c r="FO121" i="4" s="1"/>
  <c r="AW121" i="4"/>
  <c r="AU121" i="4"/>
  <c r="FF121" i="4"/>
  <c r="FD121" i="4"/>
  <c r="DJ121" i="4"/>
  <c r="DK121" i="4" s="1"/>
  <c r="AL121" i="4"/>
  <c r="AM121" i="4" s="1"/>
  <c r="AD121" i="4"/>
  <c r="CI121" i="4"/>
  <c r="BP121" i="4"/>
  <c r="N393" i="3"/>
  <c r="N333" i="3"/>
  <c r="N317" i="3"/>
  <c r="AI78" i="9"/>
  <c r="AJ78" i="9" s="1"/>
  <c r="AQ78" i="9"/>
  <c r="AR78" i="9" s="1"/>
  <c r="AZ78" i="9"/>
  <c r="AG78" i="9"/>
  <c r="BJ78" i="9"/>
  <c r="BK78" i="9" s="1"/>
  <c r="BB78" i="9"/>
  <c r="BC78" i="9" s="1"/>
  <c r="N300" i="3"/>
  <c r="AL56" i="8"/>
  <c r="AM56" i="8" s="1"/>
  <c r="CQ56" i="8"/>
  <c r="CR56" i="8" s="1"/>
  <c r="AB56" i="8"/>
  <c r="BN56" i="8"/>
  <c r="BE56" i="8"/>
  <c r="BF56" i="8" s="1"/>
  <c r="CG56" i="8"/>
  <c r="BX56" i="8"/>
  <c r="BY56" i="8" s="1"/>
  <c r="AU56" i="8"/>
  <c r="AD56" i="8"/>
  <c r="BP56" i="8"/>
  <c r="CI56" i="8"/>
  <c r="AW56" i="8"/>
  <c r="AL55" i="8"/>
  <c r="AM55" i="8" s="1"/>
  <c r="AU55" i="8"/>
  <c r="BN55" i="8"/>
  <c r="BE55" i="8"/>
  <c r="BF55" i="8" s="1"/>
  <c r="CQ55" i="8"/>
  <c r="CR55" i="8" s="1"/>
  <c r="BX55" i="8"/>
  <c r="BY55" i="8" s="1"/>
  <c r="AB55" i="8"/>
  <c r="CG55" i="8"/>
  <c r="BP55" i="8"/>
  <c r="AW55" i="8"/>
  <c r="AD55" i="8"/>
  <c r="CI55" i="8"/>
  <c r="AL51" i="5"/>
  <c r="AM51" i="5" s="1"/>
  <c r="AD51" i="5"/>
  <c r="AB51" i="5"/>
  <c r="N125" i="3"/>
  <c r="N133" i="3"/>
  <c r="N134" i="3"/>
  <c r="N97" i="3"/>
  <c r="FF116" i="4"/>
  <c r="EU116" i="4"/>
  <c r="EV116" i="4" s="1"/>
  <c r="EM116" i="4"/>
  <c r="EK116" i="4"/>
  <c r="BE116" i="4"/>
  <c r="BF116" i="4" s="1"/>
  <c r="CI116" i="4"/>
  <c r="FN116" i="4"/>
  <c r="FO116" i="4" s="1"/>
  <c r="CG116" i="4"/>
  <c r="AW116" i="4"/>
  <c r="DJ116" i="4"/>
  <c r="DK116" i="4" s="1"/>
  <c r="AU116" i="4"/>
  <c r="FD116" i="4"/>
  <c r="BX116" i="4"/>
  <c r="BY116" i="4" s="1"/>
  <c r="AB116" i="4"/>
  <c r="DB116" i="4"/>
  <c r="BN116" i="4"/>
  <c r="CZ116" i="4"/>
  <c r="AL116" i="4"/>
  <c r="AM116" i="4" s="1"/>
  <c r="CQ116" i="4"/>
  <c r="CR116" i="4" s="1"/>
  <c r="BP116" i="4"/>
  <c r="AD116" i="4"/>
  <c r="FF105" i="4"/>
  <c r="EM105" i="4"/>
  <c r="EK105" i="4"/>
  <c r="BE105" i="4"/>
  <c r="BF105" i="4" s="1"/>
  <c r="CI105" i="4"/>
  <c r="FN105" i="4"/>
  <c r="FO105" i="4" s="1"/>
  <c r="CG105" i="4"/>
  <c r="AW105" i="4"/>
  <c r="BX105" i="4"/>
  <c r="BY105" i="4" s="1"/>
  <c r="DJ105" i="4"/>
  <c r="DK105" i="4" s="1"/>
  <c r="AU105" i="4"/>
  <c r="CZ105" i="4"/>
  <c r="AL105" i="4"/>
  <c r="AM105" i="4" s="1"/>
  <c r="AB105" i="4"/>
  <c r="FD105" i="4"/>
  <c r="AD105" i="4"/>
  <c r="BP105" i="4"/>
  <c r="CQ105" i="4"/>
  <c r="CR105" i="4" s="1"/>
  <c r="EU105" i="4"/>
  <c r="EV105" i="4" s="1"/>
  <c r="BN105" i="4"/>
  <c r="DB105" i="4"/>
  <c r="N354" i="3"/>
  <c r="CQ91" i="4"/>
  <c r="CR91" i="4" s="1"/>
  <c r="EM91" i="4"/>
  <c r="AB91" i="4"/>
  <c r="EK91" i="4"/>
  <c r="BE91" i="4"/>
  <c r="BF91" i="4" s="1"/>
  <c r="EU91" i="4"/>
  <c r="EV91" i="4" s="1"/>
  <c r="CI91" i="4"/>
  <c r="FN91" i="4"/>
  <c r="FO91" i="4" s="1"/>
  <c r="CG91" i="4"/>
  <c r="FF91" i="4"/>
  <c r="AD91" i="4"/>
  <c r="AW91" i="4"/>
  <c r="DJ91" i="4"/>
  <c r="DK91" i="4" s="1"/>
  <c r="AU91" i="4"/>
  <c r="FD91" i="4"/>
  <c r="BX91" i="4"/>
  <c r="BY91" i="4" s="1"/>
  <c r="BN91" i="4"/>
  <c r="DB91" i="4"/>
  <c r="BP91" i="4"/>
  <c r="CZ91" i="4"/>
  <c r="AL91" i="4"/>
  <c r="AM91" i="4" s="1"/>
  <c r="N394" i="3"/>
  <c r="N330" i="3"/>
  <c r="N323" i="3"/>
  <c r="CI46" i="8"/>
  <c r="CJ46" i="8" s="1"/>
  <c r="AG43" i="9"/>
  <c r="AZ43" i="9"/>
  <c r="BJ43" i="9"/>
  <c r="BK43" i="9" s="1"/>
  <c r="AQ43" i="9"/>
  <c r="AR43" i="9" s="1"/>
  <c r="BB43" i="9"/>
  <c r="AI43" i="9"/>
  <c r="AB24" i="8"/>
  <c r="BP24" i="8"/>
  <c r="CG24" i="8"/>
  <c r="AU24" i="8"/>
  <c r="AL24" i="8"/>
  <c r="AM24" i="8" s="1"/>
  <c r="AD24" i="8"/>
  <c r="BX24" i="8"/>
  <c r="BY24" i="8" s="1"/>
  <c r="CI24" i="8"/>
  <c r="BE24" i="8"/>
  <c r="BF24" i="8" s="1"/>
  <c r="CQ24" i="8"/>
  <c r="CR24" i="8" s="1"/>
  <c r="AW24" i="8"/>
  <c r="BN24" i="8"/>
  <c r="N152" i="3"/>
  <c r="N159" i="3"/>
  <c r="N158" i="3"/>
  <c r="N164" i="3"/>
  <c r="N161" i="3"/>
  <c r="N155" i="3"/>
  <c r="N154" i="3"/>
  <c r="N162" i="3"/>
  <c r="N156" i="3"/>
  <c r="N151" i="3"/>
  <c r="N149" i="3"/>
  <c r="N153" i="3"/>
  <c r="N163" i="3"/>
  <c r="N165" i="3"/>
  <c r="N157" i="3"/>
  <c r="N160" i="3"/>
  <c r="N150" i="3"/>
  <c r="N148" i="3"/>
  <c r="CG46" i="8"/>
  <c r="AU46" i="8"/>
  <c r="AB46" i="8"/>
  <c r="CQ46" i="8"/>
  <c r="CR46" i="8" s="1"/>
  <c r="BE46" i="8"/>
  <c r="BI46" i="8" s="1"/>
  <c r="BJ46" i="8" s="1"/>
  <c r="BX46" i="8"/>
  <c r="BY46" i="8" s="1"/>
  <c r="AL46" i="8"/>
  <c r="AM46" i="8" s="1"/>
  <c r="BN46" i="8"/>
  <c r="AD46" i="8"/>
  <c r="AE46" i="8" s="1"/>
  <c r="BP46" i="8"/>
  <c r="BQ46" i="8" s="1"/>
  <c r="AD24" i="7"/>
  <c r="AL24" i="7"/>
  <c r="AM24" i="7" s="1"/>
  <c r="AB24" i="7"/>
  <c r="EU43" i="4"/>
  <c r="EV43" i="4" s="1"/>
  <c r="BE43" i="4"/>
  <c r="BF43" i="4" s="1"/>
  <c r="FF43" i="4"/>
  <c r="AW43" i="4"/>
  <c r="BX43" i="4"/>
  <c r="BY43" i="4" s="1"/>
  <c r="FD43" i="4"/>
  <c r="CG43" i="4"/>
  <c r="EM43" i="4"/>
  <c r="DJ43" i="4"/>
  <c r="DK43" i="4" s="1"/>
  <c r="BP43" i="4"/>
  <c r="AL43" i="4"/>
  <c r="AM43" i="4" s="1"/>
  <c r="EK43" i="4"/>
  <c r="CZ43" i="4"/>
  <c r="FN43" i="4"/>
  <c r="FO43" i="4" s="1"/>
  <c r="AB43" i="4"/>
  <c r="DB43" i="4"/>
  <c r="CQ43" i="4"/>
  <c r="CR43" i="4" s="1"/>
  <c r="AD43" i="4"/>
  <c r="CI43" i="4"/>
  <c r="BN43" i="4"/>
  <c r="AU43" i="4"/>
  <c r="AW34" i="4"/>
  <c r="FD34" i="4"/>
  <c r="AU34" i="4"/>
  <c r="BX34" i="4"/>
  <c r="BY34" i="4" s="1"/>
  <c r="FN34" i="4"/>
  <c r="FO34" i="4" s="1"/>
  <c r="DB34" i="4"/>
  <c r="CQ34" i="4"/>
  <c r="CR34" i="4" s="1"/>
  <c r="BN34" i="4"/>
  <c r="AD34" i="4"/>
  <c r="EU34" i="4"/>
  <c r="EV34" i="4" s="1"/>
  <c r="EK34" i="4"/>
  <c r="AB34" i="4"/>
  <c r="BE34" i="4"/>
  <c r="BF34" i="4" s="1"/>
  <c r="AL34" i="4"/>
  <c r="AM34" i="4" s="1"/>
  <c r="BP34" i="4"/>
  <c r="CZ34" i="4"/>
  <c r="CG34" i="4"/>
  <c r="DJ34" i="4"/>
  <c r="DK34" i="4" s="1"/>
  <c r="FF34" i="4"/>
  <c r="CI34" i="4"/>
  <c r="EM34" i="4"/>
  <c r="AG42" i="9"/>
  <c r="BJ42" i="9"/>
  <c r="BK42" i="9" s="1"/>
  <c r="AZ42" i="9"/>
  <c r="AI42" i="9"/>
  <c r="AQ42" i="9"/>
  <c r="AR42" i="9" s="1"/>
  <c r="BB42" i="9"/>
  <c r="BP37" i="4"/>
  <c r="AB37" i="4"/>
  <c r="FD37" i="4"/>
  <c r="AD37" i="4"/>
  <c r="FF37" i="4"/>
  <c r="CQ37" i="4"/>
  <c r="CR37" i="4" s="1"/>
  <c r="EM37" i="4"/>
  <c r="EU37" i="4"/>
  <c r="EV37" i="4" s="1"/>
  <c r="BN37" i="4"/>
  <c r="AU37" i="4"/>
  <c r="BE37" i="4"/>
  <c r="BF37" i="4" s="1"/>
  <c r="EK37" i="4"/>
  <c r="DB37" i="4"/>
  <c r="AW37" i="4"/>
  <c r="BX37" i="4"/>
  <c r="BY37" i="4" s="1"/>
  <c r="CG37" i="4"/>
  <c r="CI37" i="4"/>
  <c r="AL37" i="4"/>
  <c r="AM37" i="4" s="1"/>
  <c r="DJ37" i="4"/>
  <c r="DK37" i="4" s="1"/>
  <c r="CZ37" i="4"/>
  <c r="FN37" i="4"/>
  <c r="FO37" i="4" s="1"/>
  <c r="AG26" i="9"/>
  <c r="BB26" i="9"/>
  <c r="AI26" i="9"/>
  <c r="AZ26" i="9"/>
  <c r="BJ26" i="9"/>
  <c r="BK26" i="9" s="1"/>
  <c r="AQ26" i="9"/>
  <c r="AR26" i="9" s="1"/>
  <c r="AB47" i="4"/>
  <c r="AD47" i="4"/>
  <c r="BN47" i="4"/>
  <c r="DB47" i="4"/>
  <c r="BE47" i="4"/>
  <c r="BF47" i="4" s="1"/>
  <c r="EU47" i="4"/>
  <c r="EV47" i="4" s="1"/>
  <c r="DJ47" i="4"/>
  <c r="DK47" i="4" s="1"/>
  <c r="FD47" i="4"/>
  <c r="EK47" i="4"/>
  <c r="AW47" i="4"/>
  <c r="CI47" i="4"/>
  <c r="FN47" i="4"/>
  <c r="FO47" i="4" s="1"/>
  <c r="CG47" i="4"/>
  <c r="BP47" i="4"/>
  <c r="AU47" i="4"/>
  <c r="AL47" i="4"/>
  <c r="AM47" i="4" s="1"/>
  <c r="EM47" i="4"/>
  <c r="BX47" i="4"/>
  <c r="BY47" i="4" s="1"/>
  <c r="FF47" i="4"/>
  <c r="CQ47" i="4"/>
  <c r="CR47" i="4" s="1"/>
  <c r="CZ47" i="4"/>
  <c r="AI41" i="9"/>
  <c r="BB41" i="9"/>
  <c r="AG41" i="9"/>
  <c r="AZ41" i="9"/>
  <c r="BJ41" i="9"/>
  <c r="BK41" i="9" s="1"/>
  <c r="AQ41" i="9"/>
  <c r="AR41" i="9" s="1"/>
  <c r="CQ33" i="4"/>
  <c r="CR33" i="4" s="1"/>
  <c r="DB33" i="4"/>
  <c r="AW33" i="4"/>
  <c r="BP33" i="4"/>
  <c r="BN33" i="4"/>
  <c r="BX33" i="4"/>
  <c r="BY33" i="4" s="1"/>
  <c r="AU33" i="4"/>
  <c r="AB33" i="4"/>
  <c r="AD33" i="4"/>
  <c r="AL33" i="4"/>
  <c r="AM33" i="4" s="1"/>
  <c r="DJ33" i="4"/>
  <c r="DK33" i="4" s="1"/>
  <c r="BE33" i="4"/>
  <c r="BF33" i="4" s="1"/>
  <c r="CI33" i="4"/>
  <c r="CG33" i="4"/>
  <c r="EU33" i="4"/>
  <c r="EV33" i="4" s="1"/>
  <c r="FF33" i="4"/>
  <c r="EM33" i="4"/>
  <c r="FN33" i="4"/>
  <c r="FO33" i="4" s="1"/>
  <c r="EK33" i="4"/>
  <c r="FD33" i="4"/>
  <c r="CZ33" i="4"/>
  <c r="AD25" i="7"/>
  <c r="AL25" i="7"/>
  <c r="AM25" i="7" s="1"/>
  <c r="AB25" i="7"/>
  <c r="AB26" i="7"/>
  <c r="AD26" i="7"/>
  <c r="AL26" i="7"/>
  <c r="AM26" i="7" s="1"/>
  <c r="AZ31" i="9"/>
  <c r="AI31" i="9"/>
  <c r="AQ31" i="9"/>
  <c r="AR31" i="9" s="1"/>
  <c r="BB31" i="9"/>
  <c r="AG31" i="9"/>
  <c r="BJ31" i="9"/>
  <c r="BK31" i="9" s="1"/>
  <c r="BJ29" i="9"/>
  <c r="BK29" i="9" s="1"/>
  <c r="AQ29" i="9"/>
  <c r="AR29" i="9" s="1"/>
  <c r="BB29" i="9"/>
  <c r="AI29" i="9"/>
  <c r="AG29" i="9"/>
  <c r="AZ29" i="9"/>
  <c r="AG34" i="9"/>
  <c r="AI34" i="9"/>
  <c r="AZ34" i="9"/>
  <c r="BJ34" i="9"/>
  <c r="BK34" i="9" s="1"/>
  <c r="BB34" i="9"/>
  <c r="AQ34" i="9"/>
  <c r="AR34" i="9" s="1"/>
  <c r="CQ49" i="4"/>
  <c r="CR49" i="4" s="1"/>
  <c r="BX49" i="4"/>
  <c r="BY49" i="4" s="1"/>
  <c r="FD49" i="4"/>
  <c r="AU49" i="4"/>
  <c r="EK49" i="4"/>
  <c r="EU49" i="4"/>
  <c r="EV49" i="4" s="1"/>
  <c r="FF49" i="4"/>
  <c r="DB49" i="4"/>
  <c r="DJ49" i="4"/>
  <c r="DK49" i="4" s="1"/>
  <c r="AL49" i="4"/>
  <c r="AM49" i="4" s="1"/>
  <c r="BP49" i="4"/>
  <c r="AB49" i="4"/>
  <c r="BN49" i="4"/>
  <c r="CG49" i="4"/>
  <c r="CZ49" i="4"/>
  <c r="FN49" i="4"/>
  <c r="FO49" i="4" s="1"/>
  <c r="CI49" i="4"/>
  <c r="AD49" i="4"/>
  <c r="EM49" i="4"/>
  <c r="AW49" i="4"/>
  <c r="BE49" i="4"/>
  <c r="BF49" i="4" s="1"/>
  <c r="AL42" i="4"/>
  <c r="AM42" i="4" s="1"/>
  <c r="AB42" i="4"/>
  <c r="EM42" i="4"/>
  <c r="FF42" i="4"/>
  <c r="FD42" i="4"/>
  <c r="BX42" i="4"/>
  <c r="BY42" i="4" s="1"/>
  <c r="CQ42" i="4"/>
  <c r="CR42" i="4" s="1"/>
  <c r="DB42" i="4"/>
  <c r="BN42" i="4"/>
  <c r="DJ42" i="4"/>
  <c r="DK42" i="4" s="1"/>
  <c r="AD42" i="4"/>
  <c r="CG42" i="4"/>
  <c r="EK42" i="4"/>
  <c r="CZ42" i="4"/>
  <c r="AU42" i="4"/>
  <c r="BP42" i="4"/>
  <c r="FN42" i="4"/>
  <c r="FO42" i="4" s="1"/>
  <c r="BE42" i="4"/>
  <c r="BF42" i="4" s="1"/>
  <c r="AW42" i="4"/>
  <c r="EU42" i="4"/>
  <c r="EV42" i="4" s="1"/>
  <c r="CI42" i="4"/>
  <c r="BE31" i="4"/>
  <c r="BF31" i="4" s="1"/>
  <c r="EM31" i="4"/>
  <c r="BX31" i="4"/>
  <c r="BY31" i="4" s="1"/>
  <c r="AW31" i="4"/>
  <c r="FF31" i="4"/>
  <c r="DJ31" i="4"/>
  <c r="DK31" i="4" s="1"/>
  <c r="CG31" i="4"/>
  <c r="CQ31" i="4"/>
  <c r="CR31" i="4" s="1"/>
  <c r="FN31" i="4"/>
  <c r="FO31" i="4" s="1"/>
  <c r="AU31" i="4"/>
  <c r="BP31" i="4"/>
  <c r="DB31" i="4"/>
  <c r="AL31" i="4"/>
  <c r="AM31" i="4" s="1"/>
  <c r="FD31" i="4"/>
  <c r="CI31" i="4"/>
  <c r="CZ31" i="4"/>
  <c r="BN31" i="4"/>
  <c r="EU31" i="4"/>
  <c r="EV31" i="4" s="1"/>
  <c r="AB31" i="4"/>
  <c r="EK31" i="4"/>
  <c r="AD31" i="4"/>
  <c r="CI46" i="4"/>
  <c r="CG46" i="4"/>
  <c r="CZ46" i="4"/>
  <c r="CQ46" i="4"/>
  <c r="CR46" i="4" s="1"/>
  <c r="DB46" i="4"/>
  <c r="FN46" i="4"/>
  <c r="FO46" i="4" s="1"/>
  <c r="BP46" i="4"/>
  <c r="BE46" i="4"/>
  <c r="BF46" i="4" s="1"/>
  <c r="AB46" i="4"/>
  <c r="BN46" i="4"/>
  <c r="AL46" i="4"/>
  <c r="AM46" i="4" s="1"/>
  <c r="EK46" i="4"/>
  <c r="AU46" i="4"/>
  <c r="FF46" i="4"/>
  <c r="FD46" i="4"/>
  <c r="AD46" i="4"/>
  <c r="AW46" i="4"/>
  <c r="DJ46" i="4"/>
  <c r="DK46" i="4" s="1"/>
  <c r="EM46" i="4"/>
  <c r="EU46" i="4"/>
  <c r="EV46" i="4" s="1"/>
  <c r="BX46" i="4"/>
  <c r="BY46" i="4" s="1"/>
  <c r="DJ39" i="4"/>
  <c r="DK39" i="4" s="1"/>
  <c r="BE39" i="4"/>
  <c r="BF39" i="4" s="1"/>
  <c r="FF39" i="4"/>
  <c r="AW39" i="4"/>
  <c r="FD39" i="4"/>
  <c r="CG39" i="4"/>
  <c r="AB39" i="4"/>
  <c r="FN39" i="4"/>
  <c r="FO39" i="4" s="1"/>
  <c r="CQ39" i="4"/>
  <c r="CR39" i="4" s="1"/>
  <c r="AL39" i="4"/>
  <c r="AM39" i="4" s="1"/>
  <c r="CI39" i="4"/>
  <c r="AD39" i="4"/>
  <c r="EK39" i="4"/>
  <c r="BN39" i="4"/>
  <c r="EU39" i="4"/>
  <c r="EV39" i="4" s="1"/>
  <c r="BX39" i="4"/>
  <c r="BY39" i="4" s="1"/>
  <c r="EM39" i="4"/>
  <c r="BP39" i="4"/>
  <c r="DB39" i="4"/>
  <c r="CZ39" i="4"/>
  <c r="AU39" i="4"/>
  <c r="BB32" i="9"/>
  <c r="BJ32" i="9"/>
  <c r="BK32" i="9" s="1"/>
  <c r="AI32" i="9"/>
  <c r="AG32" i="9"/>
  <c r="AZ32" i="9"/>
  <c r="AQ32" i="9"/>
  <c r="AR32" i="9" s="1"/>
  <c r="FF41" i="4"/>
  <c r="AW41" i="4"/>
  <c r="CG41" i="4"/>
  <c r="BE41" i="4"/>
  <c r="BF41" i="4" s="1"/>
  <c r="EM41" i="4"/>
  <c r="BP41" i="4"/>
  <c r="FD41" i="4"/>
  <c r="AB41" i="4"/>
  <c r="AD41" i="4"/>
  <c r="CQ41" i="4"/>
  <c r="CR41" i="4" s="1"/>
  <c r="EK41" i="4"/>
  <c r="DB41" i="4"/>
  <c r="BX41" i="4"/>
  <c r="BY41" i="4" s="1"/>
  <c r="DJ41" i="4"/>
  <c r="DK41" i="4" s="1"/>
  <c r="EU41" i="4"/>
  <c r="EV41" i="4" s="1"/>
  <c r="AU41" i="4"/>
  <c r="FN41" i="4"/>
  <c r="FO41" i="4" s="1"/>
  <c r="CZ41" i="4"/>
  <c r="AL41" i="4"/>
  <c r="AM41" i="4" s="1"/>
  <c r="BN41" i="4"/>
  <c r="AQ44" i="9"/>
  <c r="AR44" i="9" s="1"/>
  <c r="AI44" i="9"/>
  <c r="AZ44" i="9"/>
  <c r="BJ44" i="9"/>
  <c r="BK44" i="9" s="1"/>
  <c r="BB44" i="9"/>
  <c r="AG44" i="9"/>
  <c r="AB35" i="4"/>
  <c r="BX35" i="4"/>
  <c r="BY35" i="4" s="1"/>
  <c r="CI35" i="4"/>
  <c r="BE35" i="4"/>
  <c r="BF35" i="4" s="1"/>
  <c r="FF35" i="4"/>
  <c r="FN35" i="4"/>
  <c r="FO35" i="4" s="1"/>
  <c r="AU35" i="4"/>
  <c r="CG35" i="4"/>
  <c r="EK35" i="4"/>
  <c r="CZ35" i="4"/>
  <c r="AW35" i="4"/>
  <c r="DJ35" i="4"/>
  <c r="DK35" i="4" s="1"/>
  <c r="DB35" i="4"/>
  <c r="EM35" i="4"/>
  <c r="AL35" i="4"/>
  <c r="AM35" i="4" s="1"/>
  <c r="EU35" i="4"/>
  <c r="EV35" i="4" s="1"/>
  <c r="FD35" i="4"/>
  <c r="AD35" i="4"/>
  <c r="BN35" i="4"/>
  <c r="CQ35" i="4"/>
  <c r="CR35" i="4" s="1"/>
  <c r="BP35" i="4"/>
  <c r="AG27" i="9"/>
  <c r="AI27" i="9"/>
  <c r="BB27" i="9"/>
  <c r="AZ27" i="9"/>
  <c r="BJ27" i="9"/>
  <c r="BK27" i="9" s="1"/>
  <c r="AQ27" i="9"/>
  <c r="AR27" i="9" s="1"/>
  <c r="CQ45" i="4"/>
  <c r="CR45" i="4" s="1"/>
  <c r="CI45" i="4"/>
  <c r="BE45" i="4"/>
  <c r="BF45" i="4" s="1"/>
  <c r="FF45" i="4"/>
  <c r="DJ45" i="4"/>
  <c r="DK45" i="4" s="1"/>
  <c r="CZ45" i="4"/>
  <c r="AL45" i="4"/>
  <c r="AM45" i="4" s="1"/>
  <c r="AB45" i="4"/>
  <c r="DB45" i="4"/>
  <c r="BX45" i="4"/>
  <c r="BY45" i="4" s="1"/>
  <c r="EU45" i="4"/>
  <c r="EV45" i="4" s="1"/>
  <c r="CG45" i="4"/>
  <c r="EK45" i="4"/>
  <c r="FN45" i="4"/>
  <c r="FO45" i="4" s="1"/>
  <c r="AD45" i="4"/>
  <c r="AU45" i="4"/>
  <c r="FD45" i="4"/>
  <c r="BP45" i="4"/>
  <c r="BN45" i="4"/>
  <c r="AW45" i="4"/>
  <c r="EM45" i="4"/>
  <c r="AU50" i="4"/>
  <c r="CG50" i="4"/>
  <c r="FD50" i="4"/>
  <c r="CI50" i="4"/>
  <c r="DJ50" i="4"/>
  <c r="DK50" i="4" s="1"/>
  <c r="AL50" i="4"/>
  <c r="AM50" i="4" s="1"/>
  <c r="BN50" i="4"/>
  <c r="CZ50" i="4"/>
  <c r="AB50" i="4"/>
  <c r="CQ50" i="4"/>
  <c r="CR50" i="4" s="1"/>
  <c r="AW50" i="4"/>
  <c r="FN50" i="4"/>
  <c r="FO50" i="4" s="1"/>
  <c r="EM50" i="4"/>
  <c r="BX50" i="4"/>
  <c r="BY50" i="4" s="1"/>
  <c r="FF50" i="4"/>
  <c r="EU50" i="4"/>
  <c r="EV50" i="4" s="1"/>
  <c r="AD50" i="4"/>
  <c r="BP50" i="4"/>
  <c r="DB50" i="4"/>
  <c r="BE50" i="4"/>
  <c r="BF50" i="4" s="1"/>
  <c r="EK50" i="4"/>
  <c r="CQ44" i="4"/>
  <c r="CR44" i="4" s="1"/>
  <c r="BX44" i="4"/>
  <c r="BY44" i="4" s="1"/>
  <c r="FF44" i="4"/>
  <c r="FD44" i="4"/>
  <c r="EM44" i="4"/>
  <c r="AD44" i="4"/>
  <c r="DJ44" i="4"/>
  <c r="DK44" i="4" s="1"/>
  <c r="AU44" i="4"/>
  <c r="AW44" i="4"/>
  <c r="FN44" i="4"/>
  <c r="FO44" i="4" s="1"/>
  <c r="AL44" i="4"/>
  <c r="AM44" i="4" s="1"/>
  <c r="BE44" i="4"/>
  <c r="BF44" i="4" s="1"/>
  <c r="DB44" i="4"/>
  <c r="BP44" i="4"/>
  <c r="AB44" i="4"/>
  <c r="EU44" i="4"/>
  <c r="EV44" i="4" s="1"/>
  <c r="EK44" i="4"/>
  <c r="CG44" i="4"/>
  <c r="BN44" i="4"/>
  <c r="CZ44" i="4"/>
  <c r="CI44" i="4"/>
  <c r="AW25" i="8"/>
  <c r="AL25" i="8"/>
  <c r="AM25" i="8" s="1"/>
  <c r="CI25" i="8"/>
  <c r="BN25" i="8"/>
  <c r="BP25" i="8"/>
  <c r="AB25" i="8"/>
  <c r="AU25" i="8"/>
  <c r="CQ25" i="8"/>
  <c r="CR25" i="8" s="1"/>
  <c r="BE25" i="8"/>
  <c r="BF25" i="8" s="1"/>
  <c r="AD25" i="8"/>
  <c r="CG25" i="8"/>
  <c r="BX25" i="8"/>
  <c r="BY25" i="8" s="1"/>
  <c r="Z23" i="8"/>
  <c r="AB53" i="4"/>
  <c r="BE53" i="4"/>
  <c r="BF53" i="4" s="1"/>
  <c r="AW53" i="4"/>
  <c r="CI53" i="4"/>
  <c r="BX53" i="4"/>
  <c r="BY53" i="4" s="1"/>
  <c r="DB53" i="4"/>
  <c r="CQ53" i="4"/>
  <c r="CR53" i="4" s="1"/>
  <c r="EU53" i="4"/>
  <c r="EV53" i="4" s="1"/>
  <c r="BP53" i="4"/>
  <c r="AL53" i="4"/>
  <c r="AM53" i="4" s="1"/>
  <c r="BN53" i="4"/>
  <c r="FD53" i="4"/>
  <c r="FN53" i="4"/>
  <c r="FO53" i="4" s="1"/>
  <c r="CZ53" i="4"/>
  <c r="AU53" i="4"/>
  <c r="EK53" i="4"/>
  <c r="CG53" i="4"/>
  <c r="FF53" i="4"/>
  <c r="EM53" i="4"/>
  <c r="AD53" i="4"/>
  <c r="BE183" i="4"/>
  <c r="BF183" i="4" s="1"/>
  <c r="AB183" i="4"/>
  <c r="AW183" i="4"/>
  <c r="AD183" i="4"/>
  <c r="DJ183" i="4"/>
  <c r="DK183" i="4" s="1"/>
  <c r="CI183" i="4"/>
  <c r="DB183" i="4"/>
  <c r="FF183" i="4"/>
  <c r="BP183" i="4"/>
  <c r="EM183" i="4"/>
  <c r="BX183" i="4"/>
  <c r="BY183" i="4" s="1"/>
  <c r="EU183" i="4"/>
  <c r="EV183" i="4" s="1"/>
  <c r="FN183" i="4"/>
  <c r="FO183" i="4" s="1"/>
  <c r="CQ183" i="4"/>
  <c r="CR183" i="4" s="1"/>
  <c r="CG183" i="4"/>
  <c r="BN183" i="4"/>
  <c r="AU183" i="4"/>
  <c r="EK183" i="4"/>
  <c r="FD183" i="4"/>
  <c r="CZ183" i="4"/>
  <c r="AL183" i="4"/>
  <c r="AM183" i="4" s="1"/>
  <c r="AB93" i="4"/>
  <c r="BE93" i="4"/>
  <c r="BF93" i="4" s="1"/>
  <c r="AW93" i="4"/>
  <c r="DJ93" i="4"/>
  <c r="DK93" i="4" s="1"/>
  <c r="DB93" i="4"/>
  <c r="AL93" i="4"/>
  <c r="AM93" i="4" s="1"/>
  <c r="AD93" i="4"/>
  <c r="FN93" i="4"/>
  <c r="FO93" i="4" s="1"/>
  <c r="CI93" i="4"/>
  <c r="EM93" i="4"/>
  <c r="FF93" i="4"/>
  <c r="CQ93" i="4"/>
  <c r="CR93" i="4" s="1"/>
  <c r="BP93" i="4"/>
  <c r="FD93" i="4"/>
  <c r="CZ93" i="4"/>
  <c r="EK93" i="4"/>
  <c r="CG93" i="4"/>
  <c r="BN93" i="4"/>
  <c r="EU93" i="4"/>
  <c r="EV93" i="4" s="1"/>
  <c r="AU93" i="4"/>
  <c r="BX93" i="4"/>
  <c r="BY93" i="4" s="1"/>
  <c r="AB146" i="4"/>
  <c r="BE146" i="4"/>
  <c r="BF146" i="4" s="1"/>
  <c r="AW146" i="4"/>
  <c r="EU146" i="4"/>
  <c r="EV146" i="4" s="1"/>
  <c r="FN146" i="4"/>
  <c r="FO146" i="4" s="1"/>
  <c r="DB146" i="4"/>
  <c r="BX146" i="4"/>
  <c r="BY146" i="4" s="1"/>
  <c r="EM146" i="4"/>
  <c r="DJ146" i="4"/>
  <c r="DK146" i="4" s="1"/>
  <c r="AD146" i="4"/>
  <c r="CQ146" i="4"/>
  <c r="CR146" i="4" s="1"/>
  <c r="AL146" i="4"/>
  <c r="AM146" i="4" s="1"/>
  <c r="CI146" i="4"/>
  <c r="EK146" i="4"/>
  <c r="BP146" i="4"/>
  <c r="AU146" i="4"/>
  <c r="FD146" i="4"/>
  <c r="CG146" i="4"/>
  <c r="CZ146" i="4"/>
  <c r="BN146" i="4"/>
  <c r="FF146" i="4"/>
  <c r="AB181" i="4"/>
  <c r="BE181" i="4"/>
  <c r="BF181" i="4" s="1"/>
  <c r="AW181" i="4"/>
  <c r="CI181" i="4"/>
  <c r="DJ181" i="4"/>
  <c r="DK181" i="4" s="1"/>
  <c r="AL181" i="4"/>
  <c r="AM181" i="4" s="1"/>
  <c r="CQ181" i="4"/>
  <c r="CR181" i="4" s="1"/>
  <c r="BX181" i="4"/>
  <c r="BY181" i="4" s="1"/>
  <c r="EU181" i="4"/>
  <c r="EV181" i="4" s="1"/>
  <c r="FF181" i="4"/>
  <c r="DB181" i="4"/>
  <c r="EM181" i="4"/>
  <c r="BP181" i="4"/>
  <c r="EK181" i="4"/>
  <c r="AU181" i="4"/>
  <c r="BN181" i="4"/>
  <c r="CG181" i="4"/>
  <c r="CZ181" i="4"/>
  <c r="FD181" i="4"/>
  <c r="AD181" i="4"/>
  <c r="FN181" i="4"/>
  <c r="FO181" i="4" s="1"/>
  <c r="AG91" i="9"/>
  <c r="AQ91" i="9"/>
  <c r="AR91" i="9" s="1"/>
  <c r="AI91" i="9"/>
  <c r="AZ91" i="9"/>
  <c r="BB91" i="9"/>
  <c r="BJ91" i="9"/>
  <c r="BK91" i="9" s="1"/>
  <c r="AG69" i="9"/>
  <c r="AI69" i="9"/>
  <c r="AQ69" i="9"/>
  <c r="AR69" i="9" s="1"/>
  <c r="BJ69" i="9"/>
  <c r="BK69" i="9" s="1"/>
  <c r="AZ69" i="9"/>
  <c r="BB69" i="9"/>
  <c r="AB107" i="5"/>
  <c r="AL107" i="5"/>
  <c r="AM107" i="5" s="1"/>
  <c r="AD107" i="5"/>
  <c r="AD46" i="5"/>
  <c r="AL46" i="5"/>
  <c r="AM46" i="5" s="1"/>
  <c r="AB46" i="5"/>
  <c r="AL52" i="5"/>
  <c r="AM52" i="5" s="1"/>
  <c r="AD52" i="5"/>
  <c r="AB52" i="5"/>
  <c r="AB71" i="7"/>
  <c r="AL71" i="7"/>
  <c r="AM71" i="7" s="1"/>
  <c r="AD71" i="7"/>
  <c r="AB117" i="4"/>
  <c r="BE117" i="4"/>
  <c r="BF117" i="4" s="1"/>
  <c r="AW117" i="4"/>
  <c r="DJ117" i="4"/>
  <c r="DK117" i="4" s="1"/>
  <c r="FN117" i="4"/>
  <c r="FO117" i="4" s="1"/>
  <c r="DB117" i="4"/>
  <c r="CI117" i="4"/>
  <c r="AL117" i="4"/>
  <c r="AM117" i="4" s="1"/>
  <c r="CQ117" i="4"/>
  <c r="CR117" i="4" s="1"/>
  <c r="FF117" i="4"/>
  <c r="EU117" i="4"/>
  <c r="EV117" i="4" s="1"/>
  <c r="BX117" i="4"/>
  <c r="BY117" i="4" s="1"/>
  <c r="EM117" i="4"/>
  <c r="BN117" i="4"/>
  <c r="CG117" i="4"/>
  <c r="EK117" i="4"/>
  <c r="BP117" i="4"/>
  <c r="CZ117" i="4"/>
  <c r="FD117" i="4"/>
  <c r="AU117" i="4"/>
  <c r="AD117" i="4"/>
  <c r="AB190" i="4"/>
  <c r="AW190" i="4"/>
  <c r="BE190" i="4"/>
  <c r="BF190" i="4" s="1"/>
  <c r="DJ190" i="4"/>
  <c r="DK190" i="4" s="1"/>
  <c r="FF190" i="4"/>
  <c r="AL190" i="4"/>
  <c r="AM190" i="4" s="1"/>
  <c r="CQ190" i="4"/>
  <c r="CR190" i="4" s="1"/>
  <c r="AD190" i="4"/>
  <c r="FN190" i="4"/>
  <c r="FO190" i="4" s="1"/>
  <c r="BX190" i="4"/>
  <c r="BY190" i="4" s="1"/>
  <c r="DB190" i="4"/>
  <c r="CZ190" i="4"/>
  <c r="CI190" i="4"/>
  <c r="AU190" i="4"/>
  <c r="FD190" i="4"/>
  <c r="CG190" i="4"/>
  <c r="EK190" i="4"/>
  <c r="BP190" i="4"/>
  <c r="BN190" i="4"/>
  <c r="EM190" i="4"/>
  <c r="EU190" i="4"/>
  <c r="EV190" i="4" s="1"/>
  <c r="AB96" i="4"/>
  <c r="AW96" i="4"/>
  <c r="BE96" i="4"/>
  <c r="BF96" i="4" s="1"/>
  <c r="FF96" i="4"/>
  <c r="DB96" i="4"/>
  <c r="AD96" i="4"/>
  <c r="CI96" i="4"/>
  <c r="EU96" i="4"/>
  <c r="EV96" i="4" s="1"/>
  <c r="FN96" i="4"/>
  <c r="FO96" i="4" s="1"/>
  <c r="EM96" i="4"/>
  <c r="DJ96" i="4"/>
  <c r="DK96" i="4" s="1"/>
  <c r="AL96" i="4"/>
  <c r="AM96" i="4" s="1"/>
  <c r="BX96" i="4"/>
  <c r="BY96" i="4" s="1"/>
  <c r="BN96" i="4"/>
  <c r="CG96" i="4"/>
  <c r="BP96" i="4"/>
  <c r="CQ96" i="4"/>
  <c r="CR96" i="4" s="1"/>
  <c r="EK96" i="4"/>
  <c r="CZ96" i="4"/>
  <c r="AU96" i="4"/>
  <c r="FD96" i="4"/>
  <c r="CI57" i="8"/>
  <c r="AW57" i="8"/>
  <c r="BP57" i="8"/>
  <c r="CQ57" i="8"/>
  <c r="CR57" i="8" s="1"/>
  <c r="AD57" i="8"/>
  <c r="BX57" i="8"/>
  <c r="BY57" i="8" s="1"/>
  <c r="AB57" i="8"/>
  <c r="CG57" i="8"/>
  <c r="AU57" i="8"/>
  <c r="AL57" i="8"/>
  <c r="AM57" i="8" s="1"/>
  <c r="BE57" i="8"/>
  <c r="BF57" i="8" s="1"/>
  <c r="BN57" i="8"/>
  <c r="AB123" i="4"/>
  <c r="BE123" i="4"/>
  <c r="BF123" i="4" s="1"/>
  <c r="AW123" i="4"/>
  <c r="CQ123" i="4"/>
  <c r="CR123" i="4" s="1"/>
  <c r="DJ123" i="4"/>
  <c r="DK123" i="4" s="1"/>
  <c r="BX123" i="4"/>
  <c r="BY123" i="4" s="1"/>
  <c r="FN123" i="4"/>
  <c r="FO123" i="4" s="1"/>
  <c r="DB123" i="4"/>
  <c r="EU123" i="4"/>
  <c r="EV123" i="4" s="1"/>
  <c r="BP123" i="4"/>
  <c r="CG123" i="4"/>
  <c r="AU123" i="4"/>
  <c r="CZ123" i="4"/>
  <c r="FD123" i="4"/>
  <c r="AL123" i="4"/>
  <c r="AM123" i="4" s="1"/>
  <c r="CI123" i="4"/>
  <c r="AD123" i="4"/>
  <c r="FF123" i="4"/>
  <c r="EK123" i="4"/>
  <c r="BN123" i="4"/>
  <c r="EM123" i="4"/>
  <c r="AB115" i="4"/>
  <c r="BE115" i="4"/>
  <c r="BF115" i="4" s="1"/>
  <c r="AW115" i="4"/>
  <c r="DB115" i="4"/>
  <c r="DJ115" i="4"/>
  <c r="DK115" i="4" s="1"/>
  <c r="CI115" i="4"/>
  <c r="CQ115" i="4"/>
  <c r="CR115" i="4" s="1"/>
  <c r="FF115" i="4"/>
  <c r="EU115" i="4"/>
  <c r="EV115" i="4" s="1"/>
  <c r="BX115" i="4"/>
  <c r="BY115" i="4" s="1"/>
  <c r="BP115" i="4"/>
  <c r="AL115" i="4"/>
  <c r="AM115" i="4" s="1"/>
  <c r="AD115" i="4"/>
  <c r="CZ115" i="4"/>
  <c r="EK115" i="4"/>
  <c r="BN115" i="4"/>
  <c r="CG115" i="4"/>
  <c r="FD115" i="4"/>
  <c r="AU115" i="4"/>
  <c r="EM115" i="4"/>
  <c r="FN115" i="4"/>
  <c r="FO115" i="4" s="1"/>
  <c r="AD31" i="8"/>
  <c r="AL31" i="8"/>
  <c r="AM31" i="8" s="1"/>
  <c r="BP31" i="8"/>
  <c r="BX31" i="8"/>
  <c r="BY31" i="8" s="1"/>
  <c r="BE31" i="8"/>
  <c r="BF31" i="8" s="1"/>
  <c r="CI31" i="8"/>
  <c r="AW31" i="8"/>
  <c r="AB31" i="8"/>
  <c r="CQ31" i="8"/>
  <c r="CR31" i="8" s="1"/>
  <c r="BN31" i="8"/>
  <c r="AU31" i="8"/>
  <c r="CG31" i="8"/>
  <c r="AB41" i="7"/>
  <c r="AL41" i="7"/>
  <c r="AM41" i="7" s="1"/>
  <c r="AD41" i="7"/>
  <c r="AG118" i="9"/>
  <c r="AQ118" i="9"/>
  <c r="AR118" i="9" s="1"/>
  <c r="AI118" i="9"/>
  <c r="BJ118" i="9"/>
  <c r="BK118" i="9" s="1"/>
  <c r="BB118" i="9"/>
  <c r="AZ118" i="9"/>
  <c r="AG83" i="9"/>
  <c r="AQ83" i="9"/>
  <c r="AR83" i="9" s="1"/>
  <c r="AI83" i="9"/>
  <c r="BB83" i="9"/>
  <c r="AZ83" i="9"/>
  <c r="BJ83" i="9"/>
  <c r="BK83" i="9" s="1"/>
  <c r="AG117" i="9"/>
  <c r="AQ117" i="9"/>
  <c r="AR117" i="9" s="1"/>
  <c r="AI117" i="9"/>
  <c r="AZ117" i="9"/>
  <c r="BJ117" i="9"/>
  <c r="BK117" i="9" s="1"/>
  <c r="BB117" i="9"/>
  <c r="AL29" i="5"/>
  <c r="AM29" i="5" s="1"/>
  <c r="AD29" i="5"/>
  <c r="AB29" i="5"/>
  <c r="CI81" i="8"/>
  <c r="BX81" i="8"/>
  <c r="BY81" i="8" s="1"/>
  <c r="CQ81" i="8"/>
  <c r="CR81" i="8" s="1"/>
  <c r="AL81" i="8"/>
  <c r="AM81" i="8" s="1"/>
  <c r="AW81" i="8"/>
  <c r="AB81" i="8"/>
  <c r="AU81" i="8"/>
  <c r="CG81" i="8"/>
  <c r="BN81" i="8"/>
  <c r="BE81" i="8"/>
  <c r="BF81" i="8" s="1"/>
  <c r="BP81" i="8"/>
  <c r="AD81" i="8"/>
  <c r="AL87" i="7"/>
  <c r="AM87" i="7" s="1"/>
  <c r="AB87" i="7"/>
  <c r="AD87" i="7"/>
  <c r="AB140" i="4"/>
  <c r="BE140" i="4"/>
  <c r="BF140" i="4" s="1"/>
  <c r="AW140" i="4"/>
  <c r="CI140" i="4"/>
  <c r="EU140" i="4"/>
  <c r="EV140" i="4" s="1"/>
  <c r="FF140" i="4"/>
  <c r="FN140" i="4"/>
  <c r="FO140" i="4" s="1"/>
  <c r="BP140" i="4"/>
  <c r="BX140" i="4"/>
  <c r="BY140" i="4" s="1"/>
  <c r="AD140" i="4"/>
  <c r="EM140" i="4"/>
  <c r="DB140" i="4"/>
  <c r="CQ140" i="4"/>
  <c r="CR140" i="4" s="1"/>
  <c r="FD140" i="4"/>
  <c r="AL140" i="4"/>
  <c r="AM140" i="4" s="1"/>
  <c r="DJ140" i="4"/>
  <c r="DK140" i="4" s="1"/>
  <c r="AU140" i="4"/>
  <c r="CG140" i="4"/>
  <c r="EK140" i="4"/>
  <c r="CZ140" i="4"/>
  <c r="BN140" i="4"/>
  <c r="AB57" i="4"/>
  <c r="AW57" i="4"/>
  <c r="BE57" i="4"/>
  <c r="BF57" i="4" s="1"/>
  <c r="DB57" i="4"/>
  <c r="CQ57" i="4"/>
  <c r="CR57" i="4" s="1"/>
  <c r="CI57" i="4"/>
  <c r="EU57" i="4"/>
  <c r="EV57" i="4" s="1"/>
  <c r="FN57" i="4"/>
  <c r="FO57" i="4" s="1"/>
  <c r="EM57" i="4"/>
  <c r="FF57" i="4"/>
  <c r="AD57" i="4"/>
  <c r="BX57" i="4"/>
  <c r="BY57" i="4" s="1"/>
  <c r="CG57" i="4"/>
  <c r="BN57" i="4"/>
  <c r="AL57" i="4"/>
  <c r="AM57" i="4" s="1"/>
  <c r="FD57" i="4"/>
  <c r="EK57" i="4"/>
  <c r="AU57" i="4"/>
  <c r="CZ57" i="4"/>
  <c r="BP57" i="4"/>
  <c r="AL54" i="7"/>
  <c r="AM54" i="7" s="1"/>
  <c r="AB54" i="7"/>
  <c r="AD54" i="7"/>
  <c r="AB125" i="4"/>
  <c r="AW125" i="4"/>
  <c r="BE125" i="4"/>
  <c r="BF125" i="4" s="1"/>
  <c r="CQ125" i="4"/>
  <c r="CR125" i="4" s="1"/>
  <c r="DJ125" i="4"/>
  <c r="DK125" i="4" s="1"/>
  <c r="DB125" i="4"/>
  <c r="BX125" i="4"/>
  <c r="BY125" i="4" s="1"/>
  <c r="AD125" i="4"/>
  <c r="CI125" i="4"/>
  <c r="EU125" i="4"/>
  <c r="EV125" i="4" s="1"/>
  <c r="FF125" i="4"/>
  <c r="BP125" i="4"/>
  <c r="FD125" i="4"/>
  <c r="AU125" i="4"/>
  <c r="BN125" i="4"/>
  <c r="CZ125" i="4"/>
  <c r="FN125" i="4"/>
  <c r="FO125" i="4" s="1"/>
  <c r="EM125" i="4"/>
  <c r="AL125" i="4"/>
  <c r="AM125" i="4" s="1"/>
  <c r="CG125" i="4"/>
  <c r="EK125" i="4"/>
  <c r="AG158" i="9"/>
  <c r="AQ158" i="9"/>
  <c r="AR158" i="9" s="1"/>
  <c r="AI158" i="9"/>
  <c r="BB158" i="9"/>
  <c r="AZ158" i="9"/>
  <c r="BJ158" i="9"/>
  <c r="BK158" i="9" s="1"/>
  <c r="AG66" i="9"/>
  <c r="AI66" i="9"/>
  <c r="AQ66" i="9"/>
  <c r="AR66" i="9" s="1"/>
  <c r="BB66" i="9"/>
  <c r="AZ66" i="9"/>
  <c r="BJ66" i="9"/>
  <c r="BK66" i="9" s="1"/>
  <c r="AG148" i="9"/>
  <c r="AQ148" i="9"/>
  <c r="AR148" i="9" s="1"/>
  <c r="AI148" i="9"/>
  <c r="BJ148" i="9"/>
  <c r="BK148" i="9" s="1"/>
  <c r="AZ148" i="9"/>
  <c r="BB148" i="9"/>
  <c r="AL71" i="5"/>
  <c r="AM71" i="5" s="1"/>
  <c r="AD71" i="5"/>
  <c r="AB71" i="5"/>
  <c r="AL112" i="5"/>
  <c r="AM112" i="5" s="1"/>
  <c r="AB112" i="5"/>
  <c r="AD112" i="5"/>
  <c r="AB175" i="4"/>
  <c r="BE175" i="4"/>
  <c r="BF175" i="4" s="1"/>
  <c r="AW175" i="4"/>
  <c r="BX175" i="4"/>
  <c r="BY175" i="4" s="1"/>
  <c r="FN175" i="4"/>
  <c r="FO175" i="4" s="1"/>
  <c r="AD175" i="4"/>
  <c r="FF175" i="4"/>
  <c r="CI175" i="4"/>
  <c r="DB175" i="4"/>
  <c r="DJ175" i="4"/>
  <c r="DK175" i="4" s="1"/>
  <c r="CQ175" i="4"/>
  <c r="CR175" i="4" s="1"/>
  <c r="AL175" i="4"/>
  <c r="AM175" i="4" s="1"/>
  <c r="BP175" i="4"/>
  <c r="EU175" i="4"/>
  <c r="EV175" i="4" s="1"/>
  <c r="AU175" i="4"/>
  <c r="EM175" i="4"/>
  <c r="BN175" i="4"/>
  <c r="FD175" i="4"/>
  <c r="CZ175" i="4"/>
  <c r="CG175" i="4"/>
  <c r="EK175" i="4"/>
  <c r="AL45" i="7"/>
  <c r="AM45" i="7" s="1"/>
  <c r="AB45" i="7"/>
  <c r="AD45" i="7"/>
  <c r="AB191" i="4"/>
  <c r="BE191" i="4"/>
  <c r="BF191" i="4" s="1"/>
  <c r="AW191" i="4"/>
  <c r="CQ191" i="4"/>
  <c r="CR191" i="4" s="1"/>
  <c r="FN191" i="4"/>
  <c r="FO191" i="4" s="1"/>
  <c r="CI191" i="4"/>
  <c r="AD191" i="4"/>
  <c r="DB191" i="4"/>
  <c r="DJ191" i="4"/>
  <c r="DK191" i="4" s="1"/>
  <c r="BP191" i="4"/>
  <c r="EM191" i="4"/>
  <c r="FF191" i="4"/>
  <c r="EU191" i="4"/>
  <c r="EV191" i="4" s="1"/>
  <c r="BX191" i="4"/>
  <c r="BY191" i="4" s="1"/>
  <c r="AL191" i="4"/>
  <c r="AM191" i="4" s="1"/>
  <c r="FD191" i="4"/>
  <c r="CZ191" i="4"/>
  <c r="AU191" i="4"/>
  <c r="EK191" i="4"/>
  <c r="BN191" i="4"/>
  <c r="CG191" i="4"/>
  <c r="BX72" i="8"/>
  <c r="BY72" i="8" s="1"/>
  <c r="BP72" i="8"/>
  <c r="CQ72" i="8"/>
  <c r="CR72" i="8" s="1"/>
  <c r="CI72" i="8"/>
  <c r="AD72" i="8"/>
  <c r="BE72" i="8"/>
  <c r="BF72" i="8" s="1"/>
  <c r="AL72" i="8"/>
  <c r="AM72" i="8" s="1"/>
  <c r="CG72" i="8"/>
  <c r="AU72" i="8"/>
  <c r="BN72" i="8"/>
  <c r="AB72" i="8"/>
  <c r="AW72" i="8"/>
  <c r="BE89" i="8"/>
  <c r="BF89" i="8" s="1"/>
  <c r="CQ89" i="8"/>
  <c r="CR89" i="8" s="1"/>
  <c r="BX89" i="8"/>
  <c r="BY89" i="8" s="1"/>
  <c r="CI89" i="8"/>
  <c r="BP89" i="8"/>
  <c r="AL89" i="8"/>
  <c r="AM89" i="8" s="1"/>
  <c r="AD89" i="8"/>
  <c r="AW89" i="8"/>
  <c r="AU89" i="8"/>
  <c r="AB89" i="8"/>
  <c r="BN89" i="8"/>
  <c r="CG89" i="8"/>
  <c r="AB127" i="4"/>
  <c r="AW127" i="4"/>
  <c r="BE127" i="4"/>
  <c r="BF127" i="4" s="1"/>
  <c r="BP127" i="4"/>
  <c r="EM127" i="4"/>
  <c r="DJ127" i="4"/>
  <c r="DK127" i="4" s="1"/>
  <c r="EU127" i="4"/>
  <c r="EV127" i="4" s="1"/>
  <c r="FN127" i="4"/>
  <c r="FO127" i="4" s="1"/>
  <c r="CI127" i="4"/>
  <c r="FF127" i="4"/>
  <c r="BX127" i="4"/>
  <c r="BY127" i="4" s="1"/>
  <c r="CQ127" i="4"/>
  <c r="CR127" i="4" s="1"/>
  <c r="AD127" i="4"/>
  <c r="FD127" i="4"/>
  <c r="BN127" i="4"/>
  <c r="CG127" i="4"/>
  <c r="DB127" i="4"/>
  <c r="EK127" i="4"/>
  <c r="AU127" i="4"/>
  <c r="CZ127" i="4"/>
  <c r="AL127" i="4"/>
  <c r="AM127" i="4" s="1"/>
  <c r="AB156" i="4"/>
  <c r="BE156" i="4"/>
  <c r="BF156" i="4" s="1"/>
  <c r="AW156" i="4"/>
  <c r="DJ156" i="4"/>
  <c r="DK156" i="4" s="1"/>
  <c r="CI156" i="4"/>
  <c r="DB156" i="4"/>
  <c r="EM156" i="4"/>
  <c r="BX156" i="4"/>
  <c r="BY156" i="4" s="1"/>
  <c r="AD156" i="4"/>
  <c r="AL156" i="4"/>
  <c r="AM156" i="4" s="1"/>
  <c r="EU156" i="4"/>
  <c r="EV156" i="4" s="1"/>
  <c r="CQ156" i="4"/>
  <c r="CR156" i="4" s="1"/>
  <c r="BN156" i="4"/>
  <c r="FN156" i="4"/>
  <c r="FO156" i="4" s="1"/>
  <c r="FF156" i="4"/>
  <c r="AU156" i="4"/>
  <c r="FD156" i="4"/>
  <c r="CZ156" i="4"/>
  <c r="CG156" i="4"/>
  <c r="EK156" i="4"/>
  <c r="BP156" i="4"/>
  <c r="AD35" i="7"/>
  <c r="AL35" i="7"/>
  <c r="AM35" i="7" s="1"/>
  <c r="AB35" i="7"/>
  <c r="AW76" i="8"/>
  <c r="BX76" i="8"/>
  <c r="BY76" i="8" s="1"/>
  <c r="BE76" i="8"/>
  <c r="BF76" i="8" s="1"/>
  <c r="AL76" i="8"/>
  <c r="AM76" i="8" s="1"/>
  <c r="CQ76" i="8"/>
  <c r="CR76" i="8" s="1"/>
  <c r="BN76" i="8"/>
  <c r="AU76" i="8"/>
  <c r="CG76" i="8"/>
  <c r="AB76" i="8"/>
  <c r="AD76" i="8"/>
  <c r="CI76" i="8"/>
  <c r="BP76" i="8"/>
  <c r="BX90" i="8"/>
  <c r="BY90" i="8" s="1"/>
  <c r="AL90" i="8"/>
  <c r="AM90" i="8" s="1"/>
  <c r="CQ90" i="8"/>
  <c r="CR90" i="8" s="1"/>
  <c r="BP90" i="8"/>
  <c r="CI90" i="8"/>
  <c r="AD90" i="8"/>
  <c r="AW90" i="8"/>
  <c r="BE90" i="8"/>
  <c r="BF90" i="8" s="1"/>
  <c r="CG90" i="8"/>
  <c r="AU90" i="8"/>
  <c r="AB90" i="8"/>
  <c r="BN90" i="8"/>
  <c r="AG170" i="9"/>
  <c r="AQ170" i="9"/>
  <c r="AR170" i="9" s="1"/>
  <c r="AI170" i="9"/>
  <c r="AZ170" i="9"/>
  <c r="BB170" i="9"/>
  <c r="BJ170" i="9"/>
  <c r="BK170" i="9" s="1"/>
  <c r="AG139" i="9"/>
  <c r="AQ139" i="9"/>
  <c r="AR139" i="9" s="1"/>
  <c r="AI139" i="9"/>
  <c r="AZ139" i="9"/>
  <c r="BJ139" i="9"/>
  <c r="BK139" i="9" s="1"/>
  <c r="BB139" i="9"/>
  <c r="AG145" i="9"/>
  <c r="AI145" i="9"/>
  <c r="AQ145" i="9"/>
  <c r="AR145" i="9" s="1"/>
  <c r="BJ145" i="9"/>
  <c r="BK145" i="9" s="1"/>
  <c r="BB145" i="9"/>
  <c r="AZ145" i="9"/>
  <c r="AL68" i="5"/>
  <c r="AM68" i="5" s="1"/>
  <c r="AD68" i="5"/>
  <c r="AB68" i="5"/>
  <c r="AL44" i="5"/>
  <c r="AM44" i="5" s="1"/>
  <c r="AD44" i="5"/>
  <c r="AB44" i="5"/>
  <c r="AB68" i="4"/>
  <c r="BE68" i="4"/>
  <c r="BF68" i="4" s="1"/>
  <c r="AW68" i="4"/>
  <c r="DB68" i="4"/>
  <c r="EU68" i="4"/>
  <c r="EV68" i="4" s="1"/>
  <c r="DJ68" i="4"/>
  <c r="DK68" i="4" s="1"/>
  <c r="CI68" i="4"/>
  <c r="CQ68" i="4"/>
  <c r="CR68" i="4" s="1"/>
  <c r="EK68" i="4"/>
  <c r="AU68" i="4"/>
  <c r="FD68" i="4"/>
  <c r="CG68" i="4"/>
  <c r="AL68" i="4"/>
  <c r="AM68" i="4" s="1"/>
  <c r="CZ68" i="4"/>
  <c r="BN68" i="4"/>
  <c r="AD68" i="4"/>
  <c r="FN68" i="4"/>
  <c r="FO68" i="4" s="1"/>
  <c r="BP68" i="4"/>
  <c r="BX68" i="4"/>
  <c r="BY68" i="4" s="1"/>
  <c r="FF68" i="4"/>
  <c r="EM68" i="4"/>
  <c r="AX46" i="8"/>
  <c r="AL76" i="7"/>
  <c r="AM76" i="7" s="1"/>
  <c r="AB76" i="7"/>
  <c r="AD76" i="7"/>
  <c r="AG155" i="9"/>
  <c r="AQ155" i="9"/>
  <c r="AR155" i="9" s="1"/>
  <c r="AI155" i="9"/>
  <c r="BJ155" i="9"/>
  <c r="BK155" i="9" s="1"/>
  <c r="BB155" i="9"/>
  <c r="AZ155" i="9"/>
  <c r="AG90" i="9"/>
  <c r="AI90" i="9"/>
  <c r="AQ90" i="9"/>
  <c r="AR90" i="9" s="1"/>
  <c r="AZ90" i="9"/>
  <c r="BJ90" i="9"/>
  <c r="BK90" i="9" s="1"/>
  <c r="BB90" i="9"/>
  <c r="AL81" i="5"/>
  <c r="AM81" i="5" s="1"/>
  <c r="AD81" i="5"/>
  <c r="AB81" i="5"/>
  <c r="AB26" i="5"/>
  <c r="AD26" i="5"/>
  <c r="AL26" i="5"/>
  <c r="AM26" i="5" s="1"/>
  <c r="AB176" i="4"/>
  <c r="BE176" i="4"/>
  <c r="BF176" i="4" s="1"/>
  <c r="AW176" i="4"/>
  <c r="CQ176" i="4"/>
  <c r="CR176" i="4" s="1"/>
  <c r="FF176" i="4"/>
  <c r="AD176" i="4"/>
  <c r="FN176" i="4"/>
  <c r="FO176" i="4" s="1"/>
  <c r="DB176" i="4"/>
  <c r="EM176" i="4"/>
  <c r="BP176" i="4"/>
  <c r="CI176" i="4"/>
  <c r="EU176" i="4"/>
  <c r="EV176" i="4" s="1"/>
  <c r="FD176" i="4"/>
  <c r="AL176" i="4"/>
  <c r="AM176" i="4" s="1"/>
  <c r="BX176" i="4"/>
  <c r="BY176" i="4" s="1"/>
  <c r="DJ176" i="4"/>
  <c r="DK176" i="4" s="1"/>
  <c r="CZ176" i="4"/>
  <c r="AU176" i="4"/>
  <c r="CG176" i="4"/>
  <c r="BN176" i="4"/>
  <c r="EK176" i="4"/>
  <c r="AB182" i="4"/>
  <c r="AW182" i="4"/>
  <c r="BE182" i="4"/>
  <c r="BF182" i="4" s="1"/>
  <c r="AD182" i="4"/>
  <c r="DB182" i="4"/>
  <c r="BP182" i="4"/>
  <c r="FN182" i="4"/>
  <c r="FO182" i="4" s="1"/>
  <c r="EU182" i="4"/>
  <c r="EV182" i="4" s="1"/>
  <c r="CQ182" i="4"/>
  <c r="CR182" i="4" s="1"/>
  <c r="FF182" i="4"/>
  <c r="AL182" i="4"/>
  <c r="AM182" i="4" s="1"/>
  <c r="BX182" i="4"/>
  <c r="BY182" i="4" s="1"/>
  <c r="DJ182" i="4"/>
  <c r="DK182" i="4" s="1"/>
  <c r="CZ182" i="4"/>
  <c r="CG182" i="4"/>
  <c r="FD182" i="4"/>
  <c r="BN182" i="4"/>
  <c r="AU182" i="4"/>
  <c r="CI182" i="4"/>
  <c r="EK182" i="4"/>
  <c r="EM182" i="4"/>
  <c r="BP32" i="8"/>
  <c r="CQ32" i="8"/>
  <c r="CR32" i="8" s="1"/>
  <c r="AL32" i="8"/>
  <c r="AM32" i="8" s="1"/>
  <c r="BX32" i="8"/>
  <c r="BY32" i="8" s="1"/>
  <c r="AD32" i="8"/>
  <c r="AW32" i="8"/>
  <c r="BE32" i="8"/>
  <c r="BF32" i="8" s="1"/>
  <c r="AU32" i="8"/>
  <c r="CG32" i="8"/>
  <c r="BN32" i="8"/>
  <c r="AB32" i="8"/>
  <c r="CI32" i="8"/>
  <c r="BX110" i="8"/>
  <c r="BY110" i="8" s="1"/>
  <c r="AL110" i="8"/>
  <c r="AM110" i="8" s="1"/>
  <c r="AW110" i="8"/>
  <c r="AB110" i="8"/>
  <c r="CI110" i="8"/>
  <c r="AD110" i="8"/>
  <c r="CQ110" i="8"/>
  <c r="CR110" i="8" s="1"/>
  <c r="BP110" i="8"/>
  <c r="BE110" i="8"/>
  <c r="BF110" i="8" s="1"/>
  <c r="CG110" i="8"/>
  <c r="AU110" i="8"/>
  <c r="BN110" i="8"/>
  <c r="AG151" i="9"/>
  <c r="AQ151" i="9"/>
  <c r="AR151" i="9" s="1"/>
  <c r="AI151" i="9"/>
  <c r="BJ151" i="9"/>
  <c r="BK151" i="9" s="1"/>
  <c r="AZ151" i="9"/>
  <c r="BB151" i="9"/>
  <c r="AL110" i="5"/>
  <c r="AM110" i="5" s="1"/>
  <c r="AB110" i="5"/>
  <c r="AD110" i="5"/>
  <c r="AL28" i="5"/>
  <c r="AM28" i="5" s="1"/>
  <c r="AD28" i="5"/>
  <c r="AB28" i="5"/>
  <c r="AB71" i="4"/>
  <c r="AW71" i="4"/>
  <c r="BE71" i="4"/>
  <c r="BF71" i="4" s="1"/>
  <c r="CQ71" i="4"/>
  <c r="CR71" i="4" s="1"/>
  <c r="FN71" i="4"/>
  <c r="FO71" i="4" s="1"/>
  <c r="EM71" i="4"/>
  <c r="CI71" i="4"/>
  <c r="DB71" i="4"/>
  <c r="DJ71" i="4"/>
  <c r="DK71" i="4" s="1"/>
  <c r="BX71" i="4"/>
  <c r="BY71" i="4" s="1"/>
  <c r="AD71" i="4"/>
  <c r="FF71" i="4"/>
  <c r="BP71" i="4"/>
  <c r="CG71" i="4"/>
  <c r="BN71" i="4"/>
  <c r="CZ71" i="4"/>
  <c r="EU71" i="4"/>
  <c r="EV71" i="4" s="1"/>
  <c r="EK71" i="4"/>
  <c r="AU71" i="4"/>
  <c r="FD71" i="4"/>
  <c r="AL71" i="4"/>
  <c r="AM71" i="4" s="1"/>
  <c r="AG125" i="9"/>
  <c r="AI125" i="9"/>
  <c r="AQ125" i="9"/>
  <c r="AR125" i="9" s="1"/>
  <c r="BJ125" i="9"/>
  <c r="BK125" i="9" s="1"/>
  <c r="AZ125" i="9"/>
  <c r="BB125" i="9"/>
  <c r="AG141" i="9"/>
  <c r="AI141" i="9"/>
  <c r="AQ141" i="9"/>
  <c r="AR141" i="9" s="1"/>
  <c r="BJ141" i="9"/>
  <c r="BK141" i="9" s="1"/>
  <c r="AZ141" i="9"/>
  <c r="BB141" i="9"/>
  <c r="BP39" i="8"/>
  <c r="AL39" i="8"/>
  <c r="AM39" i="8" s="1"/>
  <c r="AD39" i="8"/>
  <c r="AW39" i="8"/>
  <c r="CQ39" i="8"/>
  <c r="CR39" i="8" s="1"/>
  <c r="BN39" i="8"/>
  <c r="BX39" i="8"/>
  <c r="BY39" i="8" s="1"/>
  <c r="CG39" i="8"/>
  <c r="AB39" i="8"/>
  <c r="CI39" i="8"/>
  <c r="AU39" i="8"/>
  <c r="BE39" i="8"/>
  <c r="BF39" i="8" s="1"/>
  <c r="AD92" i="7"/>
  <c r="AL92" i="7"/>
  <c r="AM92" i="7" s="1"/>
  <c r="AB92" i="7"/>
  <c r="AG67" i="9"/>
  <c r="AI67" i="9"/>
  <c r="AQ67" i="9"/>
  <c r="AR67" i="9" s="1"/>
  <c r="BB67" i="9"/>
  <c r="AZ67" i="9"/>
  <c r="BJ67" i="9"/>
  <c r="BK67" i="9" s="1"/>
  <c r="AG70" i="9"/>
  <c r="AQ70" i="9"/>
  <c r="AR70" i="9" s="1"/>
  <c r="AI70" i="9"/>
  <c r="BB70" i="9"/>
  <c r="BJ70" i="9"/>
  <c r="BK70" i="9" s="1"/>
  <c r="AZ70" i="9"/>
  <c r="AG87" i="9"/>
  <c r="AI87" i="9"/>
  <c r="AQ87" i="9"/>
  <c r="AR87" i="9" s="1"/>
  <c r="BB87" i="9"/>
  <c r="AZ87" i="9"/>
  <c r="BJ87" i="9"/>
  <c r="BK87" i="9" s="1"/>
  <c r="AG74" i="9"/>
  <c r="AQ74" i="9"/>
  <c r="AR74" i="9" s="1"/>
  <c r="AI74" i="9"/>
  <c r="BJ74" i="9"/>
  <c r="BK74" i="9" s="1"/>
  <c r="BB74" i="9"/>
  <c r="AZ74" i="9"/>
  <c r="AB33" i="5"/>
  <c r="AL33" i="5"/>
  <c r="AM33" i="5" s="1"/>
  <c r="AD33" i="5"/>
  <c r="AL76" i="5"/>
  <c r="AM76" i="5" s="1"/>
  <c r="AB76" i="5"/>
  <c r="AD76" i="5"/>
  <c r="Z30" i="4"/>
  <c r="P203" i="4" a="1"/>
  <c r="P203" i="4" s="1"/>
  <c r="N203" i="4" a="1"/>
  <c r="N203" i="4" s="1"/>
  <c r="O203" i="4" a="1"/>
  <c r="O203" i="4" s="1"/>
  <c r="Q203" i="4" a="1"/>
  <c r="Q203" i="4" s="1"/>
  <c r="AL56" i="7"/>
  <c r="AM56" i="7" s="1"/>
  <c r="AD56" i="7"/>
  <c r="AB56" i="7"/>
  <c r="AD23" i="8"/>
  <c r="CI23" i="8"/>
  <c r="BP23" i="8"/>
  <c r="CQ23" i="8"/>
  <c r="AL23" i="8"/>
  <c r="BX23" i="8"/>
  <c r="AU23" i="8"/>
  <c r="CG23" i="8"/>
  <c r="AB23" i="8"/>
  <c r="BN23" i="8"/>
  <c r="BE23" i="8"/>
  <c r="AW23" i="8"/>
  <c r="N14" i="3"/>
  <c r="N374" i="3"/>
  <c r="N15" i="3"/>
  <c r="N319" i="3"/>
  <c r="N67" i="3"/>
  <c r="N322" i="3"/>
  <c r="N295" i="3"/>
  <c r="N263" i="3"/>
  <c r="N328" i="3"/>
  <c r="N193" i="3"/>
  <c r="N192" i="3"/>
  <c r="N198" i="3"/>
  <c r="N256" i="3"/>
  <c r="N137" i="3"/>
  <c r="N339" i="3"/>
  <c r="N29" i="3"/>
  <c r="N345" i="3"/>
  <c r="N57" i="3"/>
  <c r="N5" i="3"/>
  <c r="N264" i="3"/>
  <c r="N126" i="3"/>
  <c r="N174" i="3"/>
  <c r="N92" i="3"/>
  <c r="N90" i="3"/>
  <c r="N186" i="3"/>
  <c r="N298" i="3"/>
  <c r="N141" i="3"/>
  <c r="N372" i="3"/>
  <c r="N80" i="3"/>
  <c r="N270" i="3"/>
  <c r="N20" i="3"/>
  <c r="N38" i="3"/>
  <c r="N188" i="3"/>
  <c r="N173" i="3"/>
  <c r="N316" i="3"/>
  <c r="N187" i="3"/>
  <c r="N96" i="3"/>
  <c r="N179" i="3"/>
  <c r="N222" i="3"/>
  <c r="N275" i="3"/>
  <c r="N118" i="3"/>
  <c r="N332" i="3"/>
  <c r="N320" i="3"/>
  <c r="N216" i="3"/>
  <c r="N377" i="3"/>
  <c r="N232" i="3"/>
  <c r="N107" i="3"/>
  <c r="N308" i="3"/>
  <c r="N248" i="3"/>
  <c r="N121" i="3"/>
  <c r="N234" i="3"/>
  <c r="N93" i="3"/>
  <c r="N260" i="3"/>
  <c r="N225" i="3"/>
  <c r="N228" i="3"/>
  <c r="N172" i="3"/>
  <c r="N251" i="3"/>
  <c r="N190" i="3"/>
  <c r="N290" i="3"/>
  <c r="N60" i="3"/>
  <c r="N212" i="3"/>
  <c r="N349" i="3"/>
  <c r="N301" i="3"/>
  <c r="N342" i="3"/>
  <c r="N91" i="3"/>
  <c r="N255" i="3"/>
  <c r="N242" i="3"/>
  <c r="N306" i="3"/>
  <c r="N352" i="3"/>
  <c r="N335" i="3"/>
  <c r="N243" i="3"/>
  <c r="N196" i="3"/>
  <c r="N281" i="3"/>
  <c r="N34" i="3"/>
  <c r="N367" i="3"/>
  <c r="N364" i="3"/>
  <c r="N50" i="3"/>
  <c r="N177" i="3"/>
  <c r="N368" i="3"/>
  <c r="N271" i="3"/>
  <c r="N358" i="3"/>
  <c r="N360" i="3"/>
  <c r="N347" i="3"/>
  <c r="N205" i="3"/>
  <c r="N178" i="3"/>
  <c r="N28" i="3"/>
  <c r="N18" i="3"/>
  <c r="N266" i="3"/>
  <c r="N3" i="3"/>
  <c r="N145" i="3"/>
  <c r="N43" i="3"/>
  <c r="N98" i="3"/>
  <c r="N209" i="3"/>
  <c r="N199" i="3"/>
  <c r="N147" i="3"/>
  <c r="N131" i="3"/>
  <c r="N27" i="3"/>
  <c r="N247" i="3"/>
  <c r="N365" i="3"/>
  <c r="N35" i="3"/>
  <c r="N9" i="3"/>
  <c r="N380" i="3"/>
  <c r="N41" i="3"/>
  <c r="N32" i="3"/>
  <c r="N26" i="3"/>
  <c r="N220" i="3"/>
  <c r="N235" i="3"/>
  <c r="N169" i="3"/>
  <c r="N309" i="3"/>
  <c r="N49" i="3"/>
  <c r="N286" i="3"/>
  <c r="N302" i="3"/>
  <c r="N46" i="3"/>
  <c r="N277" i="3"/>
  <c r="N329" i="3"/>
  <c r="N56" i="3"/>
  <c r="N110" i="3"/>
  <c r="N371" i="3"/>
  <c r="N112" i="3"/>
  <c r="N214" i="3"/>
  <c r="N350" i="3"/>
  <c r="N24" i="3"/>
  <c r="N201" i="3"/>
  <c r="N236" i="3"/>
  <c r="N250" i="3"/>
  <c r="N385" i="3"/>
  <c r="N135" i="3"/>
  <c r="N84" i="3"/>
  <c r="N76" i="3"/>
  <c r="N16" i="3"/>
  <c r="N21" i="3"/>
  <c r="N168" i="3"/>
  <c r="N180" i="3"/>
  <c r="N128" i="3"/>
  <c r="N217" i="3"/>
  <c r="N104" i="3"/>
  <c r="N383" i="3"/>
  <c r="N389" i="3"/>
  <c r="N314" i="3"/>
  <c r="N269" i="3"/>
  <c r="N123" i="3"/>
  <c r="N400" i="3"/>
  <c r="N111" i="3"/>
  <c r="N13" i="3"/>
  <c r="N45" i="3"/>
  <c r="N81" i="3"/>
  <c r="N140" i="3"/>
  <c r="N397" i="3"/>
  <c r="N312" i="3"/>
  <c r="N291" i="3"/>
  <c r="N79" i="3"/>
  <c r="N386" i="3"/>
  <c r="N47" i="3"/>
  <c r="N33" i="3"/>
  <c r="N258" i="3"/>
  <c r="N117" i="3"/>
  <c r="N113" i="3"/>
  <c r="N99" i="3"/>
  <c r="N116" i="3"/>
  <c r="N376" i="3"/>
  <c r="N289" i="3"/>
  <c r="N262" i="3"/>
  <c r="N227" i="3"/>
  <c r="N279" i="3"/>
  <c r="N257" i="3"/>
  <c r="N108" i="3"/>
  <c r="N7" i="3"/>
  <c r="N176" i="3"/>
  <c r="N31" i="3"/>
  <c r="N224" i="3"/>
  <c r="N272" i="3"/>
  <c r="N89" i="3"/>
  <c r="N122" i="3"/>
  <c r="N327" i="3"/>
  <c r="N398" i="3"/>
  <c r="N375" i="3"/>
  <c r="N206" i="3"/>
  <c r="N62" i="3"/>
  <c r="N181" i="3"/>
  <c r="N357" i="3"/>
  <c r="N239" i="3"/>
  <c r="N293" i="3"/>
  <c r="N194" i="3"/>
  <c r="N297" i="3"/>
  <c r="N146" i="3"/>
  <c r="N197" i="3"/>
  <c r="N378" i="3"/>
  <c r="N366" i="3"/>
  <c r="N170" i="3"/>
  <c r="N124" i="3"/>
  <c r="N51" i="3"/>
  <c r="N95" i="3"/>
  <c r="N191" i="3"/>
  <c r="N82" i="3"/>
  <c r="N391" i="3"/>
  <c r="N344" i="3"/>
  <c r="N42" i="3"/>
  <c r="N86" i="3"/>
  <c r="N136" i="3"/>
  <c r="N6" i="3"/>
  <c r="N230" i="3"/>
  <c r="N283" i="3"/>
  <c r="N144" i="3"/>
  <c r="N363" i="3"/>
  <c r="N210" i="3"/>
  <c r="N208" i="3"/>
  <c r="N195" i="3"/>
  <c r="N303" i="3"/>
  <c r="N387" i="3"/>
  <c r="N10" i="3"/>
  <c r="N17" i="3"/>
  <c r="N138" i="3"/>
  <c r="N276" i="3"/>
  <c r="N207" i="3"/>
  <c r="N114" i="3"/>
  <c r="N296" i="3"/>
  <c r="N115" i="3"/>
  <c r="N59" i="3"/>
  <c r="N211" i="3"/>
  <c r="N175" i="3"/>
  <c r="N130" i="3"/>
  <c r="N325" i="3"/>
  <c r="N4" i="3"/>
  <c r="N253" i="3"/>
  <c r="N233" i="3"/>
  <c r="N249" i="3"/>
  <c r="N338" i="3"/>
  <c r="N337" i="3"/>
  <c r="N69" i="3"/>
  <c r="N304" i="3"/>
  <c r="N39" i="3"/>
  <c r="N334" i="3"/>
  <c r="N213" i="3"/>
  <c r="N119" i="3"/>
  <c r="N259" i="3"/>
  <c r="N221" i="3"/>
  <c r="N254" i="3"/>
  <c r="N200" i="3"/>
  <c r="N285" i="3"/>
  <c r="N305" i="3"/>
  <c r="N171" i="3"/>
  <c r="N231" i="3"/>
  <c r="N103" i="3"/>
  <c r="N189" i="3"/>
  <c r="N143" i="3"/>
  <c r="N326" i="3"/>
  <c r="N278" i="3"/>
  <c r="N268" i="3"/>
  <c r="N359" i="3"/>
  <c r="N284" i="3"/>
  <c r="N240" i="3"/>
  <c r="N396" i="3"/>
  <c r="N88" i="3"/>
  <c r="N36" i="3"/>
  <c r="N340" i="3"/>
  <c r="N273" i="3"/>
  <c r="N184" i="3"/>
  <c r="N341" i="3"/>
  <c r="N237" i="3"/>
  <c r="N203" i="3"/>
  <c r="N282" i="3"/>
  <c r="N202" i="3"/>
  <c r="N280" i="3"/>
  <c r="N83" i="3"/>
  <c r="N261" i="3"/>
  <c r="N8" i="3"/>
  <c r="N77" i="3"/>
  <c r="N87" i="3"/>
  <c r="N22" i="3"/>
  <c r="N85" i="3"/>
  <c r="N139" i="3"/>
  <c r="N267" i="3"/>
  <c r="N48" i="3"/>
  <c r="N373" i="3"/>
  <c r="N204" i="3"/>
  <c r="N348" i="3"/>
  <c r="N274" i="3"/>
  <c r="N324" i="3"/>
  <c r="N392" i="3"/>
  <c r="N287" i="3"/>
  <c r="N399" i="3"/>
  <c r="N120" i="3"/>
  <c r="N362" i="3"/>
  <c r="N55" i="3"/>
  <c r="N381" i="3"/>
  <c r="N19" i="3"/>
  <c r="N58" i="3"/>
  <c r="N78" i="3"/>
  <c r="N226" i="3"/>
  <c r="N215" i="3"/>
  <c r="N223" i="3"/>
  <c r="N23" i="3"/>
  <c r="N142" i="3"/>
  <c r="N11" i="3"/>
  <c r="N105" i="3"/>
  <c r="N351" i="3"/>
  <c r="N94" i="3"/>
  <c r="N382" i="3"/>
  <c r="N346" i="3"/>
  <c r="N307" i="3"/>
  <c r="N132" i="3"/>
  <c r="N12" i="3"/>
  <c r="N109" i="3"/>
  <c r="N54" i="3"/>
  <c r="N384" i="3"/>
  <c r="N30" i="3"/>
  <c r="N311" i="3"/>
  <c r="N310" i="3"/>
  <c r="N292" i="3"/>
  <c r="N40" i="3"/>
  <c r="N183" i="3"/>
  <c r="N182" i="3"/>
  <c r="N265" i="3"/>
  <c r="N395" i="3"/>
  <c r="N229" i="3"/>
  <c r="N252" i="3"/>
  <c r="N294" i="3"/>
  <c r="N355" i="3"/>
  <c r="N336" i="3"/>
  <c r="N299" i="3"/>
  <c r="N44" i="3"/>
  <c r="AL102" i="7"/>
  <c r="AM102" i="7" s="1"/>
  <c r="AB102" i="7"/>
  <c r="AD102" i="7"/>
  <c r="AW103" i="4"/>
  <c r="BE103" i="4"/>
  <c r="BF103" i="4" s="1"/>
  <c r="AB103" i="4"/>
  <c r="BX103" i="4"/>
  <c r="BY103" i="4" s="1"/>
  <c r="BP103" i="4"/>
  <c r="CI103" i="4"/>
  <c r="EU103" i="4"/>
  <c r="EV103" i="4" s="1"/>
  <c r="EK103" i="4"/>
  <c r="BN103" i="4"/>
  <c r="CQ103" i="4"/>
  <c r="CR103" i="4" s="1"/>
  <c r="AU103" i="4"/>
  <c r="CZ103" i="4"/>
  <c r="FD103" i="4"/>
  <c r="EM103" i="4"/>
  <c r="FN103" i="4"/>
  <c r="FO103" i="4" s="1"/>
  <c r="CG103" i="4"/>
  <c r="AD103" i="4"/>
  <c r="AL103" i="4"/>
  <c r="AM103" i="4" s="1"/>
  <c r="FF103" i="4"/>
  <c r="DJ103" i="4"/>
  <c r="DK103" i="4" s="1"/>
  <c r="DB103" i="4"/>
  <c r="BE157" i="4"/>
  <c r="BF157" i="4" s="1"/>
  <c r="AB157" i="4"/>
  <c r="AW157" i="4"/>
  <c r="DJ157" i="4"/>
  <c r="DK157" i="4" s="1"/>
  <c r="EU157" i="4"/>
  <c r="EV157" i="4" s="1"/>
  <c r="FN157" i="4"/>
  <c r="FO157" i="4" s="1"/>
  <c r="CI157" i="4"/>
  <c r="FF157" i="4"/>
  <c r="AL157" i="4"/>
  <c r="AM157" i="4" s="1"/>
  <c r="CQ157" i="4"/>
  <c r="CR157" i="4" s="1"/>
  <c r="DB157" i="4"/>
  <c r="BN157" i="4"/>
  <c r="AD157" i="4"/>
  <c r="AU157" i="4"/>
  <c r="EM157" i="4"/>
  <c r="EK157" i="4"/>
  <c r="FD157" i="4"/>
  <c r="BX157" i="4"/>
  <c r="BY157" i="4" s="1"/>
  <c r="CZ157" i="4"/>
  <c r="CG157" i="4"/>
  <c r="BP157" i="4"/>
  <c r="AB72" i="4"/>
  <c r="AW72" i="4"/>
  <c r="BE72" i="4"/>
  <c r="BF72" i="4" s="1"/>
  <c r="CQ72" i="4"/>
  <c r="CR72" i="4" s="1"/>
  <c r="DB72" i="4"/>
  <c r="FN72" i="4"/>
  <c r="FO72" i="4" s="1"/>
  <c r="EU72" i="4"/>
  <c r="EV72" i="4" s="1"/>
  <c r="BP72" i="4"/>
  <c r="FF72" i="4"/>
  <c r="BX72" i="4"/>
  <c r="BY72" i="4" s="1"/>
  <c r="DJ72" i="4"/>
  <c r="DK72" i="4" s="1"/>
  <c r="AD72" i="4"/>
  <c r="EM72" i="4"/>
  <c r="CI72" i="4"/>
  <c r="BN72" i="4"/>
  <c r="CZ72" i="4"/>
  <c r="AU72" i="4"/>
  <c r="EK72" i="4"/>
  <c r="CG72" i="4"/>
  <c r="FD72" i="4"/>
  <c r="AL72" i="4"/>
  <c r="AM72" i="4" s="1"/>
  <c r="AB87" i="4"/>
  <c r="AW87" i="4"/>
  <c r="BE87" i="4"/>
  <c r="BF87" i="4" s="1"/>
  <c r="BX87" i="4"/>
  <c r="BY87" i="4" s="1"/>
  <c r="DJ87" i="4"/>
  <c r="DK87" i="4" s="1"/>
  <c r="FF87" i="4"/>
  <c r="EU87" i="4"/>
  <c r="EV87" i="4" s="1"/>
  <c r="DB87" i="4"/>
  <c r="CQ87" i="4"/>
  <c r="CR87" i="4" s="1"/>
  <c r="FN87" i="4"/>
  <c r="FO87" i="4" s="1"/>
  <c r="AL87" i="4"/>
  <c r="AM87" i="4" s="1"/>
  <c r="FD87" i="4"/>
  <c r="BN87" i="4"/>
  <c r="CG87" i="4"/>
  <c r="CZ87" i="4"/>
  <c r="AU87" i="4"/>
  <c r="EK87" i="4"/>
  <c r="AD87" i="4"/>
  <c r="CI87" i="4"/>
  <c r="EM87" i="4"/>
  <c r="BP87" i="4"/>
  <c r="CQ107" i="8"/>
  <c r="CR107" i="8" s="1"/>
  <c r="AL107" i="8"/>
  <c r="AM107" i="8" s="1"/>
  <c r="BX107" i="8"/>
  <c r="BY107" i="8" s="1"/>
  <c r="AD107" i="8"/>
  <c r="AB107" i="8"/>
  <c r="AU107" i="8"/>
  <c r="BN107" i="8"/>
  <c r="CG107" i="8"/>
  <c r="BP107" i="8"/>
  <c r="AW107" i="8"/>
  <c r="BE107" i="8"/>
  <c r="BF107" i="8" s="1"/>
  <c r="CI107" i="8"/>
  <c r="AB82" i="7"/>
  <c r="AL82" i="7"/>
  <c r="AM82" i="7" s="1"/>
  <c r="AD82" i="7"/>
  <c r="AG136" i="9"/>
  <c r="AQ136" i="9"/>
  <c r="AR136" i="9" s="1"/>
  <c r="AI136" i="9"/>
  <c r="BJ136" i="9"/>
  <c r="BK136" i="9" s="1"/>
  <c r="BB136" i="9"/>
  <c r="AZ136" i="9"/>
  <c r="AG120" i="9"/>
  <c r="AI120" i="9"/>
  <c r="AQ120" i="9"/>
  <c r="AR120" i="9" s="1"/>
  <c r="BB120" i="9"/>
  <c r="BJ120" i="9"/>
  <c r="BK120" i="9" s="1"/>
  <c r="AZ120" i="9"/>
  <c r="AL114" i="5"/>
  <c r="AM114" i="5" s="1"/>
  <c r="AD114" i="5"/>
  <c r="AB114" i="5"/>
  <c r="AB167" i="4"/>
  <c r="FN167" i="4"/>
  <c r="FO167" i="4" s="1"/>
  <c r="EU167" i="4"/>
  <c r="EV167" i="4" s="1"/>
  <c r="AU167" i="4"/>
  <c r="CG167" i="4"/>
  <c r="FD167" i="4"/>
  <c r="CZ167" i="4"/>
  <c r="DJ167" i="4"/>
  <c r="DK167" i="4" s="1"/>
  <c r="BE167" i="4"/>
  <c r="BF167" i="4" s="1"/>
  <c r="DB167" i="4"/>
  <c r="AW167" i="4"/>
  <c r="EM167" i="4"/>
  <c r="BX167" i="4"/>
  <c r="BY167" i="4" s="1"/>
  <c r="AD167" i="4"/>
  <c r="CI167" i="4"/>
  <c r="FF167" i="4"/>
  <c r="BN167" i="4"/>
  <c r="AL167" i="4"/>
  <c r="AM167" i="4" s="1"/>
  <c r="EK167" i="4"/>
  <c r="CQ167" i="4"/>
  <c r="CR167" i="4" s="1"/>
  <c r="BP167" i="4"/>
  <c r="CI109" i="8"/>
  <c r="AD109" i="8"/>
  <c r="AL109" i="8"/>
  <c r="AM109" i="8" s="1"/>
  <c r="BX109" i="8"/>
  <c r="BY109" i="8" s="1"/>
  <c r="AW109" i="8"/>
  <c r="BE109" i="8"/>
  <c r="BF109" i="8" s="1"/>
  <c r="CQ109" i="8"/>
  <c r="CR109" i="8" s="1"/>
  <c r="BP109" i="8"/>
  <c r="AB109" i="8"/>
  <c r="CG109" i="8"/>
  <c r="AU109" i="8"/>
  <c r="BN109" i="8"/>
  <c r="AG164" i="9"/>
  <c r="AZ164" i="9"/>
  <c r="BJ164" i="9"/>
  <c r="BK164" i="9" s="1"/>
  <c r="BB164" i="9"/>
  <c r="AQ164" i="9"/>
  <c r="AR164" i="9" s="1"/>
  <c r="AI164" i="9"/>
  <c r="CI33" i="8"/>
  <c r="BX33" i="8"/>
  <c r="BY33" i="8" s="1"/>
  <c r="CQ33" i="8"/>
  <c r="CR33" i="8" s="1"/>
  <c r="AL33" i="8"/>
  <c r="AM33" i="8" s="1"/>
  <c r="BP33" i="8"/>
  <c r="AU33" i="8"/>
  <c r="AB33" i="8"/>
  <c r="BN33" i="8"/>
  <c r="CG33" i="8"/>
  <c r="AD33" i="8"/>
  <c r="BE33" i="8"/>
  <c r="BF33" i="8" s="1"/>
  <c r="AW33" i="8"/>
  <c r="AB86" i="4"/>
  <c r="BE86" i="4"/>
  <c r="BF86" i="4" s="1"/>
  <c r="AW86" i="4"/>
  <c r="EM86" i="4"/>
  <c r="DJ86" i="4"/>
  <c r="DK86" i="4" s="1"/>
  <c r="EU86" i="4"/>
  <c r="EV86" i="4" s="1"/>
  <c r="DB86" i="4"/>
  <c r="FF86" i="4"/>
  <c r="AL86" i="4"/>
  <c r="AM86" i="4" s="1"/>
  <c r="CQ86" i="4"/>
  <c r="CR86" i="4" s="1"/>
  <c r="BX86" i="4"/>
  <c r="BY86" i="4" s="1"/>
  <c r="EK86" i="4"/>
  <c r="CI86" i="4"/>
  <c r="BN86" i="4"/>
  <c r="FD86" i="4"/>
  <c r="CZ86" i="4"/>
  <c r="FN86" i="4"/>
  <c r="FO86" i="4" s="1"/>
  <c r="AU86" i="4"/>
  <c r="CG86" i="4"/>
  <c r="BP86" i="4"/>
  <c r="AD86" i="4"/>
  <c r="AB118" i="8"/>
  <c r="AD118" i="8"/>
  <c r="AW118" i="8"/>
  <c r="BP118" i="8"/>
  <c r="CQ118" i="8"/>
  <c r="CR118" i="8" s="1"/>
  <c r="BX118" i="8"/>
  <c r="BY118" i="8" s="1"/>
  <c r="CI118" i="8"/>
  <c r="BE118" i="8"/>
  <c r="BF118" i="8" s="1"/>
  <c r="BN118" i="8"/>
  <c r="CG118" i="8"/>
  <c r="AL118" i="8"/>
  <c r="AM118" i="8" s="1"/>
  <c r="AU118" i="8"/>
  <c r="AD72" i="7"/>
  <c r="AB72" i="7"/>
  <c r="AL72" i="7"/>
  <c r="AM72" i="7" s="1"/>
  <c r="AG81" i="9"/>
  <c r="AQ81" i="9"/>
  <c r="AR81" i="9" s="1"/>
  <c r="AI81" i="9"/>
  <c r="AZ81" i="9"/>
  <c r="BJ81" i="9"/>
  <c r="BK81" i="9" s="1"/>
  <c r="BB81" i="9"/>
  <c r="W121" i="5" a="1"/>
  <c r="W121" i="5" s="1"/>
  <c r="Z25" i="5"/>
  <c r="M121" i="5" a="1"/>
  <c r="M121" i="5" s="1"/>
  <c r="Z121" i="5" a="1"/>
  <c r="Z121" i="5" s="1"/>
  <c r="X121" i="5" a="1"/>
  <c r="X121" i="5" s="1"/>
  <c r="AD90" i="5"/>
  <c r="AL90" i="5"/>
  <c r="AM90" i="5" s="1"/>
  <c r="AB90" i="5"/>
  <c r="BE78" i="8"/>
  <c r="BF78" i="8" s="1"/>
  <c r="CQ78" i="8"/>
  <c r="CR78" i="8" s="1"/>
  <c r="BP78" i="8"/>
  <c r="BX78" i="8"/>
  <c r="BY78" i="8" s="1"/>
  <c r="AW78" i="8"/>
  <c r="AU78" i="8"/>
  <c r="BN78" i="8"/>
  <c r="CG78" i="8"/>
  <c r="AB78" i="8"/>
  <c r="AL78" i="8"/>
  <c r="AM78" i="8" s="1"/>
  <c r="AD78" i="8"/>
  <c r="CI78" i="8"/>
  <c r="AB178" i="4"/>
  <c r="AW178" i="4"/>
  <c r="BE178" i="4"/>
  <c r="BF178" i="4" s="1"/>
  <c r="DJ178" i="4"/>
  <c r="DK178" i="4" s="1"/>
  <c r="CI178" i="4"/>
  <c r="FF178" i="4"/>
  <c r="BX178" i="4"/>
  <c r="BY178" i="4" s="1"/>
  <c r="DB178" i="4"/>
  <c r="FN178" i="4"/>
  <c r="FO178" i="4" s="1"/>
  <c r="EU178" i="4"/>
  <c r="EV178" i="4" s="1"/>
  <c r="AD178" i="4"/>
  <c r="AL178" i="4"/>
  <c r="AM178" i="4" s="1"/>
  <c r="BP178" i="4"/>
  <c r="AU178" i="4"/>
  <c r="BN178" i="4"/>
  <c r="EK178" i="4"/>
  <c r="FD178" i="4"/>
  <c r="CG178" i="4"/>
  <c r="CZ178" i="4"/>
  <c r="EM178" i="4"/>
  <c r="CQ178" i="4"/>
  <c r="CR178" i="4" s="1"/>
  <c r="AB73" i="4"/>
  <c r="BE73" i="4"/>
  <c r="BF73" i="4" s="1"/>
  <c r="AW73" i="4"/>
  <c r="BX73" i="4"/>
  <c r="BY73" i="4" s="1"/>
  <c r="CI73" i="4"/>
  <c r="FF73" i="4"/>
  <c r="DJ73" i="4"/>
  <c r="DK73" i="4" s="1"/>
  <c r="FN73" i="4"/>
  <c r="FO73" i="4" s="1"/>
  <c r="BP73" i="4"/>
  <c r="DB73" i="4"/>
  <c r="EM73" i="4"/>
  <c r="AD73" i="4"/>
  <c r="CQ73" i="4"/>
  <c r="CR73" i="4" s="1"/>
  <c r="CG73" i="4"/>
  <c r="CZ73" i="4"/>
  <c r="BN73" i="4"/>
  <c r="AU73" i="4"/>
  <c r="AL73" i="4"/>
  <c r="AM73" i="4" s="1"/>
  <c r="EU73" i="4"/>
  <c r="EV73" i="4" s="1"/>
  <c r="EK73" i="4"/>
  <c r="FD73" i="4"/>
  <c r="AG51" i="9"/>
  <c r="AQ51" i="9"/>
  <c r="AR51" i="9" s="1"/>
  <c r="AI51" i="9"/>
  <c r="BJ51" i="9"/>
  <c r="BK51" i="9" s="1"/>
  <c r="AZ51" i="9"/>
  <c r="BB51" i="9"/>
  <c r="AG113" i="9"/>
  <c r="AI113" i="9"/>
  <c r="AQ113" i="9"/>
  <c r="AR113" i="9" s="1"/>
  <c r="BB113" i="9"/>
  <c r="AZ113" i="9"/>
  <c r="BJ113" i="9"/>
  <c r="BK113" i="9" s="1"/>
  <c r="AG108" i="9"/>
  <c r="AQ108" i="9"/>
  <c r="AR108" i="9" s="1"/>
  <c r="AI108" i="9"/>
  <c r="BB108" i="9"/>
  <c r="AZ108" i="9"/>
  <c r="BJ108" i="9"/>
  <c r="BK108" i="9" s="1"/>
  <c r="AD30" i="5"/>
  <c r="AB30" i="5"/>
  <c r="AL30" i="5"/>
  <c r="AM30" i="5" s="1"/>
  <c r="CQ66" i="8"/>
  <c r="CR66" i="8" s="1"/>
  <c r="CI66" i="8"/>
  <c r="BP66" i="8"/>
  <c r="AL66" i="8"/>
  <c r="AM66" i="8" s="1"/>
  <c r="AD66" i="8"/>
  <c r="BE66" i="8"/>
  <c r="BF66" i="8" s="1"/>
  <c r="AW66" i="8"/>
  <c r="BX66" i="8"/>
  <c r="BY66" i="8" s="1"/>
  <c r="BN66" i="8"/>
  <c r="CG66" i="8"/>
  <c r="AB66" i="8"/>
  <c r="AU66" i="8"/>
  <c r="BX34" i="8"/>
  <c r="BY34" i="8" s="1"/>
  <c r="AD34" i="8"/>
  <c r="BP34" i="8"/>
  <c r="CQ34" i="8"/>
  <c r="CR34" i="8" s="1"/>
  <c r="AL34" i="8"/>
  <c r="AM34" i="8" s="1"/>
  <c r="AU34" i="8"/>
  <c r="BN34" i="8"/>
  <c r="CG34" i="8"/>
  <c r="AB34" i="8"/>
  <c r="BE34" i="8"/>
  <c r="BF34" i="8" s="1"/>
  <c r="AW34" i="8"/>
  <c r="CI34" i="8"/>
  <c r="AD52" i="7"/>
  <c r="AL52" i="7"/>
  <c r="AM52" i="7" s="1"/>
  <c r="AB52" i="7"/>
  <c r="AL46" i="7"/>
  <c r="AM46" i="7" s="1"/>
  <c r="AB46" i="7"/>
  <c r="AD46" i="7"/>
  <c r="AD74" i="8"/>
  <c r="CQ74" i="8"/>
  <c r="CR74" i="8" s="1"/>
  <c r="CI74" i="8"/>
  <c r="BP74" i="8"/>
  <c r="AL74" i="8"/>
  <c r="AM74" i="8" s="1"/>
  <c r="AW74" i="8"/>
  <c r="BX74" i="8"/>
  <c r="BY74" i="8" s="1"/>
  <c r="BE74" i="8"/>
  <c r="BF74" i="8" s="1"/>
  <c r="CG74" i="8"/>
  <c r="AB74" i="8"/>
  <c r="BN74" i="8"/>
  <c r="AU74" i="8"/>
  <c r="AB159" i="4"/>
  <c r="AW159" i="4"/>
  <c r="BE159" i="4"/>
  <c r="BF159" i="4" s="1"/>
  <c r="DJ159" i="4"/>
  <c r="DK159" i="4" s="1"/>
  <c r="FN159" i="4"/>
  <c r="FO159" i="4" s="1"/>
  <c r="FF159" i="4"/>
  <c r="CI159" i="4"/>
  <c r="AD159" i="4"/>
  <c r="BX159" i="4"/>
  <c r="BY159" i="4" s="1"/>
  <c r="EU159" i="4"/>
  <c r="EV159" i="4" s="1"/>
  <c r="BP159" i="4"/>
  <c r="DB159" i="4"/>
  <c r="EK159" i="4"/>
  <c r="CZ159" i="4"/>
  <c r="FD159" i="4"/>
  <c r="CQ159" i="4"/>
  <c r="CR159" i="4" s="1"/>
  <c r="CG159" i="4"/>
  <c r="EM159" i="4"/>
  <c r="BN159" i="4"/>
  <c r="AU159" i="4"/>
  <c r="AL159" i="4"/>
  <c r="AM159" i="4" s="1"/>
  <c r="AG61" i="9"/>
  <c r="AQ61" i="9"/>
  <c r="AR61" i="9" s="1"/>
  <c r="AI61" i="9"/>
  <c r="BB61" i="9"/>
  <c r="AZ61" i="9"/>
  <c r="BJ61" i="9"/>
  <c r="BK61" i="9" s="1"/>
  <c r="AG154" i="9"/>
  <c r="AQ154" i="9"/>
  <c r="AR154" i="9" s="1"/>
  <c r="AI154" i="9"/>
  <c r="BJ154" i="9"/>
  <c r="BK154" i="9" s="1"/>
  <c r="AZ154" i="9"/>
  <c r="BB154" i="9"/>
  <c r="AG94" i="9"/>
  <c r="AI94" i="9"/>
  <c r="AQ94" i="9"/>
  <c r="AR94" i="9" s="1"/>
  <c r="AZ94" i="9"/>
  <c r="BJ94" i="9"/>
  <c r="BK94" i="9" s="1"/>
  <c r="BB94" i="9"/>
  <c r="AG73" i="9"/>
  <c r="AQ73" i="9"/>
  <c r="AR73" i="9" s="1"/>
  <c r="AI73" i="9"/>
  <c r="BB73" i="9"/>
  <c r="BJ73" i="9"/>
  <c r="BK73" i="9" s="1"/>
  <c r="AZ73" i="9"/>
  <c r="AL88" i="5"/>
  <c r="AM88" i="5" s="1"/>
  <c r="AB88" i="5"/>
  <c r="AD88" i="5"/>
  <c r="AD78" i="5"/>
  <c r="AL78" i="5"/>
  <c r="AM78" i="5" s="1"/>
  <c r="AB78" i="5"/>
  <c r="AB119" i="4"/>
  <c r="AW119" i="4"/>
  <c r="BE119" i="4"/>
  <c r="BF119" i="4" s="1"/>
  <c r="FF119" i="4"/>
  <c r="BP119" i="4"/>
  <c r="EU119" i="4"/>
  <c r="EV119" i="4" s="1"/>
  <c r="EM119" i="4"/>
  <c r="CI119" i="4"/>
  <c r="EK119" i="4"/>
  <c r="BN119" i="4"/>
  <c r="AU119" i="4"/>
  <c r="DB119" i="4"/>
  <c r="AL119" i="4"/>
  <c r="AM119" i="4" s="1"/>
  <c r="CQ119" i="4"/>
  <c r="CR119" i="4" s="1"/>
  <c r="CG119" i="4"/>
  <c r="FD119" i="4"/>
  <c r="AD119" i="4"/>
  <c r="CZ119" i="4"/>
  <c r="DJ119" i="4"/>
  <c r="DK119" i="4" s="1"/>
  <c r="BX119" i="4"/>
  <c r="BY119" i="4" s="1"/>
  <c r="FN119" i="4"/>
  <c r="FO119" i="4" s="1"/>
  <c r="BP35" i="8"/>
  <c r="CI35" i="8"/>
  <c r="AW35" i="8"/>
  <c r="BX35" i="8"/>
  <c r="BY35" i="8" s="1"/>
  <c r="AD35" i="8"/>
  <c r="CQ35" i="8"/>
  <c r="CR35" i="8" s="1"/>
  <c r="CG35" i="8"/>
  <c r="BN35" i="8"/>
  <c r="AU35" i="8"/>
  <c r="AB35" i="8"/>
  <c r="AL35" i="8"/>
  <c r="AM35" i="8" s="1"/>
  <c r="BE35" i="8"/>
  <c r="BF35" i="8" s="1"/>
  <c r="AB184" i="4"/>
  <c r="AW184" i="4"/>
  <c r="BE184" i="4"/>
  <c r="BF184" i="4" s="1"/>
  <c r="FN184" i="4"/>
  <c r="FO184" i="4" s="1"/>
  <c r="DB184" i="4"/>
  <c r="AL184" i="4"/>
  <c r="AM184" i="4" s="1"/>
  <c r="CQ184" i="4"/>
  <c r="CR184" i="4" s="1"/>
  <c r="BP184" i="4"/>
  <c r="BX184" i="4"/>
  <c r="BY184" i="4" s="1"/>
  <c r="CI184" i="4"/>
  <c r="AD184" i="4"/>
  <c r="DJ184" i="4"/>
  <c r="DK184" i="4" s="1"/>
  <c r="EM184" i="4"/>
  <c r="BN184" i="4"/>
  <c r="CG184" i="4"/>
  <c r="CZ184" i="4"/>
  <c r="AU184" i="4"/>
  <c r="FD184" i="4"/>
  <c r="EK184" i="4"/>
  <c r="FF184" i="4"/>
  <c r="EU184" i="4"/>
  <c r="EV184" i="4" s="1"/>
  <c r="AL63" i="7"/>
  <c r="AM63" i="7" s="1"/>
  <c r="AD63" i="7"/>
  <c r="AB63" i="7"/>
  <c r="AB188" i="4"/>
  <c r="BE188" i="4"/>
  <c r="BF188" i="4" s="1"/>
  <c r="AW188" i="4"/>
  <c r="DB188" i="4"/>
  <c r="AL188" i="4"/>
  <c r="AM188" i="4" s="1"/>
  <c r="DJ188" i="4"/>
  <c r="DK188" i="4" s="1"/>
  <c r="EM188" i="4"/>
  <c r="CI188" i="4"/>
  <c r="CQ188" i="4"/>
  <c r="CR188" i="4" s="1"/>
  <c r="BX188" i="4"/>
  <c r="BY188" i="4" s="1"/>
  <c r="FN188" i="4"/>
  <c r="FO188" i="4" s="1"/>
  <c r="EK188" i="4"/>
  <c r="BN188" i="4"/>
  <c r="CG188" i="4"/>
  <c r="CZ188" i="4"/>
  <c r="AU188" i="4"/>
  <c r="FD188" i="4"/>
  <c r="FF188" i="4"/>
  <c r="EU188" i="4"/>
  <c r="EV188" i="4" s="1"/>
  <c r="BP188" i="4"/>
  <c r="AD188" i="4"/>
  <c r="AL37" i="8"/>
  <c r="AM37" i="8" s="1"/>
  <c r="BE37" i="8"/>
  <c r="BF37" i="8" s="1"/>
  <c r="CI37" i="8"/>
  <c r="AW37" i="8"/>
  <c r="BP37" i="8"/>
  <c r="BX37" i="8"/>
  <c r="BY37" i="8" s="1"/>
  <c r="BN37" i="8"/>
  <c r="CG37" i="8"/>
  <c r="AB37" i="8"/>
  <c r="AU37" i="8"/>
  <c r="CQ37" i="8"/>
  <c r="CR37" i="8" s="1"/>
  <c r="AD37" i="8"/>
  <c r="AL40" i="7"/>
  <c r="AM40" i="7" s="1"/>
  <c r="AB40" i="7"/>
  <c r="AD40" i="7"/>
  <c r="BE185" i="4"/>
  <c r="BF185" i="4" s="1"/>
  <c r="AB185" i="4"/>
  <c r="AW185" i="4"/>
  <c r="DJ185" i="4"/>
  <c r="DK185" i="4" s="1"/>
  <c r="DB185" i="4"/>
  <c r="BP185" i="4"/>
  <c r="AD185" i="4"/>
  <c r="CQ185" i="4"/>
  <c r="CR185" i="4" s="1"/>
  <c r="BX185" i="4"/>
  <c r="BY185" i="4" s="1"/>
  <c r="EM185" i="4"/>
  <c r="AL185" i="4"/>
  <c r="AM185" i="4" s="1"/>
  <c r="CI185" i="4"/>
  <c r="FN185" i="4"/>
  <c r="FO185" i="4" s="1"/>
  <c r="FD185" i="4"/>
  <c r="EK185" i="4"/>
  <c r="BN185" i="4"/>
  <c r="CZ185" i="4"/>
  <c r="AU185" i="4"/>
  <c r="FF185" i="4"/>
  <c r="EU185" i="4"/>
  <c r="EV185" i="4" s="1"/>
  <c r="CG185" i="4"/>
  <c r="BP36" i="8"/>
  <c r="CQ36" i="8"/>
  <c r="CR36" i="8" s="1"/>
  <c r="AD36" i="8"/>
  <c r="CI36" i="8"/>
  <c r="BX36" i="8"/>
  <c r="BY36" i="8" s="1"/>
  <c r="AL36" i="8"/>
  <c r="AM36" i="8" s="1"/>
  <c r="BE36" i="8"/>
  <c r="BF36" i="8" s="1"/>
  <c r="CG36" i="8"/>
  <c r="BN36" i="8"/>
  <c r="AB36" i="8"/>
  <c r="AU36" i="8"/>
  <c r="AW36" i="8"/>
  <c r="AG157" i="9"/>
  <c r="AQ157" i="9"/>
  <c r="AR157" i="9" s="1"/>
  <c r="AI157" i="9"/>
  <c r="AZ157" i="9"/>
  <c r="BJ157" i="9"/>
  <c r="BK157" i="9" s="1"/>
  <c r="BB157" i="9"/>
  <c r="AQ114" i="9"/>
  <c r="AR114" i="9" s="1"/>
  <c r="AG114" i="9"/>
  <c r="AI114" i="9"/>
  <c r="BJ114" i="9"/>
  <c r="BK114" i="9" s="1"/>
  <c r="AZ114" i="9"/>
  <c r="BB114" i="9"/>
  <c r="AB65" i="5"/>
  <c r="AL65" i="5"/>
  <c r="AM65" i="5" s="1"/>
  <c r="AD65" i="5"/>
  <c r="AB138" i="4"/>
  <c r="AW138" i="4"/>
  <c r="BE138" i="4"/>
  <c r="BF138" i="4" s="1"/>
  <c r="AL138" i="4"/>
  <c r="AM138" i="4" s="1"/>
  <c r="AD138" i="4"/>
  <c r="DJ138" i="4"/>
  <c r="DK138" i="4" s="1"/>
  <c r="EM138" i="4"/>
  <c r="CI138" i="4"/>
  <c r="BP138" i="4"/>
  <c r="DB138" i="4"/>
  <c r="CQ138" i="4"/>
  <c r="CR138" i="4" s="1"/>
  <c r="FN138" i="4"/>
  <c r="FO138" i="4" s="1"/>
  <c r="FF138" i="4"/>
  <c r="BX138" i="4"/>
  <c r="BY138" i="4" s="1"/>
  <c r="AU138" i="4"/>
  <c r="FD138" i="4"/>
  <c r="EU138" i="4"/>
  <c r="EV138" i="4" s="1"/>
  <c r="EK138" i="4"/>
  <c r="CZ138" i="4"/>
  <c r="CG138" i="4"/>
  <c r="BN138" i="4"/>
  <c r="AB31" i="7"/>
  <c r="AL31" i="7"/>
  <c r="AM31" i="7" s="1"/>
  <c r="AD31" i="7"/>
  <c r="AB130" i="4"/>
  <c r="AW130" i="4"/>
  <c r="BE130" i="4"/>
  <c r="BF130" i="4" s="1"/>
  <c r="FF130" i="4"/>
  <c r="DJ130" i="4"/>
  <c r="DK130" i="4" s="1"/>
  <c r="AL130" i="4"/>
  <c r="AM130" i="4" s="1"/>
  <c r="EU130" i="4"/>
  <c r="EV130" i="4" s="1"/>
  <c r="AD130" i="4"/>
  <c r="FN130" i="4"/>
  <c r="FO130" i="4" s="1"/>
  <c r="DB130" i="4"/>
  <c r="BX130" i="4"/>
  <c r="BY130" i="4" s="1"/>
  <c r="FD130" i="4"/>
  <c r="AU130" i="4"/>
  <c r="CG130" i="4"/>
  <c r="EK130" i="4"/>
  <c r="CQ130" i="4"/>
  <c r="CR130" i="4" s="1"/>
  <c r="BN130" i="4"/>
  <c r="CZ130" i="4"/>
  <c r="EM130" i="4"/>
  <c r="BP130" i="4"/>
  <c r="CI130" i="4"/>
  <c r="AB145" i="4"/>
  <c r="BE145" i="4"/>
  <c r="BF145" i="4" s="1"/>
  <c r="AW145" i="4"/>
  <c r="DJ145" i="4"/>
  <c r="DK145" i="4" s="1"/>
  <c r="CI145" i="4"/>
  <c r="AD145" i="4"/>
  <c r="DB145" i="4"/>
  <c r="FN145" i="4"/>
  <c r="FO145" i="4" s="1"/>
  <c r="BX145" i="4"/>
  <c r="BY145" i="4" s="1"/>
  <c r="CQ145" i="4"/>
  <c r="CR145" i="4" s="1"/>
  <c r="AL145" i="4"/>
  <c r="AM145" i="4" s="1"/>
  <c r="EM145" i="4"/>
  <c r="EU145" i="4"/>
  <c r="EV145" i="4" s="1"/>
  <c r="CZ145" i="4"/>
  <c r="EK145" i="4"/>
  <c r="CG145" i="4"/>
  <c r="AU145" i="4"/>
  <c r="BN145" i="4"/>
  <c r="FD145" i="4"/>
  <c r="BP145" i="4"/>
  <c r="FF145" i="4"/>
  <c r="AB60" i="4"/>
  <c r="BE60" i="4"/>
  <c r="BF60" i="4" s="1"/>
  <c r="AW60" i="4"/>
  <c r="CQ60" i="4"/>
  <c r="CR60" i="4" s="1"/>
  <c r="CI60" i="4"/>
  <c r="BX60" i="4"/>
  <c r="BY60" i="4" s="1"/>
  <c r="DB60" i="4"/>
  <c r="BP60" i="4"/>
  <c r="FF60" i="4"/>
  <c r="EU60" i="4"/>
  <c r="EV60" i="4" s="1"/>
  <c r="FN60" i="4"/>
  <c r="FO60" i="4" s="1"/>
  <c r="AL60" i="4"/>
  <c r="AM60" i="4" s="1"/>
  <c r="DJ60" i="4"/>
  <c r="DK60" i="4" s="1"/>
  <c r="EM60" i="4"/>
  <c r="CG60" i="4"/>
  <c r="AU60" i="4"/>
  <c r="EK60" i="4"/>
  <c r="BN60" i="4"/>
  <c r="CZ60" i="4"/>
  <c r="FD60" i="4"/>
  <c r="AD60" i="4"/>
  <c r="BE179" i="4"/>
  <c r="BF179" i="4" s="1"/>
  <c r="AB179" i="4"/>
  <c r="AW179" i="4"/>
  <c r="DJ179" i="4"/>
  <c r="DK179" i="4" s="1"/>
  <c r="CI179" i="4"/>
  <c r="BP179" i="4"/>
  <c r="CQ179" i="4"/>
  <c r="CR179" i="4" s="1"/>
  <c r="EU179" i="4"/>
  <c r="EV179" i="4" s="1"/>
  <c r="BX179" i="4"/>
  <c r="BY179" i="4" s="1"/>
  <c r="DB179" i="4"/>
  <c r="AL179" i="4"/>
  <c r="AM179" i="4" s="1"/>
  <c r="FF179" i="4"/>
  <c r="AD179" i="4"/>
  <c r="FN179" i="4"/>
  <c r="FO179" i="4" s="1"/>
  <c r="EM179" i="4"/>
  <c r="AU179" i="4"/>
  <c r="BN179" i="4"/>
  <c r="EK179" i="4"/>
  <c r="FD179" i="4"/>
  <c r="CZ179" i="4"/>
  <c r="CG179" i="4"/>
  <c r="AL36" i="7"/>
  <c r="AM36" i="7" s="1"/>
  <c r="AD36" i="7"/>
  <c r="AB36" i="7"/>
  <c r="AG143" i="9"/>
  <c r="AI143" i="9"/>
  <c r="AQ143" i="9"/>
  <c r="AR143" i="9" s="1"/>
  <c r="AZ143" i="9"/>
  <c r="BJ143" i="9"/>
  <c r="BK143" i="9" s="1"/>
  <c r="BB143" i="9"/>
  <c r="AG57" i="9"/>
  <c r="AI57" i="9"/>
  <c r="AQ57" i="9"/>
  <c r="AR57" i="9" s="1"/>
  <c r="BB57" i="9"/>
  <c r="AZ57" i="9"/>
  <c r="BJ57" i="9"/>
  <c r="BK57" i="9" s="1"/>
  <c r="AG147" i="9"/>
  <c r="AQ147" i="9"/>
  <c r="AR147" i="9" s="1"/>
  <c r="AI147" i="9"/>
  <c r="AZ147" i="9"/>
  <c r="BJ147" i="9"/>
  <c r="BK147" i="9" s="1"/>
  <c r="BB147" i="9"/>
  <c r="AL36" i="5"/>
  <c r="AM36" i="5" s="1"/>
  <c r="AB36" i="5"/>
  <c r="AD36" i="5"/>
  <c r="BP100" i="8"/>
  <c r="CQ100" i="8"/>
  <c r="CR100" i="8" s="1"/>
  <c r="AB100" i="8"/>
  <c r="CG100" i="8"/>
  <c r="AU100" i="8"/>
  <c r="BN100" i="8"/>
  <c r="AD100" i="8"/>
  <c r="BX100" i="8"/>
  <c r="BY100" i="8" s="1"/>
  <c r="AL100" i="8"/>
  <c r="AM100" i="8" s="1"/>
  <c r="CI100" i="8"/>
  <c r="BE100" i="8"/>
  <c r="BF100" i="8" s="1"/>
  <c r="AW100" i="8"/>
  <c r="AD66" i="7"/>
  <c r="AL66" i="7"/>
  <c r="AM66" i="7" s="1"/>
  <c r="AB66" i="7"/>
  <c r="CI67" i="8"/>
  <c r="BX67" i="8"/>
  <c r="BY67" i="8" s="1"/>
  <c r="AD67" i="8"/>
  <c r="CQ67" i="8"/>
  <c r="CR67" i="8" s="1"/>
  <c r="BE67" i="8"/>
  <c r="BF67" i="8" s="1"/>
  <c r="BP67" i="8"/>
  <c r="BN67" i="8"/>
  <c r="CG67" i="8"/>
  <c r="AU67" i="8"/>
  <c r="AB67" i="8"/>
  <c r="AW67" i="8"/>
  <c r="AL67" i="8"/>
  <c r="AM67" i="8" s="1"/>
  <c r="BX86" i="8"/>
  <c r="BY86" i="8" s="1"/>
  <c r="CQ86" i="8"/>
  <c r="CR86" i="8" s="1"/>
  <c r="CI86" i="8"/>
  <c r="BP86" i="8"/>
  <c r="AD86" i="8"/>
  <c r="AW86" i="8"/>
  <c r="AL86" i="8"/>
  <c r="AM86" i="8" s="1"/>
  <c r="BE86" i="8"/>
  <c r="BF86" i="8" s="1"/>
  <c r="AU86" i="8"/>
  <c r="AB86" i="8"/>
  <c r="BN86" i="8"/>
  <c r="CG86" i="8"/>
  <c r="AD100" i="7"/>
  <c r="AL100" i="7"/>
  <c r="AM100" i="7" s="1"/>
  <c r="AB100" i="7"/>
  <c r="AB111" i="4"/>
  <c r="AW111" i="4"/>
  <c r="BE111" i="4"/>
  <c r="BF111" i="4" s="1"/>
  <c r="AD111" i="4"/>
  <c r="CI111" i="4"/>
  <c r="BX111" i="4"/>
  <c r="BY111" i="4" s="1"/>
  <c r="FN111" i="4"/>
  <c r="FO111" i="4" s="1"/>
  <c r="DJ111" i="4"/>
  <c r="DK111" i="4" s="1"/>
  <c r="BP111" i="4"/>
  <c r="AL111" i="4"/>
  <c r="AM111" i="4" s="1"/>
  <c r="CQ111" i="4"/>
  <c r="CR111" i="4" s="1"/>
  <c r="FF111" i="4"/>
  <c r="FD111" i="4"/>
  <c r="BN111" i="4"/>
  <c r="CZ111" i="4"/>
  <c r="EK111" i="4"/>
  <c r="AU111" i="4"/>
  <c r="EU111" i="4"/>
  <c r="EV111" i="4" s="1"/>
  <c r="EM111" i="4"/>
  <c r="CG111" i="4"/>
  <c r="DB111" i="4"/>
  <c r="AG111" i="9"/>
  <c r="AQ111" i="9"/>
  <c r="AR111" i="9" s="1"/>
  <c r="AI111" i="9"/>
  <c r="BB111" i="9"/>
  <c r="AZ111" i="9"/>
  <c r="BJ111" i="9"/>
  <c r="BK111" i="9" s="1"/>
  <c r="BX71" i="8"/>
  <c r="BY71" i="8" s="1"/>
  <c r="CQ71" i="8"/>
  <c r="CR71" i="8" s="1"/>
  <c r="BP71" i="8"/>
  <c r="BE71" i="8"/>
  <c r="BF71" i="8" s="1"/>
  <c r="AL71" i="8"/>
  <c r="AM71" i="8" s="1"/>
  <c r="CI71" i="8"/>
  <c r="AU71" i="8"/>
  <c r="AD71" i="8"/>
  <c r="AB71" i="8"/>
  <c r="CG71" i="8"/>
  <c r="BN71" i="8"/>
  <c r="AW71" i="8"/>
  <c r="AG112" i="9"/>
  <c r="AI112" i="9"/>
  <c r="AQ112" i="9"/>
  <c r="AR112" i="9" s="1"/>
  <c r="BB112" i="9"/>
  <c r="AZ112" i="9"/>
  <c r="BJ112" i="9"/>
  <c r="BK112" i="9" s="1"/>
  <c r="AG97" i="9"/>
  <c r="AI97" i="9"/>
  <c r="AQ97" i="9"/>
  <c r="AR97" i="9" s="1"/>
  <c r="AZ97" i="9"/>
  <c r="BJ97" i="9"/>
  <c r="BK97" i="9" s="1"/>
  <c r="BB97" i="9"/>
  <c r="AB84" i="5"/>
  <c r="AL84" i="5"/>
  <c r="AM84" i="5" s="1"/>
  <c r="AD84" i="5"/>
  <c r="BE85" i="4"/>
  <c r="BF85" i="4" s="1"/>
  <c r="AB85" i="4"/>
  <c r="AW85" i="4"/>
  <c r="AL85" i="4"/>
  <c r="AM85" i="4" s="1"/>
  <c r="EU85" i="4"/>
  <c r="EV85" i="4" s="1"/>
  <c r="CQ85" i="4"/>
  <c r="CR85" i="4" s="1"/>
  <c r="AD85" i="4"/>
  <c r="EM85" i="4"/>
  <c r="FF85" i="4"/>
  <c r="CI85" i="4"/>
  <c r="BX85" i="4"/>
  <c r="BY85" i="4" s="1"/>
  <c r="BP85" i="4"/>
  <c r="FN85" i="4"/>
  <c r="FO85" i="4" s="1"/>
  <c r="DJ85" i="4"/>
  <c r="DK85" i="4" s="1"/>
  <c r="DB85" i="4"/>
  <c r="AU85" i="4"/>
  <c r="CZ85" i="4"/>
  <c r="FD85" i="4"/>
  <c r="BN85" i="4"/>
  <c r="CG85" i="4"/>
  <c r="EK85" i="4"/>
  <c r="AL49" i="7"/>
  <c r="AM49" i="7" s="1"/>
  <c r="AD49" i="7"/>
  <c r="AB49" i="7"/>
  <c r="BE105" i="8"/>
  <c r="BF105" i="8" s="1"/>
  <c r="AU105" i="8"/>
  <c r="CG105" i="8"/>
  <c r="AB105" i="8"/>
  <c r="BN105" i="8"/>
  <c r="CQ105" i="8"/>
  <c r="CR105" i="8" s="1"/>
  <c r="CI105" i="8"/>
  <c r="AW105" i="8"/>
  <c r="BX105" i="8"/>
  <c r="BY105" i="8" s="1"/>
  <c r="AD105" i="8"/>
  <c r="BP105" i="8"/>
  <c r="AL105" i="8"/>
  <c r="AM105" i="8" s="1"/>
  <c r="BX58" i="8"/>
  <c r="BY58" i="8" s="1"/>
  <c r="CI58" i="8"/>
  <c r="AD58" i="8"/>
  <c r="AL58" i="8"/>
  <c r="AM58" i="8" s="1"/>
  <c r="BP58" i="8"/>
  <c r="AU58" i="8"/>
  <c r="CQ58" i="8"/>
  <c r="CR58" i="8" s="1"/>
  <c r="AB58" i="8"/>
  <c r="BN58" i="8"/>
  <c r="BE58" i="8"/>
  <c r="BF58" i="8" s="1"/>
  <c r="CG58" i="8"/>
  <c r="AW58" i="8"/>
  <c r="AB180" i="4"/>
  <c r="AW180" i="4"/>
  <c r="BE180" i="4"/>
  <c r="BF180" i="4" s="1"/>
  <c r="DJ180" i="4"/>
  <c r="DK180" i="4" s="1"/>
  <c r="EM180" i="4"/>
  <c r="DB180" i="4"/>
  <c r="BP180" i="4"/>
  <c r="CI180" i="4"/>
  <c r="EU180" i="4"/>
  <c r="EV180" i="4" s="1"/>
  <c r="BX180" i="4"/>
  <c r="BY180" i="4" s="1"/>
  <c r="FF180" i="4"/>
  <c r="FN180" i="4"/>
  <c r="FO180" i="4" s="1"/>
  <c r="AD180" i="4"/>
  <c r="AL180" i="4"/>
  <c r="AM180" i="4" s="1"/>
  <c r="AU180" i="4"/>
  <c r="BN180" i="4"/>
  <c r="CZ180" i="4"/>
  <c r="EK180" i="4"/>
  <c r="FD180" i="4"/>
  <c r="CG180" i="4"/>
  <c r="CQ180" i="4"/>
  <c r="CR180" i="4" s="1"/>
  <c r="AD28" i="7"/>
  <c r="AB28" i="7"/>
  <c r="AL28" i="7"/>
  <c r="AM28" i="7" s="1"/>
  <c r="AG40" i="9"/>
  <c r="AI40" i="9"/>
  <c r="AQ40" i="9"/>
  <c r="AR40" i="9" s="1"/>
  <c r="BB40" i="9"/>
  <c r="BJ40" i="9"/>
  <c r="BK40" i="9" s="1"/>
  <c r="AZ40" i="9"/>
  <c r="AG121" i="9"/>
  <c r="AQ121" i="9"/>
  <c r="AR121" i="9" s="1"/>
  <c r="AI121" i="9"/>
  <c r="BJ121" i="9"/>
  <c r="BK121" i="9" s="1"/>
  <c r="AZ121" i="9"/>
  <c r="BB121" i="9"/>
  <c r="CI40" i="8"/>
  <c r="AL40" i="8"/>
  <c r="AM40" i="8" s="1"/>
  <c r="CQ40" i="8"/>
  <c r="CR40" i="8" s="1"/>
  <c r="BX40" i="8"/>
  <c r="BY40" i="8" s="1"/>
  <c r="AB40" i="8"/>
  <c r="AU40" i="8"/>
  <c r="BN40" i="8"/>
  <c r="AW40" i="8"/>
  <c r="CG40" i="8"/>
  <c r="BP40" i="8"/>
  <c r="AD40" i="8"/>
  <c r="BE40" i="8"/>
  <c r="BF40" i="8" s="1"/>
  <c r="AG95" i="9"/>
  <c r="AQ95" i="9"/>
  <c r="AR95" i="9" s="1"/>
  <c r="AI95" i="9"/>
  <c r="BJ95" i="9"/>
  <c r="BK95" i="9" s="1"/>
  <c r="AZ95" i="9"/>
  <c r="BB95" i="9"/>
  <c r="AL83" i="5"/>
  <c r="AM83" i="5" s="1"/>
  <c r="AD83" i="5"/>
  <c r="AB83" i="5"/>
  <c r="AD98" i="5"/>
  <c r="AB98" i="5"/>
  <c r="AL98" i="5"/>
  <c r="AM98" i="5" s="1"/>
  <c r="AB110" i="4"/>
  <c r="BE110" i="4"/>
  <c r="BF110" i="4" s="1"/>
  <c r="AW110" i="4"/>
  <c r="DB110" i="4"/>
  <c r="EM110" i="4"/>
  <c r="AL110" i="4"/>
  <c r="AM110" i="4" s="1"/>
  <c r="BP110" i="4"/>
  <c r="FN110" i="4"/>
  <c r="FO110" i="4" s="1"/>
  <c r="BX110" i="4"/>
  <c r="BY110" i="4" s="1"/>
  <c r="AD110" i="4"/>
  <c r="CQ110" i="4"/>
  <c r="CR110" i="4" s="1"/>
  <c r="CI110" i="4"/>
  <c r="DJ110" i="4"/>
  <c r="DK110" i="4" s="1"/>
  <c r="EU110" i="4"/>
  <c r="EV110" i="4" s="1"/>
  <c r="AU110" i="4"/>
  <c r="EK110" i="4"/>
  <c r="FD110" i="4"/>
  <c r="BN110" i="4"/>
  <c r="CG110" i="4"/>
  <c r="CZ110" i="4"/>
  <c r="FF110" i="4"/>
  <c r="AB61" i="4"/>
  <c r="BE61" i="4"/>
  <c r="BF61" i="4" s="1"/>
  <c r="AW61" i="4"/>
  <c r="FN61" i="4"/>
  <c r="FO61" i="4" s="1"/>
  <c r="AL61" i="4"/>
  <c r="AM61" i="4" s="1"/>
  <c r="CQ61" i="4"/>
  <c r="CR61" i="4" s="1"/>
  <c r="BX61" i="4"/>
  <c r="BY61" i="4" s="1"/>
  <c r="FF61" i="4"/>
  <c r="EM61" i="4"/>
  <c r="DJ61" i="4"/>
  <c r="DK61" i="4" s="1"/>
  <c r="AD61" i="4"/>
  <c r="EU61" i="4"/>
  <c r="EV61" i="4" s="1"/>
  <c r="DB61" i="4"/>
  <c r="CI61" i="4"/>
  <c r="EK61" i="4"/>
  <c r="BN61" i="4"/>
  <c r="AU61" i="4"/>
  <c r="CZ61" i="4"/>
  <c r="FD61" i="4"/>
  <c r="CG61" i="4"/>
  <c r="BP61" i="4"/>
  <c r="AB169" i="4"/>
  <c r="BE169" i="4"/>
  <c r="BF169" i="4" s="1"/>
  <c r="AW169" i="4"/>
  <c r="DB169" i="4"/>
  <c r="FN169" i="4"/>
  <c r="FO169" i="4" s="1"/>
  <c r="DJ169" i="4"/>
  <c r="DK169" i="4" s="1"/>
  <c r="CI169" i="4"/>
  <c r="FF169" i="4"/>
  <c r="AD169" i="4"/>
  <c r="EU169" i="4"/>
  <c r="EV169" i="4" s="1"/>
  <c r="CQ169" i="4"/>
  <c r="CR169" i="4" s="1"/>
  <c r="EM169" i="4"/>
  <c r="BN169" i="4"/>
  <c r="CZ169" i="4"/>
  <c r="BX169" i="4"/>
  <c r="BY169" i="4" s="1"/>
  <c r="CG169" i="4"/>
  <c r="FD169" i="4"/>
  <c r="BP169" i="4"/>
  <c r="AU169" i="4"/>
  <c r="EK169" i="4"/>
  <c r="AL169" i="4"/>
  <c r="AM169" i="4" s="1"/>
  <c r="CQ93" i="8"/>
  <c r="CR93" i="8" s="1"/>
  <c r="BP93" i="8"/>
  <c r="AL93" i="8"/>
  <c r="AM93" i="8" s="1"/>
  <c r="BX93" i="8"/>
  <c r="BY93" i="8" s="1"/>
  <c r="AW93" i="8"/>
  <c r="CI93" i="8"/>
  <c r="BE93" i="8"/>
  <c r="BF93" i="8" s="1"/>
  <c r="AD93" i="8"/>
  <c r="CG93" i="8"/>
  <c r="AU93" i="8"/>
  <c r="BN93" i="8"/>
  <c r="AB93" i="8"/>
  <c r="AL63" i="8"/>
  <c r="AM63" i="8" s="1"/>
  <c r="CI63" i="8"/>
  <c r="BE63" i="8"/>
  <c r="BF63" i="8" s="1"/>
  <c r="BP63" i="8"/>
  <c r="CQ63" i="8"/>
  <c r="CR63" i="8" s="1"/>
  <c r="AB63" i="8"/>
  <c r="CG63" i="8"/>
  <c r="AD63" i="8"/>
  <c r="BX63" i="8"/>
  <c r="BY63" i="8" s="1"/>
  <c r="BN63" i="8"/>
  <c r="AU63" i="8"/>
  <c r="AW63" i="8"/>
  <c r="AB65" i="4"/>
  <c r="BE65" i="4"/>
  <c r="BF65" i="4" s="1"/>
  <c r="AW65" i="4"/>
  <c r="DJ65" i="4"/>
  <c r="DK65" i="4" s="1"/>
  <c r="AD65" i="4"/>
  <c r="BP65" i="4"/>
  <c r="BX65" i="4"/>
  <c r="BY65" i="4" s="1"/>
  <c r="DB65" i="4"/>
  <c r="FF65" i="4"/>
  <c r="EM65" i="4"/>
  <c r="AL65" i="4"/>
  <c r="AM65" i="4" s="1"/>
  <c r="EU65" i="4"/>
  <c r="EV65" i="4" s="1"/>
  <c r="CQ65" i="4"/>
  <c r="CR65" i="4" s="1"/>
  <c r="FD65" i="4"/>
  <c r="CI65" i="4"/>
  <c r="BN65" i="4"/>
  <c r="CZ65" i="4"/>
  <c r="EK65" i="4"/>
  <c r="FN65" i="4"/>
  <c r="FO65" i="4" s="1"/>
  <c r="CG65" i="4"/>
  <c r="AU65" i="4"/>
  <c r="AD94" i="8"/>
  <c r="BP94" i="8"/>
  <c r="CI94" i="8"/>
  <c r="BX94" i="8"/>
  <c r="BY94" i="8" s="1"/>
  <c r="CQ94" i="8"/>
  <c r="CR94" i="8" s="1"/>
  <c r="BE94" i="8"/>
  <c r="BF94" i="8" s="1"/>
  <c r="AW94" i="8"/>
  <c r="AL94" i="8"/>
  <c r="AM94" i="8" s="1"/>
  <c r="AU94" i="8"/>
  <c r="BN94" i="8"/>
  <c r="CG94" i="8"/>
  <c r="AB94" i="8"/>
  <c r="BE95" i="4"/>
  <c r="BF95" i="4" s="1"/>
  <c r="AB95" i="4"/>
  <c r="AW95" i="4"/>
  <c r="DJ95" i="4"/>
  <c r="DK95" i="4" s="1"/>
  <c r="DB95" i="4"/>
  <c r="CQ95" i="4"/>
  <c r="CR95" i="4" s="1"/>
  <c r="FF95" i="4"/>
  <c r="BP95" i="4"/>
  <c r="EM95" i="4"/>
  <c r="AL95" i="4"/>
  <c r="AM95" i="4" s="1"/>
  <c r="EU95" i="4"/>
  <c r="EV95" i="4" s="1"/>
  <c r="AD95" i="4"/>
  <c r="BX95" i="4"/>
  <c r="BY95" i="4" s="1"/>
  <c r="AU95" i="4"/>
  <c r="CZ95" i="4"/>
  <c r="BN95" i="4"/>
  <c r="FN95" i="4"/>
  <c r="FO95" i="4" s="1"/>
  <c r="CG95" i="4"/>
  <c r="FD95" i="4"/>
  <c r="EK95" i="4"/>
  <c r="CI95" i="4"/>
  <c r="AB83" i="4"/>
  <c r="BE83" i="4"/>
  <c r="BF83" i="4" s="1"/>
  <c r="AW83" i="4"/>
  <c r="FF83" i="4"/>
  <c r="AD83" i="4"/>
  <c r="CQ83" i="4"/>
  <c r="CR83" i="4" s="1"/>
  <c r="DJ83" i="4"/>
  <c r="DK83" i="4" s="1"/>
  <c r="CI83" i="4"/>
  <c r="BX83" i="4"/>
  <c r="BY83" i="4" s="1"/>
  <c r="DB83" i="4"/>
  <c r="FN83" i="4"/>
  <c r="FO83" i="4" s="1"/>
  <c r="AL83" i="4"/>
  <c r="AM83" i="4" s="1"/>
  <c r="EM83" i="4"/>
  <c r="EU83" i="4"/>
  <c r="EV83" i="4" s="1"/>
  <c r="BP83" i="4"/>
  <c r="FD83" i="4"/>
  <c r="BN83" i="4"/>
  <c r="EK83" i="4"/>
  <c r="AU83" i="4"/>
  <c r="CG83" i="4"/>
  <c r="AL97" i="8"/>
  <c r="AM97" i="8" s="1"/>
  <c r="CI97" i="8"/>
  <c r="CQ97" i="8"/>
  <c r="CR97" i="8" s="1"/>
  <c r="BP97" i="8"/>
  <c r="BX97" i="8"/>
  <c r="BY97" i="8" s="1"/>
  <c r="AD97" i="8"/>
  <c r="CG97" i="8"/>
  <c r="BN97" i="8"/>
  <c r="AB97" i="8"/>
  <c r="AU97" i="8"/>
  <c r="BE97" i="8"/>
  <c r="BF97" i="8" s="1"/>
  <c r="AW97" i="8"/>
  <c r="AB147" i="4"/>
  <c r="BE147" i="4"/>
  <c r="BF147" i="4" s="1"/>
  <c r="AW147" i="4"/>
  <c r="BX147" i="4"/>
  <c r="BY147" i="4" s="1"/>
  <c r="CQ147" i="4"/>
  <c r="CR147" i="4" s="1"/>
  <c r="DB147" i="4"/>
  <c r="BP147" i="4"/>
  <c r="DJ147" i="4"/>
  <c r="DK147" i="4" s="1"/>
  <c r="CI147" i="4"/>
  <c r="CZ147" i="4"/>
  <c r="AU147" i="4"/>
  <c r="BN147" i="4"/>
  <c r="AD147" i="4"/>
  <c r="AL147" i="4"/>
  <c r="AM147" i="4" s="1"/>
  <c r="FF147" i="4"/>
  <c r="EM147" i="4"/>
  <c r="EK147" i="4"/>
  <c r="CG147" i="4"/>
  <c r="FD147" i="4"/>
  <c r="EU147" i="4"/>
  <c r="EV147" i="4" s="1"/>
  <c r="FN147" i="4"/>
  <c r="FO147" i="4" s="1"/>
  <c r="AB177" i="4"/>
  <c r="BE177" i="4"/>
  <c r="BF177" i="4" s="1"/>
  <c r="AW177" i="4"/>
  <c r="DJ177" i="4"/>
  <c r="DK177" i="4" s="1"/>
  <c r="DB177" i="4"/>
  <c r="BP177" i="4"/>
  <c r="FF177" i="4"/>
  <c r="EM177" i="4"/>
  <c r="EU177" i="4"/>
  <c r="EV177" i="4" s="1"/>
  <c r="FN177" i="4"/>
  <c r="FO177" i="4" s="1"/>
  <c r="CI177" i="4"/>
  <c r="CZ177" i="4"/>
  <c r="AU177" i="4"/>
  <c r="CG177" i="4"/>
  <c r="FD177" i="4"/>
  <c r="BN177" i="4"/>
  <c r="EK177" i="4"/>
  <c r="CQ177" i="4"/>
  <c r="CR177" i="4" s="1"/>
  <c r="AD177" i="4"/>
  <c r="AL177" i="4"/>
  <c r="AM177" i="4" s="1"/>
  <c r="BX177" i="4"/>
  <c r="BY177" i="4" s="1"/>
  <c r="AG72" i="9"/>
  <c r="AI72" i="9"/>
  <c r="AQ72" i="9"/>
  <c r="AR72" i="9" s="1"/>
  <c r="BJ72" i="9"/>
  <c r="BK72" i="9" s="1"/>
  <c r="AZ72" i="9"/>
  <c r="BB72" i="9"/>
  <c r="AQ150" i="9"/>
  <c r="AR150" i="9" s="1"/>
  <c r="AG150" i="9"/>
  <c r="AI150" i="9"/>
  <c r="BJ150" i="9"/>
  <c r="BK150" i="9" s="1"/>
  <c r="AZ150" i="9"/>
  <c r="BB150" i="9"/>
  <c r="AG131" i="9"/>
  <c r="AQ131" i="9"/>
  <c r="AR131" i="9" s="1"/>
  <c r="AI131" i="9"/>
  <c r="BB131" i="9"/>
  <c r="BJ131" i="9"/>
  <c r="BK131" i="9" s="1"/>
  <c r="AZ131" i="9"/>
  <c r="AQ152" i="9"/>
  <c r="AR152" i="9" s="1"/>
  <c r="AG152" i="9"/>
  <c r="AI152" i="9"/>
  <c r="BJ152" i="9"/>
  <c r="BK152" i="9" s="1"/>
  <c r="AZ152" i="9"/>
  <c r="BB152" i="9"/>
  <c r="AB63" i="5"/>
  <c r="AD63" i="5"/>
  <c r="AL63" i="5"/>
  <c r="AM63" i="5" s="1"/>
  <c r="AL99" i="7"/>
  <c r="AM99" i="7" s="1"/>
  <c r="AB99" i="7"/>
  <c r="AD99" i="7"/>
  <c r="AD44" i="7"/>
  <c r="AB44" i="7"/>
  <c r="AL44" i="7"/>
  <c r="AM44" i="7" s="1"/>
  <c r="BE102" i="8"/>
  <c r="BF102" i="8" s="1"/>
  <c r="AD102" i="8"/>
  <c r="AL102" i="8"/>
  <c r="AM102" i="8" s="1"/>
  <c r="BX102" i="8"/>
  <c r="BY102" i="8" s="1"/>
  <c r="CI102" i="8"/>
  <c r="BP102" i="8"/>
  <c r="CQ102" i="8"/>
  <c r="CR102" i="8" s="1"/>
  <c r="AW102" i="8"/>
  <c r="AB102" i="8"/>
  <c r="CG102" i="8"/>
  <c r="AU102" i="8"/>
  <c r="BN102" i="8"/>
  <c r="AB173" i="4"/>
  <c r="BE173" i="4"/>
  <c r="BF173" i="4" s="1"/>
  <c r="AW173" i="4"/>
  <c r="BX173" i="4"/>
  <c r="BY173" i="4" s="1"/>
  <c r="DB173" i="4"/>
  <c r="CQ173" i="4"/>
  <c r="CR173" i="4" s="1"/>
  <c r="EM173" i="4"/>
  <c r="BP173" i="4"/>
  <c r="DJ173" i="4"/>
  <c r="DK173" i="4" s="1"/>
  <c r="CI173" i="4"/>
  <c r="AL173" i="4"/>
  <c r="AM173" i="4" s="1"/>
  <c r="FN173" i="4"/>
  <c r="FO173" i="4" s="1"/>
  <c r="AD173" i="4"/>
  <c r="FF173" i="4"/>
  <c r="EU173" i="4"/>
  <c r="EV173" i="4" s="1"/>
  <c r="BN173" i="4"/>
  <c r="CG173" i="4"/>
  <c r="FD173" i="4"/>
  <c r="AU173" i="4"/>
  <c r="EK173" i="4"/>
  <c r="CZ173" i="4"/>
  <c r="AB148" i="4"/>
  <c r="BE148" i="4"/>
  <c r="BF148" i="4" s="1"/>
  <c r="AW148" i="4"/>
  <c r="CI148" i="4"/>
  <c r="BX148" i="4"/>
  <c r="BY148" i="4" s="1"/>
  <c r="CQ148" i="4"/>
  <c r="CR148" i="4" s="1"/>
  <c r="DB148" i="4"/>
  <c r="DJ148" i="4"/>
  <c r="DK148" i="4" s="1"/>
  <c r="EM148" i="4"/>
  <c r="AL148" i="4"/>
  <c r="AM148" i="4" s="1"/>
  <c r="BP148" i="4"/>
  <c r="EU148" i="4"/>
  <c r="EV148" i="4" s="1"/>
  <c r="FF148" i="4"/>
  <c r="FN148" i="4"/>
  <c r="FO148" i="4" s="1"/>
  <c r="AD148" i="4"/>
  <c r="FD148" i="4"/>
  <c r="BN148" i="4"/>
  <c r="EK148" i="4"/>
  <c r="AU148" i="4"/>
  <c r="CG148" i="4"/>
  <c r="CZ148" i="4"/>
  <c r="AB153" i="4"/>
  <c r="AW153" i="4"/>
  <c r="BE153" i="4"/>
  <c r="BF153" i="4" s="1"/>
  <c r="DJ153" i="4"/>
  <c r="DK153" i="4" s="1"/>
  <c r="FF153" i="4"/>
  <c r="BP153" i="4"/>
  <c r="DB153" i="4"/>
  <c r="AL153" i="4"/>
  <c r="AM153" i="4" s="1"/>
  <c r="CQ153" i="4"/>
  <c r="CR153" i="4" s="1"/>
  <c r="EM153" i="4"/>
  <c r="CI153" i="4"/>
  <c r="CG153" i="4"/>
  <c r="CZ153" i="4"/>
  <c r="AU153" i="4"/>
  <c r="BN153" i="4"/>
  <c r="EK153" i="4"/>
  <c r="FD153" i="4"/>
  <c r="EU153" i="4"/>
  <c r="EV153" i="4" s="1"/>
  <c r="FN153" i="4"/>
  <c r="FO153" i="4" s="1"/>
  <c r="BX153" i="4"/>
  <c r="BY153" i="4" s="1"/>
  <c r="AD153" i="4"/>
  <c r="AB101" i="4"/>
  <c r="BE101" i="4"/>
  <c r="BF101" i="4" s="1"/>
  <c r="AW101" i="4"/>
  <c r="DB101" i="4"/>
  <c r="FF101" i="4"/>
  <c r="CI101" i="4"/>
  <c r="EM101" i="4"/>
  <c r="DJ101" i="4"/>
  <c r="DK101" i="4" s="1"/>
  <c r="EU101" i="4"/>
  <c r="EV101" i="4" s="1"/>
  <c r="CQ101" i="4"/>
  <c r="CR101" i="4" s="1"/>
  <c r="FN101" i="4"/>
  <c r="FO101" i="4" s="1"/>
  <c r="BX101" i="4"/>
  <c r="BY101" i="4" s="1"/>
  <c r="AL101" i="4"/>
  <c r="AM101" i="4" s="1"/>
  <c r="AD101" i="4"/>
  <c r="EK101" i="4"/>
  <c r="CG101" i="4"/>
  <c r="BN101" i="4"/>
  <c r="CZ101" i="4"/>
  <c r="FD101" i="4"/>
  <c r="BP101" i="4"/>
  <c r="AU101" i="4"/>
  <c r="AG128" i="9"/>
  <c r="AQ128" i="9"/>
  <c r="AR128" i="9" s="1"/>
  <c r="AI128" i="9"/>
  <c r="BJ128" i="9"/>
  <c r="BK128" i="9" s="1"/>
  <c r="AZ128" i="9"/>
  <c r="BB128" i="9"/>
  <c r="AB107" i="4"/>
  <c r="AW107" i="4"/>
  <c r="BE107" i="4"/>
  <c r="BF107" i="4" s="1"/>
  <c r="DJ107" i="4"/>
  <c r="DK107" i="4" s="1"/>
  <c r="FF107" i="4"/>
  <c r="FN107" i="4"/>
  <c r="FO107" i="4" s="1"/>
  <c r="BP107" i="4"/>
  <c r="CQ107" i="4"/>
  <c r="CR107" i="4" s="1"/>
  <c r="EU107" i="4"/>
  <c r="EV107" i="4" s="1"/>
  <c r="CI107" i="4"/>
  <c r="DB107" i="4"/>
  <c r="AD107" i="4"/>
  <c r="EM107" i="4"/>
  <c r="BN107" i="4"/>
  <c r="AU107" i="4"/>
  <c r="CG107" i="4"/>
  <c r="BX107" i="4"/>
  <c r="BY107" i="4" s="1"/>
  <c r="AL107" i="4"/>
  <c r="AM107" i="4" s="1"/>
  <c r="EK107" i="4"/>
  <c r="FD107" i="4"/>
  <c r="CZ107" i="4"/>
  <c r="AL73" i="7"/>
  <c r="AM73" i="7" s="1"/>
  <c r="AD73" i="7"/>
  <c r="AB73" i="7"/>
  <c r="AQ146" i="9"/>
  <c r="AR146" i="9" s="1"/>
  <c r="AG146" i="9"/>
  <c r="AI146" i="9"/>
  <c r="BB146" i="9"/>
  <c r="BJ146" i="9"/>
  <c r="BK146" i="9" s="1"/>
  <c r="AZ146" i="9"/>
  <c r="AG127" i="9"/>
  <c r="AQ127" i="9"/>
  <c r="AR127" i="9" s="1"/>
  <c r="AI127" i="9"/>
  <c r="BB127" i="9"/>
  <c r="BJ127" i="9"/>
  <c r="BK127" i="9" s="1"/>
  <c r="AZ127" i="9"/>
  <c r="AG56" i="9"/>
  <c r="AQ56" i="9"/>
  <c r="AR56" i="9" s="1"/>
  <c r="AI56" i="9"/>
  <c r="BB56" i="9"/>
  <c r="BJ56" i="9"/>
  <c r="BK56" i="9" s="1"/>
  <c r="AZ56" i="9"/>
  <c r="AB62" i="5"/>
  <c r="AL62" i="5"/>
  <c r="AM62" i="5" s="1"/>
  <c r="AD62" i="5"/>
  <c r="AL97" i="7"/>
  <c r="AM97" i="7" s="1"/>
  <c r="AB97" i="7"/>
  <c r="AD97" i="7"/>
  <c r="AG134" i="9"/>
  <c r="AZ134" i="9"/>
  <c r="AQ134" i="9"/>
  <c r="AR134" i="9" s="1"/>
  <c r="BB134" i="9"/>
  <c r="AI134" i="9"/>
  <c r="BJ134" i="9"/>
  <c r="BK134" i="9" s="1"/>
  <c r="AB172" i="4"/>
  <c r="AW172" i="4"/>
  <c r="BE172" i="4"/>
  <c r="BF172" i="4" s="1"/>
  <c r="DJ172" i="4"/>
  <c r="DK172" i="4" s="1"/>
  <c r="DB172" i="4"/>
  <c r="CI172" i="4"/>
  <c r="EU172" i="4"/>
  <c r="EV172" i="4" s="1"/>
  <c r="AD172" i="4"/>
  <c r="BP172" i="4"/>
  <c r="FF172" i="4"/>
  <c r="CQ172" i="4"/>
  <c r="CR172" i="4" s="1"/>
  <c r="BX172" i="4"/>
  <c r="BY172" i="4" s="1"/>
  <c r="EM172" i="4"/>
  <c r="AU172" i="4"/>
  <c r="CG172" i="4"/>
  <c r="EK172" i="4"/>
  <c r="AL172" i="4"/>
  <c r="AM172" i="4" s="1"/>
  <c r="FD172" i="4"/>
  <c r="BN172" i="4"/>
  <c r="CZ172" i="4"/>
  <c r="FN172" i="4"/>
  <c r="FO172" i="4" s="1"/>
  <c r="AD95" i="7"/>
  <c r="AL95" i="7"/>
  <c r="AM95" i="7" s="1"/>
  <c r="AB95" i="7"/>
  <c r="AD27" i="7"/>
  <c r="AL27" i="7"/>
  <c r="AB27" i="7"/>
  <c r="BE168" i="4"/>
  <c r="BF168" i="4" s="1"/>
  <c r="AB168" i="4"/>
  <c r="AW168" i="4"/>
  <c r="CI168" i="4"/>
  <c r="BX168" i="4"/>
  <c r="BY168" i="4" s="1"/>
  <c r="DJ168" i="4"/>
  <c r="DK168" i="4" s="1"/>
  <c r="AD168" i="4"/>
  <c r="FN168" i="4"/>
  <c r="FO168" i="4" s="1"/>
  <c r="AL168" i="4"/>
  <c r="AM168" i="4" s="1"/>
  <c r="BN168" i="4"/>
  <c r="EK168" i="4"/>
  <c r="BP168" i="4"/>
  <c r="CZ168" i="4"/>
  <c r="FD168" i="4"/>
  <c r="AU168" i="4"/>
  <c r="EU168" i="4"/>
  <c r="EV168" i="4" s="1"/>
  <c r="EM168" i="4"/>
  <c r="CG168" i="4"/>
  <c r="CQ168" i="4"/>
  <c r="CR168" i="4" s="1"/>
  <c r="FF168" i="4"/>
  <c r="DB168" i="4"/>
  <c r="AG82" i="9"/>
  <c r="AQ82" i="9"/>
  <c r="AR82" i="9" s="1"/>
  <c r="AI82" i="9"/>
  <c r="BJ82" i="9"/>
  <c r="BK82" i="9" s="1"/>
  <c r="AZ82" i="9"/>
  <c r="BB82" i="9"/>
  <c r="BE154" i="4"/>
  <c r="BF154" i="4" s="1"/>
  <c r="AB154" i="4"/>
  <c r="AW154" i="4"/>
  <c r="DJ154" i="4"/>
  <c r="DK154" i="4" s="1"/>
  <c r="EU154" i="4"/>
  <c r="EV154" i="4" s="1"/>
  <c r="EM154" i="4"/>
  <c r="BP154" i="4"/>
  <c r="CI154" i="4"/>
  <c r="FN154" i="4"/>
  <c r="FO154" i="4" s="1"/>
  <c r="AD154" i="4"/>
  <c r="BX154" i="4"/>
  <c r="BY154" i="4" s="1"/>
  <c r="CQ154" i="4"/>
  <c r="CR154" i="4" s="1"/>
  <c r="BN154" i="4"/>
  <c r="AL154" i="4"/>
  <c r="AM154" i="4" s="1"/>
  <c r="DB154" i="4"/>
  <c r="FF154" i="4"/>
  <c r="CZ154" i="4"/>
  <c r="CG154" i="4"/>
  <c r="AU154" i="4"/>
  <c r="EK154" i="4"/>
  <c r="FD154" i="4"/>
  <c r="AL75" i="7"/>
  <c r="AM75" i="7" s="1"/>
  <c r="AB75" i="7"/>
  <c r="AD75" i="7"/>
  <c r="AG37" i="9"/>
  <c r="AQ37" i="9"/>
  <c r="AR37" i="9" s="1"/>
  <c r="AI37" i="9"/>
  <c r="BJ37" i="9"/>
  <c r="BK37" i="9" s="1"/>
  <c r="BB37" i="9"/>
  <c r="AZ37" i="9"/>
  <c r="AI105" i="9"/>
  <c r="AG105" i="9"/>
  <c r="AQ105" i="9"/>
  <c r="AR105" i="9" s="1"/>
  <c r="AZ105" i="9"/>
  <c r="BB105" i="9"/>
  <c r="BJ105" i="9"/>
  <c r="BK105" i="9" s="1"/>
  <c r="AL31" i="5"/>
  <c r="AM31" i="5" s="1"/>
  <c r="AB31" i="5"/>
  <c r="AD31" i="5"/>
  <c r="AB32" i="5"/>
  <c r="AL32" i="5"/>
  <c r="AM32" i="5" s="1"/>
  <c r="AD32" i="5"/>
  <c r="AD81" i="7"/>
  <c r="AL81" i="7"/>
  <c r="AM81" i="7" s="1"/>
  <c r="AB81" i="7"/>
  <c r="AB59" i="4"/>
  <c r="AW59" i="4"/>
  <c r="BE59" i="4"/>
  <c r="BF59" i="4" s="1"/>
  <c r="DJ59" i="4"/>
  <c r="DK59" i="4" s="1"/>
  <c r="CI59" i="4"/>
  <c r="CQ59" i="4"/>
  <c r="CR59" i="4" s="1"/>
  <c r="EU59" i="4"/>
  <c r="EV59" i="4" s="1"/>
  <c r="CZ59" i="4"/>
  <c r="BP59" i="4"/>
  <c r="FN59" i="4"/>
  <c r="FO59" i="4" s="1"/>
  <c r="FD59" i="4"/>
  <c r="BN59" i="4"/>
  <c r="EK59" i="4"/>
  <c r="CG59" i="4"/>
  <c r="AU59" i="4"/>
  <c r="AL59" i="4"/>
  <c r="AM59" i="4" s="1"/>
  <c r="AD59" i="4"/>
  <c r="BX59" i="4"/>
  <c r="BY59" i="4" s="1"/>
  <c r="EM59" i="4"/>
  <c r="FF59" i="4"/>
  <c r="DB59" i="4"/>
  <c r="AQ63" i="9"/>
  <c r="AR63" i="9" s="1"/>
  <c r="AG63" i="9"/>
  <c r="AI63" i="9"/>
  <c r="BJ63" i="9"/>
  <c r="BK63" i="9" s="1"/>
  <c r="AZ63" i="9"/>
  <c r="BB63" i="9"/>
  <c r="AB108" i="4"/>
  <c r="AW108" i="4"/>
  <c r="BE108" i="4"/>
  <c r="BF108" i="4" s="1"/>
  <c r="AD108" i="4"/>
  <c r="DJ108" i="4"/>
  <c r="DK108" i="4" s="1"/>
  <c r="DB108" i="4"/>
  <c r="EM108" i="4"/>
  <c r="BP108" i="4"/>
  <c r="EU108" i="4"/>
  <c r="EV108" i="4" s="1"/>
  <c r="CI108" i="4"/>
  <c r="CQ108" i="4"/>
  <c r="CR108" i="4" s="1"/>
  <c r="AL108" i="4"/>
  <c r="AM108" i="4" s="1"/>
  <c r="FF108" i="4"/>
  <c r="CG108" i="4"/>
  <c r="EK108" i="4"/>
  <c r="BN108" i="4"/>
  <c r="BX108" i="4"/>
  <c r="BY108" i="4" s="1"/>
  <c r="CZ108" i="4"/>
  <c r="FN108" i="4"/>
  <c r="FO108" i="4" s="1"/>
  <c r="AU108" i="4"/>
  <c r="FD108" i="4"/>
  <c r="AB193" i="4"/>
  <c r="BE193" i="4"/>
  <c r="BF193" i="4" s="1"/>
  <c r="AW193" i="4"/>
  <c r="CI193" i="4"/>
  <c r="DJ193" i="4"/>
  <c r="DK193" i="4" s="1"/>
  <c r="CQ193" i="4"/>
  <c r="CR193" i="4" s="1"/>
  <c r="BP193" i="4"/>
  <c r="CG193" i="4"/>
  <c r="EM193" i="4"/>
  <c r="AU193" i="4"/>
  <c r="EU193" i="4"/>
  <c r="EV193" i="4" s="1"/>
  <c r="FD193" i="4"/>
  <c r="EK193" i="4"/>
  <c r="FF193" i="4"/>
  <c r="AD193" i="4"/>
  <c r="FN193" i="4"/>
  <c r="FO193" i="4" s="1"/>
  <c r="CZ193" i="4"/>
  <c r="BN193" i="4"/>
  <c r="AL193" i="4"/>
  <c r="AM193" i="4" s="1"/>
  <c r="BX193" i="4"/>
  <c r="BY193" i="4" s="1"/>
  <c r="DB193" i="4"/>
  <c r="AL116" i="8"/>
  <c r="AM116" i="8" s="1"/>
  <c r="BP116" i="8"/>
  <c r="BX116" i="8"/>
  <c r="BY116" i="8" s="1"/>
  <c r="CI116" i="8"/>
  <c r="AW116" i="8"/>
  <c r="BE116" i="8"/>
  <c r="BF116" i="8" s="1"/>
  <c r="BN116" i="8"/>
  <c r="AU116" i="8"/>
  <c r="CG116" i="8"/>
  <c r="AB116" i="8"/>
  <c r="CQ116" i="8"/>
  <c r="CR116" i="8" s="1"/>
  <c r="AD116" i="8"/>
  <c r="AL34" i="7"/>
  <c r="AM34" i="7" s="1"/>
  <c r="AD34" i="7"/>
  <c r="AB34" i="7"/>
  <c r="AG75" i="9"/>
  <c r="AI75" i="9"/>
  <c r="AQ75" i="9"/>
  <c r="AR75" i="9" s="1"/>
  <c r="BB75" i="9"/>
  <c r="BJ75" i="9"/>
  <c r="BK75" i="9" s="1"/>
  <c r="AZ75" i="9"/>
  <c r="AG65" i="9"/>
  <c r="AQ65" i="9"/>
  <c r="AR65" i="9" s="1"/>
  <c r="AI65" i="9"/>
  <c r="BJ65" i="9"/>
  <c r="BK65" i="9" s="1"/>
  <c r="AZ65" i="9"/>
  <c r="BB65" i="9"/>
  <c r="AL66" i="5"/>
  <c r="AM66" i="5" s="1"/>
  <c r="AD66" i="5"/>
  <c r="AB66" i="5"/>
  <c r="CI113" i="8"/>
  <c r="AL113" i="8"/>
  <c r="AM113" i="8" s="1"/>
  <c r="BX113" i="8"/>
  <c r="BY113" i="8" s="1"/>
  <c r="AD113" i="8"/>
  <c r="BE113" i="8"/>
  <c r="BF113" i="8" s="1"/>
  <c r="BP113" i="8"/>
  <c r="CQ113" i="8"/>
  <c r="CR113" i="8" s="1"/>
  <c r="AW113" i="8"/>
  <c r="AU113" i="8"/>
  <c r="AB113" i="8"/>
  <c r="BN113" i="8"/>
  <c r="CG113" i="8"/>
  <c r="BX106" i="8"/>
  <c r="BY106" i="8" s="1"/>
  <c r="BP106" i="8"/>
  <c r="BE106" i="8"/>
  <c r="BF106" i="8" s="1"/>
  <c r="CI106" i="8"/>
  <c r="AD106" i="8"/>
  <c r="AW106" i="8"/>
  <c r="AL106" i="8"/>
  <c r="AM106" i="8" s="1"/>
  <c r="CQ106" i="8"/>
  <c r="CR106" i="8" s="1"/>
  <c r="CG106" i="8"/>
  <c r="AB106" i="8"/>
  <c r="BN106" i="8"/>
  <c r="AU106" i="8"/>
  <c r="AL78" i="7"/>
  <c r="AM78" i="7" s="1"/>
  <c r="AB78" i="7"/>
  <c r="AD78" i="7"/>
  <c r="AB113" i="4"/>
  <c r="BE113" i="4"/>
  <c r="BF113" i="4" s="1"/>
  <c r="AW113" i="4"/>
  <c r="FF113" i="4"/>
  <c r="AD113" i="4"/>
  <c r="EM113" i="4"/>
  <c r="DB113" i="4"/>
  <c r="EU113" i="4"/>
  <c r="EV113" i="4" s="1"/>
  <c r="CI113" i="4"/>
  <c r="CQ113" i="4"/>
  <c r="CR113" i="4" s="1"/>
  <c r="FN113" i="4"/>
  <c r="FO113" i="4" s="1"/>
  <c r="DJ113" i="4"/>
  <c r="DK113" i="4" s="1"/>
  <c r="BP113" i="4"/>
  <c r="AL113" i="4"/>
  <c r="AM113" i="4" s="1"/>
  <c r="EK113" i="4"/>
  <c r="AU113" i="4"/>
  <c r="FD113" i="4"/>
  <c r="BX113" i="4"/>
  <c r="BY113" i="4" s="1"/>
  <c r="BN113" i="4"/>
  <c r="CG113" i="4"/>
  <c r="CZ113" i="4"/>
  <c r="AG130" i="9"/>
  <c r="AI130" i="9"/>
  <c r="AR130" i="9"/>
  <c r="BB130" i="9"/>
  <c r="AZ130" i="9"/>
  <c r="BJ130" i="9"/>
  <c r="BK130" i="9" s="1"/>
  <c r="BP48" i="8"/>
  <c r="BX48" i="8"/>
  <c r="BY48" i="8" s="1"/>
  <c r="CQ48" i="8"/>
  <c r="CR48" i="8" s="1"/>
  <c r="AW48" i="8"/>
  <c r="CI48" i="8"/>
  <c r="AL48" i="8"/>
  <c r="AM48" i="8" s="1"/>
  <c r="CG48" i="8"/>
  <c r="BN48" i="8"/>
  <c r="AB48" i="8"/>
  <c r="AU48" i="8"/>
  <c r="BE48" i="8"/>
  <c r="BF48" i="8" s="1"/>
  <c r="AD48" i="8"/>
  <c r="AD47" i="7"/>
  <c r="AB47" i="7"/>
  <c r="AL47" i="7"/>
  <c r="AM47" i="7" s="1"/>
  <c r="BP83" i="8"/>
  <c r="AL83" i="8"/>
  <c r="AM83" i="8" s="1"/>
  <c r="AD83" i="8"/>
  <c r="CI83" i="8"/>
  <c r="AU83" i="8"/>
  <c r="BN83" i="8"/>
  <c r="CG83" i="8"/>
  <c r="AB83" i="8"/>
  <c r="BE83" i="8"/>
  <c r="BF83" i="8" s="1"/>
  <c r="CQ83" i="8"/>
  <c r="CR83" i="8" s="1"/>
  <c r="AW83" i="8"/>
  <c r="AB57" i="7"/>
  <c r="AL57" i="7"/>
  <c r="AM57" i="7" s="1"/>
  <c r="AD57" i="7"/>
  <c r="AG48" i="9"/>
  <c r="AQ48" i="9"/>
  <c r="AR48" i="9" s="1"/>
  <c r="AI48" i="9"/>
  <c r="BB48" i="9"/>
  <c r="BJ48" i="9"/>
  <c r="BK48" i="9" s="1"/>
  <c r="AZ48" i="9"/>
  <c r="AL25" i="5"/>
  <c r="AB25" i="5"/>
  <c r="AD25" i="5"/>
  <c r="AL54" i="5"/>
  <c r="AM54" i="5" s="1"/>
  <c r="AB54" i="5"/>
  <c r="AD54" i="5"/>
  <c r="AB111" i="5"/>
  <c r="AD111" i="5"/>
  <c r="AL111" i="5"/>
  <c r="AM111" i="5" s="1"/>
  <c r="BP27" i="8"/>
  <c r="CQ27" i="8"/>
  <c r="CR27" i="8" s="1"/>
  <c r="AD27" i="8"/>
  <c r="AW27" i="8"/>
  <c r="CI27" i="8"/>
  <c r="BX27" i="8"/>
  <c r="BY27" i="8" s="1"/>
  <c r="BN27" i="8"/>
  <c r="CG27" i="8"/>
  <c r="AB27" i="8"/>
  <c r="AU27" i="8"/>
  <c r="BE27" i="8"/>
  <c r="BF27" i="8" s="1"/>
  <c r="AL27" i="8"/>
  <c r="AM27" i="8" s="1"/>
  <c r="AG104" i="9"/>
  <c r="AI104" i="9"/>
  <c r="AQ104" i="9"/>
  <c r="AR104" i="9" s="1"/>
  <c r="BJ104" i="9"/>
  <c r="BK104" i="9" s="1"/>
  <c r="AZ104" i="9"/>
  <c r="BB104" i="9"/>
  <c r="AL39" i="7"/>
  <c r="AM39" i="7" s="1"/>
  <c r="AB39" i="7"/>
  <c r="AD39" i="7"/>
  <c r="AB150" i="4"/>
  <c r="BE150" i="4"/>
  <c r="BF150" i="4" s="1"/>
  <c r="AW150" i="4"/>
  <c r="DB150" i="4"/>
  <c r="DJ150" i="4"/>
  <c r="DK150" i="4" s="1"/>
  <c r="BX150" i="4"/>
  <c r="BY150" i="4" s="1"/>
  <c r="CQ150" i="4"/>
  <c r="CR150" i="4" s="1"/>
  <c r="FN150" i="4"/>
  <c r="FO150" i="4" s="1"/>
  <c r="FF150" i="4"/>
  <c r="BN150" i="4"/>
  <c r="AU150" i="4"/>
  <c r="FD150" i="4"/>
  <c r="AD150" i="4"/>
  <c r="EK150" i="4"/>
  <c r="CI150" i="4"/>
  <c r="BP150" i="4"/>
  <c r="EU150" i="4"/>
  <c r="EV150" i="4" s="1"/>
  <c r="AL150" i="4"/>
  <c r="AM150" i="4" s="1"/>
  <c r="EM150" i="4"/>
  <c r="CZ150" i="4"/>
  <c r="CG150" i="4"/>
  <c r="BE75" i="4"/>
  <c r="BF75" i="4" s="1"/>
  <c r="AW75" i="4"/>
  <c r="AB75" i="4"/>
  <c r="CQ75" i="4"/>
  <c r="CR75" i="4" s="1"/>
  <c r="DJ75" i="4"/>
  <c r="DK75" i="4" s="1"/>
  <c r="FN75" i="4"/>
  <c r="FO75" i="4" s="1"/>
  <c r="AD75" i="4"/>
  <c r="EU75" i="4"/>
  <c r="EV75" i="4" s="1"/>
  <c r="DB75" i="4"/>
  <c r="BP75" i="4"/>
  <c r="CI75" i="4"/>
  <c r="BN75" i="4"/>
  <c r="BX75" i="4"/>
  <c r="BY75" i="4" s="1"/>
  <c r="AU75" i="4"/>
  <c r="AL75" i="4"/>
  <c r="AM75" i="4" s="1"/>
  <c r="EM75" i="4"/>
  <c r="FF75" i="4"/>
  <c r="FD75" i="4"/>
  <c r="CZ75" i="4"/>
  <c r="CG75" i="4"/>
  <c r="EK75" i="4"/>
  <c r="AG122" i="9"/>
  <c r="AQ122" i="9"/>
  <c r="AR122" i="9" s="1"/>
  <c r="AI122" i="9"/>
  <c r="BJ122" i="9"/>
  <c r="BK122" i="9" s="1"/>
  <c r="BB122" i="9"/>
  <c r="AZ122" i="9"/>
  <c r="AG58" i="9"/>
  <c r="AQ58" i="9"/>
  <c r="AR58" i="9" s="1"/>
  <c r="AI58" i="9"/>
  <c r="BB58" i="9"/>
  <c r="AZ58" i="9"/>
  <c r="BJ58" i="9"/>
  <c r="BK58" i="9" s="1"/>
  <c r="AD116" i="5"/>
  <c r="AB116" i="5"/>
  <c r="AL116" i="5"/>
  <c r="AM116" i="5" s="1"/>
  <c r="AL72" i="5"/>
  <c r="AM72" i="5" s="1"/>
  <c r="AD72" i="5"/>
  <c r="AB72" i="5"/>
  <c r="AD108" i="5"/>
  <c r="AL108" i="5"/>
  <c r="AM108" i="5" s="1"/>
  <c r="AB108" i="5"/>
  <c r="AL62" i="7"/>
  <c r="AM62" i="7" s="1"/>
  <c r="AB62" i="7"/>
  <c r="AD62" i="7"/>
  <c r="AB30" i="4"/>
  <c r="BE30" i="4"/>
  <c r="AW30" i="4"/>
  <c r="EK30" i="4"/>
  <c r="AU30" i="4"/>
  <c r="CZ30" i="4"/>
  <c r="FD30" i="4"/>
  <c r="BN30" i="4"/>
  <c r="CG30" i="4"/>
  <c r="AL30" i="4"/>
  <c r="CQ30" i="4"/>
  <c r="DJ30" i="4"/>
  <c r="BX30" i="4"/>
  <c r="CI30" i="4"/>
  <c r="EM30" i="4"/>
  <c r="BP30" i="4"/>
  <c r="EU30" i="4"/>
  <c r="FN30" i="4"/>
  <c r="FF30" i="4"/>
  <c r="AD30" i="4"/>
  <c r="DB30" i="4"/>
  <c r="AB76" i="4"/>
  <c r="AW76" i="4"/>
  <c r="BE76" i="4"/>
  <c r="BF76" i="4" s="1"/>
  <c r="DJ76" i="4"/>
  <c r="DK76" i="4" s="1"/>
  <c r="CI76" i="4"/>
  <c r="DB76" i="4"/>
  <c r="EM76" i="4"/>
  <c r="BP76" i="4"/>
  <c r="EU76" i="4"/>
  <c r="EV76" i="4" s="1"/>
  <c r="FF76" i="4"/>
  <c r="AD76" i="4"/>
  <c r="FN76" i="4"/>
  <c r="FO76" i="4" s="1"/>
  <c r="CQ76" i="4"/>
  <c r="CR76" i="4" s="1"/>
  <c r="BX76" i="4"/>
  <c r="BY76" i="4" s="1"/>
  <c r="AL76" i="4"/>
  <c r="AM76" i="4" s="1"/>
  <c r="BN76" i="4"/>
  <c r="EK76" i="4"/>
  <c r="CZ76" i="4"/>
  <c r="FD76" i="4"/>
  <c r="CG76" i="4"/>
  <c r="AU76" i="4"/>
  <c r="BE51" i="4"/>
  <c r="BF51" i="4" s="1"/>
  <c r="AB51" i="4"/>
  <c r="AW51" i="4"/>
  <c r="FF51" i="4"/>
  <c r="EM51" i="4"/>
  <c r="AL51" i="4"/>
  <c r="AM51" i="4" s="1"/>
  <c r="CI51" i="4"/>
  <c r="DB51" i="4"/>
  <c r="DJ51" i="4"/>
  <c r="DK51" i="4" s="1"/>
  <c r="FN51" i="4"/>
  <c r="FO51" i="4" s="1"/>
  <c r="BP51" i="4"/>
  <c r="CQ51" i="4"/>
  <c r="CR51" i="4" s="1"/>
  <c r="AD51" i="4"/>
  <c r="BX51" i="4"/>
  <c r="BY51" i="4" s="1"/>
  <c r="EK51" i="4"/>
  <c r="CG51" i="4"/>
  <c r="AU51" i="4"/>
  <c r="FD51" i="4"/>
  <c r="CZ51" i="4"/>
  <c r="BN51" i="4"/>
  <c r="EU51" i="4"/>
  <c r="EV51" i="4" s="1"/>
  <c r="AL68" i="7"/>
  <c r="AM68" i="7" s="1"/>
  <c r="AB68" i="7"/>
  <c r="AD68" i="7"/>
  <c r="AB55" i="4"/>
  <c r="BE55" i="4"/>
  <c r="BF55" i="4" s="1"/>
  <c r="AW55" i="4"/>
  <c r="FN55" i="4"/>
  <c r="FO55" i="4" s="1"/>
  <c r="CQ55" i="4"/>
  <c r="CR55" i="4" s="1"/>
  <c r="DB55" i="4"/>
  <c r="BP55" i="4"/>
  <c r="CI55" i="4"/>
  <c r="BX55" i="4"/>
  <c r="BY55" i="4" s="1"/>
  <c r="EU55" i="4"/>
  <c r="EV55" i="4" s="1"/>
  <c r="AD55" i="4"/>
  <c r="EM55" i="4"/>
  <c r="FF55" i="4"/>
  <c r="AL55" i="4"/>
  <c r="AM55" i="4" s="1"/>
  <c r="BN55" i="4"/>
  <c r="CZ55" i="4"/>
  <c r="AU55" i="4"/>
  <c r="FD55" i="4"/>
  <c r="EK55" i="4"/>
  <c r="CG55" i="4"/>
  <c r="AB94" i="4"/>
  <c r="BE94" i="4"/>
  <c r="BF94" i="4" s="1"/>
  <c r="AW94" i="4"/>
  <c r="DJ94" i="4"/>
  <c r="DK94" i="4" s="1"/>
  <c r="DB94" i="4"/>
  <c r="FN94" i="4"/>
  <c r="FO94" i="4" s="1"/>
  <c r="CI94" i="4"/>
  <c r="AD94" i="4"/>
  <c r="FF94" i="4"/>
  <c r="EU94" i="4"/>
  <c r="EV94" i="4" s="1"/>
  <c r="EM94" i="4"/>
  <c r="BX94" i="4"/>
  <c r="BY94" i="4" s="1"/>
  <c r="BP94" i="4"/>
  <c r="AU94" i="4"/>
  <c r="CG94" i="4"/>
  <c r="CZ94" i="4"/>
  <c r="FD94" i="4"/>
  <c r="EK94" i="4"/>
  <c r="AL94" i="4"/>
  <c r="AM94" i="4" s="1"/>
  <c r="BN94" i="4"/>
  <c r="CQ94" i="4"/>
  <c r="CR94" i="4" s="1"/>
  <c r="AL38" i="7"/>
  <c r="AM38" i="7" s="1"/>
  <c r="AB38" i="7"/>
  <c r="AD38" i="7"/>
  <c r="AB69" i="7"/>
  <c r="AL69" i="7"/>
  <c r="AM69" i="7" s="1"/>
  <c r="AD69" i="7"/>
  <c r="AG53" i="9"/>
  <c r="AI53" i="9"/>
  <c r="AQ53" i="9"/>
  <c r="AR53" i="9" s="1"/>
  <c r="BJ53" i="9"/>
  <c r="BK53" i="9" s="1"/>
  <c r="BB53" i="9"/>
  <c r="AZ53" i="9"/>
  <c r="AG98" i="9"/>
  <c r="AQ98" i="9"/>
  <c r="AR98" i="9" s="1"/>
  <c r="AI98" i="9"/>
  <c r="BB98" i="9"/>
  <c r="BJ98" i="9"/>
  <c r="BK98" i="9" s="1"/>
  <c r="AZ98" i="9"/>
  <c r="AD97" i="5"/>
  <c r="AL97" i="5"/>
  <c r="AM97" i="5" s="1"/>
  <c r="AB97" i="5"/>
  <c r="AL91" i="7"/>
  <c r="AM91" i="7" s="1"/>
  <c r="AD91" i="7"/>
  <c r="AB91" i="7"/>
  <c r="BE158" i="4"/>
  <c r="BF158" i="4" s="1"/>
  <c r="AW158" i="4"/>
  <c r="AB158" i="4"/>
  <c r="DB158" i="4"/>
  <c r="BX158" i="4"/>
  <c r="BY158" i="4" s="1"/>
  <c r="FN158" i="4"/>
  <c r="FO158" i="4" s="1"/>
  <c r="DJ158" i="4"/>
  <c r="DK158" i="4" s="1"/>
  <c r="FD158" i="4"/>
  <c r="EU158" i="4"/>
  <c r="EV158" i="4" s="1"/>
  <c r="CQ158" i="4"/>
  <c r="CR158" i="4" s="1"/>
  <c r="AD158" i="4"/>
  <c r="FF158" i="4"/>
  <c r="AL158" i="4"/>
  <c r="AM158" i="4" s="1"/>
  <c r="BN158" i="4"/>
  <c r="AU158" i="4"/>
  <c r="CG158" i="4"/>
  <c r="EK158" i="4"/>
  <c r="CZ158" i="4"/>
  <c r="BP158" i="4"/>
  <c r="CI158" i="4"/>
  <c r="EM158" i="4"/>
  <c r="AD59" i="7"/>
  <c r="AL59" i="7"/>
  <c r="AM59" i="7" s="1"/>
  <c r="AB59" i="7"/>
  <c r="AG86" i="9"/>
  <c r="AQ86" i="9"/>
  <c r="AR86" i="9" s="1"/>
  <c r="AI86" i="9"/>
  <c r="AZ86" i="9"/>
  <c r="BJ86" i="9"/>
  <c r="BK86" i="9" s="1"/>
  <c r="BB86" i="9"/>
  <c r="AB162" i="4"/>
  <c r="BE162" i="4"/>
  <c r="BF162" i="4" s="1"/>
  <c r="AW162" i="4"/>
  <c r="DJ162" i="4"/>
  <c r="DK162" i="4" s="1"/>
  <c r="EU162" i="4"/>
  <c r="EV162" i="4" s="1"/>
  <c r="FF162" i="4"/>
  <c r="EK162" i="4"/>
  <c r="CG162" i="4"/>
  <c r="CI162" i="4"/>
  <c r="CZ162" i="4"/>
  <c r="FD162" i="4"/>
  <c r="BP162" i="4"/>
  <c r="BN162" i="4"/>
  <c r="AU162" i="4"/>
  <c r="AL162" i="4"/>
  <c r="AM162" i="4" s="1"/>
  <c r="EM162" i="4"/>
  <c r="FN162" i="4"/>
  <c r="FO162" i="4" s="1"/>
  <c r="CQ162" i="4"/>
  <c r="CR162" i="4" s="1"/>
  <c r="DB162" i="4"/>
  <c r="BX162" i="4"/>
  <c r="BY162" i="4" s="1"/>
  <c r="AD162" i="4"/>
  <c r="AD115" i="8"/>
  <c r="AL115" i="8"/>
  <c r="AM115" i="8" s="1"/>
  <c r="BP115" i="8"/>
  <c r="BE115" i="8"/>
  <c r="BF115" i="8" s="1"/>
  <c r="BX115" i="8"/>
  <c r="BY115" i="8" s="1"/>
  <c r="AU115" i="8"/>
  <c r="AW115" i="8"/>
  <c r="CI115" i="8"/>
  <c r="BN115" i="8"/>
  <c r="AB115" i="8"/>
  <c r="CG115" i="8"/>
  <c r="CQ115" i="8"/>
  <c r="CR115" i="8" s="1"/>
  <c r="AB32" i="7"/>
  <c r="AL32" i="7"/>
  <c r="AM32" i="7" s="1"/>
  <c r="AD32" i="7"/>
  <c r="AG140" i="9"/>
  <c r="AQ140" i="9"/>
  <c r="AR140" i="9" s="1"/>
  <c r="AI140" i="9"/>
  <c r="BB140" i="9"/>
  <c r="BJ140" i="9"/>
  <c r="BK140" i="9" s="1"/>
  <c r="AZ140" i="9"/>
  <c r="AG144" i="9"/>
  <c r="AI144" i="9"/>
  <c r="AQ144" i="9"/>
  <c r="AR144" i="9" s="1"/>
  <c r="AZ144" i="9"/>
  <c r="BJ144" i="9"/>
  <c r="BK144" i="9" s="1"/>
  <c r="BB144" i="9"/>
  <c r="AQ93" i="9"/>
  <c r="AR93" i="9" s="1"/>
  <c r="AG93" i="9"/>
  <c r="AI93" i="9"/>
  <c r="AZ93" i="9"/>
  <c r="BJ93" i="9"/>
  <c r="BK93" i="9" s="1"/>
  <c r="BB93" i="9"/>
  <c r="AD118" i="5"/>
  <c r="AL118" i="5"/>
  <c r="AM118" i="5" s="1"/>
  <c r="AB118" i="5"/>
  <c r="AB89" i="5"/>
  <c r="AL89" i="5"/>
  <c r="AM89" i="5" s="1"/>
  <c r="AD89" i="5"/>
  <c r="AB47" i="5"/>
  <c r="AL47" i="5"/>
  <c r="AM47" i="5" s="1"/>
  <c r="AD47" i="5"/>
  <c r="AB90" i="7"/>
  <c r="AD90" i="7"/>
  <c r="AL90" i="7"/>
  <c r="AM90" i="7" s="1"/>
  <c r="AL94" i="7"/>
  <c r="AM94" i="7" s="1"/>
  <c r="AB94" i="7"/>
  <c r="AD94" i="7"/>
  <c r="AB137" i="4"/>
  <c r="BE137" i="4"/>
  <c r="BF137" i="4" s="1"/>
  <c r="AW137" i="4"/>
  <c r="DJ137" i="4"/>
  <c r="DK137" i="4" s="1"/>
  <c r="DB137" i="4"/>
  <c r="EU137" i="4"/>
  <c r="EV137" i="4" s="1"/>
  <c r="BP137" i="4"/>
  <c r="EM137" i="4"/>
  <c r="CI137" i="4"/>
  <c r="AD137" i="4"/>
  <c r="BX137" i="4"/>
  <c r="BY137" i="4" s="1"/>
  <c r="FF137" i="4"/>
  <c r="CZ137" i="4"/>
  <c r="CQ137" i="4"/>
  <c r="CR137" i="4" s="1"/>
  <c r="EK137" i="4"/>
  <c r="FN137" i="4"/>
  <c r="FO137" i="4" s="1"/>
  <c r="CG137" i="4"/>
  <c r="AL137" i="4"/>
  <c r="AM137" i="4" s="1"/>
  <c r="AU137" i="4"/>
  <c r="BN137" i="4"/>
  <c r="FD137" i="4"/>
  <c r="AG168" i="9"/>
  <c r="AI168" i="9"/>
  <c r="AQ168" i="9"/>
  <c r="AR168" i="9" s="1"/>
  <c r="BB168" i="9"/>
  <c r="AZ168" i="9"/>
  <c r="BJ168" i="9"/>
  <c r="BK168" i="9" s="1"/>
  <c r="AB69" i="4"/>
  <c r="BE69" i="4"/>
  <c r="BF69" i="4" s="1"/>
  <c r="AW69" i="4"/>
  <c r="CI69" i="4"/>
  <c r="AL69" i="4"/>
  <c r="AM69" i="4" s="1"/>
  <c r="CQ69" i="4"/>
  <c r="CR69" i="4" s="1"/>
  <c r="BP69" i="4"/>
  <c r="DB69" i="4"/>
  <c r="FF69" i="4"/>
  <c r="EU69" i="4"/>
  <c r="EV69" i="4" s="1"/>
  <c r="EM69" i="4"/>
  <c r="FN69" i="4"/>
  <c r="FO69" i="4" s="1"/>
  <c r="BX69" i="4"/>
  <c r="BY69" i="4" s="1"/>
  <c r="DJ69" i="4"/>
  <c r="DK69" i="4" s="1"/>
  <c r="CZ69" i="4"/>
  <c r="BN69" i="4"/>
  <c r="AU69" i="4"/>
  <c r="EK69" i="4"/>
  <c r="FD69" i="4"/>
  <c r="CG69" i="4"/>
  <c r="AD69" i="4"/>
  <c r="AB67" i="4"/>
  <c r="AW67" i="4"/>
  <c r="BE67" i="4"/>
  <c r="BF67" i="4" s="1"/>
  <c r="CI67" i="4"/>
  <c r="FF67" i="4"/>
  <c r="DJ67" i="4"/>
  <c r="DK67" i="4" s="1"/>
  <c r="EM67" i="4"/>
  <c r="AL67" i="4"/>
  <c r="AM67" i="4" s="1"/>
  <c r="EU67" i="4"/>
  <c r="EV67" i="4" s="1"/>
  <c r="BP67" i="4"/>
  <c r="CG67" i="4"/>
  <c r="FD67" i="4"/>
  <c r="EK67" i="4"/>
  <c r="AU67" i="4"/>
  <c r="CZ67" i="4"/>
  <c r="CQ67" i="4"/>
  <c r="CR67" i="4" s="1"/>
  <c r="BN67" i="4"/>
  <c r="FN67" i="4"/>
  <c r="FO67" i="4" s="1"/>
  <c r="AD67" i="4"/>
  <c r="BX67" i="4"/>
  <c r="BY67" i="4" s="1"/>
  <c r="DB67" i="4"/>
  <c r="AQ110" i="9"/>
  <c r="AR110" i="9" s="1"/>
  <c r="AG110" i="9"/>
  <c r="AI110" i="9"/>
  <c r="BB110" i="9"/>
  <c r="BJ110" i="9"/>
  <c r="BK110" i="9" s="1"/>
  <c r="AZ110" i="9"/>
  <c r="AB74" i="4"/>
  <c r="BE74" i="4"/>
  <c r="BF74" i="4" s="1"/>
  <c r="AW74" i="4"/>
  <c r="DB74" i="4"/>
  <c r="FF74" i="4"/>
  <c r="AD74" i="4"/>
  <c r="BP74" i="4"/>
  <c r="BX74" i="4"/>
  <c r="BY74" i="4" s="1"/>
  <c r="EM74" i="4"/>
  <c r="AL74" i="4"/>
  <c r="AM74" i="4" s="1"/>
  <c r="CQ74" i="4"/>
  <c r="CR74" i="4" s="1"/>
  <c r="FN74" i="4"/>
  <c r="FO74" i="4" s="1"/>
  <c r="CI74" i="4"/>
  <c r="CG74" i="4"/>
  <c r="EU74" i="4"/>
  <c r="EV74" i="4" s="1"/>
  <c r="FD74" i="4"/>
  <c r="AU74" i="4"/>
  <c r="DJ74" i="4"/>
  <c r="DK74" i="4" s="1"/>
  <c r="BN74" i="4"/>
  <c r="EK74" i="4"/>
  <c r="CZ74" i="4"/>
  <c r="BX54" i="8"/>
  <c r="BY54" i="8" s="1"/>
  <c r="CI54" i="8"/>
  <c r="BP54" i="8"/>
  <c r="AW54" i="8"/>
  <c r="AL54" i="8"/>
  <c r="AM54" i="8" s="1"/>
  <c r="AU54" i="8"/>
  <c r="CQ54" i="8"/>
  <c r="CR54" i="8" s="1"/>
  <c r="AD54" i="8"/>
  <c r="CG54" i="8"/>
  <c r="AB54" i="8"/>
  <c r="BE54" i="8"/>
  <c r="BF54" i="8" s="1"/>
  <c r="BN54" i="8"/>
  <c r="CQ111" i="8"/>
  <c r="CR111" i="8" s="1"/>
  <c r="BE111" i="8"/>
  <c r="BF111" i="8" s="1"/>
  <c r="BP111" i="8"/>
  <c r="CI111" i="8"/>
  <c r="AD111" i="8"/>
  <c r="BX111" i="8"/>
  <c r="BY111" i="8" s="1"/>
  <c r="AW111" i="8"/>
  <c r="BN111" i="8"/>
  <c r="AB111" i="8"/>
  <c r="AL111" i="8"/>
  <c r="AM111" i="8" s="1"/>
  <c r="AU111" i="8"/>
  <c r="CG111" i="8"/>
  <c r="AG167" i="9"/>
  <c r="AQ167" i="9"/>
  <c r="AR167" i="9" s="1"/>
  <c r="AI167" i="9"/>
  <c r="AZ167" i="9"/>
  <c r="BB167" i="9"/>
  <c r="BJ167" i="9"/>
  <c r="BK167" i="9" s="1"/>
  <c r="AD101" i="5"/>
  <c r="AB101" i="5"/>
  <c r="AL101" i="5"/>
  <c r="AM101" i="5" s="1"/>
  <c r="AL58" i="5"/>
  <c r="AM58" i="5" s="1"/>
  <c r="AD58" i="5"/>
  <c r="AB58" i="5"/>
  <c r="BE112" i="4"/>
  <c r="BF112" i="4" s="1"/>
  <c r="AB112" i="4"/>
  <c r="AW112" i="4"/>
  <c r="DB112" i="4"/>
  <c r="BP112" i="4"/>
  <c r="DJ112" i="4"/>
  <c r="DK112" i="4" s="1"/>
  <c r="FN112" i="4"/>
  <c r="FO112" i="4" s="1"/>
  <c r="BX112" i="4"/>
  <c r="BY112" i="4" s="1"/>
  <c r="AL112" i="4"/>
  <c r="AM112" i="4" s="1"/>
  <c r="AD112" i="4"/>
  <c r="EU112" i="4"/>
  <c r="EV112" i="4" s="1"/>
  <c r="FF112" i="4"/>
  <c r="CI112" i="4"/>
  <c r="FD112" i="4"/>
  <c r="AU112" i="4"/>
  <c r="CQ112" i="4"/>
  <c r="CR112" i="4" s="1"/>
  <c r="CG112" i="4"/>
  <c r="CZ112" i="4"/>
  <c r="BN112" i="4"/>
  <c r="EK112" i="4"/>
  <c r="EM112" i="4"/>
  <c r="AB85" i="7"/>
  <c r="AL85" i="7"/>
  <c r="AM85" i="7" s="1"/>
  <c r="AD85" i="7"/>
  <c r="AG96" i="9"/>
  <c r="AQ96" i="9"/>
  <c r="AR96" i="9" s="1"/>
  <c r="AI96" i="9"/>
  <c r="BB96" i="9"/>
  <c r="AZ96" i="9"/>
  <c r="BJ96" i="9"/>
  <c r="BK96" i="9" s="1"/>
  <c r="BE87" i="8"/>
  <c r="BF87" i="8" s="1"/>
  <c r="AD87" i="8"/>
  <c r="CQ87" i="8"/>
  <c r="CR87" i="8" s="1"/>
  <c r="CI87" i="8"/>
  <c r="BP87" i="8"/>
  <c r="AW87" i="8"/>
  <c r="CG87" i="8"/>
  <c r="AL87" i="8"/>
  <c r="AM87" i="8" s="1"/>
  <c r="BX87" i="8"/>
  <c r="BY87" i="8" s="1"/>
  <c r="AB87" i="8"/>
  <c r="BN87" i="8"/>
  <c r="AU87" i="8"/>
  <c r="AL33" i="7"/>
  <c r="AM33" i="7" s="1"/>
  <c r="AB33" i="7"/>
  <c r="AD33" i="7"/>
  <c r="AG165" i="9"/>
  <c r="AQ165" i="9"/>
  <c r="AR165" i="9" s="1"/>
  <c r="AI165" i="9"/>
  <c r="BB165" i="9"/>
  <c r="AZ165" i="9"/>
  <c r="BJ165" i="9"/>
  <c r="BK165" i="9" s="1"/>
  <c r="AG107" i="9"/>
  <c r="AI107" i="9"/>
  <c r="AQ107" i="9"/>
  <c r="AR107" i="9" s="1"/>
  <c r="BB107" i="9"/>
  <c r="AZ107" i="9"/>
  <c r="BJ107" i="9"/>
  <c r="BK107" i="9" s="1"/>
  <c r="AG68" i="9"/>
  <c r="AQ68" i="9"/>
  <c r="AR68" i="9" s="1"/>
  <c r="AI68" i="9"/>
  <c r="AZ68" i="9"/>
  <c r="BJ68" i="9"/>
  <c r="BK68" i="9" s="1"/>
  <c r="BB68" i="9"/>
  <c r="AB53" i="5"/>
  <c r="AL53" i="5"/>
  <c r="AM53" i="5" s="1"/>
  <c r="AD53" i="5"/>
  <c r="AB69" i="5"/>
  <c r="AD69" i="5"/>
  <c r="AL69" i="5"/>
  <c r="AM69" i="5" s="1"/>
  <c r="AL96" i="8"/>
  <c r="AM96" i="8" s="1"/>
  <c r="AW96" i="8"/>
  <c r="AD96" i="8"/>
  <c r="CQ96" i="8"/>
  <c r="CR96" i="8" s="1"/>
  <c r="CI96" i="8"/>
  <c r="BX96" i="8"/>
  <c r="BY96" i="8" s="1"/>
  <c r="BP96" i="8"/>
  <c r="BE96" i="8"/>
  <c r="BF96" i="8" s="1"/>
  <c r="AB96" i="8"/>
  <c r="CG96" i="8"/>
  <c r="BN96" i="8"/>
  <c r="AU96" i="8"/>
  <c r="AG62" i="9"/>
  <c r="AQ62" i="9"/>
  <c r="AR62" i="9" s="1"/>
  <c r="AI62" i="9"/>
  <c r="AZ62" i="9"/>
  <c r="BJ62" i="9"/>
  <c r="BK62" i="9" s="1"/>
  <c r="BB62" i="9"/>
  <c r="AL60" i="7"/>
  <c r="AM60" i="7" s="1"/>
  <c r="AD60" i="7"/>
  <c r="AB60" i="7"/>
  <c r="AL53" i="7"/>
  <c r="AM53" i="7" s="1"/>
  <c r="AD53" i="7"/>
  <c r="AB53" i="7"/>
  <c r="AB139" i="4"/>
  <c r="BE139" i="4"/>
  <c r="BF139" i="4" s="1"/>
  <c r="AW139" i="4"/>
  <c r="EM139" i="4"/>
  <c r="DJ139" i="4"/>
  <c r="DK139" i="4" s="1"/>
  <c r="EU139" i="4"/>
  <c r="EV139" i="4" s="1"/>
  <c r="FF139" i="4"/>
  <c r="BX139" i="4"/>
  <c r="BY139" i="4" s="1"/>
  <c r="DB139" i="4"/>
  <c r="AD139" i="4"/>
  <c r="AL139" i="4"/>
  <c r="AM139" i="4" s="1"/>
  <c r="BP139" i="4"/>
  <c r="CQ139" i="4"/>
  <c r="CR139" i="4" s="1"/>
  <c r="FN139" i="4"/>
  <c r="FO139" i="4" s="1"/>
  <c r="EK139" i="4"/>
  <c r="BN139" i="4"/>
  <c r="CG139" i="4"/>
  <c r="FD139" i="4"/>
  <c r="AU139" i="4"/>
  <c r="CZ139" i="4"/>
  <c r="CI139" i="4"/>
  <c r="AB171" i="4"/>
  <c r="AW171" i="4"/>
  <c r="BE171" i="4"/>
  <c r="BF171" i="4" s="1"/>
  <c r="AL171" i="4"/>
  <c r="AM171" i="4" s="1"/>
  <c r="FN171" i="4"/>
  <c r="FO171" i="4" s="1"/>
  <c r="DB171" i="4"/>
  <c r="BP171" i="4"/>
  <c r="EK171" i="4"/>
  <c r="CQ171" i="4"/>
  <c r="CR171" i="4" s="1"/>
  <c r="FD171" i="4"/>
  <c r="CZ171" i="4"/>
  <c r="BN171" i="4"/>
  <c r="AU171" i="4"/>
  <c r="CG171" i="4"/>
  <c r="BX171" i="4"/>
  <c r="BY171" i="4" s="1"/>
  <c r="CI171" i="4"/>
  <c r="FF171" i="4"/>
  <c r="EM171" i="4"/>
  <c r="DJ171" i="4"/>
  <c r="DK171" i="4" s="1"/>
  <c r="AD171" i="4"/>
  <c r="EU171" i="4"/>
  <c r="EV171" i="4" s="1"/>
  <c r="AB186" i="4"/>
  <c r="BE186" i="4"/>
  <c r="BF186" i="4" s="1"/>
  <c r="AW186" i="4"/>
  <c r="CQ186" i="4"/>
  <c r="CR186" i="4" s="1"/>
  <c r="CI186" i="4"/>
  <c r="DB186" i="4"/>
  <c r="FF186" i="4"/>
  <c r="FN186" i="4"/>
  <c r="FO186" i="4" s="1"/>
  <c r="BX186" i="4"/>
  <c r="BY186" i="4" s="1"/>
  <c r="BP186" i="4"/>
  <c r="EM186" i="4"/>
  <c r="EU186" i="4"/>
  <c r="EV186" i="4" s="1"/>
  <c r="AL186" i="4"/>
  <c r="AM186" i="4" s="1"/>
  <c r="CG186" i="4"/>
  <c r="AD186" i="4"/>
  <c r="EK186" i="4"/>
  <c r="CZ186" i="4"/>
  <c r="FD186" i="4"/>
  <c r="BN186" i="4"/>
  <c r="AU186" i="4"/>
  <c r="DJ186" i="4"/>
  <c r="DK186" i="4" s="1"/>
  <c r="BE106" i="4"/>
  <c r="BF106" i="4" s="1"/>
  <c r="AW106" i="4"/>
  <c r="AB106" i="4"/>
  <c r="CI106" i="4"/>
  <c r="DJ106" i="4"/>
  <c r="DK106" i="4" s="1"/>
  <c r="DB106" i="4"/>
  <c r="FF106" i="4"/>
  <c r="AL106" i="4"/>
  <c r="AM106" i="4" s="1"/>
  <c r="BP106" i="4"/>
  <c r="BX106" i="4"/>
  <c r="BY106" i="4" s="1"/>
  <c r="CQ106" i="4"/>
  <c r="CR106" i="4" s="1"/>
  <c r="EU106" i="4"/>
  <c r="EV106" i="4" s="1"/>
  <c r="AD106" i="4"/>
  <c r="CZ106" i="4"/>
  <c r="BN106" i="4"/>
  <c r="EK106" i="4"/>
  <c r="FN106" i="4"/>
  <c r="FO106" i="4" s="1"/>
  <c r="EM106" i="4"/>
  <c r="CG106" i="4"/>
  <c r="AU106" i="4"/>
  <c r="FD106" i="4"/>
  <c r="AB37" i="7"/>
  <c r="AL37" i="7"/>
  <c r="AM37" i="7" s="1"/>
  <c r="AD37" i="7"/>
  <c r="CI64" i="8"/>
  <c r="AD64" i="8"/>
  <c r="AL64" i="8"/>
  <c r="AM64" i="8" s="1"/>
  <c r="BX64" i="8"/>
  <c r="BY64" i="8" s="1"/>
  <c r="CQ64" i="8"/>
  <c r="CR64" i="8" s="1"/>
  <c r="AU64" i="8"/>
  <c r="BP64" i="8"/>
  <c r="BN64" i="8"/>
  <c r="CG64" i="8"/>
  <c r="AB64" i="8"/>
  <c r="BE64" i="8"/>
  <c r="BF64" i="8" s="1"/>
  <c r="AW64" i="8"/>
  <c r="AW61" i="8"/>
  <c r="BP61" i="8"/>
  <c r="AL61" i="8"/>
  <c r="AM61" i="8" s="1"/>
  <c r="CQ61" i="8"/>
  <c r="CR61" i="8" s="1"/>
  <c r="AD61" i="8"/>
  <c r="BE61" i="8"/>
  <c r="BF61" i="8" s="1"/>
  <c r="CI61" i="8"/>
  <c r="CG61" i="8"/>
  <c r="AB61" i="8"/>
  <c r="BX61" i="8"/>
  <c r="BY61" i="8" s="1"/>
  <c r="AU61" i="8"/>
  <c r="BN61" i="8"/>
  <c r="AG119" i="9"/>
  <c r="AQ119" i="9"/>
  <c r="AR119" i="9" s="1"/>
  <c r="AI119" i="9"/>
  <c r="BJ119" i="9"/>
  <c r="BK119" i="9" s="1"/>
  <c r="BB119" i="9"/>
  <c r="AZ119" i="9"/>
  <c r="AD103" i="5"/>
  <c r="AL103" i="5"/>
  <c r="AM103" i="5" s="1"/>
  <c r="AB103" i="5"/>
  <c r="AD48" i="5"/>
  <c r="AL48" i="5"/>
  <c r="AM48" i="5" s="1"/>
  <c r="AB48" i="5"/>
  <c r="AL79" i="5"/>
  <c r="AM79" i="5" s="1"/>
  <c r="AB79" i="5"/>
  <c r="AD79" i="5"/>
  <c r="AB144" i="4"/>
  <c r="AW144" i="4"/>
  <c r="BE144" i="4"/>
  <c r="BF144" i="4" s="1"/>
  <c r="AL144" i="4"/>
  <c r="AM144" i="4" s="1"/>
  <c r="EU144" i="4"/>
  <c r="EV144" i="4" s="1"/>
  <c r="DJ144" i="4"/>
  <c r="DK144" i="4" s="1"/>
  <c r="FN144" i="4"/>
  <c r="FO144" i="4" s="1"/>
  <c r="DB144" i="4"/>
  <c r="FF144" i="4"/>
  <c r="BX144" i="4"/>
  <c r="BY144" i="4" s="1"/>
  <c r="EM144" i="4"/>
  <c r="CI144" i="4"/>
  <c r="BP144" i="4"/>
  <c r="AD144" i="4"/>
  <c r="EK144" i="4"/>
  <c r="BN144" i="4"/>
  <c r="CQ144" i="4"/>
  <c r="CR144" i="4" s="1"/>
  <c r="AU144" i="4"/>
  <c r="CG144" i="4"/>
  <c r="CZ144" i="4"/>
  <c r="FD144" i="4"/>
  <c r="BP47" i="8"/>
  <c r="CI47" i="8"/>
  <c r="CQ47" i="8"/>
  <c r="CR47" i="8" s="1"/>
  <c r="AL47" i="8"/>
  <c r="AM47" i="8" s="1"/>
  <c r="BE47" i="8"/>
  <c r="BF47" i="8" s="1"/>
  <c r="AW47" i="8"/>
  <c r="AD47" i="8"/>
  <c r="AU47" i="8"/>
  <c r="CG47" i="8"/>
  <c r="AB47" i="8"/>
  <c r="BN47" i="8"/>
  <c r="BX47" i="8"/>
  <c r="BY47" i="8" s="1"/>
  <c r="AG35" i="9"/>
  <c r="AI35" i="9"/>
  <c r="AZ35" i="9"/>
  <c r="BB35" i="9"/>
  <c r="BJ35" i="9"/>
  <c r="AQ35" i="9"/>
  <c r="AD60" i="8"/>
  <c r="BP60" i="8"/>
  <c r="AL60" i="8"/>
  <c r="AM60" i="8" s="1"/>
  <c r="AW60" i="8"/>
  <c r="BX60" i="8"/>
  <c r="BY60" i="8" s="1"/>
  <c r="CQ60" i="8"/>
  <c r="CR60" i="8" s="1"/>
  <c r="BN60" i="8"/>
  <c r="BE60" i="8"/>
  <c r="BF60" i="8" s="1"/>
  <c r="CI60" i="8"/>
  <c r="AU60" i="8"/>
  <c r="CG60" i="8"/>
  <c r="AB60" i="8"/>
  <c r="AB164" i="4"/>
  <c r="BE164" i="4"/>
  <c r="BF164" i="4" s="1"/>
  <c r="AW164" i="4"/>
  <c r="DJ164" i="4"/>
  <c r="DK164" i="4" s="1"/>
  <c r="BX164" i="4"/>
  <c r="BY164" i="4" s="1"/>
  <c r="FF164" i="4"/>
  <c r="DB164" i="4"/>
  <c r="CI164" i="4"/>
  <c r="AL164" i="4"/>
  <c r="AM164" i="4" s="1"/>
  <c r="BN164" i="4"/>
  <c r="FN164" i="4"/>
  <c r="FO164" i="4" s="1"/>
  <c r="EU164" i="4"/>
  <c r="EV164" i="4" s="1"/>
  <c r="EM164" i="4"/>
  <c r="AD164" i="4"/>
  <c r="EK164" i="4"/>
  <c r="CZ164" i="4"/>
  <c r="FD164" i="4"/>
  <c r="CG164" i="4"/>
  <c r="AU164" i="4"/>
  <c r="CQ164" i="4"/>
  <c r="CR164" i="4" s="1"/>
  <c r="BP164" i="4"/>
  <c r="BE120" i="4"/>
  <c r="BF120" i="4" s="1"/>
  <c r="AB120" i="4"/>
  <c r="AW120" i="4"/>
  <c r="AD120" i="4"/>
  <c r="BX120" i="4"/>
  <c r="BY120" i="4" s="1"/>
  <c r="CQ120" i="4"/>
  <c r="CR120" i="4" s="1"/>
  <c r="AL120" i="4"/>
  <c r="AM120" i="4" s="1"/>
  <c r="BP120" i="4"/>
  <c r="CI120" i="4"/>
  <c r="DJ120" i="4"/>
  <c r="DK120" i="4" s="1"/>
  <c r="EM120" i="4"/>
  <c r="BN120" i="4"/>
  <c r="CZ120" i="4"/>
  <c r="DB120" i="4"/>
  <c r="FD120" i="4"/>
  <c r="CG120" i="4"/>
  <c r="FN120" i="4"/>
  <c r="FO120" i="4" s="1"/>
  <c r="EU120" i="4"/>
  <c r="EV120" i="4" s="1"/>
  <c r="FF120" i="4"/>
  <c r="AU120" i="4"/>
  <c r="EK120" i="4"/>
  <c r="AD88" i="8"/>
  <c r="AL88" i="8"/>
  <c r="AM88" i="8" s="1"/>
  <c r="BP88" i="8"/>
  <c r="BE88" i="8"/>
  <c r="BF88" i="8" s="1"/>
  <c r="AB88" i="8"/>
  <c r="BX88" i="8"/>
  <c r="BY88" i="8" s="1"/>
  <c r="AU88" i="8"/>
  <c r="BN88" i="8"/>
  <c r="CG88" i="8"/>
  <c r="CQ88" i="8"/>
  <c r="CR88" i="8" s="1"/>
  <c r="CI88" i="8"/>
  <c r="AW88" i="8"/>
  <c r="AG115" i="9"/>
  <c r="AQ115" i="9"/>
  <c r="AR115" i="9" s="1"/>
  <c r="AI115" i="9"/>
  <c r="AZ115" i="9"/>
  <c r="BJ115" i="9"/>
  <c r="BK115" i="9" s="1"/>
  <c r="BB115" i="9"/>
  <c r="AG64" i="9"/>
  <c r="AQ64" i="9"/>
  <c r="AR64" i="9" s="1"/>
  <c r="AI64" i="9"/>
  <c r="BB64" i="9"/>
  <c r="BJ64" i="9"/>
  <c r="BK64" i="9" s="1"/>
  <c r="AZ64" i="9"/>
  <c r="AL74" i="7"/>
  <c r="AM74" i="7" s="1"/>
  <c r="AB74" i="7"/>
  <c r="AD74" i="7"/>
  <c r="AG84" i="9"/>
  <c r="AQ84" i="9"/>
  <c r="AR84" i="9" s="1"/>
  <c r="AI84" i="9"/>
  <c r="BB84" i="9"/>
  <c r="AZ84" i="9"/>
  <c r="BJ84" i="9"/>
  <c r="BK84" i="9" s="1"/>
  <c r="AG123" i="9"/>
  <c r="AQ123" i="9"/>
  <c r="AR123" i="9" s="1"/>
  <c r="AI123" i="9"/>
  <c r="AZ123" i="9"/>
  <c r="BJ123" i="9"/>
  <c r="BK123" i="9" s="1"/>
  <c r="BB123" i="9"/>
  <c r="AD94" i="5"/>
  <c r="AL94" i="5"/>
  <c r="AM94" i="5" s="1"/>
  <c r="AB94" i="5"/>
  <c r="AL35" i="5"/>
  <c r="AM35" i="5" s="1"/>
  <c r="AD35" i="5"/>
  <c r="AB35" i="5"/>
  <c r="AW75" i="8"/>
  <c r="CQ75" i="8"/>
  <c r="CR75" i="8" s="1"/>
  <c r="BE75" i="8"/>
  <c r="BF75" i="8" s="1"/>
  <c r="AD75" i="8"/>
  <c r="AL75" i="8"/>
  <c r="AM75" i="8" s="1"/>
  <c r="AU75" i="8"/>
  <c r="BN75" i="8"/>
  <c r="CG75" i="8"/>
  <c r="AB75" i="8"/>
  <c r="CI75" i="8"/>
  <c r="BP75" i="8"/>
  <c r="BX75" i="8"/>
  <c r="BY75" i="8" s="1"/>
  <c r="AE35" i="9"/>
  <c r="AL79" i="7"/>
  <c r="AM79" i="7" s="1"/>
  <c r="AB79" i="7"/>
  <c r="AD79" i="7"/>
  <c r="BX38" i="8"/>
  <c r="BY38" i="8" s="1"/>
  <c r="AL38" i="8"/>
  <c r="AM38" i="8" s="1"/>
  <c r="CQ38" i="8"/>
  <c r="CR38" i="8" s="1"/>
  <c r="CI38" i="8"/>
  <c r="BN38" i="8"/>
  <c r="CG38" i="8"/>
  <c r="AU38" i="8"/>
  <c r="AB38" i="8"/>
  <c r="BP38" i="8"/>
  <c r="AD38" i="8"/>
  <c r="BE38" i="8"/>
  <c r="BF38" i="8" s="1"/>
  <c r="AW38" i="8"/>
  <c r="AI149" i="9"/>
  <c r="AG149" i="9"/>
  <c r="AQ149" i="9"/>
  <c r="AR149" i="9" s="1"/>
  <c r="BB149" i="9"/>
  <c r="BJ149" i="9"/>
  <c r="BK149" i="9" s="1"/>
  <c r="AZ149" i="9"/>
  <c r="AG45" i="9"/>
  <c r="AQ45" i="9"/>
  <c r="AR45" i="9" s="1"/>
  <c r="AI45" i="9"/>
  <c r="BB45" i="9"/>
  <c r="AZ45" i="9"/>
  <c r="BJ45" i="9"/>
  <c r="BK45" i="9" s="1"/>
  <c r="AG59" i="9"/>
  <c r="AQ59" i="9"/>
  <c r="AR59" i="9" s="1"/>
  <c r="AI59" i="9"/>
  <c r="BB59" i="9"/>
  <c r="BJ59" i="9"/>
  <c r="BK59" i="9" s="1"/>
  <c r="AZ59" i="9"/>
  <c r="AG88" i="9"/>
  <c r="AQ88" i="9"/>
  <c r="AR88" i="9" s="1"/>
  <c r="AI88" i="9"/>
  <c r="AZ88" i="9"/>
  <c r="BJ88" i="9"/>
  <c r="BK88" i="9" s="1"/>
  <c r="BB88" i="9"/>
  <c r="AD106" i="5"/>
  <c r="AB106" i="5"/>
  <c r="AL106" i="5"/>
  <c r="AM106" i="5" s="1"/>
  <c r="X105" i="7" a="1"/>
  <c r="X105" i="7" s="1"/>
  <c r="W105" i="7" a="1"/>
  <c r="W105" i="7" s="1"/>
  <c r="Z27" i="7"/>
  <c r="Z105" i="7" a="1"/>
  <c r="Z105" i="7" s="1"/>
  <c r="AD95" i="5"/>
  <c r="AB95" i="5"/>
  <c r="AL95" i="5"/>
  <c r="AM95" i="5" s="1"/>
  <c r="CQ20" i="8" l="1" a="1"/>
  <c r="CQ20" i="8" s="1"/>
  <c r="AJ102" i="9"/>
  <c r="AU102" i="9"/>
  <c r="AV102" i="9" s="1"/>
  <c r="BC102" i="9"/>
  <c r="BN102" i="9"/>
  <c r="BO102" i="9" s="1"/>
  <c r="AJ106" i="9"/>
  <c r="AU106" i="9"/>
  <c r="AV106" i="9" s="1"/>
  <c r="BN106" i="9"/>
  <c r="BO106" i="9" s="1"/>
  <c r="BC106" i="9"/>
  <c r="BI79" i="4"/>
  <c r="BJ79" i="4" s="1"/>
  <c r="AX79" i="4"/>
  <c r="DV79" i="4"/>
  <c r="EG79" i="4"/>
  <c r="EH79" i="4" s="1"/>
  <c r="DN79" i="4"/>
  <c r="DO79" i="4" s="1"/>
  <c r="DC79" i="4"/>
  <c r="BQ79" i="4"/>
  <c r="CB79" i="4"/>
  <c r="CC79" i="4" s="1"/>
  <c r="FR79" i="4"/>
  <c r="FS79" i="4" s="1"/>
  <c r="FG79" i="4"/>
  <c r="EN79" i="4"/>
  <c r="EY79" i="4"/>
  <c r="EZ79" i="4" s="1"/>
  <c r="CJ79" i="4"/>
  <c r="CU79" i="4"/>
  <c r="CV79" i="4" s="1"/>
  <c r="AP79" i="4"/>
  <c r="AQ79" i="4" s="1"/>
  <c r="AE79" i="4"/>
  <c r="AP102" i="4"/>
  <c r="AQ102" i="4" s="1"/>
  <c r="AE102" i="4"/>
  <c r="CB102" i="4"/>
  <c r="CC102" i="4" s="1"/>
  <c r="BQ102" i="4"/>
  <c r="CU102" i="4"/>
  <c r="CV102" i="4" s="1"/>
  <c r="CJ102" i="4"/>
  <c r="EN102" i="4"/>
  <c r="EY102" i="4"/>
  <c r="EZ102" i="4" s="1"/>
  <c r="BI102" i="4"/>
  <c r="BJ102" i="4" s="1"/>
  <c r="AX102" i="4"/>
  <c r="EG102" i="4"/>
  <c r="EH102" i="4" s="1"/>
  <c r="DV102" i="4"/>
  <c r="FG102" i="4"/>
  <c r="FR102" i="4"/>
  <c r="FS102" i="4" s="1"/>
  <c r="DC102" i="4"/>
  <c r="DN102" i="4"/>
  <c r="DO102" i="4" s="1"/>
  <c r="AP65" i="7"/>
  <c r="AQ65" i="7" s="1"/>
  <c r="AE65" i="7"/>
  <c r="AE64" i="7"/>
  <c r="AP64" i="7"/>
  <c r="AQ64" i="7" s="1"/>
  <c r="AE80" i="5"/>
  <c r="AP80" i="5"/>
  <c r="AQ80" i="5" s="1"/>
  <c r="AE77" i="8"/>
  <c r="AP77" i="8"/>
  <c r="AQ77" i="8" s="1"/>
  <c r="CU77" i="8"/>
  <c r="CV77" i="8" s="1"/>
  <c r="CJ77" i="8"/>
  <c r="BI77" i="8"/>
  <c r="BJ77" i="8" s="1"/>
  <c r="AX77" i="8"/>
  <c r="BQ77" i="8"/>
  <c r="CB77" i="8"/>
  <c r="CC77" i="8" s="1"/>
  <c r="BQ133" i="4"/>
  <c r="CB133" i="4"/>
  <c r="CC133" i="4" s="1"/>
  <c r="CU133" i="4"/>
  <c r="CV133" i="4" s="1"/>
  <c r="CJ133" i="4"/>
  <c r="AP133" i="4"/>
  <c r="AQ133" i="4" s="1"/>
  <c r="AE133" i="4"/>
  <c r="FG133" i="4"/>
  <c r="FR133" i="4"/>
  <c r="FS133" i="4" s="1"/>
  <c r="EG133" i="4"/>
  <c r="EH133" i="4" s="1"/>
  <c r="DV133" i="4"/>
  <c r="AX133" i="4"/>
  <c r="BI133" i="4"/>
  <c r="BJ133" i="4" s="1"/>
  <c r="DN133" i="4"/>
  <c r="DO133" i="4" s="1"/>
  <c r="DC133" i="4"/>
  <c r="EN133" i="4"/>
  <c r="EY133" i="4"/>
  <c r="EZ133" i="4" s="1"/>
  <c r="CJ52" i="8"/>
  <c r="CU52" i="8"/>
  <c r="CV52" i="8" s="1"/>
  <c r="BI52" i="8"/>
  <c r="BJ52" i="8" s="1"/>
  <c r="AX52" i="8"/>
  <c r="AE52" i="8"/>
  <c r="AP52" i="8"/>
  <c r="AQ52" i="8" s="1"/>
  <c r="BQ52" i="8"/>
  <c r="CB52" i="8"/>
  <c r="CC52" i="8" s="1"/>
  <c r="AP51" i="7"/>
  <c r="AQ51" i="7" s="1"/>
  <c r="AE51" i="7"/>
  <c r="AP59" i="5"/>
  <c r="AQ59" i="5" s="1"/>
  <c r="AE59" i="5"/>
  <c r="BQ45" i="8"/>
  <c r="CB45" i="8"/>
  <c r="CC45" i="8" s="1"/>
  <c r="AP45" i="8"/>
  <c r="AQ45" i="8" s="1"/>
  <c r="AE45" i="8"/>
  <c r="BI45" i="8"/>
  <c r="BJ45" i="8" s="1"/>
  <c r="AX45" i="8"/>
  <c r="CU45" i="8"/>
  <c r="CV45" i="8" s="1"/>
  <c r="CJ45" i="8"/>
  <c r="CR42" i="8"/>
  <c r="AM42" i="8"/>
  <c r="BY42" i="8"/>
  <c r="AJ54" i="9"/>
  <c r="AU54" i="9"/>
  <c r="AV54" i="9" s="1"/>
  <c r="BC54" i="9"/>
  <c r="BN54" i="9"/>
  <c r="BO54" i="9" s="1"/>
  <c r="BJ17" i="9" a="1"/>
  <c r="BJ17" i="9" s="1"/>
  <c r="BJ19" i="9" a="1"/>
  <c r="BJ19" i="9" s="1"/>
  <c r="BJ20" i="9" a="1"/>
  <c r="BJ20" i="9" s="1"/>
  <c r="BJ18" i="9" a="1"/>
  <c r="BJ18" i="9" s="1"/>
  <c r="AQ18" i="9" a="1"/>
  <c r="AQ18" i="9" s="1"/>
  <c r="AQ20" i="9" a="1"/>
  <c r="AQ20" i="9" s="1"/>
  <c r="AQ19" i="9" a="1"/>
  <c r="AQ19" i="9" s="1"/>
  <c r="AT19" i="9" s="1"/>
  <c r="AQ17" i="9" a="1"/>
  <c r="AQ17" i="9" s="1"/>
  <c r="BC76" i="9"/>
  <c r="BN76" i="9"/>
  <c r="BO76" i="9" s="1"/>
  <c r="AJ76" i="9"/>
  <c r="AU76" i="9"/>
  <c r="AV76" i="9" s="1"/>
  <c r="BC124" i="9"/>
  <c r="BN124" i="9"/>
  <c r="BO124" i="9" s="1"/>
  <c r="AJ124" i="9"/>
  <c r="AU124" i="9"/>
  <c r="AV124" i="9" s="1"/>
  <c r="CB126" i="4"/>
  <c r="CC126" i="4" s="1"/>
  <c r="BQ126" i="4"/>
  <c r="AP126" i="4"/>
  <c r="AQ126" i="4" s="1"/>
  <c r="AE126" i="4"/>
  <c r="CU126" i="4"/>
  <c r="CV126" i="4" s="1"/>
  <c r="CJ126" i="4"/>
  <c r="EG126" i="4"/>
  <c r="EH126" i="4" s="1"/>
  <c r="DV126" i="4"/>
  <c r="FR126" i="4"/>
  <c r="FS126" i="4" s="1"/>
  <c r="FG126" i="4"/>
  <c r="DC126" i="4"/>
  <c r="DN126" i="4"/>
  <c r="DO126" i="4" s="1"/>
  <c r="EN126" i="4"/>
  <c r="EY126" i="4"/>
  <c r="EZ126" i="4" s="1"/>
  <c r="BI126" i="4"/>
  <c r="BJ126" i="4" s="1"/>
  <c r="AX126" i="4"/>
  <c r="AP86" i="5"/>
  <c r="AQ86" i="5" s="1"/>
  <c r="AE86" i="5"/>
  <c r="AP87" i="5"/>
  <c r="AQ87" i="5" s="1"/>
  <c r="AE87" i="5"/>
  <c r="DV134" i="4"/>
  <c r="EG134" i="4"/>
  <c r="EH134" i="4" s="1"/>
  <c r="BI134" i="4"/>
  <c r="BJ134" i="4" s="1"/>
  <c r="AX134" i="4"/>
  <c r="EN134" i="4"/>
  <c r="EY134" i="4"/>
  <c r="EZ134" i="4" s="1"/>
  <c r="DC134" i="4"/>
  <c r="DN134" i="4"/>
  <c r="DO134" i="4" s="1"/>
  <c r="FG134" i="4"/>
  <c r="FR134" i="4"/>
  <c r="FS134" i="4" s="1"/>
  <c r="CB134" i="4"/>
  <c r="CC134" i="4" s="1"/>
  <c r="BQ134" i="4"/>
  <c r="AE134" i="4"/>
  <c r="AP134" i="4"/>
  <c r="AQ134" i="4" s="1"/>
  <c r="CU134" i="4"/>
  <c r="CV134" i="4" s="1"/>
  <c r="CJ134" i="4"/>
  <c r="BI85" i="8"/>
  <c r="BJ85" i="8" s="1"/>
  <c r="AX85" i="8"/>
  <c r="CJ85" i="8"/>
  <c r="CU85" i="8"/>
  <c r="CV85" i="8" s="1"/>
  <c r="AE85" i="8"/>
  <c r="AP85" i="8"/>
  <c r="AQ85" i="8" s="1"/>
  <c r="CB85" i="8"/>
  <c r="CC85" i="8" s="1"/>
  <c r="BQ85" i="8"/>
  <c r="BI91" i="8"/>
  <c r="BJ91" i="8" s="1"/>
  <c r="AX91" i="8"/>
  <c r="AP91" i="8"/>
  <c r="AQ91" i="8" s="1"/>
  <c r="AE91" i="8"/>
  <c r="CJ91" i="8"/>
  <c r="CU91" i="8"/>
  <c r="CV91" i="8" s="1"/>
  <c r="BQ91" i="8"/>
  <c r="CB91" i="8"/>
  <c r="CC91" i="8" s="1"/>
  <c r="CB84" i="8"/>
  <c r="CC84" i="8" s="1"/>
  <c r="BQ84" i="8"/>
  <c r="AE84" i="8"/>
  <c r="AP84" i="8"/>
  <c r="AQ84" i="8" s="1"/>
  <c r="AX84" i="8"/>
  <c r="BI84" i="8"/>
  <c r="BJ84" i="8" s="1"/>
  <c r="CJ84" i="8"/>
  <c r="CU84" i="8"/>
  <c r="CV84" i="8" s="1"/>
  <c r="AP91" i="5"/>
  <c r="AQ91" i="5" s="1"/>
  <c r="AE91" i="5"/>
  <c r="AP92" i="5"/>
  <c r="AQ92" i="5" s="1"/>
  <c r="AE92" i="5"/>
  <c r="CB143" i="4"/>
  <c r="CC143" i="4" s="1"/>
  <c r="BQ143" i="4"/>
  <c r="EG143" i="4"/>
  <c r="EH143" i="4" s="1"/>
  <c r="DV143" i="4"/>
  <c r="AX143" i="4"/>
  <c r="BI143" i="4"/>
  <c r="BJ143" i="4" s="1"/>
  <c r="FR143" i="4"/>
  <c r="FS143" i="4" s="1"/>
  <c r="FG143" i="4"/>
  <c r="AP143" i="4"/>
  <c r="AQ143" i="4" s="1"/>
  <c r="AE143" i="4"/>
  <c r="EN143" i="4"/>
  <c r="EY143" i="4"/>
  <c r="EZ143" i="4" s="1"/>
  <c r="CJ143" i="4"/>
  <c r="CU143" i="4"/>
  <c r="CV143" i="4" s="1"/>
  <c r="DC143" i="4"/>
  <c r="DN143" i="4"/>
  <c r="DO143" i="4" s="1"/>
  <c r="CJ100" i="4"/>
  <c r="CU100" i="4"/>
  <c r="CV100" i="4" s="1"/>
  <c r="CB100" i="4"/>
  <c r="CC100" i="4" s="1"/>
  <c r="BQ100" i="4"/>
  <c r="DC100" i="4"/>
  <c r="DN100" i="4"/>
  <c r="DO100" i="4" s="1"/>
  <c r="FR100" i="4"/>
  <c r="FS100" i="4" s="1"/>
  <c r="FG100" i="4"/>
  <c r="BI100" i="4"/>
  <c r="BJ100" i="4" s="1"/>
  <c r="AX100" i="4"/>
  <c r="EG100" i="4"/>
  <c r="EH100" i="4" s="1"/>
  <c r="DV100" i="4"/>
  <c r="AP100" i="4"/>
  <c r="AQ100" i="4" s="1"/>
  <c r="AE100" i="4"/>
  <c r="EN100" i="4"/>
  <c r="EY100" i="4"/>
  <c r="EZ100" i="4" s="1"/>
  <c r="CU26" i="8"/>
  <c r="CV26" i="8" s="1"/>
  <c r="CJ26" i="8"/>
  <c r="BQ26" i="8"/>
  <c r="CB26" i="8"/>
  <c r="CC26" i="8" s="1"/>
  <c r="AX26" i="8"/>
  <c r="BI26" i="8"/>
  <c r="BJ26" i="8" s="1"/>
  <c r="AP26" i="8"/>
  <c r="AQ26" i="8" s="1"/>
  <c r="AE26" i="8"/>
  <c r="BQ80" i="8"/>
  <c r="CB80" i="8"/>
  <c r="CC80" i="8" s="1"/>
  <c r="BI80" i="8"/>
  <c r="BJ80" i="8" s="1"/>
  <c r="AX80" i="8"/>
  <c r="CJ80" i="8"/>
  <c r="CU80" i="8"/>
  <c r="CV80" i="8" s="1"/>
  <c r="AE80" i="8"/>
  <c r="AP80" i="8"/>
  <c r="AQ80" i="8" s="1"/>
  <c r="CU89" i="4"/>
  <c r="CV89" i="4" s="1"/>
  <c r="CJ89" i="4"/>
  <c r="BI89" i="4"/>
  <c r="BJ89" i="4" s="1"/>
  <c r="AX89" i="4"/>
  <c r="DC89" i="4"/>
  <c r="DN89" i="4"/>
  <c r="DO89" i="4" s="1"/>
  <c r="CB89" i="4"/>
  <c r="CC89" i="4" s="1"/>
  <c r="BQ89" i="4"/>
  <c r="EG89" i="4"/>
  <c r="EH89" i="4" s="1"/>
  <c r="DV89" i="4"/>
  <c r="AP89" i="4"/>
  <c r="AQ89" i="4" s="1"/>
  <c r="AE89" i="4"/>
  <c r="FR89" i="4"/>
  <c r="FS89" i="4" s="1"/>
  <c r="FG89" i="4"/>
  <c r="EN89" i="4"/>
  <c r="EY89" i="4"/>
  <c r="EZ89" i="4" s="1"/>
  <c r="AP49" i="5"/>
  <c r="AQ49" i="5" s="1"/>
  <c r="AE49" i="5"/>
  <c r="CU43" i="8"/>
  <c r="CV43" i="8" s="1"/>
  <c r="CJ43" i="8"/>
  <c r="BQ43" i="8"/>
  <c r="CB43" i="8"/>
  <c r="CC43" i="8" s="1"/>
  <c r="AX43" i="8"/>
  <c r="BI43" i="8"/>
  <c r="BJ43" i="8" s="1"/>
  <c r="AE43" i="8"/>
  <c r="AP43" i="8"/>
  <c r="AQ43" i="8" s="1"/>
  <c r="BN36" i="9"/>
  <c r="BO36" i="9" s="1"/>
  <c r="BC36" i="9"/>
  <c r="AJ36" i="9"/>
  <c r="AU36" i="9"/>
  <c r="AV36" i="9" s="1"/>
  <c r="AJ38" i="9"/>
  <c r="AU38" i="9"/>
  <c r="AV38" i="9" s="1"/>
  <c r="BN38" i="9"/>
  <c r="BO38" i="9" s="1"/>
  <c r="BC38" i="9"/>
  <c r="EG149" i="4"/>
  <c r="EH149" i="4" s="1"/>
  <c r="DV149" i="4"/>
  <c r="AP149" i="4"/>
  <c r="AQ149" i="4" s="1"/>
  <c r="AE149" i="4"/>
  <c r="BQ149" i="4"/>
  <c r="CB149" i="4"/>
  <c r="CC149" i="4" s="1"/>
  <c r="EN149" i="4"/>
  <c r="EY149" i="4"/>
  <c r="EZ149" i="4" s="1"/>
  <c r="BI149" i="4"/>
  <c r="BJ149" i="4" s="1"/>
  <c r="AX149" i="4"/>
  <c r="CU149" i="4"/>
  <c r="CV149" i="4" s="1"/>
  <c r="CJ149" i="4"/>
  <c r="FR149" i="4"/>
  <c r="FS149" i="4" s="1"/>
  <c r="FG149" i="4"/>
  <c r="DC149" i="4"/>
  <c r="DN149" i="4"/>
  <c r="DO149" i="4" s="1"/>
  <c r="BI142" i="4"/>
  <c r="BJ142" i="4" s="1"/>
  <c r="AX142" i="4"/>
  <c r="BQ142" i="4"/>
  <c r="CB142" i="4"/>
  <c r="CC142" i="4" s="1"/>
  <c r="DN142" i="4"/>
  <c r="DO142" i="4" s="1"/>
  <c r="DC142" i="4"/>
  <c r="EY142" i="4"/>
  <c r="EZ142" i="4" s="1"/>
  <c r="EN142" i="4"/>
  <c r="CJ142" i="4"/>
  <c r="CU142" i="4"/>
  <c r="CV142" i="4" s="1"/>
  <c r="DV142" i="4"/>
  <c r="EG142" i="4"/>
  <c r="EH142" i="4" s="1"/>
  <c r="FR142" i="4"/>
  <c r="FS142" i="4" s="1"/>
  <c r="FG142" i="4"/>
  <c r="AP142" i="4"/>
  <c r="AQ142" i="4" s="1"/>
  <c r="AE142" i="4"/>
  <c r="EG151" i="4"/>
  <c r="EH151" i="4" s="1"/>
  <c r="DV151" i="4"/>
  <c r="EN151" i="4"/>
  <c r="EY151" i="4"/>
  <c r="EZ151" i="4" s="1"/>
  <c r="BI151" i="4"/>
  <c r="BJ151" i="4" s="1"/>
  <c r="AX151" i="4"/>
  <c r="CU151" i="4"/>
  <c r="CV151" i="4" s="1"/>
  <c r="CJ151" i="4"/>
  <c r="BQ151" i="4"/>
  <c r="CB151" i="4"/>
  <c r="CC151" i="4" s="1"/>
  <c r="DN151" i="4"/>
  <c r="DO151" i="4" s="1"/>
  <c r="DC151" i="4"/>
  <c r="FG151" i="4"/>
  <c r="FR151" i="4"/>
  <c r="FS151" i="4" s="1"/>
  <c r="AE151" i="4"/>
  <c r="AP151" i="4"/>
  <c r="AQ151" i="4" s="1"/>
  <c r="CU136" i="4"/>
  <c r="CV136" i="4" s="1"/>
  <c r="CJ136" i="4"/>
  <c r="EG136" i="4"/>
  <c r="EH136" i="4" s="1"/>
  <c r="DV136" i="4"/>
  <c r="FR136" i="4"/>
  <c r="FS136" i="4" s="1"/>
  <c r="FG136" i="4"/>
  <c r="AE136" i="4"/>
  <c r="AP136" i="4"/>
  <c r="AQ136" i="4" s="1"/>
  <c r="DC136" i="4"/>
  <c r="DN136" i="4"/>
  <c r="DO136" i="4" s="1"/>
  <c r="EN136" i="4"/>
  <c r="EY136" i="4"/>
  <c r="EZ136" i="4" s="1"/>
  <c r="AX136" i="4"/>
  <c r="BI136" i="4"/>
  <c r="BJ136" i="4" s="1"/>
  <c r="BQ136" i="4"/>
  <c r="CB136" i="4"/>
  <c r="CC136" i="4" s="1"/>
  <c r="DV174" i="4"/>
  <c r="EG174" i="4"/>
  <c r="EH174" i="4" s="1"/>
  <c r="AP174" i="4"/>
  <c r="AQ174" i="4" s="1"/>
  <c r="AE174" i="4"/>
  <c r="DC174" i="4"/>
  <c r="DN174" i="4"/>
  <c r="DO174" i="4" s="1"/>
  <c r="CJ174" i="4"/>
  <c r="CU174" i="4"/>
  <c r="CV174" i="4" s="1"/>
  <c r="AX174" i="4"/>
  <c r="BI174" i="4"/>
  <c r="BJ174" i="4" s="1"/>
  <c r="FR174" i="4"/>
  <c r="FS174" i="4" s="1"/>
  <c r="FG174" i="4"/>
  <c r="CB174" i="4"/>
  <c r="CC174" i="4" s="1"/>
  <c r="BQ174" i="4"/>
  <c r="EY174" i="4"/>
  <c r="EZ174" i="4" s="1"/>
  <c r="EN174" i="4"/>
  <c r="BI30" i="8"/>
  <c r="BJ30" i="8" s="1"/>
  <c r="AX30" i="8"/>
  <c r="CU30" i="8"/>
  <c r="CV30" i="8" s="1"/>
  <c r="CJ30" i="8"/>
  <c r="AE30" i="8"/>
  <c r="AP30" i="8"/>
  <c r="AQ30" i="8" s="1"/>
  <c r="BQ30" i="8"/>
  <c r="CB30" i="8"/>
  <c r="CC30" i="8" s="1"/>
  <c r="BI29" i="8"/>
  <c r="BJ29" i="8" s="1"/>
  <c r="AX29" i="8"/>
  <c r="CJ29" i="8"/>
  <c r="CU29" i="8"/>
  <c r="CV29" i="8" s="1"/>
  <c r="AE29" i="8"/>
  <c r="AP29" i="8"/>
  <c r="AQ29" i="8" s="1"/>
  <c r="BQ29" i="8"/>
  <c r="CB29" i="8"/>
  <c r="CC29" i="8" s="1"/>
  <c r="BI28" i="8"/>
  <c r="BJ28" i="8" s="1"/>
  <c r="AX28" i="8"/>
  <c r="CU28" i="8"/>
  <c r="CV28" i="8" s="1"/>
  <c r="CJ28" i="8"/>
  <c r="AP28" i="8"/>
  <c r="AQ28" i="8" s="1"/>
  <c r="AE28" i="8"/>
  <c r="BQ28" i="8"/>
  <c r="CB28" i="8"/>
  <c r="CC28" i="8" s="1"/>
  <c r="AE30" i="7"/>
  <c r="AP30" i="7"/>
  <c r="AQ30" i="7" s="1"/>
  <c r="AP29" i="7"/>
  <c r="AQ29" i="7" s="1"/>
  <c r="AE29" i="7"/>
  <c r="CJ56" i="4"/>
  <c r="CU56" i="4"/>
  <c r="CV56" i="4" s="1"/>
  <c r="FR56" i="4"/>
  <c r="FS56" i="4" s="1"/>
  <c r="FG56" i="4"/>
  <c r="AP56" i="4"/>
  <c r="AQ56" i="4" s="1"/>
  <c r="AE56" i="4"/>
  <c r="CB56" i="4"/>
  <c r="CC56" i="4" s="1"/>
  <c r="BQ56" i="4"/>
  <c r="EG56" i="4"/>
  <c r="EH56" i="4" s="1"/>
  <c r="DV56" i="4"/>
  <c r="DN56" i="4"/>
  <c r="DO56" i="4" s="1"/>
  <c r="DC56" i="4"/>
  <c r="EN56" i="4"/>
  <c r="EY56" i="4"/>
  <c r="EZ56" i="4" s="1"/>
  <c r="AX56" i="4"/>
  <c r="BI56" i="4"/>
  <c r="BJ56" i="4" s="1"/>
  <c r="AP27" i="5"/>
  <c r="AQ27" i="5" s="1"/>
  <c r="AE27" i="5"/>
  <c r="BI54" i="4"/>
  <c r="BJ54" i="4" s="1"/>
  <c r="AX54" i="4"/>
  <c r="CJ54" i="4"/>
  <c r="CU54" i="4"/>
  <c r="CV54" i="4" s="1"/>
  <c r="AP54" i="4"/>
  <c r="AQ54" i="4" s="1"/>
  <c r="AE54" i="4"/>
  <c r="EG54" i="4"/>
  <c r="EH54" i="4" s="1"/>
  <c r="DV54" i="4"/>
  <c r="FR54" i="4"/>
  <c r="FS54" i="4" s="1"/>
  <c r="FG54" i="4"/>
  <c r="DC54" i="4"/>
  <c r="DN54" i="4"/>
  <c r="DO54" i="4" s="1"/>
  <c r="EN54" i="4"/>
  <c r="EY54" i="4"/>
  <c r="EZ54" i="4" s="1"/>
  <c r="BQ54" i="4"/>
  <c r="CB54" i="4"/>
  <c r="CC54" i="4" s="1"/>
  <c r="AP23" i="5"/>
  <c r="AQ23" i="5" s="1"/>
  <c r="AE23" i="5"/>
  <c r="EY48" i="4"/>
  <c r="EZ48" i="4" s="1"/>
  <c r="EN48" i="4"/>
  <c r="AX48" i="4"/>
  <c r="BI48" i="4"/>
  <c r="BJ48" i="4" s="1"/>
  <c r="CU48" i="4"/>
  <c r="CV48" i="4" s="1"/>
  <c r="CJ48" i="4"/>
  <c r="EG48" i="4"/>
  <c r="EH48" i="4" s="1"/>
  <c r="DV48" i="4"/>
  <c r="AP48" i="4"/>
  <c r="AQ48" i="4" s="1"/>
  <c r="AE48" i="4"/>
  <c r="FG48" i="4"/>
  <c r="FR48" i="4"/>
  <c r="FS48" i="4" s="1"/>
  <c r="BQ48" i="4"/>
  <c r="CB48" i="4"/>
  <c r="CC48" i="4" s="1"/>
  <c r="DC48" i="4"/>
  <c r="DN48" i="4"/>
  <c r="DO48" i="4" s="1"/>
  <c r="BQ73" i="8"/>
  <c r="CB73" i="8"/>
  <c r="CC73" i="8" s="1"/>
  <c r="BI73" i="8"/>
  <c r="BJ73" i="8" s="1"/>
  <c r="AX73" i="8"/>
  <c r="CJ73" i="8"/>
  <c r="CU73" i="8"/>
  <c r="CV73" i="8" s="1"/>
  <c r="AE73" i="8"/>
  <c r="AP73" i="8"/>
  <c r="AQ73" i="8" s="1"/>
  <c r="AE77" i="5"/>
  <c r="AP77" i="5"/>
  <c r="AQ77" i="5" s="1"/>
  <c r="BI128" i="4"/>
  <c r="BJ128" i="4" s="1"/>
  <c r="AX128" i="4"/>
  <c r="CU128" i="4"/>
  <c r="CV128" i="4" s="1"/>
  <c r="CJ128" i="4"/>
  <c r="BQ128" i="4"/>
  <c r="CB128" i="4"/>
  <c r="CC128" i="4" s="1"/>
  <c r="DN128" i="4"/>
  <c r="DO128" i="4" s="1"/>
  <c r="DC128" i="4"/>
  <c r="FG128" i="4"/>
  <c r="FR128" i="4"/>
  <c r="FS128" i="4" s="1"/>
  <c r="EG128" i="4"/>
  <c r="EH128" i="4" s="1"/>
  <c r="DV128" i="4"/>
  <c r="AP128" i="4"/>
  <c r="AQ128" i="4" s="1"/>
  <c r="AE128" i="4"/>
  <c r="EN128" i="4"/>
  <c r="EY128" i="4"/>
  <c r="EZ128" i="4" s="1"/>
  <c r="BC99" i="9"/>
  <c r="BN99" i="9"/>
  <c r="BO99" i="9" s="1"/>
  <c r="AJ99" i="9"/>
  <c r="AU99" i="9"/>
  <c r="AV99" i="9" s="1"/>
  <c r="BC103" i="9"/>
  <c r="BN103" i="9"/>
  <c r="BO103" i="9" s="1"/>
  <c r="AU103" i="9"/>
  <c r="AV103" i="9" s="1"/>
  <c r="AJ103" i="9"/>
  <c r="BN100" i="9"/>
  <c r="BO100" i="9" s="1"/>
  <c r="BC100" i="9"/>
  <c r="AJ100" i="9"/>
  <c r="AU100" i="9"/>
  <c r="AV100" i="9" s="1"/>
  <c r="BN80" i="9"/>
  <c r="BO80" i="9" s="1"/>
  <c r="BC80" i="9"/>
  <c r="AJ80" i="9"/>
  <c r="AU80" i="9"/>
  <c r="AV80" i="9" s="1"/>
  <c r="BC55" i="9"/>
  <c r="BN55" i="9"/>
  <c r="BO55" i="9" s="1"/>
  <c r="AJ55" i="9"/>
  <c r="AU55" i="9"/>
  <c r="AV55" i="9" s="1"/>
  <c r="DJ18" i="4" a="1"/>
  <c r="DJ18" i="4" s="1"/>
  <c r="DK18" i="4" s="1"/>
  <c r="EC18" i="4" a="1"/>
  <c r="EC18" i="4" s="1"/>
  <c r="ED18" i="4" s="1"/>
  <c r="DJ20" i="4" a="1"/>
  <c r="DJ20" i="4" s="1"/>
  <c r="DK20" i="4" s="1"/>
  <c r="DJ19" i="4" a="1"/>
  <c r="DJ19" i="4" s="1"/>
  <c r="DK19" i="4" s="1"/>
  <c r="CU38" i="4"/>
  <c r="CV38" i="4" s="1"/>
  <c r="CJ38" i="4"/>
  <c r="FG38" i="4"/>
  <c r="FR38" i="4"/>
  <c r="FS38" i="4" s="1"/>
  <c r="BQ38" i="4"/>
  <c r="CB38" i="4"/>
  <c r="CC38" i="4" s="1"/>
  <c r="DN38" i="4"/>
  <c r="DO38" i="4" s="1"/>
  <c r="DC38" i="4"/>
  <c r="AE38" i="4"/>
  <c r="AP38" i="4"/>
  <c r="AQ38" i="4" s="1"/>
  <c r="BI38" i="4"/>
  <c r="BJ38" i="4" s="1"/>
  <c r="AX38" i="4"/>
  <c r="DV38" i="4"/>
  <c r="EG38" i="4"/>
  <c r="EH38" i="4" s="1"/>
  <c r="EN38" i="4"/>
  <c r="EY38" i="4"/>
  <c r="EZ38" i="4" s="1"/>
  <c r="DC32" i="4"/>
  <c r="DN32" i="4"/>
  <c r="DO32" i="4" s="1"/>
  <c r="AX32" i="4"/>
  <c r="BI32" i="4"/>
  <c r="BJ32" i="4" s="1"/>
  <c r="CJ32" i="4"/>
  <c r="CU32" i="4"/>
  <c r="CV32" i="4" s="1"/>
  <c r="FR32" i="4"/>
  <c r="FS32" i="4" s="1"/>
  <c r="FG32" i="4"/>
  <c r="EG32" i="4"/>
  <c r="EH32" i="4" s="1"/>
  <c r="DV32" i="4"/>
  <c r="AP32" i="4"/>
  <c r="AQ32" i="4" s="1"/>
  <c r="AE32" i="4"/>
  <c r="EN32" i="4"/>
  <c r="EY32" i="4"/>
  <c r="EZ32" i="4" s="1"/>
  <c r="CB32" i="4"/>
  <c r="CC32" i="4" s="1"/>
  <c r="BQ32" i="4"/>
  <c r="DV138" i="4"/>
  <c r="EG138" i="4"/>
  <c r="EH138" i="4" s="1"/>
  <c r="DV156" i="4"/>
  <c r="EG156" i="4"/>
  <c r="EH156" i="4" s="1"/>
  <c r="EG86" i="4"/>
  <c r="EH86" i="4" s="1"/>
  <c r="DV86" i="4"/>
  <c r="ED170" i="4"/>
  <c r="EG127" i="4"/>
  <c r="EH127" i="4" s="1"/>
  <c r="DV127" i="4"/>
  <c r="DV154" i="4"/>
  <c r="EG154" i="4"/>
  <c r="EH154" i="4" s="1"/>
  <c r="DV158" i="4"/>
  <c r="EG158" i="4"/>
  <c r="EH158" i="4" s="1"/>
  <c r="ED58" i="4"/>
  <c r="EG37" i="4"/>
  <c r="EH37" i="4" s="1"/>
  <c r="DV37" i="4"/>
  <c r="EG121" i="4"/>
  <c r="EH121" i="4" s="1"/>
  <c r="DV121" i="4"/>
  <c r="DV171" i="4"/>
  <c r="EG171" i="4"/>
  <c r="EH171" i="4" s="1"/>
  <c r="EG69" i="4"/>
  <c r="EH69" i="4" s="1"/>
  <c r="DV69" i="4"/>
  <c r="EG101" i="4"/>
  <c r="EH101" i="4" s="1"/>
  <c r="DV101" i="4"/>
  <c r="DV42" i="4"/>
  <c r="EG42" i="4"/>
  <c r="EH42" i="4" s="1"/>
  <c r="ED141" i="4"/>
  <c r="DV59" i="4"/>
  <c r="EG59" i="4"/>
  <c r="EH59" i="4" s="1"/>
  <c r="EG105" i="4"/>
  <c r="EH105" i="4" s="1"/>
  <c r="DV105" i="4"/>
  <c r="ED97" i="4"/>
  <c r="EG162" i="4"/>
  <c r="EH162" i="4" s="1"/>
  <c r="DV162" i="4"/>
  <c r="DV43" i="4"/>
  <c r="EG43" i="4"/>
  <c r="EH43" i="4" s="1"/>
  <c r="DV112" i="4"/>
  <c r="EG112" i="4"/>
  <c r="EH112" i="4" s="1"/>
  <c r="EG115" i="4"/>
  <c r="EH115" i="4" s="1"/>
  <c r="DV115" i="4"/>
  <c r="DV108" i="4"/>
  <c r="EG108" i="4"/>
  <c r="EH108" i="4" s="1"/>
  <c r="EG167" i="4"/>
  <c r="EH167" i="4" s="1"/>
  <c r="DV167" i="4"/>
  <c r="ED161" i="4"/>
  <c r="ED114" i="4"/>
  <c r="EG34" i="4"/>
  <c r="EH34" i="4" s="1"/>
  <c r="DV34" i="4"/>
  <c r="EG111" i="4"/>
  <c r="EH111" i="4" s="1"/>
  <c r="DV111" i="4"/>
  <c r="DV180" i="4"/>
  <c r="EG180" i="4"/>
  <c r="EH180" i="4" s="1"/>
  <c r="DV120" i="4"/>
  <c r="EG120" i="4"/>
  <c r="EH120" i="4" s="1"/>
  <c r="EG182" i="4"/>
  <c r="EH182" i="4" s="1"/>
  <c r="DV182" i="4"/>
  <c r="EG76" i="4"/>
  <c r="EH76" i="4" s="1"/>
  <c r="DV76" i="4"/>
  <c r="ED166" i="4"/>
  <c r="DV106" i="4"/>
  <c r="EG106" i="4"/>
  <c r="EH106" i="4" s="1"/>
  <c r="DV110" i="4"/>
  <c r="EG110" i="4"/>
  <c r="EH110" i="4" s="1"/>
  <c r="EG85" i="4"/>
  <c r="EH85" i="4" s="1"/>
  <c r="DV85" i="4"/>
  <c r="DV125" i="4"/>
  <c r="EG125" i="4"/>
  <c r="EH125" i="4" s="1"/>
  <c r="ED109" i="4"/>
  <c r="ED135" i="4"/>
  <c r="DV150" i="4"/>
  <c r="EG150" i="4"/>
  <c r="EH150" i="4" s="1"/>
  <c r="DV169" i="4"/>
  <c r="EG169" i="4"/>
  <c r="EH169" i="4" s="1"/>
  <c r="DV61" i="4"/>
  <c r="EG61" i="4"/>
  <c r="EH61" i="4" s="1"/>
  <c r="EG164" i="4"/>
  <c r="EH164" i="4" s="1"/>
  <c r="DV164" i="4"/>
  <c r="DV139" i="4"/>
  <c r="EG139" i="4"/>
  <c r="EH139" i="4" s="1"/>
  <c r="DV91" i="4"/>
  <c r="EG91" i="4"/>
  <c r="EH91" i="4" s="1"/>
  <c r="DV178" i="4"/>
  <c r="EG178" i="4"/>
  <c r="EH178" i="4" s="1"/>
  <c r="EG75" i="4"/>
  <c r="EH75" i="4" s="1"/>
  <c r="DV75" i="4"/>
  <c r="EG147" i="4"/>
  <c r="EH147" i="4" s="1"/>
  <c r="DV147" i="4"/>
  <c r="EG113" i="4"/>
  <c r="EH113" i="4" s="1"/>
  <c r="DV113" i="4"/>
  <c r="DV181" i="4"/>
  <c r="EG181" i="4"/>
  <c r="EH181" i="4" s="1"/>
  <c r="ED163" i="4"/>
  <c r="EG168" i="4"/>
  <c r="EH168" i="4" s="1"/>
  <c r="DV168" i="4"/>
  <c r="EG68" i="4"/>
  <c r="EH68" i="4" s="1"/>
  <c r="DV68" i="4"/>
  <c r="EG65" i="4"/>
  <c r="EH65" i="4" s="1"/>
  <c r="DV65" i="4"/>
  <c r="DV94" i="4"/>
  <c r="EG94" i="4"/>
  <c r="EH94" i="4" s="1"/>
  <c r="EG96" i="4"/>
  <c r="EH96" i="4" s="1"/>
  <c r="DV96" i="4"/>
  <c r="EG123" i="4"/>
  <c r="EH123" i="4" s="1"/>
  <c r="DV123" i="4"/>
  <c r="EG35" i="4"/>
  <c r="EH35" i="4" s="1"/>
  <c r="DV35" i="4"/>
  <c r="EG39" i="4"/>
  <c r="EH39" i="4" s="1"/>
  <c r="DV39" i="4"/>
  <c r="DV186" i="4"/>
  <c r="EG186" i="4"/>
  <c r="EH186" i="4" s="1"/>
  <c r="DV93" i="4"/>
  <c r="EG93" i="4"/>
  <c r="EH93" i="4" s="1"/>
  <c r="ED70" i="4"/>
  <c r="DV46" i="4"/>
  <c r="EG46" i="4"/>
  <c r="EH46" i="4" s="1"/>
  <c r="DV140" i="4"/>
  <c r="EG140" i="4"/>
  <c r="EH140" i="4" s="1"/>
  <c r="DV49" i="4"/>
  <c r="EG49" i="4"/>
  <c r="EH49" i="4" s="1"/>
  <c r="DV53" i="4"/>
  <c r="EG53" i="4"/>
  <c r="EH53" i="4" s="1"/>
  <c r="DV60" i="4"/>
  <c r="EG60" i="4"/>
  <c r="EH60" i="4" s="1"/>
  <c r="EG31" i="4"/>
  <c r="EH31" i="4" s="1"/>
  <c r="DV31" i="4"/>
  <c r="EG190" i="4"/>
  <c r="EH190" i="4" s="1"/>
  <c r="DV190" i="4"/>
  <c r="ED78" i="4"/>
  <c r="DV145" i="4"/>
  <c r="EG145" i="4"/>
  <c r="EH145" i="4" s="1"/>
  <c r="EG184" i="4"/>
  <c r="EH184" i="4" s="1"/>
  <c r="DV184" i="4"/>
  <c r="DV159" i="4"/>
  <c r="EG159" i="4"/>
  <c r="EH159" i="4" s="1"/>
  <c r="ED152" i="4"/>
  <c r="DV71" i="4"/>
  <c r="EG71" i="4"/>
  <c r="EH71" i="4" s="1"/>
  <c r="EG183" i="4"/>
  <c r="EH183" i="4" s="1"/>
  <c r="DV183" i="4"/>
  <c r="ED189" i="4"/>
  <c r="EG33" i="4"/>
  <c r="EH33" i="4" s="1"/>
  <c r="DV33" i="4"/>
  <c r="EG67" i="4"/>
  <c r="EH67" i="4" s="1"/>
  <c r="DV67" i="4"/>
  <c r="ED118" i="4"/>
  <c r="EG153" i="4"/>
  <c r="EH153" i="4" s="1"/>
  <c r="DV153" i="4"/>
  <c r="DV116" i="4"/>
  <c r="EG116" i="4"/>
  <c r="EH116" i="4" s="1"/>
  <c r="DV30" i="4"/>
  <c r="EG30" i="4"/>
  <c r="EH30" i="4" s="1"/>
  <c r="EG148" i="4"/>
  <c r="EH148" i="4" s="1"/>
  <c r="DV148" i="4"/>
  <c r="EG50" i="4"/>
  <c r="EH50" i="4" s="1"/>
  <c r="DV50" i="4"/>
  <c r="EG45" i="4"/>
  <c r="EH45" i="4" s="1"/>
  <c r="DV45" i="4"/>
  <c r="DV172" i="4"/>
  <c r="EG172" i="4"/>
  <c r="EH172" i="4" s="1"/>
  <c r="ED30" i="4"/>
  <c r="EG173" i="4"/>
  <c r="EH173" i="4" s="1"/>
  <c r="DV173" i="4"/>
  <c r="ED66" i="4"/>
  <c r="ED187" i="4"/>
  <c r="DV119" i="4"/>
  <c r="EG119" i="4"/>
  <c r="EH119" i="4" s="1"/>
  <c r="DW205" i="4" a="1"/>
  <c r="DW205" i="4" s="1"/>
  <c r="DV175" i="4"/>
  <c r="EG175" i="4"/>
  <c r="EH175" i="4" s="1"/>
  <c r="DV107" i="4"/>
  <c r="EG107" i="4"/>
  <c r="EH107" i="4" s="1"/>
  <c r="EG188" i="4"/>
  <c r="EH188" i="4" s="1"/>
  <c r="DV188" i="4"/>
  <c r="DV144" i="4"/>
  <c r="EG144" i="4"/>
  <c r="EH144" i="4" s="1"/>
  <c r="DV205" i="4" a="1"/>
  <c r="DV205" i="4" s="1"/>
  <c r="DV47" i="4"/>
  <c r="EG47" i="4"/>
  <c r="EH47" i="4" s="1"/>
  <c r="EG103" i="4"/>
  <c r="EH103" i="4" s="1"/>
  <c r="DV103" i="4"/>
  <c r="EG185" i="4"/>
  <c r="EH185" i="4" s="1"/>
  <c r="DV185" i="4"/>
  <c r="EG193" i="4"/>
  <c r="EH193" i="4" s="1"/>
  <c r="DV193" i="4"/>
  <c r="EG146" i="4"/>
  <c r="EH146" i="4" s="1"/>
  <c r="DV146" i="4"/>
  <c r="DR205" i="4" a="1"/>
  <c r="DR205" i="4" s="1"/>
  <c r="DV73" i="4"/>
  <c r="EG73" i="4"/>
  <c r="EH73" i="4" s="1"/>
  <c r="DV95" i="4"/>
  <c r="EG95" i="4"/>
  <c r="EH95" i="4" s="1"/>
  <c r="DU205" i="4" a="1"/>
  <c r="DU205" i="4" s="1"/>
  <c r="EG44" i="4"/>
  <c r="EH44" i="4" s="1"/>
  <c r="DV44" i="4"/>
  <c r="ED192" i="4"/>
  <c r="ED62" i="4"/>
  <c r="EC21" i="4" a="1"/>
  <c r="EC21" i="4" s="1"/>
  <c r="DV87" i="4"/>
  <c r="EG87" i="4"/>
  <c r="EH87" i="4" s="1"/>
  <c r="DV176" i="4"/>
  <c r="EG176" i="4"/>
  <c r="EH176" i="4" s="1"/>
  <c r="EG55" i="4"/>
  <c r="EH55" i="4" s="1"/>
  <c r="DV55" i="4"/>
  <c r="EG179" i="4"/>
  <c r="EH179" i="4" s="1"/>
  <c r="DV179" i="4"/>
  <c r="EC19" i="4" a="1"/>
  <c r="EC19" i="4" s="1"/>
  <c r="EG130" i="4"/>
  <c r="EH130" i="4" s="1"/>
  <c r="DV130" i="4"/>
  <c r="DV51" i="4"/>
  <c r="EG51" i="4"/>
  <c r="EH51" i="4" s="1"/>
  <c r="EC20" i="4" a="1"/>
  <c r="EC20" i="4" s="1"/>
  <c r="DV83" i="4"/>
  <c r="EG83" i="4"/>
  <c r="EH83" i="4" s="1"/>
  <c r="EG74" i="4"/>
  <c r="EH74" i="4" s="1"/>
  <c r="DV74" i="4"/>
  <c r="DV72" i="4"/>
  <c r="EG72" i="4"/>
  <c r="EH72" i="4" s="1"/>
  <c r="EG117" i="4"/>
  <c r="EH117" i="4" s="1"/>
  <c r="DV117" i="4"/>
  <c r="EG57" i="4"/>
  <c r="EH57" i="4" s="1"/>
  <c r="DV57" i="4"/>
  <c r="DV177" i="4"/>
  <c r="EG177" i="4"/>
  <c r="EH177" i="4" s="1"/>
  <c r="DV191" i="4"/>
  <c r="EG191" i="4"/>
  <c r="EH191" i="4" s="1"/>
  <c r="EG41" i="4"/>
  <c r="EH41" i="4" s="1"/>
  <c r="DV41" i="4"/>
  <c r="DV137" i="4"/>
  <c r="EG137" i="4"/>
  <c r="EH137" i="4" s="1"/>
  <c r="EG157" i="4"/>
  <c r="EH157" i="4" s="1"/>
  <c r="DV157" i="4"/>
  <c r="ED155" i="4"/>
  <c r="BI50" i="8"/>
  <c r="BJ50" i="8" s="1"/>
  <c r="CB50" i="8"/>
  <c r="CC50" i="8" s="1"/>
  <c r="AP50" i="8"/>
  <c r="AQ50" i="8" s="1"/>
  <c r="CU50" i="8"/>
  <c r="CV50" i="8" s="1"/>
  <c r="BI51" i="8"/>
  <c r="BJ51" i="8" s="1"/>
  <c r="AX51" i="8"/>
  <c r="CU51" i="8"/>
  <c r="CV51" i="8" s="1"/>
  <c r="CJ51" i="8"/>
  <c r="BQ51" i="8"/>
  <c r="CB51" i="8"/>
  <c r="CC51" i="8" s="1"/>
  <c r="AE51" i="8"/>
  <c r="AP51" i="8"/>
  <c r="AQ51" i="8" s="1"/>
  <c r="AP57" i="5"/>
  <c r="AQ57" i="5" s="1"/>
  <c r="AE57" i="5"/>
  <c r="CB121" i="4"/>
  <c r="CC121" i="4" s="1"/>
  <c r="BQ121" i="4"/>
  <c r="CU121" i="4"/>
  <c r="CV121" i="4" s="1"/>
  <c r="CJ121" i="4"/>
  <c r="AE121" i="4"/>
  <c r="AP121" i="4"/>
  <c r="AQ121" i="4" s="1"/>
  <c r="FG121" i="4"/>
  <c r="FR121" i="4"/>
  <c r="FS121" i="4" s="1"/>
  <c r="BI121" i="4"/>
  <c r="BJ121" i="4" s="1"/>
  <c r="AX121" i="4"/>
  <c r="DC121" i="4"/>
  <c r="DN121" i="4"/>
  <c r="DO121" i="4" s="1"/>
  <c r="EN121" i="4"/>
  <c r="EY121" i="4"/>
  <c r="EZ121" i="4" s="1"/>
  <c r="BN78" i="9"/>
  <c r="BO78" i="9" s="1"/>
  <c r="AU78" i="9"/>
  <c r="AV78" i="9" s="1"/>
  <c r="BI56" i="8"/>
  <c r="BJ56" i="8" s="1"/>
  <c r="AX56" i="8"/>
  <c r="CU56" i="8"/>
  <c r="CV56" i="8" s="1"/>
  <c r="CJ56" i="8"/>
  <c r="BQ56" i="8"/>
  <c r="CB56" i="8"/>
  <c r="CC56" i="8" s="1"/>
  <c r="AE56" i="8"/>
  <c r="AP56" i="8"/>
  <c r="AQ56" i="8" s="1"/>
  <c r="CJ55" i="8"/>
  <c r="CU55" i="8"/>
  <c r="CV55" i="8" s="1"/>
  <c r="AP55" i="8"/>
  <c r="AQ55" i="8" s="1"/>
  <c r="AE55" i="8"/>
  <c r="AX55" i="8"/>
  <c r="BI55" i="8"/>
  <c r="BJ55" i="8" s="1"/>
  <c r="BQ55" i="8"/>
  <c r="CB55" i="8"/>
  <c r="CC55" i="8" s="1"/>
  <c r="AP51" i="5"/>
  <c r="AQ51" i="5" s="1"/>
  <c r="AE51" i="5"/>
  <c r="AP116" i="4"/>
  <c r="AQ116" i="4" s="1"/>
  <c r="AE116" i="4"/>
  <c r="CB116" i="4"/>
  <c r="CC116" i="4" s="1"/>
  <c r="BQ116" i="4"/>
  <c r="DC116" i="4"/>
  <c r="DN116" i="4"/>
  <c r="DO116" i="4" s="1"/>
  <c r="AX116" i="4"/>
  <c r="BI116" i="4"/>
  <c r="BJ116" i="4" s="1"/>
  <c r="CJ116" i="4"/>
  <c r="CU116" i="4"/>
  <c r="CV116" i="4" s="1"/>
  <c r="EN116" i="4"/>
  <c r="EY116" i="4"/>
  <c r="EZ116" i="4" s="1"/>
  <c r="FG116" i="4"/>
  <c r="FR116" i="4"/>
  <c r="FS116" i="4" s="1"/>
  <c r="DN105" i="4"/>
  <c r="DO105" i="4" s="1"/>
  <c r="DC105" i="4"/>
  <c r="CB105" i="4"/>
  <c r="CC105" i="4" s="1"/>
  <c r="BQ105" i="4"/>
  <c r="AP105" i="4"/>
  <c r="AQ105" i="4" s="1"/>
  <c r="AE105" i="4"/>
  <c r="AX105" i="4"/>
  <c r="BI105" i="4"/>
  <c r="BJ105" i="4" s="1"/>
  <c r="CJ105" i="4"/>
  <c r="CU105" i="4"/>
  <c r="CV105" i="4" s="1"/>
  <c r="EN105" i="4"/>
  <c r="EY105" i="4"/>
  <c r="EZ105" i="4" s="1"/>
  <c r="FR105" i="4"/>
  <c r="FS105" i="4" s="1"/>
  <c r="FG105" i="4"/>
  <c r="BQ91" i="4"/>
  <c r="CB91" i="4"/>
  <c r="CC91" i="4" s="1"/>
  <c r="DC91" i="4"/>
  <c r="DN91" i="4"/>
  <c r="DO91" i="4" s="1"/>
  <c r="AX91" i="4"/>
  <c r="BI91" i="4"/>
  <c r="BJ91" i="4" s="1"/>
  <c r="AP91" i="4"/>
  <c r="AQ91" i="4" s="1"/>
  <c r="AE91" i="4"/>
  <c r="FG91" i="4"/>
  <c r="FR91" i="4"/>
  <c r="FS91" i="4" s="1"/>
  <c r="CJ91" i="4"/>
  <c r="CU91" i="4"/>
  <c r="CV91" i="4" s="1"/>
  <c r="EN91" i="4"/>
  <c r="EY91" i="4"/>
  <c r="EZ91" i="4" s="1"/>
  <c r="CU46" i="8"/>
  <c r="CV46" i="8" s="1"/>
  <c r="AJ43" i="9"/>
  <c r="AU43" i="9"/>
  <c r="AV43" i="9" s="1"/>
  <c r="BC43" i="9"/>
  <c r="BN43" i="9"/>
  <c r="BO43" i="9" s="1"/>
  <c r="AX24" i="8"/>
  <c r="BI24" i="8"/>
  <c r="BJ24" i="8" s="1"/>
  <c r="CJ24" i="8"/>
  <c r="CU24" i="8"/>
  <c r="CV24" i="8" s="1"/>
  <c r="AP24" i="8"/>
  <c r="AQ24" i="8" s="1"/>
  <c r="AE24" i="8"/>
  <c r="CB24" i="8"/>
  <c r="CC24" i="8" s="1"/>
  <c r="BQ24" i="8"/>
  <c r="CB46" i="8"/>
  <c r="CC46" i="8" s="1"/>
  <c r="AP46" i="8"/>
  <c r="AQ46" i="8" s="1"/>
  <c r="BF46" i="8"/>
  <c r="BF42" i="8" s="1"/>
  <c r="CU25" i="8"/>
  <c r="CV25" i="8" s="1"/>
  <c r="CJ25" i="8"/>
  <c r="CJ44" i="4"/>
  <c r="CU44" i="4"/>
  <c r="CV44" i="4" s="1"/>
  <c r="BI44" i="4"/>
  <c r="BJ44" i="4" s="1"/>
  <c r="AX44" i="4"/>
  <c r="AE44" i="4"/>
  <c r="AP44" i="4"/>
  <c r="AQ44" i="4" s="1"/>
  <c r="FG44" i="4"/>
  <c r="FR44" i="4"/>
  <c r="FS44" i="4" s="1"/>
  <c r="BQ50" i="4"/>
  <c r="CB50" i="4"/>
  <c r="CC50" i="4" s="1"/>
  <c r="FG50" i="4"/>
  <c r="FR50" i="4"/>
  <c r="FS50" i="4" s="1"/>
  <c r="EY45" i="4"/>
  <c r="EZ45" i="4" s="1"/>
  <c r="EN45" i="4"/>
  <c r="BQ45" i="4"/>
  <c r="CB45" i="4"/>
  <c r="CC45" i="4" s="1"/>
  <c r="AE45" i="4"/>
  <c r="AP45" i="4"/>
  <c r="AQ45" i="4" s="1"/>
  <c r="DC45" i="4"/>
  <c r="DN45" i="4"/>
  <c r="DO45" i="4" s="1"/>
  <c r="BN27" i="9"/>
  <c r="BO27" i="9" s="1"/>
  <c r="BC27" i="9"/>
  <c r="BQ35" i="4"/>
  <c r="CB35" i="4"/>
  <c r="CC35" i="4" s="1"/>
  <c r="AE35" i="4"/>
  <c r="AP35" i="4"/>
  <c r="AQ35" i="4" s="1"/>
  <c r="CJ35" i="4"/>
  <c r="CU35" i="4"/>
  <c r="CV35" i="4" s="1"/>
  <c r="CU41" i="4"/>
  <c r="CV41" i="4" s="1"/>
  <c r="CJ41" i="4"/>
  <c r="DC41" i="4"/>
  <c r="DN41" i="4"/>
  <c r="DO41" i="4" s="1"/>
  <c r="AP41" i="4"/>
  <c r="AQ41" i="4" s="1"/>
  <c r="AE41" i="4"/>
  <c r="BQ41" i="4"/>
  <c r="CB41" i="4"/>
  <c r="CC41" i="4" s="1"/>
  <c r="AJ32" i="9"/>
  <c r="AU32" i="9"/>
  <c r="AV32" i="9" s="1"/>
  <c r="BQ39" i="4"/>
  <c r="CB39" i="4"/>
  <c r="CC39" i="4" s="1"/>
  <c r="AP39" i="4"/>
  <c r="AQ39" i="4" s="1"/>
  <c r="AE39" i="4"/>
  <c r="FG39" i="4"/>
  <c r="FR39" i="4"/>
  <c r="FS39" i="4" s="1"/>
  <c r="AE31" i="4"/>
  <c r="AP31" i="4"/>
  <c r="AQ31" i="4" s="1"/>
  <c r="CJ31" i="4"/>
  <c r="CU31" i="4"/>
  <c r="CV31" i="4" s="1"/>
  <c r="DC31" i="4"/>
  <c r="DN31" i="4"/>
  <c r="DO31" i="4" s="1"/>
  <c r="CU42" i="4"/>
  <c r="CV42" i="4" s="1"/>
  <c r="CJ42" i="4"/>
  <c r="EN42" i="4"/>
  <c r="EY42" i="4"/>
  <c r="EZ42" i="4" s="1"/>
  <c r="AE49" i="4"/>
  <c r="AP49" i="4"/>
  <c r="AQ49" i="4" s="1"/>
  <c r="BN29" i="9"/>
  <c r="BO29" i="9" s="1"/>
  <c r="BC29" i="9"/>
  <c r="AP33" i="4"/>
  <c r="AQ33" i="4" s="1"/>
  <c r="AE33" i="4"/>
  <c r="BI33" i="4"/>
  <c r="BJ33" i="4" s="1"/>
  <c r="AX33" i="4"/>
  <c r="AJ26" i="9"/>
  <c r="AU26" i="9"/>
  <c r="AV26" i="9" s="1"/>
  <c r="BC42" i="9"/>
  <c r="BN42" i="9"/>
  <c r="BO42" i="9" s="1"/>
  <c r="EN34" i="4"/>
  <c r="EY34" i="4"/>
  <c r="EZ34" i="4" s="1"/>
  <c r="CB34" i="4"/>
  <c r="CC34" i="4" s="1"/>
  <c r="BQ34" i="4"/>
  <c r="AP34" i="4"/>
  <c r="AQ34" i="4" s="1"/>
  <c r="AE34" i="4"/>
  <c r="DN34" i="4"/>
  <c r="DO34" i="4" s="1"/>
  <c r="DC34" i="4"/>
  <c r="AP43" i="4"/>
  <c r="AQ43" i="4" s="1"/>
  <c r="AE43" i="4"/>
  <c r="FR43" i="4"/>
  <c r="FS43" i="4" s="1"/>
  <c r="FG43" i="4"/>
  <c r="BQ25" i="8"/>
  <c r="CB25" i="8"/>
  <c r="CC25" i="8" s="1"/>
  <c r="BQ44" i="4"/>
  <c r="CB44" i="4"/>
  <c r="CC44" i="4" s="1"/>
  <c r="EN44" i="4"/>
  <c r="EY44" i="4"/>
  <c r="EZ44" i="4" s="1"/>
  <c r="AP50" i="4"/>
  <c r="AQ50" i="4" s="1"/>
  <c r="AE50" i="4"/>
  <c r="AX50" i="4"/>
  <c r="BI50" i="4"/>
  <c r="BJ50" i="4" s="1"/>
  <c r="AX45" i="4"/>
  <c r="BI45" i="4"/>
  <c r="BJ45" i="4" s="1"/>
  <c r="CJ45" i="4"/>
  <c r="CU45" i="4"/>
  <c r="CV45" i="4" s="1"/>
  <c r="AU27" i="9"/>
  <c r="AV27" i="9" s="1"/>
  <c r="AJ27" i="9"/>
  <c r="EY35" i="4"/>
  <c r="EZ35" i="4" s="1"/>
  <c r="EN35" i="4"/>
  <c r="BI35" i="4"/>
  <c r="BJ35" i="4" s="1"/>
  <c r="AX35" i="4"/>
  <c r="FG35" i="4"/>
  <c r="FR35" i="4"/>
  <c r="FS35" i="4" s="1"/>
  <c r="BC44" i="9"/>
  <c r="BN44" i="9"/>
  <c r="BO44" i="9" s="1"/>
  <c r="AU44" i="9"/>
  <c r="AV44" i="9" s="1"/>
  <c r="AJ44" i="9"/>
  <c r="EN41" i="4"/>
  <c r="EY41" i="4"/>
  <c r="EZ41" i="4" s="1"/>
  <c r="AX41" i="4"/>
  <c r="BI41" i="4"/>
  <c r="BJ41" i="4" s="1"/>
  <c r="EY39" i="4"/>
  <c r="EZ39" i="4" s="1"/>
  <c r="EN39" i="4"/>
  <c r="CU39" i="4"/>
  <c r="CV39" i="4" s="1"/>
  <c r="CJ39" i="4"/>
  <c r="BI46" i="4"/>
  <c r="BJ46" i="4" s="1"/>
  <c r="AX46" i="4"/>
  <c r="FG46" i="4"/>
  <c r="FR46" i="4"/>
  <c r="FS46" i="4" s="1"/>
  <c r="DN46" i="4"/>
  <c r="DO46" i="4" s="1"/>
  <c r="DC46" i="4"/>
  <c r="CB31" i="4"/>
  <c r="CC31" i="4" s="1"/>
  <c r="BQ31" i="4"/>
  <c r="FG31" i="4"/>
  <c r="FR31" i="4"/>
  <c r="FS31" i="4" s="1"/>
  <c r="EY31" i="4"/>
  <c r="EZ31" i="4" s="1"/>
  <c r="EN31" i="4"/>
  <c r="AP42" i="4"/>
  <c r="AQ42" i="4" s="1"/>
  <c r="AE42" i="4"/>
  <c r="DC42" i="4"/>
  <c r="DN42" i="4"/>
  <c r="DO42" i="4" s="1"/>
  <c r="AX49" i="4"/>
  <c r="BI49" i="4"/>
  <c r="BJ49" i="4" s="1"/>
  <c r="CU49" i="4"/>
  <c r="CV49" i="4" s="1"/>
  <c r="CJ49" i="4"/>
  <c r="BQ49" i="4"/>
  <c r="CB49" i="4"/>
  <c r="CC49" i="4" s="1"/>
  <c r="DN49" i="4"/>
  <c r="DO49" i="4" s="1"/>
  <c r="DC49" i="4"/>
  <c r="BC34" i="9"/>
  <c r="BN34" i="9"/>
  <c r="BO34" i="9" s="1"/>
  <c r="AJ34" i="9"/>
  <c r="AU34" i="9"/>
  <c r="AV34" i="9" s="1"/>
  <c r="AU31" i="9"/>
  <c r="AV31" i="9" s="1"/>
  <c r="AJ31" i="9"/>
  <c r="AP26" i="7"/>
  <c r="AQ26" i="7" s="1"/>
  <c r="AE26" i="7"/>
  <c r="EY33" i="4"/>
  <c r="EZ33" i="4" s="1"/>
  <c r="EN33" i="4"/>
  <c r="DN33" i="4"/>
  <c r="DO33" i="4" s="1"/>
  <c r="DC33" i="4"/>
  <c r="BC41" i="9"/>
  <c r="BN41" i="9"/>
  <c r="BO41" i="9" s="1"/>
  <c r="EN47" i="4"/>
  <c r="EY47" i="4"/>
  <c r="EZ47" i="4" s="1"/>
  <c r="CB47" i="4"/>
  <c r="CC47" i="4" s="1"/>
  <c r="BQ47" i="4"/>
  <c r="CJ47" i="4"/>
  <c r="CU47" i="4"/>
  <c r="CV47" i="4" s="1"/>
  <c r="AE47" i="4"/>
  <c r="AP47" i="4"/>
  <c r="AQ47" i="4" s="1"/>
  <c r="BC26" i="9"/>
  <c r="BN26" i="9"/>
  <c r="BO26" i="9" s="1"/>
  <c r="CU37" i="4"/>
  <c r="CV37" i="4" s="1"/>
  <c r="CJ37" i="4"/>
  <c r="AX37" i="4"/>
  <c r="BI37" i="4"/>
  <c r="BJ37" i="4" s="1"/>
  <c r="FR37" i="4"/>
  <c r="FS37" i="4" s="1"/>
  <c r="FG37" i="4"/>
  <c r="CJ34" i="4"/>
  <c r="CU34" i="4"/>
  <c r="CV34" i="4" s="1"/>
  <c r="EN43" i="4"/>
  <c r="EY43" i="4"/>
  <c r="EZ43" i="4" s="1"/>
  <c r="AP25" i="8"/>
  <c r="AQ25" i="8" s="1"/>
  <c r="AE25" i="8"/>
  <c r="AX25" i="8"/>
  <c r="BI25" i="8"/>
  <c r="BJ25" i="8" s="1"/>
  <c r="DC44" i="4"/>
  <c r="DN44" i="4"/>
  <c r="DO44" i="4" s="1"/>
  <c r="DC50" i="4"/>
  <c r="DN50" i="4"/>
  <c r="DO50" i="4" s="1"/>
  <c r="EN50" i="4"/>
  <c r="EY50" i="4"/>
  <c r="EZ50" i="4" s="1"/>
  <c r="CJ50" i="4"/>
  <c r="CU50" i="4"/>
  <c r="CV50" i="4" s="1"/>
  <c r="FR45" i="4"/>
  <c r="FS45" i="4" s="1"/>
  <c r="FG45" i="4"/>
  <c r="DC35" i="4"/>
  <c r="DN35" i="4"/>
  <c r="DO35" i="4" s="1"/>
  <c r="FG41" i="4"/>
  <c r="FR41" i="4"/>
  <c r="FS41" i="4" s="1"/>
  <c r="BC32" i="9"/>
  <c r="BN32" i="9"/>
  <c r="BO32" i="9" s="1"/>
  <c r="DN39" i="4"/>
  <c r="DO39" i="4" s="1"/>
  <c r="DC39" i="4"/>
  <c r="AX39" i="4"/>
  <c r="BI39" i="4"/>
  <c r="BJ39" i="4" s="1"/>
  <c r="EN46" i="4"/>
  <c r="EY46" i="4"/>
  <c r="EZ46" i="4" s="1"/>
  <c r="AP46" i="4"/>
  <c r="AQ46" i="4" s="1"/>
  <c r="AE46" i="4"/>
  <c r="BQ46" i="4"/>
  <c r="CB46" i="4"/>
  <c r="CC46" i="4" s="1"/>
  <c r="CJ46" i="4"/>
  <c r="CU46" i="4"/>
  <c r="CV46" i="4" s="1"/>
  <c r="AX31" i="4"/>
  <c r="BI31" i="4"/>
  <c r="BJ31" i="4" s="1"/>
  <c r="AX42" i="4"/>
  <c r="BI42" i="4"/>
  <c r="BJ42" i="4" s="1"/>
  <c r="BQ42" i="4"/>
  <c r="CB42" i="4"/>
  <c r="CC42" i="4" s="1"/>
  <c r="FG42" i="4"/>
  <c r="FR42" i="4"/>
  <c r="FS42" i="4" s="1"/>
  <c r="EN49" i="4"/>
  <c r="EY49" i="4"/>
  <c r="EZ49" i="4" s="1"/>
  <c r="FG49" i="4"/>
  <c r="FR49" i="4"/>
  <c r="FS49" i="4" s="1"/>
  <c r="AJ29" i="9"/>
  <c r="AU29" i="9"/>
  <c r="AV29" i="9" s="1"/>
  <c r="BN31" i="9"/>
  <c r="BO31" i="9" s="1"/>
  <c r="BC31" i="9"/>
  <c r="AP25" i="7"/>
  <c r="AQ25" i="7" s="1"/>
  <c r="AE25" i="7"/>
  <c r="FR33" i="4"/>
  <c r="FS33" i="4" s="1"/>
  <c r="FG33" i="4"/>
  <c r="CU33" i="4"/>
  <c r="CV33" i="4" s="1"/>
  <c r="CJ33" i="4"/>
  <c r="CB33" i="4"/>
  <c r="CC33" i="4" s="1"/>
  <c r="BQ33" i="4"/>
  <c r="AJ41" i="9"/>
  <c r="AU41" i="9"/>
  <c r="AV41" i="9" s="1"/>
  <c r="FR47" i="4"/>
  <c r="FS47" i="4" s="1"/>
  <c r="FG47" i="4"/>
  <c r="AX47" i="4"/>
  <c r="BI47" i="4"/>
  <c r="BJ47" i="4" s="1"/>
  <c r="DC47" i="4"/>
  <c r="DN47" i="4"/>
  <c r="DO47" i="4" s="1"/>
  <c r="DC37" i="4"/>
  <c r="DN37" i="4"/>
  <c r="DO37" i="4" s="1"/>
  <c r="EN37" i="4"/>
  <c r="EY37" i="4"/>
  <c r="EZ37" i="4" s="1"/>
  <c r="AP37" i="4"/>
  <c r="AQ37" i="4" s="1"/>
  <c r="AE37" i="4"/>
  <c r="BQ37" i="4"/>
  <c r="CB37" i="4"/>
  <c r="CC37" i="4" s="1"/>
  <c r="AJ42" i="9"/>
  <c r="AU42" i="9"/>
  <c r="AV42" i="9" s="1"/>
  <c r="FG34" i="4"/>
  <c r="FR34" i="4"/>
  <c r="FS34" i="4" s="1"/>
  <c r="AX34" i="4"/>
  <c r="BI34" i="4"/>
  <c r="BJ34" i="4" s="1"/>
  <c r="CU43" i="4"/>
  <c r="CV43" i="4" s="1"/>
  <c r="CJ43" i="4"/>
  <c r="DN43" i="4"/>
  <c r="DO43" i="4" s="1"/>
  <c r="DC43" i="4"/>
  <c r="CB43" i="4"/>
  <c r="CC43" i="4" s="1"/>
  <c r="BQ43" i="4"/>
  <c r="BI43" i="4"/>
  <c r="BJ43" i="4" s="1"/>
  <c r="AX43" i="4"/>
  <c r="AE24" i="7"/>
  <c r="AP24" i="7"/>
  <c r="AQ24" i="7" s="1"/>
  <c r="BF30" i="4"/>
  <c r="BF29" i="4" s="1"/>
  <c r="AM23" i="8"/>
  <c r="BY23" i="8"/>
  <c r="BY30" i="4"/>
  <c r="BY29" i="4" s="1"/>
  <c r="EV30" i="4"/>
  <c r="EV29" i="4" s="1"/>
  <c r="DK30" i="4"/>
  <c r="DK29" i="4" s="1"/>
  <c r="FO30" i="4"/>
  <c r="FO29" i="4" s="1"/>
  <c r="CR30" i="4"/>
  <c r="CR29" i="4" s="1"/>
  <c r="AM30" i="4"/>
  <c r="AM29" i="4" s="1"/>
  <c r="BF23" i="8"/>
  <c r="BF22" i="8" s="1" a="1"/>
  <c r="BF22" i="8" s="1"/>
  <c r="CR23" i="8"/>
  <c r="CR22" i="8" s="1" a="1"/>
  <c r="CR22" i="8" s="1"/>
  <c r="BD175" i="9" a="1"/>
  <c r="BD175" i="9" s="1"/>
  <c r="AM25" i="5"/>
  <c r="AX205" i="4" a="1"/>
  <c r="AX205" i="4" s="1"/>
  <c r="DD205" i="4" a="1"/>
  <c r="DD205" i="4" s="1"/>
  <c r="AF123" i="5" a="1"/>
  <c r="AF123" i="5" s="1"/>
  <c r="AR35" i="9"/>
  <c r="BM205" i="4" a="1"/>
  <c r="BM205" i="4" s="1"/>
  <c r="EO205" i="4" a="1"/>
  <c r="EO205" i="4" s="1"/>
  <c r="FG205" i="4" a="1"/>
  <c r="FG205" i="4" s="1"/>
  <c r="BB175" i="9" a="1"/>
  <c r="BB175" i="9" s="1"/>
  <c r="AD205" i="4" a="1"/>
  <c r="AD205" i="4" s="1"/>
  <c r="CJ205" i="4" a="1"/>
  <c r="CJ205" i="4" s="1"/>
  <c r="BK35" i="9"/>
  <c r="AJ175" i="9" a="1"/>
  <c r="AJ175" i="9" s="1"/>
  <c r="BP123" i="8" a="1"/>
  <c r="BP123" i="8" s="1"/>
  <c r="CI123" i="8" a="1"/>
  <c r="CI123" i="8" s="1"/>
  <c r="AE123" i="8" a="1"/>
  <c r="AE123" i="8" s="1"/>
  <c r="AU105" i="9"/>
  <c r="AV105" i="9" s="1"/>
  <c r="AJ105" i="9"/>
  <c r="BK133" i="9"/>
  <c r="AE153" i="4"/>
  <c r="AP153" i="4"/>
  <c r="AQ153" i="4" s="1"/>
  <c r="EN173" i="4"/>
  <c r="EY173" i="4"/>
  <c r="EZ173" i="4" s="1"/>
  <c r="BQ177" i="4"/>
  <c r="CB177" i="4"/>
  <c r="CC177" i="4" s="1"/>
  <c r="FG83" i="4"/>
  <c r="FR83" i="4"/>
  <c r="FS83" i="4" s="1"/>
  <c r="BF62" i="4"/>
  <c r="EN169" i="4"/>
  <c r="EY169" i="4"/>
  <c r="EZ169" i="4" s="1"/>
  <c r="DC180" i="4"/>
  <c r="DN180" i="4"/>
  <c r="DO180" i="4" s="1"/>
  <c r="CJ85" i="4"/>
  <c r="CU85" i="4"/>
  <c r="CV85" i="4" s="1"/>
  <c r="BQ86" i="8"/>
  <c r="CB86" i="8"/>
  <c r="CC86" i="8" s="1"/>
  <c r="FG60" i="4"/>
  <c r="FR60" i="4"/>
  <c r="FS60" i="4" s="1"/>
  <c r="AE138" i="4"/>
  <c r="AP138" i="4"/>
  <c r="AQ138" i="4" s="1"/>
  <c r="BF79" i="8"/>
  <c r="BC73" i="9"/>
  <c r="BN73" i="9"/>
  <c r="BO73" i="9" s="1"/>
  <c r="BF65" i="8"/>
  <c r="AX78" i="8"/>
  <c r="BI78" i="8"/>
  <c r="BJ78" i="8" s="1"/>
  <c r="BF108" i="8"/>
  <c r="CR166" i="4"/>
  <c r="BC120" i="9"/>
  <c r="BN120" i="9"/>
  <c r="BO120" i="9" s="1"/>
  <c r="AE87" i="4"/>
  <c r="AP87" i="4"/>
  <c r="AQ87" i="4" s="1"/>
  <c r="AL19" i="4" a="1"/>
  <c r="AL19" i="4" s="1"/>
  <c r="BC70" i="9"/>
  <c r="BN70" i="9"/>
  <c r="BO70" i="9" s="1"/>
  <c r="AU125" i="9"/>
  <c r="AV125" i="9" s="1"/>
  <c r="AJ125" i="9"/>
  <c r="BC145" i="9"/>
  <c r="BN145" i="9"/>
  <c r="BO145" i="9" s="1"/>
  <c r="AE156" i="4"/>
  <c r="AP156" i="4"/>
  <c r="AQ156" i="4" s="1"/>
  <c r="BI127" i="4"/>
  <c r="BJ127" i="4" s="1"/>
  <c r="AX127" i="4"/>
  <c r="AX140" i="4"/>
  <c r="BI140" i="4"/>
  <c r="BJ140" i="4" s="1"/>
  <c r="AU118" i="9"/>
  <c r="AV118" i="9" s="1"/>
  <c r="AJ118" i="9"/>
  <c r="DC115" i="4"/>
  <c r="DN115" i="4"/>
  <c r="DO115" i="4" s="1"/>
  <c r="BI96" i="4"/>
  <c r="BJ96" i="4" s="1"/>
  <c r="AX96" i="4"/>
  <c r="CR189" i="4"/>
  <c r="DC53" i="4"/>
  <c r="DN53" i="4"/>
  <c r="DO53" i="4" s="1"/>
  <c r="BE19" i="8" a="1"/>
  <c r="BE19" i="8" s="1"/>
  <c r="FG59" i="4"/>
  <c r="FR59" i="4"/>
  <c r="FS59" i="4" s="1"/>
  <c r="BC128" i="9"/>
  <c r="BN128" i="9"/>
  <c r="BO128" i="9" s="1"/>
  <c r="CR141" i="4"/>
  <c r="FG85" i="4"/>
  <c r="FR85" i="4"/>
  <c r="FS85" i="4" s="1"/>
  <c r="EN179" i="4"/>
  <c r="EY179" i="4"/>
  <c r="EZ179" i="4" s="1"/>
  <c r="BQ60" i="4"/>
  <c r="CB60" i="4"/>
  <c r="CC60" i="4" s="1"/>
  <c r="BN114" i="9"/>
  <c r="BO114" i="9" s="1"/>
  <c r="BC114" i="9"/>
  <c r="AE35" i="8"/>
  <c r="AP35" i="8"/>
  <c r="AQ35" i="8" s="1"/>
  <c r="AU73" i="9"/>
  <c r="AV73" i="9" s="1"/>
  <c r="AJ73" i="9"/>
  <c r="AE66" i="8"/>
  <c r="AP66" i="8"/>
  <c r="AQ66" i="8" s="1"/>
  <c r="FG73" i="4"/>
  <c r="FR73" i="4"/>
  <c r="FS73" i="4" s="1"/>
  <c r="EN178" i="4"/>
  <c r="EY178" i="4"/>
  <c r="EZ178" i="4" s="1"/>
  <c r="CJ33" i="8"/>
  <c r="CU33" i="8"/>
  <c r="CV33" i="8" s="1"/>
  <c r="AX109" i="8"/>
  <c r="BI109" i="8"/>
  <c r="BJ109" i="8" s="1"/>
  <c r="AX157" i="4"/>
  <c r="BI157" i="4"/>
  <c r="BJ157" i="4" s="1"/>
  <c r="AE56" i="7"/>
  <c r="AP56" i="7"/>
  <c r="AQ56" i="7" s="1"/>
  <c r="EN205" i="4" a="1"/>
  <c r="EN205" i="4" s="1"/>
  <c r="EU19" i="4" a="1"/>
  <c r="EU19" i="4" s="1"/>
  <c r="AU70" i="9"/>
  <c r="AV70" i="9" s="1"/>
  <c r="AJ70" i="9"/>
  <c r="AU141" i="9"/>
  <c r="AV141" i="9" s="1"/>
  <c r="AJ141" i="9"/>
  <c r="BQ32" i="8"/>
  <c r="CB32" i="8"/>
  <c r="CC32" i="8" s="1"/>
  <c r="BQ182" i="4"/>
  <c r="CB182" i="4"/>
  <c r="CC182" i="4" s="1"/>
  <c r="BC90" i="9"/>
  <c r="BN90" i="9"/>
  <c r="BO90" i="9" s="1"/>
  <c r="BQ76" i="8"/>
  <c r="CB76" i="8"/>
  <c r="CC76" i="8" s="1"/>
  <c r="BY155" i="4"/>
  <c r="AX115" i="4"/>
  <c r="BI115" i="4"/>
  <c r="BJ115" i="4" s="1"/>
  <c r="AM189" i="4"/>
  <c r="AP46" i="5"/>
  <c r="AQ46" i="5" s="1"/>
  <c r="AE46" i="5"/>
  <c r="BX21" i="8" a="1"/>
  <c r="BX21" i="8" s="1"/>
  <c r="BC104" i="9"/>
  <c r="BN104" i="9"/>
  <c r="BO104" i="9" s="1"/>
  <c r="EN113" i="4"/>
  <c r="EY113" i="4"/>
  <c r="EZ113" i="4" s="1"/>
  <c r="BC146" i="9"/>
  <c r="BN146" i="9"/>
  <c r="BO146" i="9" s="1"/>
  <c r="AE130" i="4"/>
  <c r="AP130" i="4"/>
  <c r="AQ130" i="4" s="1"/>
  <c r="AE74" i="7"/>
  <c r="AP74" i="7"/>
  <c r="AQ74" i="7" s="1"/>
  <c r="EN164" i="4"/>
  <c r="EY164" i="4"/>
  <c r="EZ164" i="4" s="1"/>
  <c r="DC144" i="4"/>
  <c r="DN144" i="4"/>
  <c r="DO144" i="4" s="1"/>
  <c r="FG186" i="4"/>
  <c r="FR186" i="4"/>
  <c r="FS186" i="4" s="1"/>
  <c r="CJ139" i="4"/>
  <c r="CU139" i="4"/>
  <c r="CV139" i="4" s="1"/>
  <c r="AE60" i="7"/>
  <c r="AP60" i="7"/>
  <c r="AQ60" i="7" s="1"/>
  <c r="AM38" i="5"/>
  <c r="AJ165" i="9"/>
  <c r="AU165" i="9"/>
  <c r="AV165" i="9" s="1"/>
  <c r="CJ112" i="4"/>
  <c r="CU112" i="4"/>
  <c r="CV112" i="4" s="1"/>
  <c r="BK166" i="9"/>
  <c r="CJ54" i="8"/>
  <c r="CU54" i="8"/>
  <c r="CV54" i="8" s="1"/>
  <c r="AR109" i="9"/>
  <c r="EN94" i="4"/>
  <c r="EY94" i="4"/>
  <c r="EZ94" i="4" s="1"/>
  <c r="CU30" i="4"/>
  <c r="CV30" i="4" s="1"/>
  <c r="CJ30" i="4"/>
  <c r="FG75" i="4"/>
  <c r="FR75" i="4"/>
  <c r="FS75" i="4" s="1"/>
  <c r="BC48" i="9"/>
  <c r="BN48" i="9"/>
  <c r="BO48" i="9" s="1"/>
  <c r="AE113" i="4"/>
  <c r="AP113" i="4"/>
  <c r="AQ113" i="4" s="1"/>
  <c r="AE113" i="8"/>
  <c r="AP113" i="8"/>
  <c r="AQ113" i="8" s="1"/>
  <c r="EN59" i="4"/>
  <c r="EY59" i="4"/>
  <c r="EZ59" i="4" s="1"/>
  <c r="BC37" i="9"/>
  <c r="BN37" i="9"/>
  <c r="BO37" i="9" s="1"/>
  <c r="BC82" i="9"/>
  <c r="BN82" i="9"/>
  <c r="BO82" i="9" s="1"/>
  <c r="AM27" i="7"/>
  <c r="BC134" i="9"/>
  <c r="BN134" i="9"/>
  <c r="BO134" i="9" s="1"/>
  <c r="AJ146" i="9"/>
  <c r="AU146" i="9"/>
  <c r="AV146" i="9" s="1"/>
  <c r="FO152" i="4"/>
  <c r="DC173" i="4"/>
  <c r="DN173" i="4"/>
  <c r="DO173" i="4" s="1"/>
  <c r="AX94" i="8"/>
  <c r="BI94" i="8"/>
  <c r="BJ94" i="8" s="1"/>
  <c r="AX63" i="8"/>
  <c r="BI63" i="8"/>
  <c r="BJ63" i="8" s="1"/>
  <c r="BI61" i="4"/>
  <c r="BJ61" i="4" s="1"/>
  <c r="AX61" i="4"/>
  <c r="EN85" i="4"/>
  <c r="EY85" i="4"/>
  <c r="EZ85" i="4" s="1"/>
  <c r="BQ100" i="8"/>
  <c r="CB100" i="8"/>
  <c r="CC100" i="8" s="1"/>
  <c r="BC147" i="9"/>
  <c r="BN147" i="9"/>
  <c r="BO147" i="9" s="1"/>
  <c r="DC60" i="4"/>
  <c r="DN60" i="4"/>
  <c r="DO60" i="4" s="1"/>
  <c r="FG184" i="4"/>
  <c r="FR184" i="4"/>
  <c r="FS184" i="4" s="1"/>
  <c r="AM65" i="8"/>
  <c r="CJ73" i="4"/>
  <c r="CU73" i="4"/>
  <c r="CV73" i="4" s="1"/>
  <c r="BQ78" i="8"/>
  <c r="CB78" i="8"/>
  <c r="CC78" i="8" s="1"/>
  <c r="AJ164" i="9"/>
  <c r="AU164" i="9"/>
  <c r="AV164" i="9" s="1"/>
  <c r="BY108" i="8"/>
  <c r="AM166" i="4"/>
  <c r="AU120" i="9"/>
  <c r="AV120" i="9" s="1"/>
  <c r="AJ120" i="9"/>
  <c r="FG72" i="4"/>
  <c r="FR72" i="4"/>
  <c r="FS72" i="4" s="1"/>
  <c r="AM55" i="7"/>
  <c r="EM205" i="4" a="1"/>
  <c r="EM205" i="4" s="1"/>
  <c r="AM70" i="4"/>
  <c r="DC182" i="4"/>
  <c r="DN182" i="4"/>
  <c r="DO182" i="4" s="1"/>
  <c r="BK89" i="9"/>
  <c r="CJ76" i="8"/>
  <c r="CU76" i="8"/>
  <c r="CV76" i="8" s="1"/>
  <c r="EN156" i="4"/>
  <c r="EY156" i="4"/>
  <c r="EZ156" i="4" s="1"/>
  <c r="CR49" i="8"/>
  <c r="AX89" i="8"/>
  <c r="BI89" i="8"/>
  <c r="BJ89" i="8" s="1"/>
  <c r="AP71" i="5"/>
  <c r="AQ71" i="5" s="1"/>
  <c r="AE71" i="5"/>
  <c r="BF114" i="4"/>
  <c r="FG190" i="4"/>
  <c r="FR190" i="4"/>
  <c r="FS190" i="4" s="1"/>
  <c r="AP107" i="5"/>
  <c r="AQ107" i="5" s="1"/>
  <c r="AE107" i="5"/>
  <c r="AE181" i="4"/>
  <c r="AP181" i="4"/>
  <c r="AQ181" i="4" s="1"/>
  <c r="CJ53" i="4"/>
  <c r="CU53" i="4"/>
  <c r="CV53" i="4" s="1"/>
  <c r="BE20" i="8" a="1"/>
  <c r="BE20" i="8" s="1"/>
  <c r="BC167" i="9"/>
  <c r="BN167" i="9"/>
  <c r="BO167" i="9" s="1"/>
  <c r="DC67" i="4"/>
  <c r="DN67" i="4"/>
  <c r="DO67" i="4" s="1"/>
  <c r="BI55" i="4"/>
  <c r="BJ55" i="4" s="1"/>
  <c r="AX55" i="4"/>
  <c r="EN75" i="4"/>
  <c r="EY75" i="4"/>
  <c r="EZ75" i="4" s="1"/>
  <c r="AU48" i="9"/>
  <c r="AV48" i="9" s="1"/>
  <c r="AJ48" i="9"/>
  <c r="CJ48" i="8"/>
  <c r="CU48" i="8"/>
  <c r="CV48" i="8" s="1"/>
  <c r="FG113" i="4"/>
  <c r="FR113" i="4"/>
  <c r="FS113" i="4" s="1"/>
  <c r="BY112" i="8"/>
  <c r="AX116" i="8"/>
  <c r="BI116" i="8"/>
  <c r="BJ116" i="8" s="1"/>
  <c r="BY58" i="4"/>
  <c r="AE27" i="7"/>
  <c r="AP27" i="7"/>
  <c r="AQ27" i="7" s="1"/>
  <c r="AR133" i="9"/>
  <c r="EV152" i="4"/>
  <c r="BQ148" i="4"/>
  <c r="CB148" i="4"/>
  <c r="CC148" i="4" s="1"/>
  <c r="BF141" i="4"/>
  <c r="BI177" i="4"/>
  <c r="BJ177" i="4" s="1"/>
  <c r="AX177" i="4"/>
  <c r="AE169" i="4"/>
  <c r="AP169" i="4"/>
  <c r="AQ169" i="4" s="1"/>
  <c r="BC95" i="9"/>
  <c r="BN95" i="9"/>
  <c r="BO95" i="9" s="1"/>
  <c r="AE85" i="4"/>
  <c r="AP85" i="4"/>
  <c r="AQ85" i="4" s="1"/>
  <c r="AE179" i="4"/>
  <c r="AP179" i="4"/>
  <c r="AQ179" i="4" s="1"/>
  <c r="AX138" i="4"/>
  <c r="BI138" i="4"/>
  <c r="BJ138" i="4" s="1"/>
  <c r="FG185" i="4"/>
  <c r="FR185" i="4"/>
  <c r="FS185" i="4" s="1"/>
  <c r="CR79" i="8"/>
  <c r="AX35" i="8"/>
  <c r="BI35" i="8"/>
  <c r="BJ35" i="8" s="1"/>
  <c r="DC159" i="4"/>
  <c r="DN159" i="4"/>
  <c r="DO159" i="4" s="1"/>
  <c r="BQ66" i="8"/>
  <c r="CB66" i="8"/>
  <c r="CC66" i="8" s="1"/>
  <c r="AR163" i="9"/>
  <c r="AM108" i="8"/>
  <c r="BQ72" i="4"/>
  <c r="CB72" i="4"/>
  <c r="CC72" i="4" s="1"/>
  <c r="FF205" i="4" a="1"/>
  <c r="FF205" i="4" s="1"/>
  <c r="EJ205" i="4" a="1"/>
  <c r="EJ205" i="4" s="1"/>
  <c r="AL18" i="4" a="1"/>
  <c r="AL18" i="4" s="1"/>
  <c r="AE182" i="4"/>
  <c r="AP182" i="4"/>
  <c r="AQ182" i="4" s="1"/>
  <c r="CJ68" i="4"/>
  <c r="CU68" i="4"/>
  <c r="CV68" i="4" s="1"/>
  <c r="AU145" i="9"/>
  <c r="AV145" i="9" s="1"/>
  <c r="AJ145" i="9"/>
  <c r="AE76" i="8"/>
  <c r="AP76" i="8"/>
  <c r="AQ76" i="8" s="1"/>
  <c r="DC156" i="4"/>
  <c r="DN156" i="4"/>
  <c r="DO156" i="4" s="1"/>
  <c r="AE89" i="8"/>
  <c r="AP89" i="8"/>
  <c r="AQ89" i="8" s="1"/>
  <c r="FG191" i="4"/>
  <c r="FR191" i="4"/>
  <c r="FS191" i="4" s="1"/>
  <c r="AM70" i="5"/>
  <c r="EN125" i="4"/>
  <c r="EY125" i="4"/>
  <c r="EZ125" i="4" s="1"/>
  <c r="AE87" i="7"/>
  <c r="AP87" i="7"/>
  <c r="AQ87" i="7" s="1"/>
  <c r="AE41" i="7"/>
  <c r="AP41" i="7"/>
  <c r="AQ41" i="7" s="1"/>
  <c r="DK189" i="4"/>
  <c r="EN183" i="4"/>
  <c r="EY183" i="4"/>
  <c r="EZ183" i="4" s="1"/>
  <c r="BI53" i="4"/>
  <c r="BJ53" i="4" s="1"/>
  <c r="AX53" i="4"/>
  <c r="BX19" i="8" a="1"/>
  <c r="BX19" i="8" s="1"/>
  <c r="FG112" i="4"/>
  <c r="FR112" i="4"/>
  <c r="FS112" i="4" s="1"/>
  <c r="FG150" i="4"/>
  <c r="FR150" i="4"/>
  <c r="FS150" i="4" s="1"/>
  <c r="BC59" i="9"/>
  <c r="BN59" i="9"/>
  <c r="BO59" i="9" s="1"/>
  <c r="FO163" i="4"/>
  <c r="CJ186" i="4"/>
  <c r="CU186" i="4"/>
  <c r="CV186" i="4" s="1"/>
  <c r="BC62" i="9"/>
  <c r="BN62" i="9"/>
  <c r="BO62" i="9" s="1"/>
  <c r="BY66" i="4"/>
  <c r="AM117" i="5"/>
  <c r="BC140" i="9"/>
  <c r="BN140" i="9"/>
  <c r="BO140" i="9" s="1"/>
  <c r="BQ162" i="4"/>
  <c r="CB162" i="4"/>
  <c r="CC162" i="4" s="1"/>
  <c r="BC98" i="9"/>
  <c r="BN98" i="9"/>
  <c r="BO98" i="9" s="1"/>
  <c r="FG94" i="4"/>
  <c r="FR94" i="4"/>
  <c r="FS94" i="4" s="1"/>
  <c r="AX48" i="8"/>
  <c r="BI48" i="8"/>
  <c r="BJ48" i="8" s="1"/>
  <c r="AX113" i="4"/>
  <c r="BI113" i="4"/>
  <c r="BJ113" i="4" s="1"/>
  <c r="AM112" i="8"/>
  <c r="CJ116" i="8"/>
  <c r="CU116" i="8"/>
  <c r="CV116" i="8" s="1"/>
  <c r="AE59" i="4"/>
  <c r="AP59" i="4"/>
  <c r="AQ59" i="4" s="1"/>
  <c r="AU37" i="9"/>
  <c r="AV37" i="9" s="1"/>
  <c r="AJ37" i="9"/>
  <c r="AJ128" i="9"/>
  <c r="AU128" i="9"/>
  <c r="AV128" i="9" s="1"/>
  <c r="AX173" i="4"/>
  <c r="BI173" i="4"/>
  <c r="BJ173" i="4" s="1"/>
  <c r="AU150" i="9"/>
  <c r="AV150" i="9" s="1"/>
  <c r="AJ150" i="9"/>
  <c r="CJ95" i="4"/>
  <c r="CU95" i="4"/>
  <c r="CV95" i="4" s="1"/>
  <c r="FG169" i="4"/>
  <c r="FR169" i="4"/>
  <c r="FS169" i="4" s="1"/>
  <c r="AX180" i="4"/>
  <c r="BI180" i="4"/>
  <c r="BJ180" i="4" s="1"/>
  <c r="FG179" i="4"/>
  <c r="FR179" i="4"/>
  <c r="FS179" i="4" s="1"/>
  <c r="CJ60" i="4"/>
  <c r="CU60" i="4"/>
  <c r="CV60" i="4" s="1"/>
  <c r="EN145" i="4"/>
  <c r="EY145" i="4"/>
  <c r="EZ145" i="4" s="1"/>
  <c r="AJ114" i="9"/>
  <c r="AU114" i="9"/>
  <c r="AV114" i="9" s="1"/>
  <c r="AM79" i="8"/>
  <c r="CJ35" i="8"/>
  <c r="CU35" i="8"/>
  <c r="CV35" i="8" s="1"/>
  <c r="BC94" i="9"/>
  <c r="BN94" i="9"/>
  <c r="BO94" i="9" s="1"/>
  <c r="BQ159" i="4"/>
  <c r="CB159" i="4"/>
  <c r="CC159" i="4" s="1"/>
  <c r="CJ66" i="8"/>
  <c r="CU66" i="8"/>
  <c r="CV66" i="8" s="1"/>
  <c r="BC113" i="9"/>
  <c r="BN113" i="9"/>
  <c r="BO113" i="9" s="1"/>
  <c r="BI73" i="4"/>
  <c r="BJ73" i="4" s="1"/>
  <c r="AX73" i="4"/>
  <c r="BC81" i="9"/>
  <c r="BN81" i="9"/>
  <c r="BO81" i="9" s="1"/>
  <c r="BC164" i="9"/>
  <c r="BN164" i="9"/>
  <c r="BO164" i="9" s="1"/>
  <c r="AE109" i="8"/>
  <c r="AP109" i="8"/>
  <c r="AQ109" i="8" s="1"/>
  <c r="FG167" i="4"/>
  <c r="FR167" i="4"/>
  <c r="FS167" i="4" s="1"/>
  <c r="DC103" i="4"/>
  <c r="DN103" i="4"/>
  <c r="DO103" i="4" s="1"/>
  <c r="CI205" i="4" a="1"/>
  <c r="CI205" i="4" s="1"/>
  <c r="FH205" i="4" a="1"/>
  <c r="FH205" i="4" s="1"/>
  <c r="AL21" i="4" a="1"/>
  <c r="AL21" i="4" s="1"/>
  <c r="AR89" i="9"/>
  <c r="CJ156" i="4"/>
  <c r="CU156" i="4"/>
  <c r="CV156" i="4" s="1"/>
  <c r="BF49" i="8"/>
  <c r="EN191" i="4"/>
  <c r="EY191" i="4"/>
  <c r="EZ191" i="4" s="1"/>
  <c r="AX31" i="8"/>
  <c r="BI31" i="8"/>
  <c r="BJ31" i="8" s="1"/>
  <c r="EN123" i="4"/>
  <c r="EY123" i="4"/>
  <c r="EZ123" i="4" s="1"/>
  <c r="AE57" i="8"/>
  <c r="AP57" i="8"/>
  <c r="AQ57" i="8" s="1"/>
  <c r="BF189" i="4"/>
  <c r="BQ183" i="4"/>
  <c r="CB183" i="4"/>
  <c r="CC183" i="4" s="1"/>
  <c r="BQ123" i="8" a="1"/>
  <c r="BQ123" i="8" s="1"/>
  <c r="AU98" i="9"/>
  <c r="AV98" i="9" s="1"/>
  <c r="AJ98" i="9"/>
  <c r="AE94" i="4"/>
  <c r="AP94" i="4"/>
  <c r="AQ94" i="4" s="1"/>
  <c r="EN148" i="4"/>
  <c r="EY148" i="4"/>
  <c r="EZ148" i="4" s="1"/>
  <c r="AM43" i="7"/>
  <c r="AE97" i="8"/>
  <c r="AP97" i="8"/>
  <c r="AQ97" i="8" s="1"/>
  <c r="BY62" i="8"/>
  <c r="CJ169" i="4"/>
  <c r="CU169" i="4"/>
  <c r="CV169" i="4" s="1"/>
  <c r="EV109" i="4"/>
  <c r="FG111" i="4"/>
  <c r="FR111" i="4"/>
  <c r="FS111" i="4" s="1"/>
  <c r="AX67" i="8"/>
  <c r="BI67" i="8"/>
  <c r="BJ67" i="8" s="1"/>
  <c r="AJ147" i="9"/>
  <c r="AU147" i="9"/>
  <c r="AV147" i="9" s="1"/>
  <c r="FG130" i="4"/>
  <c r="FR130" i="4"/>
  <c r="FS130" i="4" s="1"/>
  <c r="CR97" i="4"/>
  <c r="AE188" i="4"/>
  <c r="AP188" i="4"/>
  <c r="AQ188" i="4" s="1"/>
  <c r="BQ35" i="8"/>
  <c r="CB35" i="8"/>
  <c r="CC35" i="8" s="1"/>
  <c r="CR65" i="8"/>
  <c r="CJ86" i="4"/>
  <c r="CU86" i="4"/>
  <c r="CV86" i="4" s="1"/>
  <c r="BK163" i="9"/>
  <c r="CJ109" i="8"/>
  <c r="CU109" i="8"/>
  <c r="CV109" i="8" s="1"/>
  <c r="CJ167" i="4"/>
  <c r="CU167" i="4"/>
  <c r="CV167" i="4" s="1"/>
  <c r="BC136" i="9"/>
  <c r="BN136" i="9"/>
  <c r="BO136" i="9" s="1"/>
  <c r="FC205" i="4" a="1"/>
  <c r="FC205" i="4" s="1"/>
  <c r="BE19" i="4" a="1"/>
  <c r="BE19" i="4" s="1"/>
  <c r="BI182" i="4"/>
  <c r="BJ182" i="4" s="1"/>
  <c r="AX182" i="4"/>
  <c r="AM78" i="4"/>
  <c r="AU90" i="9"/>
  <c r="AV90" i="9" s="1"/>
  <c r="AJ90" i="9"/>
  <c r="BC139" i="9"/>
  <c r="BN139" i="9"/>
  <c r="BO139" i="9" s="1"/>
  <c r="DK155" i="4"/>
  <c r="BQ89" i="8"/>
  <c r="CB89" i="8"/>
  <c r="CC89" i="8" s="1"/>
  <c r="BQ191" i="4"/>
  <c r="CB191" i="4"/>
  <c r="CC191" i="4" s="1"/>
  <c r="AE57" i="4"/>
  <c r="AP57" i="4"/>
  <c r="AQ57" i="4" s="1"/>
  <c r="AM86" i="7"/>
  <c r="CJ31" i="8"/>
  <c r="CU31" i="8"/>
  <c r="CV31" i="8" s="1"/>
  <c r="BI190" i="4"/>
  <c r="BJ190" i="4" s="1"/>
  <c r="AX190" i="4"/>
  <c r="BC69" i="9"/>
  <c r="BN69" i="9"/>
  <c r="BO69" i="9" s="1"/>
  <c r="FG183" i="4"/>
  <c r="FR183" i="4"/>
  <c r="FS183" i="4" s="1"/>
  <c r="AL19" i="8" a="1"/>
  <c r="AL19" i="8" s="1"/>
  <c r="AU104" i="9"/>
  <c r="AV104" i="9" s="1"/>
  <c r="AJ104" i="9"/>
  <c r="CJ113" i="8"/>
  <c r="CU113" i="8"/>
  <c r="CV113" i="8" s="1"/>
  <c r="AM58" i="4"/>
  <c r="AM163" i="4"/>
  <c r="BQ61" i="8"/>
  <c r="CB61" i="8"/>
  <c r="CC61" i="8" s="1"/>
  <c r="BI186" i="4"/>
  <c r="BJ186" i="4" s="1"/>
  <c r="AX186" i="4"/>
  <c r="AR166" i="9"/>
  <c r="FO66" i="4"/>
  <c r="EN69" i="4"/>
  <c r="EY69" i="4"/>
  <c r="EZ69" i="4" s="1"/>
  <c r="BC93" i="9"/>
  <c r="BN93" i="9"/>
  <c r="BO93" i="9" s="1"/>
  <c r="FG158" i="4"/>
  <c r="FR158" i="4"/>
  <c r="FS158" i="4" s="1"/>
  <c r="CJ94" i="4"/>
  <c r="CU94" i="4"/>
  <c r="CV94" i="4" s="1"/>
  <c r="AE68" i="7"/>
  <c r="AP68" i="7"/>
  <c r="AQ68" i="7" s="1"/>
  <c r="AE57" i="7"/>
  <c r="AP57" i="7"/>
  <c r="AQ57" i="7" s="1"/>
  <c r="BQ116" i="8"/>
  <c r="CB116" i="8"/>
  <c r="CC116" i="8" s="1"/>
  <c r="AE95" i="7"/>
  <c r="AP95" i="7"/>
  <c r="AQ95" i="7" s="1"/>
  <c r="AE97" i="7"/>
  <c r="AP97" i="7"/>
  <c r="AQ97" i="7" s="1"/>
  <c r="AE73" i="7"/>
  <c r="AP73" i="7"/>
  <c r="AQ73" i="7" s="1"/>
  <c r="CJ94" i="8"/>
  <c r="CU94" i="8"/>
  <c r="CV94" i="8" s="1"/>
  <c r="AE63" i="8"/>
  <c r="AP63" i="8"/>
  <c r="AQ63" i="8" s="1"/>
  <c r="DK109" i="4"/>
  <c r="AJ95" i="9"/>
  <c r="AU95" i="9"/>
  <c r="AV95" i="9" s="1"/>
  <c r="AX58" i="8"/>
  <c r="BI58" i="8"/>
  <c r="BJ58" i="8" s="1"/>
  <c r="AX71" i="8"/>
  <c r="BI71" i="8"/>
  <c r="BJ71" i="8" s="1"/>
  <c r="DC179" i="4"/>
  <c r="DN179" i="4"/>
  <c r="DO179" i="4" s="1"/>
  <c r="BI60" i="4"/>
  <c r="BJ60" i="4" s="1"/>
  <c r="AX60" i="4"/>
  <c r="AE40" i="7"/>
  <c r="AP40" i="7"/>
  <c r="AQ40" i="7" s="1"/>
  <c r="BQ188" i="4"/>
  <c r="CB188" i="4"/>
  <c r="CC188" i="4" s="1"/>
  <c r="FO118" i="4"/>
  <c r="AU113" i="9"/>
  <c r="AV113" i="9" s="1"/>
  <c r="AJ113" i="9"/>
  <c r="AE167" i="4"/>
  <c r="AP167" i="4"/>
  <c r="AQ167" i="4" s="1"/>
  <c r="BK135" i="9"/>
  <c r="DC72" i="4"/>
  <c r="DN72" i="4"/>
  <c r="DO72" i="4" s="1"/>
  <c r="FG103" i="4"/>
  <c r="FR103" i="4"/>
  <c r="FS103" i="4" s="1"/>
  <c r="BR205" i="4" a="1"/>
  <c r="BR205" i="4" s="1"/>
  <c r="AT205" i="4" a="1"/>
  <c r="AT205" i="4" s="1"/>
  <c r="BE20" i="4" a="1"/>
  <c r="BE20" i="4" s="1"/>
  <c r="BC67" i="9"/>
  <c r="BN67" i="9"/>
  <c r="BO67" i="9" s="1"/>
  <c r="EV70" i="4"/>
  <c r="CR78" i="4"/>
  <c r="DC68" i="4"/>
  <c r="DN68" i="4"/>
  <c r="DO68" i="4" s="1"/>
  <c r="BK138" i="9"/>
  <c r="BI156" i="4"/>
  <c r="BJ156" i="4" s="1"/>
  <c r="AX156" i="4"/>
  <c r="CJ89" i="8"/>
  <c r="CU89" i="8"/>
  <c r="CV89" i="8" s="1"/>
  <c r="FG57" i="4"/>
  <c r="FR57" i="4"/>
  <c r="FS57" i="4" s="1"/>
  <c r="AE81" i="8"/>
  <c r="AP81" i="8"/>
  <c r="AQ81" i="8" s="1"/>
  <c r="BQ57" i="8"/>
  <c r="CB57" i="8"/>
  <c r="CC57" i="8" s="1"/>
  <c r="FG146" i="4"/>
  <c r="FR146" i="4"/>
  <c r="FS146" i="4" s="1"/>
  <c r="DC183" i="4"/>
  <c r="DN183" i="4"/>
  <c r="DO183" i="4" s="1"/>
  <c r="CF123" i="8" a="1"/>
  <c r="CF123" i="8" s="1"/>
  <c r="AM135" i="4"/>
  <c r="AE97" i="5"/>
  <c r="AP97" i="5"/>
  <c r="AQ97" i="5" s="1"/>
  <c r="CJ86" i="8"/>
  <c r="CU86" i="8"/>
  <c r="CV86" i="8" s="1"/>
  <c r="AE39" i="7"/>
  <c r="AP39" i="7"/>
  <c r="AQ39" i="7" s="1"/>
  <c r="AU82" i="9"/>
  <c r="AV82" i="9" s="1"/>
  <c r="AJ82" i="9"/>
  <c r="BC64" i="9"/>
  <c r="BN64" i="9"/>
  <c r="BO64" i="9" s="1"/>
  <c r="CJ164" i="4"/>
  <c r="CU164" i="4"/>
  <c r="CV164" i="4" s="1"/>
  <c r="AX61" i="8"/>
  <c r="BI61" i="8"/>
  <c r="BJ61" i="8" s="1"/>
  <c r="BQ106" i="4"/>
  <c r="CB106" i="4"/>
  <c r="CC106" i="4" s="1"/>
  <c r="AU62" i="9"/>
  <c r="AV62" i="9" s="1"/>
  <c r="AJ62" i="9"/>
  <c r="FG137" i="4"/>
  <c r="FR137" i="4"/>
  <c r="FS137" i="4" s="1"/>
  <c r="BK92" i="9"/>
  <c r="CJ162" i="4"/>
  <c r="CU162" i="4"/>
  <c r="CV162" i="4" s="1"/>
  <c r="AE158" i="4"/>
  <c r="AP158" i="4"/>
  <c r="AQ158" i="4" s="1"/>
  <c r="AE108" i="5"/>
  <c r="AP108" i="5"/>
  <c r="AQ108" i="5" s="1"/>
  <c r="BQ48" i="8"/>
  <c r="CB48" i="8"/>
  <c r="CC48" i="8" s="1"/>
  <c r="AE78" i="7"/>
  <c r="AP78" i="7"/>
  <c r="AQ78" i="7" s="1"/>
  <c r="DC148" i="4"/>
  <c r="DN148" i="4"/>
  <c r="DO148" i="4" s="1"/>
  <c r="AE44" i="7"/>
  <c r="AP44" i="7"/>
  <c r="AQ44" i="7" s="1"/>
  <c r="BC72" i="9"/>
  <c r="BN72" i="9"/>
  <c r="BO72" i="9" s="1"/>
  <c r="BQ97" i="8"/>
  <c r="CB97" i="8"/>
  <c r="CC97" i="8" s="1"/>
  <c r="BQ94" i="8"/>
  <c r="CB94" i="8"/>
  <c r="CC94" i="8" s="1"/>
  <c r="CJ110" i="4"/>
  <c r="CU110" i="4"/>
  <c r="CV110" i="4" s="1"/>
  <c r="AX85" i="4"/>
  <c r="BI85" i="4"/>
  <c r="BJ85" i="4" s="1"/>
  <c r="AX130" i="4"/>
  <c r="BI130" i="4"/>
  <c r="BJ130" i="4" s="1"/>
  <c r="AM97" i="4"/>
  <c r="BC157" i="9"/>
  <c r="BN157" i="9"/>
  <c r="BO157" i="9" s="1"/>
  <c r="EV187" i="4"/>
  <c r="BY118" i="4"/>
  <c r="AE159" i="4"/>
  <c r="AP159" i="4"/>
  <c r="AQ159" i="4" s="1"/>
  <c r="BQ34" i="8"/>
  <c r="CB34" i="8"/>
  <c r="CC34" i="8" s="1"/>
  <c r="AP90" i="5"/>
  <c r="AQ90" i="5" s="1"/>
  <c r="AE90" i="5"/>
  <c r="AU81" i="9"/>
  <c r="AV81" i="9" s="1"/>
  <c r="AJ81" i="9"/>
  <c r="BY166" i="4"/>
  <c r="AU136" i="9"/>
  <c r="AV136" i="9" s="1"/>
  <c r="AJ136" i="9"/>
  <c r="BX20" i="4" a="1"/>
  <c r="BX20" i="4" s="1"/>
  <c r="BE21" i="4" a="1"/>
  <c r="BE21" i="4" s="1"/>
  <c r="AX68" i="4"/>
  <c r="BI68" i="4"/>
  <c r="BJ68" i="4" s="1"/>
  <c r="BF155" i="4"/>
  <c r="AM49" i="8"/>
  <c r="DC191" i="4"/>
  <c r="DN191" i="4"/>
  <c r="DO191" i="4" s="1"/>
  <c r="EN175" i="4"/>
  <c r="EY175" i="4"/>
  <c r="EZ175" i="4" s="1"/>
  <c r="EN57" i="4"/>
  <c r="EY57" i="4"/>
  <c r="EZ57" i="4" s="1"/>
  <c r="BQ81" i="8"/>
  <c r="CB81" i="8"/>
  <c r="CC81" i="8" s="1"/>
  <c r="FG123" i="4"/>
  <c r="FR123" i="4"/>
  <c r="FS123" i="4" s="1"/>
  <c r="AX57" i="8"/>
  <c r="BI57" i="8"/>
  <c r="BJ57" i="8" s="1"/>
  <c r="AE117" i="4"/>
  <c r="AP117" i="4"/>
  <c r="AQ117" i="4" s="1"/>
  <c r="BQ93" i="4"/>
  <c r="CB93" i="4"/>
  <c r="CC93" i="4" s="1"/>
  <c r="CJ183" i="4"/>
  <c r="CU183" i="4"/>
  <c r="CV183" i="4" s="1"/>
  <c r="AL21" i="8" a="1"/>
  <c r="AL21" i="8" s="1"/>
  <c r="BC35" i="9"/>
  <c r="BN35" i="9"/>
  <c r="BO35" i="9" s="1"/>
  <c r="AE48" i="5"/>
  <c r="AP48" i="5"/>
  <c r="AQ48" i="5" s="1"/>
  <c r="AX64" i="8"/>
  <c r="BI64" i="8"/>
  <c r="BJ64" i="8" s="1"/>
  <c r="CR66" i="4"/>
  <c r="FG69" i="4"/>
  <c r="FR69" i="4"/>
  <c r="FS69" i="4" s="1"/>
  <c r="AE32" i="7"/>
  <c r="AP32" i="7"/>
  <c r="AQ32" i="7" s="1"/>
  <c r="DC94" i="4"/>
  <c r="DN94" i="4"/>
  <c r="DO94" i="4" s="1"/>
  <c r="AM67" i="7"/>
  <c r="CJ75" i="4"/>
  <c r="CU75" i="4"/>
  <c r="CV75" i="4" s="1"/>
  <c r="DC150" i="4"/>
  <c r="DN150" i="4"/>
  <c r="DO150" i="4" s="1"/>
  <c r="DC193" i="4"/>
  <c r="DN193" i="4"/>
  <c r="DO193" i="4" s="1"/>
  <c r="AM96" i="7"/>
  <c r="BQ101" i="4"/>
  <c r="CB101" i="4"/>
  <c r="CC101" i="4" s="1"/>
  <c r="AE99" i="7"/>
  <c r="AP99" i="7"/>
  <c r="AQ99" i="7" s="1"/>
  <c r="AE94" i="8"/>
  <c r="AP94" i="8"/>
  <c r="AQ94" i="8" s="1"/>
  <c r="BQ111" i="4"/>
  <c r="CB111" i="4"/>
  <c r="CC111" i="4" s="1"/>
  <c r="BK156" i="9"/>
  <c r="FG188" i="4"/>
  <c r="FR188" i="4"/>
  <c r="FS188" i="4" s="1"/>
  <c r="DK118" i="4"/>
  <c r="AU94" i="9"/>
  <c r="AV94" i="9" s="1"/>
  <c r="AJ94" i="9"/>
  <c r="AE34" i="8"/>
  <c r="AP34" i="8"/>
  <c r="AQ34" i="8" s="1"/>
  <c r="BC51" i="9"/>
  <c r="BN51" i="9"/>
  <c r="BO51" i="9" s="1"/>
  <c r="BQ178" i="4"/>
  <c r="CB178" i="4"/>
  <c r="CC178" i="4" s="1"/>
  <c r="AL17" i="5" a="1"/>
  <c r="AL17" i="5" s="1"/>
  <c r="EN167" i="4"/>
  <c r="EY167" i="4"/>
  <c r="EZ167" i="4" s="1"/>
  <c r="AR135" i="9"/>
  <c r="AE103" i="4"/>
  <c r="AP103" i="4"/>
  <c r="AQ103" i="4" s="1"/>
  <c r="BX19" i="4" a="1"/>
  <c r="BX19" i="4" s="1"/>
  <c r="BP205" i="4" a="1"/>
  <c r="BP205" i="4" s="1"/>
  <c r="AP76" i="5"/>
  <c r="AQ76" i="5" s="1"/>
  <c r="AE76" i="5"/>
  <c r="AU67" i="9"/>
  <c r="AV67" i="9" s="1"/>
  <c r="AJ67" i="9"/>
  <c r="BC155" i="9"/>
  <c r="BN155" i="9"/>
  <c r="BO155" i="9" s="1"/>
  <c r="AU139" i="9"/>
  <c r="AV139" i="9" s="1"/>
  <c r="AJ139" i="9"/>
  <c r="AE191" i="4"/>
  <c r="AP191" i="4"/>
  <c r="AQ191" i="4" s="1"/>
  <c r="AE29" i="5"/>
  <c r="AP29" i="5"/>
  <c r="AQ29" i="5" s="1"/>
  <c r="BQ31" i="8"/>
  <c r="CB31" i="8"/>
  <c r="CC31" i="8" s="1"/>
  <c r="AE123" i="4"/>
  <c r="AP123" i="4"/>
  <c r="AQ123" i="4" s="1"/>
  <c r="CJ57" i="8"/>
  <c r="CU57" i="8"/>
  <c r="CV57" i="8" s="1"/>
  <c r="CQ19" i="8" a="1"/>
  <c r="CQ19" i="8" s="1"/>
  <c r="BF104" i="8"/>
  <c r="AE79" i="5"/>
  <c r="AP79" i="5"/>
  <c r="AQ79" i="5" s="1"/>
  <c r="AJ167" i="9"/>
  <c r="AU167" i="9"/>
  <c r="AV167" i="9" s="1"/>
  <c r="AE67" i="4"/>
  <c r="AP67" i="4"/>
  <c r="AQ67" i="4" s="1"/>
  <c r="AX75" i="8"/>
  <c r="BI75" i="8"/>
  <c r="BJ75" i="8" s="1"/>
  <c r="AJ64" i="9"/>
  <c r="AU64" i="9"/>
  <c r="AV64" i="9" s="1"/>
  <c r="DC120" i="4"/>
  <c r="DN120" i="4"/>
  <c r="DO120" i="4" s="1"/>
  <c r="DC164" i="4"/>
  <c r="DN164" i="4"/>
  <c r="DO164" i="4" s="1"/>
  <c r="AX144" i="4"/>
  <c r="BI144" i="4"/>
  <c r="BJ144" i="4" s="1"/>
  <c r="BK129" i="9"/>
  <c r="DC168" i="4"/>
  <c r="DN168" i="4"/>
  <c r="DO168" i="4" s="1"/>
  <c r="DC169" i="4"/>
  <c r="DN169" i="4"/>
  <c r="DO169" i="4" s="1"/>
  <c r="CR109" i="4"/>
  <c r="CJ159" i="4"/>
  <c r="CU159" i="4"/>
  <c r="CV159" i="4" s="1"/>
  <c r="AE95" i="5"/>
  <c r="AP95" i="5"/>
  <c r="AQ95" i="5" s="1"/>
  <c r="FG164" i="4"/>
  <c r="FR164" i="4"/>
  <c r="FS164" i="4" s="1"/>
  <c r="FG106" i="4"/>
  <c r="FR106" i="4"/>
  <c r="FS106" i="4" s="1"/>
  <c r="EV170" i="4"/>
  <c r="DC69" i="4"/>
  <c r="DN69" i="4"/>
  <c r="DO69" i="4" s="1"/>
  <c r="AE137" i="4"/>
  <c r="AP137" i="4"/>
  <c r="AQ137" i="4" s="1"/>
  <c r="AU93" i="9"/>
  <c r="AV93" i="9" s="1"/>
  <c r="AJ93" i="9"/>
  <c r="BC53" i="9"/>
  <c r="BN53" i="9"/>
  <c r="BO53" i="9" s="1"/>
  <c r="AE62" i="7"/>
  <c r="AP62" i="7"/>
  <c r="AQ62" i="7" s="1"/>
  <c r="AE72" i="5"/>
  <c r="AP72" i="5"/>
  <c r="AQ72" i="5" s="1"/>
  <c r="BQ75" i="4"/>
  <c r="CB75" i="4"/>
  <c r="CC75" i="4" s="1"/>
  <c r="BI150" i="4"/>
  <c r="BJ150" i="4" s="1"/>
  <c r="AX150" i="4"/>
  <c r="AX83" i="8"/>
  <c r="BI83" i="8"/>
  <c r="BJ83" i="8" s="1"/>
  <c r="AM77" i="7"/>
  <c r="BY192" i="4"/>
  <c r="FG108" i="4"/>
  <c r="FR108" i="4"/>
  <c r="FS108" i="4" s="1"/>
  <c r="FG168" i="4"/>
  <c r="FR168" i="4"/>
  <c r="FS168" i="4" s="1"/>
  <c r="AP62" i="5"/>
  <c r="AQ62" i="5" s="1"/>
  <c r="AE62" i="5"/>
  <c r="BK71" i="9"/>
  <c r="CJ97" i="8"/>
  <c r="CU97" i="8"/>
  <c r="CV97" i="8" s="1"/>
  <c r="CR62" i="8"/>
  <c r="BI169" i="4"/>
  <c r="BJ169" i="4" s="1"/>
  <c r="AX169" i="4"/>
  <c r="AE110" i="4"/>
  <c r="AP110" i="4"/>
  <c r="AQ110" i="4" s="1"/>
  <c r="DC145" i="4"/>
  <c r="DN145" i="4"/>
  <c r="DO145" i="4" s="1"/>
  <c r="AE31" i="7"/>
  <c r="AP31" i="7"/>
  <c r="AQ31" i="7" s="1"/>
  <c r="AE37" i="8"/>
  <c r="AP37" i="8"/>
  <c r="AQ37" i="8" s="1"/>
  <c r="EN184" i="4"/>
  <c r="EY184" i="4"/>
  <c r="EZ184" i="4" s="1"/>
  <c r="FG159" i="4"/>
  <c r="FR159" i="4"/>
  <c r="FS159" i="4" s="1"/>
  <c r="AL18" i="5" a="1"/>
  <c r="AL18" i="5" s="1"/>
  <c r="AX167" i="4"/>
  <c r="BI167" i="4"/>
  <c r="BJ167" i="4" s="1"/>
  <c r="AX72" i="4"/>
  <c r="BI72" i="4"/>
  <c r="BJ72" i="4" s="1"/>
  <c r="EU20" i="4" a="1"/>
  <c r="EU20" i="4" s="1"/>
  <c r="BY78" i="4"/>
  <c r="AR138" i="9"/>
  <c r="BY49" i="8"/>
  <c r="CU191" i="4"/>
  <c r="CV191" i="4" s="1"/>
  <c r="CJ191" i="4"/>
  <c r="BQ125" i="4"/>
  <c r="CB125" i="4"/>
  <c r="CC125" i="4" s="1"/>
  <c r="CJ123" i="4"/>
  <c r="CU123" i="4"/>
  <c r="CV123" i="4" s="1"/>
  <c r="AU69" i="9"/>
  <c r="AV69" i="9" s="1"/>
  <c r="AJ69" i="9"/>
  <c r="BQ181" i="4"/>
  <c r="CB181" i="4"/>
  <c r="CC181" i="4" s="1"/>
  <c r="FG93" i="4"/>
  <c r="FR93" i="4"/>
  <c r="FS93" i="4" s="1"/>
  <c r="AE183" i="4"/>
  <c r="AP183" i="4"/>
  <c r="AQ183" i="4" s="1"/>
  <c r="BR123" i="8" a="1"/>
  <c r="BR123" i="8" s="1"/>
  <c r="EN162" i="4"/>
  <c r="EY162" i="4"/>
  <c r="EZ162" i="4" s="1"/>
  <c r="AM161" i="4"/>
  <c r="BI83" i="4"/>
  <c r="BJ83" i="4" s="1"/>
  <c r="AX83" i="4"/>
  <c r="EV163" i="4"/>
  <c r="DC75" i="4"/>
  <c r="DN75" i="4"/>
  <c r="DO75" i="4" s="1"/>
  <c r="AM98" i="7"/>
  <c r="BY109" i="4"/>
  <c r="AE40" i="8"/>
  <c r="AP40" i="8"/>
  <c r="AQ40" i="8" s="1"/>
  <c r="AE71" i="8"/>
  <c r="AP71" i="8"/>
  <c r="AQ71" i="8" s="1"/>
  <c r="BQ67" i="8"/>
  <c r="CB67" i="8"/>
  <c r="CC67" i="8" s="1"/>
  <c r="BC57" i="9"/>
  <c r="BN57" i="9"/>
  <c r="BO57" i="9" s="1"/>
  <c r="BQ179" i="4"/>
  <c r="CB179" i="4"/>
  <c r="CC179" i="4" s="1"/>
  <c r="AE145" i="4"/>
  <c r="AP145" i="4"/>
  <c r="AQ145" i="4" s="1"/>
  <c r="BY97" i="4"/>
  <c r="AU157" i="9"/>
  <c r="AV157" i="9" s="1"/>
  <c r="AJ157" i="9"/>
  <c r="CJ185" i="4"/>
  <c r="CU185" i="4"/>
  <c r="CV185" i="4" s="1"/>
  <c r="AE119" i="4"/>
  <c r="AP119" i="4"/>
  <c r="AQ119" i="4" s="1"/>
  <c r="BC154" i="9"/>
  <c r="BN154" i="9"/>
  <c r="BO154" i="9" s="1"/>
  <c r="AE178" i="4"/>
  <c r="AP178" i="4"/>
  <c r="AQ178" i="4" s="1"/>
  <c r="AL19" i="5" a="1"/>
  <c r="AL19" i="5" s="1"/>
  <c r="FG86" i="4"/>
  <c r="FR86" i="4"/>
  <c r="FS86" i="4" s="1"/>
  <c r="DC167" i="4"/>
  <c r="DN167" i="4"/>
  <c r="DO167" i="4" s="1"/>
  <c r="AE82" i="7"/>
  <c r="AP82" i="7"/>
  <c r="AQ82" i="7" s="1"/>
  <c r="DC87" i="4"/>
  <c r="DN87" i="4"/>
  <c r="DO87" i="4" s="1"/>
  <c r="DB205" i="4" a="1"/>
  <c r="DB205" i="4" s="1"/>
  <c r="BQ71" i="4"/>
  <c r="CB71" i="4"/>
  <c r="CC71" i="4" s="1"/>
  <c r="BQ110" i="8"/>
  <c r="CB110" i="8"/>
  <c r="CC110" i="8" s="1"/>
  <c r="CJ176" i="4"/>
  <c r="CU176" i="4"/>
  <c r="CV176" i="4" s="1"/>
  <c r="AJ155" i="9"/>
  <c r="AU155" i="9"/>
  <c r="AV155" i="9" s="1"/>
  <c r="AX72" i="8"/>
  <c r="BI72" i="8"/>
  <c r="BJ72" i="8" s="1"/>
  <c r="BQ175" i="4"/>
  <c r="CB175" i="4"/>
  <c r="CC175" i="4" s="1"/>
  <c r="BC148" i="9"/>
  <c r="BN148" i="9"/>
  <c r="BO148" i="9" s="1"/>
  <c r="FG125" i="4"/>
  <c r="FR125" i="4"/>
  <c r="FS125" i="4" s="1"/>
  <c r="CJ57" i="4"/>
  <c r="CU57" i="4"/>
  <c r="CV57" i="4" s="1"/>
  <c r="AE31" i="8"/>
  <c r="AP31" i="8"/>
  <c r="AQ31" i="8" s="1"/>
  <c r="EN181" i="4"/>
  <c r="EY181" i="4"/>
  <c r="EZ181" i="4" s="1"/>
  <c r="EN93" i="4"/>
  <c r="EY93" i="4"/>
  <c r="EZ93" i="4" s="1"/>
  <c r="BI183" i="4"/>
  <c r="BJ183" i="4" s="1"/>
  <c r="AX183" i="4"/>
  <c r="BX20" i="8" a="1"/>
  <c r="BX20" i="8" s="1"/>
  <c r="AJ110" i="9"/>
  <c r="AU110" i="9"/>
  <c r="AV110" i="9" s="1"/>
  <c r="DC113" i="4"/>
  <c r="DN113" i="4"/>
  <c r="DO113" i="4" s="1"/>
  <c r="DC59" i="4"/>
  <c r="DN59" i="4"/>
  <c r="DO59" i="4" s="1"/>
  <c r="AE33" i="7"/>
  <c r="AP33" i="7"/>
  <c r="AQ33" i="7" s="1"/>
  <c r="AP35" i="5"/>
  <c r="AQ35" i="5" s="1"/>
  <c r="AE35" i="5"/>
  <c r="BY163" i="4"/>
  <c r="AE171" i="4"/>
  <c r="AP171" i="4"/>
  <c r="AQ171" i="4" s="1"/>
  <c r="AU45" i="9"/>
  <c r="AV45" i="9" s="1"/>
  <c r="AJ45" i="9"/>
  <c r="BQ139" i="4"/>
  <c r="CB139" i="4"/>
  <c r="CC139" i="4" s="1"/>
  <c r="DC112" i="4"/>
  <c r="DN112" i="4"/>
  <c r="DO112" i="4" s="1"/>
  <c r="EN137" i="4"/>
  <c r="EY137" i="4"/>
  <c r="EZ137" i="4" s="1"/>
  <c r="AR92" i="9"/>
  <c r="CR114" i="8"/>
  <c r="EV161" i="4"/>
  <c r="AM61" i="7"/>
  <c r="AM115" i="5"/>
  <c r="BY82" i="8"/>
  <c r="AR129" i="9"/>
  <c r="FO58" i="4"/>
  <c r="EN153" i="4"/>
  <c r="EY153" i="4"/>
  <c r="EZ153" i="4" s="1"/>
  <c r="BI148" i="4"/>
  <c r="BJ148" i="4" s="1"/>
  <c r="AX148" i="4"/>
  <c r="AX102" i="8"/>
  <c r="BI102" i="8"/>
  <c r="BJ102" i="8" s="1"/>
  <c r="AJ72" i="9"/>
  <c r="AU72" i="9"/>
  <c r="AV72" i="9" s="1"/>
  <c r="EN147" i="4"/>
  <c r="EY147" i="4"/>
  <c r="EZ147" i="4" s="1"/>
  <c r="FO62" i="4"/>
  <c r="BF62" i="8"/>
  <c r="FO109" i="4"/>
  <c r="BQ40" i="8"/>
  <c r="CB40" i="8"/>
  <c r="CC40" i="8" s="1"/>
  <c r="CJ179" i="4"/>
  <c r="CU179" i="4"/>
  <c r="CV179" i="4" s="1"/>
  <c r="CJ145" i="4"/>
  <c r="CU145" i="4"/>
  <c r="CV145" i="4" s="1"/>
  <c r="FO97" i="4"/>
  <c r="AR156" i="9"/>
  <c r="AE184" i="4"/>
  <c r="AP184" i="4"/>
  <c r="AQ184" i="4" s="1"/>
  <c r="AJ51" i="9"/>
  <c r="AU51" i="9"/>
  <c r="AV51" i="9" s="1"/>
  <c r="DC86" i="4"/>
  <c r="DN86" i="4"/>
  <c r="DO86" i="4" s="1"/>
  <c r="BF166" i="4"/>
  <c r="BQ157" i="4"/>
  <c r="CB157" i="4"/>
  <c r="CC157" i="4" s="1"/>
  <c r="EN103" i="4"/>
  <c r="EY103" i="4"/>
  <c r="EZ103" i="4" s="1"/>
  <c r="BQ205" i="4" a="1"/>
  <c r="BQ205" i="4" s="1"/>
  <c r="EU21" i="4" a="1"/>
  <c r="EU21" i="4" s="1"/>
  <c r="AE33" i="5"/>
  <c r="AP33" i="5"/>
  <c r="AQ33" i="5" s="1"/>
  <c r="FG71" i="4"/>
  <c r="FR71" i="4"/>
  <c r="FS71" i="4" s="1"/>
  <c r="BQ176" i="4"/>
  <c r="CB176" i="4"/>
  <c r="CC176" i="4" s="1"/>
  <c r="DK78" i="4"/>
  <c r="BK169" i="9"/>
  <c r="BK159" i="9"/>
  <c r="FO114" i="4"/>
  <c r="BQ117" i="4"/>
  <c r="CB117" i="4"/>
  <c r="CC117" i="4" s="1"/>
  <c r="DC181" i="4"/>
  <c r="DN181" i="4"/>
  <c r="DO181" i="4" s="1"/>
  <c r="CJ93" i="4"/>
  <c r="CU93" i="4"/>
  <c r="CV93" i="4" s="1"/>
  <c r="BC165" i="9"/>
  <c r="BN165" i="9"/>
  <c r="BO165" i="9" s="1"/>
  <c r="AE61" i="8"/>
  <c r="AP61" i="8"/>
  <c r="AQ61" i="8" s="1"/>
  <c r="AE106" i="4"/>
  <c r="AP106" i="4"/>
  <c r="AQ106" i="4" s="1"/>
  <c r="AP118" i="5"/>
  <c r="AQ118" i="5" s="1"/>
  <c r="AE118" i="5"/>
  <c r="BC45" i="9"/>
  <c r="BN45" i="9"/>
  <c r="BO45" i="9" s="1"/>
  <c r="BQ69" i="4"/>
  <c r="CB69" i="4"/>
  <c r="CC69" i="4" s="1"/>
  <c r="CJ137" i="4"/>
  <c r="CU137" i="4"/>
  <c r="CV137" i="4" s="1"/>
  <c r="FG162" i="4"/>
  <c r="FR162" i="4"/>
  <c r="FS162" i="4" s="1"/>
  <c r="BI94" i="4"/>
  <c r="BJ94" i="4" s="1"/>
  <c r="AX94" i="4"/>
  <c r="AM192" i="4"/>
  <c r="CJ63" i="8"/>
  <c r="CU63" i="8"/>
  <c r="CV63" i="8" s="1"/>
  <c r="BQ61" i="4"/>
  <c r="CB61" i="4"/>
  <c r="CC61" i="4" s="1"/>
  <c r="BQ110" i="4"/>
  <c r="CB110" i="4"/>
  <c r="CC110" i="4" s="1"/>
  <c r="AE28" i="7"/>
  <c r="AP28" i="7"/>
  <c r="AQ28" i="7" s="1"/>
  <c r="CJ71" i="8"/>
  <c r="CU71" i="8"/>
  <c r="CV71" i="8" s="1"/>
  <c r="CU111" i="4"/>
  <c r="CV111" i="4" s="1"/>
  <c r="CJ111" i="4"/>
  <c r="AU57" i="9"/>
  <c r="AV57" i="9" s="1"/>
  <c r="AJ57" i="9"/>
  <c r="EN185" i="4"/>
  <c r="EY185" i="4"/>
  <c r="EZ185" i="4" s="1"/>
  <c r="CJ184" i="4"/>
  <c r="CU184" i="4"/>
  <c r="CV184" i="4" s="1"/>
  <c r="BK153" i="9"/>
  <c r="AD123" i="5" a="1"/>
  <c r="AD123" i="5" s="1"/>
  <c r="AE72" i="7"/>
  <c r="AP72" i="7"/>
  <c r="AQ72" i="7" s="1"/>
  <c r="DK166" i="4"/>
  <c r="FG87" i="4"/>
  <c r="FR87" i="4"/>
  <c r="FS87" i="4" s="1"/>
  <c r="CQ20" i="4" a="1"/>
  <c r="CQ20" i="4" s="1"/>
  <c r="AE92" i="7"/>
  <c r="AP92" i="7"/>
  <c r="AQ92" i="7" s="1"/>
  <c r="AE71" i="4"/>
  <c r="AP71" i="4"/>
  <c r="AQ71" i="4" s="1"/>
  <c r="AE110" i="8"/>
  <c r="AP110" i="8"/>
  <c r="AQ110" i="8" s="1"/>
  <c r="EN176" i="4"/>
  <c r="EY176" i="4"/>
  <c r="EZ176" i="4" s="1"/>
  <c r="EV78" i="4"/>
  <c r="BC170" i="9"/>
  <c r="BN170" i="9"/>
  <c r="BO170" i="9" s="1"/>
  <c r="AX76" i="8"/>
  <c r="BI76" i="8"/>
  <c r="BJ76" i="8" s="1"/>
  <c r="AX191" i="4"/>
  <c r="BI191" i="4"/>
  <c r="BJ191" i="4" s="1"/>
  <c r="CJ125" i="4"/>
  <c r="CU125" i="4"/>
  <c r="CV125" i="4" s="1"/>
  <c r="EN115" i="4"/>
  <c r="EY115" i="4"/>
  <c r="EZ115" i="4" s="1"/>
  <c r="BC91" i="9"/>
  <c r="BN91" i="9"/>
  <c r="BO91" i="9" s="1"/>
  <c r="FG181" i="4"/>
  <c r="FR181" i="4"/>
  <c r="FS181" i="4" s="1"/>
  <c r="BQ146" i="4"/>
  <c r="CB146" i="4"/>
  <c r="CC146" i="4" s="1"/>
  <c r="AD123" i="8" a="1"/>
  <c r="AD123" i="8" s="1"/>
  <c r="FG120" i="4"/>
  <c r="FR120" i="4"/>
  <c r="FS120" i="4" s="1"/>
  <c r="CR82" i="8"/>
  <c r="FG147" i="4"/>
  <c r="FR147" i="4"/>
  <c r="FS147" i="4" s="1"/>
  <c r="BF163" i="4"/>
  <c r="AX111" i="8"/>
  <c r="BI111" i="8"/>
  <c r="BJ111" i="8" s="1"/>
  <c r="CJ69" i="4"/>
  <c r="CU69" i="4"/>
  <c r="CV69" i="4" s="1"/>
  <c r="AX162" i="4"/>
  <c r="BI162" i="4"/>
  <c r="BJ162" i="4" s="1"/>
  <c r="FG76" i="4"/>
  <c r="FR76" i="4"/>
  <c r="FS76" i="4" s="1"/>
  <c r="BI30" i="4"/>
  <c r="BJ30" i="4" s="1"/>
  <c r="AX30" i="4"/>
  <c r="AP116" i="5"/>
  <c r="AQ116" i="5" s="1"/>
  <c r="AE116" i="5"/>
  <c r="FO192" i="4"/>
  <c r="AE75" i="7"/>
  <c r="AP75" i="7"/>
  <c r="AQ75" i="7" s="1"/>
  <c r="AM152" i="4"/>
  <c r="BQ102" i="8"/>
  <c r="CB102" i="8"/>
  <c r="CC102" i="8" s="1"/>
  <c r="BY141" i="4"/>
  <c r="AE95" i="4"/>
  <c r="AP95" i="4"/>
  <c r="AQ95" i="4" s="1"/>
  <c r="AM62" i="8"/>
  <c r="AM109" i="4"/>
  <c r="AX40" i="8"/>
  <c r="BI40" i="8"/>
  <c r="BJ40" i="8" s="1"/>
  <c r="BQ58" i="8"/>
  <c r="CB58" i="8"/>
  <c r="CC58" i="8" s="1"/>
  <c r="AP84" i="5"/>
  <c r="AQ84" i="5" s="1"/>
  <c r="AE84" i="5"/>
  <c r="AE111" i="4"/>
  <c r="AP111" i="4"/>
  <c r="AQ111" i="4" s="1"/>
  <c r="AE67" i="8"/>
  <c r="AP67" i="8"/>
  <c r="AQ67" i="8" s="1"/>
  <c r="AX179" i="4"/>
  <c r="BI179" i="4"/>
  <c r="BJ179" i="4" s="1"/>
  <c r="BI145" i="4"/>
  <c r="BJ145" i="4" s="1"/>
  <c r="AX145" i="4"/>
  <c r="AX36" i="8"/>
  <c r="BI36" i="8"/>
  <c r="BJ36" i="8" s="1"/>
  <c r="CR118" i="4"/>
  <c r="AU154" i="9"/>
  <c r="AV154" i="9" s="1"/>
  <c r="AJ154" i="9"/>
  <c r="AX159" i="4"/>
  <c r="BI159" i="4"/>
  <c r="BJ159" i="4" s="1"/>
  <c r="DC178" i="4"/>
  <c r="DN178" i="4"/>
  <c r="DO178" i="4" s="1"/>
  <c r="CJ107" i="8"/>
  <c r="CU107" i="8"/>
  <c r="CV107" i="8" s="1"/>
  <c r="FN20" i="4" a="1"/>
  <c r="FN20" i="4" s="1"/>
  <c r="BY70" i="4"/>
  <c r="CJ110" i="8"/>
  <c r="CU110" i="8"/>
  <c r="CV110" i="8" s="1"/>
  <c r="DC176" i="4"/>
  <c r="DN176" i="4"/>
  <c r="DO176" i="4" s="1"/>
  <c r="DC127" i="4"/>
  <c r="DN127" i="4"/>
  <c r="DO127" i="4" s="1"/>
  <c r="AU148" i="9"/>
  <c r="AV148" i="9" s="1"/>
  <c r="AJ148" i="9"/>
  <c r="AE125" i="4"/>
  <c r="AP125" i="4"/>
  <c r="AQ125" i="4" s="1"/>
  <c r="DC57" i="4"/>
  <c r="DN57" i="4"/>
  <c r="DO57" i="4" s="1"/>
  <c r="AX81" i="8"/>
  <c r="BI81" i="8"/>
  <c r="BJ81" i="8" s="1"/>
  <c r="BC117" i="9"/>
  <c r="BN117" i="9"/>
  <c r="BO117" i="9" s="1"/>
  <c r="AE93" i="4"/>
  <c r="AP93" i="4"/>
  <c r="AQ93" i="4" s="1"/>
  <c r="AE53" i="4"/>
  <c r="AP53" i="4"/>
  <c r="AQ53" i="4" s="1"/>
  <c r="AA123" i="8" a="1"/>
  <c r="AA123" i="8" s="1"/>
  <c r="CJ61" i="8"/>
  <c r="CU61" i="8"/>
  <c r="CV61" i="8" s="1"/>
  <c r="AY175" i="9" a="1"/>
  <c r="AY175" i="9" s="1"/>
  <c r="AL19" i="7" a="1"/>
  <c r="AL19" i="7" s="1"/>
  <c r="CJ148" i="4"/>
  <c r="CU148" i="4"/>
  <c r="CV148" i="4" s="1"/>
  <c r="BQ59" i="4"/>
  <c r="CB59" i="4"/>
  <c r="CC59" i="4" s="1"/>
  <c r="CJ120" i="4"/>
  <c r="CU120" i="4"/>
  <c r="CV120" i="4" s="1"/>
  <c r="AA107" i="7" a="1"/>
  <c r="AA107" i="7" s="1"/>
  <c r="FO135" i="4"/>
  <c r="AU115" i="9"/>
  <c r="AV115" i="9" s="1"/>
  <c r="AJ115" i="9"/>
  <c r="BQ120" i="4"/>
  <c r="CB120" i="4"/>
  <c r="CC120" i="4" s="1"/>
  <c r="AX106" i="4"/>
  <c r="BI106" i="4"/>
  <c r="BJ106" i="4" s="1"/>
  <c r="CJ171" i="4"/>
  <c r="CU171" i="4"/>
  <c r="CV171" i="4" s="1"/>
  <c r="DC139" i="4"/>
  <c r="DN139" i="4"/>
  <c r="DO139" i="4" s="1"/>
  <c r="BF95" i="8"/>
  <c r="AX87" i="8"/>
  <c r="BI87" i="8"/>
  <c r="BJ87" i="8" s="1"/>
  <c r="BQ67" i="4"/>
  <c r="CB67" i="4"/>
  <c r="CC67" i="4" s="1"/>
  <c r="AX69" i="4"/>
  <c r="BI69" i="4"/>
  <c r="BJ69" i="4" s="1"/>
  <c r="DC137" i="4"/>
  <c r="DN137" i="4"/>
  <c r="DO137" i="4" s="1"/>
  <c r="BF161" i="4"/>
  <c r="DC158" i="4"/>
  <c r="DN158" i="4"/>
  <c r="DO158" i="4" s="1"/>
  <c r="AE69" i="7"/>
  <c r="AP69" i="7"/>
  <c r="AQ69" i="7" s="1"/>
  <c r="CJ27" i="8"/>
  <c r="CU27" i="8"/>
  <c r="CV27" i="8" s="1"/>
  <c r="AE193" i="4"/>
  <c r="AP193" i="4"/>
  <c r="AQ193" i="4" s="1"/>
  <c r="BQ108" i="4"/>
  <c r="CB108" i="4"/>
  <c r="CC108" i="4" s="1"/>
  <c r="EV58" i="4"/>
  <c r="FG154" i="4"/>
  <c r="FR154" i="4"/>
  <c r="FS154" i="4" s="1"/>
  <c r="AE101" i="4"/>
  <c r="AP101" i="4"/>
  <c r="AQ101" i="4" s="1"/>
  <c r="DC153" i="4"/>
  <c r="DN153" i="4"/>
  <c r="DO153" i="4" s="1"/>
  <c r="CJ102" i="8"/>
  <c r="CU102" i="8"/>
  <c r="CV102" i="8" s="1"/>
  <c r="AE147" i="4"/>
  <c r="AP147" i="4"/>
  <c r="AQ147" i="4" s="1"/>
  <c r="EN110" i="4"/>
  <c r="EY110" i="4"/>
  <c r="EZ110" i="4" s="1"/>
  <c r="BC143" i="9"/>
  <c r="BN143" i="9"/>
  <c r="BO143" i="9" s="1"/>
  <c r="BQ184" i="4"/>
  <c r="CB184" i="4"/>
  <c r="CC184" i="4" s="1"/>
  <c r="AM118" i="4"/>
  <c r="AR153" i="9"/>
  <c r="AM117" i="8"/>
  <c r="EN86" i="4"/>
  <c r="EY86" i="4"/>
  <c r="EZ86" i="4" s="1"/>
  <c r="AY205" i="4" a="1"/>
  <c r="AY205" i="4" s="1"/>
  <c r="BX21" i="4" a="1"/>
  <c r="BX21" i="4" s="1"/>
  <c r="DK70" i="4"/>
  <c r="EN182" i="4"/>
  <c r="EY182" i="4"/>
  <c r="EZ182" i="4" s="1"/>
  <c r="AJ170" i="9"/>
  <c r="AU170" i="9"/>
  <c r="AV170" i="9" s="1"/>
  <c r="DC175" i="4"/>
  <c r="DN175" i="4"/>
  <c r="DO175" i="4" s="1"/>
  <c r="BK116" i="9"/>
  <c r="BQ96" i="4"/>
  <c r="CB96" i="4"/>
  <c r="CC96" i="4" s="1"/>
  <c r="EV189" i="4"/>
  <c r="AJ91" i="9"/>
  <c r="AU91" i="9"/>
  <c r="AV91" i="9" s="1"/>
  <c r="CJ146" i="4"/>
  <c r="CU146" i="4"/>
  <c r="CV146" i="4" s="1"/>
  <c r="EN53" i="4"/>
  <c r="EY53" i="4"/>
  <c r="EZ53" i="4" s="1"/>
  <c r="BM123" i="8" a="1"/>
  <c r="BM123" i="8" s="1"/>
  <c r="AE88" i="8"/>
  <c r="AP88" i="8"/>
  <c r="AQ88" i="8" s="1"/>
  <c r="AX171" i="4"/>
  <c r="BI171" i="4"/>
  <c r="BJ171" i="4" s="1"/>
  <c r="BY152" i="4"/>
  <c r="AE75" i="4"/>
  <c r="AP75" i="4"/>
  <c r="AQ75" i="4" s="1"/>
  <c r="BF82" i="8"/>
  <c r="EN168" i="4"/>
  <c r="EY168" i="4"/>
  <c r="EZ168" i="4" s="1"/>
  <c r="CR152" i="4"/>
  <c r="AE63" i="5"/>
  <c r="AP63" i="5"/>
  <c r="AQ63" i="5" s="1"/>
  <c r="AD107" i="7" a="1"/>
  <c r="AD107" i="7" s="1"/>
  <c r="AE38" i="8"/>
  <c r="AP38" i="8"/>
  <c r="AQ38" i="8" s="1"/>
  <c r="AM85" i="5"/>
  <c r="AE177" i="4"/>
  <c r="AP177" i="4"/>
  <c r="AQ177" i="4" s="1"/>
  <c r="CJ65" i="4"/>
  <c r="CU65" i="4"/>
  <c r="CV65" i="4" s="1"/>
  <c r="DC110" i="4"/>
  <c r="DN110" i="4"/>
  <c r="DO110" i="4" s="1"/>
  <c r="AE58" i="8"/>
  <c r="AP58" i="8"/>
  <c r="AQ58" i="8" s="1"/>
  <c r="AE49" i="7"/>
  <c r="AP49" i="7"/>
  <c r="AQ49" i="7" s="1"/>
  <c r="BQ71" i="8"/>
  <c r="CB71" i="8"/>
  <c r="CC71" i="8" s="1"/>
  <c r="BK142" i="9"/>
  <c r="AE185" i="4"/>
  <c r="AP185" i="4"/>
  <c r="AQ185" i="4" s="1"/>
  <c r="FO187" i="4"/>
  <c r="DC119" i="4"/>
  <c r="DN119" i="4"/>
  <c r="DO119" i="4" s="1"/>
  <c r="FG178" i="4"/>
  <c r="FR178" i="4"/>
  <c r="FS178" i="4" s="1"/>
  <c r="AE123" i="5" a="1"/>
  <c r="AE123" i="5" s="1"/>
  <c r="AX86" i="4"/>
  <c r="BI86" i="4"/>
  <c r="BJ86" i="4" s="1"/>
  <c r="AX107" i="8"/>
  <c r="BI107" i="8"/>
  <c r="BJ107" i="8" s="1"/>
  <c r="AF205" i="4" a="1"/>
  <c r="AF205" i="4" s="1"/>
  <c r="EU18" i="4" a="1"/>
  <c r="EU18" i="4" s="1"/>
  <c r="BC74" i="9"/>
  <c r="BN74" i="9"/>
  <c r="BO74" i="9" s="1"/>
  <c r="CJ39" i="8"/>
  <c r="CU39" i="8"/>
  <c r="CV39" i="8" s="1"/>
  <c r="DC71" i="4"/>
  <c r="DN71" i="4"/>
  <c r="DO71" i="4" s="1"/>
  <c r="AX110" i="8"/>
  <c r="BI110" i="8"/>
  <c r="BJ110" i="8" s="1"/>
  <c r="AE176" i="4"/>
  <c r="AP176" i="4"/>
  <c r="AQ176" i="4" s="1"/>
  <c r="AP26" i="5"/>
  <c r="AQ26" i="5" s="1"/>
  <c r="AE26" i="5"/>
  <c r="AR169" i="9"/>
  <c r="AE35" i="7"/>
  <c r="AP35" i="7"/>
  <c r="AQ35" i="7" s="1"/>
  <c r="AE45" i="7"/>
  <c r="AP45" i="7"/>
  <c r="AQ45" i="7" s="1"/>
  <c r="CJ175" i="4"/>
  <c r="CU175" i="4"/>
  <c r="CV175" i="4" s="1"/>
  <c r="DC125" i="4"/>
  <c r="DN125" i="4"/>
  <c r="DO125" i="4" s="1"/>
  <c r="AX57" i="4"/>
  <c r="BI57" i="4"/>
  <c r="BJ57" i="4" s="1"/>
  <c r="BQ123" i="4"/>
  <c r="CB123" i="4"/>
  <c r="CC123" i="4" s="1"/>
  <c r="EN190" i="4"/>
  <c r="EY190" i="4"/>
  <c r="EZ190" i="4" s="1"/>
  <c r="EN117" i="4"/>
  <c r="EY117" i="4"/>
  <c r="EZ117" i="4" s="1"/>
  <c r="DC93" i="4"/>
  <c r="DN93" i="4"/>
  <c r="DO93" i="4" s="1"/>
  <c r="FG53" i="4"/>
  <c r="FR53" i="4"/>
  <c r="FS53" i="4" s="1"/>
  <c r="CJ123" i="8" a="1"/>
  <c r="CJ123" i="8" s="1"/>
  <c r="AX38" i="8"/>
  <c r="BI38" i="8"/>
  <c r="BJ38" i="8" s="1"/>
  <c r="CJ47" i="8"/>
  <c r="CU47" i="8"/>
  <c r="CV47" i="8" s="1"/>
  <c r="BQ96" i="8"/>
  <c r="CB96" i="8"/>
  <c r="CC96" i="8" s="1"/>
  <c r="BC68" i="9"/>
  <c r="BN68" i="9"/>
  <c r="BO68" i="9" s="1"/>
  <c r="BQ87" i="8"/>
  <c r="CB87" i="8"/>
  <c r="CC87" i="8" s="1"/>
  <c r="EV66" i="4"/>
  <c r="BQ76" i="4"/>
  <c r="CB76" i="4"/>
  <c r="CC76" i="4" s="1"/>
  <c r="AX27" i="8"/>
  <c r="BI27" i="8"/>
  <c r="BJ27" i="8" s="1"/>
  <c r="FG193" i="4"/>
  <c r="FR193" i="4"/>
  <c r="FS193" i="4" s="1"/>
  <c r="CR58" i="4"/>
  <c r="AM80" i="7"/>
  <c r="BQ153" i="4"/>
  <c r="CB153" i="4"/>
  <c r="CC153" i="4" s="1"/>
  <c r="BY101" i="8"/>
  <c r="BI111" i="4"/>
  <c r="BJ111" i="4" s="1"/>
  <c r="AX111" i="4"/>
  <c r="AM93" i="5"/>
  <c r="BQ47" i="8"/>
  <c r="CB47" i="8"/>
  <c r="CC47" i="8" s="1"/>
  <c r="FG139" i="4"/>
  <c r="FR139" i="4"/>
  <c r="FS139" i="4" s="1"/>
  <c r="BY95" i="8"/>
  <c r="CJ87" i="8"/>
  <c r="CU87" i="8"/>
  <c r="CV87" i="8" s="1"/>
  <c r="AP58" i="5"/>
  <c r="AQ58" i="5" s="1"/>
  <c r="AE58" i="5"/>
  <c r="CJ111" i="8"/>
  <c r="CU111" i="8"/>
  <c r="CV111" i="8" s="1"/>
  <c r="EN74" i="4"/>
  <c r="EY74" i="4"/>
  <c r="EZ74" i="4" s="1"/>
  <c r="AM66" i="4"/>
  <c r="BI137" i="4"/>
  <c r="BJ137" i="4" s="1"/>
  <c r="AX137" i="4"/>
  <c r="AJ144" i="9"/>
  <c r="AU144" i="9"/>
  <c r="AV144" i="9" s="1"/>
  <c r="AX115" i="8"/>
  <c r="BI115" i="8"/>
  <c r="BJ115" i="8" s="1"/>
  <c r="BC86" i="9"/>
  <c r="BN86" i="9"/>
  <c r="BO86" i="9" s="1"/>
  <c r="AX158" i="4"/>
  <c r="BI158" i="4"/>
  <c r="BJ158" i="4" s="1"/>
  <c r="EN76" i="4"/>
  <c r="EY76" i="4"/>
  <c r="EZ76" i="4" s="1"/>
  <c r="BC58" i="9"/>
  <c r="BN58" i="9"/>
  <c r="BO58" i="9" s="1"/>
  <c r="AE27" i="8"/>
  <c r="AP27" i="8"/>
  <c r="AQ27" i="8" s="1"/>
  <c r="AX106" i="8"/>
  <c r="BI106" i="8"/>
  <c r="BJ106" i="8" s="1"/>
  <c r="BC65" i="9"/>
  <c r="BN65" i="9"/>
  <c r="BO65" i="9" s="1"/>
  <c r="DC108" i="4"/>
  <c r="DN108" i="4"/>
  <c r="DO108" i="4" s="1"/>
  <c r="CJ59" i="4"/>
  <c r="CU59" i="4"/>
  <c r="CV59" i="4" s="1"/>
  <c r="AE81" i="7"/>
  <c r="AP81" i="7"/>
  <c r="AQ81" i="7" s="1"/>
  <c r="EN107" i="4"/>
  <c r="EY107" i="4"/>
  <c r="EZ107" i="4" s="1"/>
  <c r="FG153" i="4"/>
  <c r="FR153" i="4"/>
  <c r="FS153" i="4" s="1"/>
  <c r="AM101" i="8"/>
  <c r="EN95" i="4"/>
  <c r="EY95" i="4"/>
  <c r="EZ95" i="4" s="1"/>
  <c r="AX110" i="4"/>
  <c r="BI110" i="4"/>
  <c r="BJ110" i="4" s="1"/>
  <c r="CJ58" i="8"/>
  <c r="CU58" i="8"/>
  <c r="CV58" i="8" s="1"/>
  <c r="AM48" i="7"/>
  <c r="BC97" i="9"/>
  <c r="BN97" i="9"/>
  <c r="BO97" i="9" s="1"/>
  <c r="AE60" i="4"/>
  <c r="AP60" i="4"/>
  <c r="AQ60" i="4" s="1"/>
  <c r="CJ130" i="4"/>
  <c r="CU130" i="4"/>
  <c r="CV130" i="4" s="1"/>
  <c r="BQ185" i="4"/>
  <c r="CB185" i="4"/>
  <c r="CC185" i="4" s="1"/>
  <c r="BQ37" i="8"/>
  <c r="CB37" i="8"/>
  <c r="CC37" i="8" s="1"/>
  <c r="BY187" i="4"/>
  <c r="CJ178" i="4"/>
  <c r="CU178" i="4"/>
  <c r="CV178" i="4" s="1"/>
  <c r="BQ107" i="8"/>
  <c r="CB107" i="8"/>
  <c r="CC107" i="8" s="1"/>
  <c r="BI87" i="4"/>
  <c r="BJ87" i="4" s="1"/>
  <c r="AX87" i="4"/>
  <c r="AX23" i="8"/>
  <c r="BI23" i="8"/>
  <c r="BJ23" i="8" s="1"/>
  <c r="BX18" i="4" a="1"/>
  <c r="BX18" i="4" s="1"/>
  <c r="CJ71" i="4"/>
  <c r="CU71" i="4"/>
  <c r="CV71" i="4" s="1"/>
  <c r="CJ182" i="4"/>
  <c r="CU182" i="4"/>
  <c r="CV182" i="4" s="1"/>
  <c r="FG176" i="4"/>
  <c r="FR176" i="4"/>
  <c r="FS176" i="4" s="1"/>
  <c r="BQ156" i="4"/>
  <c r="CB156" i="4"/>
  <c r="CC156" i="4" s="1"/>
  <c r="FG175" i="4"/>
  <c r="FR175" i="4"/>
  <c r="FS175" i="4" s="1"/>
  <c r="AJ117" i="9"/>
  <c r="AU117" i="9"/>
  <c r="AV117" i="9" s="1"/>
  <c r="CQ21" i="8" a="1"/>
  <c r="CQ21" i="8" s="1"/>
  <c r="FG144" i="4"/>
  <c r="FR144" i="4"/>
  <c r="FS144" i="4" s="1"/>
  <c r="EY30" i="4"/>
  <c r="EZ30" i="4" s="1"/>
  <c r="EN30" i="4"/>
  <c r="AM102" i="5"/>
  <c r="BI112" i="4"/>
  <c r="BJ112" i="4" s="1"/>
  <c r="AX112" i="4"/>
  <c r="BQ137" i="4"/>
  <c r="CB137" i="4"/>
  <c r="CC137" i="4" s="1"/>
  <c r="EV135" i="4"/>
  <c r="AE139" i="4"/>
  <c r="AP139" i="4"/>
  <c r="AQ139" i="4" s="1"/>
  <c r="EN108" i="4"/>
  <c r="EY108" i="4"/>
  <c r="EZ108" i="4" s="1"/>
  <c r="DC154" i="4"/>
  <c r="DN154" i="4"/>
  <c r="DO154" i="4" s="1"/>
  <c r="EN172" i="4"/>
  <c r="EY172" i="4"/>
  <c r="EZ172" i="4" s="1"/>
  <c r="CJ67" i="8"/>
  <c r="CU67" i="8"/>
  <c r="CV67" i="8" s="1"/>
  <c r="BC149" i="9"/>
  <c r="BN149" i="9"/>
  <c r="BO149" i="9" s="1"/>
  <c r="BQ38" i="8"/>
  <c r="CB38" i="8"/>
  <c r="CC38" i="8" s="1"/>
  <c r="AF107" i="7" a="1"/>
  <c r="AF107" i="7" s="1"/>
  <c r="BY135" i="4"/>
  <c r="AP94" i="5"/>
  <c r="AQ94" i="5" s="1"/>
  <c r="AE94" i="5"/>
  <c r="AX88" i="8"/>
  <c r="BI88" i="8"/>
  <c r="BJ88" i="8" s="1"/>
  <c r="CJ96" i="8"/>
  <c r="CU96" i="8"/>
  <c r="CV96" i="8" s="1"/>
  <c r="BQ111" i="8"/>
  <c r="CB111" i="8"/>
  <c r="CC111" i="8" s="1"/>
  <c r="EN67" i="4"/>
  <c r="EY67" i="4"/>
  <c r="EZ67" i="4" s="1"/>
  <c r="BK85" i="9"/>
  <c r="AE38" i="7"/>
  <c r="AP38" i="7"/>
  <c r="AQ38" i="7" s="1"/>
  <c r="AE51" i="4"/>
  <c r="AP51" i="4"/>
  <c r="AQ51" i="4" s="1"/>
  <c r="DC76" i="4"/>
  <c r="DN76" i="4"/>
  <c r="DO76" i="4" s="1"/>
  <c r="AU58" i="9"/>
  <c r="AV58" i="9" s="1"/>
  <c r="AJ58" i="9"/>
  <c r="AX75" i="4"/>
  <c r="BI75" i="4"/>
  <c r="BJ75" i="4" s="1"/>
  <c r="CJ83" i="8"/>
  <c r="CU83" i="8"/>
  <c r="CV83" i="8" s="1"/>
  <c r="AE106" i="8"/>
  <c r="AP106" i="8"/>
  <c r="AQ106" i="8" s="1"/>
  <c r="DK58" i="4"/>
  <c r="AE32" i="5"/>
  <c r="AP32" i="5"/>
  <c r="AQ32" i="5" s="1"/>
  <c r="BQ168" i="4"/>
  <c r="CB168" i="4"/>
  <c r="CC168" i="4" s="1"/>
  <c r="BC56" i="9"/>
  <c r="BN56" i="9"/>
  <c r="BO56" i="9" s="1"/>
  <c r="AE107" i="4"/>
  <c r="AP107" i="4"/>
  <c r="AQ107" i="4" s="1"/>
  <c r="DK152" i="4"/>
  <c r="AE102" i="8"/>
  <c r="AP102" i="8"/>
  <c r="AQ102" i="8" s="1"/>
  <c r="BC152" i="9"/>
  <c r="BN152" i="9"/>
  <c r="BO152" i="9" s="1"/>
  <c r="BQ83" i="4"/>
  <c r="CB83" i="4"/>
  <c r="CC83" i="4" s="1"/>
  <c r="BQ95" i="4"/>
  <c r="CB95" i="4"/>
  <c r="CC95" i="4" s="1"/>
  <c r="CR62" i="4"/>
  <c r="BF109" i="4"/>
  <c r="AR142" i="9"/>
  <c r="BQ130" i="4"/>
  <c r="CB130" i="4"/>
  <c r="CC130" i="4" s="1"/>
  <c r="DC185" i="4"/>
  <c r="DN185" i="4"/>
  <c r="DO185" i="4" s="1"/>
  <c r="AX37" i="8"/>
  <c r="BI37" i="8"/>
  <c r="BJ37" i="8" s="1"/>
  <c r="CR187" i="4"/>
  <c r="DC184" i="4"/>
  <c r="DN184" i="4"/>
  <c r="DO184" i="4" s="1"/>
  <c r="BF117" i="8"/>
  <c r="EV166" i="4"/>
  <c r="EN157" i="4"/>
  <c r="EY157" i="4"/>
  <c r="EZ157" i="4" s="1"/>
  <c r="CQ19" i="4" a="1"/>
  <c r="CQ19" i="4" s="1"/>
  <c r="AU74" i="9"/>
  <c r="AV74" i="9" s="1"/>
  <c r="AJ74" i="9"/>
  <c r="EN71" i="4"/>
  <c r="EY71" i="4"/>
  <c r="EZ71" i="4" s="1"/>
  <c r="AE28" i="5"/>
  <c r="AP28" i="5"/>
  <c r="AQ28" i="5" s="1"/>
  <c r="EN68" i="4"/>
  <c r="EY68" i="4"/>
  <c r="EZ68" i="4" s="1"/>
  <c r="AE127" i="4"/>
  <c r="AP127" i="4"/>
  <c r="AQ127" i="4" s="1"/>
  <c r="AE72" i="8"/>
  <c r="AP72" i="8"/>
  <c r="AQ72" i="8" s="1"/>
  <c r="AE175" i="4"/>
  <c r="AP175" i="4"/>
  <c r="AQ175" i="4" s="1"/>
  <c r="CJ81" i="8"/>
  <c r="CU81" i="8"/>
  <c r="CV81" i="8" s="1"/>
  <c r="AR116" i="9"/>
  <c r="DC123" i="4"/>
  <c r="DN123" i="4"/>
  <c r="DO123" i="4" s="1"/>
  <c r="BQ190" i="4"/>
  <c r="CB190" i="4"/>
  <c r="CC190" i="4" s="1"/>
  <c r="AE146" i="4"/>
  <c r="AP146" i="4"/>
  <c r="AQ146" i="4" s="1"/>
  <c r="AX93" i="4"/>
  <c r="BI93" i="4"/>
  <c r="BJ93" i="4" s="1"/>
  <c r="AF123" i="8" a="1"/>
  <c r="AF123" i="8" s="1"/>
  <c r="BQ113" i="8"/>
  <c r="CB113" i="8"/>
  <c r="CC113" i="8" s="1"/>
  <c r="BQ63" i="8"/>
  <c r="CB63" i="8"/>
  <c r="CC63" i="8" s="1"/>
  <c r="BQ64" i="8"/>
  <c r="CB64" i="8"/>
  <c r="CC64" i="8" s="1"/>
  <c r="FG171" i="4"/>
  <c r="FR171" i="4"/>
  <c r="FS171" i="4" s="1"/>
  <c r="DK135" i="4"/>
  <c r="BY170" i="4"/>
  <c r="AE111" i="8"/>
  <c r="AP111" i="8"/>
  <c r="AQ111" i="8" s="1"/>
  <c r="CJ115" i="8"/>
  <c r="CU115" i="8"/>
  <c r="CV115" i="8" s="1"/>
  <c r="AL21" i="7" a="1"/>
  <c r="AL21" i="7" s="1"/>
  <c r="BC123" i="9"/>
  <c r="BN123" i="9"/>
  <c r="BO123" i="9" s="1"/>
  <c r="CJ88" i="8"/>
  <c r="CU88" i="8"/>
  <c r="CV88" i="8" s="1"/>
  <c r="AE120" i="4"/>
  <c r="AP120" i="4"/>
  <c r="AQ120" i="4" s="1"/>
  <c r="CJ60" i="8"/>
  <c r="CU60" i="8"/>
  <c r="CV60" i="8" s="1"/>
  <c r="AE64" i="8"/>
  <c r="AP64" i="8"/>
  <c r="AQ64" i="8" s="1"/>
  <c r="CR95" i="8"/>
  <c r="AU68" i="9"/>
  <c r="AV68" i="9" s="1"/>
  <c r="AJ68" i="9"/>
  <c r="AE87" i="8"/>
  <c r="AP87" i="8"/>
  <c r="AQ87" i="8" s="1"/>
  <c r="BQ74" i="4"/>
  <c r="CB74" i="4"/>
  <c r="CC74" i="4" s="1"/>
  <c r="DK66" i="4"/>
  <c r="BY114" i="8"/>
  <c r="CJ76" i="4"/>
  <c r="CU76" i="4"/>
  <c r="CV76" i="4" s="1"/>
  <c r="BQ27" i="8"/>
  <c r="CB27" i="8"/>
  <c r="CC27" i="8" s="1"/>
  <c r="AE83" i="8"/>
  <c r="AP83" i="8"/>
  <c r="AQ83" i="8" s="1"/>
  <c r="CJ106" i="8"/>
  <c r="CU106" i="8"/>
  <c r="CV106" i="8" s="1"/>
  <c r="EV192" i="4"/>
  <c r="AP108" i="4"/>
  <c r="AQ108" i="4" s="1"/>
  <c r="AE108" i="4"/>
  <c r="BF58" i="4"/>
  <c r="FG172" i="4"/>
  <c r="FR172" i="4"/>
  <c r="FS172" i="4" s="1"/>
  <c r="AU56" i="9"/>
  <c r="AV56" i="9" s="1"/>
  <c r="AJ56" i="9"/>
  <c r="DC107" i="4"/>
  <c r="DN107" i="4"/>
  <c r="DO107" i="4" s="1"/>
  <c r="BF152" i="4"/>
  <c r="BF101" i="8"/>
  <c r="CJ147" i="4"/>
  <c r="CU147" i="4"/>
  <c r="CV147" i="4" s="1"/>
  <c r="FG95" i="4"/>
  <c r="FR95" i="4"/>
  <c r="FS95" i="4" s="1"/>
  <c r="EV62" i="4"/>
  <c r="AE93" i="8"/>
  <c r="AP93" i="8"/>
  <c r="AQ93" i="8" s="1"/>
  <c r="AM104" i="8"/>
  <c r="AE66" i="7"/>
  <c r="AP66" i="7"/>
  <c r="AQ66" i="7" s="1"/>
  <c r="AU143" i="9"/>
  <c r="AV143" i="9" s="1"/>
  <c r="AJ143" i="9"/>
  <c r="EN130" i="4"/>
  <c r="EY130" i="4"/>
  <c r="EZ130" i="4" s="1"/>
  <c r="CJ37" i="8"/>
  <c r="CU37" i="8"/>
  <c r="CV37" i="8" s="1"/>
  <c r="CJ188" i="4"/>
  <c r="CU188" i="4"/>
  <c r="CV188" i="4" s="1"/>
  <c r="BC61" i="9"/>
  <c r="BN61" i="9"/>
  <c r="BO61" i="9" s="1"/>
  <c r="AA123" i="5" a="1"/>
  <c r="AA123" i="5" s="1"/>
  <c r="CJ118" i="8"/>
  <c r="CU118" i="8"/>
  <c r="CV118" i="8" s="1"/>
  <c r="AX33" i="8"/>
  <c r="BI33" i="8"/>
  <c r="BJ33" i="8" s="1"/>
  <c r="FO166" i="4"/>
  <c r="CK205" i="4" a="1"/>
  <c r="CK205" i="4" s="1"/>
  <c r="BE18" i="4" a="1"/>
  <c r="BE18" i="4" s="1"/>
  <c r="FO70" i="4"/>
  <c r="CJ32" i="8"/>
  <c r="CU32" i="8"/>
  <c r="CV32" i="8" s="1"/>
  <c r="AX176" i="4"/>
  <c r="BI176" i="4"/>
  <c r="BJ176" i="4" s="1"/>
  <c r="AP81" i="5"/>
  <c r="AQ81" i="5" s="1"/>
  <c r="AE81" i="5"/>
  <c r="FG68" i="4"/>
  <c r="FR68" i="4"/>
  <c r="FS68" i="4" s="1"/>
  <c r="CJ72" i="8"/>
  <c r="CU72" i="8"/>
  <c r="CV72" i="8" s="1"/>
  <c r="BC66" i="9"/>
  <c r="BN66" i="9"/>
  <c r="BO66" i="9" s="1"/>
  <c r="FG117" i="4"/>
  <c r="FR117" i="4"/>
  <c r="FS117" i="4" s="1"/>
  <c r="CJ181" i="4"/>
  <c r="CU181" i="4"/>
  <c r="CV181" i="4" s="1"/>
  <c r="CK123" i="8" a="1"/>
  <c r="CK123" i="8" s="1"/>
  <c r="AP89" i="5"/>
  <c r="AQ89" i="5" s="1"/>
  <c r="AE89" i="5"/>
  <c r="AE112" i="4"/>
  <c r="AP112" i="4"/>
  <c r="AQ112" i="4" s="1"/>
  <c r="AU140" i="9"/>
  <c r="AV140" i="9" s="1"/>
  <c r="AJ140" i="9"/>
  <c r="DC106" i="4"/>
  <c r="DN106" i="4"/>
  <c r="DO106" i="4" s="1"/>
  <c r="AP66" i="5"/>
  <c r="AQ66" i="5" s="1"/>
  <c r="AE66" i="5"/>
  <c r="CJ106" i="4"/>
  <c r="CU106" i="4"/>
  <c r="CV106" i="4" s="1"/>
  <c r="EN171" i="4"/>
  <c r="EY171" i="4"/>
  <c r="EZ171" i="4" s="1"/>
  <c r="CJ74" i="4"/>
  <c r="CU74" i="4"/>
  <c r="CV74" i="4" s="1"/>
  <c r="BC144" i="9"/>
  <c r="BN144" i="9"/>
  <c r="BO144" i="9" s="1"/>
  <c r="DK161" i="4"/>
  <c r="BI120" i="4"/>
  <c r="BJ120" i="4" s="1"/>
  <c r="AX120" i="4"/>
  <c r="AX100" i="8"/>
  <c r="BI100" i="8"/>
  <c r="BJ100" i="8" s="1"/>
  <c r="AX185" i="4"/>
  <c r="BI185" i="4"/>
  <c r="BJ185" i="4" s="1"/>
  <c r="EN188" i="4"/>
  <c r="EY188" i="4"/>
  <c r="EZ188" i="4" s="1"/>
  <c r="CJ119" i="4"/>
  <c r="CU119" i="4"/>
  <c r="CV119" i="4" s="1"/>
  <c r="AU61" i="9"/>
  <c r="AV61" i="9" s="1"/>
  <c r="AJ61" i="9"/>
  <c r="BI178" i="4"/>
  <c r="BJ178" i="4" s="1"/>
  <c r="AX178" i="4"/>
  <c r="BY117" i="8"/>
  <c r="AE157" i="4"/>
  <c r="AP157" i="4"/>
  <c r="AQ157" i="4" s="1"/>
  <c r="CJ103" i="4"/>
  <c r="CU103" i="4"/>
  <c r="CV103" i="4" s="1"/>
  <c r="DC205" i="4" a="1"/>
  <c r="DC205" i="4" s="1"/>
  <c r="CR70" i="4"/>
  <c r="AE110" i="5"/>
  <c r="AP110" i="5"/>
  <c r="AQ110" i="5" s="1"/>
  <c r="AE76" i="7"/>
  <c r="AP76" i="7"/>
  <c r="AQ76" i="7" s="1"/>
  <c r="AP44" i="5"/>
  <c r="AQ44" i="5" s="1"/>
  <c r="AE44" i="5"/>
  <c r="BI125" i="4"/>
  <c r="BJ125" i="4" s="1"/>
  <c r="AX125" i="4"/>
  <c r="DC140" i="4"/>
  <c r="DN140" i="4"/>
  <c r="DO140" i="4" s="1"/>
  <c r="AE115" i="4"/>
  <c r="AP115" i="4"/>
  <c r="AQ115" i="4" s="1"/>
  <c r="BI181" i="4"/>
  <c r="BJ181" i="4" s="1"/>
  <c r="AX181" i="4"/>
  <c r="EN146" i="4"/>
  <c r="EY146" i="4"/>
  <c r="EZ146" i="4" s="1"/>
  <c r="AM96" i="5"/>
  <c r="BC119" i="9"/>
  <c r="BN119" i="9"/>
  <c r="BO119" i="9" s="1"/>
  <c r="AM82" i="8"/>
  <c r="AX59" i="4"/>
  <c r="BI59" i="4"/>
  <c r="BJ59" i="4" s="1"/>
  <c r="BQ172" i="4"/>
  <c r="CB172" i="4"/>
  <c r="CC172" i="4" s="1"/>
  <c r="EN83" i="4"/>
  <c r="EY83" i="4"/>
  <c r="EZ83" i="4" s="1"/>
  <c r="BQ105" i="8"/>
  <c r="CB105" i="8"/>
  <c r="CC105" i="8" s="1"/>
  <c r="AE100" i="7"/>
  <c r="AP100" i="7"/>
  <c r="AQ100" i="7" s="1"/>
  <c r="AE107" i="7" a="1"/>
  <c r="AE107" i="7" s="1"/>
  <c r="AR47" i="9"/>
  <c r="AE37" i="7"/>
  <c r="AP37" i="7"/>
  <c r="AQ37" i="7" s="1"/>
  <c r="BI139" i="4"/>
  <c r="BJ139" i="4" s="1"/>
  <c r="AX139" i="4"/>
  <c r="AX96" i="8"/>
  <c r="BI96" i="8"/>
  <c r="BJ96" i="8" s="1"/>
  <c r="AM84" i="7"/>
  <c r="FG74" i="4"/>
  <c r="FR74" i="4"/>
  <c r="FS74" i="4" s="1"/>
  <c r="CJ67" i="4"/>
  <c r="CU67" i="4"/>
  <c r="CV67" i="4" s="1"/>
  <c r="BQ115" i="8"/>
  <c r="CB115" i="8"/>
  <c r="CC115" i="8" s="1"/>
  <c r="AR85" i="9"/>
  <c r="FG55" i="4"/>
  <c r="FR55" i="4"/>
  <c r="FS55" i="4" s="1"/>
  <c r="AP111" i="5"/>
  <c r="AQ111" i="5" s="1"/>
  <c r="AE111" i="5"/>
  <c r="BQ83" i="8"/>
  <c r="CB83" i="8"/>
  <c r="CC83" i="8" s="1"/>
  <c r="BQ106" i="8"/>
  <c r="CB106" i="8"/>
  <c r="CC106" i="8" s="1"/>
  <c r="EN193" i="4"/>
  <c r="EY193" i="4"/>
  <c r="EZ193" i="4" s="1"/>
  <c r="AX108" i="4"/>
  <c r="BI108" i="4"/>
  <c r="BJ108" i="4" s="1"/>
  <c r="AP31" i="5"/>
  <c r="AQ31" i="5" s="1"/>
  <c r="AE31" i="5"/>
  <c r="AE154" i="4"/>
  <c r="AP154" i="4"/>
  <c r="AQ154" i="4" s="1"/>
  <c r="AE172" i="4"/>
  <c r="AP172" i="4"/>
  <c r="AQ172" i="4" s="1"/>
  <c r="AJ152" i="9"/>
  <c r="AU152" i="9"/>
  <c r="AV152" i="9" s="1"/>
  <c r="BQ147" i="4"/>
  <c r="CB147" i="4"/>
  <c r="CC147" i="4" s="1"/>
  <c r="DC95" i="4"/>
  <c r="DN95" i="4"/>
  <c r="DO95" i="4" s="1"/>
  <c r="EN65" i="4"/>
  <c r="EY65" i="4"/>
  <c r="EZ65" i="4" s="1"/>
  <c r="CJ93" i="8"/>
  <c r="CU93" i="8"/>
  <c r="CV93" i="8" s="1"/>
  <c r="DC61" i="4"/>
  <c r="DN61" i="4"/>
  <c r="DO61" i="4" s="1"/>
  <c r="CJ40" i="8"/>
  <c r="CU40" i="8"/>
  <c r="CV40" i="8" s="1"/>
  <c r="AE105" i="8"/>
  <c r="AP105" i="8"/>
  <c r="AQ105" i="8" s="1"/>
  <c r="AU97" i="9"/>
  <c r="AV97" i="9" s="1"/>
  <c r="AJ97" i="9"/>
  <c r="BC111" i="9"/>
  <c r="BN111" i="9"/>
  <c r="BO111" i="9" s="1"/>
  <c r="BF99" i="8"/>
  <c r="FG138" i="4"/>
  <c r="FR138" i="4"/>
  <c r="FS138" i="4" s="1"/>
  <c r="DK187" i="4"/>
  <c r="AX184" i="4"/>
  <c r="BI184" i="4"/>
  <c r="BJ184" i="4" s="1"/>
  <c r="EN119" i="4"/>
  <c r="EY119" i="4"/>
  <c r="EZ119" i="4" s="1"/>
  <c r="CR117" i="8"/>
  <c r="AE33" i="8"/>
  <c r="AP33" i="8"/>
  <c r="AQ33" i="8" s="1"/>
  <c r="BQ103" i="4"/>
  <c r="CB103" i="4"/>
  <c r="CC103" i="4" s="1"/>
  <c r="CQ18" i="4" a="1"/>
  <c r="CQ18" i="4" s="1"/>
  <c r="BF70" i="4"/>
  <c r="BQ68" i="4"/>
  <c r="CB68" i="4"/>
  <c r="CC68" i="4" s="1"/>
  <c r="FG127" i="4"/>
  <c r="FR127" i="4"/>
  <c r="FS127" i="4" s="1"/>
  <c r="BQ72" i="8"/>
  <c r="CB72" i="8"/>
  <c r="CC72" i="8" s="1"/>
  <c r="BI175" i="4"/>
  <c r="BJ175" i="4" s="1"/>
  <c r="AX175" i="4"/>
  <c r="AU66" i="9"/>
  <c r="AV66" i="9" s="1"/>
  <c r="AJ66" i="9"/>
  <c r="EN140" i="4"/>
  <c r="EY140" i="4"/>
  <c r="EZ140" i="4" s="1"/>
  <c r="AM114" i="4"/>
  <c r="EN96" i="4"/>
  <c r="EY96" i="4"/>
  <c r="EZ96" i="4" s="1"/>
  <c r="AT123" i="8" a="1"/>
  <c r="AT123" i="8" s="1"/>
  <c r="FG148" i="4"/>
  <c r="FR148" i="4"/>
  <c r="FS148" i="4" s="1"/>
  <c r="AR71" i="9"/>
  <c r="BC115" i="9"/>
  <c r="BN115" i="9"/>
  <c r="BO115" i="9" s="1"/>
  <c r="EN120" i="4"/>
  <c r="EY120" i="4"/>
  <c r="EZ120" i="4" s="1"/>
  <c r="DK163" i="4"/>
  <c r="AX47" i="8"/>
  <c r="BI47" i="8"/>
  <c r="BJ47" i="8" s="1"/>
  <c r="CR101" i="8"/>
  <c r="FR67" i="4"/>
  <c r="FS67" i="4" s="1"/>
  <c r="FG67" i="4"/>
  <c r="CJ107" i="4"/>
  <c r="CU107" i="4"/>
  <c r="CV107" i="4" s="1"/>
  <c r="AX153" i="4"/>
  <c r="BI153" i="4"/>
  <c r="BJ153" i="4" s="1"/>
  <c r="CR59" i="8"/>
  <c r="CR170" i="4"/>
  <c r="AM95" i="8"/>
  <c r="DN74" i="4"/>
  <c r="DO74" i="4" s="1"/>
  <c r="DC74" i="4"/>
  <c r="BF66" i="4"/>
  <c r="AM93" i="7"/>
  <c r="AM114" i="8"/>
  <c r="BI76" i="4"/>
  <c r="BJ76" i="4" s="1"/>
  <c r="AX76" i="4"/>
  <c r="BC122" i="9"/>
  <c r="BN122" i="9"/>
  <c r="BO122" i="9" s="1"/>
  <c r="EN150" i="4"/>
  <c r="EY150" i="4"/>
  <c r="EZ150" i="4" s="1"/>
  <c r="EN101" i="4"/>
  <c r="EY101" i="4"/>
  <c r="EZ101" i="4" s="1"/>
  <c r="FG173" i="4"/>
  <c r="FR173" i="4"/>
  <c r="FS173" i="4" s="1"/>
  <c r="DC147" i="4"/>
  <c r="DN147" i="4"/>
  <c r="DO147" i="4" s="1"/>
  <c r="FG65" i="4"/>
  <c r="FR65" i="4"/>
  <c r="FS65" i="4" s="1"/>
  <c r="AX93" i="8"/>
  <c r="BI93" i="8"/>
  <c r="BJ93" i="8" s="1"/>
  <c r="AE98" i="5"/>
  <c r="AP98" i="5"/>
  <c r="AQ98" i="5" s="1"/>
  <c r="BC121" i="9"/>
  <c r="BN121" i="9"/>
  <c r="BO121" i="9" s="1"/>
  <c r="AE180" i="4"/>
  <c r="AP180" i="4"/>
  <c r="AQ180" i="4" s="1"/>
  <c r="BY104" i="8"/>
  <c r="AU111" i="9"/>
  <c r="AV111" i="9" s="1"/>
  <c r="AJ111" i="9"/>
  <c r="CJ100" i="8"/>
  <c r="CU100" i="8"/>
  <c r="CV100" i="8" s="1"/>
  <c r="AE36" i="7"/>
  <c r="AP36" i="7"/>
  <c r="AQ36" i="7" s="1"/>
  <c r="EV97" i="4"/>
  <c r="CJ36" i="8"/>
  <c r="CU36" i="8"/>
  <c r="CV36" i="8" s="1"/>
  <c r="AM187" i="4"/>
  <c r="EV118" i="4"/>
  <c r="AX74" i="8"/>
  <c r="BI74" i="8"/>
  <c r="BJ74" i="8" s="1"/>
  <c r="CJ78" i="8"/>
  <c r="CU78" i="8"/>
  <c r="CV78" i="8" s="1"/>
  <c r="BQ118" i="8"/>
  <c r="CB118" i="8"/>
  <c r="CC118" i="8" s="1"/>
  <c r="AE107" i="8"/>
  <c r="AP107" i="8"/>
  <c r="AQ107" i="8" s="1"/>
  <c r="DC157" i="4"/>
  <c r="DN157" i="4"/>
  <c r="DO157" i="4" s="1"/>
  <c r="FN21" i="4" a="1"/>
  <c r="FN21" i="4" s="1"/>
  <c r="AX39" i="8"/>
  <c r="BI39" i="8"/>
  <c r="BJ39" i="8" s="1"/>
  <c r="AX71" i="4"/>
  <c r="BI71" i="4"/>
  <c r="BJ71" i="4" s="1"/>
  <c r="AM109" i="5"/>
  <c r="CJ127" i="4"/>
  <c r="CU127" i="4"/>
  <c r="CV127" i="4" s="1"/>
  <c r="AE54" i="7"/>
  <c r="AP54" i="7"/>
  <c r="AQ54" i="7" s="1"/>
  <c r="AE140" i="4"/>
  <c r="AP140" i="4"/>
  <c r="AQ140" i="4" s="1"/>
  <c r="BC83" i="9"/>
  <c r="BN83" i="9"/>
  <c r="BO83" i="9" s="1"/>
  <c r="BQ115" i="4"/>
  <c r="CB115" i="4"/>
  <c r="CC115" i="4" s="1"/>
  <c r="CJ117" i="4"/>
  <c r="CU117" i="4"/>
  <c r="CV117" i="4" s="1"/>
  <c r="AE71" i="7"/>
  <c r="AP71" i="7"/>
  <c r="AQ71" i="7" s="1"/>
  <c r="DC146" i="4"/>
  <c r="DN146" i="4"/>
  <c r="DO146" i="4" s="1"/>
  <c r="DC177" i="4"/>
  <c r="DN177" i="4"/>
  <c r="DO177" i="4" s="1"/>
  <c r="AU35" i="9"/>
  <c r="AV35" i="9" s="1"/>
  <c r="AJ35" i="9"/>
  <c r="AJ59" i="9"/>
  <c r="AU59" i="9"/>
  <c r="AV59" i="9" s="1"/>
  <c r="DK170" i="4"/>
  <c r="BK47" i="9"/>
  <c r="AE85" i="7"/>
  <c r="AP85" i="7"/>
  <c r="AQ85" i="7" s="1"/>
  <c r="AE91" i="7"/>
  <c r="AP91" i="7"/>
  <c r="AQ91" i="7" s="1"/>
  <c r="BK126" i="9"/>
  <c r="CJ101" i="4"/>
  <c r="CU101" i="4"/>
  <c r="CV101" i="4" s="1"/>
  <c r="AE173" i="4"/>
  <c r="AP173" i="4"/>
  <c r="AQ173" i="4" s="1"/>
  <c r="EV141" i="4"/>
  <c r="BI95" i="4"/>
  <c r="BJ95" i="4" s="1"/>
  <c r="AX95" i="4"/>
  <c r="BY92" i="8"/>
  <c r="BQ169" i="4"/>
  <c r="CB169" i="4"/>
  <c r="CC169" i="4" s="1"/>
  <c r="AE61" i="4"/>
  <c r="AP61" i="4"/>
  <c r="AQ61" i="4" s="1"/>
  <c r="AX105" i="8"/>
  <c r="BI105" i="8"/>
  <c r="BJ105" i="8" s="1"/>
  <c r="DN188" i="4"/>
  <c r="DO188" i="4" s="1"/>
  <c r="DC188" i="4"/>
  <c r="BQ119" i="4"/>
  <c r="CB119" i="4"/>
  <c r="CC119" i="4" s="1"/>
  <c r="FN18" i="4" a="1"/>
  <c r="FN18" i="4" s="1"/>
  <c r="BC87" i="9"/>
  <c r="BN87" i="9"/>
  <c r="BO87" i="9" s="1"/>
  <c r="AE39" i="8"/>
  <c r="AP39" i="8"/>
  <c r="AQ39" i="8" s="1"/>
  <c r="BC151" i="9"/>
  <c r="BN151" i="9"/>
  <c r="BO151" i="9" s="1"/>
  <c r="FO78" i="4"/>
  <c r="AE68" i="4"/>
  <c r="AP68" i="4"/>
  <c r="AQ68" i="4" s="1"/>
  <c r="AX90" i="8"/>
  <c r="BI90" i="8"/>
  <c r="BJ90" i="8" s="1"/>
  <c r="FG156" i="4"/>
  <c r="FR156" i="4"/>
  <c r="FS156" i="4" s="1"/>
  <c r="AJ83" i="9"/>
  <c r="AU83" i="9"/>
  <c r="AV83" i="9" s="1"/>
  <c r="BY114" i="4"/>
  <c r="AX123" i="4"/>
  <c r="BI123" i="4"/>
  <c r="BJ123" i="4" s="1"/>
  <c r="CJ190" i="4"/>
  <c r="CU190" i="4"/>
  <c r="CV190" i="4" s="1"/>
  <c r="DC117" i="4"/>
  <c r="DN117" i="4"/>
  <c r="DO117" i="4" s="1"/>
  <c r="AM70" i="7"/>
  <c r="AX54" i="8"/>
  <c r="BI54" i="8"/>
  <c r="BJ54" i="8" s="1"/>
  <c r="BF112" i="8"/>
  <c r="AE103" i="5"/>
  <c r="AP103" i="5"/>
  <c r="AQ103" i="5" s="1"/>
  <c r="CJ108" i="4"/>
  <c r="CU108" i="4"/>
  <c r="CV108" i="4" s="1"/>
  <c r="AJ86" i="9"/>
  <c r="AU86" i="9"/>
  <c r="AV86" i="9" s="1"/>
  <c r="AU119" i="9"/>
  <c r="AV119" i="9" s="1"/>
  <c r="AJ119" i="9"/>
  <c r="EN112" i="4"/>
  <c r="EY112" i="4"/>
  <c r="EZ112" i="4" s="1"/>
  <c r="BI74" i="4"/>
  <c r="BJ74" i="4" s="1"/>
  <c r="AX74" i="4"/>
  <c r="BI67" i="4"/>
  <c r="BJ67" i="4" s="1"/>
  <c r="AX67" i="4"/>
  <c r="AM89" i="7"/>
  <c r="AE115" i="8"/>
  <c r="AP115" i="8"/>
  <c r="AQ115" i="8" s="1"/>
  <c r="EN55" i="4"/>
  <c r="EY55" i="4"/>
  <c r="EZ55" i="4" s="1"/>
  <c r="DC51" i="4"/>
  <c r="DN51" i="4"/>
  <c r="DO51" i="4" s="1"/>
  <c r="AP54" i="5"/>
  <c r="AQ54" i="5" s="1"/>
  <c r="AE54" i="5"/>
  <c r="BQ113" i="4"/>
  <c r="CB113" i="4"/>
  <c r="CC113" i="4" s="1"/>
  <c r="AE34" i="7"/>
  <c r="AP34" i="7"/>
  <c r="AQ34" i="7" s="1"/>
  <c r="BQ193" i="4"/>
  <c r="CB193" i="4"/>
  <c r="CC193" i="4" s="1"/>
  <c r="CU154" i="4"/>
  <c r="CV154" i="4" s="1"/>
  <c r="CJ154" i="4"/>
  <c r="AE168" i="4"/>
  <c r="AP168" i="4"/>
  <c r="AQ168" i="4" s="1"/>
  <c r="CJ172" i="4"/>
  <c r="CU172" i="4"/>
  <c r="CV172" i="4" s="1"/>
  <c r="BQ107" i="4"/>
  <c r="CB107" i="4"/>
  <c r="CC107" i="4" s="1"/>
  <c r="DC83" i="4"/>
  <c r="DN83" i="4"/>
  <c r="DO83" i="4" s="1"/>
  <c r="DC65" i="4"/>
  <c r="DN65" i="4"/>
  <c r="DO65" i="4" s="1"/>
  <c r="BC40" i="9"/>
  <c r="BN40" i="9"/>
  <c r="BO40" i="9" s="1"/>
  <c r="AM99" i="8"/>
  <c r="DK97" i="4"/>
  <c r="AE36" i="8"/>
  <c r="AP36" i="8"/>
  <c r="AQ36" i="8" s="1"/>
  <c r="AP78" i="5"/>
  <c r="AQ78" i="5" s="1"/>
  <c r="AE78" i="5"/>
  <c r="AE78" i="8"/>
  <c r="AP78" i="8"/>
  <c r="AQ78" i="8" s="1"/>
  <c r="AX118" i="8"/>
  <c r="BI118" i="8"/>
  <c r="BJ118" i="8" s="1"/>
  <c r="AP106" i="5"/>
  <c r="AQ106" i="5" s="1"/>
  <c r="AE106" i="5"/>
  <c r="CR163" i="4"/>
  <c r="AX60" i="8"/>
  <c r="BI60" i="8"/>
  <c r="BJ60" i="8" s="1"/>
  <c r="BQ171" i="4"/>
  <c r="CB171" i="4"/>
  <c r="CC171" i="4" s="1"/>
  <c r="AE69" i="5"/>
  <c r="AP69" i="5"/>
  <c r="AQ69" i="5" s="1"/>
  <c r="BC107" i="9"/>
  <c r="BN107" i="9"/>
  <c r="BO107" i="9" s="1"/>
  <c r="AU96" i="9"/>
  <c r="AV96" i="9" s="1"/>
  <c r="AJ96" i="9"/>
  <c r="AP101" i="5"/>
  <c r="AQ101" i="5" s="1"/>
  <c r="AE101" i="5"/>
  <c r="AE90" i="7"/>
  <c r="AP90" i="7"/>
  <c r="AQ90" i="7" s="1"/>
  <c r="AE162" i="4"/>
  <c r="AP162" i="4"/>
  <c r="AQ162" i="4" s="1"/>
  <c r="AM58" i="7"/>
  <c r="AE55" i="4"/>
  <c r="AP55" i="4"/>
  <c r="AQ55" i="4" s="1"/>
  <c r="CJ51" i="4"/>
  <c r="CU51" i="4"/>
  <c r="CV51" i="4" s="1"/>
  <c r="DN30" i="4"/>
  <c r="DO30" i="4" s="1"/>
  <c r="DC30" i="4"/>
  <c r="AU122" i="9"/>
  <c r="AV122" i="9" s="1"/>
  <c r="AJ122" i="9"/>
  <c r="AE47" i="7"/>
  <c r="AP47" i="7"/>
  <c r="AQ47" i="7" s="1"/>
  <c r="CR192" i="4"/>
  <c r="BQ154" i="4"/>
  <c r="CB154" i="4"/>
  <c r="CC154" i="4" s="1"/>
  <c r="DC172" i="4"/>
  <c r="DN172" i="4"/>
  <c r="DO172" i="4" s="1"/>
  <c r="BC127" i="9"/>
  <c r="BN127" i="9"/>
  <c r="BO127" i="9" s="1"/>
  <c r="FG101" i="4"/>
  <c r="FR101" i="4"/>
  <c r="FS101" i="4" s="1"/>
  <c r="CJ177" i="4"/>
  <c r="CU177" i="4"/>
  <c r="CV177" i="4" s="1"/>
  <c r="BY62" i="4"/>
  <c r="AM92" i="8"/>
  <c r="AE83" i="5"/>
  <c r="AP83" i="5"/>
  <c r="AQ83" i="5" s="1"/>
  <c r="FG180" i="4"/>
  <c r="FR180" i="4"/>
  <c r="FS180" i="4" s="1"/>
  <c r="CJ105" i="8"/>
  <c r="CU105" i="8"/>
  <c r="CV105" i="8" s="1"/>
  <c r="DC85" i="4"/>
  <c r="DN85" i="4"/>
  <c r="DO85" i="4" s="1"/>
  <c r="BY99" i="8"/>
  <c r="EN60" i="4"/>
  <c r="EY60" i="4"/>
  <c r="EZ60" i="4" s="1"/>
  <c r="FG145" i="4"/>
  <c r="FR145" i="4"/>
  <c r="FS145" i="4" s="1"/>
  <c r="DC138" i="4"/>
  <c r="DN138" i="4"/>
  <c r="DO138" i="4" s="1"/>
  <c r="AX188" i="4"/>
  <c r="BI188" i="4"/>
  <c r="BJ188" i="4" s="1"/>
  <c r="FG119" i="4"/>
  <c r="FR119" i="4"/>
  <c r="FS119" i="4" s="1"/>
  <c r="AP88" i="5"/>
  <c r="AQ88" i="5" s="1"/>
  <c r="AE88" i="5"/>
  <c r="BQ74" i="8"/>
  <c r="CB74" i="8"/>
  <c r="CC74" i="8" s="1"/>
  <c r="AE30" i="5"/>
  <c r="AP30" i="5"/>
  <c r="AQ30" i="5" s="1"/>
  <c r="AE73" i="4"/>
  <c r="AP73" i="4"/>
  <c r="AQ73" i="4" s="1"/>
  <c r="AE118" i="8"/>
  <c r="AP118" i="8"/>
  <c r="AQ118" i="8" s="1"/>
  <c r="CF205" i="4" a="1"/>
  <c r="CF205" i="4" s="1"/>
  <c r="CQ21" i="4" a="1"/>
  <c r="CQ21" i="4" s="1"/>
  <c r="BF78" i="4"/>
  <c r="AE90" i="8"/>
  <c r="AP90" i="8"/>
  <c r="AQ90" i="8" s="1"/>
  <c r="FO155" i="4"/>
  <c r="AE112" i="5"/>
  <c r="AP112" i="5"/>
  <c r="AQ112" i="5" s="1"/>
  <c r="BQ140" i="4"/>
  <c r="CB140" i="4"/>
  <c r="CC140" i="4" s="1"/>
  <c r="EV114" i="4"/>
  <c r="CJ96" i="4"/>
  <c r="CU96" i="4"/>
  <c r="CV96" i="4" s="1"/>
  <c r="AX123" i="8" a="1"/>
  <c r="AX123" i="8" s="1"/>
  <c r="CB30" i="4"/>
  <c r="CC30" i="4" s="1"/>
  <c r="BQ30" i="4"/>
  <c r="BC150" i="9"/>
  <c r="BN150" i="9"/>
  <c r="BO150" i="9" s="1"/>
  <c r="DC186" i="4"/>
  <c r="DN186" i="4"/>
  <c r="DO186" i="4" s="1"/>
  <c r="AL20" i="7" a="1"/>
  <c r="AL20" i="7" s="1"/>
  <c r="AE76" i="4"/>
  <c r="AP76" i="4"/>
  <c r="AQ76" i="4" s="1"/>
  <c r="AJ149" i="9"/>
  <c r="AU149" i="9"/>
  <c r="AV149" i="9" s="1"/>
  <c r="AE94" i="7"/>
  <c r="AP94" i="7"/>
  <c r="AQ94" i="7" s="1"/>
  <c r="AM105" i="5"/>
  <c r="AM100" i="5"/>
  <c r="BC63" i="9"/>
  <c r="BN63" i="9"/>
  <c r="BO63" i="9" s="1"/>
  <c r="BC88" i="9"/>
  <c r="BN88" i="9"/>
  <c r="BO88" i="9" s="1"/>
  <c r="AM59" i="8"/>
  <c r="AE144" i="4"/>
  <c r="AP144" i="4"/>
  <c r="AQ144" i="4" s="1"/>
  <c r="DC171" i="4"/>
  <c r="DN171" i="4"/>
  <c r="DO171" i="4" s="1"/>
  <c r="AE54" i="8"/>
  <c r="AP54" i="8"/>
  <c r="AQ54" i="8" s="1"/>
  <c r="AE69" i="4"/>
  <c r="AP69" i="4"/>
  <c r="AQ69" i="4" s="1"/>
  <c r="AU168" i="9"/>
  <c r="AV168" i="9" s="1"/>
  <c r="AJ168" i="9"/>
  <c r="BY161" i="4"/>
  <c r="AE59" i="7"/>
  <c r="AP59" i="7"/>
  <c r="AQ59" i="7" s="1"/>
  <c r="AP30" i="4"/>
  <c r="AQ30" i="4" s="1"/>
  <c r="AE30" i="4"/>
  <c r="BQ150" i="4"/>
  <c r="CB150" i="4"/>
  <c r="CC150" i="4" s="1"/>
  <c r="AE48" i="8"/>
  <c r="AP48" i="8"/>
  <c r="AQ48" i="8" s="1"/>
  <c r="BC75" i="9"/>
  <c r="BN75" i="9"/>
  <c r="BO75" i="9" s="1"/>
  <c r="AE116" i="8"/>
  <c r="AP116" i="8"/>
  <c r="AQ116" i="8" s="1"/>
  <c r="DK192" i="4"/>
  <c r="BC105" i="9"/>
  <c r="BN105" i="9"/>
  <c r="BO105" i="9" s="1"/>
  <c r="EN154" i="4"/>
  <c r="EY154" i="4"/>
  <c r="EZ154" i="4" s="1"/>
  <c r="AJ127" i="9"/>
  <c r="AU127" i="9"/>
  <c r="AV127" i="9" s="1"/>
  <c r="FG107" i="4"/>
  <c r="FR107" i="4"/>
  <c r="FS107" i="4" s="1"/>
  <c r="DC101" i="4"/>
  <c r="DN101" i="4"/>
  <c r="DO101" i="4" s="1"/>
  <c r="FO141" i="4"/>
  <c r="AX147" i="4"/>
  <c r="BI147" i="4"/>
  <c r="BJ147" i="4" s="1"/>
  <c r="CJ83" i="4"/>
  <c r="CU83" i="4"/>
  <c r="CV83" i="4" s="1"/>
  <c r="BQ65" i="4"/>
  <c r="CB65" i="4"/>
  <c r="CC65" i="4" s="1"/>
  <c r="BQ93" i="8"/>
  <c r="CB93" i="8"/>
  <c r="CC93" i="8" s="1"/>
  <c r="EN61" i="4"/>
  <c r="EY61" i="4"/>
  <c r="EZ61" i="4" s="1"/>
  <c r="AM82" i="5"/>
  <c r="AJ121" i="9"/>
  <c r="AU121" i="9"/>
  <c r="AV121" i="9" s="1"/>
  <c r="AJ40" i="9"/>
  <c r="AU40" i="9"/>
  <c r="AV40" i="9" s="1"/>
  <c r="CR104" i="8"/>
  <c r="BC112" i="9"/>
  <c r="BN112" i="9"/>
  <c r="BO112" i="9" s="1"/>
  <c r="DC111" i="4"/>
  <c r="DN111" i="4"/>
  <c r="DO111" i="4" s="1"/>
  <c r="AE100" i="8"/>
  <c r="AP100" i="8"/>
  <c r="AQ100" i="8" s="1"/>
  <c r="AM55" i="5"/>
  <c r="BQ145" i="4"/>
  <c r="CB145" i="4"/>
  <c r="CC145" i="4" s="1"/>
  <c r="BQ138" i="4"/>
  <c r="CB138" i="4"/>
  <c r="CC138" i="4" s="1"/>
  <c r="BF97" i="4"/>
  <c r="BQ36" i="8"/>
  <c r="CB36" i="8"/>
  <c r="CC36" i="8" s="1"/>
  <c r="BF187" i="4"/>
  <c r="BF118" i="4"/>
  <c r="CJ74" i="8"/>
  <c r="CU74" i="8"/>
  <c r="CV74" i="8" s="1"/>
  <c r="EN73" i="4"/>
  <c r="EY73" i="4"/>
  <c r="EZ73" i="4" s="1"/>
  <c r="AP114" i="5"/>
  <c r="AQ114" i="5" s="1"/>
  <c r="AE114" i="5"/>
  <c r="FG157" i="4"/>
  <c r="FR157" i="4"/>
  <c r="FS157" i="4" s="1"/>
  <c r="AX103" i="4"/>
  <c r="BI103" i="4"/>
  <c r="BJ103" i="4" s="1"/>
  <c r="AE205" i="4" a="1"/>
  <c r="AE205" i="4" s="1"/>
  <c r="AU87" i="9"/>
  <c r="AV87" i="9" s="1"/>
  <c r="AJ87" i="9"/>
  <c r="BQ39" i="8"/>
  <c r="CB39" i="8"/>
  <c r="CC39" i="8" s="1"/>
  <c r="BC125" i="9"/>
  <c r="BN125" i="9"/>
  <c r="BO125" i="9" s="1"/>
  <c r="AX32" i="8"/>
  <c r="BI32" i="8"/>
  <c r="BJ32" i="8" s="1"/>
  <c r="CJ90" i="8"/>
  <c r="CU90" i="8"/>
  <c r="CV90" i="8" s="1"/>
  <c r="BC158" i="9"/>
  <c r="BN158" i="9"/>
  <c r="BO158" i="9" s="1"/>
  <c r="BQ57" i="4"/>
  <c r="CB57" i="4"/>
  <c r="CC57" i="4" s="1"/>
  <c r="FG115" i="4"/>
  <c r="FR115" i="4"/>
  <c r="FS115" i="4" s="1"/>
  <c r="AE96" i="4"/>
  <c r="AP96" i="4"/>
  <c r="AQ96" i="4" s="1"/>
  <c r="DC190" i="4"/>
  <c r="DN190" i="4"/>
  <c r="DO190" i="4" s="1"/>
  <c r="BI146" i="4"/>
  <c r="BJ146" i="4" s="1"/>
  <c r="AX146" i="4"/>
  <c r="BQ53" i="4"/>
  <c r="CB53" i="4"/>
  <c r="CC53" i="4" s="1"/>
  <c r="BQ54" i="8"/>
  <c r="CB54" i="8"/>
  <c r="CC54" i="8" s="1"/>
  <c r="AJ134" i="9"/>
  <c r="AU134" i="9"/>
  <c r="AV134" i="9" s="1"/>
  <c r="EN180" i="4"/>
  <c r="EY180" i="4"/>
  <c r="EZ180" i="4" s="1"/>
  <c r="BQ112" i="4"/>
  <c r="CB112" i="4"/>
  <c r="CC112" i="4" s="1"/>
  <c r="BC130" i="9"/>
  <c r="BN130" i="9"/>
  <c r="BO130" i="9" s="1"/>
  <c r="AM34" i="5" a="1"/>
  <c r="AM34" i="5" s="1"/>
  <c r="AJ130" i="9"/>
  <c r="AU130" i="9"/>
  <c r="AV130" i="9" s="1"/>
  <c r="CJ64" i="8"/>
  <c r="CU64" i="8"/>
  <c r="CV64" i="8" s="1"/>
  <c r="AE96" i="8"/>
  <c r="AP96" i="8"/>
  <c r="AQ96" i="8" s="1"/>
  <c r="AE74" i="4"/>
  <c r="AP74" i="4"/>
  <c r="AQ74" i="4" s="1"/>
  <c r="BF114" i="8"/>
  <c r="BQ51" i="4"/>
  <c r="CB51" i="4"/>
  <c r="CC51" i="4" s="1"/>
  <c r="AU65" i="9"/>
  <c r="AV65" i="9" s="1"/>
  <c r="AJ65" i="9"/>
  <c r="CJ38" i="8"/>
  <c r="CU38" i="8"/>
  <c r="CV38" i="8" s="1"/>
  <c r="BQ164" i="4"/>
  <c r="CB164" i="4"/>
  <c r="CC164" i="4" s="1"/>
  <c r="AE186" i="4"/>
  <c r="AP186" i="4"/>
  <c r="AQ186" i="4" s="1"/>
  <c r="BC96" i="9"/>
  <c r="BN96" i="9"/>
  <c r="BO96" i="9" s="1"/>
  <c r="AE79" i="7"/>
  <c r="AP79" i="7"/>
  <c r="AQ79" i="7" s="1"/>
  <c r="AI175" i="9" a="1"/>
  <c r="AI175" i="9" s="1"/>
  <c r="BQ60" i="8"/>
  <c r="CB60" i="8"/>
  <c r="CC60" i="8" s="1"/>
  <c r="BQ144" i="4"/>
  <c r="CB144" i="4"/>
  <c r="CC144" i="4" s="1"/>
  <c r="FO170" i="4"/>
  <c r="AP53" i="5"/>
  <c r="AQ53" i="5" s="1"/>
  <c r="AE53" i="5"/>
  <c r="AU107" i="9"/>
  <c r="AV107" i="9" s="1"/>
  <c r="AJ107" i="9"/>
  <c r="AP47" i="5"/>
  <c r="AQ47" i="5" s="1"/>
  <c r="AE47" i="5"/>
  <c r="DC162" i="4"/>
  <c r="DN162" i="4"/>
  <c r="DO162" i="4" s="1"/>
  <c r="EN158" i="4"/>
  <c r="EY158" i="4"/>
  <c r="EZ158" i="4" s="1"/>
  <c r="EN51" i="4"/>
  <c r="EY51" i="4"/>
  <c r="EZ51" i="4" s="1"/>
  <c r="FR30" i="4"/>
  <c r="FS30" i="4" s="1"/>
  <c r="FG30" i="4"/>
  <c r="CJ150" i="4"/>
  <c r="CU150" i="4"/>
  <c r="CV150" i="4" s="1"/>
  <c r="AP25" i="5"/>
  <c r="AQ25" i="5" s="1"/>
  <c r="AE25" i="5"/>
  <c r="CJ193" i="4"/>
  <c r="CU193" i="4"/>
  <c r="CV193" i="4" s="1"/>
  <c r="AU63" i="9"/>
  <c r="AV63" i="9" s="1"/>
  <c r="AJ63" i="9"/>
  <c r="CJ168" i="4"/>
  <c r="CU168" i="4"/>
  <c r="CV168" i="4" s="1"/>
  <c r="AR126" i="9"/>
  <c r="BI101" i="4"/>
  <c r="BJ101" i="4" s="1"/>
  <c r="AX101" i="4"/>
  <c r="CJ173" i="4"/>
  <c r="CU173" i="4"/>
  <c r="CV173" i="4" s="1"/>
  <c r="BC131" i="9"/>
  <c r="BN131" i="9"/>
  <c r="BO131" i="9" s="1"/>
  <c r="AE65" i="4"/>
  <c r="AP65" i="4"/>
  <c r="AQ65" i="4" s="1"/>
  <c r="CR92" i="8"/>
  <c r="FG61" i="4"/>
  <c r="FR61" i="4"/>
  <c r="FS61" i="4" s="1"/>
  <c r="CJ138" i="4"/>
  <c r="CU138" i="4"/>
  <c r="CV138" i="4" s="1"/>
  <c r="AX119" i="4"/>
  <c r="BI119" i="4"/>
  <c r="BJ119" i="4" s="1"/>
  <c r="EN159" i="4"/>
  <c r="EY159" i="4"/>
  <c r="EZ159" i="4" s="1"/>
  <c r="AE52" i="7"/>
  <c r="AP52" i="7"/>
  <c r="AQ52" i="7" s="1"/>
  <c r="DC73" i="4"/>
  <c r="DN73" i="4"/>
  <c r="DO73" i="4" s="1"/>
  <c r="AE86" i="4"/>
  <c r="AP86" i="4"/>
  <c r="AQ86" i="4" s="1"/>
  <c r="BQ33" i="8"/>
  <c r="CB33" i="8"/>
  <c r="CC33" i="8" s="1"/>
  <c r="AM113" i="5"/>
  <c r="BQ87" i="4"/>
  <c r="CB87" i="4"/>
  <c r="CC87" i="4" s="1"/>
  <c r="CJ72" i="4"/>
  <c r="CU72" i="4"/>
  <c r="CV72" i="4" s="1"/>
  <c r="CJ157" i="4"/>
  <c r="CU157" i="4"/>
  <c r="CV157" i="4" s="1"/>
  <c r="AE102" i="7"/>
  <c r="AP102" i="7"/>
  <c r="AQ102" i="7" s="1"/>
  <c r="BQ23" i="8"/>
  <c r="CB23" i="8"/>
  <c r="CC23" i="8" s="1"/>
  <c r="CY205" i="4" a="1"/>
  <c r="CY205" i="4" s="1"/>
  <c r="DJ21" i="4" a="1"/>
  <c r="DJ21" i="4" s="1"/>
  <c r="BC141" i="9"/>
  <c r="BN141" i="9"/>
  <c r="BO141" i="9" s="1"/>
  <c r="AU151" i="9"/>
  <c r="AV151" i="9" s="1"/>
  <c r="AJ151" i="9"/>
  <c r="AE32" i="8"/>
  <c r="AP32" i="8"/>
  <c r="AQ32" i="8" s="1"/>
  <c r="FG182" i="4"/>
  <c r="FR182" i="4"/>
  <c r="FS182" i="4" s="1"/>
  <c r="AP68" i="5"/>
  <c r="AQ68" i="5" s="1"/>
  <c r="AE68" i="5"/>
  <c r="BQ90" i="8"/>
  <c r="CB90" i="8"/>
  <c r="CC90" i="8" s="1"/>
  <c r="CR155" i="4"/>
  <c r="EN127" i="4"/>
  <c r="EY127" i="4"/>
  <c r="EZ127" i="4" s="1"/>
  <c r="AU158" i="9"/>
  <c r="AV158" i="9" s="1"/>
  <c r="AJ158" i="9"/>
  <c r="FG140" i="4"/>
  <c r="FR140" i="4"/>
  <c r="FS140" i="4" s="1"/>
  <c r="CR114" i="4"/>
  <c r="DC96" i="4"/>
  <c r="DN96" i="4"/>
  <c r="DO96" i="4" s="1"/>
  <c r="BY189" i="4"/>
  <c r="BI117" i="4"/>
  <c r="BJ117" i="4" s="1"/>
  <c r="AX117" i="4"/>
  <c r="AP52" i="5"/>
  <c r="AQ52" i="5" s="1"/>
  <c r="AE52" i="5"/>
  <c r="BE21" i="8" a="1"/>
  <c r="BE21" i="8" s="1"/>
  <c r="AE47" i="8"/>
  <c r="AP47" i="8"/>
  <c r="AQ47" i="8" s="1"/>
  <c r="CJ153" i="4"/>
  <c r="CU153" i="4"/>
  <c r="CV153" i="4" s="1"/>
  <c r="AX164" i="4"/>
  <c r="BI164" i="4"/>
  <c r="BJ164" i="4" s="1"/>
  <c r="AM62" i="4"/>
  <c r="AK175" i="9" a="1"/>
  <c r="AK175" i="9" s="1"/>
  <c r="AU123" i="9"/>
  <c r="AV123" i="9" s="1"/>
  <c r="AJ123" i="9"/>
  <c r="BY59" i="8"/>
  <c r="BC168" i="9"/>
  <c r="BN168" i="9"/>
  <c r="BO168" i="9" s="1"/>
  <c r="BC84" i="9"/>
  <c r="BN84" i="9"/>
  <c r="BO84" i="9" s="1"/>
  <c r="AM170" i="4"/>
  <c r="CR161" i="4"/>
  <c r="CJ158" i="4"/>
  <c r="CU158" i="4"/>
  <c r="CV158" i="4" s="1"/>
  <c r="CJ55" i="4"/>
  <c r="CU55" i="4"/>
  <c r="CV55" i="4" s="1"/>
  <c r="FG51" i="4"/>
  <c r="FR51" i="4"/>
  <c r="FS51" i="4" s="1"/>
  <c r="CJ113" i="4"/>
  <c r="CU113" i="4"/>
  <c r="CV113" i="4" s="1"/>
  <c r="AX113" i="8"/>
  <c r="BI113" i="8"/>
  <c r="BJ113" i="8" s="1"/>
  <c r="AJ75" i="9"/>
  <c r="AU75" i="9"/>
  <c r="AV75" i="9" s="1"/>
  <c r="AX193" i="4"/>
  <c r="BI193" i="4"/>
  <c r="BJ193" i="4" s="1"/>
  <c r="AX168" i="4"/>
  <c r="BI168" i="4"/>
  <c r="BJ168" i="4" s="1"/>
  <c r="AX172" i="4"/>
  <c r="BI172" i="4"/>
  <c r="BJ172" i="4" s="1"/>
  <c r="AM141" i="4"/>
  <c r="AJ131" i="9"/>
  <c r="AU131" i="9"/>
  <c r="AV131" i="9" s="1"/>
  <c r="EN177" i="4"/>
  <c r="EY177" i="4"/>
  <c r="EZ177" i="4" s="1"/>
  <c r="DK62" i="4"/>
  <c r="FG110" i="4"/>
  <c r="FR110" i="4"/>
  <c r="FS110" i="4" s="1"/>
  <c r="CJ180" i="4"/>
  <c r="CU180" i="4"/>
  <c r="CV180" i="4" s="1"/>
  <c r="BQ85" i="4"/>
  <c r="CB85" i="4"/>
  <c r="CC85" i="4" s="1"/>
  <c r="AU112" i="9"/>
  <c r="AV112" i="9" s="1"/>
  <c r="AJ112" i="9"/>
  <c r="EN111" i="4"/>
  <c r="EY111" i="4"/>
  <c r="EZ111" i="4" s="1"/>
  <c r="AX86" i="8"/>
  <c r="BI86" i="8"/>
  <c r="BJ86" i="8" s="1"/>
  <c r="EN138" i="4"/>
  <c r="EY138" i="4"/>
  <c r="EZ138" i="4" s="1"/>
  <c r="AE65" i="5"/>
  <c r="AP65" i="5"/>
  <c r="AQ65" i="5" s="1"/>
  <c r="BY79" i="8"/>
  <c r="AE74" i="8"/>
  <c r="AP74" i="8"/>
  <c r="AQ74" i="8" s="1"/>
  <c r="CJ34" i="8"/>
  <c r="CU34" i="8"/>
  <c r="CV34" i="8" s="1"/>
  <c r="BY65" i="8"/>
  <c r="BC108" i="9"/>
  <c r="BN108" i="9"/>
  <c r="BO108" i="9" s="1"/>
  <c r="BQ73" i="4"/>
  <c r="CB73" i="4"/>
  <c r="CC73" i="4" s="1"/>
  <c r="BQ86" i="4"/>
  <c r="CB86" i="4"/>
  <c r="CC86" i="4" s="1"/>
  <c r="BQ109" i="8"/>
  <c r="CB109" i="8"/>
  <c r="CC109" i="8" s="1"/>
  <c r="EN87" i="4"/>
  <c r="EY87" i="4"/>
  <c r="EZ87" i="4" s="1"/>
  <c r="EN72" i="4"/>
  <c r="EY72" i="4"/>
  <c r="EZ72" i="4" s="1"/>
  <c r="CJ23" i="8"/>
  <c r="CU23" i="8"/>
  <c r="CV23" i="8" s="1"/>
  <c r="AA205" i="4" a="1"/>
  <c r="AA205" i="4" s="1"/>
  <c r="FN19" i="4" a="1"/>
  <c r="FN19" i="4" s="1"/>
  <c r="AM67" i="5"/>
  <c r="EV155" i="4"/>
  <c r="BQ127" i="4"/>
  <c r="CB127" i="4"/>
  <c r="CC127" i="4" s="1"/>
  <c r="BC118" i="9"/>
  <c r="BN118" i="9"/>
  <c r="BO118" i="9" s="1"/>
  <c r="CJ115" i="4"/>
  <c r="CU115" i="4"/>
  <c r="CV115" i="4" s="1"/>
  <c r="FG96" i="4"/>
  <c r="FR96" i="4"/>
  <c r="FS96" i="4" s="1"/>
  <c r="FO189" i="4"/>
  <c r="AY123" i="8" a="1"/>
  <c r="AY123" i="8" s="1"/>
  <c r="BQ94" i="4"/>
  <c r="CB94" i="4"/>
  <c r="CC94" i="4" s="1"/>
  <c r="DN55" i="4"/>
  <c r="DO55" i="4" s="1"/>
  <c r="DC55" i="4"/>
  <c r="AE164" i="4"/>
  <c r="AP164" i="4"/>
  <c r="AQ164" i="4" s="1"/>
  <c r="CR99" i="8"/>
  <c r="AE75" i="8"/>
  <c r="AP75" i="8"/>
  <c r="AQ75" i="8" s="1"/>
  <c r="CR135" i="4"/>
  <c r="AJ53" i="9"/>
  <c r="AU53" i="9"/>
  <c r="AV53" i="9" s="1"/>
  <c r="BF135" i="4"/>
  <c r="BF59" i="8"/>
  <c r="EN139" i="4"/>
  <c r="EY139" i="4"/>
  <c r="EZ139" i="4" s="1"/>
  <c r="BF92" i="8"/>
  <c r="CJ61" i="4"/>
  <c r="CU61" i="4"/>
  <c r="CV61" i="4" s="1"/>
  <c r="AF175" i="9" a="1"/>
  <c r="AF175" i="9" s="1"/>
  <c r="BQ75" i="8"/>
  <c r="CB75" i="8"/>
  <c r="CC75" i="8" s="1"/>
  <c r="BQ88" i="8"/>
  <c r="CB88" i="8"/>
  <c r="CC88" i="8" s="1"/>
  <c r="AE60" i="8"/>
  <c r="AP60" i="8"/>
  <c r="AQ60" i="8" s="1"/>
  <c r="CJ144" i="4"/>
  <c r="CU144" i="4"/>
  <c r="CV144" i="4" s="1"/>
  <c r="EN106" i="4"/>
  <c r="EY106" i="4"/>
  <c r="EZ106" i="4" s="1"/>
  <c r="EN186" i="4"/>
  <c r="EY186" i="4"/>
  <c r="EZ186" i="4" s="1"/>
  <c r="BK109" i="9"/>
  <c r="AU88" i="9"/>
  <c r="AV88" i="9" s="1"/>
  <c r="AJ88" i="9"/>
  <c r="CJ75" i="8"/>
  <c r="CU75" i="8"/>
  <c r="CV75" i="8" s="1"/>
  <c r="AU84" i="9"/>
  <c r="AV84" i="9" s="1"/>
  <c r="AJ84" i="9"/>
  <c r="EN144" i="4"/>
  <c r="EY144" i="4"/>
  <c r="EZ144" i="4" s="1"/>
  <c r="BQ186" i="4"/>
  <c r="CB186" i="4"/>
  <c r="CC186" i="4" s="1"/>
  <c r="BF170" i="4"/>
  <c r="AE53" i="7"/>
  <c r="AP53" i="7"/>
  <c r="AQ53" i="7" s="1"/>
  <c r="BC110" i="9"/>
  <c r="BN110" i="9"/>
  <c r="BO110" i="9" s="1"/>
  <c r="FO161" i="4"/>
  <c r="BQ158" i="4"/>
  <c r="CB158" i="4"/>
  <c r="CC158" i="4" s="1"/>
  <c r="BQ55" i="4"/>
  <c r="CB55" i="4"/>
  <c r="CC55" i="4" s="1"/>
  <c r="AX51" i="4"/>
  <c r="BI51" i="4"/>
  <c r="BJ51" i="4" s="1"/>
  <c r="AE150" i="4"/>
  <c r="AP150" i="4"/>
  <c r="AQ150" i="4" s="1"/>
  <c r="CR112" i="8"/>
  <c r="BF192" i="4"/>
  <c r="BI154" i="4"/>
  <c r="BJ154" i="4" s="1"/>
  <c r="AX154" i="4"/>
  <c r="AX107" i="4"/>
  <c r="BI107" i="4"/>
  <c r="BJ107" i="4" s="1"/>
  <c r="AE148" i="4"/>
  <c r="AP148" i="4"/>
  <c r="AQ148" i="4" s="1"/>
  <c r="BQ173" i="4"/>
  <c r="CB173" i="4"/>
  <c r="CC173" i="4" s="1"/>
  <c r="DK141" i="4"/>
  <c r="FG177" i="4"/>
  <c r="FR177" i="4"/>
  <c r="FS177" i="4" s="1"/>
  <c r="AX97" i="8"/>
  <c r="BI97" i="8"/>
  <c r="BJ97" i="8" s="1"/>
  <c r="AE83" i="4"/>
  <c r="AP83" i="4"/>
  <c r="AQ83" i="4" s="1"/>
  <c r="AX65" i="4"/>
  <c r="BI65" i="4"/>
  <c r="BJ65" i="4" s="1"/>
  <c r="BQ180" i="4"/>
  <c r="CB180" i="4"/>
  <c r="CC180" i="4" s="1"/>
  <c r="AE86" i="8"/>
  <c r="AP86" i="8"/>
  <c r="AQ86" i="8" s="1"/>
  <c r="AP36" i="5"/>
  <c r="AQ36" i="5" s="1"/>
  <c r="AE36" i="5"/>
  <c r="DC130" i="4"/>
  <c r="DN130" i="4"/>
  <c r="DO130" i="4" s="1"/>
  <c r="AM64" i="5"/>
  <c r="AE63" i="7"/>
  <c r="AP63" i="7"/>
  <c r="AQ63" i="7" s="1"/>
  <c r="AE46" i="7"/>
  <c r="AP46" i="7"/>
  <c r="AQ46" i="7" s="1"/>
  <c r="AX34" i="8"/>
  <c r="BI34" i="8"/>
  <c r="BJ34" i="8" s="1"/>
  <c r="AX66" i="8"/>
  <c r="BI66" i="8"/>
  <c r="BJ66" i="8" s="1"/>
  <c r="AJ108" i="9"/>
  <c r="AU108" i="9"/>
  <c r="AV108" i="9" s="1"/>
  <c r="CR108" i="8"/>
  <c r="BQ167" i="4"/>
  <c r="CB167" i="4"/>
  <c r="CC167" i="4" s="1"/>
  <c r="CJ87" i="4"/>
  <c r="CU87" i="4"/>
  <c r="CV87" i="4" s="1"/>
  <c r="AE72" i="4"/>
  <c r="AP72" i="4"/>
  <c r="AQ72" i="4" s="1"/>
  <c r="AM101" i="7"/>
  <c r="AE23" i="8"/>
  <c r="AP23" i="8"/>
  <c r="AQ23" i="8" s="1"/>
  <c r="AW205" i="4" a="1"/>
  <c r="AW205" i="4" s="1"/>
  <c r="AL20" i="4" a="1"/>
  <c r="AL20" i="4" s="1"/>
  <c r="AM155" i="4"/>
  <c r="CJ140" i="4"/>
  <c r="CU140" i="4"/>
  <c r="CV140" i="4" s="1"/>
  <c r="DK114" i="4"/>
  <c r="AE190" i="4"/>
  <c r="AP190" i="4"/>
  <c r="AQ190" i="4" s="1"/>
  <c r="AL20" i="8" a="1"/>
  <c r="AL20" i="8" s="1"/>
  <c r="AW123" i="8" a="1"/>
  <c r="AW123" i="8" s="1"/>
  <c r="BM17" i="9" l="1"/>
  <c r="BJ16" i="9" a="1"/>
  <c r="BJ16" i="9" s="1"/>
  <c r="BM16" i="9" s="1"/>
  <c r="AT17" i="9"/>
  <c r="AQ16" i="9" a="1"/>
  <c r="AQ16" i="9" s="1"/>
  <c r="AQ42" i="8"/>
  <c r="AE42" i="8"/>
  <c r="BJ42" i="8"/>
  <c r="AX42" i="8"/>
  <c r="CC42" i="8"/>
  <c r="BQ42" i="8"/>
  <c r="CJ42" i="8"/>
  <c r="CV42" i="8"/>
  <c r="BK24" i="9"/>
  <c r="AR24" i="9"/>
  <c r="BK18" i="9"/>
  <c r="BM18" i="9"/>
  <c r="BK20" i="9"/>
  <c r="BM20" i="9"/>
  <c r="BK19" i="9"/>
  <c r="BM19" i="9"/>
  <c r="BK17" i="9"/>
  <c r="AR20" i="9"/>
  <c r="AT20" i="9"/>
  <c r="AR18" i="9"/>
  <c r="AT18" i="9"/>
  <c r="ED77" i="4" a="1"/>
  <c r="ED77" i="4" s="1"/>
  <c r="EH161" i="4"/>
  <c r="DV152" i="4"/>
  <c r="EH152" i="4"/>
  <c r="ED29" i="4"/>
  <c r="DV189" i="4"/>
  <c r="EH189" i="4"/>
  <c r="ED165" i="4"/>
  <c r="ED19" i="4"/>
  <c r="EF19" i="4"/>
  <c r="EG19" i="4" s="1"/>
  <c r="EH19" i="4" s="1"/>
  <c r="ED160" i="4"/>
  <c r="EH141" i="4"/>
  <c r="DV187" i="4"/>
  <c r="DV66" i="4"/>
  <c r="DV166" i="4"/>
  <c r="DV141" i="4"/>
  <c r="EH187" i="4"/>
  <c r="EH66" i="4"/>
  <c r="EH166" i="4"/>
  <c r="DV192" i="4"/>
  <c r="DV62" i="4"/>
  <c r="EH192" i="4"/>
  <c r="EH62" i="4"/>
  <c r="EH155" i="4"/>
  <c r="DV163" i="4"/>
  <c r="EH170" i="4"/>
  <c r="DV155" i="4"/>
  <c r="EH70" i="4"/>
  <c r="EH163" i="4"/>
  <c r="DV170" i="4"/>
  <c r="DV70" i="4"/>
  <c r="DV78" i="4"/>
  <c r="EH58" i="4"/>
  <c r="EH78" i="4"/>
  <c r="EH135" i="4"/>
  <c r="DV58" i="4"/>
  <c r="DV135" i="4"/>
  <c r="DV114" i="4"/>
  <c r="EH29" i="4"/>
  <c r="EH109" i="4"/>
  <c r="EH114" i="4"/>
  <c r="DV29" i="4"/>
  <c r="DV109" i="4"/>
  <c r="EH118" i="4"/>
  <c r="EF20" i="4"/>
  <c r="EG20" i="4" s="1"/>
  <c r="EH20" i="4" s="1"/>
  <c r="ED20" i="4"/>
  <c r="DV118" i="4"/>
  <c r="EH97" i="4"/>
  <c r="DV97" i="4"/>
  <c r="ED21" i="4"/>
  <c r="EF21" i="4"/>
  <c r="EG21" i="4" s="1"/>
  <c r="EH21" i="4" s="1"/>
  <c r="DV161" i="4"/>
  <c r="CC166" i="4"/>
  <c r="AE38" i="5"/>
  <c r="AQ95" i="8"/>
  <c r="AE84" i="7"/>
  <c r="CC117" i="8"/>
  <c r="AE82" i="8"/>
  <c r="CJ49" i="8"/>
  <c r="EV165" i="4"/>
  <c r="AQ101" i="8"/>
  <c r="CJ70" i="4"/>
  <c r="BQ152" i="4"/>
  <c r="BJ101" i="8"/>
  <c r="AE95" i="8"/>
  <c r="AE113" i="5"/>
  <c r="AV85" i="9"/>
  <c r="AQ70" i="7"/>
  <c r="BQ117" i="8"/>
  <c r="EZ141" i="4"/>
  <c r="AM83" i="7" a="1"/>
  <c r="AM83" i="7" s="1"/>
  <c r="AE70" i="5"/>
  <c r="AX62" i="4"/>
  <c r="BQ166" i="4"/>
  <c r="CV79" i="8"/>
  <c r="CJ79" i="8"/>
  <c r="AQ163" i="4"/>
  <c r="CV114" i="4"/>
  <c r="CC163" i="4"/>
  <c r="DO189" i="4"/>
  <c r="AQ113" i="5"/>
  <c r="AJ85" i="9"/>
  <c r="AE70" i="7"/>
  <c r="EN141" i="4"/>
  <c r="CV118" i="4"/>
  <c r="CV114" i="8"/>
  <c r="AQ98" i="7"/>
  <c r="BJ62" i="4"/>
  <c r="AE163" i="4"/>
  <c r="CJ114" i="4"/>
  <c r="BQ163" i="4"/>
  <c r="DC189" i="4"/>
  <c r="AQ99" i="8"/>
  <c r="AM98" i="8" a="1"/>
  <c r="AM98" i="8" s="1"/>
  <c r="FO18" i="4"/>
  <c r="FQ18" i="4"/>
  <c r="FR18" i="4" s="1"/>
  <c r="FS18" i="4" s="1"/>
  <c r="BK46" i="9"/>
  <c r="CC104" i="8"/>
  <c r="CJ118" i="4"/>
  <c r="AJ142" i="9"/>
  <c r="CJ114" i="8"/>
  <c r="AQ48" i="7"/>
  <c r="CC82" i="8"/>
  <c r="BQ104" i="8"/>
  <c r="DK160" i="4"/>
  <c r="CV117" i="8"/>
  <c r="AV142" i="9"/>
  <c r="CA18" i="4"/>
  <c r="CB18" i="4" s="1"/>
  <c r="CC18" i="4" s="1"/>
  <c r="BY18" i="4"/>
  <c r="CC58" i="4"/>
  <c r="BC169" i="9"/>
  <c r="BC159" i="9"/>
  <c r="FS70" i="4"/>
  <c r="EZ152" i="4"/>
  <c r="AE49" i="8"/>
  <c r="FO19" i="4"/>
  <c r="FQ19" i="4"/>
  <c r="FR19" i="4" s="1"/>
  <c r="FS19" i="4" s="1"/>
  <c r="AV47" i="9"/>
  <c r="FG29" i="4"/>
  <c r="AJ129" i="9"/>
  <c r="AQ117" i="8"/>
  <c r="AQ100" i="5"/>
  <c r="AE105" i="5"/>
  <c r="FS155" i="4"/>
  <c r="FS78" i="4"/>
  <c r="BQ82" i="8"/>
  <c r="EZ187" i="4"/>
  <c r="CJ117" i="8"/>
  <c r="BJ22" i="8" a="1"/>
  <c r="BJ22" i="8" s="1"/>
  <c r="AQ85" i="5"/>
  <c r="FS192" i="4"/>
  <c r="BQ58" i="4"/>
  <c r="FS29" i="4"/>
  <c r="BQ29" i="4"/>
  <c r="AE117" i="8"/>
  <c r="AQ105" i="5"/>
  <c r="CV135" i="4"/>
  <c r="FG155" i="4"/>
  <c r="FG78" i="4"/>
  <c r="BJ92" i="8"/>
  <c r="BF98" i="8" a="1"/>
  <c r="BF98" i="8" s="1"/>
  <c r="EN187" i="4"/>
  <c r="AE93" i="5"/>
  <c r="AX22" i="8" a="1"/>
  <c r="AX22" i="8" s="1"/>
  <c r="AE85" i="5"/>
  <c r="FG192" i="4"/>
  <c r="AM41" i="8" a="1"/>
  <c r="AM41" i="8" s="1"/>
  <c r="AE118" i="4"/>
  <c r="DO163" i="4"/>
  <c r="AJ47" i="9"/>
  <c r="CC22" i="8" a="1"/>
  <c r="CC22" i="8" s="1"/>
  <c r="AQ189" i="4"/>
  <c r="BQ22" i="8" a="1"/>
  <c r="BQ22" i="8" s="1"/>
  <c r="EZ78" i="4"/>
  <c r="CC29" i="4"/>
  <c r="CJ135" i="4"/>
  <c r="CC114" i="4"/>
  <c r="AX92" i="8"/>
  <c r="BJ95" i="8"/>
  <c r="CT20" i="8"/>
  <c r="CU20" i="8" s="1"/>
  <c r="CV20" i="8" s="1"/>
  <c r="CR20" i="8"/>
  <c r="CC189" i="4"/>
  <c r="AQ93" i="5"/>
  <c r="AE189" i="4"/>
  <c r="CJ22" i="8" a="1"/>
  <c r="CJ22" i="8" s="1"/>
  <c r="EN78" i="4"/>
  <c r="BQ114" i="4"/>
  <c r="FS62" i="4"/>
  <c r="AX95" i="8"/>
  <c r="CV59" i="8"/>
  <c r="CA21" i="4"/>
  <c r="CB21" i="4" s="1"/>
  <c r="CC21" i="4" s="1"/>
  <c r="BY21" i="4"/>
  <c r="AE192" i="4"/>
  <c r="BQ70" i="4"/>
  <c r="DM21" i="4"/>
  <c r="DN21" i="4" s="1"/>
  <c r="DO21" i="4" s="1"/>
  <c r="DK21" i="4"/>
  <c r="CV22" i="8" a="1"/>
  <c r="CV22" i="8" s="1"/>
  <c r="FS114" i="4"/>
  <c r="AM99" i="5" a="1"/>
  <c r="AM99" i="5" s="1"/>
  <c r="DO62" i="4"/>
  <c r="AQ102" i="5"/>
  <c r="FG62" i="4"/>
  <c r="EN29" i="4"/>
  <c r="CC155" i="4"/>
  <c r="DO109" i="4"/>
  <c r="AJ153" i="9"/>
  <c r="BC156" i="9"/>
  <c r="BJ163" i="4"/>
  <c r="AQ101" i="7"/>
  <c r="BO129" i="9"/>
  <c r="FG114" i="4"/>
  <c r="BY98" i="8" a="1"/>
  <c r="BY98" i="8" s="1"/>
  <c r="FS141" i="4"/>
  <c r="BJ117" i="8"/>
  <c r="DC62" i="4"/>
  <c r="AE102" i="5"/>
  <c r="EZ29" i="4"/>
  <c r="BQ155" i="4"/>
  <c r="FG152" i="4"/>
  <c r="DO70" i="4"/>
  <c r="DC109" i="4"/>
  <c r="BC129" i="9"/>
  <c r="FG141" i="4"/>
  <c r="AX117" i="8"/>
  <c r="CV189" i="4"/>
  <c r="BJ70" i="4"/>
  <c r="AQ104" i="8"/>
  <c r="FS97" i="4"/>
  <c r="EZ170" i="4"/>
  <c r="DC70" i="4"/>
  <c r="EV28" i="4" a="1"/>
  <c r="EV28" i="4" s="1"/>
  <c r="AE59" i="8"/>
  <c r="FS109" i="4"/>
  <c r="AE67" i="5"/>
  <c r="CC59" i="8"/>
  <c r="CR103" i="8" a="1"/>
  <c r="CR103" i="8" s="1"/>
  <c r="DO170" i="4"/>
  <c r="DC29" i="4"/>
  <c r="AQ114" i="8"/>
  <c r="CJ189" i="4"/>
  <c r="CC118" i="4"/>
  <c r="AJ24" i="9"/>
  <c r="AX70" i="4"/>
  <c r="AE104" i="8"/>
  <c r="AM103" i="8" a="1"/>
  <c r="AM103" i="8" s="1"/>
  <c r="BJ29" i="4"/>
  <c r="EZ161" i="4"/>
  <c r="BH21" i="8"/>
  <c r="BI21" i="8" s="1"/>
  <c r="BJ21" i="8" s="1"/>
  <c r="BF21" i="8"/>
  <c r="BJ65" i="8"/>
  <c r="AQ64" i="5"/>
  <c r="FG109" i="4"/>
  <c r="CR160" i="4"/>
  <c r="AQ67" i="5"/>
  <c r="BQ59" i="8"/>
  <c r="DC170" i="4"/>
  <c r="DO29" i="4"/>
  <c r="AE114" i="8"/>
  <c r="BQ118" i="4"/>
  <c r="AV24" i="9"/>
  <c r="EZ118" i="4"/>
  <c r="FS170" i="4"/>
  <c r="EZ70" i="4"/>
  <c r="BY41" i="8" a="1"/>
  <c r="BY41" i="8" s="1"/>
  <c r="FS135" i="4"/>
  <c r="CT21" i="8"/>
  <c r="CU21" i="8" s="1"/>
  <c r="CV21" i="8" s="1"/>
  <c r="CR21" i="8"/>
  <c r="CV170" i="4"/>
  <c r="EN97" i="4"/>
  <c r="AE108" i="8"/>
  <c r="AE100" i="5"/>
  <c r="AQ59" i="8"/>
  <c r="AX163" i="4"/>
  <c r="AX65" i="8"/>
  <c r="FO160" i="4"/>
  <c r="AE64" i="5"/>
  <c r="DO161" i="4"/>
  <c r="AM88" i="7"/>
  <c r="CV99" i="8"/>
  <c r="CT18" i="4"/>
  <c r="CU18" i="4" s="1"/>
  <c r="CV18" i="4" s="1"/>
  <c r="CR18" i="4"/>
  <c r="EN118" i="4"/>
  <c r="FG170" i="4"/>
  <c r="EN70" i="4"/>
  <c r="FG135" i="4"/>
  <c r="BO85" i="9"/>
  <c r="CV62" i="4"/>
  <c r="CJ170" i="4"/>
  <c r="AE101" i="7"/>
  <c r="BJ118" i="4"/>
  <c r="CV192" i="4"/>
  <c r="DC161" i="4"/>
  <c r="AM104" i="5" a="1"/>
  <c r="AM104" i="5" s="1"/>
  <c r="BF77" i="4" a="1"/>
  <c r="BF77" i="4" s="1"/>
  <c r="DC187" i="4"/>
  <c r="CJ99" i="8"/>
  <c r="BC85" i="9"/>
  <c r="AO19" i="7"/>
  <c r="AP19" i="7" s="1"/>
  <c r="AQ19" i="7" s="1"/>
  <c r="AM19" i="7"/>
  <c r="AQ66" i="4"/>
  <c r="AX189" i="4"/>
  <c r="AO20" i="4"/>
  <c r="AP20" i="4" s="1"/>
  <c r="AQ20" i="4" s="1"/>
  <c r="AM20" i="4"/>
  <c r="BO109" i="9"/>
  <c r="CV152" i="4"/>
  <c r="AX118" i="4"/>
  <c r="CJ192" i="4"/>
  <c r="AV133" i="9"/>
  <c r="AV126" i="9"/>
  <c r="AE29" i="4"/>
  <c r="AQ93" i="7"/>
  <c r="BO126" i="9"/>
  <c r="CC170" i="4"/>
  <c r="AX66" i="4"/>
  <c r="DO187" i="4"/>
  <c r="BJ58" i="4"/>
  <c r="AJ133" i="9"/>
  <c r="AJ126" i="9"/>
  <c r="AQ29" i="4"/>
  <c r="CV104" i="8"/>
  <c r="BC126" i="9"/>
  <c r="BQ170" i="4"/>
  <c r="BJ66" i="4"/>
  <c r="FO77" i="4" a="1"/>
  <c r="FO77" i="4" s="1"/>
  <c r="AX58" i="4"/>
  <c r="BJ135" i="4"/>
  <c r="CC62" i="8"/>
  <c r="EZ66" i="4"/>
  <c r="EX18" i="4"/>
  <c r="EY18" i="4" s="1"/>
  <c r="EZ18" i="4" s="1"/>
  <c r="EV18" i="4"/>
  <c r="AV169" i="9"/>
  <c r="EZ109" i="4"/>
  <c r="AQ70" i="4"/>
  <c r="FQ21" i="4"/>
  <c r="FR21" i="4" s="1"/>
  <c r="FS21" i="4" s="1"/>
  <c r="FO21" i="4"/>
  <c r="CC141" i="4"/>
  <c r="BJ152" i="4"/>
  <c r="CV92" i="8"/>
  <c r="CV187" i="4"/>
  <c r="AX135" i="4"/>
  <c r="BQ62" i="8"/>
  <c r="EN66" i="4"/>
  <c r="DO118" i="4"/>
  <c r="AJ169" i="9"/>
  <c r="EN109" i="4"/>
  <c r="FG187" i="4"/>
  <c r="AE93" i="7"/>
  <c r="FS118" i="4"/>
  <c r="BQ141" i="4"/>
  <c r="AX152" i="4"/>
  <c r="CJ92" i="8"/>
  <c r="CC114" i="8"/>
  <c r="AQ109" i="5"/>
  <c r="CJ187" i="4"/>
  <c r="CT19" i="4"/>
  <c r="CU19" i="4" s="1"/>
  <c r="CV19" i="4" s="1"/>
  <c r="CR19" i="4"/>
  <c r="AE80" i="7"/>
  <c r="DC118" i="4"/>
  <c r="BJ49" i="8"/>
  <c r="DO58" i="4"/>
  <c r="BJ166" i="4"/>
  <c r="AJ135" i="9"/>
  <c r="BC109" i="9"/>
  <c r="BJ79" i="8"/>
  <c r="AE62" i="4"/>
  <c r="FG118" i="4"/>
  <c r="AQ161" i="4"/>
  <c r="BJ104" i="8"/>
  <c r="EZ62" i="4"/>
  <c r="BQ114" i="8"/>
  <c r="AE109" i="5"/>
  <c r="BH18" i="4"/>
  <c r="BI18" i="4" s="1"/>
  <c r="BJ18" i="4" s="1"/>
  <c r="BF18" i="4"/>
  <c r="CV82" i="8"/>
  <c r="CV58" i="4"/>
  <c r="EZ189" i="4"/>
  <c r="AE117" i="5"/>
  <c r="AQ62" i="4"/>
  <c r="FO28" i="4" a="1"/>
  <c r="FO28" i="4" s="1"/>
  <c r="EZ135" i="4"/>
  <c r="AE55" i="5"/>
  <c r="BJ192" i="4"/>
  <c r="AX79" i="8"/>
  <c r="AE21" i="5" a="1"/>
  <c r="AE21" i="5" s="1"/>
  <c r="AQ58" i="7"/>
  <c r="AE161" i="4"/>
  <c r="AX104" i="8"/>
  <c r="EN62" i="4"/>
  <c r="AR46" i="9"/>
  <c r="CC112" i="8"/>
  <c r="CJ82" i="8"/>
  <c r="CJ58" i="4"/>
  <c r="EN189" i="4"/>
  <c r="EN114" i="4"/>
  <c r="CT20" i="4"/>
  <c r="CU20" i="4" s="1"/>
  <c r="CV20" i="4" s="1"/>
  <c r="CR20" i="4"/>
  <c r="BY165" i="4"/>
  <c r="AQ22" i="8" a="1"/>
  <c r="AQ22" i="8" s="1"/>
  <c r="EN135" i="4"/>
  <c r="AQ55" i="5"/>
  <c r="AX192" i="4"/>
  <c r="AQ21" i="5" a="1"/>
  <c r="AQ21" i="5" s="1"/>
  <c r="BJ187" i="4"/>
  <c r="BY103" i="8" a="1"/>
  <c r="BY103" i="8" s="1"/>
  <c r="FG66" i="4"/>
  <c r="AQ114" i="4"/>
  <c r="BJ99" i="8"/>
  <c r="BQ112" i="8"/>
  <c r="CR41" i="8" a="1"/>
  <c r="CR41" i="8" s="1"/>
  <c r="CC95" i="8"/>
  <c r="BQ108" i="8"/>
  <c r="CR21" i="4"/>
  <c r="CT21" i="4"/>
  <c r="CU21" i="4" s="1"/>
  <c r="CV21" i="4" s="1"/>
  <c r="AX187" i="4"/>
  <c r="AQ82" i="5"/>
  <c r="AQ89" i="7"/>
  <c r="BJ59" i="8"/>
  <c r="FS66" i="4"/>
  <c r="CV66" i="4"/>
  <c r="AE114" i="4"/>
  <c r="AX99" i="8"/>
  <c r="AQ92" i="8"/>
  <c r="AM21" i="7"/>
  <c r="AO21" i="7"/>
  <c r="AP21" i="7" s="1"/>
  <c r="AQ21" i="7" s="1"/>
  <c r="BQ95" i="8"/>
  <c r="CV101" i="8"/>
  <c r="AV109" i="9"/>
  <c r="AE22" i="8" a="1"/>
  <c r="AE22" i="8" s="1"/>
  <c r="AO20" i="8"/>
  <c r="AP20" i="8" s="1"/>
  <c r="AQ20" i="8" s="1"/>
  <c r="AM20" i="8"/>
  <c r="CC92" i="8"/>
  <c r="AE58" i="7"/>
  <c r="AE82" i="5"/>
  <c r="AX59" i="8"/>
  <c r="CC192" i="4"/>
  <c r="DO97" i="4"/>
  <c r="CJ66" i="4"/>
  <c r="CV97" i="4"/>
  <c r="AE92" i="8"/>
  <c r="AX49" i="8"/>
  <c r="BF160" i="4"/>
  <c r="BQ101" i="8"/>
  <c r="AE99" i="8"/>
  <c r="CJ104" i="8"/>
  <c r="BJ112" i="8"/>
  <c r="BQ92" i="8"/>
  <c r="BY160" i="4"/>
  <c r="AX97" i="4"/>
  <c r="AE89" i="7"/>
  <c r="BQ192" i="4"/>
  <c r="DC97" i="4"/>
  <c r="EZ192" i="4"/>
  <c r="FO165" i="4"/>
  <c r="CJ97" i="4"/>
  <c r="CV95" i="8"/>
  <c r="AJ116" i="9"/>
  <c r="DO152" i="4"/>
  <c r="DK165" i="4"/>
  <c r="AJ71" i="9"/>
  <c r="AV129" i="9"/>
  <c r="AX112" i="8"/>
  <c r="BO47" i="9"/>
  <c r="CV141" i="4"/>
  <c r="CC62" i="4"/>
  <c r="BJ97" i="4"/>
  <c r="EN192" i="4"/>
  <c r="CC97" i="4"/>
  <c r="CJ95" i="8"/>
  <c r="BJ109" i="4"/>
  <c r="AQ141" i="4"/>
  <c r="DC152" i="4"/>
  <c r="BC71" i="9"/>
  <c r="CC108" i="8"/>
  <c r="CJ152" i="4"/>
  <c r="CR98" i="8" a="1"/>
  <c r="CR98" i="8" s="1"/>
  <c r="BC47" i="9"/>
  <c r="AQ38" i="5"/>
  <c r="CJ141" i="4"/>
  <c r="BQ62" i="4"/>
  <c r="AO20" i="7"/>
  <c r="AP20" i="7" s="1"/>
  <c r="AQ20" i="7" s="1"/>
  <c r="AM20" i="7"/>
  <c r="AQ84" i="7"/>
  <c r="AQ82" i="8"/>
  <c r="BQ97" i="4"/>
  <c r="CV70" i="4"/>
  <c r="AX109" i="4"/>
  <c r="CC152" i="4"/>
  <c r="CB19" i="4"/>
  <c r="CC19" i="4" s="1"/>
  <c r="BY19" i="4"/>
  <c r="FS187" i="4"/>
  <c r="AQ77" i="7"/>
  <c r="BK137" i="9"/>
  <c r="AE97" i="4"/>
  <c r="BK162" i="9"/>
  <c r="CV155" i="4"/>
  <c r="FS166" i="4"/>
  <c r="CC135" i="4"/>
  <c r="BO89" i="9"/>
  <c r="AX108" i="8"/>
  <c r="AE77" i="7"/>
  <c r="AQ67" i="7"/>
  <c r="AM42" i="7" a="1"/>
  <c r="AM42" i="7" s="1"/>
  <c r="CJ155" i="4"/>
  <c r="FG166" i="4"/>
  <c r="BQ135" i="4"/>
  <c r="BC89" i="9"/>
  <c r="AV71" i="9"/>
  <c r="AQ118" i="4"/>
  <c r="AE98" i="7"/>
  <c r="AV135" i="9"/>
  <c r="BO156" i="9"/>
  <c r="AE67" i="7"/>
  <c r="AQ108" i="8"/>
  <c r="BF20" i="8"/>
  <c r="BH20" i="8"/>
  <c r="BI20" i="8" s="1"/>
  <c r="BJ20" i="8" s="1"/>
  <c r="DO141" i="4"/>
  <c r="DC141" i="4"/>
  <c r="BO116" i="9"/>
  <c r="FS161" i="4"/>
  <c r="AQ170" i="4"/>
  <c r="AX166" i="4"/>
  <c r="AQ61" i="7"/>
  <c r="AE66" i="4"/>
  <c r="BJ189" i="4"/>
  <c r="AJ89" i="9"/>
  <c r="BO163" i="9"/>
  <c r="AQ70" i="5"/>
  <c r="EZ58" i="4"/>
  <c r="BJ114" i="4"/>
  <c r="BF28" i="4" a="1"/>
  <c r="BF28" i="4" s="1"/>
  <c r="BC116" i="9"/>
  <c r="FG161" i="4"/>
  <c r="BF165" i="4"/>
  <c r="AE170" i="4"/>
  <c r="AR137" i="9"/>
  <c r="AE61" i="7"/>
  <c r="AV166" i="9"/>
  <c r="AQ166" i="4"/>
  <c r="AV89" i="9"/>
  <c r="BC163" i="9"/>
  <c r="AR162" i="9"/>
  <c r="EN58" i="4"/>
  <c r="AX114" i="4"/>
  <c r="AJ166" i="9"/>
  <c r="BO71" i="9"/>
  <c r="AE166" i="4"/>
  <c r="CC79" i="8"/>
  <c r="BJ62" i="8"/>
  <c r="AM37" i="5" a="1"/>
  <c r="AM37" i="5" s="1"/>
  <c r="AM77" i="4" a="1"/>
  <c r="AM77" i="4" s="1"/>
  <c r="BQ79" i="8"/>
  <c r="AX62" i="8"/>
  <c r="AQ112" i="8"/>
  <c r="AX101" i="8"/>
  <c r="AE34" i="5" a="1"/>
  <c r="AE34" i="5" s="1"/>
  <c r="AJ156" i="9"/>
  <c r="FS163" i="4"/>
  <c r="DO192" i="4"/>
  <c r="AQ43" i="7"/>
  <c r="AE112" i="8"/>
  <c r="AQ152" i="4"/>
  <c r="EV77" i="4" a="1"/>
  <c r="EV77" i="4" s="1"/>
  <c r="AQ34" i="5" a="1"/>
  <c r="AQ34" i="5" s="1"/>
  <c r="AV156" i="9"/>
  <c r="FG163" i="4"/>
  <c r="DC192" i="4"/>
  <c r="DO114" i="4"/>
  <c r="CV78" i="4"/>
  <c r="AE152" i="4"/>
  <c r="FS152" i="4"/>
  <c r="CJ62" i="4"/>
  <c r="CJ101" i="8"/>
  <c r="FQ20" i="4"/>
  <c r="FR20" i="4" s="1"/>
  <c r="FS20" i="4" s="1"/>
  <c r="FO20" i="4"/>
  <c r="EZ114" i="4"/>
  <c r="DK77" i="4" a="1"/>
  <c r="DK77" i="4" s="1"/>
  <c r="EZ166" i="4"/>
  <c r="AE43" i="7"/>
  <c r="BO92" i="9"/>
  <c r="EZ155" i="4"/>
  <c r="DC114" i="4"/>
  <c r="CJ78" i="4"/>
  <c r="BF103" i="8" a="1"/>
  <c r="BF103" i="8" s="1"/>
  <c r="EN166" i="4"/>
  <c r="BC92" i="9"/>
  <c r="EN155" i="4"/>
  <c r="EN152" i="4"/>
  <c r="CA19" i="8"/>
  <c r="CB19" i="8" s="1"/>
  <c r="CC19" i="8" s="1"/>
  <c r="BY19" i="8"/>
  <c r="AQ86" i="7"/>
  <c r="CC65" i="8"/>
  <c r="BJ141" i="4"/>
  <c r="EV160" i="4"/>
  <c r="DO166" i="4"/>
  <c r="AO18" i="5"/>
  <c r="AP18" i="5" s="1"/>
  <c r="AQ18" i="5" s="1"/>
  <c r="AM18" i="5"/>
  <c r="AJ92" i="9"/>
  <c r="CT19" i="8"/>
  <c r="CU19" i="8" s="1"/>
  <c r="CV19" i="8" s="1"/>
  <c r="CR19" i="8"/>
  <c r="AJ138" i="9"/>
  <c r="AQ187" i="4"/>
  <c r="DO78" i="4"/>
  <c r="CV65" i="8"/>
  <c r="AE86" i="7"/>
  <c r="BQ65" i="8"/>
  <c r="FS189" i="4"/>
  <c r="AX141" i="4"/>
  <c r="BJ78" i="4"/>
  <c r="DC166" i="4"/>
  <c r="BY77" i="4" a="1"/>
  <c r="BY77" i="4" s="1"/>
  <c r="AV92" i="9"/>
  <c r="AV138" i="9"/>
  <c r="CR77" i="4" a="1"/>
  <c r="CR77" i="4" s="1"/>
  <c r="CV112" i="8"/>
  <c r="AE187" i="4"/>
  <c r="DC78" i="4"/>
  <c r="CJ65" i="8"/>
  <c r="AR132" i="9"/>
  <c r="FG189" i="4"/>
  <c r="BJ170" i="4"/>
  <c r="AE115" i="5"/>
  <c r="AQ117" i="5"/>
  <c r="AX78" i="4"/>
  <c r="CJ112" i="8"/>
  <c r="DK28" i="4" a="1"/>
  <c r="DK28" i="4" s="1"/>
  <c r="AQ65" i="8"/>
  <c r="BK132" i="9"/>
  <c r="AX170" i="4"/>
  <c r="AQ115" i="5"/>
  <c r="AO17" i="5"/>
  <c r="AP17" i="5" s="1"/>
  <c r="AQ17" i="5" s="1"/>
  <c r="AM17" i="5"/>
  <c r="AE65" i="8"/>
  <c r="CC101" i="8"/>
  <c r="AX29" i="4"/>
  <c r="AQ78" i="4"/>
  <c r="BF19" i="4"/>
  <c r="BH19" i="4"/>
  <c r="BI19" i="4" s="1"/>
  <c r="BJ19" i="4" s="1"/>
  <c r="AQ22" i="7" a="1"/>
  <c r="AQ22" i="7" s="1"/>
  <c r="AM165" i="4"/>
  <c r="CA21" i="8"/>
  <c r="CB21" i="8" s="1"/>
  <c r="CC21" i="8" s="1"/>
  <c r="BY21" i="8"/>
  <c r="EX19" i="4"/>
  <c r="EY19" i="4" s="1"/>
  <c r="EZ19" i="4" s="1"/>
  <c r="EV19" i="4"/>
  <c r="AE78" i="4"/>
  <c r="CV161" i="4"/>
  <c r="AQ96" i="7"/>
  <c r="AE22" i="7" a="1"/>
  <c r="AE22" i="7" s="1"/>
  <c r="BY28" i="4" a="1"/>
  <c r="BY28" i="4" s="1"/>
  <c r="CC99" i="8"/>
  <c r="AM19" i="4"/>
  <c r="AO19" i="4"/>
  <c r="AP19" i="4" s="1"/>
  <c r="AQ19" i="4" s="1"/>
  <c r="AE101" i="8"/>
  <c r="AV116" i="9"/>
  <c r="BJ114" i="8"/>
  <c r="BO142" i="9"/>
  <c r="CC66" i="4"/>
  <c r="AE70" i="4"/>
  <c r="FG70" i="4"/>
  <c r="DC58" i="4"/>
  <c r="DC163" i="4"/>
  <c r="BF41" i="8" a="1"/>
  <c r="BF41" i="8" s="1"/>
  <c r="CJ161" i="4"/>
  <c r="AQ96" i="5"/>
  <c r="AE96" i="7"/>
  <c r="AQ135" i="4"/>
  <c r="BQ99" i="8"/>
  <c r="CJ29" i="4"/>
  <c r="AQ80" i="7"/>
  <c r="AX114" i="8"/>
  <c r="BC142" i="9"/>
  <c r="BQ66" i="4"/>
  <c r="CC109" i="4"/>
  <c r="AM19" i="5"/>
  <c r="AO19" i="5"/>
  <c r="AP19" i="5" s="1"/>
  <c r="AQ19" i="5" s="1"/>
  <c r="AM160" i="4"/>
  <c r="AQ109" i="4"/>
  <c r="CC78" i="4"/>
  <c r="BO24" i="9"/>
  <c r="CV163" i="4"/>
  <c r="AE96" i="5"/>
  <c r="CC187" i="4"/>
  <c r="AE135" i="4"/>
  <c r="AO18" i="4"/>
  <c r="AP18" i="4" s="1"/>
  <c r="AQ18" i="4" s="1"/>
  <c r="AM18" i="4"/>
  <c r="AV163" i="9"/>
  <c r="CV29" i="4"/>
  <c r="DO135" i="4"/>
  <c r="BQ109" i="4"/>
  <c r="AE109" i="4"/>
  <c r="BQ78" i="4"/>
  <c r="BC24" i="9"/>
  <c r="CJ163" i="4"/>
  <c r="BQ187" i="4"/>
  <c r="AO19" i="8"/>
  <c r="AP19" i="8" s="1"/>
  <c r="AQ19" i="8" s="1"/>
  <c r="AM19" i="8"/>
  <c r="AQ49" i="8"/>
  <c r="BO135" i="9"/>
  <c r="AQ58" i="4"/>
  <c r="CC161" i="4"/>
  <c r="AJ163" i="9"/>
  <c r="AQ55" i="7"/>
  <c r="FS58" i="4"/>
  <c r="FG97" i="4"/>
  <c r="EN170" i="4"/>
  <c r="CJ59" i="8"/>
  <c r="BQ189" i="4"/>
  <c r="AQ192" i="4"/>
  <c r="DC135" i="4"/>
  <c r="BJ82" i="8"/>
  <c r="BC135" i="9"/>
  <c r="AO21" i="4"/>
  <c r="AP21" i="4" s="1"/>
  <c r="AQ21" i="4" s="1"/>
  <c r="AM21" i="4"/>
  <c r="AE58" i="4"/>
  <c r="BQ161" i="4"/>
  <c r="EZ163" i="4"/>
  <c r="AE55" i="7"/>
  <c r="FG58" i="4"/>
  <c r="EX20" i="4"/>
  <c r="EY20" i="4" s="1"/>
  <c r="EZ20" i="4" s="1"/>
  <c r="EV20" i="4"/>
  <c r="AX82" i="8"/>
  <c r="CV166" i="4"/>
  <c r="BO133" i="9"/>
  <c r="EN163" i="4"/>
  <c r="BH19" i="8"/>
  <c r="BI19" i="8" s="1"/>
  <c r="BJ19" i="8" s="1"/>
  <c r="BF19" i="8"/>
  <c r="EX21" i="4"/>
  <c r="EY21" i="4" s="1"/>
  <c r="EZ21" i="4" s="1"/>
  <c r="EV21" i="4"/>
  <c r="CC70" i="4"/>
  <c r="BH21" i="4"/>
  <c r="BI21" i="4" s="1"/>
  <c r="BJ21" i="4" s="1"/>
  <c r="BF21" i="4"/>
  <c r="CV109" i="4"/>
  <c r="CV49" i="8"/>
  <c r="BF20" i="4"/>
  <c r="BH20" i="4"/>
  <c r="BI20" i="4" s="1"/>
  <c r="BJ20" i="4" s="1"/>
  <c r="AQ62" i="8"/>
  <c r="CJ166" i="4"/>
  <c r="CR28" i="4" a="1"/>
  <c r="CR28" i="4" s="1"/>
  <c r="CC49" i="8"/>
  <c r="DO66" i="4"/>
  <c r="BC133" i="9"/>
  <c r="AQ79" i="8"/>
  <c r="CA20" i="4"/>
  <c r="CB20" i="4" s="1"/>
  <c r="CC20" i="4" s="1"/>
  <c r="BY20" i="4"/>
  <c r="CJ109" i="4"/>
  <c r="AE62" i="8"/>
  <c r="BO138" i="9"/>
  <c r="CV108" i="8"/>
  <c r="DO155" i="4"/>
  <c r="DC66" i="4"/>
  <c r="AM22" i="7" a="1"/>
  <c r="AM22" i="7" s="1"/>
  <c r="AE79" i="8"/>
  <c r="AQ155" i="4"/>
  <c r="AE141" i="4"/>
  <c r="AV153" i="9"/>
  <c r="BJ161" i="4"/>
  <c r="CV62" i="8"/>
  <c r="BQ49" i="8"/>
  <c r="AJ109" i="9"/>
  <c r="BO153" i="9"/>
  <c r="EN161" i="4"/>
  <c r="AX155" i="4"/>
  <c r="BC138" i="9"/>
  <c r="CJ108" i="8"/>
  <c r="DC155" i="4"/>
  <c r="BO166" i="9"/>
  <c r="AE155" i="4"/>
  <c r="CR165" i="4"/>
  <c r="AE48" i="7"/>
  <c r="AX161" i="4"/>
  <c r="BO159" i="9"/>
  <c r="BO169" i="9"/>
  <c r="EZ97" i="4"/>
  <c r="CJ62" i="8"/>
  <c r="CA20" i="8"/>
  <c r="CB20" i="8" s="1"/>
  <c r="CC20" i="8" s="1"/>
  <c r="BY20" i="8"/>
  <c r="BC153" i="9"/>
  <c r="AO21" i="8"/>
  <c r="AP21" i="8" s="1"/>
  <c r="AQ21" i="8" s="1"/>
  <c r="AM21" i="8"/>
  <c r="BJ155" i="4"/>
  <c r="AQ97" i="4"/>
  <c r="AM28" i="4" a="1"/>
  <c r="AM28" i="4" s="1"/>
  <c r="BC166" i="9"/>
  <c r="BJ108" i="8"/>
  <c r="DJ17" i="4" l="1" a="1"/>
  <c r="DJ17" i="4" s="1"/>
  <c r="CQ18" i="8" a="1"/>
  <c r="CQ18" i="8" s="1"/>
  <c r="BE18" i="8" a="1"/>
  <c r="BE18" i="8" s="1"/>
  <c r="AL18" i="7" a="1"/>
  <c r="AL18" i="7" s="1"/>
  <c r="EU17" i="4" a="1"/>
  <c r="EU17" i="4" s="1"/>
  <c r="BX17" i="4" a="1"/>
  <c r="BX17" i="4" s="1"/>
  <c r="CA17" i="4" s="1"/>
  <c r="AL17" i="4" a="1"/>
  <c r="AL17" i="4" s="1"/>
  <c r="AO17" i="4" s="1"/>
  <c r="BE17" i="4" a="1"/>
  <c r="BE17" i="4" s="1"/>
  <c r="BH17" i="4" s="1"/>
  <c r="FN17" i="4" a="1"/>
  <c r="FN17" i="4" s="1"/>
  <c r="CQ17" i="4" a="1"/>
  <c r="CQ17" i="4" s="1"/>
  <c r="BK16" i="9"/>
  <c r="BK15" i="9" s="1"/>
  <c r="BI174" i="9" s="1" a="1"/>
  <c r="BI174" i="9" s="1"/>
  <c r="BL175" i="9" a="1"/>
  <c r="BL175" i="9" s="1"/>
  <c r="BQ175" i="9" s="1"/>
  <c r="BN20" i="9"/>
  <c r="BO20" i="9" s="1"/>
  <c r="BN18" i="9"/>
  <c r="BO18" i="9" s="1"/>
  <c r="BN19" i="9"/>
  <c r="BO19" i="9" s="1"/>
  <c r="BI175" i="9" a="1"/>
  <c r="BI175" i="9" s="1"/>
  <c r="BN16" i="9"/>
  <c r="BK175" i="9" a="1"/>
  <c r="BK175" i="9" s="1"/>
  <c r="BJ175" i="9" a="1"/>
  <c r="BJ175" i="9" s="1"/>
  <c r="BN17" i="9"/>
  <c r="BO17" i="9" s="1"/>
  <c r="DV160" i="4"/>
  <c r="DV28" i="4" a="1"/>
  <c r="DV28" i="4" s="1"/>
  <c r="DV165" i="4"/>
  <c r="DV77" i="4" a="1"/>
  <c r="DV77" i="4" s="1"/>
  <c r="EH160" i="4"/>
  <c r="ED28" i="4" a="1"/>
  <c r="ED28" i="4" s="1"/>
  <c r="EC17" i="4" s="1" a="1"/>
  <c r="EC17" i="4" s="1"/>
  <c r="EH165" i="4"/>
  <c r="EH28" i="4" a="1"/>
  <c r="EH28" i="4" s="1"/>
  <c r="EH77" i="4" a="1"/>
  <c r="EH77" i="4" s="1"/>
  <c r="BC137" i="9"/>
  <c r="CC41" i="8" a="1"/>
  <c r="CC41" i="8" s="1"/>
  <c r="FS165" i="4"/>
  <c r="CJ28" i="4" a="1"/>
  <c r="CJ28" i="4" s="1"/>
  <c r="CC98" i="8" a="1"/>
  <c r="CC98" i="8" s="1"/>
  <c r="AQ77" i="4" a="1"/>
  <c r="AQ77" i="4" s="1"/>
  <c r="BO137" i="9"/>
  <c r="BQ98" i="8" a="1"/>
  <c r="BQ98" i="8" s="1"/>
  <c r="CV28" i="4" a="1"/>
  <c r="CV28" i="4" s="1"/>
  <c r="CV41" i="8" a="1"/>
  <c r="CV41" i="8" s="1"/>
  <c r="AV162" i="9"/>
  <c r="BJ41" i="8" a="1"/>
  <c r="BJ41" i="8" s="1"/>
  <c r="CJ41" i="8" a="1"/>
  <c r="CJ41" i="8" s="1"/>
  <c r="AJ137" i="9"/>
  <c r="FG160" i="4"/>
  <c r="BJ160" i="4"/>
  <c r="AX77" i="4" a="1"/>
  <c r="AX77" i="4" s="1"/>
  <c r="BO132" i="9"/>
  <c r="CC77" i="4" a="1"/>
  <c r="CC77" i="4" s="1"/>
  <c r="AV137" i="9"/>
  <c r="EN165" i="4"/>
  <c r="CV103" i="8" a="1"/>
  <c r="CV103" i="8" s="1"/>
  <c r="BC162" i="9"/>
  <c r="BJ98" i="8" a="1"/>
  <c r="BJ98" i="8" s="1"/>
  <c r="CJ165" i="4"/>
  <c r="BQ160" i="4"/>
  <c r="DC77" i="4" a="1"/>
  <c r="DC77" i="4" s="1"/>
  <c r="CV165" i="4"/>
  <c r="AJ162" i="9"/>
  <c r="AQ83" i="7" a="1"/>
  <c r="AQ83" i="7" s="1"/>
  <c r="CV160" i="4"/>
  <c r="AE77" i="4" a="1"/>
  <c r="AE77" i="4" s="1"/>
  <c r="AQ42" i="7" a="1"/>
  <c r="AQ42" i="7" s="1"/>
  <c r="AQ165" i="4"/>
  <c r="BO46" i="9"/>
  <c r="AQ20" i="5" a="1"/>
  <c r="AQ20" i="5" s="1"/>
  <c r="EN160" i="4"/>
  <c r="DO77" i="4" a="1"/>
  <c r="DO77" i="4" s="1"/>
  <c r="CJ77" i="4" a="1"/>
  <c r="CJ77" i="4" s="1"/>
  <c r="CV77" i="4" a="1"/>
  <c r="CV77" i="4" s="1"/>
  <c r="BQ77" i="4" a="1"/>
  <c r="BQ77" i="4" s="1"/>
  <c r="BJ77" i="4" a="1"/>
  <c r="BJ77" i="4" s="1"/>
  <c r="AX28" i="4" a="1"/>
  <c r="AX28" i="4" s="1"/>
  <c r="CJ160" i="4"/>
  <c r="AX160" i="4"/>
  <c r="BQ41" i="8" a="1"/>
  <c r="BQ41" i="8" s="1"/>
  <c r="EZ165" i="4"/>
  <c r="AE83" i="7" a="1"/>
  <c r="AE83" i="7" s="1"/>
  <c r="EN77" i="4" a="1"/>
  <c r="EN77" i="4" s="1"/>
  <c r="CC28" i="4" a="1"/>
  <c r="CC28" i="4" s="1"/>
  <c r="FS28" i="4" a="1"/>
  <c r="FS28" i="4" s="1"/>
  <c r="CC103" i="8" a="1"/>
  <c r="CC103" i="8" s="1"/>
  <c r="AQ98" i="8" a="1"/>
  <c r="AQ98" i="8" s="1"/>
  <c r="BC132" i="9"/>
  <c r="CC160" i="4"/>
  <c r="AX41" i="8" a="1"/>
  <c r="AX41" i="8" s="1"/>
  <c r="DC165" i="4"/>
  <c r="AX165" i="4"/>
  <c r="AQ28" i="4" a="1"/>
  <c r="AQ28" i="4" s="1"/>
  <c r="FS77" i="4" a="1"/>
  <c r="FS77" i="4" s="1"/>
  <c r="BQ165" i="4"/>
  <c r="AQ41" i="8" a="1"/>
  <c r="AQ41" i="8" s="1"/>
  <c r="EZ160" i="4"/>
  <c r="EZ28" i="4" a="1"/>
  <c r="EZ28" i="4" s="1"/>
  <c r="AE160" i="4"/>
  <c r="FG77" i="4" a="1"/>
  <c r="FG77" i="4" s="1"/>
  <c r="AQ160" i="4"/>
  <c r="EN28" i="4" a="1"/>
  <c r="EN28" i="4" s="1"/>
  <c r="EZ77" i="4" a="1"/>
  <c r="EZ77" i="4" s="1"/>
  <c r="AQ37" i="5" a="1"/>
  <c r="AQ37" i="5" s="1"/>
  <c r="AV132" i="9"/>
  <c r="DC160" i="4"/>
  <c r="AE165" i="4"/>
  <c r="BC46" i="9"/>
  <c r="CJ103" i="8" a="1"/>
  <c r="CJ103" i="8" s="1"/>
  <c r="AE41" i="8" a="1"/>
  <c r="AE41" i="8" s="1"/>
  <c r="DO160" i="4"/>
  <c r="DO28" i="4" a="1"/>
  <c r="DO28" i="4" s="1"/>
  <c r="AE104" i="5" a="1"/>
  <c r="AE104" i="5" s="1"/>
  <c r="FG28" i="4" a="1"/>
  <c r="FG28" i="4" s="1"/>
  <c r="BQ103" i="8" a="1"/>
  <c r="BQ103" i="8" s="1"/>
  <c r="CJ98" i="8" a="1"/>
  <c r="CJ98" i="8" s="1"/>
  <c r="FS160" i="4"/>
  <c r="AQ99" i="5" a="1"/>
  <c r="AQ99" i="5" s="1"/>
  <c r="CC165" i="4"/>
  <c r="AE98" i="8" a="1"/>
  <c r="AE98" i="8" s="1"/>
  <c r="BJ28" i="4" a="1"/>
  <c r="BJ28" i="4" s="1"/>
  <c r="AJ132" i="9"/>
  <c r="AQ103" i="8" a="1"/>
  <c r="AQ103" i="8" s="1"/>
  <c r="AV46" i="9"/>
  <c r="AQ104" i="5" a="1"/>
  <c r="AQ104" i="5" s="1"/>
  <c r="CV98" i="8" a="1"/>
  <c r="CV98" i="8" s="1"/>
  <c r="AE103" i="8" a="1"/>
  <c r="AE103" i="8" s="1"/>
  <c r="AE88" i="7"/>
  <c r="AE20" i="5" a="1"/>
  <c r="AE20" i="5" s="1"/>
  <c r="DC28" i="4" a="1"/>
  <c r="DC28" i="4" s="1"/>
  <c r="DO165" i="4"/>
  <c r="FG165" i="4"/>
  <c r="AJ46" i="9"/>
  <c r="BQ28" i="4" a="1"/>
  <c r="BQ28" i="4" s="1"/>
  <c r="AE42" i="7" a="1"/>
  <c r="AE42" i="7" s="1"/>
  <c r="AQ88" i="7"/>
  <c r="AE99" i="5" a="1"/>
  <c r="AE99" i="5" s="1"/>
  <c r="BJ165" i="4"/>
  <c r="BJ103" i="8" a="1"/>
  <c r="BJ103" i="8" s="1"/>
  <c r="AX98" i="8" a="1"/>
  <c r="AX98" i="8" s="1"/>
  <c r="AE37" i="5" a="1"/>
  <c r="AE37" i="5" s="1"/>
  <c r="BO162" i="9"/>
  <c r="AX103" i="8" a="1"/>
  <c r="AX103" i="8" s="1"/>
  <c r="AE28" i="4" a="1"/>
  <c r="AE28" i="4" s="1"/>
  <c r="ED17" i="4" l="1"/>
  <c r="BK174" i="9" a="1"/>
  <c r="BK174" i="9" s="1"/>
  <c r="BL174" i="9" a="1"/>
  <c r="BL174" i="9" s="1"/>
  <c r="BJ174" i="9" a="1"/>
  <c r="BJ174" i="9" s="1"/>
  <c r="BO16" i="9"/>
  <c r="BO15" i="9" s="1"/>
  <c r="BM174" i="9" s="1" a="1"/>
  <c r="BM174" i="9" s="1"/>
  <c r="BP175" i="9" a="1"/>
  <c r="BP175" i="9" s="1"/>
  <c r="BN175" i="9" a="1"/>
  <c r="BN175" i="9" s="1"/>
  <c r="BM175" i="9" a="1"/>
  <c r="BM175" i="9" s="1"/>
  <c r="BO175" i="9" a="1"/>
  <c r="BO175" i="9" s="1"/>
  <c r="DR4" i="4"/>
  <c r="DW204" i="4" a="1"/>
  <c r="DW204" i="4" s="1"/>
  <c r="DU204" i="4" a="1"/>
  <c r="DU204" i="4" s="1"/>
  <c r="DV204" i="4" a="1"/>
  <c r="DV204" i="4" s="1"/>
  <c r="DR204" i="4" a="1"/>
  <c r="DR204" i="4" s="1"/>
  <c r="BP122" i="8" a="1"/>
  <c r="BP122" i="8" s="1"/>
  <c r="BD174" i="9" a="1"/>
  <c r="BD174" i="9" s="1"/>
  <c r="CF122" i="8" a="1"/>
  <c r="CF122" i="8" s="1"/>
  <c r="BC174" i="9" a="1"/>
  <c r="BC174" i="9" s="1"/>
  <c r="AK174" i="9" a="1"/>
  <c r="AK174" i="9" s="1"/>
  <c r="AD122" i="8" a="1"/>
  <c r="AD122" i="8" s="1"/>
  <c r="AF174" i="9" a="1"/>
  <c r="AF174" i="9" s="1"/>
  <c r="BM122" i="8" a="1"/>
  <c r="BM122" i="8" s="1"/>
  <c r="BQ122" i="8" a="1"/>
  <c r="BQ122" i="8" s="1"/>
  <c r="BM4" i="8"/>
  <c r="AF122" i="8" a="1"/>
  <c r="AF122" i="8" s="1"/>
  <c r="CF4" i="8"/>
  <c r="BR122" i="8" a="1"/>
  <c r="BR122" i="8" s="1"/>
  <c r="AT122" i="8" a="1"/>
  <c r="AT122" i="8" s="1"/>
  <c r="CT18" i="8"/>
  <c r="CU18" i="8" s="1"/>
  <c r="CR18" i="8"/>
  <c r="CR123" i="8" a="1"/>
  <c r="CR123" i="8" s="1"/>
  <c r="CQ123" i="8" a="1"/>
  <c r="CQ123" i="8" s="1"/>
  <c r="CP123" i="8" a="1"/>
  <c r="CP123" i="8" s="1"/>
  <c r="CS123" i="8" a="1"/>
  <c r="CS123" i="8" s="1"/>
  <c r="CT17" i="4"/>
  <c r="CU17" i="4" s="1"/>
  <c r="CR17" i="4"/>
  <c r="CS205" i="4" a="1"/>
  <c r="CS205" i="4" s="1"/>
  <c r="CR205" i="4" a="1"/>
  <c r="CR205" i="4" s="1"/>
  <c r="CP205" i="4" a="1"/>
  <c r="CP205" i="4" s="1"/>
  <c r="CQ205" i="4" a="1"/>
  <c r="CQ205" i="4" s="1"/>
  <c r="AT204" i="4" a="1"/>
  <c r="AT204" i="4" s="1"/>
  <c r="AW204" i="4" a="1"/>
  <c r="AW204" i="4" s="1"/>
  <c r="AY204" i="4" a="1"/>
  <c r="AY204" i="4" s="1"/>
  <c r="AX204" i="4" a="1"/>
  <c r="AX204" i="4" s="1"/>
  <c r="AT4" i="4"/>
  <c r="CF4" i="4"/>
  <c r="CJ204" i="4" a="1"/>
  <c r="CJ204" i="4" s="1"/>
  <c r="CI204" i="4" a="1"/>
  <c r="CI204" i="4" s="1"/>
  <c r="CK204" i="4" a="1"/>
  <c r="CK204" i="4" s="1"/>
  <c r="CF204" i="4" a="1"/>
  <c r="CF204" i="4" s="1"/>
  <c r="BI17" i="4"/>
  <c r="BE205" i="4" a="1"/>
  <c r="BE205" i="4" s="1"/>
  <c r="BG205" i="4" a="1"/>
  <c r="BG205" i="4" s="1"/>
  <c r="BD205" i="4" a="1"/>
  <c r="BD205" i="4" s="1"/>
  <c r="BF205" i="4" a="1"/>
  <c r="BF205" i="4" s="1"/>
  <c r="BF17" i="4"/>
  <c r="FC4" i="4"/>
  <c r="FH204" i="4" a="1"/>
  <c r="FH204" i="4" s="1"/>
  <c r="FG204" i="4" a="1"/>
  <c r="FG204" i="4" s="1"/>
  <c r="FF204" i="4" a="1"/>
  <c r="FF204" i="4" s="1"/>
  <c r="FC204" i="4" a="1"/>
  <c r="FC204" i="4" s="1"/>
  <c r="AA4" i="8"/>
  <c r="AF4" i="9"/>
  <c r="AE122" i="8" a="1"/>
  <c r="AE122" i="8" s="1"/>
  <c r="BM4" i="4"/>
  <c r="BQ204" i="4" a="1"/>
  <c r="BQ204" i="4" s="1"/>
  <c r="BM204" i="4" a="1"/>
  <c r="BM204" i="4" s="1"/>
  <c r="BR204" i="4" a="1"/>
  <c r="BR204" i="4" s="1"/>
  <c r="BP204" i="4" a="1"/>
  <c r="BP204" i="4" s="1"/>
  <c r="AA122" i="8" a="1"/>
  <c r="AA122" i="8" s="1"/>
  <c r="CJ122" i="8" a="1"/>
  <c r="CJ122" i="8" s="1"/>
  <c r="FQ17" i="4"/>
  <c r="FR17" i="4" s="1"/>
  <c r="FO17" i="4"/>
  <c r="FN205" i="4" a="1"/>
  <c r="FN205" i="4" s="1"/>
  <c r="FP205" i="4" a="1"/>
  <c r="FP205" i="4" s="1"/>
  <c r="FM205" i="4" a="1"/>
  <c r="FM205" i="4" s="1"/>
  <c r="FO205" i="4" a="1"/>
  <c r="FO205" i="4" s="1"/>
  <c r="AA4" i="4"/>
  <c r="AE204" i="4" a="1"/>
  <c r="AE204" i="4" s="1"/>
  <c r="AA204" i="4" a="1"/>
  <c r="AA204" i="4" s="1"/>
  <c r="AD204" i="4" a="1"/>
  <c r="AD204" i="4" s="1"/>
  <c r="AF204" i="4" a="1"/>
  <c r="AF204" i="4" s="1"/>
  <c r="AP17" i="4"/>
  <c r="AM17" i="4"/>
  <c r="AL205" i="4" a="1"/>
  <c r="AL205" i="4" s="1"/>
  <c r="AM205" i="4" a="1"/>
  <c r="AM205" i="4" s="1"/>
  <c r="AN205" i="4" a="1"/>
  <c r="AN205" i="4" s="1"/>
  <c r="CI122" i="8" a="1"/>
  <c r="CI122" i="8" s="1"/>
  <c r="AJ174" i="9" a="1"/>
  <c r="AJ174" i="9" s="1"/>
  <c r="CK122" i="8" a="1"/>
  <c r="CK122" i="8" s="1"/>
  <c r="CY4" i="4"/>
  <c r="DB204" i="4" a="1"/>
  <c r="DB204" i="4" s="1"/>
  <c r="DC204" i="4" a="1"/>
  <c r="DC204" i="4" s="1"/>
  <c r="DD204" i="4" a="1"/>
  <c r="DD204" i="4" s="1"/>
  <c r="CY204" i="4" a="1"/>
  <c r="CY204" i="4" s="1"/>
  <c r="AK107" i="7" a="1"/>
  <c r="AK107" i="7" s="1"/>
  <c r="AM18" i="7"/>
  <c r="AM107" i="7" a="1"/>
  <c r="AM107" i="7" s="1"/>
  <c r="AN107" i="7" a="1"/>
  <c r="AN107" i="7" s="1"/>
  <c r="AL107" i="7" a="1"/>
  <c r="AL107" i="7" s="1"/>
  <c r="AO18" i="7"/>
  <c r="AP18" i="7" s="1"/>
  <c r="AI174" i="9" a="1"/>
  <c r="AI174" i="9" s="1"/>
  <c r="AA4" i="7"/>
  <c r="EJ4" i="4"/>
  <c r="EO204" i="4" a="1"/>
  <c r="EO204" i="4" s="1"/>
  <c r="EM204" i="4" a="1"/>
  <c r="EM204" i="4" s="1"/>
  <c r="EN204" i="4" a="1"/>
  <c r="EN204" i="4" s="1"/>
  <c r="EJ204" i="4" a="1"/>
  <c r="EJ204" i="4" s="1"/>
  <c r="AT4" i="8"/>
  <c r="AF106" i="7" a="1"/>
  <c r="AF106" i="7" s="1"/>
  <c r="AD106" i="7" a="1"/>
  <c r="AD106" i="7" s="1"/>
  <c r="AY4" i="9"/>
  <c r="AE106" i="7" a="1"/>
  <c r="AE106" i="7" s="1"/>
  <c r="AA122" i="5" a="1"/>
  <c r="AA122" i="5" s="1"/>
  <c r="AF122" i="5" a="1"/>
  <c r="AF122" i="5" s="1"/>
  <c r="AE122" i="5" a="1"/>
  <c r="AE122" i="5" s="1"/>
  <c r="AD122" i="5" a="1"/>
  <c r="AD122" i="5" s="1"/>
  <c r="AA4" i="5"/>
  <c r="AX122" i="8" a="1"/>
  <c r="AX122" i="8" s="1"/>
  <c r="AA106" i="7" a="1"/>
  <c r="AA106" i="7" s="1"/>
  <c r="AY174" i="9" a="1"/>
  <c r="AY174" i="9" s="1"/>
  <c r="CB17" i="4"/>
  <c r="BY17" i="4"/>
  <c r="BW205" i="4" a="1"/>
  <c r="BW205" i="4" s="1"/>
  <c r="BX205" i="4" a="1"/>
  <c r="BX205" i="4" s="1"/>
  <c r="BZ205" i="4" a="1"/>
  <c r="BZ205" i="4" s="1"/>
  <c r="BY205" i="4" a="1"/>
  <c r="BY205" i="4" s="1"/>
  <c r="AW122" i="8" a="1"/>
  <c r="AW122" i="8" s="1"/>
  <c r="BB174" i="9" a="1"/>
  <c r="BB174" i="9" s="1"/>
  <c r="BF18" i="8"/>
  <c r="BH18" i="8"/>
  <c r="BI18" i="8" s="1"/>
  <c r="BF123" i="8" a="1"/>
  <c r="BF123" i="8" s="1"/>
  <c r="BD123" i="8" a="1"/>
  <c r="BD123" i="8" s="1"/>
  <c r="BE123" i="8" a="1"/>
  <c r="BE123" i="8" s="1"/>
  <c r="BG123" i="8" a="1"/>
  <c r="BG123" i="8" s="1"/>
  <c r="EX17" i="4"/>
  <c r="EY17" i="4" s="1"/>
  <c r="EV17" i="4"/>
  <c r="EV205" i="4" a="1"/>
  <c r="EV205" i="4" s="1"/>
  <c r="EW205" i="4" a="1"/>
  <c r="EW205" i="4" s="1"/>
  <c r="ET205" i="4" a="1"/>
  <c r="ET205" i="4" s="1"/>
  <c r="EU205" i="4" a="1"/>
  <c r="EU205" i="4" s="1"/>
  <c r="AY122" i="8" a="1"/>
  <c r="AY122" i="8" s="1"/>
  <c r="EW80" i="4" l="1"/>
  <c r="EO80" i="4"/>
  <c r="FA80" i="4"/>
  <c r="CS80" i="4"/>
  <c r="CK80" i="4"/>
  <c r="CW80" i="4"/>
  <c r="AN80" i="4"/>
  <c r="AF80" i="4"/>
  <c r="AR80" i="4"/>
  <c r="EE80" i="4"/>
  <c r="EI80" i="4"/>
  <c r="DW80" i="4"/>
  <c r="EA80" i="4" s="1"/>
  <c r="DZ80" i="4" s="1"/>
  <c r="DY80" i="4" s="1"/>
  <c r="DX80" i="4" s="1"/>
  <c r="BZ80" i="4"/>
  <c r="CD80" i="4"/>
  <c r="BR80" i="4"/>
  <c r="DL80" i="4"/>
  <c r="DP80" i="4"/>
  <c r="DD80" i="4"/>
  <c r="BG80" i="4"/>
  <c r="BK80" i="4"/>
  <c r="AY80" i="4"/>
  <c r="FP80" i="4"/>
  <c r="FT80" i="4"/>
  <c r="FH80" i="4"/>
  <c r="AN82" i="4"/>
  <c r="AF82" i="4"/>
  <c r="AR82" i="4"/>
  <c r="EW82" i="4"/>
  <c r="EO82" i="4"/>
  <c r="FA82" i="4"/>
  <c r="CS82" i="4"/>
  <c r="CW82" i="4"/>
  <c r="CK82" i="4"/>
  <c r="BG82" i="4"/>
  <c r="BK82" i="4"/>
  <c r="AY82" i="4"/>
  <c r="EE82" i="4"/>
  <c r="DW82" i="4"/>
  <c r="EA82" i="4" s="1"/>
  <c r="DZ82" i="4" s="1"/>
  <c r="DY82" i="4" s="1"/>
  <c r="DX82" i="4" s="1"/>
  <c r="EI82" i="4"/>
  <c r="BZ82" i="4"/>
  <c r="BR82" i="4"/>
  <c r="CD82" i="4"/>
  <c r="DL82" i="4"/>
  <c r="DP82" i="4"/>
  <c r="DD82" i="4"/>
  <c r="FP82" i="4"/>
  <c r="FH82" i="4"/>
  <c r="FT82" i="4"/>
  <c r="AN43" i="5"/>
  <c r="AF43" i="5"/>
  <c r="AJ43" i="5" s="1"/>
  <c r="AI43" i="5" s="1"/>
  <c r="AH43" i="5" s="1"/>
  <c r="AG43" i="5" s="1"/>
  <c r="U43" i="5" s="1"/>
  <c r="AR43" i="5"/>
  <c r="AN40" i="5"/>
  <c r="AF40" i="5"/>
  <c r="AJ40" i="5" s="1"/>
  <c r="AI40" i="5" s="1"/>
  <c r="AH40" i="5" s="1"/>
  <c r="AG40" i="5" s="1"/>
  <c r="U40" i="5" s="1"/>
  <c r="AR40" i="5"/>
  <c r="AN23" i="7"/>
  <c r="AF23" i="7"/>
  <c r="AR23" i="7"/>
  <c r="AN22" i="5"/>
  <c r="AR22" i="5"/>
  <c r="AF22" i="5"/>
  <c r="AJ22" i="5" s="1"/>
  <c r="AI22" i="5" s="1"/>
  <c r="AH22" i="5" s="1"/>
  <c r="AG22" i="5" s="1"/>
  <c r="U22" i="5" s="1"/>
  <c r="AN42" i="5"/>
  <c r="AF42" i="5"/>
  <c r="AJ42" i="5" s="1"/>
  <c r="AI42" i="5" s="1"/>
  <c r="AH42" i="5" s="1"/>
  <c r="AG42" i="5" s="1"/>
  <c r="U42" i="5" s="1"/>
  <c r="AR42" i="5"/>
  <c r="AN81" i="4"/>
  <c r="AR81" i="4"/>
  <c r="AF81" i="4"/>
  <c r="CS81" i="4"/>
  <c r="CK81" i="4"/>
  <c r="CW81" i="4"/>
  <c r="EW81" i="4"/>
  <c r="EO81" i="4"/>
  <c r="FA81" i="4"/>
  <c r="BG81" i="4"/>
  <c r="BK81" i="4"/>
  <c r="AY81" i="4"/>
  <c r="BZ81" i="4"/>
  <c r="CD81" i="4"/>
  <c r="BR81" i="4"/>
  <c r="DL81" i="4"/>
  <c r="DP81" i="4"/>
  <c r="DD81" i="4"/>
  <c r="EE81" i="4"/>
  <c r="EI81" i="4"/>
  <c r="DW81" i="4"/>
  <c r="EA81" i="4" s="1"/>
  <c r="DZ81" i="4" s="1"/>
  <c r="DY81" i="4" s="1"/>
  <c r="DX81" i="4" s="1"/>
  <c r="FP81" i="4"/>
  <c r="FT81" i="4"/>
  <c r="FH81" i="4"/>
  <c r="AN90" i="4"/>
  <c r="AR90" i="4"/>
  <c r="AF90" i="4"/>
  <c r="EW90" i="4"/>
  <c r="EO90" i="4"/>
  <c r="FA90" i="4"/>
  <c r="CS90" i="4"/>
  <c r="CW90" i="4"/>
  <c r="CK90" i="4"/>
  <c r="BG90" i="4"/>
  <c r="AY90" i="4"/>
  <c r="BK90" i="4"/>
  <c r="EE90" i="4"/>
  <c r="EI90" i="4"/>
  <c r="DW90" i="4"/>
  <c r="EA90" i="4" s="1"/>
  <c r="DZ90" i="4" s="1"/>
  <c r="DY90" i="4" s="1"/>
  <c r="DX90" i="4" s="1"/>
  <c r="BZ90" i="4"/>
  <c r="BR90" i="4"/>
  <c r="CD90" i="4"/>
  <c r="DL90" i="4"/>
  <c r="DP90" i="4"/>
  <c r="DD90" i="4"/>
  <c r="FP90" i="4"/>
  <c r="FH90" i="4"/>
  <c r="FT90" i="4"/>
  <c r="BZ70" i="8"/>
  <c r="CD70" i="8"/>
  <c r="BR70" i="8"/>
  <c r="CS70" i="8"/>
  <c r="CK70" i="8"/>
  <c r="CW70" i="8"/>
  <c r="BG70" i="8"/>
  <c r="AY70" i="8"/>
  <c r="BK70" i="8"/>
  <c r="AN70" i="8"/>
  <c r="AR70" i="8"/>
  <c r="AF70" i="8"/>
  <c r="AN75" i="5"/>
  <c r="AF75" i="5"/>
  <c r="AJ75" i="5" s="1"/>
  <c r="AI75" i="5" s="1"/>
  <c r="AH75" i="5" s="1"/>
  <c r="AG75" i="5" s="1"/>
  <c r="U75" i="5" s="1"/>
  <c r="AR75" i="5"/>
  <c r="AN124" i="4"/>
  <c r="AF124" i="4"/>
  <c r="AR124" i="4"/>
  <c r="EW124" i="4"/>
  <c r="EO124" i="4"/>
  <c r="FA124" i="4"/>
  <c r="CS124" i="4"/>
  <c r="CW124" i="4"/>
  <c r="CK124" i="4"/>
  <c r="BG124" i="4"/>
  <c r="AY124" i="4"/>
  <c r="BK124" i="4"/>
  <c r="EE124" i="4"/>
  <c r="EI124" i="4"/>
  <c r="DW124" i="4"/>
  <c r="EA124" i="4" s="1"/>
  <c r="DZ124" i="4" s="1"/>
  <c r="DY124" i="4" s="1"/>
  <c r="DX124" i="4" s="1"/>
  <c r="BZ124" i="4"/>
  <c r="BR124" i="4"/>
  <c r="CD124" i="4"/>
  <c r="DL124" i="4"/>
  <c r="DD124" i="4"/>
  <c r="DP124" i="4"/>
  <c r="FP124" i="4"/>
  <c r="FH124" i="4"/>
  <c r="FT124" i="4"/>
  <c r="AN129" i="4"/>
  <c r="AF129" i="4"/>
  <c r="AR129" i="4"/>
  <c r="EW129" i="4"/>
  <c r="FA129" i="4"/>
  <c r="EO129" i="4"/>
  <c r="CS129" i="4"/>
  <c r="CK129" i="4"/>
  <c r="CW129" i="4"/>
  <c r="BG129" i="4"/>
  <c r="AY129" i="4"/>
  <c r="BK129" i="4"/>
  <c r="EE129" i="4"/>
  <c r="DW129" i="4"/>
  <c r="EA129" i="4" s="1"/>
  <c r="DZ129" i="4" s="1"/>
  <c r="DY129" i="4" s="1"/>
  <c r="DX129" i="4" s="1"/>
  <c r="EI129" i="4"/>
  <c r="BZ129" i="4"/>
  <c r="CD129" i="4"/>
  <c r="BR129" i="4"/>
  <c r="DL129" i="4"/>
  <c r="DD129" i="4"/>
  <c r="DP129" i="4"/>
  <c r="FP129" i="4"/>
  <c r="FT129" i="4"/>
  <c r="FH129" i="4"/>
  <c r="AN24" i="4"/>
  <c r="AR24" i="4"/>
  <c r="BL101" i="9"/>
  <c r="BP101" i="9"/>
  <c r="BD101" i="9"/>
  <c r="AS101" i="9"/>
  <c r="AW101" i="9"/>
  <c r="AK101" i="9"/>
  <c r="BL77" i="9"/>
  <c r="BD77" i="9"/>
  <c r="BP77" i="9"/>
  <c r="AS77" i="9"/>
  <c r="AW77" i="9"/>
  <c r="AK77" i="9"/>
  <c r="AS79" i="9"/>
  <c r="AW79" i="9"/>
  <c r="AK79" i="9"/>
  <c r="BL79" i="9"/>
  <c r="BD79" i="9"/>
  <c r="BP79" i="9"/>
  <c r="AS60" i="9"/>
  <c r="AW60" i="9"/>
  <c r="AK60" i="9"/>
  <c r="BL60" i="9"/>
  <c r="BD60" i="9"/>
  <c r="BP60" i="9"/>
  <c r="BL52" i="9"/>
  <c r="BD52" i="9"/>
  <c r="BP52" i="9"/>
  <c r="AS52" i="9"/>
  <c r="AW52" i="9"/>
  <c r="AK52" i="9"/>
  <c r="AS49" i="9"/>
  <c r="AW49" i="9"/>
  <c r="AK49" i="9"/>
  <c r="BL49" i="9"/>
  <c r="BP49" i="9"/>
  <c r="BD49" i="9"/>
  <c r="AS50" i="9"/>
  <c r="AW50" i="9"/>
  <c r="AK50" i="9"/>
  <c r="BL50" i="9"/>
  <c r="BD50" i="9"/>
  <c r="BP50" i="9"/>
  <c r="BZ68" i="8"/>
  <c r="BR68" i="8"/>
  <c r="CD68" i="8"/>
  <c r="BG68" i="8"/>
  <c r="AY68" i="8"/>
  <c r="BK68" i="8"/>
  <c r="CS68" i="8"/>
  <c r="CK68" i="8"/>
  <c r="CW68" i="8"/>
  <c r="AN68" i="8"/>
  <c r="AF68" i="8"/>
  <c r="AR68" i="8"/>
  <c r="AN73" i="5"/>
  <c r="AF73" i="5"/>
  <c r="AJ73" i="5" s="1"/>
  <c r="AI73" i="5" s="1"/>
  <c r="AH73" i="5" s="1"/>
  <c r="AG73" i="5" s="1"/>
  <c r="U73" i="5" s="1"/>
  <c r="AR73" i="5"/>
  <c r="AN131" i="4"/>
  <c r="AF131" i="4"/>
  <c r="AR131" i="4"/>
  <c r="EW131" i="4"/>
  <c r="FA131" i="4"/>
  <c r="EO131" i="4"/>
  <c r="CS131" i="4"/>
  <c r="CK131" i="4"/>
  <c r="CW131" i="4"/>
  <c r="BG131" i="4"/>
  <c r="BK131" i="4"/>
  <c r="AY131" i="4"/>
  <c r="EE131" i="4"/>
  <c r="DW131" i="4"/>
  <c r="EA131" i="4" s="1"/>
  <c r="DZ131" i="4" s="1"/>
  <c r="DY131" i="4" s="1"/>
  <c r="DX131" i="4" s="1"/>
  <c r="EI131" i="4"/>
  <c r="BZ131" i="4"/>
  <c r="CD131" i="4"/>
  <c r="BR131" i="4"/>
  <c r="DL131" i="4"/>
  <c r="DP131" i="4"/>
  <c r="DD131" i="4"/>
  <c r="FP131" i="4"/>
  <c r="FT131" i="4"/>
  <c r="FH131" i="4"/>
  <c r="AN132" i="4"/>
  <c r="AF132" i="4"/>
  <c r="AR132" i="4"/>
  <c r="CS132" i="4"/>
  <c r="CK132" i="4"/>
  <c r="CW132" i="4"/>
  <c r="EW132" i="4"/>
  <c r="FA132" i="4"/>
  <c r="EO132" i="4"/>
  <c r="BG132" i="4"/>
  <c r="AY132" i="4"/>
  <c r="BK132" i="4"/>
  <c r="EE132" i="4"/>
  <c r="EI132" i="4"/>
  <c r="DW132" i="4"/>
  <c r="EA132" i="4" s="1"/>
  <c r="DZ132" i="4" s="1"/>
  <c r="DY132" i="4" s="1"/>
  <c r="DX132" i="4" s="1"/>
  <c r="DL132" i="4"/>
  <c r="DD132" i="4"/>
  <c r="DP132" i="4"/>
  <c r="BZ132" i="4"/>
  <c r="BR132" i="4"/>
  <c r="CD132" i="4"/>
  <c r="FP132" i="4"/>
  <c r="FH132" i="4"/>
  <c r="FT132" i="4"/>
  <c r="AN122" i="4"/>
  <c r="AF122" i="4"/>
  <c r="AR122" i="4"/>
  <c r="EW122" i="4"/>
  <c r="FA122" i="4"/>
  <c r="EO122" i="4"/>
  <c r="CS122" i="4"/>
  <c r="CK122" i="4"/>
  <c r="CW122" i="4"/>
  <c r="BG122" i="4"/>
  <c r="AY122" i="4"/>
  <c r="BK122" i="4"/>
  <c r="EE122" i="4"/>
  <c r="DW122" i="4"/>
  <c r="EA122" i="4" s="1"/>
  <c r="DZ122" i="4" s="1"/>
  <c r="DY122" i="4" s="1"/>
  <c r="DX122" i="4" s="1"/>
  <c r="EI122" i="4"/>
  <c r="DL122" i="4"/>
  <c r="DP122" i="4"/>
  <c r="DD122" i="4"/>
  <c r="BZ122" i="4"/>
  <c r="CD122" i="4"/>
  <c r="BR122" i="4"/>
  <c r="FP122" i="4"/>
  <c r="FH122" i="4"/>
  <c r="FT122" i="4"/>
  <c r="AN56" i="5"/>
  <c r="AF56" i="5"/>
  <c r="AJ56" i="5" s="1"/>
  <c r="AI56" i="5" s="1"/>
  <c r="AH56" i="5" s="1"/>
  <c r="AG56" i="5" s="1"/>
  <c r="U56" i="5" s="1"/>
  <c r="AR56" i="5"/>
  <c r="CS44" i="8"/>
  <c r="CK44" i="8"/>
  <c r="CW44" i="8"/>
  <c r="BG44" i="8"/>
  <c r="BK44" i="8"/>
  <c r="AY44" i="8"/>
  <c r="AN44" i="8"/>
  <c r="AR44" i="8"/>
  <c r="AF44" i="8"/>
  <c r="BZ44" i="8"/>
  <c r="BR44" i="8"/>
  <c r="CD44" i="8"/>
  <c r="AN99" i="4"/>
  <c r="AR99" i="4"/>
  <c r="AF99" i="4"/>
  <c r="EW99" i="4"/>
  <c r="FA99" i="4"/>
  <c r="EO99" i="4"/>
  <c r="CS99" i="4"/>
  <c r="CW99" i="4"/>
  <c r="CK99" i="4"/>
  <c r="BG99" i="4"/>
  <c r="AY99" i="4"/>
  <c r="BK99" i="4"/>
  <c r="EE99" i="4"/>
  <c r="EI99" i="4"/>
  <c r="DW99" i="4"/>
  <c r="EA99" i="4" s="1"/>
  <c r="DZ99" i="4" s="1"/>
  <c r="DY99" i="4" s="1"/>
  <c r="DX99" i="4" s="1"/>
  <c r="BZ99" i="4"/>
  <c r="CD99" i="4"/>
  <c r="BR99" i="4"/>
  <c r="DL99" i="4"/>
  <c r="DP99" i="4"/>
  <c r="DD99" i="4"/>
  <c r="FP99" i="4"/>
  <c r="FT99" i="4"/>
  <c r="FH99" i="4"/>
  <c r="CS98" i="4"/>
  <c r="CW98" i="4"/>
  <c r="CK98" i="4"/>
  <c r="BG98" i="4"/>
  <c r="BK98" i="4"/>
  <c r="AY98" i="4"/>
  <c r="EE98" i="4"/>
  <c r="EI98" i="4"/>
  <c r="DW98" i="4"/>
  <c r="EA98" i="4" s="1"/>
  <c r="DZ98" i="4" s="1"/>
  <c r="DY98" i="4" s="1"/>
  <c r="DX98" i="4" s="1"/>
  <c r="EW98" i="4"/>
  <c r="FA98" i="4"/>
  <c r="EO98" i="4"/>
  <c r="BZ98" i="4"/>
  <c r="CD98" i="4"/>
  <c r="BR98" i="4"/>
  <c r="AN98" i="4"/>
  <c r="AR98" i="4"/>
  <c r="AF98" i="4"/>
  <c r="DL98" i="4"/>
  <c r="DP98" i="4"/>
  <c r="DD98" i="4"/>
  <c r="FP98" i="4"/>
  <c r="FH98" i="4"/>
  <c r="FT98" i="4"/>
  <c r="AN61" i="5"/>
  <c r="AF61" i="5"/>
  <c r="AJ61" i="5" s="1"/>
  <c r="AI61" i="5" s="1"/>
  <c r="AH61" i="5" s="1"/>
  <c r="AG61" i="5" s="1"/>
  <c r="U61" i="5" s="1"/>
  <c r="AR61" i="5"/>
  <c r="AN104" i="4"/>
  <c r="AR104" i="4"/>
  <c r="AF104" i="4"/>
  <c r="CS104" i="4"/>
  <c r="CK104" i="4"/>
  <c r="CW104" i="4"/>
  <c r="BG104" i="4"/>
  <c r="AY104" i="4"/>
  <c r="BK104" i="4"/>
  <c r="EE104" i="4"/>
  <c r="DW104" i="4"/>
  <c r="EA104" i="4" s="1"/>
  <c r="DZ104" i="4" s="1"/>
  <c r="DY104" i="4" s="1"/>
  <c r="DX104" i="4" s="1"/>
  <c r="EI104" i="4"/>
  <c r="DL104" i="4"/>
  <c r="DP104" i="4"/>
  <c r="DD104" i="4"/>
  <c r="EW104" i="4"/>
  <c r="EO104" i="4"/>
  <c r="FA104" i="4"/>
  <c r="BZ104" i="4"/>
  <c r="BR104" i="4"/>
  <c r="CD104" i="4"/>
  <c r="FP104" i="4"/>
  <c r="FH104" i="4"/>
  <c r="FT104" i="4"/>
  <c r="AN50" i="5"/>
  <c r="AF50" i="5"/>
  <c r="AJ50" i="5" s="1"/>
  <c r="AI50" i="5" s="1"/>
  <c r="AH50" i="5" s="1"/>
  <c r="AG50" i="5" s="1"/>
  <c r="U50" i="5" s="1"/>
  <c r="AR50" i="5"/>
  <c r="AN88" i="4"/>
  <c r="AF88" i="4"/>
  <c r="AR88" i="4"/>
  <c r="EW88" i="4"/>
  <c r="EO88" i="4"/>
  <c r="FA88" i="4"/>
  <c r="CS88" i="4"/>
  <c r="CK88" i="4"/>
  <c r="CW88" i="4"/>
  <c r="BG88" i="4"/>
  <c r="BK88" i="4"/>
  <c r="AY88" i="4"/>
  <c r="BZ88" i="4"/>
  <c r="CD88" i="4"/>
  <c r="BR88" i="4"/>
  <c r="EE88" i="4"/>
  <c r="DW88" i="4"/>
  <c r="EA88" i="4" s="1"/>
  <c r="DZ88" i="4" s="1"/>
  <c r="DY88" i="4" s="1"/>
  <c r="DX88" i="4" s="1"/>
  <c r="EI88" i="4"/>
  <c r="DL88" i="4"/>
  <c r="DP88" i="4"/>
  <c r="DD88" i="4"/>
  <c r="FP88" i="4"/>
  <c r="FH88" i="4"/>
  <c r="FT88" i="4"/>
  <c r="AN45" i="5"/>
  <c r="AF45" i="5"/>
  <c r="AJ45" i="5" s="1"/>
  <c r="AI45" i="5" s="1"/>
  <c r="AH45" i="5" s="1"/>
  <c r="AG45" i="5" s="1"/>
  <c r="U45" i="5" s="1"/>
  <c r="AR45" i="5"/>
  <c r="CS84" i="4"/>
  <c r="CK84" i="4"/>
  <c r="CW84" i="4"/>
  <c r="BG84" i="4"/>
  <c r="AY84" i="4"/>
  <c r="BK84" i="4"/>
  <c r="AN84" i="4"/>
  <c r="AF84" i="4"/>
  <c r="AR84" i="4"/>
  <c r="EW84" i="4"/>
  <c r="FA84" i="4"/>
  <c r="EO84" i="4"/>
  <c r="EE84" i="4"/>
  <c r="EI84" i="4"/>
  <c r="DW84" i="4"/>
  <c r="EA84" i="4" s="1"/>
  <c r="DZ84" i="4" s="1"/>
  <c r="DY84" i="4" s="1"/>
  <c r="DX84" i="4" s="1"/>
  <c r="DL84" i="4"/>
  <c r="DD84" i="4"/>
  <c r="DP84" i="4"/>
  <c r="BZ84" i="4"/>
  <c r="BR84" i="4"/>
  <c r="CD84" i="4"/>
  <c r="FP84" i="4"/>
  <c r="FT84" i="4"/>
  <c r="FH84" i="4"/>
  <c r="AN41" i="5"/>
  <c r="AF41" i="5"/>
  <c r="AJ41" i="5" s="1"/>
  <c r="AI41" i="5" s="1"/>
  <c r="AH41" i="5" s="1"/>
  <c r="AG41" i="5" s="1"/>
  <c r="U41" i="5" s="1"/>
  <c r="AR41" i="5"/>
  <c r="AN39" i="5"/>
  <c r="AF39" i="5"/>
  <c r="AJ39" i="5" s="1"/>
  <c r="AI39" i="5" s="1"/>
  <c r="AH39" i="5" s="1"/>
  <c r="AG39" i="5" s="1"/>
  <c r="U39" i="5" s="1"/>
  <c r="AR39" i="5"/>
  <c r="CS92" i="4"/>
  <c r="CK92" i="4"/>
  <c r="CW92" i="4"/>
  <c r="BG92" i="4"/>
  <c r="AY92" i="4"/>
  <c r="BK92" i="4"/>
  <c r="EE92" i="4"/>
  <c r="EI92" i="4"/>
  <c r="DW92" i="4"/>
  <c r="EA92" i="4" s="1"/>
  <c r="DZ92" i="4" s="1"/>
  <c r="DY92" i="4" s="1"/>
  <c r="DX92" i="4" s="1"/>
  <c r="BZ92" i="4"/>
  <c r="BR92" i="4"/>
  <c r="CD92" i="4"/>
  <c r="DL92" i="4"/>
  <c r="DP92" i="4"/>
  <c r="DD92" i="4"/>
  <c r="AN92" i="4"/>
  <c r="AF92" i="4"/>
  <c r="AR92" i="4"/>
  <c r="EW92" i="4"/>
  <c r="EO92" i="4"/>
  <c r="FA92" i="4"/>
  <c r="FP92" i="4"/>
  <c r="FT92" i="4"/>
  <c r="FH92" i="4"/>
  <c r="EF17" i="4"/>
  <c r="FP63" i="4"/>
  <c r="FT63" i="4"/>
  <c r="FH63" i="4"/>
  <c r="FL63" i="4" s="1"/>
  <c r="AN63" i="4"/>
  <c r="AF63" i="4"/>
  <c r="AJ63" i="4" s="1"/>
  <c r="AR63" i="4"/>
  <c r="EW63" i="4"/>
  <c r="EO63" i="4"/>
  <c r="ES63" i="4" s="1"/>
  <c r="FA63" i="4"/>
  <c r="CS63" i="4"/>
  <c r="CK63" i="4"/>
  <c r="CO63" i="4" s="1"/>
  <c r="CW63" i="4"/>
  <c r="BG63" i="4"/>
  <c r="BK63" i="4"/>
  <c r="AY63" i="4"/>
  <c r="BC63" i="4" s="1"/>
  <c r="EE63" i="4"/>
  <c r="EI63" i="4"/>
  <c r="DW63" i="4"/>
  <c r="EA63" i="4" s="1"/>
  <c r="BZ63" i="4"/>
  <c r="CD63" i="4"/>
  <c r="BR63" i="4"/>
  <c r="BV63" i="4" s="1"/>
  <c r="DL63" i="4"/>
  <c r="DP63" i="4"/>
  <c r="DD63" i="4"/>
  <c r="DH63" i="4" s="1"/>
  <c r="AS160" i="9"/>
  <c r="AW160" i="9"/>
  <c r="AK160" i="9"/>
  <c r="BL160" i="9"/>
  <c r="BD160" i="9"/>
  <c r="BP160" i="9"/>
  <c r="AS161" i="9"/>
  <c r="AW161" i="9"/>
  <c r="AK161" i="9"/>
  <c r="BL161" i="9"/>
  <c r="BD161" i="9"/>
  <c r="BP161" i="9"/>
  <c r="BZ53" i="8"/>
  <c r="BR53" i="8"/>
  <c r="CD53" i="8"/>
  <c r="CS53" i="8"/>
  <c r="CW53" i="8"/>
  <c r="CK53" i="8"/>
  <c r="BG53" i="8"/>
  <c r="AY53" i="8"/>
  <c r="BK53" i="8"/>
  <c r="AN53" i="8"/>
  <c r="AR53" i="8"/>
  <c r="AF53" i="8"/>
  <c r="AN50" i="7"/>
  <c r="AR50" i="7"/>
  <c r="AF50" i="7"/>
  <c r="BZ69" i="8"/>
  <c r="CD69" i="8"/>
  <c r="BR69" i="8"/>
  <c r="CS69" i="8"/>
  <c r="CW69" i="8"/>
  <c r="CK69" i="8"/>
  <c r="AN69" i="8"/>
  <c r="AR69" i="8"/>
  <c r="AF69" i="8"/>
  <c r="BG69" i="8"/>
  <c r="BK69" i="8"/>
  <c r="AY69" i="8"/>
  <c r="AN60" i="5"/>
  <c r="AF60" i="5"/>
  <c r="AJ60" i="5" s="1"/>
  <c r="AI60" i="5" s="1"/>
  <c r="AH60" i="5" s="1"/>
  <c r="AG60" i="5" s="1"/>
  <c r="U60" i="5" s="1"/>
  <c r="AR60" i="5"/>
  <c r="AN74" i="5"/>
  <c r="AF74" i="5"/>
  <c r="AJ74" i="5" s="1"/>
  <c r="AI74" i="5" s="1"/>
  <c r="AH74" i="5" s="1"/>
  <c r="AG74" i="5" s="1"/>
  <c r="U74" i="5" s="1"/>
  <c r="AR74" i="5"/>
  <c r="CS64" i="4"/>
  <c r="CK64" i="4"/>
  <c r="CO64" i="4" s="1"/>
  <c r="CW64" i="4"/>
  <c r="BG64" i="4"/>
  <c r="AY64" i="4"/>
  <c r="BC64" i="4" s="1"/>
  <c r="BK64" i="4"/>
  <c r="EE64" i="4"/>
  <c r="DW64" i="4"/>
  <c r="EA64" i="4" s="1"/>
  <c r="EI64" i="4"/>
  <c r="EW64" i="4"/>
  <c r="EO64" i="4"/>
  <c r="ES64" i="4" s="1"/>
  <c r="FA64" i="4"/>
  <c r="FP64" i="4"/>
  <c r="FT64" i="4"/>
  <c r="FH64" i="4"/>
  <c r="FL64" i="4" s="1"/>
  <c r="DL64" i="4"/>
  <c r="DD64" i="4"/>
  <c r="DH64" i="4" s="1"/>
  <c r="DP64" i="4"/>
  <c r="BZ64" i="4"/>
  <c r="CD64" i="4"/>
  <c r="BR64" i="4"/>
  <c r="BV64" i="4" s="1"/>
  <c r="AN64" i="4"/>
  <c r="AF64" i="4"/>
  <c r="AJ64" i="4" s="1"/>
  <c r="AR64" i="4"/>
  <c r="AN24" i="5"/>
  <c r="AF24" i="5"/>
  <c r="AJ24" i="5" s="1"/>
  <c r="AI24" i="5" s="1"/>
  <c r="AH24" i="5" s="1"/>
  <c r="AG24" i="5" s="1"/>
  <c r="U24" i="5" s="1"/>
  <c r="AR24" i="5"/>
  <c r="AN52" i="4"/>
  <c r="AF52" i="4"/>
  <c r="AJ52" i="4" s="1"/>
  <c r="AR52" i="4"/>
  <c r="EW52" i="4"/>
  <c r="EO52" i="4"/>
  <c r="ES52" i="4" s="1"/>
  <c r="FA52" i="4"/>
  <c r="FP52" i="4"/>
  <c r="FT52" i="4"/>
  <c r="FH52" i="4"/>
  <c r="FL52" i="4" s="1"/>
  <c r="CS52" i="4"/>
  <c r="CK52" i="4"/>
  <c r="CO52" i="4" s="1"/>
  <c r="CW52" i="4"/>
  <c r="BG52" i="4"/>
  <c r="AY52" i="4"/>
  <c r="BC52" i="4" s="1"/>
  <c r="BK52" i="4"/>
  <c r="EE52" i="4"/>
  <c r="EI52" i="4"/>
  <c r="DW52" i="4"/>
  <c r="EA52" i="4" s="1"/>
  <c r="BZ52" i="4"/>
  <c r="CD52" i="4"/>
  <c r="BR52" i="4"/>
  <c r="BV52" i="4" s="1"/>
  <c r="DL52" i="4"/>
  <c r="DP52" i="4"/>
  <c r="DD52" i="4"/>
  <c r="DH52" i="4" s="1"/>
  <c r="AS102" i="9"/>
  <c r="AW102" i="9"/>
  <c r="AK102" i="9"/>
  <c r="BL102" i="9"/>
  <c r="BP102" i="9"/>
  <c r="BD102" i="9"/>
  <c r="BL106" i="9"/>
  <c r="BD106" i="9"/>
  <c r="BP106" i="9"/>
  <c r="AS106" i="9"/>
  <c r="AW106" i="9"/>
  <c r="AK106" i="9"/>
  <c r="AS25" i="9"/>
  <c r="AW25" i="9"/>
  <c r="AK25" i="9"/>
  <c r="BL25" i="9"/>
  <c r="BP25" i="9"/>
  <c r="BD25" i="9"/>
  <c r="AN79" i="4"/>
  <c r="AF79" i="4"/>
  <c r="AJ79" i="4" s="1"/>
  <c r="AR79" i="4"/>
  <c r="BG79" i="4"/>
  <c r="AY79" i="4"/>
  <c r="BC79" i="4" s="1"/>
  <c r="BK79" i="4"/>
  <c r="EW79" i="4"/>
  <c r="FA79" i="4"/>
  <c r="EO79" i="4"/>
  <c r="ES79" i="4" s="1"/>
  <c r="EE79" i="4"/>
  <c r="EI79" i="4"/>
  <c r="DW79" i="4"/>
  <c r="EA79" i="4" s="1"/>
  <c r="BZ79" i="4"/>
  <c r="CD79" i="4"/>
  <c r="BR79" i="4"/>
  <c r="BV79" i="4" s="1"/>
  <c r="DL79" i="4"/>
  <c r="DD79" i="4"/>
  <c r="DH79" i="4" s="1"/>
  <c r="DP79" i="4"/>
  <c r="CS79" i="4"/>
  <c r="CW79" i="4"/>
  <c r="CK79" i="4"/>
  <c r="CO79" i="4" s="1"/>
  <c r="FP79" i="4"/>
  <c r="FT79" i="4"/>
  <c r="FH79" i="4"/>
  <c r="FL79" i="4" s="1"/>
  <c r="AN102" i="4"/>
  <c r="AF102" i="4"/>
  <c r="AJ102" i="4" s="1"/>
  <c r="AR102" i="4"/>
  <c r="EE102" i="4"/>
  <c r="EI102" i="4"/>
  <c r="DW102" i="4"/>
  <c r="EA102" i="4" s="1"/>
  <c r="CS102" i="4"/>
  <c r="CK102" i="4"/>
  <c r="CO102" i="4" s="1"/>
  <c r="CW102" i="4"/>
  <c r="BZ102" i="4"/>
  <c r="BR102" i="4"/>
  <c r="BV102" i="4" s="1"/>
  <c r="CD102" i="4"/>
  <c r="DL102" i="4"/>
  <c r="DD102" i="4"/>
  <c r="DH102" i="4" s="1"/>
  <c r="DP102" i="4"/>
  <c r="EW102" i="4"/>
  <c r="FA102" i="4"/>
  <c r="EO102" i="4"/>
  <c r="ES102" i="4" s="1"/>
  <c r="FP102" i="4"/>
  <c r="FH102" i="4"/>
  <c r="FL102" i="4" s="1"/>
  <c r="FT102" i="4"/>
  <c r="BG102" i="4"/>
  <c r="BK102" i="4"/>
  <c r="AY102" i="4"/>
  <c r="BC102" i="4" s="1"/>
  <c r="AN65" i="7"/>
  <c r="AF65" i="7"/>
  <c r="AR65" i="7"/>
  <c r="AN64" i="7"/>
  <c r="AR64" i="7"/>
  <c r="AF64" i="7"/>
  <c r="AN80" i="5"/>
  <c r="AR80" i="5"/>
  <c r="AF80" i="5"/>
  <c r="AJ80" i="5" s="1"/>
  <c r="AI80" i="5" s="1"/>
  <c r="AH80" i="5" s="1"/>
  <c r="AG80" i="5" s="1"/>
  <c r="U80" i="5" s="1"/>
  <c r="BZ77" i="8"/>
  <c r="CD77" i="8"/>
  <c r="BR77" i="8"/>
  <c r="BG77" i="8"/>
  <c r="AY77" i="8"/>
  <c r="BK77" i="8"/>
  <c r="CS77" i="8"/>
  <c r="CK77" i="8"/>
  <c r="CW77" i="8"/>
  <c r="AN77" i="8"/>
  <c r="AR77" i="8"/>
  <c r="AF77" i="8"/>
  <c r="FP133" i="4"/>
  <c r="FT133" i="4"/>
  <c r="FH133" i="4"/>
  <c r="FL133" i="4" s="1"/>
  <c r="AN133" i="4"/>
  <c r="AF133" i="4"/>
  <c r="AJ133" i="4" s="1"/>
  <c r="AR133" i="4"/>
  <c r="EW133" i="4"/>
  <c r="FA133" i="4"/>
  <c r="EO133" i="4"/>
  <c r="ES133" i="4" s="1"/>
  <c r="CS133" i="4"/>
  <c r="CK133" i="4"/>
  <c r="CO133" i="4" s="1"/>
  <c r="CW133" i="4"/>
  <c r="BG133" i="4"/>
  <c r="BK133" i="4"/>
  <c r="AY133" i="4"/>
  <c r="BC133" i="4" s="1"/>
  <c r="EE133" i="4"/>
  <c r="DW133" i="4"/>
  <c r="EA133" i="4" s="1"/>
  <c r="EI133" i="4"/>
  <c r="BZ133" i="4"/>
  <c r="CD133" i="4"/>
  <c r="BR133" i="4"/>
  <c r="BV133" i="4" s="1"/>
  <c r="DL133" i="4"/>
  <c r="DD133" i="4"/>
  <c r="DH133" i="4" s="1"/>
  <c r="DP133" i="4"/>
  <c r="BZ52" i="8"/>
  <c r="CD52" i="8"/>
  <c r="BR52" i="8"/>
  <c r="AN52" i="8"/>
  <c r="AR52" i="8"/>
  <c r="AF52" i="8"/>
  <c r="CS52" i="8"/>
  <c r="CW52" i="8"/>
  <c r="CK52" i="8"/>
  <c r="BG52" i="8"/>
  <c r="AY52" i="8"/>
  <c r="BK52" i="8"/>
  <c r="AN51" i="7"/>
  <c r="AF51" i="7"/>
  <c r="AR51" i="7"/>
  <c r="AN59" i="5"/>
  <c r="AF59" i="5"/>
  <c r="AJ59" i="5" s="1"/>
  <c r="AI59" i="5" s="1"/>
  <c r="AH59" i="5" s="1"/>
  <c r="AG59" i="5" s="1"/>
  <c r="U59" i="5" s="1"/>
  <c r="AR59" i="5"/>
  <c r="CS45" i="8"/>
  <c r="CK45" i="8"/>
  <c r="CW45" i="8"/>
  <c r="BG45" i="8"/>
  <c r="AY45" i="8"/>
  <c r="BK45" i="8"/>
  <c r="BZ83" i="8"/>
  <c r="BZ45" i="8"/>
  <c r="CD45" i="8"/>
  <c r="BR45" i="8"/>
  <c r="AN45" i="8"/>
  <c r="AF45" i="8"/>
  <c r="AR45" i="8"/>
  <c r="BQ174" i="9"/>
  <c r="BL54" i="9"/>
  <c r="BP54" i="9"/>
  <c r="BD54" i="9"/>
  <c r="AS18" i="9"/>
  <c r="AS54" i="9"/>
  <c r="AW54" i="9"/>
  <c r="AK54" i="9"/>
  <c r="BN174" i="9" a="1"/>
  <c r="BN174" i="9" s="1"/>
  <c r="BO174" i="9" a="1"/>
  <c r="BO174" i="9" s="1"/>
  <c r="BP174" i="9" a="1"/>
  <c r="BP174" i="9" s="1"/>
  <c r="BL76" i="9"/>
  <c r="BP76" i="9"/>
  <c r="BD76" i="9"/>
  <c r="AS76" i="9"/>
  <c r="AW76" i="9"/>
  <c r="AK76" i="9"/>
  <c r="BL124" i="9"/>
  <c r="BP124" i="9"/>
  <c r="BD124" i="9"/>
  <c r="AS124" i="9"/>
  <c r="AW124" i="9"/>
  <c r="AK124" i="9"/>
  <c r="DL126" i="4"/>
  <c r="DP126" i="4"/>
  <c r="DD126" i="4"/>
  <c r="DH126" i="4" s="1"/>
  <c r="FP126" i="4"/>
  <c r="FH126" i="4"/>
  <c r="FL126" i="4" s="1"/>
  <c r="FT126" i="4"/>
  <c r="BZ126" i="4"/>
  <c r="BR126" i="4"/>
  <c r="BV126" i="4" s="1"/>
  <c r="CD126" i="4"/>
  <c r="EW126" i="4"/>
  <c r="FA126" i="4"/>
  <c r="EO126" i="4"/>
  <c r="ES126" i="4" s="1"/>
  <c r="CS126" i="4"/>
  <c r="CK126" i="4"/>
  <c r="CO126" i="4" s="1"/>
  <c r="CW126" i="4"/>
  <c r="BG126" i="4"/>
  <c r="AY126" i="4"/>
  <c r="BC126" i="4" s="1"/>
  <c r="BK126" i="4"/>
  <c r="AN126" i="4"/>
  <c r="AF126" i="4"/>
  <c r="AJ126" i="4" s="1"/>
  <c r="AR126" i="4"/>
  <c r="EE126" i="4"/>
  <c r="DW126" i="4"/>
  <c r="EA126" i="4" s="1"/>
  <c r="EI126" i="4"/>
  <c r="AN86" i="5"/>
  <c r="AF86" i="5"/>
  <c r="AJ86" i="5" s="1"/>
  <c r="AI86" i="5" s="1"/>
  <c r="AH86" i="5" s="1"/>
  <c r="AG86" i="5" s="1"/>
  <c r="U86" i="5" s="1"/>
  <c r="AR86" i="5"/>
  <c r="AN87" i="5"/>
  <c r="AF87" i="5"/>
  <c r="AJ87" i="5" s="1"/>
  <c r="AI87" i="5" s="1"/>
  <c r="AH87" i="5" s="1"/>
  <c r="AG87" i="5" s="1"/>
  <c r="U87" i="5" s="1"/>
  <c r="AR87" i="5"/>
  <c r="FP134" i="4"/>
  <c r="FT134" i="4"/>
  <c r="FH134" i="4"/>
  <c r="FL134" i="4" s="1"/>
  <c r="EW134" i="4"/>
  <c r="FA134" i="4"/>
  <c r="EO134" i="4"/>
  <c r="ES134" i="4" s="1"/>
  <c r="CS134" i="4"/>
  <c r="CK134" i="4"/>
  <c r="CO134" i="4" s="1"/>
  <c r="CW134" i="4"/>
  <c r="BG134" i="4"/>
  <c r="AY134" i="4"/>
  <c r="BC134" i="4" s="1"/>
  <c r="BK134" i="4"/>
  <c r="BZ134" i="4"/>
  <c r="BR134" i="4"/>
  <c r="BV134" i="4" s="1"/>
  <c r="CD134" i="4"/>
  <c r="DL134" i="4"/>
  <c r="DP134" i="4"/>
  <c r="DD134" i="4"/>
  <c r="DH134" i="4" s="1"/>
  <c r="AN134" i="4"/>
  <c r="AR134" i="4"/>
  <c r="AF134" i="4"/>
  <c r="AJ134" i="4" s="1"/>
  <c r="EE134" i="4"/>
  <c r="DW134" i="4"/>
  <c r="EA134" i="4" s="1"/>
  <c r="EI134" i="4"/>
  <c r="AN85" i="8"/>
  <c r="AR85" i="8"/>
  <c r="AF85" i="8"/>
  <c r="BG85" i="8"/>
  <c r="AY85" i="8"/>
  <c r="BK85" i="8"/>
  <c r="BZ85" i="8"/>
  <c r="BR85" i="8"/>
  <c r="CD85" i="8"/>
  <c r="CS85" i="8"/>
  <c r="CW85" i="8"/>
  <c r="CK85" i="8"/>
  <c r="CS91" i="8"/>
  <c r="CW91" i="8"/>
  <c r="CK91" i="8"/>
  <c r="BZ91" i="8"/>
  <c r="CD91" i="8"/>
  <c r="BR91" i="8"/>
  <c r="BG91" i="8"/>
  <c r="AY91" i="8"/>
  <c r="BK91" i="8"/>
  <c r="AN91" i="8"/>
  <c r="AF91" i="8"/>
  <c r="AR91" i="8"/>
  <c r="BG84" i="8"/>
  <c r="BK84" i="8"/>
  <c r="AY84" i="8"/>
  <c r="AN84" i="8"/>
  <c r="AR84" i="8"/>
  <c r="AF84" i="8"/>
  <c r="CS84" i="8"/>
  <c r="CW84" i="8"/>
  <c r="CK84" i="8"/>
  <c r="BZ84" i="8"/>
  <c r="BR84" i="8"/>
  <c r="CD84" i="8"/>
  <c r="AN91" i="5"/>
  <c r="AF91" i="5"/>
  <c r="AJ91" i="5" s="1"/>
  <c r="AI91" i="5" s="1"/>
  <c r="AH91" i="5" s="1"/>
  <c r="AG91" i="5" s="1"/>
  <c r="U91" i="5" s="1"/>
  <c r="AR91" i="5"/>
  <c r="AN92" i="5"/>
  <c r="AF92" i="5"/>
  <c r="AJ92" i="5" s="1"/>
  <c r="AI92" i="5" s="1"/>
  <c r="AH92" i="5" s="1"/>
  <c r="AG92" i="5" s="1"/>
  <c r="U92" i="5" s="1"/>
  <c r="AR92" i="5"/>
  <c r="FP143" i="4"/>
  <c r="FH143" i="4"/>
  <c r="FL143" i="4" s="1"/>
  <c r="FT143" i="4"/>
  <c r="EW143" i="4"/>
  <c r="FA143" i="4"/>
  <c r="EO143" i="4"/>
  <c r="ES143" i="4" s="1"/>
  <c r="AN143" i="4"/>
  <c r="AF143" i="4"/>
  <c r="AJ143" i="4" s="1"/>
  <c r="AR143" i="4"/>
  <c r="CS143" i="4"/>
  <c r="CW143" i="4"/>
  <c r="CK143" i="4"/>
  <c r="CO143" i="4" s="1"/>
  <c r="BG143" i="4"/>
  <c r="BK143" i="4"/>
  <c r="AY143" i="4"/>
  <c r="BC143" i="4" s="1"/>
  <c r="DL143" i="4"/>
  <c r="DP143" i="4"/>
  <c r="DD143" i="4"/>
  <c r="DH143" i="4" s="1"/>
  <c r="BZ143" i="4"/>
  <c r="BR143" i="4"/>
  <c r="BV143" i="4" s="1"/>
  <c r="CD143" i="4"/>
  <c r="EE143" i="4"/>
  <c r="DW143" i="4"/>
  <c r="EA143" i="4" s="1"/>
  <c r="EI143" i="4"/>
  <c r="EW100" i="4"/>
  <c r="FA100" i="4"/>
  <c r="EO100" i="4"/>
  <c r="ES100" i="4" s="1"/>
  <c r="AN100" i="4"/>
  <c r="AF100" i="4"/>
  <c r="AJ100" i="4" s="1"/>
  <c r="AR100" i="4"/>
  <c r="CS100" i="4"/>
  <c r="CK100" i="4"/>
  <c r="CO100" i="4" s="1"/>
  <c r="CW100" i="4"/>
  <c r="DL100" i="4"/>
  <c r="DP100" i="4"/>
  <c r="DD100" i="4"/>
  <c r="DH100" i="4" s="1"/>
  <c r="BZ100" i="4"/>
  <c r="BR100" i="4"/>
  <c r="BV100" i="4" s="1"/>
  <c r="CD100" i="4"/>
  <c r="FP100" i="4"/>
  <c r="FH100" i="4"/>
  <c r="FL100" i="4" s="1"/>
  <c r="FT100" i="4"/>
  <c r="BG100" i="4"/>
  <c r="BK100" i="4"/>
  <c r="AY100" i="4"/>
  <c r="BC100" i="4" s="1"/>
  <c r="EE100" i="4"/>
  <c r="DW100" i="4"/>
  <c r="EA100" i="4" s="1"/>
  <c r="EI100" i="4"/>
  <c r="AN26" i="8"/>
  <c r="AF26" i="8"/>
  <c r="AR26" i="8"/>
  <c r="CS26" i="8"/>
  <c r="CK26" i="8"/>
  <c r="CW26" i="8"/>
  <c r="BZ26" i="8"/>
  <c r="CD26" i="8"/>
  <c r="BR26" i="8"/>
  <c r="BG26" i="8"/>
  <c r="BK26" i="8"/>
  <c r="AY26" i="8"/>
  <c r="CS80" i="8"/>
  <c r="CW80" i="8"/>
  <c r="CK80" i="8"/>
  <c r="BG80" i="8"/>
  <c r="AY80" i="8"/>
  <c r="BK80" i="8"/>
  <c r="BZ80" i="8"/>
  <c r="CD80" i="8"/>
  <c r="BR80" i="8"/>
  <c r="AN80" i="8"/>
  <c r="AR80" i="8"/>
  <c r="AF80" i="8"/>
  <c r="BZ89" i="4"/>
  <c r="BR89" i="4"/>
  <c r="BV89" i="4" s="1"/>
  <c r="CD89" i="4"/>
  <c r="FP89" i="4"/>
  <c r="FH89" i="4"/>
  <c r="FL89" i="4" s="1"/>
  <c r="FT89" i="4"/>
  <c r="EW89" i="4"/>
  <c r="FA89" i="4"/>
  <c r="EO89" i="4"/>
  <c r="ES89" i="4" s="1"/>
  <c r="CS89" i="4"/>
  <c r="CK89" i="4"/>
  <c r="CO89" i="4" s="1"/>
  <c r="CW89" i="4"/>
  <c r="BG89" i="4"/>
  <c r="AY89" i="4"/>
  <c r="BC89" i="4" s="1"/>
  <c r="BK89" i="4"/>
  <c r="DL89" i="4"/>
  <c r="DP89" i="4"/>
  <c r="DD89" i="4"/>
  <c r="DH89" i="4" s="1"/>
  <c r="AN89" i="4"/>
  <c r="AF89" i="4"/>
  <c r="AJ89" i="4" s="1"/>
  <c r="AR89" i="4"/>
  <c r="EE89" i="4"/>
  <c r="DW89" i="4"/>
  <c r="EA89" i="4" s="1"/>
  <c r="EI89" i="4"/>
  <c r="AN49" i="5"/>
  <c r="AF49" i="5"/>
  <c r="AJ49" i="5" s="1"/>
  <c r="AI49" i="5" s="1"/>
  <c r="AH49" i="5" s="1"/>
  <c r="AG49" i="5" s="1"/>
  <c r="U49" i="5" s="1"/>
  <c r="AR49" i="5"/>
  <c r="BZ43" i="8"/>
  <c r="BR43" i="8"/>
  <c r="CD43" i="8"/>
  <c r="CS43" i="8"/>
  <c r="CW43" i="8"/>
  <c r="CK43" i="8"/>
  <c r="AN43" i="8"/>
  <c r="AF43" i="8"/>
  <c r="AR43" i="8"/>
  <c r="BG43" i="8"/>
  <c r="AY43" i="8"/>
  <c r="BK43" i="8"/>
  <c r="AS36" i="9"/>
  <c r="AW36" i="9"/>
  <c r="AK36" i="9"/>
  <c r="BL36" i="9"/>
  <c r="BP36" i="9"/>
  <c r="BD36" i="9"/>
  <c r="BL33" i="9"/>
  <c r="BD33" i="9"/>
  <c r="BP33" i="9"/>
  <c r="AS33" i="9"/>
  <c r="AW33" i="9"/>
  <c r="AK33" i="9"/>
  <c r="BL38" i="9"/>
  <c r="BD38" i="9"/>
  <c r="BP38" i="9"/>
  <c r="AS38" i="9"/>
  <c r="AW38" i="9"/>
  <c r="AK38" i="9"/>
  <c r="FP149" i="4"/>
  <c r="FH149" i="4"/>
  <c r="FL149" i="4" s="1"/>
  <c r="FT149" i="4"/>
  <c r="EW149" i="4"/>
  <c r="FA149" i="4"/>
  <c r="EO149" i="4"/>
  <c r="ES149" i="4" s="1"/>
  <c r="AN149" i="4"/>
  <c r="AF149" i="4"/>
  <c r="AJ149" i="4" s="1"/>
  <c r="AR149" i="4"/>
  <c r="CS149" i="4"/>
  <c r="CK149" i="4"/>
  <c r="CO149" i="4" s="1"/>
  <c r="CW149" i="4"/>
  <c r="BG149" i="4"/>
  <c r="AY149" i="4"/>
  <c r="BC149" i="4" s="1"/>
  <c r="BK149" i="4"/>
  <c r="DL149" i="4"/>
  <c r="DP149" i="4"/>
  <c r="DD149" i="4"/>
  <c r="DH149" i="4" s="1"/>
  <c r="BZ149" i="4"/>
  <c r="CD149" i="4"/>
  <c r="BR149" i="4"/>
  <c r="BV149" i="4" s="1"/>
  <c r="EE149" i="4"/>
  <c r="DW149" i="4"/>
  <c r="EA149" i="4" s="1"/>
  <c r="EI149" i="4"/>
  <c r="FP142" i="4"/>
  <c r="FH142" i="4"/>
  <c r="FL142" i="4" s="1"/>
  <c r="FT142" i="4"/>
  <c r="EW142" i="4"/>
  <c r="EO142" i="4"/>
  <c r="ES142" i="4" s="1"/>
  <c r="FA142" i="4"/>
  <c r="CS142" i="4"/>
  <c r="CW142" i="4"/>
  <c r="CK142" i="4"/>
  <c r="CO142" i="4" s="1"/>
  <c r="AN142" i="4"/>
  <c r="AF142" i="4"/>
  <c r="AJ142" i="4" s="1"/>
  <c r="AR142" i="4"/>
  <c r="BG142" i="4"/>
  <c r="AY142" i="4"/>
  <c r="BC142" i="4" s="1"/>
  <c r="BK142" i="4"/>
  <c r="BZ142" i="4"/>
  <c r="CD142" i="4"/>
  <c r="BR142" i="4"/>
  <c r="BV142" i="4" s="1"/>
  <c r="DL142" i="4"/>
  <c r="DD142" i="4"/>
  <c r="DH142" i="4" s="1"/>
  <c r="DP142" i="4"/>
  <c r="EE142" i="4"/>
  <c r="EI142" i="4"/>
  <c r="DW142" i="4"/>
  <c r="EA142" i="4" s="1"/>
  <c r="DL151" i="4"/>
  <c r="DD151" i="4"/>
  <c r="DH151" i="4" s="1"/>
  <c r="DP151" i="4"/>
  <c r="BZ151" i="4"/>
  <c r="CD151" i="4"/>
  <c r="BR151" i="4"/>
  <c r="BV151" i="4" s="1"/>
  <c r="FP151" i="4"/>
  <c r="FT151" i="4"/>
  <c r="FH151" i="4"/>
  <c r="FL151" i="4" s="1"/>
  <c r="EW151" i="4"/>
  <c r="FA151" i="4"/>
  <c r="EO151" i="4"/>
  <c r="ES151" i="4" s="1"/>
  <c r="AN151" i="4"/>
  <c r="AR151" i="4"/>
  <c r="AF151" i="4"/>
  <c r="AJ151" i="4" s="1"/>
  <c r="CS151" i="4"/>
  <c r="CK151" i="4"/>
  <c r="CO151" i="4" s="1"/>
  <c r="CW151" i="4"/>
  <c r="BG151" i="4"/>
  <c r="AY151" i="4"/>
  <c r="BC151" i="4" s="1"/>
  <c r="BK151" i="4"/>
  <c r="EE151" i="4"/>
  <c r="DW151" i="4"/>
  <c r="EA151" i="4" s="1"/>
  <c r="EI151" i="4"/>
  <c r="BZ136" i="4"/>
  <c r="CD136" i="4"/>
  <c r="BR136" i="4"/>
  <c r="BV136" i="4" s="1"/>
  <c r="EW136" i="4"/>
  <c r="FA136" i="4"/>
  <c r="EO136" i="4"/>
  <c r="ES136" i="4" s="1"/>
  <c r="FP136" i="4"/>
  <c r="FH136" i="4"/>
  <c r="FL136" i="4" s="1"/>
  <c r="FT136" i="4"/>
  <c r="AN136" i="4"/>
  <c r="AR136" i="4"/>
  <c r="AF136" i="4"/>
  <c r="AJ136" i="4" s="1"/>
  <c r="CS136" i="4"/>
  <c r="CW136" i="4"/>
  <c r="CK136" i="4"/>
  <c r="CO136" i="4" s="1"/>
  <c r="BG136" i="4"/>
  <c r="BK136" i="4"/>
  <c r="AY136" i="4"/>
  <c r="BC136" i="4" s="1"/>
  <c r="DL136" i="4"/>
  <c r="DP136" i="4"/>
  <c r="DD136" i="4"/>
  <c r="DH136" i="4" s="1"/>
  <c r="EE136" i="4"/>
  <c r="EI136" i="4"/>
  <c r="DW136" i="4"/>
  <c r="EA136" i="4" s="1"/>
  <c r="DL174" i="4"/>
  <c r="DP174" i="4"/>
  <c r="DD174" i="4"/>
  <c r="DH174" i="4" s="1"/>
  <c r="FP174" i="4"/>
  <c r="FH174" i="4"/>
  <c r="FL174" i="4" s="1"/>
  <c r="FT174" i="4"/>
  <c r="EW174" i="4"/>
  <c r="EO174" i="4"/>
  <c r="ES174" i="4" s="1"/>
  <c r="FA174" i="4"/>
  <c r="BZ174" i="4"/>
  <c r="BR174" i="4"/>
  <c r="BV174" i="4" s="1"/>
  <c r="CD174" i="4"/>
  <c r="CS174" i="4"/>
  <c r="CW174" i="4"/>
  <c r="CK174" i="4"/>
  <c r="CO174" i="4" s="1"/>
  <c r="BG174" i="4"/>
  <c r="BK174" i="4"/>
  <c r="AY174" i="4"/>
  <c r="BC174" i="4" s="1"/>
  <c r="AN174" i="4"/>
  <c r="AF174" i="4"/>
  <c r="AJ174" i="4" s="1"/>
  <c r="AR174" i="4"/>
  <c r="EE174" i="4"/>
  <c r="EI174" i="4"/>
  <c r="DW174" i="4"/>
  <c r="EA174" i="4" s="1"/>
  <c r="DL57" i="4"/>
  <c r="DL55" i="4"/>
  <c r="DL54" i="4"/>
  <c r="DL53" i="4"/>
  <c r="AN30" i="8"/>
  <c r="AR30" i="8"/>
  <c r="AF30" i="8"/>
  <c r="BG30" i="8"/>
  <c r="BK30" i="8"/>
  <c r="AY30" i="8"/>
  <c r="CS30" i="8"/>
  <c r="CK30" i="8"/>
  <c r="CW30" i="8"/>
  <c r="BZ30" i="8"/>
  <c r="CD30" i="8"/>
  <c r="BR30" i="8"/>
  <c r="AN29" i="8"/>
  <c r="AR29" i="8"/>
  <c r="AF29" i="8"/>
  <c r="BG29" i="8"/>
  <c r="AY29" i="8"/>
  <c r="BK29" i="8"/>
  <c r="CS29" i="8"/>
  <c r="CW29" i="8"/>
  <c r="CK29" i="8"/>
  <c r="BZ29" i="8"/>
  <c r="CD29" i="8"/>
  <c r="BR29" i="8"/>
  <c r="AN28" i="8"/>
  <c r="AF28" i="8"/>
  <c r="AR28" i="8"/>
  <c r="BG28" i="8"/>
  <c r="AY28" i="8"/>
  <c r="BK28" i="8"/>
  <c r="BZ28" i="8"/>
  <c r="CD28" i="8"/>
  <c r="BR28" i="8"/>
  <c r="CS28" i="8"/>
  <c r="CK28" i="8"/>
  <c r="CW28" i="8"/>
  <c r="AN30" i="7"/>
  <c r="AR30" i="7"/>
  <c r="AF30" i="7"/>
  <c r="AN29" i="7"/>
  <c r="AF29" i="7"/>
  <c r="AR29" i="7"/>
  <c r="BZ56" i="4"/>
  <c r="BR56" i="4"/>
  <c r="BV56" i="4" s="1"/>
  <c r="CD56" i="4"/>
  <c r="DL56" i="4"/>
  <c r="DD56" i="4"/>
  <c r="DH56" i="4" s="1"/>
  <c r="DP56" i="4"/>
  <c r="FP56" i="4"/>
  <c r="FH56" i="4"/>
  <c r="FL56" i="4" s="1"/>
  <c r="FT56" i="4"/>
  <c r="EW56" i="4"/>
  <c r="FA56" i="4"/>
  <c r="EO56" i="4"/>
  <c r="ES56" i="4" s="1"/>
  <c r="AN56" i="4"/>
  <c r="AF56" i="4"/>
  <c r="AJ56" i="4" s="1"/>
  <c r="AR56" i="4"/>
  <c r="CS56" i="4"/>
  <c r="CW56" i="4"/>
  <c r="CK56" i="4"/>
  <c r="CO56" i="4" s="1"/>
  <c r="BG56" i="4"/>
  <c r="BK56" i="4"/>
  <c r="AY56" i="4"/>
  <c r="BC56" i="4" s="1"/>
  <c r="EE56" i="4"/>
  <c r="DW56" i="4"/>
  <c r="EA56" i="4" s="1"/>
  <c r="EI56" i="4"/>
  <c r="AN27" i="5"/>
  <c r="AF27" i="5"/>
  <c r="AJ27" i="5" s="1"/>
  <c r="AI27" i="5" s="1"/>
  <c r="AH27" i="5" s="1"/>
  <c r="AG27" i="5" s="1"/>
  <c r="U27" i="5" s="1"/>
  <c r="AR27" i="5"/>
  <c r="BZ54" i="4"/>
  <c r="CD54" i="4"/>
  <c r="BR54" i="4"/>
  <c r="BV54" i="4" s="1"/>
  <c r="FP54" i="4"/>
  <c r="FH54" i="4"/>
  <c r="FL54" i="4" s="1"/>
  <c r="FT54" i="4"/>
  <c r="EW54" i="4"/>
  <c r="FA54" i="4"/>
  <c r="EO54" i="4"/>
  <c r="ES54" i="4" s="1"/>
  <c r="CS54" i="4"/>
  <c r="CW54" i="4"/>
  <c r="CK54" i="4"/>
  <c r="CO54" i="4" s="1"/>
  <c r="BG54" i="4"/>
  <c r="AY54" i="4"/>
  <c r="BC54" i="4" s="1"/>
  <c r="BK54" i="4"/>
  <c r="AN54" i="4"/>
  <c r="AF54" i="4"/>
  <c r="AJ54" i="4" s="1"/>
  <c r="AR54" i="4"/>
  <c r="DP54" i="4"/>
  <c r="DD54" i="4"/>
  <c r="DH54" i="4" s="1"/>
  <c r="EE54" i="4"/>
  <c r="DW54" i="4"/>
  <c r="EA54" i="4" s="1"/>
  <c r="EI54" i="4"/>
  <c r="AN23" i="5"/>
  <c r="AF23" i="5"/>
  <c r="AJ23" i="5" s="1"/>
  <c r="AI23" i="5" s="1"/>
  <c r="AH23" i="5" s="1"/>
  <c r="AG23" i="5" s="1"/>
  <c r="U23" i="5" s="1"/>
  <c r="AR23" i="5"/>
  <c r="FP48" i="4"/>
  <c r="FH48" i="4"/>
  <c r="FL48" i="4" s="1"/>
  <c r="FT48" i="4"/>
  <c r="EW48" i="4"/>
  <c r="EO48" i="4"/>
  <c r="ES48" i="4" s="1"/>
  <c r="FA48" i="4"/>
  <c r="AN48" i="4"/>
  <c r="AF48" i="4"/>
  <c r="AJ48" i="4" s="1"/>
  <c r="AR48" i="4"/>
  <c r="CS48" i="4"/>
  <c r="CK48" i="4"/>
  <c r="CO48" i="4" s="1"/>
  <c r="CW48" i="4"/>
  <c r="BG48" i="4"/>
  <c r="AY48" i="4"/>
  <c r="BC48" i="4" s="1"/>
  <c r="BK48" i="4"/>
  <c r="BZ48" i="4"/>
  <c r="BR48" i="4"/>
  <c r="BV48" i="4" s="1"/>
  <c r="CD48" i="4"/>
  <c r="DL48" i="4"/>
  <c r="DD48" i="4"/>
  <c r="DH48" i="4" s="1"/>
  <c r="DP48" i="4"/>
  <c r="EE48" i="4"/>
  <c r="DW48" i="4"/>
  <c r="EA48" i="4" s="1"/>
  <c r="EI48" i="4"/>
  <c r="BG73" i="8"/>
  <c r="AY73" i="8"/>
  <c r="BK73" i="8"/>
  <c r="BZ73" i="8"/>
  <c r="CD73" i="8"/>
  <c r="BR73" i="8"/>
  <c r="CS73" i="8"/>
  <c r="CW73" i="8"/>
  <c r="CK73" i="8"/>
  <c r="AN73" i="8"/>
  <c r="AR73" i="8"/>
  <c r="AF73" i="8"/>
  <c r="AN77" i="5"/>
  <c r="AR77" i="5"/>
  <c r="AF77" i="5"/>
  <c r="AJ77" i="5" s="1"/>
  <c r="AI77" i="5" s="1"/>
  <c r="AH77" i="5" s="1"/>
  <c r="AG77" i="5" s="1"/>
  <c r="U77" i="5" s="1"/>
  <c r="BZ128" i="4"/>
  <c r="CD128" i="4"/>
  <c r="BR128" i="4"/>
  <c r="BV128" i="4" s="1"/>
  <c r="DL128" i="4"/>
  <c r="DD128" i="4"/>
  <c r="DH128" i="4" s="1"/>
  <c r="DP128" i="4"/>
  <c r="FP128" i="4"/>
  <c r="FT128" i="4"/>
  <c r="FH128" i="4"/>
  <c r="FL128" i="4" s="1"/>
  <c r="EW128" i="4"/>
  <c r="FA128" i="4"/>
  <c r="EO128" i="4"/>
  <c r="ES128" i="4" s="1"/>
  <c r="AN128" i="4"/>
  <c r="AF128" i="4"/>
  <c r="AJ128" i="4" s="1"/>
  <c r="AR128" i="4"/>
  <c r="CS128" i="4"/>
  <c r="CK128" i="4"/>
  <c r="CO128" i="4" s="1"/>
  <c r="CW128" i="4"/>
  <c r="BG128" i="4"/>
  <c r="AY128" i="4"/>
  <c r="BC128" i="4" s="1"/>
  <c r="BK128" i="4"/>
  <c r="EE128" i="4"/>
  <c r="DW128" i="4"/>
  <c r="EA128" i="4" s="1"/>
  <c r="EI128" i="4"/>
  <c r="DL18" i="4"/>
  <c r="BL99" i="9"/>
  <c r="BP99" i="9"/>
  <c r="BD99" i="9"/>
  <c r="AS99" i="9"/>
  <c r="AW99" i="9"/>
  <c r="AK99" i="9"/>
  <c r="BL103" i="9"/>
  <c r="BP103" i="9"/>
  <c r="BD103" i="9"/>
  <c r="AS103" i="9"/>
  <c r="AK103" i="9"/>
  <c r="AW103" i="9"/>
  <c r="BL100" i="9"/>
  <c r="BD100" i="9"/>
  <c r="BP100" i="9"/>
  <c r="AS100" i="9"/>
  <c r="AW100" i="9"/>
  <c r="AK100" i="9"/>
  <c r="BL80" i="9"/>
  <c r="BD80" i="9"/>
  <c r="BP80" i="9"/>
  <c r="AS80" i="9"/>
  <c r="AW80" i="9"/>
  <c r="AK80" i="9"/>
  <c r="BL55" i="9"/>
  <c r="BP55" i="9"/>
  <c r="BD55" i="9"/>
  <c r="AS55" i="9"/>
  <c r="AW55" i="9"/>
  <c r="AK55" i="9"/>
  <c r="DW77" i="4"/>
  <c r="EE18" i="4"/>
  <c r="DL19" i="4"/>
  <c r="DL20" i="4"/>
  <c r="FP38" i="4"/>
  <c r="FT38" i="4"/>
  <c r="FH38" i="4"/>
  <c r="FL38" i="4" s="1"/>
  <c r="EW38" i="4"/>
  <c r="EO38" i="4"/>
  <c r="ES38" i="4" s="1"/>
  <c r="FA38" i="4"/>
  <c r="DL38" i="4"/>
  <c r="DD38" i="4"/>
  <c r="DH38" i="4" s="1"/>
  <c r="DP38" i="4"/>
  <c r="AN38" i="4"/>
  <c r="AR38" i="4"/>
  <c r="AF38" i="4"/>
  <c r="AJ38" i="4" s="1"/>
  <c r="CS38" i="4"/>
  <c r="CW38" i="4"/>
  <c r="CK38" i="4"/>
  <c r="CO38" i="4" s="1"/>
  <c r="BG38" i="4"/>
  <c r="AY38" i="4"/>
  <c r="BC38" i="4" s="1"/>
  <c r="BK38" i="4"/>
  <c r="BZ38" i="4"/>
  <c r="BR38" i="4"/>
  <c r="BV38" i="4" s="1"/>
  <c r="CD38" i="4"/>
  <c r="EI160" i="4"/>
  <c r="EE38" i="4"/>
  <c r="EI38" i="4"/>
  <c r="DW38" i="4"/>
  <c r="EA38" i="4" s="1"/>
  <c r="DW165" i="4"/>
  <c r="EI77" i="4"/>
  <c r="EW32" i="4"/>
  <c r="EO32" i="4"/>
  <c r="ES32" i="4" s="1"/>
  <c r="FA32" i="4"/>
  <c r="FP32" i="4"/>
  <c r="FH32" i="4"/>
  <c r="FL32" i="4" s="1"/>
  <c r="FT32" i="4"/>
  <c r="CS32" i="4"/>
  <c r="CW32" i="4"/>
  <c r="CK32" i="4"/>
  <c r="CO32" i="4" s="1"/>
  <c r="BG32" i="4"/>
  <c r="AY32" i="4"/>
  <c r="BC32" i="4" s="1"/>
  <c r="BK32" i="4"/>
  <c r="BZ32" i="4"/>
  <c r="CD32" i="4"/>
  <c r="BR32" i="4"/>
  <c r="BV32" i="4" s="1"/>
  <c r="AN32" i="4"/>
  <c r="AR32" i="4"/>
  <c r="AF32" i="4"/>
  <c r="AJ32" i="4" s="1"/>
  <c r="DL32" i="4"/>
  <c r="DP32" i="4"/>
  <c r="DD32" i="4"/>
  <c r="DH32" i="4" s="1"/>
  <c r="DW160" i="4"/>
  <c r="EE32" i="4"/>
  <c r="DW32" i="4"/>
  <c r="EA32" i="4" s="1"/>
  <c r="EI32" i="4"/>
  <c r="DW194" i="4"/>
  <c r="DR10" i="4"/>
  <c r="EI198" i="4"/>
  <c r="DW198" i="4"/>
  <c r="EI195" i="4"/>
  <c r="EE195" i="4"/>
  <c r="DW195" i="4"/>
  <c r="EI194" i="4"/>
  <c r="DW21" i="4"/>
  <c r="EA21" i="4" s="1"/>
  <c r="DZ21" i="4" s="1"/>
  <c r="DY21" i="4" s="1"/>
  <c r="DX21" i="4" s="1"/>
  <c r="EE23" i="4"/>
  <c r="DW18" i="4"/>
  <c r="EA18" i="4" s="1"/>
  <c r="DZ18" i="4" s="1"/>
  <c r="DY18" i="4" s="1"/>
  <c r="DX18" i="4" s="1"/>
  <c r="DW20" i="4"/>
  <c r="EA20" i="4" s="1"/>
  <c r="DZ20" i="4" s="1"/>
  <c r="DY20" i="4" s="1"/>
  <c r="DX20" i="4" s="1"/>
  <c r="DW23" i="4"/>
  <c r="EA23" i="4" s="1"/>
  <c r="DZ23" i="4" s="1"/>
  <c r="DY23" i="4" s="1"/>
  <c r="DX23" i="4" s="1"/>
  <c r="DW19" i="4"/>
  <c r="EA19" i="4" s="1"/>
  <c r="DZ19" i="4" s="1"/>
  <c r="DY19" i="4" s="1"/>
  <c r="DX19" i="4" s="1"/>
  <c r="EI23" i="4"/>
  <c r="EE24" i="4"/>
  <c r="EI196" i="4"/>
  <c r="DW27" i="4"/>
  <c r="EA27" i="4" s="1"/>
  <c r="DZ27" i="4" s="1"/>
  <c r="DY27" i="4" s="1"/>
  <c r="DX27" i="4" s="1"/>
  <c r="EE22" i="4"/>
  <c r="DW26" i="4"/>
  <c r="EA26" i="4" s="1"/>
  <c r="DZ26" i="4" s="1"/>
  <c r="DY26" i="4" s="1"/>
  <c r="DX26" i="4" s="1"/>
  <c r="EE25" i="4"/>
  <c r="EE27" i="4"/>
  <c r="EI199" i="4"/>
  <c r="EE40" i="4"/>
  <c r="DW199" i="4"/>
  <c r="EA199" i="4" s="1"/>
  <c r="EI26" i="4"/>
  <c r="EE196" i="4"/>
  <c r="DW24" i="4"/>
  <c r="EA24" i="4" s="1"/>
  <c r="DZ24" i="4" s="1"/>
  <c r="DY24" i="4" s="1"/>
  <c r="DX24" i="4" s="1"/>
  <c r="EE26" i="4"/>
  <c r="DW17" i="4"/>
  <c r="EA17" i="4" s="1"/>
  <c r="DZ17" i="4" s="1"/>
  <c r="DW196" i="4"/>
  <c r="EA196" i="4" s="1"/>
  <c r="EI22" i="4"/>
  <c r="DW22" i="4"/>
  <c r="EA22" i="4" s="1"/>
  <c r="DZ22" i="4" s="1"/>
  <c r="DY22" i="4" s="1"/>
  <c r="DX22" i="4" s="1"/>
  <c r="EI25" i="4"/>
  <c r="EE36" i="4"/>
  <c r="EE199" i="4"/>
  <c r="EI24" i="4"/>
  <c r="EI27" i="4"/>
  <c r="DW25" i="4"/>
  <c r="EA25" i="4" s="1"/>
  <c r="DZ25" i="4" s="1"/>
  <c r="DY25" i="4" s="1"/>
  <c r="DX25" i="4" s="1"/>
  <c r="EE200" i="4"/>
  <c r="EI40" i="4"/>
  <c r="EI36" i="4"/>
  <c r="DW36" i="4"/>
  <c r="EA36" i="4" s="1"/>
  <c r="DW40" i="4"/>
  <c r="EA40" i="4" s="1"/>
  <c r="EE197" i="4"/>
  <c r="DW16" i="4"/>
  <c r="EI200" i="4"/>
  <c r="DW200" i="4"/>
  <c r="EA200" i="4" s="1"/>
  <c r="DW197" i="4"/>
  <c r="EA197" i="4" s="1"/>
  <c r="EI197" i="4"/>
  <c r="EE198" i="4"/>
  <c r="EE194" i="4"/>
  <c r="EE169" i="4"/>
  <c r="EE76" i="4"/>
  <c r="EE96" i="4"/>
  <c r="EE67" i="4"/>
  <c r="EE44" i="4"/>
  <c r="EE120" i="4"/>
  <c r="EE71" i="4"/>
  <c r="EE45" i="4"/>
  <c r="EE47" i="4"/>
  <c r="EE191" i="4"/>
  <c r="EE181" i="4"/>
  <c r="EE31" i="4"/>
  <c r="EE188" i="4"/>
  <c r="EE179" i="4"/>
  <c r="EE59" i="4"/>
  <c r="EE101" i="4"/>
  <c r="EE125" i="4"/>
  <c r="EE172" i="4"/>
  <c r="EE74" i="4"/>
  <c r="EE127" i="4"/>
  <c r="EE41" i="4"/>
  <c r="EE57" i="4"/>
  <c r="EE180" i="4"/>
  <c r="EE95" i="4"/>
  <c r="EE72" i="4"/>
  <c r="EE107" i="4"/>
  <c r="EE137" i="4"/>
  <c r="EE43" i="4"/>
  <c r="EE153" i="4"/>
  <c r="EE173" i="4"/>
  <c r="EE185" i="4"/>
  <c r="EE157" i="4"/>
  <c r="EE53" i="4"/>
  <c r="EE177" i="4"/>
  <c r="EE86" i="4"/>
  <c r="EE34" i="4"/>
  <c r="EE85" i="4"/>
  <c r="EE146" i="4"/>
  <c r="EE42" i="4"/>
  <c r="EE139" i="4"/>
  <c r="EE91" i="4"/>
  <c r="EE168" i="4"/>
  <c r="EE39" i="4"/>
  <c r="EE33" i="4"/>
  <c r="EE117" i="4"/>
  <c r="EE60" i="4"/>
  <c r="EE94" i="4"/>
  <c r="EE175" i="4"/>
  <c r="EE105" i="4"/>
  <c r="EE144" i="4"/>
  <c r="EE87" i="4"/>
  <c r="EE156" i="4"/>
  <c r="EE111" i="4"/>
  <c r="EE186" i="4"/>
  <c r="EE73" i="4"/>
  <c r="EE190" i="4"/>
  <c r="EE108" i="4"/>
  <c r="EE93" i="4"/>
  <c r="EE68" i="4"/>
  <c r="EE121" i="4"/>
  <c r="EE154" i="4"/>
  <c r="EE75" i="4"/>
  <c r="EE176" i="4"/>
  <c r="EE138" i="4"/>
  <c r="EE182" i="4"/>
  <c r="EE145" i="4"/>
  <c r="EE171" i="4"/>
  <c r="EE164" i="4"/>
  <c r="EE51" i="4"/>
  <c r="EE158" i="4"/>
  <c r="EE140" i="4"/>
  <c r="EE178" i="4"/>
  <c r="EE150" i="4"/>
  <c r="EE123" i="4"/>
  <c r="EE50" i="4"/>
  <c r="EE116" i="4"/>
  <c r="EE69" i="4"/>
  <c r="EE162" i="4"/>
  <c r="EE110" i="4"/>
  <c r="EE183" i="4"/>
  <c r="EE159" i="4"/>
  <c r="EE103" i="4"/>
  <c r="EE167" i="4"/>
  <c r="EE46" i="4"/>
  <c r="EE184" i="4"/>
  <c r="EE119" i="4"/>
  <c r="EE112" i="4"/>
  <c r="EE61" i="4"/>
  <c r="EE55" i="4"/>
  <c r="EE37" i="4"/>
  <c r="EE115" i="4"/>
  <c r="EE65" i="4"/>
  <c r="EE35" i="4"/>
  <c r="EE130" i="4"/>
  <c r="EE147" i="4"/>
  <c r="EE113" i="4"/>
  <c r="EE193" i="4"/>
  <c r="EE83" i="4"/>
  <c r="EE106" i="4"/>
  <c r="EE49" i="4"/>
  <c r="EE148" i="4"/>
  <c r="DW177" i="4"/>
  <c r="EA177" i="4" s="1"/>
  <c r="EI93" i="4"/>
  <c r="EI101" i="4"/>
  <c r="EI39" i="4"/>
  <c r="DW33" i="4"/>
  <c r="EA33" i="4" s="1"/>
  <c r="DW41" i="4"/>
  <c r="EA41" i="4" s="1"/>
  <c r="EE66" i="4"/>
  <c r="EE62" i="4"/>
  <c r="EI91" i="4"/>
  <c r="EI117" i="4"/>
  <c r="EI60" i="4"/>
  <c r="DW185" i="4"/>
  <c r="EA185" i="4" s="1"/>
  <c r="EI50" i="4"/>
  <c r="EI71" i="4"/>
  <c r="EI96" i="4"/>
  <c r="DW34" i="4"/>
  <c r="EA34" i="4" s="1"/>
  <c r="EI145" i="4"/>
  <c r="EI139" i="4"/>
  <c r="DW73" i="4"/>
  <c r="EA73" i="4" s="1"/>
  <c r="EE109" i="4"/>
  <c r="DW125" i="4"/>
  <c r="EA125" i="4" s="1"/>
  <c r="EI35" i="4"/>
  <c r="DW175" i="4"/>
  <c r="EA175" i="4" s="1"/>
  <c r="DW183" i="4"/>
  <c r="EA183" i="4" s="1"/>
  <c r="DW113" i="4"/>
  <c r="EA113" i="4" s="1"/>
  <c r="EI30" i="4"/>
  <c r="DW112" i="4"/>
  <c r="EA112" i="4" s="1"/>
  <c r="DW68" i="4"/>
  <c r="EA68" i="4" s="1"/>
  <c r="EI75" i="4"/>
  <c r="EI106" i="4"/>
  <c r="EE97" i="4"/>
  <c r="EI76" i="4"/>
  <c r="DW139" i="4"/>
  <c r="EA139" i="4" s="1"/>
  <c r="EI45" i="4"/>
  <c r="EI181" i="4"/>
  <c r="EI164" i="4"/>
  <c r="EI61" i="4"/>
  <c r="EE152" i="4"/>
  <c r="EI47" i="4"/>
  <c r="EI178" i="4"/>
  <c r="EI154" i="4"/>
  <c r="DW42" i="4"/>
  <c r="EA42" i="4" s="1"/>
  <c r="DW188" i="4"/>
  <c r="EA188" i="4" s="1"/>
  <c r="EI85" i="4"/>
  <c r="EI53" i="4"/>
  <c r="EI180" i="4"/>
  <c r="DW49" i="4"/>
  <c r="EA49" i="4" s="1"/>
  <c r="DW106" i="4"/>
  <c r="EA106" i="4" s="1"/>
  <c r="DW57" i="4"/>
  <c r="EA57" i="4" s="1"/>
  <c r="DW127" i="4"/>
  <c r="EA127" i="4" s="1"/>
  <c r="EI167" i="4"/>
  <c r="EI182" i="4"/>
  <c r="DW123" i="4"/>
  <c r="EA123" i="4" s="1"/>
  <c r="DW108" i="4"/>
  <c r="EA108" i="4" s="1"/>
  <c r="EI119" i="4"/>
  <c r="EE58" i="4"/>
  <c r="DW43" i="4"/>
  <c r="EA43" i="4" s="1"/>
  <c r="DW30" i="4"/>
  <c r="EA30" i="4" s="1"/>
  <c r="EI157" i="4"/>
  <c r="EE78" i="4"/>
  <c r="DW44" i="4"/>
  <c r="EA44" i="4" s="1"/>
  <c r="EI130" i="4"/>
  <c r="EI172" i="4"/>
  <c r="DW171" i="4"/>
  <c r="EA171" i="4" s="1"/>
  <c r="DW111" i="4"/>
  <c r="EA111" i="4" s="1"/>
  <c r="EI116" i="4"/>
  <c r="EI87" i="4"/>
  <c r="EE141" i="4"/>
  <c r="DW110" i="4"/>
  <c r="EA110" i="4" s="1"/>
  <c r="DW146" i="4"/>
  <c r="EA146" i="4" s="1"/>
  <c r="EI105" i="4"/>
  <c r="EI169" i="4"/>
  <c r="EI159" i="4"/>
  <c r="EI95" i="4"/>
  <c r="EI158" i="4"/>
  <c r="DW67" i="4"/>
  <c r="EA67" i="4" s="1"/>
  <c r="DW86" i="4"/>
  <c r="EA86" i="4" s="1"/>
  <c r="EI120" i="4"/>
  <c r="DW59" i="4"/>
  <c r="EA59" i="4" s="1"/>
  <c r="DW140" i="4"/>
  <c r="EA140" i="4" s="1"/>
  <c r="EE187" i="4"/>
  <c r="EI138" i="4"/>
  <c r="DW39" i="4"/>
  <c r="EA39" i="4" s="1"/>
  <c r="DW72" i="4"/>
  <c r="EA72" i="4" s="1"/>
  <c r="EI156" i="4"/>
  <c r="DW157" i="4"/>
  <c r="EA157" i="4" s="1"/>
  <c r="EI110" i="4"/>
  <c r="DW94" i="4"/>
  <c r="EA94" i="4" s="1"/>
  <c r="DW184" i="4"/>
  <c r="EA184" i="4" s="1"/>
  <c r="EI177" i="4"/>
  <c r="EE30" i="4"/>
  <c r="EI186" i="4"/>
  <c r="EI168" i="4"/>
  <c r="EE155" i="4"/>
  <c r="EI137" i="4"/>
  <c r="DW147" i="4"/>
  <c r="EA147" i="4" s="1"/>
  <c r="DW46" i="4"/>
  <c r="EA46" i="4" s="1"/>
  <c r="EI73" i="4"/>
  <c r="EI37" i="4"/>
  <c r="DW150" i="4"/>
  <c r="EA150" i="4" s="1"/>
  <c r="DW45" i="4"/>
  <c r="EA45" i="4" s="1"/>
  <c r="EI162" i="4"/>
  <c r="EE118" i="4"/>
  <c r="DW91" i="4"/>
  <c r="EA91" i="4" s="1"/>
  <c r="EI107" i="4"/>
  <c r="EI69" i="4"/>
  <c r="EI74" i="4"/>
  <c r="DW55" i="4"/>
  <c r="EA55" i="4" s="1"/>
  <c r="EI83" i="4"/>
  <c r="EI65" i="4"/>
  <c r="DW76" i="4"/>
  <c r="EA76" i="4" s="1"/>
  <c r="DW190" i="4"/>
  <c r="EA190" i="4" s="1"/>
  <c r="EE166" i="4"/>
  <c r="EI125" i="4"/>
  <c r="DW103" i="4"/>
  <c r="EA103" i="4" s="1"/>
  <c r="DW148" i="4"/>
  <c r="EA148" i="4" s="1"/>
  <c r="EI176" i="4"/>
  <c r="EI115" i="4"/>
  <c r="EI112" i="4"/>
  <c r="DW75" i="4"/>
  <c r="EA75" i="4" s="1"/>
  <c r="EE135" i="4"/>
  <c r="DW162" i="4"/>
  <c r="EA162" i="4" s="1"/>
  <c r="EI51" i="4"/>
  <c r="EI31" i="4"/>
  <c r="EI193" i="4"/>
  <c r="DW71" i="4"/>
  <c r="EA71" i="4" s="1"/>
  <c r="DW145" i="4"/>
  <c r="EA145" i="4" s="1"/>
  <c r="DW117" i="4"/>
  <c r="EA117" i="4" s="1"/>
  <c r="EI144" i="4"/>
  <c r="DW93" i="4"/>
  <c r="EA93" i="4" s="1"/>
  <c r="DW101" i="4"/>
  <c r="EA101" i="4" s="1"/>
  <c r="DW167" i="4"/>
  <c r="EA167" i="4" s="1"/>
  <c r="DW35" i="4"/>
  <c r="EA35" i="4" s="1"/>
  <c r="DW179" i="4"/>
  <c r="EA179" i="4" s="1"/>
  <c r="EI183" i="4"/>
  <c r="EI121" i="4"/>
  <c r="EI41" i="4"/>
  <c r="EI34" i="4"/>
  <c r="EI68" i="4"/>
  <c r="EI44" i="4"/>
  <c r="DW173" i="4"/>
  <c r="EA173" i="4" s="1"/>
  <c r="EI127" i="4"/>
  <c r="EE163" i="4"/>
  <c r="EI175" i="4"/>
  <c r="EI185" i="4"/>
  <c r="DW181" i="4"/>
  <c r="EA181" i="4" s="1"/>
  <c r="EI49" i="4"/>
  <c r="DW178" i="4"/>
  <c r="EA178" i="4" s="1"/>
  <c r="DW153" i="4"/>
  <c r="EA153" i="4" s="1"/>
  <c r="DW85" i="4"/>
  <c r="EA85" i="4" s="1"/>
  <c r="EI33" i="4"/>
  <c r="DW50" i="4"/>
  <c r="EA50" i="4" s="1"/>
  <c r="DW164" i="4"/>
  <c r="EA164" i="4" s="1"/>
  <c r="DW96" i="4"/>
  <c r="EA96" i="4" s="1"/>
  <c r="EI113" i="4"/>
  <c r="EI191" i="4"/>
  <c r="EE170" i="4"/>
  <c r="DW182" i="4"/>
  <c r="EA182" i="4" s="1"/>
  <c r="DW60" i="4"/>
  <c r="EA60" i="4" s="1"/>
  <c r="EE189" i="4"/>
  <c r="DW180" i="4"/>
  <c r="EA180" i="4" s="1"/>
  <c r="DW61" i="4"/>
  <c r="EA61" i="4" s="1"/>
  <c r="EI140" i="4"/>
  <c r="DW87" i="4"/>
  <c r="EA87" i="4" s="1"/>
  <c r="DW115" i="4"/>
  <c r="EA115" i="4" s="1"/>
  <c r="EI42" i="4"/>
  <c r="DW105" i="4"/>
  <c r="EA105" i="4" s="1"/>
  <c r="DW53" i="4"/>
  <c r="EA53" i="4" s="1"/>
  <c r="EI108" i="4"/>
  <c r="EI94" i="4"/>
  <c r="DW47" i="4"/>
  <c r="EA47" i="4" s="1"/>
  <c r="DW95" i="4"/>
  <c r="EA95" i="4" s="1"/>
  <c r="DW158" i="4"/>
  <c r="EA158" i="4" s="1"/>
  <c r="EE114" i="4"/>
  <c r="DW168" i="4"/>
  <c r="EA168" i="4" s="1"/>
  <c r="DW159" i="4"/>
  <c r="EA159" i="4" s="1"/>
  <c r="DW154" i="4"/>
  <c r="EA154" i="4" s="1"/>
  <c r="EI146" i="4"/>
  <c r="EI123" i="4"/>
  <c r="DW119" i="4"/>
  <c r="EA119" i="4" s="1"/>
  <c r="EI184" i="4"/>
  <c r="DW138" i="4"/>
  <c r="EA138" i="4" s="1"/>
  <c r="EI57" i="4"/>
  <c r="EI59" i="4"/>
  <c r="EI111" i="4"/>
  <c r="DW169" i="4"/>
  <c r="EA169" i="4" s="1"/>
  <c r="EE70" i="4"/>
  <c r="DW156" i="4"/>
  <c r="EA156" i="4" s="1"/>
  <c r="DW51" i="4"/>
  <c r="EA51" i="4" s="1"/>
  <c r="DW130" i="4"/>
  <c r="EA130" i="4" s="1"/>
  <c r="DW186" i="4"/>
  <c r="EA186" i="4" s="1"/>
  <c r="EI188" i="4"/>
  <c r="EI72" i="4"/>
  <c r="DW69" i="4"/>
  <c r="EA69" i="4" s="1"/>
  <c r="DW120" i="4"/>
  <c r="EA120" i="4" s="1"/>
  <c r="EI171" i="4"/>
  <c r="DW116" i="4"/>
  <c r="EA116" i="4" s="1"/>
  <c r="EI86" i="4"/>
  <c r="EE192" i="4"/>
  <c r="DW144" i="4"/>
  <c r="EA144" i="4" s="1"/>
  <c r="EE161" i="4"/>
  <c r="DW172" i="4"/>
  <c r="EA172" i="4" s="1"/>
  <c r="DW193" i="4"/>
  <c r="EA193" i="4" s="1"/>
  <c r="EI55" i="4"/>
  <c r="DW121" i="4"/>
  <c r="EA121" i="4" s="1"/>
  <c r="EI46" i="4"/>
  <c r="EI43" i="4"/>
  <c r="EI173" i="4"/>
  <c r="DW137" i="4"/>
  <c r="EA137" i="4" s="1"/>
  <c r="DW65" i="4"/>
  <c r="EA65" i="4" s="1"/>
  <c r="DW191" i="4"/>
  <c r="EA191" i="4" s="1"/>
  <c r="EI67" i="4"/>
  <c r="DW107" i="4"/>
  <c r="EA107" i="4" s="1"/>
  <c r="DW74" i="4"/>
  <c r="EA74" i="4" s="1"/>
  <c r="EI103" i="4"/>
  <c r="EI148" i="4"/>
  <c r="DW83" i="4"/>
  <c r="EA83" i="4" s="1"/>
  <c r="DW37" i="4"/>
  <c r="EA37" i="4" s="1"/>
  <c r="EI147" i="4"/>
  <c r="EI153" i="4"/>
  <c r="EI190" i="4"/>
  <c r="DW31" i="4"/>
  <c r="EA31" i="4" s="1"/>
  <c r="EI179" i="4"/>
  <c r="DW176" i="4"/>
  <c r="EA176" i="4" s="1"/>
  <c r="EI150" i="4"/>
  <c r="DW141" i="4"/>
  <c r="EE20" i="4"/>
  <c r="EI21" i="4"/>
  <c r="EE165" i="4"/>
  <c r="EI78" i="4"/>
  <c r="DW155" i="4"/>
  <c r="DW114" i="4"/>
  <c r="EI109" i="4"/>
  <c r="EI62" i="4"/>
  <c r="EI114" i="4"/>
  <c r="EE160" i="4"/>
  <c r="EE21" i="4"/>
  <c r="EI70" i="4"/>
  <c r="DW58" i="4"/>
  <c r="DW118" i="4"/>
  <c r="DW152" i="4"/>
  <c r="EI141" i="4"/>
  <c r="DW78" i="4"/>
  <c r="EI189" i="4"/>
  <c r="DW192" i="4"/>
  <c r="DW62" i="4"/>
  <c r="DW135" i="4"/>
  <c r="EI166" i="4"/>
  <c r="DW97" i="4"/>
  <c r="EI152" i="4"/>
  <c r="DW189" i="4"/>
  <c r="EI155" i="4"/>
  <c r="DW163" i="4"/>
  <c r="EE77" i="4"/>
  <c r="EI118" i="4"/>
  <c r="EE19" i="4"/>
  <c r="EI66" i="4"/>
  <c r="EI161" i="4"/>
  <c r="EI170" i="4"/>
  <c r="DW109" i="4"/>
  <c r="EE29" i="4"/>
  <c r="EI58" i="4"/>
  <c r="DW170" i="4"/>
  <c r="DW70" i="4"/>
  <c r="EI19" i="4"/>
  <c r="DW66" i="4"/>
  <c r="EI163" i="4"/>
  <c r="EI187" i="4"/>
  <c r="DW161" i="4"/>
  <c r="DW187" i="4"/>
  <c r="EI20" i="4"/>
  <c r="DW29" i="4"/>
  <c r="EI135" i="4"/>
  <c r="DW166" i="4"/>
  <c r="EI97" i="4"/>
  <c r="EI192" i="4"/>
  <c r="EI29" i="4"/>
  <c r="EI165" i="4"/>
  <c r="AN51" i="8"/>
  <c r="AR51" i="8"/>
  <c r="AF51" i="8"/>
  <c r="CS51" i="8"/>
  <c r="CK51" i="8"/>
  <c r="CW51" i="8"/>
  <c r="BZ51" i="8"/>
  <c r="CD51" i="8"/>
  <c r="BR51" i="8"/>
  <c r="BG51" i="8"/>
  <c r="AY51" i="8"/>
  <c r="BK51" i="8"/>
  <c r="AN57" i="5"/>
  <c r="AF57" i="5"/>
  <c r="AJ57" i="5" s="1"/>
  <c r="AI57" i="5" s="1"/>
  <c r="AH57" i="5" s="1"/>
  <c r="AG57" i="5" s="1"/>
  <c r="U57" i="5" s="1"/>
  <c r="AR57" i="5"/>
  <c r="BZ121" i="4"/>
  <c r="CD121" i="4"/>
  <c r="BR121" i="4"/>
  <c r="BV121" i="4" s="1"/>
  <c r="DL121" i="4"/>
  <c r="DP121" i="4"/>
  <c r="DD121" i="4"/>
  <c r="DH121" i="4" s="1"/>
  <c r="FP121" i="4"/>
  <c r="FT121" i="4"/>
  <c r="FH121" i="4"/>
  <c r="FL121" i="4" s="1"/>
  <c r="AN121" i="4"/>
  <c r="AR121" i="4"/>
  <c r="AF121" i="4"/>
  <c r="AJ121" i="4" s="1"/>
  <c r="CS121" i="4"/>
  <c r="CK121" i="4"/>
  <c r="CO121" i="4" s="1"/>
  <c r="CW121" i="4"/>
  <c r="BG121" i="4"/>
  <c r="AY121" i="4"/>
  <c r="BC121" i="4" s="1"/>
  <c r="BK121" i="4"/>
  <c r="EW121" i="4"/>
  <c r="FA121" i="4"/>
  <c r="EO121" i="4"/>
  <c r="ES121" i="4" s="1"/>
  <c r="BD132" i="9"/>
  <c r="AK46" i="9"/>
  <c r="AN56" i="8"/>
  <c r="AR56" i="8"/>
  <c r="AF56" i="8"/>
  <c r="BG56" i="8"/>
  <c r="AY56" i="8"/>
  <c r="BK56" i="8"/>
  <c r="CS56" i="8"/>
  <c r="CK56" i="8"/>
  <c r="CO56" i="8" s="1"/>
  <c r="CN56" i="8" s="1"/>
  <c r="CM56" i="8" s="1"/>
  <c r="CL56" i="8" s="1"/>
  <c r="CW56" i="8"/>
  <c r="BZ56" i="8"/>
  <c r="CD56" i="8"/>
  <c r="BR56" i="8"/>
  <c r="AN55" i="8"/>
  <c r="AF55" i="8"/>
  <c r="AR55" i="8"/>
  <c r="BG55" i="8"/>
  <c r="BK55" i="8"/>
  <c r="AY55" i="8"/>
  <c r="BZ55" i="8"/>
  <c r="CD55" i="8"/>
  <c r="BR55" i="8"/>
  <c r="CS55" i="8"/>
  <c r="CW55" i="8"/>
  <c r="CK55" i="8"/>
  <c r="AN51" i="5"/>
  <c r="AF51" i="5"/>
  <c r="AJ51" i="5" s="1"/>
  <c r="AI51" i="5" s="1"/>
  <c r="AH51" i="5" s="1"/>
  <c r="AG51" i="5" s="1"/>
  <c r="U51" i="5" s="1"/>
  <c r="AR51" i="5"/>
  <c r="BZ116" i="4"/>
  <c r="BR116" i="4"/>
  <c r="BV116" i="4" s="1"/>
  <c r="CD116" i="4"/>
  <c r="DL116" i="4"/>
  <c r="DP116" i="4"/>
  <c r="DD116" i="4"/>
  <c r="DH116" i="4" s="1"/>
  <c r="FP116" i="4"/>
  <c r="FT116" i="4"/>
  <c r="FH116" i="4"/>
  <c r="FL116" i="4" s="1"/>
  <c r="EW116" i="4"/>
  <c r="FA116" i="4"/>
  <c r="EO116" i="4"/>
  <c r="ES116" i="4" s="1"/>
  <c r="AN116" i="4"/>
  <c r="AF116" i="4"/>
  <c r="AJ116" i="4" s="1"/>
  <c r="AR116" i="4"/>
  <c r="CS116" i="4"/>
  <c r="CW116" i="4"/>
  <c r="CK116" i="4"/>
  <c r="CO116" i="4" s="1"/>
  <c r="BG116" i="4"/>
  <c r="BK116" i="4"/>
  <c r="AY116" i="4"/>
  <c r="BC116" i="4" s="1"/>
  <c r="BZ105" i="4"/>
  <c r="BR105" i="4"/>
  <c r="BV105" i="4" s="1"/>
  <c r="CD105" i="4"/>
  <c r="DL105" i="4"/>
  <c r="DD105" i="4"/>
  <c r="DH105" i="4" s="1"/>
  <c r="DP105" i="4"/>
  <c r="EW105" i="4"/>
  <c r="FA105" i="4"/>
  <c r="EO105" i="4"/>
  <c r="ES105" i="4" s="1"/>
  <c r="AN105" i="4"/>
  <c r="AF105" i="4"/>
  <c r="AJ105" i="4" s="1"/>
  <c r="AR105" i="4"/>
  <c r="CS105" i="4"/>
  <c r="CW105" i="4"/>
  <c r="CK105" i="4"/>
  <c r="CO105" i="4" s="1"/>
  <c r="BG105" i="4"/>
  <c r="BK105" i="4"/>
  <c r="AY105" i="4"/>
  <c r="BC105" i="4" s="1"/>
  <c r="FP105" i="4"/>
  <c r="FH105" i="4"/>
  <c r="FL105" i="4" s="1"/>
  <c r="FT105" i="4"/>
  <c r="BZ91" i="4"/>
  <c r="CD91" i="4"/>
  <c r="BR91" i="4"/>
  <c r="BV91" i="4" s="1"/>
  <c r="DL91" i="4"/>
  <c r="DD91" i="4"/>
  <c r="DH91" i="4" s="1"/>
  <c r="DP91" i="4"/>
  <c r="FP91" i="4"/>
  <c r="FT91" i="4"/>
  <c r="FH91" i="4"/>
  <c r="FL91" i="4" s="1"/>
  <c r="EW91" i="4"/>
  <c r="FA91" i="4"/>
  <c r="EO91" i="4"/>
  <c r="ES91" i="4" s="1"/>
  <c r="AN91" i="4"/>
  <c r="AF91" i="4"/>
  <c r="AJ91" i="4" s="1"/>
  <c r="AR91" i="4"/>
  <c r="CS91" i="4"/>
  <c r="CW91" i="4"/>
  <c r="CK91" i="4"/>
  <c r="CO91" i="4" s="1"/>
  <c r="BG91" i="4"/>
  <c r="BK91" i="4"/>
  <c r="AY91" i="4"/>
  <c r="BC91" i="4" s="1"/>
  <c r="CW50" i="8"/>
  <c r="CD49" i="8"/>
  <c r="AF98" i="8"/>
  <c r="AY103" i="8"/>
  <c r="DD77" i="4"/>
  <c r="FA77" i="4"/>
  <c r="CD165" i="4"/>
  <c r="FH77" i="4"/>
  <c r="AF77" i="4"/>
  <c r="CK77" i="4"/>
  <c r="AY77" i="4"/>
  <c r="CD106" i="8"/>
  <c r="BR95" i="8"/>
  <c r="AF88" i="7"/>
  <c r="CD47" i="8"/>
  <c r="BR115" i="8"/>
  <c r="BV115" i="8" s="1"/>
  <c r="BU115" i="8" s="1"/>
  <c r="CK17" i="8"/>
  <c r="BR40" i="8"/>
  <c r="BV40" i="8" s="1"/>
  <c r="BU40" i="8" s="1"/>
  <c r="BT40" i="8" s="1"/>
  <c r="BS40" i="8" s="1"/>
  <c r="BZ40" i="8"/>
  <c r="BZ94" i="8"/>
  <c r="BZ117" i="8"/>
  <c r="BZ57" i="8"/>
  <c r="BZ50" i="8"/>
  <c r="BZ90" i="8"/>
  <c r="CD21" i="8"/>
  <c r="BZ109" i="8"/>
  <c r="BZ49" i="8"/>
  <c r="BR25" i="8"/>
  <c r="BV25" i="8" s="1"/>
  <c r="BU25" i="8" s="1"/>
  <c r="BT25" i="8" s="1"/>
  <c r="BS25" i="8" s="1"/>
  <c r="BR24" i="8"/>
  <c r="BV24" i="8" s="1"/>
  <c r="BU24" i="8" s="1"/>
  <c r="BT24" i="8" s="1"/>
  <c r="BS24" i="8" s="1"/>
  <c r="BZ79" i="8"/>
  <c r="BR18" i="8"/>
  <c r="BV18" i="8" s="1"/>
  <c r="BU18" i="8" s="1"/>
  <c r="CD105" i="8"/>
  <c r="CD36" i="8"/>
  <c r="CD79" i="8"/>
  <c r="BZ99" i="8"/>
  <c r="CD87" i="8"/>
  <c r="CD104" i="8"/>
  <c r="CD37" i="8"/>
  <c r="CD111" i="8"/>
  <c r="BZ32" i="8"/>
  <c r="CD81" i="8"/>
  <c r="BZ106" i="8"/>
  <c r="CD67" i="8"/>
  <c r="BZ107" i="8"/>
  <c r="BZ87" i="8"/>
  <c r="BR67" i="8"/>
  <c r="BV67" i="8" s="1"/>
  <c r="BU67" i="8" s="1"/>
  <c r="BT67" i="8" s="1"/>
  <c r="BS67" i="8" s="1"/>
  <c r="BZ74" i="8"/>
  <c r="BZ62" i="8"/>
  <c r="BZ67" i="8"/>
  <c r="CD38" i="8"/>
  <c r="BZ75" i="8"/>
  <c r="BR110" i="8"/>
  <c r="BV110" i="8" s="1"/>
  <c r="BU110" i="8" s="1"/>
  <c r="BT110" i="8" s="1"/>
  <c r="BS110" i="8" s="1"/>
  <c r="BR23" i="8"/>
  <c r="BZ115" i="8"/>
  <c r="BZ24" i="8"/>
  <c r="BR92" i="8"/>
  <c r="BR89" i="8"/>
  <c r="BV89" i="8" s="1"/>
  <c r="BU89" i="8" s="1"/>
  <c r="BT89" i="8" s="1"/>
  <c r="BS89" i="8" s="1"/>
  <c r="BR105" i="8"/>
  <c r="BV105" i="8" s="1"/>
  <c r="BU105" i="8" s="1"/>
  <c r="BZ71" i="8"/>
  <c r="BR87" i="8"/>
  <c r="BZ58" i="8"/>
  <c r="BR17" i="8"/>
  <c r="BR48" i="8"/>
  <c r="BV48" i="8" s="1"/>
  <c r="BU48" i="8" s="1"/>
  <c r="BT48" i="8" s="1"/>
  <c r="BS48" i="8" s="1"/>
  <c r="BZ46" i="8"/>
  <c r="BR63" i="8"/>
  <c r="BV63" i="8" s="1"/>
  <c r="BU63" i="8" s="1"/>
  <c r="BR88" i="8"/>
  <c r="BV88" i="8" s="1"/>
  <c r="BU88" i="8" s="1"/>
  <c r="BT88" i="8" s="1"/>
  <c r="BS88" i="8" s="1"/>
  <c r="BZ76" i="8"/>
  <c r="BR109" i="8"/>
  <c r="BV109" i="8" s="1"/>
  <c r="BU109" i="8" s="1"/>
  <c r="BZ112" i="8"/>
  <c r="BZ37" i="8"/>
  <c r="CD100" i="8"/>
  <c r="BZ104" i="8"/>
  <c r="BZ101" i="8"/>
  <c r="BZ60" i="8"/>
  <c r="CD76" i="8"/>
  <c r="CD107" i="8"/>
  <c r="CD64" i="8"/>
  <c r="BZ88" i="8"/>
  <c r="CD110" i="8"/>
  <c r="BZ48" i="8"/>
  <c r="CD41" i="8"/>
  <c r="BR31" i="8"/>
  <c r="BV31" i="8" s="1"/>
  <c r="BU31" i="8" s="1"/>
  <c r="BT31" i="8" s="1"/>
  <c r="BS31" i="8" s="1"/>
  <c r="BZ114" i="8"/>
  <c r="BR75" i="8"/>
  <c r="BV75" i="8" s="1"/>
  <c r="BU75" i="8" s="1"/>
  <c r="BT75" i="8" s="1"/>
  <c r="BS75" i="8" s="1"/>
  <c r="BZ81" i="8"/>
  <c r="CD42" i="8"/>
  <c r="CD27" i="8"/>
  <c r="BZ95" i="8"/>
  <c r="BZ97" i="8"/>
  <c r="BR78" i="8"/>
  <c r="BV78" i="8" s="1"/>
  <c r="BU78" i="8" s="1"/>
  <c r="BT78" i="8" s="1"/>
  <c r="BS78" i="8" s="1"/>
  <c r="CD96" i="8"/>
  <c r="BZ35" i="8"/>
  <c r="BR57" i="8"/>
  <c r="BV57" i="8" s="1"/>
  <c r="BU57" i="8" s="1"/>
  <c r="BT57" i="8" s="1"/>
  <c r="BS57" i="8" s="1"/>
  <c r="BZ92" i="8"/>
  <c r="BZ116" i="8"/>
  <c r="CD63" i="8"/>
  <c r="CD118" i="8"/>
  <c r="CD61" i="8"/>
  <c r="BR81" i="8"/>
  <c r="BV81" i="8" s="1"/>
  <c r="BU81" i="8" s="1"/>
  <c r="BT81" i="8" s="1"/>
  <c r="BS81" i="8" s="1"/>
  <c r="BR33" i="8"/>
  <c r="BV33" i="8" s="1"/>
  <c r="BU33" i="8" s="1"/>
  <c r="BT33" i="8" s="1"/>
  <c r="BS33" i="8" s="1"/>
  <c r="BZ93" i="8"/>
  <c r="BZ63" i="8"/>
  <c r="BR41" i="8"/>
  <c r="CD89" i="8"/>
  <c r="BZ82" i="8"/>
  <c r="BR46" i="8"/>
  <c r="BV46" i="8" s="1"/>
  <c r="BU46" i="8" s="1"/>
  <c r="BT46" i="8" s="1"/>
  <c r="BS46" i="8" s="1"/>
  <c r="CW66" i="8"/>
  <c r="CD116" i="8"/>
  <c r="CD115" i="8"/>
  <c r="BZ23" i="8"/>
  <c r="CK35" i="8"/>
  <c r="CK83" i="8"/>
  <c r="CO83" i="8" s="1"/>
  <c r="CN83" i="8" s="1"/>
  <c r="CK98" i="8"/>
  <c r="CS22" i="8"/>
  <c r="CW33" i="8"/>
  <c r="CK39" i="8"/>
  <c r="CO39" i="8" s="1"/>
  <c r="CN39" i="8" s="1"/>
  <c r="CM39" i="8" s="1"/>
  <c r="CL39" i="8" s="1"/>
  <c r="CW58" i="8"/>
  <c r="CK32" i="8"/>
  <c r="CO32" i="8" s="1"/>
  <c r="CN32" i="8" s="1"/>
  <c r="CM32" i="8" s="1"/>
  <c r="CL32" i="8" s="1"/>
  <c r="CW24" i="8"/>
  <c r="CS24" i="8"/>
  <c r="CK103" i="8"/>
  <c r="CF9" i="8"/>
  <c r="CF10" i="8" s="1"/>
  <c r="CS103" i="8"/>
  <c r="CW101" i="8"/>
  <c r="CK108" i="8"/>
  <c r="CK92" i="8"/>
  <c r="CW108" i="8"/>
  <c r="CW20" i="8"/>
  <c r="CS98" i="8"/>
  <c r="CK86" i="8"/>
  <c r="CO86" i="8" s="1"/>
  <c r="CN86" i="8" s="1"/>
  <c r="CM86" i="8" s="1"/>
  <c r="CL86" i="8" s="1"/>
  <c r="CK36" i="8"/>
  <c r="CO36" i="8" s="1"/>
  <c r="CN36" i="8" s="1"/>
  <c r="CM36" i="8" s="1"/>
  <c r="CL36" i="8" s="1"/>
  <c r="CW117" i="8"/>
  <c r="CW62" i="8"/>
  <c r="CK78" i="8"/>
  <c r="CW25" i="8"/>
  <c r="CW95" i="8"/>
  <c r="CS21" i="8"/>
  <c r="CK57" i="8"/>
  <c r="CS25" i="8"/>
  <c r="CK49" i="8"/>
  <c r="CS42" i="8"/>
  <c r="CK21" i="8"/>
  <c r="CO21" i="8" s="1"/>
  <c r="CN21" i="8" s="1"/>
  <c r="CM21" i="8" s="1"/>
  <c r="CL21" i="8" s="1"/>
  <c r="CW49" i="8"/>
  <c r="CK74" i="8"/>
  <c r="CO74" i="8" s="1"/>
  <c r="CN74" i="8" s="1"/>
  <c r="CM74" i="8" s="1"/>
  <c r="CL74" i="8" s="1"/>
  <c r="CK20" i="8"/>
  <c r="CO20" i="8" s="1"/>
  <c r="CN20" i="8" s="1"/>
  <c r="CM20" i="8" s="1"/>
  <c r="CL20" i="8" s="1"/>
  <c r="CK95" i="8"/>
  <c r="CK33" i="8"/>
  <c r="CO33" i="8" s="1"/>
  <c r="CN33" i="8" s="1"/>
  <c r="CM33" i="8" s="1"/>
  <c r="CL33" i="8" s="1"/>
  <c r="CK19" i="8"/>
  <c r="CO19" i="8" s="1"/>
  <c r="CN19" i="8" s="1"/>
  <c r="CM19" i="8" s="1"/>
  <c r="CL19" i="8" s="1"/>
  <c r="CK88" i="8"/>
  <c r="CO88" i="8" s="1"/>
  <c r="CN88" i="8" s="1"/>
  <c r="CM88" i="8" s="1"/>
  <c r="CL88" i="8" s="1"/>
  <c r="CK25" i="8"/>
  <c r="CO25" i="8" s="1"/>
  <c r="CN25" i="8" s="1"/>
  <c r="CM25" i="8" s="1"/>
  <c r="CL25" i="8" s="1"/>
  <c r="CW47" i="8"/>
  <c r="CK24" i="8"/>
  <c r="CO24" i="8" s="1"/>
  <c r="CN24" i="8" s="1"/>
  <c r="CM24" i="8" s="1"/>
  <c r="CL24" i="8" s="1"/>
  <c r="CW109" i="8"/>
  <c r="CW38" i="8"/>
  <c r="CK41" i="8"/>
  <c r="CW27" i="8"/>
  <c r="CK31" i="8"/>
  <c r="CO31" i="8" s="1"/>
  <c r="CN31" i="8" s="1"/>
  <c r="CM31" i="8" s="1"/>
  <c r="CL31" i="8" s="1"/>
  <c r="CK115" i="8"/>
  <c r="CO115" i="8" s="1"/>
  <c r="CN115" i="8" s="1"/>
  <c r="CK76" i="8"/>
  <c r="CO76" i="8" s="1"/>
  <c r="CN76" i="8" s="1"/>
  <c r="CM76" i="8" s="1"/>
  <c r="CL76" i="8" s="1"/>
  <c r="CK72" i="8"/>
  <c r="CO72" i="8" s="1"/>
  <c r="CN72" i="8" s="1"/>
  <c r="CM72" i="8" s="1"/>
  <c r="CL72" i="8" s="1"/>
  <c r="CW74" i="8"/>
  <c r="CW78" i="8"/>
  <c r="CW103" i="8"/>
  <c r="CK66" i="8"/>
  <c r="CO66" i="8" s="1"/>
  <c r="CN66" i="8" s="1"/>
  <c r="CW90" i="8"/>
  <c r="CK118" i="8"/>
  <c r="CO118" i="8" s="1"/>
  <c r="CN118" i="8" s="1"/>
  <c r="CW41" i="8"/>
  <c r="CK62" i="8"/>
  <c r="CW97" i="8"/>
  <c r="CK67" i="8"/>
  <c r="CO67" i="8" s="1"/>
  <c r="CN67" i="8" s="1"/>
  <c r="CM67" i="8" s="1"/>
  <c r="CL67" i="8" s="1"/>
  <c r="CK112" i="8"/>
  <c r="CW35" i="8"/>
  <c r="CW105" i="8"/>
  <c r="CK79" i="8"/>
  <c r="CW111" i="8"/>
  <c r="Q3" i="8"/>
  <c r="CW83" i="8"/>
  <c r="CW96" i="8"/>
  <c r="CW60" i="8"/>
  <c r="CK40" i="8"/>
  <c r="CO40" i="8" s="1"/>
  <c r="CN40" i="8" s="1"/>
  <c r="CM40" i="8" s="1"/>
  <c r="CL40" i="8" s="1"/>
  <c r="CK48" i="8"/>
  <c r="CO48" i="8" s="1"/>
  <c r="CN48" i="8" s="1"/>
  <c r="CM48" i="8" s="1"/>
  <c r="CL48" i="8" s="1"/>
  <c r="CW118" i="8"/>
  <c r="CS109" i="8"/>
  <c r="CW98" i="8"/>
  <c r="CS62" i="8"/>
  <c r="CS72" i="8"/>
  <c r="CS19" i="8"/>
  <c r="CW63" i="8"/>
  <c r="CK58" i="8"/>
  <c r="CO58" i="8" s="1"/>
  <c r="CN58" i="8" s="1"/>
  <c r="CM58" i="8" s="1"/>
  <c r="CL58" i="8" s="1"/>
  <c r="CS33" i="8"/>
  <c r="CK82" i="8"/>
  <c r="CK102" i="8"/>
  <c r="CO102" i="8" s="1"/>
  <c r="CN102" i="8" s="1"/>
  <c r="CW37" i="8"/>
  <c r="CW46" i="8"/>
  <c r="CK65" i="8"/>
  <c r="CW75" i="8"/>
  <c r="CS58" i="8"/>
  <c r="BR93" i="8"/>
  <c r="BV93" i="8" s="1"/>
  <c r="BU93" i="8" s="1"/>
  <c r="CD34" i="8"/>
  <c r="CD109" i="8"/>
  <c r="CD33" i="8"/>
  <c r="CD102" i="8"/>
  <c r="CD75" i="8"/>
  <c r="BZ86" i="8"/>
  <c r="BM9" i="8"/>
  <c r="BM11" i="8" s="1"/>
  <c r="BM12" i="8" s="1"/>
  <c r="BZ19" i="8"/>
  <c r="CD112" i="8"/>
  <c r="CD65" i="8"/>
  <c r="BR34" i="8"/>
  <c r="BR27" i="8"/>
  <c r="BV27" i="8" s="1"/>
  <c r="BU27" i="8" s="1"/>
  <c r="BT27" i="8" s="1"/>
  <c r="BS27" i="8" s="1"/>
  <c r="BR71" i="8"/>
  <c r="BZ66" i="8"/>
  <c r="BZ39" i="8"/>
  <c r="BZ31" i="8"/>
  <c r="BR21" i="8"/>
  <c r="BV21" i="8" s="1"/>
  <c r="BU21" i="8" s="1"/>
  <c r="BT21" i="8" s="1"/>
  <c r="BS21" i="8" s="1"/>
  <c r="BR22" i="8"/>
  <c r="CD98" i="8"/>
  <c r="BZ21" i="8"/>
  <c r="BR103" i="8"/>
  <c r="BZ59" i="8"/>
  <c r="CD57" i="8"/>
  <c r="BR86" i="8"/>
  <c r="BR118" i="8"/>
  <c r="BV118" i="8" s="1"/>
  <c r="BU118" i="8" s="1"/>
  <c r="BZ27" i="8"/>
  <c r="BZ105" i="8"/>
  <c r="BZ111" i="8"/>
  <c r="BR42" i="8"/>
  <c r="BR94" i="8"/>
  <c r="BV94" i="8" s="1"/>
  <c r="BU94" i="8" s="1"/>
  <c r="BT94" i="8" s="1"/>
  <c r="BS94" i="8" s="1"/>
  <c r="BR113" i="8"/>
  <c r="BV113" i="8" s="1"/>
  <c r="BU113" i="8" s="1"/>
  <c r="BZ100" i="8"/>
  <c r="BZ36" i="8"/>
  <c r="CD50" i="8"/>
  <c r="CD103" i="8"/>
  <c r="CD62" i="8"/>
  <c r="BR35" i="8"/>
  <c r="BV35" i="8" s="1"/>
  <c r="BU35" i="8" s="1"/>
  <c r="BT35" i="8" s="1"/>
  <c r="BS35" i="8" s="1"/>
  <c r="CD113" i="8"/>
  <c r="CD83" i="8"/>
  <c r="CD74" i="8"/>
  <c r="BZ47" i="8"/>
  <c r="BZ72" i="8"/>
  <c r="BR62" i="8"/>
  <c r="BZ20" i="8"/>
  <c r="CD78" i="8"/>
  <c r="BR54" i="8"/>
  <c r="BV54" i="8" s="1"/>
  <c r="BU54" i="8" s="1"/>
  <c r="BT54" i="8" s="1"/>
  <c r="BS54" i="8" s="1"/>
  <c r="BR47" i="8"/>
  <c r="BV47" i="8" s="1"/>
  <c r="BU47" i="8" s="1"/>
  <c r="BT47" i="8" s="1"/>
  <c r="BS47" i="8" s="1"/>
  <c r="BR36" i="8"/>
  <c r="BV36" i="8" s="1"/>
  <c r="BU36" i="8" s="1"/>
  <c r="BT36" i="8" s="1"/>
  <c r="BS36" i="8" s="1"/>
  <c r="BR60" i="8"/>
  <c r="BZ96" i="8"/>
  <c r="BZ102" i="8"/>
  <c r="CD86" i="8"/>
  <c r="BR32" i="8"/>
  <c r="BV32" i="8" s="1"/>
  <c r="BU32" i="8" s="1"/>
  <c r="BT32" i="8" s="1"/>
  <c r="BS32" i="8" s="1"/>
  <c r="BR96" i="8"/>
  <c r="BV96" i="8" s="1"/>
  <c r="BU96" i="8" s="1"/>
  <c r="BR64" i="8"/>
  <c r="BV64" i="8" s="1"/>
  <c r="BU64" i="8" s="1"/>
  <c r="BT64" i="8" s="1"/>
  <c r="BS64" i="8" s="1"/>
  <c r="CD54" i="8"/>
  <c r="BZ110" i="8"/>
  <c r="BZ38" i="8"/>
  <c r="BR50" i="8"/>
  <c r="CD20" i="8"/>
  <c r="BR79" i="8"/>
  <c r="BR58" i="8"/>
  <c r="BV58" i="8" s="1"/>
  <c r="BU58" i="8" s="1"/>
  <c r="BT58" i="8" s="1"/>
  <c r="BS58" i="8" s="1"/>
  <c r="CD58" i="8"/>
  <c r="CD93" i="8"/>
  <c r="CD88" i="8"/>
  <c r="BR83" i="8"/>
  <c r="BZ34" i="8"/>
  <c r="BZ113" i="8"/>
  <c r="BR99" i="8"/>
  <c r="BZ103" i="8"/>
  <c r="BZ41" i="8"/>
  <c r="BR107" i="8"/>
  <c r="BV107" i="8" s="1"/>
  <c r="BU107" i="8" s="1"/>
  <c r="BT107" i="8" s="1"/>
  <c r="BS107" i="8" s="1"/>
  <c r="CD32" i="8"/>
  <c r="CD71" i="8"/>
  <c r="BZ118" i="8"/>
  <c r="CD46" i="8"/>
  <c r="CS59" i="8"/>
  <c r="CS39" i="8"/>
  <c r="BZ108" i="8"/>
  <c r="BR76" i="8"/>
  <c r="BR66" i="8"/>
  <c r="BV66" i="8" s="1"/>
  <c r="BU66" i="8" s="1"/>
  <c r="CD90" i="8"/>
  <c r="BR38" i="8"/>
  <c r="BV38" i="8" s="1"/>
  <c r="BU38" i="8" s="1"/>
  <c r="BT38" i="8" s="1"/>
  <c r="BS38" i="8" s="1"/>
  <c r="CD23" i="8"/>
  <c r="CD35" i="8"/>
  <c r="BZ33" i="8"/>
  <c r="CD25" i="8"/>
  <c r="BR108" i="8"/>
  <c r="BZ42" i="8"/>
  <c r="CD66" i="8"/>
  <c r="CD60" i="8"/>
  <c r="BZ64" i="8"/>
  <c r="BZ89" i="8"/>
  <c r="CD24" i="8"/>
  <c r="CD101" i="8"/>
  <c r="CW22" i="8"/>
  <c r="CW36" i="8"/>
  <c r="CS60" i="8"/>
  <c r="BR100" i="8"/>
  <c r="BV100" i="8" s="1"/>
  <c r="BU100" i="8" s="1"/>
  <c r="BR112" i="8"/>
  <c r="BR116" i="8"/>
  <c r="BV116" i="8" s="1"/>
  <c r="BU116" i="8" s="1"/>
  <c r="BT116" i="8" s="1"/>
  <c r="BS116" i="8" s="1"/>
  <c r="BR97" i="8"/>
  <c r="BV97" i="8" s="1"/>
  <c r="BU97" i="8" s="1"/>
  <c r="BT97" i="8" s="1"/>
  <c r="BS97" i="8" s="1"/>
  <c r="BR37" i="8"/>
  <c r="BV37" i="8" s="1"/>
  <c r="BU37" i="8" s="1"/>
  <c r="BT37" i="8" s="1"/>
  <c r="BS37" i="8" s="1"/>
  <c r="BR90" i="8"/>
  <c r="BV90" i="8" s="1"/>
  <c r="BU90" i="8" s="1"/>
  <c r="BT90" i="8" s="1"/>
  <c r="BS90" i="8" s="1"/>
  <c r="BR39" i="8"/>
  <c r="BV39" i="8" s="1"/>
  <c r="BU39" i="8" s="1"/>
  <c r="BT39" i="8" s="1"/>
  <c r="BS39" i="8" s="1"/>
  <c r="BZ54" i="8"/>
  <c r="BR65" i="8"/>
  <c r="CD99" i="8"/>
  <c r="CK117" i="8"/>
  <c r="CW106" i="8"/>
  <c r="CS47" i="8"/>
  <c r="CD39" i="8"/>
  <c r="BZ25" i="8"/>
  <c r="CD31" i="8"/>
  <c r="BR102" i="8"/>
  <c r="BV102" i="8" s="1"/>
  <c r="BU102" i="8" s="1"/>
  <c r="BR106" i="8"/>
  <c r="BZ65" i="8"/>
  <c r="BR72" i="8"/>
  <c r="BV72" i="8" s="1"/>
  <c r="BU72" i="8" s="1"/>
  <c r="BT72" i="8" s="1"/>
  <c r="BS72" i="8" s="1"/>
  <c r="CD94" i="8"/>
  <c r="BZ61" i="8"/>
  <c r="BZ78" i="8"/>
  <c r="BR19" i="8"/>
  <c r="BV19" i="8" s="1"/>
  <c r="BU19" i="8" s="1"/>
  <c r="BT19" i="8" s="1"/>
  <c r="BS19" i="8" s="1"/>
  <c r="CD59" i="8"/>
  <c r="CD92" i="8"/>
  <c r="CD108" i="8"/>
  <c r="CW82" i="8"/>
  <c r="CK109" i="8"/>
  <c r="CO109" i="8" s="1"/>
  <c r="CN109" i="8" s="1"/>
  <c r="CK105" i="8"/>
  <c r="CO105" i="8" s="1"/>
  <c r="CN105" i="8" s="1"/>
  <c r="CS90" i="8"/>
  <c r="CD40" i="8"/>
  <c r="CD72" i="8"/>
  <c r="CD114" i="8"/>
  <c r="CD48" i="8"/>
  <c r="BR61" i="8"/>
  <c r="BV61" i="8" s="1"/>
  <c r="BU61" i="8" s="1"/>
  <c r="BT61" i="8" s="1"/>
  <c r="BS61" i="8" s="1"/>
  <c r="CD97" i="8"/>
  <c r="BR74" i="8"/>
  <c r="BV74" i="8" s="1"/>
  <c r="BU74" i="8" s="1"/>
  <c r="BT74" i="8" s="1"/>
  <c r="BS74" i="8" s="1"/>
  <c r="BR111" i="8"/>
  <c r="BV111" i="8" s="1"/>
  <c r="BU111" i="8" s="1"/>
  <c r="BT111" i="8" s="1"/>
  <c r="BS111" i="8" s="1"/>
  <c r="BR20" i="8"/>
  <c r="BV20" i="8" s="1"/>
  <c r="BU20" i="8" s="1"/>
  <c r="BT20" i="8" s="1"/>
  <c r="BS20" i="8" s="1"/>
  <c r="BR98" i="8"/>
  <c r="CK22" i="8"/>
  <c r="CK63" i="8"/>
  <c r="CW110" i="8"/>
  <c r="CS23" i="8"/>
  <c r="CS113" i="8"/>
  <c r="CS41" i="8"/>
  <c r="CK106" i="8"/>
  <c r="CO106" i="8" s="1"/>
  <c r="CN106" i="8" s="1"/>
  <c r="CM106" i="8" s="1"/>
  <c r="CL106" i="8" s="1"/>
  <c r="CW61" i="8"/>
  <c r="CW72" i="8"/>
  <c r="CS27" i="8"/>
  <c r="CK96" i="8"/>
  <c r="CO96" i="8" s="1"/>
  <c r="CN96" i="8" s="1"/>
  <c r="CW93" i="8"/>
  <c r="CS87" i="8"/>
  <c r="CK42" i="8"/>
  <c r="CW64" i="8"/>
  <c r="CK90" i="8"/>
  <c r="CO90" i="8" s="1"/>
  <c r="CN90" i="8" s="1"/>
  <c r="CM90" i="8" s="1"/>
  <c r="CL90" i="8" s="1"/>
  <c r="CS102" i="8"/>
  <c r="CK59" i="8"/>
  <c r="CK116" i="8"/>
  <c r="CO116" i="8" s="1"/>
  <c r="CN116" i="8" s="1"/>
  <c r="CM116" i="8" s="1"/>
  <c r="CL116" i="8" s="1"/>
  <c r="CS95" i="8"/>
  <c r="CK27" i="8"/>
  <c r="CO27" i="8" s="1"/>
  <c r="CN27" i="8" s="1"/>
  <c r="CM27" i="8" s="1"/>
  <c r="CL27" i="8" s="1"/>
  <c r="CS37" i="8"/>
  <c r="CS57" i="8"/>
  <c r="CS89" i="8"/>
  <c r="CS66" i="8"/>
  <c r="CW19" i="8"/>
  <c r="CS65" i="8"/>
  <c r="CK60" i="8"/>
  <c r="CO60" i="8" s="1"/>
  <c r="CN60" i="8" s="1"/>
  <c r="CW115" i="8"/>
  <c r="CW23" i="8"/>
  <c r="CS50" i="8"/>
  <c r="CK89" i="8"/>
  <c r="CO89" i="8" s="1"/>
  <c r="CN89" i="8" s="1"/>
  <c r="CM89" i="8" s="1"/>
  <c r="CL89" i="8" s="1"/>
  <c r="CW87" i="8"/>
  <c r="CW81" i="8"/>
  <c r="CS78" i="8"/>
  <c r="CS82" i="8"/>
  <c r="CK75" i="8"/>
  <c r="CO75" i="8" s="1"/>
  <c r="CN75" i="8" s="1"/>
  <c r="CM75" i="8" s="1"/>
  <c r="CL75" i="8" s="1"/>
  <c r="CS32" i="8"/>
  <c r="CK114" i="8"/>
  <c r="CW89" i="8"/>
  <c r="CK113" i="8"/>
  <c r="CW48" i="8"/>
  <c r="BK77" i="4"/>
  <c r="CK18" i="8"/>
  <c r="CO18" i="8" s="1"/>
  <c r="CN18" i="8" s="1"/>
  <c r="CS76" i="8"/>
  <c r="CS61" i="8"/>
  <c r="CW21" i="8"/>
  <c r="CK94" i="8"/>
  <c r="CO94" i="8" s="1"/>
  <c r="CN94" i="8" s="1"/>
  <c r="CM94" i="8" s="1"/>
  <c r="CL94" i="8" s="1"/>
  <c r="CW107" i="8"/>
  <c r="CS96" i="8"/>
  <c r="CW116" i="8"/>
  <c r="CS104" i="8"/>
  <c r="CK71" i="8"/>
  <c r="CO71" i="8" s="1"/>
  <c r="CN71" i="8" s="1"/>
  <c r="CM71" i="8" s="1"/>
  <c r="CL71" i="8" s="1"/>
  <c r="CS46" i="8"/>
  <c r="CW160" i="4"/>
  <c r="CW104" i="8"/>
  <c r="CW31" i="8"/>
  <c r="CK81" i="8"/>
  <c r="CO81" i="8" s="1"/>
  <c r="CN81" i="8" s="1"/>
  <c r="CM81" i="8" s="1"/>
  <c r="CL81" i="8" s="1"/>
  <c r="CS83" i="8"/>
  <c r="CS34" i="8"/>
  <c r="EO160" i="4"/>
  <c r="EO165" i="4"/>
  <c r="CS115" i="8"/>
  <c r="FA160" i="4"/>
  <c r="CK107" i="8"/>
  <c r="CO107" i="8" s="1"/>
  <c r="CN107" i="8" s="1"/>
  <c r="CM107" i="8" s="1"/>
  <c r="CL107" i="8" s="1"/>
  <c r="CS92" i="8"/>
  <c r="CK46" i="8"/>
  <c r="CO46" i="8" s="1"/>
  <c r="CN46" i="8" s="1"/>
  <c r="CM46" i="8" s="1"/>
  <c r="CL46" i="8" s="1"/>
  <c r="CS48" i="8"/>
  <c r="CW39" i="8"/>
  <c r="CS40" i="8"/>
  <c r="CK50" i="8"/>
  <c r="CS63" i="8"/>
  <c r="AR103" i="8"/>
  <c r="EO77" i="4"/>
  <c r="BK160" i="4"/>
  <c r="CW113" i="8"/>
  <c r="CK37" i="8"/>
  <c r="CO37" i="8" s="1"/>
  <c r="CN37" i="8" s="1"/>
  <c r="CM37" i="8" s="1"/>
  <c r="CL37" i="8" s="1"/>
  <c r="CW34" i="8"/>
  <c r="CS74" i="8"/>
  <c r="CS110" i="8"/>
  <c r="AF160" i="4"/>
  <c r="AY160" i="4"/>
  <c r="CK111" i="8"/>
  <c r="CO111" i="8" s="1"/>
  <c r="CN111" i="8" s="1"/>
  <c r="CM111" i="8" s="1"/>
  <c r="CL111" i="8" s="1"/>
  <c r="CS116" i="8"/>
  <c r="CS31" i="8"/>
  <c r="CS67" i="8"/>
  <c r="AY165" i="4"/>
  <c r="BK165" i="4"/>
  <c r="CW79" i="8"/>
  <c r="CS99" i="8"/>
  <c r="CW102" i="8"/>
  <c r="CS117" i="8"/>
  <c r="CK87" i="8"/>
  <c r="CO87" i="8" s="1"/>
  <c r="CN87" i="8" s="1"/>
  <c r="CM87" i="8" s="1"/>
  <c r="CL87" i="8" s="1"/>
  <c r="CS71" i="8"/>
  <c r="CK38" i="8"/>
  <c r="CO38" i="8" s="1"/>
  <c r="CN38" i="8" s="1"/>
  <c r="CM38" i="8" s="1"/>
  <c r="CL38" i="8" s="1"/>
  <c r="CS35" i="8"/>
  <c r="CS112" i="8"/>
  <c r="CK93" i="8"/>
  <c r="CO93" i="8" s="1"/>
  <c r="CN93" i="8" s="1"/>
  <c r="CS100" i="8"/>
  <c r="BR160" i="4"/>
  <c r="CW100" i="8"/>
  <c r="CS38" i="8"/>
  <c r="CS54" i="8"/>
  <c r="CW65" i="8"/>
  <c r="CK104" i="8"/>
  <c r="CW76" i="8"/>
  <c r="CK61" i="8"/>
  <c r="CO61" i="8" s="1"/>
  <c r="CN61" i="8" s="1"/>
  <c r="CM61" i="8" s="1"/>
  <c r="CL61" i="8" s="1"/>
  <c r="CW88" i="8"/>
  <c r="CK47" i="8"/>
  <c r="CO47" i="8" s="1"/>
  <c r="CN47" i="8" s="1"/>
  <c r="CM47" i="8" s="1"/>
  <c r="CL47" i="8" s="1"/>
  <c r="CS107" i="8"/>
  <c r="CS36" i="8"/>
  <c r="CS94" i="8"/>
  <c r="CD160" i="4"/>
  <c r="CD77" i="4"/>
  <c r="CK101" i="8"/>
  <c r="CW112" i="8"/>
  <c r="CS49" i="8"/>
  <c r="CK23" i="8"/>
  <c r="CO23" i="8" s="1"/>
  <c r="CN23" i="8" s="1"/>
  <c r="CK110" i="8"/>
  <c r="CO110" i="8" s="1"/>
  <c r="CN110" i="8" s="1"/>
  <c r="CM110" i="8" s="1"/>
  <c r="CL110" i="8" s="1"/>
  <c r="CS118" i="8"/>
  <c r="CS111" i="8"/>
  <c r="CS106" i="8"/>
  <c r="BP162" i="9"/>
  <c r="AY178" i="9"/>
  <c r="BC178" i="9" s="1"/>
  <c r="AF41" i="8"/>
  <c r="BP137" i="9"/>
  <c r="DP160" i="4"/>
  <c r="AK132" i="9"/>
  <c r="AR42" i="7"/>
  <c r="DD165" i="4"/>
  <c r="BD46" i="9"/>
  <c r="CS20" i="8"/>
  <c r="CW114" i="8"/>
  <c r="CS101" i="8"/>
  <c r="CK54" i="8"/>
  <c r="CO54" i="8" s="1"/>
  <c r="CN54" i="8" s="1"/>
  <c r="CM54" i="8" s="1"/>
  <c r="CL54" i="8" s="1"/>
  <c r="CW40" i="8"/>
  <c r="CK100" i="8"/>
  <c r="CO100" i="8" s="1"/>
  <c r="CN100" i="8" s="1"/>
  <c r="CS97" i="8"/>
  <c r="CS86" i="8"/>
  <c r="BR49" i="8"/>
  <c r="BR59" i="8"/>
  <c r="BZ98" i="8"/>
  <c r="BR114" i="8"/>
  <c r="CD82" i="8"/>
  <c r="BR82" i="8"/>
  <c r="BR104" i="8"/>
  <c r="CD95" i="8"/>
  <c r="BR117" i="8"/>
  <c r="CD19" i="8"/>
  <c r="CD117" i="8"/>
  <c r="CD22" i="8"/>
  <c r="BR101" i="8"/>
  <c r="BP132" i="9"/>
  <c r="AK162" i="9"/>
  <c r="AF165" i="4"/>
  <c r="BM178" i="9"/>
  <c r="CW99" i="8"/>
  <c r="CW42" i="8"/>
  <c r="CW57" i="8"/>
  <c r="CW32" i="8"/>
  <c r="CK34" i="8"/>
  <c r="CO34" i="8" s="1"/>
  <c r="CN34" i="8" s="1"/>
  <c r="CM34" i="8" s="1"/>
  <c r="CL34" i="8" s="1"/>
  <c r="CK97" i="8"/>
  <c r="CO97" i="8" s="1"/>
  <c r="CN97" i="8" s="1"/>
  <c r="CM97" i="8" s="1"/>
  <c r="CL97" i="8" s="1"/>
  <c r="CW94" i="8"/>
  <c r="CS88" i="8"/>
  <c r="CS93" i="8"/>
  <c r="BD178" i="9"/>
  <c r="BD162" i="9"/>
  <c r="CW59" i="8"/>
  <c r="CK99" i="8"/>
  <c r="CS79" i="8"/>
  <c r="CW67" i="8"/>
  <c r="CK64" i="8"/>
  <c r="CO64" i="8" s="1"/>
  <c r="CN64" i="8" s="1"/>
  <c r="CM64" i="8" s="1"/>
  <c r="CL64" i="8" s="1"/>
  <c r="CW86" i="8"/>
  <c r="CS64" i="8"/>
  <c r="CS81" i="8"/>
  <c r="CS75" i="8"/>
  <c r="AR165" i="4"/>
  <c r="AR77" i="4"/>
  <c r="AW46" i="9"/>
  <c r="BP46" i="9"/>
  <c r="CW92" i="8"/>
  <c r="CS114" i="8"/>
  <c r="CW54" i="8"/>
  <c r="CS108" i="8"/>
  <c r="CW71" i="8"/>
  <c r="CS105" i="8"/>
  <c r="EZ17" i="4"/>
  <c r="FA205" i="4" a="1"/>
  <c r="FA205" i="4" s="1"/>
  <c r="EX205" i="4" a="1"/>
  <c r="EX205" i="4" s="1"/>
  <c r="EY205" i="4" a="1"/>
  <c r="EY205" i="4" s="1"/>
  <c r="EZ205" i="4" a="1"/>
  <c r="EZ205" i="4" s="1"/>
  <c r="T2" i="5"/>
  <c r="AF17" i="5"/>
  <c r="AF18" i="5"/>
  <c r="AF19" i="5"/>
  <c r="AA9" i="5"/>
  <c r="AF15" i="5"/>
  <c r="AF16" i="5"/>
  <c r="AN84" i="5"/>
  <c r="AN118" i="5"/>
  <c r="AN33" i="5"/>
  <c r="AN108" i="5"/>
  <c r="AN66" i="5"/>
  <c r="AN107" i="5"/>
  <c r="AN71" i="5"/>
  <c r="AN48" i="5"/>
  <c r="AN29" i="5"/>
  <c r="AN36" i="5"/>
  <c r="AN90" i="5"/>
  <c r="AN116" i="5"/>
  <c r="AN95" i="5"/>
  <c r="AN63" i="5"/>
  <c r="AN46" i="5"/>
  <c r="AN26" i="5"/>
  <c r="AN79" i="5"/>
  <c r="AN44" i="5"/>
  <c r="AN31" i="5"/>
  <c r="AN52" i="5"/>
  <c r="AN25" i="5"/>
  <c r="AN83" i="5"/>
  <c r="AN58" i="5"/>
  <c r="AN47" i="5"/>
  <c r="AN94" i="5"/>
  <c r="AN68" i="5"/>
  <c r="AN69" i="5"/>
  <c r="AN114" i="5"/>
  <c r="AN78" i="5"/>
  <c r="AN32" i="5"/>
  <c r="AN81" i="5"/>
  <c r="AN106" i="5"/>
  <c r="AN88" i="5"/>
  <c r="AN28" i="5"/>
  <c r="AN111" i="5"/>
  <c r="AN76" i="5"/>
  <c r="AN110" i="5"/>
  <c r="AN62" i="5"/>
  <c r="AN72" i="5"/>
  <c r="AN101" i="5"/>
  <c r="AN54" i="5"/>
  <c r="AN98" i="5"/>
  <c r="AN30" i="5"/>
  <c r="AN103" i="5"/>
  <c r="AN35" i="5"/>
  <c r="AN97" i="5"/>
  <c r="AN65" i="5"/>
  <c r="AN89" i="5"/>
  <c r="AN112" i="5"/>
  <c r="AN53" i="5"/>
  <c r="AR114" i="5"/>
  <c r="AR88" i="5"/>
  <c r="AF79" i="5"/>
  <c r="AJ79" i="5" s="1"/>
  <c r="AI79" i="5" s="1"/>
  <c r="AH79" i="5" s="1"/>
  <c r="AG79" i="5" s="1"/>
  <c r="U79" i="5" s="1"/>
  <c r="AF90" i="5"/>
  <c r="AJ90" i="5" s="1"/>
  <c r="AI90" i="5" s="1"/>
  <c r="AH90" i="5" s="1"/>
  <c r="AG90" i="5" s="1"/>
  <c r="U90" i="5" s="1"/>
  <c r="AR53" i="5"/>
  <c r="AR32" i="5"/>
  <c r="AR63" i="5"/>
  <c r="AN55" i="5"/>
  <c r="AR29" i="5"/>
  <c r="AF111" i="5"/>
  <c r="AJ111" i="5" s="1"/>
  <c r="AI111" i="5" s="1"/>
  <c r="AH111" i="5" s="1"/>
  <c r="AG111" i="5" s="1"/>
  <c r="U111" i="5" s="1"/>
  <c r="AF76" i="5"/>
  <c r="AJ76" i="5" s="1"/>
  <c r="AI76" i="5" s="1"/>
  <c r="AH76" i="5" s="1"/>
  <c r="AG76" i="5" s="1"/>
  <c r="U76" i="5" s="1"/>
  <c r="AN96" i="5"/>
  <c r="AR44" i="5"/>
  <c r="AF54" i="5"/>
  <c r="AJ54" i="5" s="1"/>
  <c r="AI54" i="5" s="1"/>
  <c r="AH54" i="5" s="1"/>
  <c r="AG54" i="5" s="1"/>
  <c r="U54" i="5" s="1"/>
  <c r="AF101" i="5"/>
  <c r="AJ101" i="5" s="1"/>
  <c r="AI101" i="5" s="1"/>
  <c r="AF88" i="5"/>
  <c r="AJ88" i="5" s="1"/>
  <c r="AI88" i="5" s="1"/>
  <c r="AH88" i="5" s="1"/>
  <c r="AG88" i="5" s="1"/>
  <c r="U88" i="5" s="1"/>
  <c r="AR47" i="5"/>
  <c r="AR83" i="5"/>
  <c r="AF44" i="5"/>
  <c r="AJ44" i="5" s="1"/>
  <c r="AI44" i="5" s="1"/>
  <c r="AH44" i="5" s="1"/>
  <c r="AG44" i="5" s="1"/>
  <c r="U44" i="5" s="1"/>
  <c r="AN109" i="5"/>
  <c r="AF52" i="5"/>
  <c r="AJ52" i="5" s="1"/>
  <c r="AI52" i="5" s="1"/>
  <c r="AH52" i="5" s="1"/>
  <c r="AG52" i="5" s="1"/>
  <c r="U52" i="5" s="1"/>
  <c r="AF72" i="5"/>
  <c r="AJ72" i="5" s="1"/>
  <c r="AI72" i="5" s="1"/>
  <c r="AH72" i="5" s="1"/>
  <c r="AG72" i="5" s="1"/>
  <c r="U72" i="5" s="1"/>
  <c r="AR79" i="5"/>
  <c r="AF63" i="5"/>
  <c r="AJ63" i="5" s="1"/>
  <c r="AI63" i="5" s="1"/>
  <c r="AH63" i="5" s="1"/>
  <c r="AG63" i="5" s="1"/>
  <c r="U63" i="5" s="1"/>
  <c r="AR95" i="5"/>
  <c r="AR81" i="5"/>
  <c r="AR98" i="5"/>
  <c r="AF112" i="5"/>
  <c r="AJ112" i="5" s="1"/>
  <c r="AI112" i="5" s="1"/>
  <c r="AH112" i="5" s="1"/>
  <c r="AG112" i="5" s="1"/>
  <c r="U112" i="5" s="1"/>
  <c r="AN100" i="5"/>
  <c r="AF65" i="5"/>
  <c r="AJ65" i="5" s="1"/>
  <c r="AI65" i="5" s="1"/>
  <c r="AN82" i="5"/>
  <c r="AF83" i="5"/>
  <c r="AJ83" i="5" s="1"/>
  <c r="AI83" i="5" s="1"/>
  <c r="AF66" i="5"/>
  <c r="AJ66" i="5" s="1"/>
  <c r="AI66" i="5" s="1"/>
  <c r="AH66" i="5" s="1"/>
  <c r="AG66" i="5" s="1"/>
  <c r="U66" i="5" s="1"/>
  <c r="AR26" i="5"/>
  <c r="AR112" i="5"/>
  <c r="AF68" i="5"/>
  <c r="AJ68" i="5" s="1"/>
  <c r="AI68" i="5" s="1"/>
  <c r="AF25" i="5"/>
  <c r="AJ25" i="5" s="1"/>
  <c r="AI25" i="5" s="1"/>
  <c r="AH25" i="5" s="1"/>
  <c r="AG25" i="5" s="1"/>
  <c r="U25" i="5" s="1"/>
  <c r="AF89" i="5"/>
  <c r="AJ89" i="5" s="1"/>
  <c r="AI89" i="5" s="1"/>
  <c r="AH89" i="5" s="1"/>
  <c r="AG89" i="5" s="1"/>
  <c r="U89" i="5" s="1"/>
  <c r="AF81" i="5"/>
  <c r="AJ81" i="5" s="1"/>
  <c r="AI81" i="5" s="1"/>
  <c r="AH81" i="5" s="1"/>
  <c r="AG81" i="5" s="1"/>
  <c r="U81" i="5" s="1"/>
  <c r="AN93" i="5"/>
  <c r="AF26" i="5"/>
  <c r="AJ26" i="5" s="1"/>
  <c r="AI26" i="5" s="1"/>
  <c r="AH26" i="5" s="1"/>
  <c r="AG26" i="5" s="1"/>
  <c r="U26" i="5" s="1"/>
  <c r="AR106" i="5"/>
  <c r="AR101" i="5"/>
  <c r="AR31" i="5"/>
  <c r="AR89" i="5"/>
  <c r="AF114" i="5"/>
  <c r="AJ114" i="5" s="1"/>
  <c r="AI114" i="5" s="1"/>
  <c r="AR30" i="5"/>
  <c r="AR66" i="5"/>
  <c r="AF110" i="5"/>
  <c r="AJ110" i="5" s="1"/>
  <c r="AI110" i="5" s="1"/>
  <c r="AR76" i="5"/>
  <c r="AN38" i="5"/>
  <c r="AF116" i="5"/>
  <c r="AJ116" i="5" s="1"/>
  <c r="AI116" i="5" s="1"/>
  <c r="AF31" i="5"/>
  <c r="AJ31" i="5" s="1"/>
  <c r="AI31" i="5" s="1"/>
  <c r="AH31" i="5" s="1"/>
  <c r="AG31" i="5" s="1"/>
  <c r="U31" i="5" s="1"/>
  <c r="AN67" i="5"/>
  <c r="AF106" i="5"/>
  <c r="AJ106" i="5" s="1"/>
  <c r="AI106" i="5" s="1"/>
  <c r="AR103" i="5"/>
  <c r="AF53" i="5"/>
  <c r="AJ53" i="5" s="1"/>
  <c r="AI53" i="5" s="1"/>
  <c r="AH53" i="5" s="1"/>
  <c r="AG53" i="5" s="1"/>
  <c r="U53" i="5" s="1"/>
  <c r="AR54" i="5"/>
  <c r="AR69" i="5"/>
  <c r="AR65" i="5"/>
  <c r="AR110" i="5"/>
  <c r="AN85" i="5"/>
  <c r="AN64" i="5"/>
  <c r="AF94" i="5"/>
  <c r="AJ94" i="5" s="1"/>
  <c r="AI94" i="5" s="1"/>
  <c r="AN34" i="5"/>
  <c r="AR36" i="5"/>
  <c r="AF71" i="5"/>
  <c r="AJ71" i="5" s="1"/>
  <c r="AI71" i="5" s="1"/>
  <c r="AF36" i="5"/>
  <c r="AJ36" i="5" s="1"/>
  <c r="AI36" i="5" s="1"/>
  <c r="AH36" i="5" s="1"/>
  <c r="AG36" i="5" s="1"/>
  <c r="U36" i="5" s="1"/>
  <c r="AR58" i="5"/>
  <c r="AF28" i="5"/>
  <c r="AJ28" i="5" s="1"/>
  <c r="AI28" i="5" s="1"/>
  <c r="AH28" i="5" s="1"/>
  <c r="AG28" i="5" s="1"/>
  <c r="U28" i="5" s="1"/>
  <c r="AR94" i="5"/>
  <c r="AF69" i="5"/>
  <c r="AJ69" i="5" s="1"/>
  <c r="AI69" i="5" s="1"/>
  <c r="AH69" i="5" s="1"/>
  <c r="AG69" i="5" s="1"/>
  <c r="U69" i="5" s="1"/>
  <c r="AR78" i="5"/>
  <c r="AF118" i="5"/>
  <c r="AJ118" i="5" s="1"/>
  <c r="AI118" i="5" s="1"/>
  <c r="AF103" i="5"/>
  <c r="AJ103" i="5" s="1"/>
  <c r="AI103" i="5" s="1"/>
  <c r="AF32" i="5"/>
  <c r="AJ32" i="5" s="1"/>
  <c r="AI32" i="5" s="1"/>
  <c r="AH32" i="5" s="1"/>
  <c r="AG32" i="5" s="1"/>
  <c r="U32" i="5" s="1"/>
  <c r="AR52" i="5"/>
  <c r="AN102" i="5"/>
  <c r="AF30" i="5"/>
  <c r="AJ30" i="5" s="1"/>
  <c r="AI30" i="5" s="1"/>
  <c r="AH30" i="5" s="1"/>
  <c r="AG30" i="5" s="1"/>
  <c r="U30" i="5" s="1"/>
  <c r="AR68" i="5"/>
  <c r="AF98" i="5"/>
  <c r="AJ98" i="5" s="1"/>
  <c r="AI98" i="5" s="1"/>
  <c r="AH98" i="5" s="1"/>
  <c r="AG98" i="5" s="1"/>
  <c r="U98" i="5" s="1"/>
  <c r="AR111" i="5"/>
  <c r="AR25" i="5"/>
  <c r="AF58" i="5"/>
  <c r="AJ58" i="5" s="1"/>
  <c r="AI58" i="5" s="1"/>
  <c r="AH58" i="5" s="1"/>
  <c r="AG58" i="5" s="1"/>
  <c r="U58" i="5" s="1"/>
  <c r="AR28" i="5"/>
  <c r="AN105" i="5"/>
  <c r="AF78" i="5"/>
  <c r="AJ78" i="5" s="1"/>
  <c r="AI78" i="5" s="1"/>
  <c r="AH78" i="5" s="1"/>
  <c r="AG78" i="5" s="1"/>
  <c r="U78" i="5" s="1"/>
  <c r="AN113" i="5"/>
  <c r="AR72" i="5"/>
  <c r="AN115" i="5"/>
  <c r="AR62" i="5"/>
  <c r="AR46" i="5"/>
  <c r="AR35" i="5"/>
  <c r="AR33" i="5"/>
  <c r="AR97" i="5"/>
  <c r="AR108" i="5"/>
  <c r="AF84" i="5"/>
  <c r="AJ84" i="5" s="1"/>
  <c r="AI84" i="5" s="1"/>
  <c r="AH84" i="5" s="1"/>
  <c r="AG84" i="5" s="1"/>
  <c r="U84" i="5" s="1"/>
  <c r="AR84" i="5"/>
  <c r="AR116" i="5"/>
  <c r="AR118" i="5"/>
  <c r="AF33" i="5"/>
  <c r="AJ33" i="5" s="1"/>
  <c r="AI33" i="5" s="1"/>
  <c r="AH33" i="5" s="1"/>
  <c r="AG33" i="5" s="1"/>
  <c r="U33" i="5" s="1"/>
  <c r="AF29" i="5"/>
  <c r="AJ29" i="5" s="1"/>
  <c r="AI29" i="5" s="1"/>
  <c r="AH29" i="5" s="1"/>
  <c r="AG29" i="5" s="1"/>
  <c r="U29" i="5" s="1"/>
  <c r="AF47" i="5"/>
  <c r="AJ47" i="5" s="1"/>
  <c r="AI47" i="5" s="1"/>
  <c r="AH47" i="5" s="1"/>
  <c r="AG47" i="5" s="1"/>
  <c r="U47" i="5" s="1"/>
  <c r="AF108" i="5"/>
  <c r="AJ108" i="5" s="1"/>
  <c r="AI108" i="5" s="1"/>
  <c r="AH108" i="5" s="1"/>
  <c r="AG108" i="5" s="1"/>
  <c r="U108" i="5" s="1"/>
  <c r="AN70" i="5"/>
  <c r="AN117" i="5"/>
  <c r="AR48" i="5"/>
  <c r="AF48" i="5"/>
  <c r="AJ48" i="5" s="1"/>
  <c r="AI48" i="5" s="1"/>
  <c r="AH48" i="5" s="1"/>
  <c r="AG48" i="5" s="1"/>
  <c r="U48" i="5" s="1"/>
  <c r="AF97" i="5"/>
  <c r="AJ97" i="5" s="1"/>
  <c r="AI97" i="5" s="1"/>
  <c r="AF35" i="5"/>
  <c r="AJ35" i="5" s="1"/>
  <c r="AI35" i="5" s="1"/>
  <c r="AF95" i="5"/>
  <c r="AJ95" i="5" s="1"/>
  <c r="AI95" i="5" s="1"/>
  <c r="AH95" i="5" s="1"/>
  <c r="AG95" i="5" s="1"/>
  <c r="U95" i="5" s="1"/>
  <c r="AR90" i="5"/>
  <c r="AF46" i="5"/>
  <c r="AJ46" i="5" s="1"/>
  <c r="AI46" i="5" s="1"/>
  <c r="AH46" i="5" s="1"/>
  <c r="AG46" i="5" s="1"/>
  <c r="U46" i="5" s="1"/>
  <c r="AF62" i="5"/>
  <c r="AJ62" i="5" s="1"/>
  <c r="AI62" i="5" s="1"/>
  <c r="AH62" i="5" s="1"/>
  <c r="AG62" i="5" s="1"/>
  <c r="U62" i="5" s="1"/>
  <c r="AR107" i="5"/>
  <c r="AR71" i="5"/>
  <c r="AF107" i="5"/>
  <c r="AJ107" i="5" s="1"/>
  <c r="AI107" i="5" s="1"/>
  <c r="AH107" i="5" s="1"/>
  <c r="AG107" i="5" s="1"/>
  <c r="U107" i="5" s="1"/>
  <c r="AR18" i="5"/>
  <c r="AF113" i="5"/>
  <c r="AR34" i="5"/>
  <c r="AF93" i="5"/>
  <c r="AR85" i="5"/>
  <c r="AF82" i="5"/>
  <c r="AR100" i="5"/>
  <c r="AR38" i="5"/>
  <c r="AF21" i="5"/>
  <c r="AR70" i="5"/>
  <c r="AN17" i="5"/>
  <c r="AF38" i="5"/>
  <c r="AN99" i="5"/>
  <c r="AR117" i="5"/>
  <c r="AR93" i="5"/>
  <c r="AR109" i="5"/>
  <c r="AF117" i="5"/>
  <c r="AF64" i="5"/>
  <c r="AF100" i="5"/>
  <c r="AF67" i="5"/>
  <c r="AR102" i="5"/>
  <c r="AR82" i="5"/>
  <c r="AR21" i="5"/>
  <c r="AR55" i="5"/>
  <c r="AF115" i="5"/>
  <c r="AN19" i="5"/>
  <c r="AR105" i="5"/>
  <c r="AN104" i="5"/>
  <c r="AR17" i="5"/>
  <c r="AF96" i="5"/>
  <c r="AN18" i="5"/>
  <c r="AR64" i="5"/>
  <c r="AF85" i="5"/>
  <c r="AN37" i="5"/>
  <c r="AR113" i="5"/>
  <c r="AF34" i="5"/>
  <c r="AF102" i="5"/>
  <c r="AF105" i="5"/>
  <c r="AR19" i="5"/>
  <c r="AR96" i="5"/>
  <c r="AR115" i="5"/>
  <c r="AF70" i="5"/>
  <c r="AR67" i="5"/>
  <c r="AF55" i="5"/>
  <c r="AF109" i="5"/>
  <c r="BP15" i="9"/>
  <c r="AW132" i="9"/>
  <c r="AK137" i="9"/>
  <c r="AF104" i="5"/>
  <c r="AR88" i="7"/>
  <c r="BJ205" i="4" a="1"/>
  <c r="BJ205" i="4" s="1"/>
  <c r="BK205" i="4" a="1"/>
  <c r="BK205" i="4" s="1"/>
  <c r="BH205" i="4" a="1"/>
  <c r="BH205" i="4" s="1"/>
  <c r="BI205" i="4" a="1"/>
  <c r="BI205" i="4" s="1"/>
  <c r="BJ17" i="4"/>
  <c r="AR160" i="4"/>
  <c r="FH165" i="4"/>
  <c r="BJ123" i="8" a="1"/>
  <c r="BJ123" i="8" s="1"/>
  <c r="BH123" i="8" a="1"/>
  <c r="BH123" i="8" s="1"/>
  <c r="BI123" i="8" a="1"/>
  <c r="BI123" i="8" s="1"/>
  <c r="BK123" i="8" a="1"/>
  <c r="BK123" i="8" s="1"/>
  <c r="BJ18" i="8"/>
  <c r="BR17" i="4"/>
  <c r="BR16" i="4"/>
  <c r="BR50" i="4"/>
  <c r="BV50" i="4" s="1"/>
  <c r="BR35" i="4"/>
  <c r="BV35" i="4" s="1"/>
  <c r="BR200" i="4"/>
  <c r="BV200" i="4" s="1"/>
  <c r="BR43" i="4"/>
  <c r="BV43" i="4" s="1"/>
  <c r="BR34" i="4"/>
  <c r="BV34" i="4" s="1"/>
  <c r="BR196" i="4"/>
  <c r="BV196" i="4" s="1"/>
  <c r="BR45" i="4"/>
  <c r="BV45" i="4" s="1"/>
  <c r="BR199" i="4"/>
  <c r="BV199" i="4" s="1"/>
  <c r="BR31" i="4"/>
  <c r="BV31" i="4" s="1"/>
  <c r="BR33" i="4"/>
  <c r="BV33" i="4" s="1"/>
  <c r="BR198" i="4"/>
  <c r="BR24" i="4"/>
  <c r="BR25" i="4"/>
  <c r="BR195" i="4"/>
  <c r="BR42" i="4"/>
  <c r="BV42" i="4" s="1"/>
  <c r="BR21" i="4"/>
  <c r="BR44" i="4"/>
  <c r="BV44" i="4" s="1"/>
  <c r="BR46" i="4"/>
  <c r="BV46" i="4" s="1"/>
  <c r="BM10" i="4"/>
  <c r="BR18" i="4"/>
  <c r="BR20" i="4"/>
  <c r="BR39" i="4"/>
  <c r="BV39" i="4" s="1"/>
  <c r="BR27" i="4"/>
  <c r="BR22" i="4"/>
  <c r="BR36" i="4"/>
  <c r="BV36" i="4" s="1"/>
  <c r="BR197" i="4"/>
  <c r="BV197" i="4" s="1"/>
  <c r="BR40" i="4"/>
  <c r="BV40" i="4" s="1"/>
  <c r="BR19" i="4"/>
  <c r="BR37" i="4"/>
  <c r="BV37" i="4" s="1"/>
  <c r="BR23" i="4"/>
  <c r="BR41" i="4"/>
  <c r="BV41" i="4" s="1"/>
  <c r="BR47" i="4"/>
  <c r="BV47" i="4" s="1"/>
  <c r="BR49" i="4"/>
  <c r="BV49" i="4" s="1"/>
  <c r="CD23" i="4"/>
  <c r="BZ24" i="4"/>
  <c r="BZ39" i="4"/>
  <c r="CD27" i="4"/>
  <c r="BZ199" i="4"/>
  <c r="CD33" i="4"/>
  <c r="BZ43" i="4"/>
  <c r="CD42" i="4"/>
  <c r="BZ26" i="4"/>
  <c r="BZ33" i="4"/>
  <c r="CD45" i="4"/>
  <c r="BZ197" i="4"/>
  <c r="CD199" i="4"/>
  <c r="BZ36" i="4"/>
  <c r="BZ50" i="4"/>
  <c r="CD195" i="4"/>
  <c r="BR26" i="4"/>
  <c r="BZ45" i="4"/>
  <c r="BZ22" i="4"/>
  <c r="BZ196" i="4"/>
  <c r="BZ34" i="4"/>
  <c r="BZ41" i="4"/>
  <c r="CD35" i="4"/>
  <c r="BZ23" i="4"/>
  <c r="CD200" i="4"/>
  <c r="CD40" i="4"/>
  <c r="CD198" i="4"/>
  <c r="BZ49" i="4"/>
  <c r="CD41" i="4"/>
  <c r="CD36" i="4"/>
  <c r="CD46" i="4"/>
  <c r="CD25" i="4"/>
  <c r="CD24" i="4"/>
  <c r="CD22" i="4"/>
  <c r="BZ42" i="4"/>
  <c r="CD194" i="4"/>
  <c r="CD37" i="4"/>
  <c r="BZ47" i="4"/>
  <c r="CD196" i="4"/>
  <c r="BZ198" i="4"/>
  <c r="CD50" i="4"/>
  <c r="BZ27" i="4"/>
  <c r="BZ37" i="4"/>
  <c r="BZ35" i="4"/>
  <c r="CD39" i="4"/>
  <c r="CD197" i="4"/>
  <c r="BZ194" i="4"/>
  <c r="CD26" i="4"/>
  <c r="BZ40" i="4"/>
  <c r="BZ195" i="4"/>
  <c r="CD47" i="4"/>
  <c r="BZ31" i="4"/>
  <c r="BZ46" i="4"/>
  <c r="BZ25" i="4"/>
  <c r="CD49" i="4"/>
  <c r="CD43" i="4"/>
  <c r="BZ200" i="4"/>
  <c r="CD44" i="4"/>
  <c r="CD31" i="4"/>
  <c r="CD34" i="4"/>
  <c r="BZ44" i="4"/>
  <c r="BR194" i="4"/>
  <c r="BZ69" i="4"/>
  <c r="BZ106" i="4"/>
  <c r="BZ119" i="4"/>
  <c r="BZ178" i="4"/>
  <c r="BZ72" i="4"/>
  <c r="BZ59" i="4"/>
  <c r="BZ75" i="4"/>
  <c r="BZ171" i="4"/>
  <c r="BZ156" i="4"/>
  <c r="BZ57" i="4"/>
  <c r="BZ150" i="4"/>
  <c r="BZ95" i="4"/>
  <c r="BZ53" i="4"/>
  <c r="BZ30" i="4"/>
  <c r="BZ159" i="4"/>
  <c r="BZ191" i="4"/>
  <c r="BZ193" i="4"/>
  <c r="BZ157" i="4"/>
  <c r="BZ176" i="4"/>
  <c r="BZ137" i="4"/>
  <c r="BZ108" i="4"/>
  <c r="BZ73" i="4"/>
  <c r="BZ179" i="4"/>
  <c r="BZ86" i="4"/>
  <c r="BZ111" i="4"/>
  <c r="BZ145" i="4"/>
  <c r="BZ112" i="4"/>
  <c r="BZ76" i="4"/>
  <c r="BZ183" i="4"/>
  <c r="BZ60" i="4"/>
  <c r="BZ110" i="4"/>
  <c r="BZ167" i="4"/>
  <c r="BZ144" i="4"/>
  <c r="BZ67" i="4"/>
  <c r="BZ148" i="4"/>
  <c r="BZ162" i="4"/>
  <c r="BZ186" i="4"/>
  <c r="BZ130" i="4"/>
  <c r="BZ71" i="4"/>
  <c r="BZ139" i="4"/>
  <c r="BZ140" i="4"/>
  <c r="BZ177" i="4"/>
  <c r="BZ117" i="4"/>
  <c r="BZ123" i="4"/>
  <c r="BZ146" i="4"/>
  <c r="BZ85" i="4"/>
  <c r="BZ74" i="4"/>
  <c r="BZ113" i="4"/>
  <c r="BZ103" i="4"/>
  <c r="BZ168" i="4"/>
  <c r="BZ182" i="4"/>
  <c r="BZ115" i="4"/>
  <c r="BZ169" i="4"/>
  <c r="BZ190" i="4"/>
  <c r="BZ158" i="4"/>
  <c r="BZ172" i="4"/>
  <c r="BZ185" i="4"/>
  <c r="BZ153" i="4"/>
  <c r="BZ61" i="4"/>
  <c r="BZ184" i="4"/>
  <c r="BZ125" i="4"/>
  <c r="BZ138" i="4"/>
  <c r="BZ180" i="4"/>
  <c r="BZ164" i="4"/>
  <c r="BZ51" i="4"/>
  <c r="BZ101" i="4"/>
  <c r="BZ173" i="4"/>
  <c r="BZ87" i="4"/>
  <c r="BZ68" i="4"/>
  <c r="BZ96" i="4"/>
  <c r="BZ154" i="4"/>
  <c r="BZ55" i="4"/>
  <c r="BZ147" i="4"/>
  <c r="BZ83" i="4"/>
  <c r="BZ127" i="4"/>
  <c r="BZ188" i="4"/>
  <c r="BZ120" i="4"/>
  <c r="BZ175" i="4"/>
  <c r="BZ107" i="4"/>
  <c r="BZ94" i="4"/>
  <c r="BZ65" i="4"/>
  <c r="BZ181" i="4"/>
  <c r="BZ93" i="4"/>
  <c r="BZ163" i="4"/>
  <c r="BZ78" i="4"/>
  <c r="BR130" i="4"/>
  <c r="BV130" i="4" s="1"/>
  <c r="BR177" i="4"/>
  <c r="BV177" i="4" s="1"/>
  <c r="BR71" i="4"/>
  <c r="BV71" i="4" s="1"/>
  <c r="BR173" i="4"/>
  <c r="BV173" i="4" s="1"/>
  <c r="CD175" i="4"/>
  <c r="BR137" i="4"/>
  <c r="BV137" i="4" s="1"/>
  <c r="CD51" i="4"/>
  <c r="CD73" i="4"/>
  <c r="CD140" i="4"/>
  <c r="CD179" i="4"/>
  <c r="BR87" i="4"/>
  <c r="BV87" i="4" s="1"/>
  <c r="CD123" i="4"/>
  <c r="CD186" i="4"/>
  <c r="BR96" i="4"/>
  <c r="BV96" i="4" s="1"/>
  <c r="CD144" i="4"/>
  <c r="CD76" i="4"/>
  <c r="CD147" i="4"/>
  <c r="BZ109" i="4"/>
  <c r="BR30" i="4"/>
  <c r="BV30" i="4" s="1"/>
  <c r="BZ170" i="4"/>
  <c r="CD57" i="4"/>
  <c r="BR93" i="4"/>
  <c r="BV93" i="4" s="1"/>
  <c r="CD85" i="4"/>
  <c r="BR112" i="4"/>
  <c r="BV112" i="4" s="1"/>
  <c r="CD153" i="4"/>
  <c r="BZ97" i="4"/>
  <c r="BR110" i="4"/>
  <c r="BV110" i="4" s="1"/>
  <c r="CD177" i="4"/>
  <c r="BR76" i="4"/>
  <c r="BV76" i="4" s="1"/>
  <c r="BR153" i="4"/>
  <c r="BV153" i="4" s="1"/>
  <c r="BR55" i="4"/>
  <c r="BV55" i="4" s="1"/>
  <c r="CD158" i="4"/>
  <c r="CD180" i="4"/>
  <c r="BR53" i="4"/>
  <c r="BV53" i="4" s="1"/>
  <c r="BR65" i="4"/>
  <c r="BV65" i="4" s="1"/>
  <c r="BR184" i="4"/>
  <c r="BV184" i="4" s="1"/>
  <c r="CD96" i="4"/>
  <c r="BR150" i="4"/>
  <c r="BV150" i="4" s="1"/>
  <c r="BZ152" i="4"/>
  <c r="CD107" i="4"/>
  <c r="BR86" i="4"/>
  <c r="BV86" i="4" s="1"/>
  <c r="BR144" i="4"/>
  <c r="BV144" i="4" s="1"/>
  <c r="BR57" i="4"/>
  <c r="BV57" i="4" s="1"/>
  <c r="BR154" i="4"/>
  <c r="BV154" i="4" s="1"/>
  <c r="BR73" i="4"/>
  <c r="BV73" i="4" s="1"/>
  <c r="CD65" i="4"/>
  <c r="BR186" i="4"/>
  <c r="BV186" i="4" s="1"/>
  <c r="BZ62" i="4"/>
  <c r="BR115" i="4"/>
  <c r="BV115" i="4" s="1"/>
  <c r="CD87" i="4"/>
  <c r="CD171" i="4"/>
  <c r="CD113" i="4"/>
  <c r="BR113" i="4"/>
  <c r="BV113" i="4" s="1"/>
  <c r="CD146" i="4"/>
  <c r="BR95" i="4"/>
  <c r="BV95" i="4" s="1"/>
  <c r="CD193" i="4"/>
  <c r="BR69" i="4"/>
  <c r="BV69" i="4" s="1"/>
  <c r="CD59" i="4"/>
  <c r="BR185" i="4"/>
  <c r="BV185" i="4" s="1"/>
  <c r="BR107" i="4"/>
  <c r="BV107" i="4" s="1"/>
  <c r="BR171" i="4"/>
  <c r="BV171" i="4" s="1"/>
  <c r="CD83" i="4"/>
  <c r="BR127" i="4"/>
  <c r="BV127" i="4" s="1"/>
  <c r="BR140" i="4"/>
  <c r="BV140" i="4" s="1"/>
  <c r="CD167" i="4"/>
  <c r="BR176" i="4"/>
  <c r="BV176" i="4" s="1"/>
  <c r="BR59" i="4"/>
  <c r="BV59" i="4" s="1"/>
  <c r="CD55" i="4"/>
  <c r="BR146" i="4"/>
  <c r="BV146" i="4" s="1"/>
  <c r="CD115" i="4"/>
  <c r="CD190" i="4"/>
  <c r="CD117" i="4"/>
  <c r="CD120" i="4"/>
  <c r="CD168" i="4"/>
  <c r="CD119" i="4"/>
  <c r="CD157" i="4"/>
  <c r="BR117" i="4"/>
  <c r="BV117" i="4" s="1"/>
  <c r="CD74" i="4"/>
  <c r="CD86" i="4"/>
  <c r="CD53" i="4"/>
  <c r="BR157" i="4"/>
  <c r="BV157" i="4" s="1"/>
  <c r="CD154" i="4"/>
  <c r="BR51" i="4"/>
  <c r="BV51" i="4" s="1"/>
  <c r="CD182" i="4"/>
  <c r="BR85" i="4"/>
  <c r="BV85" i="4" s="1"/>
  <c r="BR164" i="4"/>
  <c r="BV164" i="4" s="1"/>
  <c r="BZ187" i="4"/>
  <c r="BZ114" i="4"/>
  <c r="BR169" i="4"/>
  <c r="BV169" i="4" s="1"/>
  <c r="BR181" i="4"/>
  <c r="BV181" i="4" s="1"/>
  <c r="BZ70" i="4"/>
  <c r="BR168" i="4"/>
  <c r="BV168" i="4" s="1"/>
  <c r="CD112" i="4"/>
  <c r="CD103" i="4"/>
  <c r="CD95" i="4"/>
  <c r="CD145" i="4"/>
  <c r="BZ135" i="4"/>
  <c r="BR158" i="4"/>
  <c r="BV158" i="4" s="1"/>
  <c r="CD138" i="4"/>
  <c r="CD156" i="4"/>
  <c r="BR123" i="4"/>
  <c r="BV123" i="4" s="1"/>
  <c r="BZ189" i="4"/>
  <c r="CD181" i="4"/>
  <c r="BR108" i="4"/>
  <c r="BV108" i="4" s="1"/>
  <c r="BZ58" i="4"/>
  <c r="BR167" i="4"/>
  <c r="BV167" i="4" s="1"/>
  <c r="CD164" i="4"/>
  <c r="BR94" i="4"/>
  <c r="BV94" i="4" s="1"/>
  <c r="BR156" i="4"/>
  <c r="BV156" i="4" s="1"/>
  <c r="BR172" i="4"/>
  <c r="BV172" i="4" s="1"/>
  <c r="BR74" i="4"/>
  <c r="BV74" i="4" s="1"/>
  <c r="BZ161" i="4"/>
  <c r="CD68" i="4"/>
  <c r="BR159" i="4"/>
  <c r="BV159" i="4" s="1"/>
  <c r="CD150" i="4"/>
  <c r="CD130" i="4"/>
  <c r="CD30" i="4"/>
  <c r="CD185" i="4"/>
  <c r="CD94" i="4"/>
  <c r="BR119" i="4"/>
  <c r="BV119" i="4" s="1"/>
  <c r="CD173" i="4"/>
  <c r="BZ166" i="4"/>
  <c r="BR147" i="4"/>
  <c r="BV147" i="4" s="1"/>
  <c r="BR68" i="4"/>
  <c r="BV68" i="4" s="1"/>
  <c r="BR182" i="4"/>
  <c r="BV182" i="4" s="1"/>
  <c r="CD184" i="4"/>
  <c r="BZ141" i="4"/>
  <c r="BR193" i="4"/>
  <c r="BV193" i="4" s="1"/>
  <c r="BR175" i="4"/>
  <c r="BV175" i="4" s="1"/>
  <c r="CD162" i="4"/>
  <c r="CD61" i="4"/>
  <c r="BR101" i="4"/>
  <c r="BV101" i="4" s="1"/>
  <c r="BR178" i="4"/>
  <c r="BV178" i="4" s="1"/>
  <c r="CD101" i="4"/>
  <c r="BR60" i="4"/>
  <c r="BV60" i="4" s="1"/>
  <c r="BR75" i="4"/>
  <c r="BV75" i="4" s="1"/>
  <c r="BR190" i="4"/>
  <c r="BV190" i="4" s="1"/>
  <c r="BR72" i="4"/>
  <c r="BV72" i="4" s="1"/>
  <c r="CD75" i="4"/>
  <c r="CD93" i="4"/>
  <c r="CD191" i="4"/>
  <c r="BR125" i="4"/>
  <c r="BV125" i="4" s="1"/>
  <c r="BR145" i="4"/>
  <c r="BV145" i="4" s="1"/>
  <c r="BR162" i="4"/>
  <c r="BV162" i="4" s="1"/>
  <c r="BR61" i="4"/>
  <c r="BV61" i="4" s="1"/>
  <c r="BR139" i="4"/>
  <c r="BV139" i="4" s="1"/>
  <c r="CD176" i="4"/>
  <c r="CD159" i="4"/>
  <c r="CD71" i="4"/>
  <c r="CD60" i="4"/>
  <c r="CD69" i="4"/>
  <c r="BR191" i="4"/>
  <c r="BV191" i="4" s="1"/>
  <c r="CD169" i="4"/>
  <c r="CD108" i="4"/>
  <c r="BR188" i="4"/>
  <c r="BV188" i="4" s="1"/>
  <c r="CD125" i="4"/>
  <c r="BR83" i="4"/>
  <c r="BV83" i="4" s="1"/>
  <c r="BR67" i="4"/>
  <c r="BV67" i="4" s="1"/>
  <c r="CD111" i="4"/>
  <c r="BR120" i="4"/>
  <c r="BV120" i="4" s="1"/>
  <c r="BR148" i="4"/>
  <c r="BV148" i="4" s="1"/>
  <c r="BR179" i="4"/>
  <c r="BV179" i="4" s="1"/>
  <c r="BZ192" i="4"/>
  <c r="BR183" i="4"/>
  <c r="BV183" i="4" s="1"/>
  <c r="BR180" i="4"/>
  <c r="BV180" i="4" s="1"/>
  <c r="BR138" i="4"/>
  <c r="BV138" i="4" s="1"/>
  <c r="BR103" i="4"/>
  <c r="BV103" i="4" s="1"/>
  <c r="BZ66" i="4"/>
  <c r="BR111" i="4"/>
  <c r="BV111" i="4" s="1"/>
  <c r="CD72" i="4"/>
  <c r="CD127" i="4"/>
  <c r="CD178" i="4"/>
  <c r="CD137" i="4"/>
  <c r="CD148" i="4"/>
  <c r="CD106" i="4"/>
  <c r="CD110" i="4"/>
  <c r="BZ118" i="4"/>
  <c r="BR106" i="4"/>
  <c r="BV106" i="4" s="1"/>
  <c r="CD172" i="4"/>
  <c r="CD139" i="4"/>
  <c r="BZ29" i="4"/>
  <c r="CD67" i="4"/>
  <c r="CD183" i="4"/>
  <c r="CD188" i="4"/>
  <c r="BZ155" i="4"/>
  <c r="BR189" i="4"/>
  <c r="CD118" i="4"/>
  <c r="CD161" i="4"/>
  <c r="BZ18" i="4"/>
  <c r="CD19" i="4"/>
  <c r="CD192" i="4"/>
  <c r="CD170" i="4"/>
  <c r="BR97" i="4"/>
  <c r="CD163" i="4"/>
  <c r="BR135" i="4"/>
  <c r="CD135" i="4"/>
  <c r="BR170" i="4"/>
  <c r="CD97" i="4"/>
  <c r="CD29" i="4"/>
  <c r="BZ77" i="4"/>
  <c r="BR192" i="4"/>
  <c r="BR141" i="4"/>
  <c r="CD141" i="4"/>
  <c r="BR62" i="4"/>
  <c r="BZ21" i="4"/>
  <c r="CD189" i="4"/>
  <c r="CD18" i="4"/>
  <c r="CD187" i="4"/>
  <c r="BR166" i="4"/>
  <c r="CD114" i="4"/>
  <c r="BR114" i="4"/>
  <c r="CD58" i="4"/>
  <c r="CD62" i="4"/>
  <c r="BZ19" i="4"/>
  <c r="BR187" i="4"/>
  <c r="BR78" i="4"/>
  <c r="CD166" i="4"/>
  <c r="CD70" i="4"/>
  <c r="BZ20" i="4"/>
  <c r="CD20" i="4"/>
  <c r="BR29" i="4"/>
  <c r="BR118" i="4"/>
  <c r="CD78" i="4"/>
  <c r="BR155" i="4"/>
  <c r="CD66" i="4"/>
  <c r="BR161" i="4"/>
  <c r="CD155" i="4"/>
  <c r="BR58" i="4"/>
  <c r="CD21" i="4"/>
  <c r="BR70" i="4"/>
  <c r="BR163" i="4"/>
  <c r="BR152" i="4"/>
  <c r="BZ160" i="4"/>
  <c r="BR109" i="4"/>
  <c r="CD109" i="4"/>
  <c r="CD152" i="4"/>
  <c r="BR66" i="4"/>
  <c r="BZ165" i="4"/>
  <c r="AY19" i="8"/>
  <c r="AY17" i="8"/>
  <c r="AT9" i="8"/>
  <c r="AY24" i="8"/>
  <c r="AY20" i="8"/>
  <c r="AY21" i="8"/>
  <c r="AY18" i="8"/>
  <c r="BK25" i="8"/>
  <c r="BK24" i="8"/>
  <c r="AY25" i="8"/>
  <c r="BG25" i="8"/>
  <c r="BG24" i="8"/>
  <c r="BG109" i="8"/>
  <c r="BG50" i="8"/>
  <c r="BG89" i="8"/>
  <c r="BG63" i="8"/>
  <c r="BG97" i="8"/>
  <c r="BG94" i="8"/>
  <c r="BG40" i="8"/>
  <c r="BG46" i="8"/>
  <c r="BG58" i="8"/>
  <c r="BG110" i="8"/>
  <c r="BG61" i="8"/>
  <c r="BG34" i="8"/>
  <c r="BG66" i="8"/>
  <c r="BG105" i="8"/>
  <c r="BG27" i="8"/>
  <c r="BG67" i="8"/>
  <c r="BG39" i="8"/>
  <c r="BG78" i="8"/>
  <c r="BG116" i="8"/>
  <c r="BG75" i="8"/>
  <c r="BG64" i="8"/>
  <c r="BG76" i="8"/>
  <c r="BG47" i="8"/>
  <c r="BG81" i="8"/>
  <c r="BG90" i="8"/>
  <c r="BG93" i="8"/>
  <c r="BK46" i="8"/>
  <c r="BG106" i="8"/>
  <c r="BG74" i="8"/>
  <c r="BG115" i="8"/>
  <c r="BG36" i="8"/>
  <c r="BG23" i="8"/>
  <c r="BG113" i="8"/>
  <c r="BG87" i="8"/>
  <c r="AY50" i="8"/>
  <c r="BG48" i="8"/>
  <c r="BG111" i="8"/>
  <c r="BG32" i="8"/>
  <c r="BG71" i="8"/>
  <c r="BG35" i="8"/>
  <c r="BG88" i="8"/>
  <c r="BG33" i="8"/>
  <c r="BG107" i="8"/>
  <c r="BG83" i="8"/>
  <c r="BG54" i="8"/>
  <c r="BK50" i="8"/>
  <c r="BG96" i="8"/>
  <c r="BG118" i="8"/>
  <c r="BG37" i="8"/>
  <c r="BG60" i="8"/>
  <c r="BG72" i="8"/>
  <c r="BG102" i="8"/>
  <c r="BG100" i="8"/>
  <c r="BG86" i="8"/>
  <c r="BG31" i="8"/>
  <c r="BG38" i="8"/>
  <c r="AY46" i="8"/>
  <c r="BG57" i="8"/>
  <c r="AY47" i="8"/>
  <c r="AY88" i="8"/>
  <c r="BG99" i="8"/>
  <c r="BK96" i="8"/>
  <c r="AY34" i="8"/>
  <c r="BG22" i="8"/>
  <c r="AY110" i="8"/>
  <c r="BG82" i="8"/>
  <c r="BK74" i="8"/>
  <c r="BK105" i="8"/>
  <c r="AY36" i="8"/>
  <c r="BK72" i="8"/>
  <c r="AY72" i="8"/>
  <c r="AY100" i="8"/>
  <c r="BK106" i="8"/>
  <c r="AY33" i="8"/>
  <c r="BK23" i="8"/>
  <c r="AY107" i="8"/>
  <c r="BK111" i="8"/>
  <c r="AY78" i="8"/>
  <c r="BK88" i="8"/>
  <c r="BK38" i="8"/>
  <c r="BK113" i="8"/>
  <c r="BG117" i="8"/>
  <c r="AY74" i="8"/>
  <c r="BG95" i="8"/>
  <c r="AY106" i="8"/>
  <c r="AY32" i="8"/>
  <c r="AY97" i="8"/>
  <c r="BK100" i="8"/>
  <c r="BK60" i="8"/>
  <c r="BK47" i="8"/>
  <c r="BK90" i="8"/>
  <c r="BK48" i="8"/>
  <c r="BG59" i="8"/>
  <c r="BK54" i="8"/>
  <c r="BG92" i="8"/>
  <c r="BK33" i="8"/>
  <c r="AY90" i="8"/>
  <c r="BK86" i="8"/>
  <c r="AY60" i="8"/>
  <c r="BK87" i="8"/>
  <c r="BK97" i="8"/>
  <c r="BK40" i="8"/>
  <c r="AY37" i="8"/>
  <c r="BK76" i="8"/>
  <c r="AY86" i="8"/>
  <c r="AY57" i="8"/>
  <c r="AY81" i="8"/>
  <c r="BK66" i="8"/>
  <c r="BK27" i="8"/>
  <c r="BG114" i="8"/>
  <c r="BG112" i="8"/>
  <c r="AY93" i="8"/>
  <c r="BK81" i="8"/>
  <c r="BK118" i="8"/>
  <c r="BK37" i="8"/>
  <c r="AY113" i="8"/>
  <c r="AY75" i="8"/>
  <c r="BK32" i="8"/>
  <c r="BK39" i="8"/>
  <c r="AY111" i="8"/>
  <c r="BK94" i="8"/>
  <c r="BK93" i="8"/>
  <c r="AY23" i="8"/>
  <c r="AY96" i="8"/>
  <c r="BG62" i="8"/>
  <c r="BK34" i="8"/>
  <c r="BG101" i="8"/>
  <c r="AY27" i="8"/>
  <c r="AY118" i="8"/>
  <c r="BK102" i="8"/>
  <c r="AY66" i="8"/>
  <c r="AY39" i="8"/>
  <c r="AY105" i="8"/>
  <c r="BK67" i="8"/>
  <c r="BK58" i="8"/>
  <c r="BG65" i="8"/>
  <c r="AY48" i="8"/>
  <c r="AY63" i="8"/>
  <c r="AY58" i="8"/>
  <c r="BG79" i="8"/>
  <c r="AY61" i="8"/>
  <c r="BK61" i="8"/>
  <c r="AY109" i="8"/>
  <c r="BK89" i="8"/>
  <c r="AY35" i="8"/>
  <c r="AY115" i="8"/>
  <c r="BK109" i="8"/>
  <c r="BG49" i="8"/>
  <c r="BG108" i="8"/>
  <c r="BK63" i="8"/>
  <c r="BK78" i="8"/>
  <c r="BK31" i="8"/>
  <c r="AY87" i="8"/>
  <c r="AY31" i="8"/>
  <c r="BK116" i="8"/>
  <c r="BK83" i="8"/>
  <c r="BG104" i="8"/>
  <c r="AY83" i="8"/>
  <c r="BK64" i="8"/>
  <c r="BK115" i="8"/>
  <c r="BK57" i="8"/>
  <c r="AY38" i="8"/>
  <c r="BK35" i="8"/>
  <c r="BK107" i="8"/>
  <c r="AY71" i="8"/>
  <c r="AY76" i="8"/>
  <c r="AY102" i="8"/>
  <c r="BK71" i="8"/>
  <c r="BK36" i="8"/>
  <c r="BK110" i="8"/>
  <c r="AY40" i="8"/>
  <c r="AY64" i="8"/>
  <c r="BK75" i="8"/>
  <c r="AY116" i="8"/>
  <c r="BG42" i="8"/>
  <c r="AY67" i="8"/>
  <c r="AY54" i="8"/>
  <c r="AY89" i="8"/>
  <c r="AY94" i="8"/>
  <c r="AY62" i="8"/>
  <c r="BK92" i="8"/>
  <c r="BK49" i="8"/>
  <c r="AY42" i="8"/>
  <c r="BK59" i="8"/>
  <c r="AY117" i="8"/>
  <c r="BK112" i="8"/>
  <c r="AY112" i="8"/>
  <c r="BG21" i="8"/>
  <c r="BG19" i="8"/>
  <c r="AY22" i="8"/>
  <c r="BK117" i="8"/>
  <c r="AY99" i="8"/>
  <c r="AY104" i="8"/>
  <c r="BG20" i="8"/>
  <c r="BK65" i="8"/>
  <c r="AY59" i="8"/>
  <c r="AY108" i="8"/>
  <c r="AY114" i="8"/>
  <c r="BK108" i="8"/>
  <c r="AY65" i="8"/>
  <c r="BK62" i="8"/>
  <c r="BK19" i="8"/>
  <c r="BK104" i="8"/>
  <c r="BG103" i="8"/>
  <c r="BK99" i="8"/>
  <c r="BK79" i="8"/>
  <c r="BK22" i="8"/>
  <c r="BK95" i="8"/>
  <c r="BK21" i="8"/>
  <c r="BK20" i="8"/>
  <c r="BK42" i="8"/>
  <c r="AY101" i="8"/>
  <c r="AY82" i="8"/>
  <c r="BG98" i="8"/>
  <c r="AY92" i="8"/>
  <c r="AY49" i="8"/>
  <c r="BK82" i="8"/>
  <c r="AY79" i="8"/>
  <c r="BK101" i="8"/>
  <c r="BG41" i="8"/>
  <c r="BK114" i="8"/>
  <c r="AY95" i="8"/>
  <c r="BF17" i="8"/>
  <c r="BG18" i="8"/>
  <c r="AQ107" i="7" a="1"/>
  <c r="AQ107" i="7" s="1"/>
  <c r="AP107" i="7" a="1"/>
  <c r="AP107" i="7" s="1"/>
  <c r="AO107" i="7" a="1"/>
  <c r="AO107" i="7" s="1"/>
  <c r="AR107" i="7" a="1"/>
  <c r="AR107" i="7" s="1"/>
  <c r="AQ18" i="7"/>
  <c r="DD160" i="4"/>
  <c r="AF37" i="5"/>
  <c r="AF42" i="7"/>
  <c r="DP165" i="4"/>
  <c r="AR99" i="5"/>
  <c r="FP17" i="4"/>
  <c r="FO16" i="4"/>
  <c r="BK98" i="8"/>
  <c r="FS17" i="4"/>
  <c r="FT205" i="4" a="1"/>
  <c r="FT205" i="4" s="1"/>
  <c r="FS205" i="4" a="1"/>
  <c r="FS205" i="4" s="1"/>
  <c r="FR205" i="4" a="1"/>
  <c r="FR205" i="4" s="1"/>
  <c r="FQ205" i="4" a="1"/>
  <c r="FQ205" i="4" s="1"/>
  <c r="CR17" i="8"/>
  <c r="CS18" i="8"/>
  <c r="AN18" i="7"/>
  <c r="AM17" i="7"/>
  <c r="BK41" i="8"/>
  <c r="AW30" i="9"/>
  <c r="AS31" i="9"/>
  <c r="AW44" i="9"/>
  <c r="AW28" i="9"/>
  <c r="AK21" i="9"/>
  <c r="AK32" i="9"/>
  <c r="P4" i="9"/>
  <c r="P101" i="9" s="1"/>
  <c r="AS34" i="9"/>
  <c r="AW21" i="9"/>
  <c r="AK16" i="9"/>
  <c r="AK26" i="9"/>
  <c r="AS20" i="9"/>
  <c r="AK22" i="9"/>
  <c r="AK31" i="9"/>
  <c r="AW29" i="9"/>
  <c r="AK30" i="9"/>
  <c r="AW26" i="9"/>
  <c r="AS22" i="9"/>
  <c r="AS42" i="9"/>
  <c r="AW27" i="9"/>
  <c r="AS44" i="9"/>
  <c r="AS32" i="9"/>
  <c r="AS21" i="9"/>
  <c r="AS28" i="9"/>
  <c r="AK29" i="9"/>
  <c r="AK19" i="9"/>
  <c r="AS27" i="9"/>
  <c r="AW23" i="9"/>
  <c r="AK20" i="9"/>
  <c r="AW43" i="9"/>
  <c r="AK18" i="9"/>
  <c r="AW42" i="9"/>
  <c r="AW41" i="9"/>
  <c r="AK42" i="9"/>
  <c r="AK17" i="9"/>
  <c r="AS41" i="9"/>
  <c r="AW32" i="9"/>
  <c r="AS29" i="9"/>
  <c r="AS23" i="9"/>
  <c r="AW31" i="9"/>
  <c r="AS30" i="9"/>
  <c r="AW22" i="9"/>
  <c r="AS43" i="9"/>
  <c r="AK44" i="9"/>
  <c r="AW34" i="9"/>
  <c r="AK23" i="9"/>
  <c r="AK15" i="9"/>
  <c r="AK41" i="9"/>
  <c r="AS26" i="9"/>
  <c r="AK34" i="9"/>
  <c r="AK27" i="9"/>
  <c r="AK43" i="9"/>
  <c r="AK28" i="9"/>
  <c r="AF9" i="9"/>
  <c r="AS120" i="9"/>
  <c r="AS114" i="9"/>
  <c r="AS144" i="9"/>
  <c r="AS94" i="9"/>
  <c r="AS110" i="9"/>
  <c r="AS82" i="9"/>
  <c r="AS130" i="9"/>
  <c r="AS157" i="9"/>
  <c r="AS95" i="9"/>
  <c r="AS67" i="9"/>
  <c r="AS84" i="9"/>
  <c r="AS69" i="9"/>
  <c r="AK78" i="9"/>
  <c r="AS167" i="9"/>
  <c r="AS141" i="9"/>
  <c r="AS81" i="9"/>
  <c r="AS148" i="9"/>
  <c r="AS145" i="9"/>
  <c r="AS134" i="9"/>
  <c r="AS146" i="9"/>
  <c r="AS78" i="9"/>
  <c r="AS108" i="9"/>
  <c r="AS90" i="9"/>
  <c r="AS64" i="9"/>
  <c r="AS37" i="9"/>
  <c r="AS140" i="9"/>
  <c r="AS136" i="9"/>
  <c r="AS155" i="9"/>
  <c r="AS165" i="9"/>
  <c r="AS128" i="9"/>
  <c r="AS59" i="9"/>
  <c r="AS118" i="9"/>
  <c r="AS98" i="9"/>
  <c r="AS62" i="9"/>
  <c r="AS57" i="9"/>
  <c r="AW78" i="9"/>
  <c r="AS113" i="9"/>
  <c r="AS70" i="9"/>
  <c r="AS164" i="9"/>
  <c r="AS104" i="9"/>
  <c r="AS139" i="9"/>
  <c r="AS73" i="9"/>
  <c r="AS150" i="9"/>
  <c r="AS168" i="9"/>
  <c r="AS93" i="9"/>
  <c r="AS154" i="9"/>
  <c r="AS88" i="9"/>
  <c r="AS87" i="9"/>
  <c r="AS83" i="9"/>
  <c r="AS119" i="9"/>
  <c r="AS40" i="9"/>
  <c r="AS53" i="9"/>
  <c r="AS170" i="9"/>
  <c r="AS74" i="9"/>
  <c r="AS56" i="9"/>
  <c r="AS75" i="9"/>
  <c r="AS86" i="9"/>
  <c r="AS48" i="9"/>
  <c r="AS91" i="9"/>
  <c r="AS105" i="9"/>
  <c r="AS45" i="9"/>
  <c r="AS117" i="9"/>
  <c r="AS152" i="9"/>
  <c r="AS122" i="9"/>
  <c r="AS158" i="9"/>
  <c r="AS131" i="9"/>
  <c r="AS125" i="9"/>
  <c r="AS61" i="9"/>
  <c r="AS63" i="9"/>
  <c r="AS149" i="9"/>
  <c r="AS72" i="9"/>
  <c r="AS107" i="9"/>
  <c r="AS96" i="9"/>
  <c r="AS121" i="9"/>
  <c r="AS138" i="9"/>
  <c r="AS35" i="9"/>
  <c r="AS58" i="9"/>
  <c r="AS111" i="9"/>
  <c r="AS143" i="9"/>
  <c r="AS123" i="9"/>
  <c r="AS127" i="9"/>
  <c r="AS115" i="9"/>
  <c r="AS112" i="9"/>
  <c r="AS151" i="9"/>
  <c r="AS51" i="9"/>
  <c r="AS66" i="9"/>
  <c r="AS97" i="9"/>
  <c r="AS147" i="9"/>
  <c r="AS65" i="9"/>
  <c r="AS68" i="9"/>
  <c r="AW158" i="9"/>
  <c r="AK51" i="9"/>
  <c r="AS89" i="9"/>
  <c r="AK110" i="9"/>
  <c r="AK63" i="9"/>
  <c r="AK53" i="9"/>
  <c r="AK107" i="9"/>
  <c r="AK97" i="9"/>
  <c r="AW59" i="9"/>
  <c r="AW35" i="9"/>
  <c r="AW74" i="9"/>
  <c r="AW96" i="9"/>
  <c r="AK59" i="9"/>
  <c r="AW83" i="9"/>
  <c r="AW131" i="9"/>
  <c r="AW152" i="9"/>
  <c r="AK128" i="9"/>
  <c r="AK158" i="9"/>
  <c r="AK69" i="9"/>
  <c r="AW128" i="9"/>
  <c r="AK148" i="9"/>
  <c r="AW108" i="9"/>
  <c r="AW61" i="9"/>
  <c r="AW125" i="9"/>
  <c r="AW73" i="9"/>
  <c r="AK143" i="9"/>
  <c r="AS71" i="9"/>
  <c r="AW53" i="9"/>
  <c r="AK152" i="9"/>
  <c r="AK91" i="9"/>
  <c r="AS85" i="9"/>
  <c r="AK87" i="9"/>
  <c r="AK149" i="9"/>
  <c r="AK136" i="9"/>
  <c r="AW140" i="9"/>
  <c r="AW119" i="9"/>
  <c r="AK96" i="9"/>
  <c r="AK122" i="9"/>
  <c r="AW151" i="9"/>
  <c r="AK154" i="9"/>
  <c r="AK108" i="9"/>
  <c r="AK84" i="9"/>
  <c r="AW144" i="9"/>
  <c r="AS47" i="9"/>
  <c r="AW91" i="9"/>
  <c r="AK123" i="9"/>
  <c r="AW97" i="9"/>
  <c r="AK134" i="9"/>
  <c r="AS159" i="9"/>
  <c r="AW148" i="9"/>
  <c r="AK65" i="9"/>
  <c r="AW170" i="9"/>
  <c r="AW87" i="9"/>
  <c r="AW75" i="9"/>
  <c r="AW45" i="9"/>
  <c r="AK168" i="9"/>
  <c r="AK82" i="9"/>
  <c r="AK140" i="9"/>
  <c r="AW110" i="9"/>
  <c r="AK131" i="9"/>
  <c r="AW165" i="9"/>
  <c r="AW90" i="9"/>
  <c r="AK93" i="9"/>
  <c r="AK86" i="9"/>
  <c r="AW63" i="9"/>
  <c r="AK66" i="9"/>
  <c r="AS169" i="9"/>
  <c r="AW168" i="9"/>
  <c r="AK119" i="9"/>
  <c r="AS156" i="9"/>
  <c r="AW122" i="9"/>
  <c r="AW149" i="9"/>
  <c r="AK68" i="9"/>
  <c r="AK130" i="9"/>
  <c r="AS142" i="9"/>
  <c r="AS24" i="9"/>
  <c r="AW56" i="9"/>
  <c r="AK151" i="9"/>
  <c r="AW136" i="9"/>
  <c r="AK118" i="9"/>
  <c r="AW62" i="9"/>
  <c r="AW65" i="9"/>
  <c r="AW66" i="9"/>
  <c r="AW68" i="9"/>
  <c r="AK45" i="9"/>
  <c r="AW134" i="9"/>
  <c r="AK121" i="9"/>
  <c r="AK170" i="9"/>
  <c r="AW69" i="9"/>
  <c r="AW88" i="9"/>
  <c r="AW107" i="9"/>
  <c r="AK35" i="9"/>
  <c r="AS116" i="9"/>
  <c r="AW40" i="9"/>
  <c r="AK127" i="9"/>
  <c r="AK56" i="9"/>
  <c r="AW84" i="9"/>
  <c r="AW123" i="9"/>
  <c r="AK62" i="9"/>
  <c r="AK113" i="9"/>
  <c r="AK138" i="9"/>
  <c r="AK115" i="9"/>
  <c r="AW115" i="9"/>
  <c r="AW105" i="9"/>
  <c r="AW121" i="9"/>
  <c r="AK111" i="9"/>
  <c r="AK74" i="9"/>
  <c r="AK88" i="9"/>
  <c r="AW86" i="9"/>
  <c r="AW143" i="9"/>
  <c r="AK40" i="9"/>
  <c r="AW127" i="9"/>
  <c r="AW58" i="9"/>
  <c r="AK90" i="9"/>
  <c r="AW167" i="9"/>
  <c r="AS163" i="9"/>
  <c r="AW118" i="9"/>
  <c r="AK120" i="9"/>
  <c r="AW70" i="9"/>
  <c r="AW112" i="9"/>
  <c r="AS126" i="9"/>
  <c r="AW51" i="9"/>
  <c r="AW111" i="9"/>
  <c r="AK83" i="9"/>
  <c r="AW150" i="9"/>
  <c r="AK95" i="9"/>
  <c r="AS135" i="9"/>
  <c r="AK73" i="9"/>
  <c r="AW145" i="9"/>
  <c r="AW48" i="9"/>
  <c r="AK114" i="9"/>
  <c r="AK105" i="9"/>
  <c r="AS166" i="9"/>
  <c r="AW72" i="9"/>
  <c r="AS153" i="9"/>
  <c r="AW157" i="9"/>
  <c r="AK104" i="9"/>
  <c r="AW95" i="9"/>
  <c r="AK164" i="9"/>
  <c r="AW82" i="9"/>
  <c r="AK61" i="9"/>
  <c r="AW146" i="9"/>
  <c r="AS129" i="9"/>
  <c r="AK64" i="9"/>
  <c r="AW93" i="9"/>
  <c r="AS92" i="9"/>
  <c r="AW104" i="9"/>
  <c r="AW117" i="9"/>
  <c r="AK37" i="9"/>
  <c r="AW139" i="9"/>
  <c r="AK139" i="9"/>
  <c r="AW154" i="9"/>
  <c r="AK67" i="9"/>
  <c r="AW114" i="9"/>
  <c r="AW57" i="9"/>
  <c r="AK167" i="9"/>
  <c r="AW155" i="9"/>
  <c r="AW138" i="9"/>
  <c r="AW120" i="9"/>
  <c r="AW64" i="9"/>
  <c r="AS109" i="9"/>
  <c r="AW147" i="9"/>
  <c r="AK117" i="9"/>
  <c r="AK144" i="9"/>
  <c r="AK146" i="9"/>
  <c r="AK98" i="9"/>
  <c r="AK81" i="9"/>
  <c r="AK112" i="9"/>
  <c r="AK48" i="9"/>
  <c r="AW37" i="9"/>
  <c r="AK75" i="9"/>
  <c r="AS133" i="9"/>
  <c r="AK70" i="9"/>
  <c r="AK72" i="9"/>
  <c r="AK150" i="9"/>
  <c r="AK157" i="9"/>
  <c r="AW81" i="9"/>
  <c r="AW164" i="9"/>
  <c r="AK147" i="9"/>
  <c r="AK57" i="9"/>
  <c r="AW98" i="9"/>
  <c r="AK145" i="9"/>
  <c r="AK165" i="9"/>
  <c r="AW94" i="9"/>
  <c r="AW67" i="9"/>
  <c r="AW113" i="9"/>
  <c r="AK141" i="9"/>
  <c r="AW130" i="9"/>
  <c r="AK58" i="9"/>
  <c r="AW141" i="9"/>
  <c r="AK94" i="9"/>
  <c r="AK155" i="9"/>
  <c r="AK125" i="9"/>
  <c r="AK163" i="9"/>
  <c r="AW47" i="9"/>
  <c r="AW169" i="9"/>
  <c r="AK116" i="9"/>
  <c r="AK166" i="9"/>
  <c r="AW153" i="9"/>
  <c r="AW71" i="9"/>
  <c r="AW24" i="9"/>
  <c r="AK126" i="9"/>
  <c r="AK71" i="9"/>
  <c r="AW129" i="9"/>
  <c r="AK109" i="9"/>
  <c r="AW116" i="9"/>
  <c r="AS46" i="9"/>
  <c r="AW92" i="9"/>
  <c r="AK92" i="9"/>
  <c r="AW159" i="9"/>
  <c r="AK153" i="9"/>
  <c r="AW142" i="9"/>
  <c r="AK85" i="9"/>
  <c r="AK47" i="9"/>
  <c r="AK159" i="9"/>
  <c r="AW133" i="9"/>
  <c r="AW163" i="9"/>
  <c r="AW126" i="9"/>
  <c r="AK24" i="9"/>
  <c r="AK142" i="9"/>
  <c r="AK135" i="9"/>
  <c r="AS162" i="9"/>
  <c r="AK169" i="9"/>
  <c r="AW89" i="9"/>
  <c r="AK133" i="9"/>
  <c r="AF178" i="9"/>
  <c r="AS137" i="9"/>
  <c r="AW156" i="9"/>
  <c r="AK129" i="9"/>
  <c r="AW166" i="9"/>
  <c r="AW85" i="9"/>
  <c r="AK89" i="9"/>
  <c r="AW109" i="9"/>
  <c r="AS132" i="9"/>
  <c r="AK156" i="9"/>
  <c r="AW135" i="9"/>
  <c r="CW123" i="8" a="1"/>
  <c r="CW123" i="8" s="1"/>
  <c r="CV18" i="8"/>
  <c r="CT123" i="8" a="1"/>
  <c r="CT123" i="8" s="1"/>
  <c r="CU123" i="8" a="1"/>
  <c r="CU123" i="8" s="1"/>
  <c r="CV123" i="8" a="1"/>
  <c r="CV123" i="8" s="1"/>
  <c r="EV16" i="4"/>
  <c r="EW17" i="4"/>
  <c r="Q3" i="4"/>
  <c r="CK199" i="4"/>
  <c r="CO199" i="4" s="1"/>
  <c r="CK17" i="4"/>
  <c r="CK16" i="4"/>
  <c r="CK49" i="4"/>
  <c r="CO49" i="4" s="1"/>
  <c r="CK46" i="4"/>
  <c r="CO46" i="4" s="1"/>
  <c r="CK196" i="4"/>
  <c r="CO196" i="4" s="1"/>
  <c r="CK47" i="4"/>
  <c r="CO47" i="4" s="1"/>
  <c r="CK40" i="4"/>
  <c r="CO40" i="4" s="1"/>
  <c r="CK200" i="4"/>
  <c r="CO200" i="4" s="1"/>
  <c r="CK20" i="4"/>
  <c r="CK43" i="4"/>
  <c r="CO43" i="4" s="1"/>
  <c r="CK37" i="4"/>
  <c r="CO37" i="4" s="1"/>
  <c r="CK195" i="4"/>
  <c r="CK41" i="4"/>
  <c r="CO41" i="4" s="1"/>
  <c r="CK31" i="4"/>
  <c r="CO31" i="4" s="1"/>
  <c r="CK45" i="4"/>
  <c r="CO45" i="4" s="1"/>
  <c r="CK42" i="4"/>
  <c r="CO42" i="4" s="1"/>
  <c r="CK23" i="4"/>
  <c r="CF10" i="4"/>
  <c r="CK25" i="4"/>
  <c r="CK27" i="4"/>
  <c r="CK44" i="4"/>
  <c r="CO44" i="4" s="1"/>
  <c r="CK18" i="4"/>
  <c r="CK22" i="4"/>
  <c r="CK197" i="4"/>
  <c r="CO197" i="4" s="1"/>
  <c r="CK50" i="4"/>
  <c r="CO50" i="4" s="1"/>
  <c r="CK34" i="4"/>
  <c r="CO34" i="4" s="1"/>
  <c r="CK194" i="4"/>
  <c r="CK26" i="4"/>
  <c r="CK24" i="4"/>
  <c r="CK198" i="4"/>
  <c r="CW25" i="4"/>
  <c r="CS44" i="4"/>
  <c r="CS49" i="4"/>
  <c r="CW46" i="4"/>
  <c r="CW196" i="4"/>
  <c r="CW43" i="4"/>
  <c r="CS39" i="4"/>
  <c r="CS24" i="4"/>
  <c r="CK35" i="4"/>
  <c r="CO35" i="4" s="1"/>
  <c r="CS26" i="4"/>
  <c r="CS23" i="4"/>
  <c r="CK33" i="4"/>
  <c r="CO33" i="4" s="1"/>
  <c r="CK19" i="4"/>
  <c r="CK21" i="4"/>
  <c r="CW197" i="4"/>
  <c r="CS25" i="4"/>
  <c r="CS45" i="4"/>
  <c r="CW35" i="4"/>
  <c r="CS195" i="4"/>
  <c r="CS199" i="4"/>
  <c r="CW33" i="4"/>
  <c r="CW45" i="4"/>
  <c r="CS194" i="4"/>
  <c r="CS36" i="4"/>
  <c r="CW23" i="4"/>
  <c r="CS33" i="4"/>
  <c r="CW27" i="4"/>
  <c r="CS200" i="4"/>
  <c r="CW199" i="4"/>
  <c r="CW37" i="4"/>
  <c r="CW50" i="4"/>
  <c r="CS43" i="4"/>
  <c r="CS42" i="4"/>
  <c r="CW39" i="4"/>
  <c r="CS196" i="4"/>
  <c r="CS47" i="4"/>
  <c r="CS197" i="4"/>
  <c r="CS22" i="4"/>
  <c r="CS41" i="4"/>
  <c r="CS31" i="4"/>
  <c r="CW40" i="4"/>
  <c r="CW195" i="4"/>
  <c r="CW22" i="4"/>
  <c r="CK36" i="4"/>
  <c r="CO36" i="4" s="1"/>
  <c r="CS37" i="4"/>
  <c r="CS46" i="4"/>
  <c r="CW26" i="4"/>
  <c r="CS34" i="4"/>
  <c r="CW49" i="4"/>
  <c r="CW200" i="4"/>
  <c r="CK39" i="4"/>
  <c r="CO39" i="4" s="1"/>
  <c r="CS35" i="4"/>
  <c r="CW36" i="4"/>
  <c r="CW47" i="4"/>
  <c r="CS50" i="4"/>
  <c r="CW34" i="4"/>
  <c r="CW194" i="4"/>
  <c r="CS40" i="4"/>
  <c r="CW42" i="4"/>
  <c r="CW44" i="4"/>
  <c r="CW198" i="4"/>
  <c r="CW31" i="4"/>
  <c r="CS27" i="4"/>
  <c r="CW41" i="4"/>
  <c r="CW24" i="4"/>
  <c r="CS198" i="4"/>
  <c r="CS72" i="4"/>
  <c r="CS87" i="4"/>
  <c r="CS167" i="4"/>
  <c r="CS60" i="4"/>
  <c r="CS30" i="4"/>
  <c r="CS110" i="4"/>
  <c r="CS57" i="4"/>
  <c r="CS120" i="4"/>
  <c r="CS51" i="4"/>
  <c r="CS69" i="4"/>
  <c r="CS74" i="4"/>
  <c r="CS150" i="4"/>
  <c r="CS108" i="4"/>
  <c r="CS175" i="4"/>
  <c r="CS75" i="4"/>
  <c r="CS68" i="4"/>
  <c r="CS85" i="4"/>
  <c r="CS93" i="4"/>
  <c r="CS186" i="4"/>
  <c r="CS168" i="4"/>
  <c r="CS86" i="4"/>
  <c r="CS158" i="4"/>
  <c r="CS179" i="4"/>
  <c r="CS178" i="4"/>
  <c r="CS173" i="4"/>
  <c r="CS111" i="4"/>
  <c r="CS190" i="4"/>
  <c r="CS145" i="4"/>
  <c r="CS148" i="4"/>
  <c r="CS127" i="4"/>
  <c r="CS169" i="4"/>
  <c r="CS164" i="4"/>
  <c r="CS183" i="4"/>
  <c r="CS138" i="4"/>
  <c r="CS107" i="4"/>
  <c r="CS193" i="4"/>
  <c r="CS55" i="4"/>
  <c r="CS83" i="4"/>
  <c r="CS67" i="4"/>
  <c r="CS53" i="4"/>
  <c r="CS188" i="4"/>
  <c r="CS71" i="4"/>
  <c r="CS112" i="4"/>
  <c r="CS159" i="4"/>
  <c r="CS191" i="4"/>
  <c r="CS184" i="4"/>
  <c r="CS65" i="4"/>
  <c r="CS140" i="4"/>
  <c r="CS115" i="4"/>
  <c r="CS103" i="4"/>
  <c r="CS139" i="4"/>
  <c r="CS117" i="4"/>
  <c r="CS113" i="4"/>
  <c r="CS95" i="4"/>
  <c r="CS106" i="4"/>
  <c r="CS125" i="4"/>
  <c r="CS73" i="4"/>
  <c r="CS181" i="4"/>
  <c r="CS146" i="4"/>
  <c r="CS154" i="4"/>
  <c r="CS94" i="4"/>
  <c r="CS137" i="4"/>
  <c r="CS171" i="4"/>
  <c r="CS147" i="4"/>
  <c r="CS162" i="4"/>
  <c r="CS119" i="4"/>
  <c r="CS180" i="4"/>
  <c r="CS156" i="4"/>
  <c r="CS172" i="4"/>
  <c r="CS176" i="4"/>
  <c r="CS101" i="4"/>
  <c r="CS76" i="4"/>
  <c r="CS157" i="4"/>
  <c r="CS123" i="4"/>
  <c r="CS177" i="4"/>
  <c r="CS130" i="4"/>
  <c r="CS185" i="4"/>
  <c r="CS59" i="4"/>
  <c r="CS144" i="4"/>
  <c r="CS153" i="4"/>
  <c r="CS182" i="4"/>
  <c r="CS96" i="4"/>
  <c r="CS61" i="4"/>
  <c r="CK103" i="4"/>
  <c r="CO103" i="4" s="1"/>
  <c r="CK180" i="4"/>
  <c r="CO180" i="4" s="1"/>
  <c r="CW190" i="4"/>
  <c r="CK67" i="4"/>
  <c r="CO67" i="4" s="1"/>
  <c r="CW60" i="4"/>
  <c r="CK119" i="4"/>
  <c r="CO119" i="4" s="1"/>
  <c r="CW76" i="4"/>
  <c r="CK144" i="4"/>
  <c r="CO144" i="4" s="1"/>
  <c r="CS187" i="4"/>
  <c r="CK138" i="4"/>
  <c r="CO138" i="4" s="1"/>
  <c r="CK86" i="4"/>
  <c r="CO86" i="4" s="1"/>
  <c r="CK71" i="4"/>
  <c r="CO71" i="4" s="1"/>
  <c r="CW53" i="4"/>
  <c r="CK96" i="4"/>
  <c r="CO96" i="4" s="1"/>
  <c r="CS114" i="4"/>
  <c r="CW87" i="4"/>
  <c r="CK83" i="4"/>
  <c r="CO83" i="4" s="1"/>
  <c r="CK185" i="4"/>
  <c r="CO185" i="4" s="1"/>
  <c r="CW177" i="4"/>
  <c r="CK87" i="4"/>
  <c r="CO87" i="4" s="1"/>
  <c r="CK150" i="4"/>
  <c r="CO150" i="4" s="1"/>
  <c r="CK60" i="4"/>
  <c r="CO60" i="4" s="1"/>
  <c r="CW175" i="4"/>
  <c r="CK93" i="4"/>
  <c r="CO93" i="4" s="1"/>
  <c r="CK51" i="4"/>
  <c r="CO51" i="4" s="1"/>
  <c r="CS135" i="4"/>
  <c r="CK59" i="4"/>
  <c r="CO59" i="4" s="1"/>
  <c r="CS70" i="4"/>
  <c r="CS192" i="4"/>
  <c r="CW68" i="4"/>
  <c r="CW148" i="4"/>
  <c r="CK186" i="4"/>
  <c r="CO186" i="4" s="1"/>
  <c r="CK75" i="4"/>
  <c r="CO75" i="4" s="1"/>
  <c r="CW184" i="4"/>
  <c r="CK173" i="4"/>
  <c r="CO173" i="4" s="1"/>
  <c r="CW103" i="4"/>
  <c r="CK115" i="4"/>
  <c r="CO115" i="4" s="1"/>
  <c r="CK117" i="4"/>
  <c r="CO117" i="4" s="1"/>
  <c r="CW173" i="4"/>
  <c r="CK147" i="4"/>
  <c r="CO147" i="4" s="1"/>
  <c r="CK178" i="4"/>
  <c r="CO178" i="4" s="1"/>
  <c r="CW119" i="4"/>
  <c r="CK177" i="4"/>
  <c r="CO177" i="4" s="1"/>
  <c r="CW59" i="4"/>
  <c r="CK53" i="4"/>
  <c r="CO53" i="4" s="1"/>
  <c r="CW180" i="4"/>
  <c r="CS58" i="4"/>
  <c r="CK181" i="4"/>
  <c r="CO181" i="4" s="1"/>
  <c r="CK148" i="4"/>
  <c r="CO148" i="4" s="1"/>
  <c r="CW178" i="4"/>
  <c r="CS163" i="4"/>
  <c r="CW181" i="4"/>
  <c r="CK74" i="4"/>
  <c r="CO74" i="4" s="1"/>
  <c r="CW157" i="4"/>
  <c r="CW153" i="4"/>
  <c r="CW61" i="4"/>
  <c r="CW101" i="4"/>
  <c r="CW55" i="4"/>
  <c r="CS118" i="4"/>
  <c r="CW171" i="4"/>
  <c r="CW138" i="4"/>
  <c r="CW72" i="4"/>
  <c r="CS170" i="4"/>
  <c r="CK72" i="4"/>
  <c r="CO72" i="4" s="1"/>
  <c r="CW140" i="4"/>
  <c r="CW150" i="4"/>
  <c r="CW108" i="4"/>
  <c r="CK190" i="4"/>
  <c r="CO190" i="4" s="1"/>
  <c r="CW106" i="4"/>
  <c r="CW154" i="4"/>
  <c r="CK130" i="4"/>
  <c r="CO130" i="4" s="1"/>
  <c r="CW83" i="4"/>
  <c r="CK158" i="4"/>
  <c r="CO158" i="4" s="1"/>
  <c r="CK193" i="4"/>
  <c r="CO193" i="4" s="1"/>
  <c r="CW115" i="4"/>
  <c r="CW147" i="4"/>
  <c r="CK76" i="4"/>
  <c r="CO76" i="4" s="1"/>
  <c r="CW172" i="4"/>
  <c r="CW193" i="4"/>
  <c r="CK145" i="4"/>
  <c r="CO145" i="4" s="1"/>
  <c r="CW69" i="4"/>
  <c r="CK69" i="4"/>
  <c r="CO69" i="4" s="1"/>
  <c r="CW182" i="4"/>
  <c r="CW127" i="4"/>
  <c r="CW94" i="4"/>
  <c r="CS189" i="4"/>
  <c r="CW117" i="4"/>
  <c r="CK101" i="4"/>
  <c r="CO101" i="4" s="1"/>
  <c r="CK183" i="4"/>
  <c r="CO183" i="4" s="1"/>
  <c r="CW191" i="4"/>
  <c r="CW144" i="4"/>
  <c r="CW65" i="4"/>
  <c r="CW67" i="4"/>
  <c r="CS161" i="4"/>
  <c r="CW188" i="4"/>
  <c r="CK188" i="4"/>
  <c r="CO188" i="4" s="1"/>
  <c r="CK68" i="4"/>
  <c r="CO68" i="4" s="1"/>
  <c r="CS141" i="4"/>
  <c r="CW168" i="4"/>
  <c r="CK171" i="4"/>
  <c r="CO171" i="4" s="1"/>
  <c r="CK154" i="4"/>
  <c r="CO154" i="4" s="1"/>
  <c r="CW145" i="4"/>
  <c r="CK108" i="4"/>
  <c r="CO108" i="4" s="1"/>
  <c r="CK55" i="4"/>
  <c r="CO55" i="4" s="1"/>
  <c r="CW137" i="4"/>
  <c r="CW123" i="4"/>
  <c r="CK65" i="4"/>
  <c r="CO65" i="4" s="1"/>
  <c r="CS78" i="4"/>
  <c r="CW162" i="4"/>
  <c r="CW167" i="4"/>
  <c r="CS155" i="4"/>
  <c r="CK172" i="4"/>
  <c r="CO172" i="4" s="1"/>
  <c r="CW74" i="4"/>
  <c r="CK157" i="4"/>
  <c r="CO157" i="4" s="1"/>
  <c r="CW51" i="4"/>
  <c r="CK137" i="4"/>
  <c r="CO137" i="4" s="1"/>
  <c r="CK61" i="4"/>
  <c r="CO61" i="4" s="1"/>
  <c r="CK113" i="4"/>
  <c r="CO113" i="4" s="1"/>
  <c r="CK168" i="4"/>
  <c r="CO168" i="4" s="1"/>
  <c r="CW130" i="4"/>
  <c r="CK106" i="4"/>
  <c r="CO106" i="4" s="1"/>
  <c r="CK140" i="4"/>
  <c r="CO140" i="4" s="1"/>
  <c r="CW71" i="4"/>
  <c r="CW110" i="4"/>
  <c r="CK73" i="4"/>
  <c r="CO73" i="4" s="1"/>
  <c r="CK57" i="4"/>
  <c r="CO57" i="4" s="1"/>
  <c r="CW158" i="4"/>
  <c r="CW96" i="4"/>
  <c r="CK162" i="4"/>
  <c r="CO162" i="4" s="1"/>
  <c r="CK125" i="4"/>
  <c r="CO125" i="4" s="1"/>
  <c r="CK123" i="4"/>
  <c r="CO123" i="4" s="1"/>
  <c r="CW169" i="4"/>
  <c r="CW146" i="4"/>
  <c r="CW112" i="4"/>
  <c r="CW93" i="4"/>
  <c r="CK85" i="4"/>
  <c r="CO85" i="4" s="1"/>
  <c r="CW125" i="4"/>
  <c r="CK94" i="4"/>
  <c r="CO94" i="4" s="1"/>
  <c r="CK169" i="4"/>
  <c r="CO169" i="4" s="1"/>
  <c r="CW185" i="4"/>
  <c r="CK167" i="4"/>
  <c r="CO167" i="4" s="1"/>
  <c r="CW120" i="4"/>
  <c r="CS29" i="4"/>
  <c r="CK111" i="4"/>
  <c r="CO111" i="4" s="1"/>
  <c r="CK164" i="4"/>
  <c r="CO164" i="4" s="1"/>
  <c r="CS166" i="4"/>
  <c r="CK153" i="4"/>
  <c r="CO153" i="4" s="1"/>
  <c r="CK110" i="4"/>
  <c r="CO110" i="4" s="1"/>
  <c r="CK107" i="4"/>
  <c r="CO107" i="4" s="1"/>
  <c r="CK112" i="4"/>
  <c r="CO112" i="4" s="1"/>
  <c r="CW85" i="4"/>
  <c r="CK176" i="4"/>
  <c r="CO176" i="4" s="1"/>
  <c r="CK127" i="4"/>
  <c r="CO127" i="4" s="1"/>
  <c r="CW86" i="4"/>
  <c r="CK182" i="4"/>
  <c r="CO182" i="4" s="1"/>
  <c r="CK191" i="4"/>
  <c r="CO191" i="4" s="1"/>
  <c r="CK175" i="4"/>
  <c r="CO175" i="4" s="1"/>
  <c r="CW57" i="4"/>
  <c r="CW73" i="4"/>
  <c r="CW95" i="4"/>
  <c r="CW107" i="4"/>
  <c r="CK156" i="4"/>
  <c r="CO156" i="4" s="1"/>
  <c r="CS66" i="4"/>
  <c r="CW75" i="4"/>
  <c r="CW176" i="4"/>
  <c r="CS109" i="4"/>
  <c r="CS62" i="4"/>
  <c r="CW183" i="4"/>
  <c r="CS152" i="4"/>
  <c r="CK146" i="4"/>
  <c r="CO146" i="4" s="1"/>
  <c r="CW113" i="4"/>
  <c r="CK179" i="4"/>
  <c r="CO179" i="4" s="1"/>
  <c r="CK95" i="4"/>
  <c r="CO95" i="4" s="1"/>
  <c r="CW139" i="4"/>
  <c r="CK159" i="4"/>
  <c r="CO159" i="4" s="1"/>
  <c r="CW186" i="4"/>
  <c r="CK184" i="4"/>
  <c r="CO184" i="4" s="1"/>
  <c r="CW164" i="4"/>
  <c r="CS97" i="4"/>
  <c r="CK139" i="4"/>
  <c r="CO139" i="4" s="1"/>
  <c r="CK120" i="4"/>
  <c r="CO120" i="4" s="1"/>
  <c r="CW30" i="4"/>
  <c r="CW156" i="4"/>
  <c r="CW179" i="4"/>
  <c r="CK30" i="4"/>
  <c r="CO30" i="4" s="1"/>
  <c r="CW159" i="4"/>
  <c r="CW111" i="4"/>
  <c r="CK97" i="4"/>
  <c r="CW78" i="4"/>
  <c r="CW109" i="4"/>
  <c r="CW155" i="4"/>
  <c r="CW19" i="4"/>
  <c r="CK118" i="4"/>
  <c r="CW135" i="4"/>
  <c r="CW118" i="4"/>
  <c r="CK192" i="4"/>
  <c r="CS19" i="4"/>
  <c r="CS20" i="4"/>
  <c r="CK152" i="4"/>
  <c r="CW66" i="4"/>
  <c r="CW20" i="4"/>
  <c r="CK114" i="4"/>
  <c r="CK163" i="4"/>
  <c r="CK161" i="4"/>
  <c r="CK66" i="4"/>
  <c r="CK62" i="4"/>
  <c r="CW21" i="4"/>
  <c r="CW62" i="4"/>
  <c r="CK189" i="4"/>
  <c r="CW58" i="4"/>
  <c r="CW141" i="4"/>
  <c r="CW152" i="4"/>
  <c r="CW161" i="4"/>
  <c r="CW189" i="4"/>
  <c r="CW18" i="4"/>
  <c r="CW163" i="4"/>
  <c r="CW187" i="4"/>
  <c r="CK141" i="4"/>
  <c r="CS77" i="4"/>
  <c r="CS160" i="4"/>
  <c r="CK166" i="4"/>
  <c r="CK109" i="4"/>
  <c r="CW192" i="4"/>
  <c r="CW114" i="4"/>
  <c r="CK155" i="4"/>
  <c r="CW70" i="4"/>
  <c r="CW97" i="4"/>
  <c r="CK170" i="4"/>
  <c r="CK135" i="4"/>
  <c r="CK58" i="4"/>
  <c r="CS165" i="4"/>
  <c r="CK29" i="4"/>
  <c r="CW170" i="4"/>
  <c r="CW29" i="4"/>
  <c r="CS21" i="4"/>
  <c r="CK70" i="4"/>
  <c r="CW166" i="4"/>
  <c r="CS18" i="4"/>
  <c r="CK78" i="4"/>
  <c r="CK187" i="4"/>
  <c r="CK165" i="4"/>
  <c r="FT160" i="4"/>
  <c r="CW77" i="4"/>
  <c r="FT77" i="4"/>
  <c r="AM16" i="4"/>
  <c r="AN17" i="4"/>
  <c r="AY44" i="4"/>
  <c r="BC44" i="4" s="1"/>
  <c r="AY31" i="4"/>
  <c r="BC31" i="4" s="1"/>
  <c r="AY16" i="4"/>
  <c r="AY49" i="4"/>
  <c r="BC49" i="4" s="1"/>
  <c r="AY46" i="4"/>
  <c r="BC46" i="4" s="1"/>
  <c r="AY195" i="4"/>
  <c r="AY200" i="4"/>
  <c r="BC200" i="4" s="1"/>
  <c r="AY25" i="4"/>
  <c r="AY34" i="4"/>
  <c r="BC34" i="4" s="1"/>
  <c r="AY26" i="4"/>
  <c r="BK47" i="4"/>
  <c r="AT10" i="4"/>
  <c r="AY43" i="4"/>
  <c r="BC43" i="4" s="1"/>
  <c r="AY39" i="4"/>
  <c r="BC39" i="4" s="1"/>
  <c r="AY196" i="4"/>
  <c r="BC196" i="4" s="1"/>
  <c r="AY194" i="4"/>
  <c r="AY198" i="4"/>
  <c r="AY33" i="4"/>
  <c r="BC33" i="4" s="1"/>
  <c r="AY37" i="4"/>
  <c r="BC37" i="4" s="1"/>
  <c r="AY18" i="4"/>
  <c r="AY20" i="4"/>
  <c r="AY27" i="4"/>
  <c r="AY21" i="4"/>
  <c r="BK45" i="4"/>
  <c r="BK26" i="4"/>
  <c r="BG27" i="4"/>
  <c r="AY36" i="4"/>
  <c r="BC36" i="4" s="1"/>
  <c r="BK42" i="4"/>
  <c r="BG22" i="4"/>
  <c r="BK41" i="4"/>
  <c r="BK200" i="4"/>
  <c r="BG197" i="4"/>
  <c r="BK196" i="4"/>
  <c r="BK31" i="4"/>
  <c r="BG195" i="4"/>
  <c r="BK49" i="4"/>
  <c r="BG41" i="4"/>
  <c r="AY40" i="4"/>
  <c r="BC40" i="4" s="1"/>
  <c r="BK24" i="4"/>
  <c r="BG26" i="4"/>
  <c r="BG44" i="4"/>
  <c r="BK199" i="4"/>
  <c r="BK46" i="4"/>
  <c r="BK27" i="4"/>
  <c r="BG194" i="4"/>
  <c r="BK43" i="4"/>
  <c r="AY19" i="4"/>
  <c r="BG39" i="4"/>
  <c r="BG43" i="4"/>
  <c r="BG50" i="4"/>
  <c r="BK25" i="4"/>
  <c r="BG47" i="4"/>
  <c r="AY47" i="4"/>
  <c r="BC47" i="4" s="1"/>
  <c r="BK39" i="4"/>
  <c r="BK194" i="4"/>
  <c r="BG198" i="4"/>
  <c r="BG36" i="4"/>
  <c r="BK198" i="4"/>
  <c r="BK33" i="4"/>
  <c r="BG34" i="4"/>
  <c r="AY197" i="4"/>
  <c r="BC197" i="4" s="1"/>
  <c r="BK22" i="4"/>
  <c r="BG42" i="4"/>
  <c r="BG46" i="4"/>
  <c r="AY17" i="4"/>
  <c r="BG33" i="4"/>
  <c r="AY41" i="4"/>
  <c r="BC41" i="4" s="1"/>
  <c r="BG37" i="4"/>
  <c r="BG49" i="4"/>
  <c r="BG24" i="4"/>
  <c r="BG199" i="4"/>
  <c r="BG25" i="4"/>
  <c r="BG31" i="4"/>
  <c r="BK197" i="4"/>
  <c r="BG200" i="4"/>
  <c r="BG40" i="4"/>
  <c r="BG45" i="4"/>
  <c r="BK50" i="4"/>
  <c r="AY199" i="4"/>
  <c r="BC199" i="4" s="1"/>
  <c r="BG35" i="4"/>
  <c r="BK35" i="4"/>
  <c r="BG196" i="4"/>
  <c r="BK34" i="4"/>
  <c r="BK40" i="4"/>
  <c r="BK195" i="4"/>
  <c r="BK36" i="4"/>
  <c r="AY42" i="4"/>
  <c r="BC42" i="4" s="1"/>
  <c r="BG23" i="4"/>
  <c r="BK37" i="4"/>
  <c r="AY23" i="4"/>
  <c r="AY24" i="4"/>
  <c r="BK44" i="4"/>
  <c r="AY22" i="4"/>
  <c r="AY35" i="4"/>
  <c r="BC35" i="4" s="1"/>
  <c r="AY50" i="4"/>
  <c r="BC50" i="4" s="1"/>
  <c r="BK23" i="4"/>
  <c r="AY45" i="4"/>
  <c r="BC45" i="4" s="1"/>
  <c r="BG183" i="4"/>
  <c r="BG111" i="4"/>
  <c r="BG157" i="4"/>
  <c r="BG65" i="4"/>
  <c r="BG144" i="4"/>
  <c r="BG179" i="4"/>
  <c r="BG61" i="4"/>
  <c r="BG168" i="4"/>
  <c r="BG55" i="4"/>
  <c r="BG115" i="4"/>
  <c r="BG180" i="4"/>
  <c r="BG182" i="4"/>
  <c r="BG113" i="4"/>
  <c r="BG68" i="4"/>
  <c r="BG159" i="4"/>
  <c r="BG191" i="4"/>
  <c r="BG85" i="4"/>
  <c r="BG186" i="4"/>
  <c r="BG140" i="4"/>
  <c r="BG83" i="4"/>
  <c r="BG190" i="4"/>
  <c r="BG94" i="4"/>
  <c r="BG138" i="4"/>
  <c r="BG60" i="4"/>
  <c r="BG156" i="4"/>
  <c r="BG164" i="4"/>
  <c r="BG72" i="4"/>
  <c r="BG53" i="4"/>
  <c r="BG173" i="4"/>
  <c r="BG73" i="4"/>
  <c r="BG167" i="4"/>
  <c r="BG30" i="4"/>
  <c r="BG130" i="4"/>
  <c r="BG177" i="4"/>
  <c r="BG103" i="4"/>
  <c r="BG171" i="4"/>
  <c r="BG185" i="4"/>
  <c r="BG150" i="4"/>
  <c r="BG120" i="4"/>
  <c r="BG117" i="4"/>
  <c r="BG162" i="4"/>
  <c r="BG175" i="4"/>
  <c r="BG181" i="4"/>
  <c r="BG147" i="4"/>
  <c r="BG125" i="4"/>
  <c r="BG87" i="4"/>
  <c r="BG123" i="4"/>
  <c r="BG59" i="4"/>
  <c r="BG86" i="4"/>
  <c r="BG188" i="4"/>
  <c r="BG110" i="4"/>
  <c r="BG176" i="4"/>
  <c r="BG137" i="4"/>
  <c r="BG119" i="4"/>
  <c r="BG193" i="4"/>
  <c r="BG107" i="4"/>
  <c r="BG57" i="4"/>
  <c r="BG76" i="4"/>
  <c r="BG139" i="4"/>
  <c r="BG108" i="4"/>
  <c r="BG106" i="4"/>
  <c r="BG146" i="4"/>
  <c r="BG96" i="4"/>
  <c r="BG51" i="4"/>
  <c r="BG158" i="4"/>
  <c r="BG71" i="4"/>
  <c r="BG178" i="4"/>
  <c r="BG172" i="4"/>
  <c r="BG75" i="4"/>
  <c r="BG153" i="4"/>
  <c r="BG67" i="4"/>
  <c r="BG145" i="4"/>
  <c r="BG69" i="4"/>
  <c r="BG184" i="4"/>
  <c r="BG148" i="4"/>
  <c r="BG112" i="4"/>
  <c r="BG93" i="4"/>
  <c r="BG74" i="4"/>
  <c r="BG101" i="4"/>
  <c r="BG169" i="4"/>
  <c r="BG154" i="4"/>
  <c r="BG95" i="4"/>
  <c r="BG127" i="4"/>
  <c r="BK176" i="4"/>
  <c r="BK51" i="4"/>
  <c r="AY71" i="4"/>
  <c r="BC71" i="4" s="1"/>
  <c r="BK150" i="4"/>
  <c r="BK145" i="4"/>
  <c r="AY188" i="4"/>
  <c r="BC188" i="4" s="1"/>
  <c r="BK110" i="4"/>
  <c r="BK85" i="4"/>
  <c r="BK191" i="4"/>
  <c r="BK158" i="4"/>
  <c r="BG192" i="4"/>
  <c r="BG78" i="4"/>
  <c r="BK74" i="4"/>
  <c r="AY110" i="4"/>
  <c r="BC110" i="4" s="1"/>
  <c r="BK175" i="4"/>
  <c r="BK138" i="4"/>
  <c r="BK123" i="4"/>
  <c r="BK59" i="4"/>
  <c r="BG97" i="4"/>
  <c r="BG161" i="4"/>
  <c r="BG141" i="4"/>
  <c r="AY168" i="4"/>
  <c r="BC168" i="4" s="1"/>
  <c r="AY172" i="4"/>
  <c r="BC172" i="4" s="1"/>
  <c r="BK167" i="4"/>
  <c r="AY146" i="4"/>
  <c r="BC146" i="4" s="1"/>
  <c r="AY106" i="4"/>
  <c r="BC106" i="4" s="1"/>
  <c r="AY139" i="4"/>
  <c r="BC139" i="4" s="1"/>
  <c r="AY158" i="4"/>
  <c r="BC158" i="4" s="1"/>
  <c r="AY76" i="4"/>
  <c r="BC76" i="4" s="1"/>
  <c r="BK76" i="4"/>
  <c r="BK55" i="4"/>
  <c r="AY162" i="4"/>
  <c r="BC162" i="4" s="1"/>
  <c r="BG152" i="4"/>
  <c r="BK137" i="4"/>
  <c r="AY57" i="4"/>
  <c r="BC57" i="4" s="1"/>
  <c r="AY51" i="4"/>
  <c r="BC51" i="4" s="1"/>
  <c r="BK153" i="4"/>
  <c r="AY153" i="4"/>
  <c r="BC153" i="4" s="1"/>
  <c r="BK86" i="4"/>
  <c r="AY125" i="4"/>
  <c r="BC125" i="4" s="1"/>
  <c r="AY185" i="4"/>
  <c r="BC185" i="4" s="1"/>
  <c r="BK71" i="4"/>
  <c r="AY59" i="4"/>
  <c r="BC59" i="4" s="1"/>
  <c r="BK107" i="4"/>
  <c r="BK188" i="4"/>
  <c r="AY154" i="4"/>
  <c r="BC154" i="4" s="1"/>
  <c r="AY123" i="4"/>
  <c r="BC123" i="4" s="1"/>
  <c r="AY137" i="4"/>
  <c r="BC137" i="4" s="1"/>
  <c r="BK146" i="4"/>
  <c r="BK57" i="4"/>
  <c r="AY120" i="4"/>
  <c r="BC120" i="4" s="1"/>
  <c r="AY176" i="4"/>
  <c r="BC176" i="4" s="1"/>
  <c r="BK139" i="4"/>
  <c r="AY117" i="4"/>
  <c r="BC117" i="4" s="1"/>
  <c r="BK117" i="4"/>
  <c r="BK178" i="4"/>
  <c r="AY179" i="4"/>
  <c r="BC179" i="4" s="1"/>
  <c r="BK87" i="4"/>
  <c r="BK93" i="4"/>
  <c r="BK69" i="4"/>
  <c r="AY182" i="4"/>
  <c r="BC182" i="4" s="1"/>
  <c r="AY86" i="4"/>
  <c r="BC86" i="4" s="1"/>
  <c r="BK30" i="4"/>
  <c r="BG135" i="4"/>
  <c r="AY119" i="4"/>
  <c r="BC119" i="4" s="1"/>
  <c r="AY61" i="4"/>
  <c r="BC61" i="4" s="1"/>
  <c r="BG189" i="4"/>
  <c r="BK73" i="4"/>
  <c r="AY68" i="4"/>
  <c r="BC68" i="4" s="1"/>
  <c r="BK53" i="4"/>
  <c r="BK83" i="4"/>
  <c r="BK101" i="4"/>
  <c r="BK94" i="4"/>
  <c r="BK119" i="4"/>
  <c r="BK106" i="4"/>
  <c r="AY67" i="4"/>
  <c r="BC67" i="4" s="1"/>
  <c r="AY112" i="4"/>
  <c r="BC112" i="4" s="1"/>
  <c r="BG58" i="4"/>
  <c r="BK95" i="4"/>
  <c r="AY147" i="4"/>
  <c r="BC147" i="4" s="1"/>
  <c r="BK168" i="4"/>
  <c r="BK112" i="4"/>
  <c r="BK67" i="4"/>
  <c r="AY183" i="4"/>
  <c r="BC183" i="4" s="1"/>
  <c r="AY173" i="4"/>
  <c r="BC173" i="4" s="1"/>
  <c r="BK68" i="4"/>
  <c r="AY164" i="4"/>
  <c r="BC164" i="4" s="1"/>
  <c r="AY111" i="4"/>
  <c r="BC111" i="4" s="1"/>
  <c r="AY103" i="4"/>
  <c r="BC103" i="4" s="1"/>
  <c r="AY93" i="4"/>
  <c r="BC93" i="4" s="1"/>
  <c r="AY69" i="4"/>
  <c r="BC69" i="4" s="1"/>
  <c r="BK125" i="4"/>
  <c r="AY101" i="4"/>
  <c r="BC101" i="4" s="1"/>
  <c r="AY95" i="4"/>
  <c r="BC95" i="4" s="1"/>
  <c r="BG66" i="4"/>
  <c r="AY193" i="4"/>
  <c r="BC193" i="4" s="1"/>
  <c r="BK108" i="4"/>
  <c r="BG170" i="4"/>
  <c r="BK184" i="4"/>
  <c r="AY72" i="4"/>
  <c r="BC72" i="4" s="1"/>
  <c r="AY65" i="4"/>
  <c r="BC65" i="4" s="1"/>
  <c r="BK164" i="4"/>
  <c r="BG118" i="4"/>
  <c r="AY75" i="4"/>
  <c r="BC75" i="4" s="1"/>
  <c r="BK65" i="4"/>
  <c r="BK172" i="4"/>
  <c r="BG187" i="4"/>
  <c r="BK111" i="4"/>
  <c r="BK154" i="4"/>
  <c r="AY130" i="4"/>
  <c r="BC130" i="4" s="1"/>
  <c r="AY190" i="4"/>
  <c r="BC190" i="4" s="1"/>
  <c r="BK103" i="4"/>
  <c r="BK61" i="4"/>
  <c r="AY96" i="4"/>
  <c r="BC96" i="4" s="1"/>
  <c r="AY181" i="4"/>
  <c r="BC181" i="4" s="1"/>
  <c r="BK185" i="4"/>
  <c r="BK181" i="4"/>
  <c r="BG109" i="4"/>
  <c r="AY87" i="4"/>
  <c r="BC87" i="4" s="1"/>
  <c r="AY74" i="4"/>
  <c r="BC74" i="4" s="1"/>
  <c r="AY108" i="4"/>
  <c r="BC108" i="4" s="1"/>
  <c r="BK147" i="4"/>
  <c r="BG70" i="4"/>
  <c r="AY83" i="4"/>
  <c r="BC83" i="4" s="1"/>
  <c r="AY171" i="4"/>
  <c r="BC171" i="4" s="1"/>
  <c r="AY127" i="4"/>
  <c r="BC127" i="4" s="1"/>
  <c r="AY156" i="4"/>
  <c r="BC156" i="4" s="1"/>
  <c r="AY167" i="4"/>
  <c r="BC167" i="4" s="1"/>
  <c r="AY148" i="4"/>
  <c r="BC148" i="4" s="1"/>
  <c r="AY30" i="4"/>
  <c r="BC30" i="4" s="1"/>
  <c r="BG62" i="4"/>
  <c r="AY157" i="4"/>
  <c r="BC157" i="4" s="1"/>
  <c r="BK171" i="4"/>
  <c r="AY140" i="4"/>
  <c r="BC140" i="4" s="1"/>
  <c r="BG155" i="4"/>
  <c r="BK148" i="4"/>
  <c r="BK186" i="4"/>
  <c r="BK127" i="4"/>
  <c r="AY94" i="4"/>
  <c r="BC94" i="4" s="1"/>
  <c r="BK115" i="4"/>
  <c r="BK193" i="4"/>
  <c r="BK183" i="4"/>
  <c r="AY145" i="4"/>
  <c r="BC145" i="4" s="1"/>
  <c r="BK159" i="4"/>
  <c r="AY159" i="4"/>
  <c r="BC159" i="4" s="1"/>
  <c r="BK156" i="4"/>
  <c r="BK75" i="4"/>
  <c r="AY178" i="4"/>
  <c r="BC178" i="4" s="1"/>
  <c r="BG29" i="4"/>
  <c r="AY53" i="4"/>
  <c r="BC53" i="4" s="1"/>
  <c r="AY177" i="4"/>
  <c r="BC177" i="4" s="1"/>
  <c r="AY191" i="4"/>
  <c r="BC191" i="4" s="1"/>
  <c r="BK173" i="4"/>
  <c r="AY169" i="4"/>
  <c r="BC169" i="4" s="1"/>
  <c r="BK60" i="4"/>
  <c r="AY107" i="4"/>
  <c r="BC107" i="4" s="1"/>
  <c r="BK72" i="4"/>
  <c r="BK190" i="4"/>
  <c r="BG114" i="4"/>
  <c r="BK162" i="4"/>
  <c r="BG166" i="4"/>
  <c r="BK130" i="4"/>
  <c r="BK180" i="4"/>
  <c r="BK169" i="4"/>
  <c r="AY150" i="4"/>
  <c r="BC150" i="4" s="1"/>
  <c r="BK120" i="4"/>
  <c r="AY180" i="4"/>
  <c r="BC180" i="4" s="1"/>
  <c r="AY175" i="4"/>
  <c r="BC175" i="4" s="1"/>
  <c r="BK96" i="4"/>
  <c r="AY73" i="4"/>
  <c r="BC73" i="4" s="1"/>
  <c r="BK182" i="4"/>
  <c r="AY144" i="4"/>
  <c r="BC144" i="4" s="1"/>
  <c r="AY184" i="4"/>
  <c r="BC184" i="4" s="1"/>
  <c r="AY60" i="4"/>
  <c r="BC60" i="4" s="1"/>
  <c r="AY55" i="4"/>
  <c r="BC55" i="4" s="1"/>
  <c r="AY186" i="4"/>
  <c r="BC186" i="4" s="1"/>
  <c r="BK177" i="4"/>
  <c r="BK113" i="4"/>
  <c r="AY138" i="4"/>
  <c r="BC138" i="4" s="1"/>
  <c r="AY85" i="4"/>
  <c r="BC85" i="4" s="1"/>
  <c r="BK179" i="4"/>
  <c r="BK144" i="4"/>
  <c r="BK157" i="4"/>
  <c r="BK140" i="4"/>
  <c r="AY113" i="4"/>
  <c r="BC113" i="4" s="1"/>
  <c r="AY115" i="4"/>
  <c r="BC115" i="4" s="1"/>
  <c r="BG163" i="4"/>
  <c r="BK21" i="4"/>
  <c r="AY78" i="4"/>
  <c r="BK192" i="4"/>
  <c r="BK141" i="4"/>
  <c r="AY66" i="4"/>
  <c r="BK118" i="4"/>
  <c r="AY118" i="4"/>
  <c r="BK62" i="4"/>
  <c r="BK29" i="4"/>
  <c r="AY155" i="4"/>
  <c r="AY192" i="4"/>
  <c r="AY109" i="4"/>
  <c r="BK109" i="4"/>
  <c r="BK189" i="4"/>
  <c r="AY170" i="4"/>
  <c r="BK170" i="4"/>
  <c r="BK163" i="4"/>
  <c r="BK58" i="4"/>
  <c r="AY58" i="4"/>
  <c r="BK18" i="4"/>
  <c r="BK152" i="4"/>
  <c r="BK66" i="4"/>
  <c r="AY187" i="4"/>
  <c r="BG21" i="4"/>
  <c r="AY70" i="4"/>
  <c r="BK155" i="4"/>
  <c r="AY161" i="4"/>
  <c r="AY135" i="4"/>
  <c r="AY166" i="4"/>
  <c r="AY189" i="4"/>
  <c r="BK70" i="4"/>
  <c r="BG77" i="4"/>
  <c r="BK78" i="4"/>
  <c r="BK187" i="4"/>
  <c r="BK135" i="4"/>
  <c r="BK114" i="4"/>
  <c r="AY114" i="4"/>
  <c r="BG20" i="4"/>
  <c r="BK19" i="4"/>
  <c r="AY141" i="4"/>
  <c r="AY152" i="4"/>
  <c r="BK20" i="4"/>
  <c r="AY97" i="4"/>
  <c r="BK166" i="4"/>
  <c r="BG19" i="4"/>
  <c r="AY62" i="4"/>
  <c r="BK161" i="4"/>
  <c r="AY29" i="4"/>
  <c r="BG18" i="4"/>
  <c r="BG160" i="4"/>
  <c r="BG165" i="4"/>
  <c r="BK97" i="4"/>
  <c r="AY163" i="4"/>
  <c r="AW137" i="9"/>
  <c r="AQ17" i="4"/>
  <c r="AO205" i="4" a="1"/>
  <c r="AO205" i="4" s="1"/>
  <c r="AR205" i="4" a="1"/>
  <c r="AR205" i="4" s="1"/>
  <c r="AP205" i="4" a="1"/>
  <c r="AP205" i="4" s="1"/>
  <c r="AQ205" i="4" a="1"/>
  <c r="AQ205" i="4" s="1"/>
  <c r="AF19" i="8"/>
  <c r="AF18" i="8"/>
  <c r="AF25" i="8"/>
  <c r="AF24" i="8"/>
  <c r="AF21" i="8"/>
  <c r="AF20" i="8"/>
  <c r="AF17" i="8"/>
  <c r="AN24" i="8"/>
  <c r="AR24" i="8"/>
  <c r="AR25" i="8"/>
  <c r="AA9" i="8"/>
  <c r="AN25" i="8"/>
  <c r="Q2" i="8"/>
  <c r="P70" i="8" s="1"/>
  <c r="AN58" i="8"/>
  <c r="AN113" i="8"/>
  <c r="AN89" i="8"/>
  <c r="AN116" i="8"/>
  <c r="AF50" i="8"/>
  <c r="AN75" i="8"/>
  <c r="AR50" i="8"/>
  <c r="AN71" i="8"/>
  <c r="AN48" i="8"/>
  <c r="AN31" i="8"/>
  <c r="AN67" i="8"/>
  <c r="AN63" i="8"/>
  <c r="AN94" i="8"/>
  <c r="AN34" i="8"/>
  <c r="AN50" i="8"/>
  <c r="AN27" i="8"/>
  <c r="AN76" i="8"/>
  <c r="AN61" i="8"/>
  <c r="AN66" i="8"/>
  <c r="AN87" i="8"/>
  <c r="AN64" i="8"/>
  <c r="AN93" i="8"/>
  <c r="AN110" i="8"/>
  <c r="AN23" i="8"/>
  <c r="AN46" i="8"/>
  <c r="AN60" i="8"/>
  <c r="AN83" i="8"/>
  <c r="AN35" i="8"/>
  <c r="AN39" i="8"/>
  <c r="AN33" i="8"/>
  <c r="AN37" i="8"/>
  <c r="AN54" i="8"/>
  <c r="AN111" i="8"/>
  <c r="AN74" i="8"/>
  <c r="AR46" i="8"/>
  <c r="AN118" i="8"/>
  <c r="AF46" i="8"/>
  <c r="AN88" i="8"/>
  <c r="AN57" i="8"/>
  <c r="AN38" i="8"/>
  <c r="AN72" i="8"/>
  <c r="AN109" i="8"/>
  <c r="AN81" i="8"/>
  <c r="AN105" i="8"/>
  <c r="AN96" i="8"/>
  <c r="AN36" i="8"/>
  <c r="AN78" i="8"/>
  <c r="AN32" i="8"/>
  <c r="AN40" i="8"/>
  <c r="AN102" i="8"/>
  <c r="AN47" i="8"/>
  <c r="AN115" i="8"/>
  <c r="AN90" i="8"/>
  <c r="AN97" i="8"/>
  <c r="AN100" i="8"/>
  <c r="AN86" i="8"/>
  <c r="AN106" i="8"/>
  <c r="AN107" i="8"/>
  <c r="AR102" i="8"/>
  <c r="AR37" i="8"/>
  <c r="AR86" i="8"/>
  <c r="AF33" i="8"/>
  <c r="AR89" i="8"/>
  <c r="AF54" i="8"/>
  <c r="AF76" i="8"/>
  <c r="AF58" i="8"/>
  <c r="AN82" i="8"/>
  <c r="AR116" i="8"/>
  <c r="AR48" i="8"/>
  <c r="AF116" i="8"/>
  <c r="AF106" i="8"/>
  <c r="AR23" i="8"/>
  <c r="AF47" i="8"/>
  <c r="AN95" i="8"/>
  <c r="AR109" i="8"/>
  <c r="AR31" i="8"/>
  <c r="AF61" i="8"/>
  <c r="AR27" i="8"/>
  <c r="AF118" i="8"/>
  <c r="AF74" i="8"/>
  <c r="AN42" i="8"/>
  <c r="AF93" i="8"/>
  <c r="AF96" i="8"/>
  <c r="AR58" i="8"/>
  <c r="AF105" i="8"/>
  <c r="AF37" i="8"/>
  <c r="AR78" i="8"/>
  <c r="AR96" i="8"/>
  <c r="AR74" i="8"/>
  <c r="AR118" i="8"/>
  <c r="AR115" i="8"/>
  <c r="AR75" i="8"/>
  <c r="AF100" i="8"/>
  <c r="AF87" i="8"/>
  <c r="AN99" i="8"/>
  <c r="AR90" i="8"/>
  <c r="AR60" i="8"/>
  <c r="AF36" i="8"/>
  <c r="AR105" i="8"/>
  <c r="AF107" i="8"/>
  <c r="AR111" i="8"/>
  <c r="AF111" i="8"/>
  <c r="AR110" i="8"/>
  <c r="AN117" i="8"/>
  <c r="AN65" i="8"/>
  <c r="AN101" i="8"/>
  <c r="AR38" i="8"/>
  <c r="AF32" i="8"/>
  <c r="AN59" i="8"/>
  <c r="AF64" i="8"/>
  <c r="AF90" i="8"/>
  <c r="AN104" i="8"/>
  <c r="AR88" i="8"/>
  <c r="AF72" i="8"/>
  <c r="AR87" i="8"/>
  <c r="AR39" i="8"/>
  <c r="AN92" i="8"/>
  <c r="AF83" i="8"/>
  <c r="AF78" i="8"/>
  <c r="AR113" i="8"/>
  <c r="AF115" i="8"/>
  <c r="AF23" i="8"/>
  <c r="AR67" i="8"/>
  <c r="AN49" i="8"/>
  <c r="AF109" i="8"/>
  <c r="AR36" i="8"/>
  <c r="AR107" i="8"/>
  <c r="AR81" i="8"/>
  <c r="AF34" i="8"/>
  <c r="AF39" i="8"/>
  <c r="AF48" i="8"/>
  <c r="AF60" i="8"/>
  <c r="AR72" i="8"/>
  <c r="AR32" i="8"/>
  <c r="AF27" i="8"/>
  <c r="AR54" i="8"/>
  <c r="AF86" i="8"/>
  <c r="AR100" i="8"/>
  <c r="AR106" i="8"/>
  <c r="AR47" i="8"/>
  <c r="AR94" i="8"/>
  <c r="AN114" i="8"/>
  <c r="AR64" i="8"/>
  <c r="AF75" i="8"/>
  <c r="AF57" i="8"/>
  <c r="AF67" i="8"/>
  <c r="AN108" i="8"/>
  <c r="AR34" i="8"/>
  <c r="AR71" i="8"/>
  <c r="AF97" i="8"/>
  <c r="AR93" i="8"/>
  <c r="AR40" i="8"/>
  <c r="AF102" i="8"/>
  <c r="AR61" i="8"/>
  <c r="AN79" i="8"/>
  <c r="AR63" i="8"/>
  <c r="AR97" i="8"/>
  <c r="AF110" i="8"/>
  <c r="AF71" i="8"/>
  <c r="AR35" i="8"/>
  <c r="AF89" i="8"/>
  <c r="AF63" i="8"/>
  <c r="AF94" i="8"/>
  <c r="AR33" i="8"/>
  <c r="AN112" i="8"/>
  <c r="AR83" i="8"/>
  <c r="AF113" i="8"/>
  <c r="AF88" i="8"/>
  <c r="AR66" i="8"/>
  <c r="AF66" i="8"/>
  <c r="AR57" i="8"/>
  <c r="AF35" i="8"/>
  <c r="AF31" i="8"/>
  <c r="AR76" i="8"/>
  <c r="AN62" i="8"/>
  <c r="AF81" i="8"/>
  <c r="AF38" i="8"/>
  <c r="AF40" i="8"/>
  <c r="AF65" i="8"/>
  <c r="AR82" i="8"/>
  <c r="AF92" i="8"/>
  <c r="AF117" i="8"/>
  <c r="AR112" i="8"/>
  <c r="AR59" i="8"/>
  <c r="AN19" i="8"/>
  <c r="AF101" i="8"/>
  <c r="AN20" i="8"/>
  <c r="AR65" i="8"/>
  <c r="AR92" i="8"/>
  <c r="AR49" i="8"/>
  <c r="AF114" i="8"/>
  <c r="AN103" i="8"/>
  <c r="AF112" i="8"/>
  <c r="AF42" i="8"/>
  <c r="AN41" i="8"/>
  <c r="AF104" i="8"/>
  <c r="AN98" i="8"/>
  <c r="AR19" i="8"/>
  <c r="AN21" i="8"/>
  <c r="AR21" i="8"/>
  <c r="AF22" i="8"/>
  <c r="AR62" i="8"/>
  <c r="AF79" i="8"/>
  <c r="AR101" i="8"/>
  <c r="AR99" i="8"/>
  <c r="AR95" i="8"/>
  <c r="AF49" i="8"/>
  <c r="AF99" i="8"/>
  <c r="AR114" i="8"/>
  <c r="AR108" i="8"/>
  <c r="AF108" i="8"/>
  <c r="AR42" i="8"/>
  <c r="AF82" i="8"/>
  <c r="AR20" i="8"/>
  <c r="AR104" i="8"/>
  <c r="AR79" i="8"/>
  <c r="AF62" i="8"/>
  <c r="AR117" i="8"/>
  <c r="AR22" i="8"/>
  <c r="AF59" i="8"/>
  <c r="AF95" i="8"/>
  <c r="CW165" i="4"/>
  <c r="DD19" i="4"/>
  <c r="DD200" i="4"/>
  <c r="DH200" i="4" s="1"/>
  <c r="DD196" i="4"/>
  <c r="DH196" i="4" s="1"/>
  <c r="DD16" i="4"/>
  <c r="DD17" i="4"/>
  <c r="DD46" i="4"/>
  <c r="DH46" i="4" s="1"/>
  <c r="DD199" i="4"/>
  <c r="DH199" i="4" s="1"/>
  <c r="DD50" i="4"/>
  <c r="DH50" i="4" s="1"/>
  <c r="DD47" i="4"/>
  <c r="DH47" i="4" s="1"/>
  <c r="DD24" i="4"/>
  <c r="DD42" i="4"/>
  <c r="DH42" i="4" s="1"/>
  <c r="DD21" i="4"/>
  <c r="DD35" i="4"/>
  <c r="DH35" i="4" s="1"/>
  <c r="DD41" i="4"/>
  <c r="DH41" i="4" s="1"/>
  <c r="DD31" i="4"/>
  <c r="DH31" i="4" s="1"/>
  <c r="DD25" i="4"/>
  <c r="DD20" i="4"/>
  <c r="DD26" i="4"/>
  <c r="DD198" i="4"/>
  <c r="DD40" i="4"/>
  <c r="DH40" i="4" s="1"/>
  <c r="DD37" i="4"/>
  <c r="DH37" i="4" s="1"/>
  <c r="DD33" i="4"/>
  <c r="DH33" i="4" s="1"/>
  <c r="DD39" i="4"/>
  <c r="DH39" i="4" s="1"/>
  <c r="DD22" i="4"/>
  <c r="DD44" i="4"/>
  <c r="DH44" i="4" s="1"/>
  <c r="DD18" i="4"/>
  <c r="DD36" i="4"/>
  <c r="DH36" i="4" s="1"/>
  <c r="CY10" i="4"/>
  <c r="DP31" i="4"/>
  <c r="DP25" i="4"/>
  <c r="DL42" i="4"/>
  <c r="DD194" i="4"/>
  <c r="DP44" i="4"/>
  <c r="DP36" i="4"/>
  <c r="DD27" i="4"/>
  <c r="DD34" i="4"/>
  <c r="DH34" i="4" s="1"/>
  <c r="DL47" i="4"/>
  <c r="DL23" i="4"/>
  <c r="DL35" i="4"/>
  <c r="DP24" i="4"/>
  <c r="DP194" i="4"/>
  <c r="DP37" i="4"/>
  <c r="DD45" i="4"/>
  <c r="DH45" i="4" s="1"/>
  <c r="DL197" i="4"/>
  <c r="DD23" i="4"/>
  <c r="DD195" i="4"/>
  <c r="DL43" i="4"/>
  <c r="DP33" i="4"/>
  <c r="DP22" i="4"/>
  <c r="DL44" i="4"/>
  <c r="DL24" i="4"/>
  <c r="DP198" i="4"/>
  <c r="DL36" i="4"/>
  <c r="DP49" i="4"/>
  <c r="DL25" i="4"/>
  <c r="DP45" i="4"/>
  <c r="DP200" i="4"/>
  <c r="DP23" i="4"/>
  <c r="DL46" i="4"/>
  <c r="DL22" i="4"/>
  <c r="DD43" i="4"/>
  <c r="DH43" i="4" s="1"/>
  <c r="DL200" i="4"/>
  <c r="DL37" i="4"/>
  <c r="DL45" i="4"/>
  <c r="DP41" i="4"/>
  <c r="DL41" i="4"/>
  <c r="DL198" i="4"/>
  <c r="DP39" i="4"/>
  <c r="DL199" i="4"/>
  <c r="DP34" i="4"/>
  <c r="DL34" i="4"/>
  <c r="DL195" i="4"/>
  <c r="DL49" i="4"/>
  <c r="DL27" i="4"/>
  <c r="DP42" i="4"/>
  <c r="DP46" i="4"/>
  <c r="DL40" i="4"/>
  <c r="DL33" i="4"/>
  <c r="DD197" i="4"/>
  <c r="DH197" i="4" s="1"/>
  <c r="DP35" i="4"/>
  <c r="DP27" i="4"/>
  <c r="DP43" i="4"/>
  <c r="DL50" i="4"/>
  <c r="DL31" i="4"/>
  <c r="DL196" i="4"/>
  <c r="DL194" i="4"/>
  <c r="DP26" i="4"/>
  <c r="DP47" i="4"/>
  <c r="DP50" i="4"/>
  <c r="DL39" i="4"/>
  <c r="DP40" i="4"/>
  <c r="DD49" i="4"/>
  <c r="DH49" i="4" s="1"/>
  <c r="DP195" i="4"/>
  <c r="DL26" i="4"/>
  <c r="DP197" i="4"/>
  <c r="DP199" i="4"/>
  <c r="DP196" i="4"/>
  <c r="DL119" i="4"/>
  <c r="DL180" i="4"/>
  <c r="DL156" i="4"/>
  <c r="DL169" i="4"/>
  <c r="DL190" i="4"/>
  <c r="DL110" i="4"/>
  <c r="DL191" i="4"/>
  <c r="DL72" i="4"/>
  <c r="DL157" i="4"/>
  <c r="DL103" i="4"/>
  <c r="DL112" i="4"/>
  <c r="DL183" i="4"/>
  <c r="DL144" i="4"/>
  <c r="DL30" i="4"/>
  <c r="DL111" i="4"/>
  <c r="DL158" i="4"/>
  <c r="DL177" i="4"/>
  <c r="DL73" i="4"/>
  <c r="DL68" i="4"/>
  <c r="DL176" i="4"/>
  <c r="DL94" i="4"/>
  <c r="DL120" i="4"/>
  <c r="DL184" i="4"/>
  <c r="DL69" i="4"/>
  <c r="DL74" i="4"/>
  <c r="DL140" i="4"/>
  <c r="DL172" i="4"/>
  <c r="DL65" i="4"/>
  <c r="DL87" i="4"/>
  <c r="DL61" i="4"/>
  <c r="DL127" i="4"/>
  <c r="DL159" i="4"/>
  <c r="DL167" i="4"/>
  <c r="DL185" i="4"/>
  <c r="DL51" i="4"/>
  <c r="DL83" i="4"/>
  <c r="DL96" i="4"/>
  <c r="DL76" i="4"/>
  <c r="DL182" i="4"/>
  <c r="DL168" i="4"/>
  <c r="DL148" i="4"/>
  <c r="DL188" i="4"/>
  <c r="DL179" i="4"/>
  <c r="DL108" i="4"/>
  <c r="DL67" i="4"/>
  <c r="DL145" i="4"/>
  <c r="DL93" i="4"/>
  <c r="DL75" i="4"/>
  <c r="DL186" i="4"/>
  <c r="DL59" i="4"/>
  <c r="DL154" i="4"/>
  <c r="DL115" i="4"/>
  <c r="DL138" i="4"/>
  <c r="DL147" i="4"/>
  <c r="DL175" i="4"/>
  <c r="DL95" i="4"/>
  <c r="DL85" i="4"/>
  <c r="DL150" i="4"/>
  <c r="DL178" i="4"/>
  <c r="DL107" i="4"/>
  <c r="DL106" i="4"/>
  <c r="DL130" i="4"/>
  <c r="DL101" i="4"/>
  <c r="DL71" i="4"/>
  <c r="DL162" i="4"/>
  <c r="DL171" i="4"/>
  <c r="DL146" i="4"/>
  <c r="DL139" i="4"/>
  <c r="DL123" i="4"/>
  <c r="DL164" i="4"/>
  <c r="DL125" i="4"/>
  <c r="DL137" i="4"/>
  <c r="DL153" i="4"/>
  <c r="DL181" i="4"/>
  <c r="DL173" i="4"/>
  <c r="DL117" i="4"/>
  <c r="DL86" i="4"/>
  <c r="DL113" i="4"/>
  <c r="DL193" i="4"/>
  <c r="DL60" i="4"/>
  <c r="DD115" i="4"/>
  <c r="DH115" i="4" s="1"/>
  <c r="DP76" i="4"/>
  <c r="DD76" i="4"/>
  <c r="DH76" i="4" s="1"/>
  <c r="DP59" i="4"/>
  <c r="DP146" i="4"/>
  <c r="DP95" i="4"/>
  <c r="DP172" i="4"/>
  <c r="DP111" i="4"/>
  <c r="DD55" i="4"/>
  <c r="DH55" i="4" s="1"/>
  <c r="DD96" i="4"/>
  <c r="DH96" i="4" s="1"/>
  <c r="DP125" i="4"/>
  <c r="DP191" i="4"/>
  <c r="DP184" i="4"/>
  <c r="DP157" i="4"/>
  <c r="DD157" i="4"/>
  <c r="DH157" i="4" s="1"/>
  <c r="DP193" i="4"/>
  <c r="DD186" i="4"/>
  <c r="DH186" i="4" s="1"/>
  <c r="DP147" i="4"/>
  <c r="DP93" i="4"/>
  <c r="DP177" i="4"/>
  <c r="DP85" i="4"/>
  <c r="DP140" i="4"/>
  <c r="DP180" i="4"/>
  <c r="DL170" i="4"/>
  <c r="DD51" i="4"/>
  <c r="DH51" i="4" s="1"/>
  <c r="DL187" i="4"/>
  <c r="DD184" i="4"/>
  <c r="DH184" i="4" s="1"/>
  <c r="DP96" i="4"/>
  <c r="DD158" i="4"/>
  <c r="DH158" i="4" s="1"/>
  <c r="DD193" i="4"/>
  <c r="DH193" i="4" s="1"/>
  <c r="DL155" i="4"/>
  <c r="DD130" i="4"/>
  <c r="DH130" i="4" s="1"/>
  <c r="DP71" i="4"/>
  <c r="DD71" i="4"/>
  <c r="DH71" i="4" s="1"/>
  <c r="DD147" i="4"/>
  <c r="DH147" i="4" s="1"/>
  <c r="DD30" i="4"/>
  <c r="DH30" i="4" s="1"/>
  <c r="DL114" i="4"/>
  <c r="DP153" i="4"/>
  <c r="DD110" i="4"/>
  <c r="DH110" i="4" s="1"/>
  <c r="DD101" i="4"/>
  <c r="DH101" i="4" s="1"/>
  <c r="DL58" i="4"/>
  <c r="DD85" i="4"/>
  <c r="DH85" i="4" s="1"/>
  <c r="DL166" i="4"/>
  <c r="DL192" i="4"/>
  <c r="DD83" i="4"/>
  <c r="DH83" i="4" s="1"/>
  <c r="DP127" i="4"/>
  <c r="DD171" i="4"/>
  <c r="DH171" i="4" s="1"/>
  <c r="DL163" i="4"/>
  <c r="DP130" i="4"/>
  <c r="DD188" i="4"/>
  <c r="DH188" i="4" s="1"/>
  <c r="DL66" i="4"/>
  <c r="DD175" i="4"/>
  <c r="DH175" i="4" s="1"/>
  <c r="DL62" i="4"/>
  <c r="DL97" i="4"/>
  <c r="DL152" i="4"/>
  <c r="DL70" i="4"/>
  <c r="DP51" i="4"/>
  <c r="DD177" i="4"/>
  <c r="DH177" i="4" s="1"/>
  <c r="DP185" i="4"/>
  <c r="DP73" i="4"/>
  <c r="DP65" i="4"/>
  <c r="DP138" i="4"/>
  <c r="DP68" i="4"/>
  <c r="DD181" i="4"/>
  <c r="DH181" i="4" s="1"/>
  <c r="DP107" i="4"/>
  <c r="DP55" i="4"/>
  <c r="DP158" i="4"/>
  <c r="DP186" i="4"/>
  <c r="DP119" i="4"/>
  <c r="DD119" i="4"/>
  <c r="DH119" i="4" s="1"/>
  <c r="DP169" i="4"/>
  <c r="DP154" i="4"/>
  <c r="DD74" i="4"/>
  <c r="DH74" i="4" s="1"/>
  <c r="DP30" i="4"/>
  <c r="DP162" i="4"/>
  <c r="DD108" i="4"/>
  <c r="DH108" i="4" s="1"/>
  <c r="DD138" i="4"/>
  <c r="DH138" i="4" s="1"/>
  <c r="DD69" i="4"/>
  <c r="DH69" i="4" s="1"/>
  <c r="DP117" i="4"/>
  <c r="DP123" i="4"/>
  <c r="DP188" i="4"/>
  <c r="DP148" i="4"/>
  <c r="DL161" i="4"/>
  <c r="DP164" i="4"/>
  <c r="DP106" i="4"/>
  <c r="DD95" i="4"/>
  <c r="DH95" i="4" s="1"/>
  <c r="DP168" i="4"/>
  <c r="DL135" i="4"/>
  <c r="DL141" i="4"/>
  <c r="DD162" i="4"/>
  <c r="DH162" i="4" s="1"/>
  <c r="DP87" i="4"/>
  <c r="DD106" i="4"/>
  <c r="DH106" i="4" s="1"/>
  <c r="DD65" i="4"/>
  <c r="DH65" i="4" s="1"/>
  <c r="DD146" i="4"/>
  <c r="DH146" i="4" s="1"/>
  <c r="DD190" i="4"/>
  <c r="DH190" i="4" s="1"/>
  <c r="DD125" i="4"/>
  <c r="DH125" i="4" s="1"/>
  <c r="DD111" i="4"/>
  <c r="DH111" i="4" s="1"/>
  <c r="DD164" i="4"/>
  <c r="DH164" i="4" s="1"/>
  <c r="DD120" i="4"/>
  <c r="DH120" i="4" s="1"/>
  <c r="DD73" i="4"/>
  <c r="DH73" i="4" s="1"/>
  <c r="DP74" i="4"/>
  <c r="DP101" i="4"/>
  <c r="DD176" i="4"/>
  <c r="DH176" i="4" s="1"/>
  <c r="DD72" i="4"/>
  <c r="DH72" i="4" s="1"/>
  <c r="DD150" i="4"/>
  <c r="DH150" i="4" s="1"/>
  <c r="DL29" i="4"/>
  <c r="DD127" i="4"/>
  <c r="DH127" i="4" s="1"/>
  <c r="DP94" i="4"/>
  <c r="DD182" i="4"/>
  <c r="DH182" i="4" s="1"/>
  <c r="DP61" i="4"/>
  <c r="DD172" i="4"/>
  <c r="DH172" i="4" s="1"/>
  <c r="DP190" i="4"/>
  <c r="DD117" i="4"/>
  <c r="DH117" i="4" s="1"/>
  <c r="DP83" i="4"/>
  <c r="DD123" i="4"/>
  <c r="DH123" i="4" s="1"/>
  <c r="DP171" i="4"/>
  <c r="DP110" i="4"/>
  <c r="DP176" i="4"/>
  <c r="DD168" i="4"/>
  <c r="DH168" i="4" s="1"/>
  <c r="DP57" i="4"/>
  <c r="DD159" i="4"/>
  <c r="DH159" i="4" s="1"/>
  <c r="DP69" i="4"/>
  <c r="DD86" i="4"/>
  <c r="DH86" i="4" s="1"/>
  <c r="DP113" i="4"/>
  <c r="DP103" i="4"/>
  <c r="DP167" i="4"/>
  <c r="DD93" i="4"/>
  <c r="DH93" i="4" s="1"/>
  <c r="DD139" i="4"/>
  <c r="DH139" i="4" s="1"/>
  <c r="DL78" i="4"/>
  <c r="DP175" i="4"/>
  <c r="DP115" i="4"/>
  <c r="DD137" i="4"/>
  <c r="DH137" i="4" s="1"/>
  <c r="DD107" i="4"/>
  <c r="DH107" i="4" s="1"/>
  <c r="DD183" i="4"/>
  <c r="DH183" i="4" s="1"/>
  <c r="DD68" i="4"/>
  <c r="DH68" i="4" s="1"/>
  <c r="DP75" i="4"/>
  <c r="DD167" i="4"/>
  <c r="DH167" i="4" s="1"/>
  <c r="DP137" i="4"/>
  <c r="DD178" i="4"/>
  <c r="DH178" i="4" s="1"/>
  <c r="DP53" i="4"/>
  <c r="DP112" i="4"/>
  <c r="DP156" i="4"/>
  <c r="DD153" i="4"/>
  <c r="DH153" i="4" s="1"/>
  <c r="DD75" i="4"/>
  <c r="DH75" i="4" s="1"/>
  <c r="DP178" i="4"/>
  <c r="DD180" i="4"/>
  <c r="DH180" i="4" s="1"/>
  <c r="DP182" i="4"/>
  <c r="DP179" i="4"/>
  <c r="DD191" i="4"/>
  <c r="DH191" i="4" s="1"/>
  <c r="DD145" i="4"/>
  <c r="DH145" i="4" s="1"/>
  <c r="DD154" i="4"/>
  <c r="DH154" i="4" s="1"/>
  <c r="DD169" i="4"/>
  <c r="DH169" i="4" s="1"/>
  <c r="DP72" i="4"/>
  <c r="DP139" i="4"/>
  <c r="DD144" i="4"/>
  <c r="DH144" i="4" s="1"/>
  <c r="DD67" i="4"/>
  <c r="DH67" i="4" s="1"/>
  <c r="DP120" i="4"/>
  <c r="DD140" i="4"/>
  <c r="DH140" i="4" s="1"/>
  <c r="DD185" i="4"/>
  <c r="DH185" i="4" s="1"/>
  <c r="DP181" i="4"/>
  <c r="DD59" i="4"/>
  <c r="DH59" i="4" s="1"/>
  <c r="DD112" i="4"/>
  <c r="DH112" i="4" s="1"/>
  <c r="DL189" i="4"/>
  <c r="DD103" i="4"/>
  <c r="DH103" i="4" s="1"/>
  <c r="DL118" i="4"/>
  <c r="DP86" i="4"/>
  <c r="DP108" i="4"/>
  <c r="DP159" i="4"/>
  <c r="DD113" i="4"/>
  <c r="DH113" i="4" s="1"/>
  <c r="DD61" i="4"/>
  <c r="DH61" i="4" s="1"/>
  <c r="DP60" i="4"/>
  <c r="DD156" i="4"/>
  <c r="DH156" i="4" s="1"/>
  <c r="DP150" i="4"/>
  <c r="DD87" i="4"/>
  <c r="DH87" i="4" s="1"/>
  <c r="DP173" i="4"/>
  <c r="DD173" i="4"/>
  <c r="DH173" i="4" s="1"/>
  <c r="DD57" i="4"/>
  <c r="DH57" i="4" s="1"/>
  <c r="DD179" i="4"/>
  <c r="DH179" i="4" s="1"/>
  <c r="DD60" i="4"/>
  <c r="DH60" i="4" s="1"/>
  <c r="DD148" i="4"/>
  <c r="DH148" i="4" s="1"/>
  <c r="DP67" i="4"/>
  <c r="DP145" i="4"/>
  <c r="DD53" i="4"/>
  <c r="DH53" i="4" s="1"/>
  <c r="DP144" i="4"/>
  <c r="DP183" i="4"/>
  <c r="DL109" i="4"/>
  <c r="DD94" i="4"/>
  <c r="DH94" i="4" s="1"/>
  <c r="DP152" i="4"/>
  <c r="DP163" i="4"/>
  <c r="DP118" i="4"/>
  <c r="DP161" i="4"/>
  <c r="DD66" i="4"/>
  <c r="DD135" i="4"/>
  <c r="DL160" i="4"/>
  <c r="DL21" i="4"/>
  <c r="DP66" i="4"/>
  <c r="DP29" i="4"/>
  <c r="DD118" i="4"/>
  <c r="DD97" i="4"/>
  <c r="DD163" i="4"/>
  <c r="DD192" i="4"/>
  <c r="DL77" i="4"/>
  <c r="DD166" i="4"/>
  <c r="DP62" i="4"/>
  <c r="DP21" i="4"/>
  <c r="DP58" i="4"/>
  <c r="DP187" i="4"/>
  <c r="DD29" i="4"/>
  <c r="DP70" i="4"/>
  <c r="DD170" i="4"/>
  <c r="DP109" i="4"/>
  <c r="DP141" i="4"/>
  <c r="DD189" i="4"/>
  <c r="DP170" i="4"/>
  <c r="DD161" i="4"/>
  <c r="DD109" i="4"/>
  <c r="DP155" i="4"/>
  <c r="DP97" i="4"/>
  <c r="DD58" i="4"/>
  <c r="DD152" i="4"/>
  <c r="DD78" i="4"/>
  <c r="DP135" i="4"/>
  <c r="DD141" i="4"/>
  <c r="DD70" i="4"/>
  <c r="DP189" i="4"/>
  <c r="DD187" i="4"/>
  <c r="DL165" i="4"/>
  <c r="DD155" i="4"/>
  <c r="DD114" i="4"/>
  <c r="DD62" i="4"/>
  <c r="DP78" i="4"/>
  <c r="DP166" i="4"/>
  <c r="DP192" i="4"/>
  <c r="DP114" i="4"/>
  <c r="AK178" i="9"/>
  <c r="AR41" i="8"/>
  <c r="AF99" i="5"/>
  <c r="Q4" i="4"/>
  <c r="EO17" i="4"/>
  <c r="EO16" i="4"/>
  <c r="EJ10" i="4"/>
  <c r="EO50" i="4"/>
  <c r="ES50" i="4" s="1"/>
  <c r="EO18" i="4"/>
  <c r="EO41" i="4"/>
  <c r="ES41" i="4" s="1"/>
  <c r="EO35" i="4"/>
  <c r="ES35" i="4" s="1"/>
  <c r="EO196" i="4"/>
  <c r="ES196" i="4" s="1"/>
  <c r="EO49" i="4"/>
  <c r="ES49" i="4" s="1"/>
  <c r="EO43" i="4"/>
  <c r="ES43" i="4" s="1"/>
  <c r="EO198" i="4"/>
  <c r="EO37" i="4"/>
  <c r="ES37" i="4" s="1"/>
  <c r="EO46" i="4"/>
  <c r="ES46" i="4" s="1"/>
  <c r="EO27" i="4"/>
  <c r="EO39" i="4"/>
  <c r="ES39" i="4" s="1"/>
  <c r="EO42" i="4"/>
  <c r="ES42" i="4" s="1"/>
  <c r="EO23" i="4"/>
  <c r="EO20" i="4"/>
  <c r="EO33" i="4"/>
  <c r="ES33" i="4" s="1"/>
  <c r="EO45" i="4"/>
  <c r="ES45" i="4" s="1"/>
  <c r="EO26" i="4"/>
  <c r="EO47" i="4"/>
  <c r="ES47" i="4" s="1"/>
  <c r="EO22" i="4"/>
  <c r="EO21" i="4"/>
  <c r="EO25" i="4"/>
  <c r="EO31" i="4"/>
  <c r="ES31" i="4" s="1"/>
  <c r="EO197" i="4"/>
  <c r="ES197" i="4" s="1"/>
  <c r="EO194" i="4"/>
  <c r="EO195" i="4"/>
  <c r="EO44" i="4"/>
  <c r="ES44" i="4" s="1"/>
  <c r="EO19" i="4"/>
  <c r="EO199" i="4"/>
  <c r="ES199" i="4" s="1"/>
  <c r="EO40" i="4"/>
  <c r="ES40" i="4" s="1"/>
  <c r="EO24" i="4"/>
  <c r="EO200" i="4"/>
  <c r="ES200" i="4" s="1"/>
  <c r="FA37" i="4"/>
  <c r="EW22" i="4"/>
  <c r="FA197" i="4"/>
  <c r="EW195" i="4"/>
  <c r="FA33" i="4"/>
  <c r="EW44" i="4"/>
  <c r="EW194" i="4"/>
  <c r="FA24" i="4"/>
  <c r="FA45" i="4"/>
  <c r="FA200" i="4"/>
  <c r="FA44" i="4"/>
  <c r="FA198" i="4"/>
  <c r="EW23" i="4"/>
  <c r="EW24" i="4"/>
  <c r="FA39" i="4"/>
  <c r="EW43" i="4"/>
  <c r="EO36" i="4"/>
  <c r="ES36" i="4" s="1"/>
  <c r="EW49" i="4"/>
  <c r="FA23" i="4"/>
  <c r="FA22" i="4"/>
  <c r="EW45" i="4"/>
  <c r="EW196" i="4"/>
  <c r="EW50" i="4"/>
  <c r="EW26" i="4"/>
  <c r="FA31" i="4"/>
  <c r="EW25" i="4"/>
  <c r="EW197" i="4"/>
  <c r="FA25" i="4"/>
  <c r="EO34" i="4"/>
  <c r="ES34" i="4" s="1"/>
  <c r="EW199" i="4"/>
  <c r="FA34" i="4"/>
  <c r="EW46" i="4"/>
  <c r="FA26" i="4"/>
  <c r="EW37" i="4"/>
  <c r="FA47" i="4"/>
  <c r="FA49" i="4"/>
  <c r="FA42" i="4"/>
  <c r="EW42" i="4"/>
  <c r="EW34" i="4"/>
  <c r="FA41" i="4"/>
  <c r="FA195" i="4"/>
  <c r="FA50" i="4"/>
  <c r="FA196" i="4"/>
  <c r="EW47" i="4"/>
  <c r="EW200" i="4"/>
  <c r="FA43" i="4"/>
  <c r="EW198" i="4"/>
  <c r="FA40" i="4"/>
  <c r="FA35" i="4"/>
  <c r="FA36" i="4"/>
  <c r="FA194" i="4"/>
  <c r="EW40" i="4"/>
  <c r="EW41" i="4"/>
  <c r="FA27" i="4"/>
  <c r="EW35" i="4"/>
  <c r="EW39" i="4"/>
  <c r="EW27" i="4"/>
  <c r="FA199" i="4"/>
  <c r="EW33" i="4"/>
  <c r="EW36" i="4"/>
  <c r="EW31" i="4"/>
  <c r="FA46" i="4"/>
  <c r="EW72" i="4"/>
  <c r="EW168" i="4"/>
  <c r="EW184" i="4"/>
  <c r="EW175" i="4"/>
  <c r="EW125" i="4"/>
  <c r="EW94" i="4"/>
  <c r="EW120" i="4"/>
  <c r="EW93" i="4"/>
  <c r="EW71" i="4"/>
  <c r="EW183" i="4"/>
  <c r="EW73" i="4"/>
  <c r="EW139" i="4"/>
  <c r="EW148" i="4"/>
  <c r="EW176" i="4"/>
  <c r="EW164" i="4"/>
  <c r="EW144" i="4"/>
  <c r="EW106" i="4"/>
  <c r="EW110" i="4"/>
  <c r="EW179" i="4"/>
  <c r="EW158" i="4"/>
  <c r="EW130" i="4"/>
  <c r="EW178" i="4"/>
  <c r="EW74" i="4"/>
  <c r="EW159" i="4"/>
  <c r="EW185" i="4"/>
  <c r="EW153" i="4"/>
  <c r="EW85" i="4"/>
  <c r="EW76" i="4"/>
  <c r="EW191" i="4"/>
  <c r="EW147" i="4"/>
  <c r="EW95" i="4"/>
  <c r="EW169" i="4"/>
  <c r="EW75" i="4"/>
  <c r="EW86" i="4"/>
  <c r="EW108" i="4"/>
  <c r="EW112" i="4"/>
  <c r="EW87" i="4"/>
  <c r="EW68" i="4"/>
  <c r="EW69" i="4"/>
  <c r="EW188" i="4"/>
  <c r="EW57" i="4"/>
  <c r="EW167" i="4"/>
  <c r="EW181" i="4"/>
  <c r="EW65" i="4"/>
  <c r="EW172" i="4"/>
  <c r="EW145" i="4"/>
  <c r="EW156" i="4"/>
  <c r="EW177" i="4"/>
  <c r="EW51" i="4"/>
  <c r="EW162" i="4"/>
  <c r="EW123" i="4"/>
  <c r="EW103" i="4"/>
  <c r="EW157" i="4"/>
  <c r="EW193" i="4"/>
  <c r="EW113" i="4"/>
  <c r="EW119" i="4"/>
  <c r="EW115" i="4"/>
  <c r="EW137" i="4"/>
  <c r="EW55" i="4"/>
  <c r="EW111" i="4"/>
  <c r="EW67" i="4"/>
  <c r="EW140" i="4"/>
  <c r="EW96" i="4"/>
  <c r="EW60" i="4"/>
  <c r="EW146" i="4"/>
  <c r="EW154" i="4"/>
  <c r="EW138" i="4"/>
  <c r="EW53" i="4"/>
  <c r="EW107" i="4"/>
  <c r="EW150" i="4"/>
  <c r="EW101" i="4"/>
  <c r="EW186" i="4"/>
  <c r="EW171" i="4"/>
  <c r="EW127" i="4"/>
  <c r="EW182" i="4"/>
  <c r="EW117" i="4"/>
  <c r="EW61" i="4"/>
  <c r="EW180" i="4"/>
  <c r="EW30" i="4"/>
  <c r="EW190" i="4"/>
  <c r="EW59" i="4"/>
  <c r="EW173" i="4"/>
  <c r="EW83" i="4"/>
  <c r="FA107" i="4"/>
  <c r="EO193" i="4"/>
  <c r="ES193" i="4" s="1"/>
  <c r="EW170" i="4"/>
  <c r="EO148" i="4"/>
  <c r="ES148" i="4" s="1"/>
  <c r="EO178" i="4"/>
  <c r="ES178" i="4" s="1"/>
  <c r="FA167" i="4"/>
  <c r="FA94" i="4"/>
  <c r="EO96" i="4"/>
  <c r="ES96" i="4" s="1"/>
  <c r="EO68" i="4"/>
  <c r="ES68" i="4" s="1"/>
  <c r="FA87" i="4"/>
  <c r="EO76" i="4"/>
  <c r="ES76" i="4" s="1"/>
  <c r="EO158" i="4"/>
  <c r="ES158" i="4" s="1"/>
  <c r="EO53" i="4"/>
  <c r="ES53" i="4" s="1"/>
  <c r="FA111" i="4"/>
  <c r="FA144" i="4"/>
  <c r="FA73" i="4"/>
  <c r="FA74" i="4"/>
  <c r="EO74" i="4"/>
  <c r="ES74" i="4" s="1"/>
  <c r="EO153" i="4"/>
  <c r="ES153" i="4" s="1"/>
  <c r="EO107" i="4"/>
  <c r="ES107" i="4" s="1"/>
  <c r="EW118" i="4"/>
  <c r="FA61" i="4"/>
  <c r="FA193" i="4"/>
  <c r="FA93" i="4"/>
  <c r="EO59" i="4"/>
  <c r="ES59" i="4" s="1"/>
  <c r="EO179" i="4"/>
  <c r="ES179" i="4" s="1"/>
  <c r="EO139" i="4"/>
  <c r="ES139" i="4" s="1"/>
  <c r="EW97" i="4"/>
  <c r="EO106" i="4"/>
  <c r="ES106" i="4" s="1"/>
  <c r="EO188" i="4"/>
  <c r="ES188" i="4" s="1"/>
  <c r="EO72" i="4"/>
  <c r="ES72" i="4" s="1"/>
  <c r="FA139" i="4"/>
  <c r="FA150" i="4"/>
  <c r="FA138" i="4"/>
  <c r="EO138" i="4"/>
  <c r="ES138" i="4" s="1"/>
  <c r="EO67" i="4"/>
  <c r="ES67" i="4" s="1"/>
  <c r="EO182" i="4"/>
  <c r="ES182" i="4" s="1"/>
  <c r="FA55" i="4"/>
  <c r="EO140" i="4"/>
  <c r="ES140" i="4" s="1"/>
  <c r="FA130" i="4"/>
  <c r="FA96" i="4"/>
  <c r="FA188" i="4"/>
  <c r="EW187" i="4"/>
  <c r="EO73" i="4"/>
  <c r="ES73" i="4" s="1"/>
  <c r="EO65" i="4"/>
  <c r="ES65" i="4" s="1"/>
  <c r="EW62" i="4"/>
  <c r="FA68" i="4"/>
  <c r="FA127" i="4"/>
  <c r="FA146" i="4"/>
  <c r="FA119" i="4"/>
  <c r="EW155" i="4"/>
  <c r="FA65" i="4"/>
  <c r="EO190" i="4"/>
  <c r="ES190" i="4" s="1"/>
  <c r="EO168" i="4"/>
  <c r="ES168" i="4" s="1"/>
  <c r="EW135" i="4"/>
  <c r="FA159" i="4"/>
  <c r="EW192" i="4"/>
  <c r="FA177" i="4"/>
  <c r="EO157" i="4"/>
  <c r="ES157" i="4" s="1"/>
  <c r="FA182" i="4"/>
  <c r="EO60" i="4"/>
  <c r="ES60" i="4" s="1"/>
  <c r="EW189" i="4"/>
  <c r="EO150" i="4"/>
  <c r="ES150" i="4" s="1"/>
  <c r="FA117" i="4"/>
  <c r="EO147" i="4"/>
  <c r="ES147" i="4" s="1"/>
  <c r="EO111" i="4"/>
  <c r="ES111" i="4" s="1"/>
  <c r="EO130" i="4"/>
  <c r="ES130" i="4" s="1"/>
  <c r="FA186" i="4"/>
  <c r="EO144" i="4"/>
  <c r="ES144" i="4" s="1"/>
  <c r="FA83" i="4"/>
  <c r="EO146" i="4"/>
  <c r="ES146" i="4" s="1"/>
  <c r="EO86" i="4"/>
  <c r="ES86" i="4" s="1"/>
  <c r="EO154" i="4"/>
  <c r="ES154" i="4" s="1"/>
  <c r="FA115" i="4"/>
  <c r="EO127" i="4"/>
  <c r="ES127" i="4" s="1"/>
  <c r="FA176" i="4"/>
  <c r="FA106" i="4"/>
  <c r="EO117" i="4"/>
  <c r="ES117" i="4" s="1"/>
  <c r="FA190" i="4"/>
  <c r="EO101" i="4"/>
  <c r="ES101" i="4" s="1"/>
  <c r="EO172" i="4"/>
  <c r="ES172" i="4" s="1"/>
  <c r="EO177" i="4"/>
  <c r="ES177" i="4" s="1"/>
  <c r="FA173" i="4"/>
  <c r="EO167" i="4"/>
  <c r="ES167" i="4" s="1"/>
  <c r="EO125" i="4"/>
  <c r="ES125" i="4" s="1"/>
  <c r="EO55" i="4"/>
  <c r="ES55" i="4" s="1"/>
  <c r="EO83" i="4"/>
  <c r="ES83" i="4" s="1"/>
  <c r="EW29" i="4"/>
  <c r="FA110" i="4"/>
  <c r="FA154" i="4"/>
  <c r="EO93" i="4"/>
  <c r="ES93" i="4" s="1"/>
  <c r="FA158" i="4"/>
  <c r="FA175" i="4"/>
  <c r="FA51" i="4"/>
  <c r="FA72" i="4"/>
  <c r="FA157" i="4"/>
  <c r="EO30" i="4"/>
  <c r="ES30" i="4" s="1"/>
  <c r="FA180" i="4"/>
  <c r="EO119" i="4"/>
  <c r="ES119" i="4" s="1"/>
  <c r="FA147" i="4"/>
  <c r="FA181" i="4"/>
  <c r="EO95" i="4"/>
  <c r="ES95" i="4" s="1"/>
  <c r="FA171" i="4"/>
  <c r="EW114" i="4"/>
  <c r="EO115" i="4"/>
  <c r="ES115" i="4" s="1"/>
  <c r="FA172" i="4"/>
  <c r="EW141" i="4"/>
  <c r="FA162" i="4"/>
  <c r="EO180" i="4"/>
  <c r="ES180" i="4" s="1"/>
  <c r="EW66" i="4"/>
  <c r="EO61" i="4"/>
  <c r="ES61" i="4" s="1"/>
  <c r="FA178" i="4"/>
  <c r="FA156" i="4"/>
  <c r="FA60" i="4"/>
  <c r="FA30" i="4"/>
  <c r="FA71" i="4"/>
  <c r="EW166" i="4"/>
  <c r="FA95" i="4"/>
  <c r="EO120" i="4"/>
  <c r="ES120" i="4" s="1"/>
  <c r="EO51" i="4"/>
  <c r="ES51" i="4" s="1"/>
  <c r="FA76" i="4"/>
  <c r="EO87" i="4"/>
  <c r="ES87" i="4" s="1"/>
  <c r="EO110" i="4"/>
  <c r="ES110" i="4" s="1"/>
  <c r="EO112" i="4"/>
  <c r="ES112" i="4" s="1"/>
  <c r="FA148" i="4"/>
  <c r="FA168" i="4"/>
  <c r="FA153" i="4"/>
  <c r="FA112" i="4"/>
  <c r="EO186" i="4"/>
  <c r="ES186" i="4" s="1"/>
  <c r="FA140" i="4"/>
  <c r="FA53" i="4"/>
  <c r="FA120" i="4"/>
  <c r="EO159" i="4"/>
  <c r="ES159" i="4" s="1"/>
  <c r="FA67" i="4"/>
  <c r="FA59" i="4"/>
  <c r="FA69" i="4"/>
  <c r="EO169" i="4"/>
  <c r="ES169" i="4" s="1"/>
  <c r="EO185" i="4"/>
  <c r="ES185" i="4" s="1"/>
  <c r="FA57" i="4"/>
  <c r="EW152" i="4"/>
  <c r="EW163" i="4"/>
  <c r="FA123" i="4"/>
  <c r="EO162" i="4"/>
  <c r="ES162" i="4" s="1"/>
  <c r="EW70" i="4"/>
  <c r="FA101" i="4"/>
  <c r="EO184" i="4"/>
  <c r="ES184" i="4" s="1"/>
  <c r="EO176" i="4"/>
  <c r="ES176" i="4" s="1"/>
  <c r="EO123" i="4"/>
  <c r="ES123" i="4" s="1"/>
  <c r="EO103" i="4"/>
  <c r="ES103" i="4" s="1"/>
  <c r="FA183" i="4"/>
  <c r="FA191" i="4"/>
  <c r="FA185" i="4"/>
  <c r="FA125" i="4"/>
  <c r="EO108" i="4"/>
  <c r="ES108" i="4" s="1"/>
  <c r="FA137" i="4"/>
  <c r="FA86" i="4"/>
  <c r="EO145" i="4"/>
  <c r="ES145" i="4" s="1"/>
  <c r="EO75" i="4"/>
  <c r="ES75" i="4" s="1"/>
  <c r="EO183" i="4"/>
  <c r="ES183" i="4" s="1"/>
  <c r="EO191" i="4"/>
  <c r="ES191" i="4" s="1"/>
  <c r="EO173" i="4"/>
  <c r="ES173" i="4" s="1"/>
  <c r="FA164" i="4"/>
  <c r="EO94" i="4"/>
  <c r="ES94" i="4" s="1"/>
  <c r="FA85" i="4"/>
  <c r="EO85" i="4"/>
  <c r="ES85" i="4" s="1"/>
  <c r="FA184" i="4"/>
  <c r="EO175" i="4"/>
  <c r="ES175" i="4" s="1"/>
  <c r="FA179" i="4"/>
  <c r="EO164" i="4"/>
  <c r="ES164" i="4" s="1"/>
  <c r="FA145" i="4"/>
  <c r="EW109" i="4"/>
  <c r="EW161" i="4"/>
  <c r="FA108" i="4"/>
  <c r="EO181" i="4"/>
  <c r="ES181" i="4" s="1"/>
  <c r="FA113" i="4"/>
  <c r="EW58" i="4"/>
  <c r="FA103" i="4"/>
  <c r="EO113" i="4"/>
  <c r="ES113" i="4" s="1"/>
  <c r="EO57" i="4"/>
  <c r="ES57" i="4" s="1"/>
  <c r="EO71" i="4"/>
  <c r="ES71" i="4" s="1"/>
  <c r="EW78" i="4"/>
  <c r="FA75" i="4"/>
  <c r="FA169" i="4"/>
  <c r="EO69" i="4"/>
  <c r="ES69" i="4" s="1"/>
  <c r="EO137" i="4"/>
  <c r="ES137" i="4" s="1"/>
  <c r="EO171" i="4"/>
  <c r="ES171" i="4" s="1"/>
  <c r="EO156" i="4"/>
  <c r="ES156" i="4" s="1"/>
  <c r="EO152" i="4"/>
  <c r="EO62" i="4"/>
  <c r="EO166" i="4"/>
  <c r="EO66" i="4"/>
  <c r="EO109" i="4"/>
  <c r="FA18" i="4"/>
  <c r="FA192" i="4"/>
  <c r="EO118" i="4"/>
  <c r="EO78" i="4"/>
  <c r="EO141" i="4"/>
  <c r="EO189" i="4"/>
  <c r="EW160" i="4"/>
  <c r="EO97" i="4"/>
  <c r="FA161" i="4"/>
  <c r="EO29" i="4"/>
  <c r="EO114" i="4"/>
  <c r="EO192" i="4"/>
  <c r="EO163" i="4"/>
  <c r="FA70" i="4"/>
  <c r="FA135" i="4"/>
  <c r="FA62" i="4"/>
  <c r="FA152" i="4"/>
  <c r="EO70" i="4"/>
  <c r="FA187" i="4"/>
  <c r="EW20" i="4"/>
  <c r="FA118" i="4"/>
  <c r="EW19" i="4"/>
  <c r="FA66" i="4"/>
  <c r="EO161" i="4"/>
  <c r="FA155" i="4"/>
  <c r="FA78" i="4"/>
  <c r="FA170" i="4"/>
  <c r="FA141" i="4"/>
  <c r="EW77" i="4"/>
  <c r="FA19" i="4"/>
  <c r="FA97" i="4"/>
  <c r="EO155" i="4"/>
  <c r="FA58" i="4"/>
  <c r="EW21" i="4"/>
  <c r="FA114" i="4"/>
  <c r="EO170" i="4"/>
  <c r="FA29" i="4"/>
  <c r="EW18" i="4"/>
  <c r="EO135" i="4"/>
  <c r="EO58" i="4"/>
  <c r="FA20" i="4"/>
  <c r="FA21" i="4"/>
  <c r="EW165" i="4"/>
  <c r="FA166" i="4"/>
  <c r="FA163" i="4"/>
  <c r="FA109" i="4"/>
  <c r="FA189" i="4"/>
  <c r="EO187" i="4"/>
  <c r="FH17" i="4"/>
  <c r="FH20" i="4"/>
  <c r="FH26" i="4"/>
  <c r="FH47" i="4"/>
  <c r="FL47" i="4" s="1"/>
  <c r="FH198" i="4"/>
  <c r="FH34" i="4"/>
  <c r="FL34" i="4" s="1"/>
  <c r="FH43" i="4"/>
  <c r="FL43" i="4" s="1"/>
  <c r="FH196" i="4"/>
  <c r="FL196" i="4" s="1"/>
  <c r="FH16" i="4"/>
  <c r="FH24" i="4"/>
  <c r="FH200" i="4"/>
  <c r="FL200" i="4" s="1"/>
  <c r="FH36" i="4"/>
  <c r="FL36" i="4" s="1"/>
  <c r="FH44" i="4"/>
  <c r="FL44" i="4" s="1"/>
  <c r="FH199" i="4"/>
  <c r="FL199" i="4" s="1"/>
  <c r="FH197" i="4"/>
  <c r="FL197" i="4" s="1"/>
  <c r="FH31" i="4"/>
  <c r="FL31" i="4" s="1"/>
  <c r="FH23" i="4"/>
  <c r="FH49" i="4"/>
  <c r="FL49" i="4" s="1"/>
  <c r="FH40" i="4"/>
  <c r="FL40" i="4" s="1"/>
  <c r="FH46" i="4"/>
  <c r="FL46" i="4" s="1"/>
  <c r="FH22" i="4"/>
  <c r="FH25" i="4"/>
  <c r="FH41" i="4"/>
  <c r="FL41" i="4" s="1"/>
  <c r="FC10" i="4"/>
  <c r="FH19" i="4"/>
  <c r="FH194" i="4"/>
  <c r="FH195" i="4"/>
  <c r="FH35" i="4"/>
  <c r="FL35" i="4" s="1"/>
  <c r="FH42" i="4"/>
  <c r="FL42" i="4" s="1"/>
  <c r="FH33" i="4"/>
  <c r="FL33" i="4" s="1"/>
  <c r="FH50" i="4"/>
  <c r="FL50" i="4" s="1"/>
  <c r="FH37" i="4"/>
  <c r="FL37" i="4" s="1"/>
  <c r="FT50" i="4"/>
  <c r="FT194" i="4"/>
  <c r="FT42" i="4"/>
  <c r="FT195" i="4"/>
  <c r="FT196" i="4"/>
  <c r="FP199" i="4"/>
  <c r="FP40" i="4"/>
  <c r="FP39" i="4"/>
  <c r="FT26" i="4"/>
  <c r="FT47" i="4"/>
  <c r="FT23" i="4"/>
  <c r="FP42" i="4"/>
  <c r="FH39" i="4"/>
  <c r="FL39" i="4" s="1"/>
  <c r="FT43" i="4"/>
  <c r="FP47" i="4"/>
  <c r="FT25" i="4"/>
  <c r="FT36" i="4"/>
  <c r="FT31" i="4"/>
  <c r="FT40" i="4"/>
  <c r="FT37" i="4"/>
  <c r="FT22" i="4"/>
  <c r="FP22" i="4"/>
  <c r="FP31" i="4"/>
  <c r="FT197" i="4"/>
  <c r="FP43" i="4"/>
  <c r="FT199" i="4"/>
  <c r="FP41" i="4"/>
  <c r="FP197" i="4"/>
  <c r="FT41" i="4"/>
  <c r="FT198" i="4"/>
  <c r="FH18" i="4"/>
  <c r="FP37" i="4"/>
  <c r="FT33" i="4"/>
  <c r="FP200" i="4"/>
  <c r="FH27" i="4"/>
  <c r="FP27" i="4"/>
  <c r="FP23" i="4"/>
  <c r="FP26" i="4"/>
  <c r="FP45" i="4"/>
  <c r="FT49" i="4"/>
  <c r="FT27" i="4"/>
  <c r="FP50" i="4"/>
  <c r="FP195" i="4"/>
  <c r="FT34" i="4"/>
  <c r="FP36" i="4"/>
  <c r="FP194" i="4"/>
  <c r="FP46" i="4"/>
  <c r="FP34" i="4"/>
  <c r="FT44" i="4"/>
  <c r="FP198" i="4"/>
  <c r="FT24" i="4"/>
  <c r="FH21" i="4"/>
  <c r="FT200" i="4"/>
  <c r="FP33" i="4"/>
  <c r="FP35" i="4"/>
  <c r="FP44" i="4"/>
  <c r="FP25" i="4"/>
  <c r="FP196" i="4"/>
  <c r="FP24" i="4"/>
  <c r="FT35" i="4"/>
  <c r="FP49" i="4"/>
  <c r="FT39" i="4"/>
  <c r="FT46" i="4"/>
  <c r="FT45" i="4"/>
  <c r="FH45" i="4"/>
  <c r="FL45" i="4" s="1"/>
  <c r="FP130" i="4"/>
  <c r="FP169" i="4"/>
  <c r="FP139" i="4"/>
  <c r="FP191" i="4"/>
  <c r="FP183" i="4"/>
  <c r="FP65" i="4"/>
  <c r="FP186" i="4"/>
  <c r="FP108" i="4"/>
  <c r="FP137" i="4"/>
  <c r="FP181" i="4"/>
  <c r="FP125" i="4"/>
  <c r="FP101" i="4"/>
  <c r="FP123" i="4"/>
  <c r="FP55" i="4"/>
  <c r="FP164" i="4"/>
  <c r="FP72" i="4"/>
  <c r="FP153" i="4"/>
  <c r="FP119" i="4"/>
  <c r="FP172" i="4"/>
  <c r="FP179" i="4"/>
  <c r="FP67" i="4"/>
  <c r="FP112" i="4"/>
  <c r="FP182" i="4"/>
  <c r="FP94" i="4"/>
  <c r="FP178" i="4"/>
  <c r="FP188" i="4"/>
  <c r="FP76" i="4"/>
  <c r="FP145" i="4"/>
  <c r="FP148" i="4"/>
  <c r="FP150" i="4"/>
  <c r="FP193" i="4"/>
  <c r="FP74" i="4"/>
  <c r="FP86" i="4"/>
  <c r="FP57" i="4"/>
  <c r="FP69" i="4"/>
  <c r="FP147" i="4"/>
  <c r="FP95" i="4"/>
  <c r="FP154" i="4"/>
  <c r="FP176" i="4"/>
  <c r="FP144" i="4"/>
  <c r="FP168" i="4"/>
  <c r="FP190" i="4"/>
  <c r="FP167" i="4"/>
  <c r="FP175" i="4"/>
  <c r="FP120" i="4"/>
  <c r="FP111" i="4"/>
  <c r="FP61" i="4"/>
  <c r="FP60" i="4"/>
  <c r="FP30" i="4"/>
  <c r="FP53" i="4"/>
  <c r="FP110" i="4"/>
  <c r="FP115" i="4"/>
  <c r="FP184" i="4"/>
  <c r="FP140" i="4"/>
  <c r="FP107" i="4"/>
  <c r="FP117" i="4"/>
  <c r="FP73" i="4"/>
  <c r="FP103" i="4"/>
  <c r="FP71" i="4"/>
  <c r="FP162" i="4"/>
  <c r="FP51" i="4"/>
  <c r="FP173" i="4"/>
  <c r="FP83" i="4"/>
  <c r="FP59" i="4"/>
  <c r="FP93" i="4"/>
  <c r="FP156" i="4"/>
  <c r="FP157" i="4"/>
  <c r="FP75" i="4"/>
  <c r="FP185" i="4"/>
  <c r="FP180" i="4"/>
  <c r="FP171" i="4"/>
  <c r="FP96" i="4"/>
  <c r="FP158" i="4"/>
  <c r="FP113" i="4"/>
  <c r="FP177" i="4"/>
  <c r="FP127" i="4"/>
  <c r="FP138" i="4"/>
  <c r="FP106" i="4"/>
  <c r="FP87" i="4"/>
  <c r="FP68" i="4"/>
  <c r="FP85" i="4"/>
  <c r="FP159" i="4"/>
  <c r="FP146" i="4"/>
  <c r="FP141" i="4"/>
  <c r="FH153" i="4"/>
  <c r="FL153" i="4" s="1"/>
  <c r="FP70" i="4"/>
  <c r="FH127" i="4"/>
  <c r="FL127" i="4" s="1"/>
  <c r="FP66" i="4"/>
  <c r="FT186" i="4"/>
  <c r="FH108" i="4"/>
  <c r="FL108" i="4" s="1"/>
  <c r="FT76" i="4"/>
  <c r="FT169" i="4"/>
  <c r="FT115" i="4"/>
  <c r="FH172" i="4"/>
  <c r="FL172" i="4" s="1"/>
  <c r="FH175" i="4"/>
  <c r="FL175" i="4" s="1"/>
  <c r="FP155" i="4"/>
  <c r="FT144" i="4"/>
  <c r="FH139" i="4"/>
  <c r="FL139" i="4" s="1"/>
  <c r="FT176" i="4"/>
  <c r="FH74" i="4"/>
  <c r="FL74" i="4" s="1"/>
  <c r="FH138" i="4"/>
  <c r="FL138" i="4" s="1"/>
  <c r="FH193" i="4"/>
  <c r="FL193" i="4" s="1"/>
  <c r="FT110" i="4"/>
  <c r="FP161" i="4"/>
  <c r="FH171" i="4"/>
  <c r="FL171" i="4" s="1"/>
  <c r="FH182" i="4"/>
  <c r="FL182" i="4" s="1"/>
  <c r="FT73" i="4"/>
  <c r="FT53" i="4"/>
  <c r="FT139" i="4"/>
  <c r="FH93" i="4"/>
  <c r="FL93" i="4" s="1"/>
  <c r="FT173" i="4"/>
  <c r="FH173" i="4"/>
  <c r="FL173" i="4" s="1"/>
  <c r="FT188" i="4"/>
  <c r="FH167" i="4"/>
  <c r="FL167" i="4" s="1"/>
  <c r="FT112" i="4"/>
  <c r="FT175" i="4"/>
  <c r="FH53" i="4"/>
  <c r="FL53" i="4" s="1"/>
  <c r="FT69" i="4"/>
  <c r="FH72" i="4"/>
  <c r="FL72" i="4" s="1"/>
  <c r="FT75" i="4"/>
  <c r="FH115" i="4"/>
  <c r="FL115" i="4" s="1"/>
  <c r="FT127" i="4"/>
  <c r="FT148" i="4"/>
  <c r="FT140" i="4"/>
  <c r="FH68" i="4"/>
  <c r="FL68" i="4" s="1"/>
  <c r="FH188" i="4"/>
  <c r="FL188" i="4" s="1"/>
  <c r="FH86" i="4"/>
  <c r="FL86" i="4" s="1"/>
  <c r="FT157" i="4"/>
  <c r="FH154" i="4"/>
  <c r="FL154" i="4" s="1"/>
  <c r="FT193" i="4"/>
  <c r="FH177" i="4"/>
  <c r="FL177" i="4" s="1"/>
  <c r="FH145" i="4"/>
  <c r="FL145" i="4" s="1"/>
  <c r="FH51" i="4"/>
  <c r="FL51" i="4" s="1"/>
  <c r="FT111" i="4"/>
  <c r="FT117" i="4"/>
  <c r="FH106" i="4"/>
  <c r="FL106" i="4" s="1"/>
  <c r="FT55" i="4"/>
  <c r="FP187" i="4"/>
  <c r="FT96" i="4"/>
  <c r="FT181" i="4"/>
  <c r="FT95" i="4"/>
  <c r="FT113" i="4"/>
  <c r="FT177" i="4"/>
  <c r="FT61" i="4"/>
  <c r="FH148" i="4"/>
  <c r="FL148" i="4" s="1"/>
  <c r="FP166" i="4"/>
  <c r="FH158" i="4"/>
  <c r="FL158" i="4" s="1"/>
  <c r="FP114" i="4"/>
  <c r="FH30" i="4"/>
  <c r="FL30" i="4" s="1"/>
  <c r="FH117" i="4"/>
  <c r="FL117" i="4" s="1"/>
  <c r="FT101" i="4"/>
  <c r="FH95" i="4"/>
  <c r="FL95" i="4" s="1"/>
  <c r="FH156" i="4"/>
  <c r="FL156" i="4" s="1"/>
  <c r="FT65" i="4"/>
  <c r="FH61" i="4"/>
  <c r="FL61" i="4" s="1"/>
  <c r="FT67" i="4"/>
  <c r="FT172" i="4"/>
  <c r="FH119" i="4"/>
  <c r="FL119" i="4" s="1"/>
  <c r="FT145" i="4"/>
  <c r="FP170" i="4"/>
  <c r="FP29" i="4"/>
  <c r="FT171" i="4"/>
  <c r="FH180" i="4"/>
  <c r="FL180" i="4" s="1"/>
  <c r="FH112" i="4"/>
  <c r="FL112" i="4" s="1"/>
  <c r="FT156" i="4"/>
  <c r="FH110" i="4"/>
  <c r="FL110" i="4" s="1"/>
  <c r="FT68" i="4"/>
  <c r="FP78" i="4"/>
  <c r="FT71" i="4"/>
  <c r="FH65" i="4"/>
  <c r="FL65" i="4" s="1"/>
  <c r="FT107" i="4"/>
  <c r="FT119" i="4"/>
  <c r="FT147" i="4"/>
  <c r="FH190" i="4"/>
  <c r="FL190" i="4" s="1"/>
  <c r="FT154" i="4"/>
  <c r="FH75" i="4"/>
  <c r="FL75" i="4" s="1"/>
  <c r="FT183" i="4"/>
  <c r="FH96" i="4"/>
  <c r="FL96" i="4" s="1"/>
  <c r="FH147" i="4"/>
  <c r="FL147" i="4" s="1"/>
  <c r="FT180" i="4"/>
  <c r="FH140" i="4"/>
  <c r="FL140" i="4" s="1"/>
  <c r="FT167" i="4"/>
  <c r="FT60" i="4"/>
  <c r="FT158" i="4"/>
  <c r="FT168" i="4"/>
  <c r="FP163" i="4"/>
  <c r="FP135" i="4"/>
  <c r="FH144" i="4"/>
  <c r="FL144" i="4" s="1"/>
  <c r="FH101" i="4"/>
  <c r="FL101" i="4" s="1"/>
  <c r="FH107" i="4"/>
  <c r="FL107" i="4" s="1"/>
  <c r="FH69" i="4"/>
  <c r="FL69" i="4" s="1"/>
  <c r="FH67" i="4"/>
  <c r="FL67" i="4" s="1"/>
  <c r="FT30" i="4"/>
  <c r="FT51" i="4"/>
  <c r="FT182" i="4"/>
  <c r="FH150" i="4"/>
  <c r="FL150" i="4" s="1"/>
  <c r="FT94" i="4"/>
  <c r="FH157" i="4"/>
  <c r="FL157" i="4" s="1"/>
  <c r="FP189" i="4"/>
  <c r="FH73" i="4"/>
  <c r="FL73" i="4" s="1"/>
  <c r="FT120" i="4"/>
  <c r="FT130" i="4"/>
  <c r="FH83" i="4"/>
  <c r="FL83" i="4" s="1"/>
  <c r="FP152" i="4"/>
  <c r="FH137" i="4"/>
  <c r="FL137" i="4" s="1"/>
  <c r="FH113" i="4"/>
  <c r="FL113" i="4" s="1"/>
  <c r="FT85" i="4"/>
  <c r="FH183" i="4"/>
  <c r="FL183" i="4" s="1"/>
  <c r="FH87" i="4"/>
  <c r="FL87" i="4" s="1"/>
  <c r="FH57" i="4"/>
  <c r="FL57" i="4" s="1"/>
  <c r="FP192" i="4"/>
  <c r="FP118" i="4"/>
  <c r="FH125" i="4"/>
  <c r="FL125" i="4" s="1"/>
  <c r="FH71" i="4"/>
  <c r="FL71" i="4" s="1"/>
  <c r="FT74" i="4"/>
  <c r="FH168" i="4"/>
  <c r="FL168" i="4" s="1"/>
  <c r="FT57" i="4"/>
  <c r="FT185" i="4"/>
  <c r="FT103" i="4"/>
  <c r="FH146" i="4"/>
  <c r="FL146" i="4" s="1"/>
  <c r="FT108" i="4"/>
  <c r="FH178" i="4"/>
  <c r="FL178" i="4" s="1"/>
  <c r="FT159" i="4"/>
  <c r="FH130" i="4"/>
  <c r="FL130" i="4" s="1"/>
  <c r="FT93" i="4"/>
  <c r="FT179" i="4"/>
  <c r="FH164" i="4"/>
  <c r="FL164" i="4" s="1"/>
  <c r="FT153" i="4"/>
  <c r="FP109" i="4"/>
  <c r="FP62" i="4"/>
  <c r="FH60" i="4"/>
  <c r="FL60" i="4" s="1"/>
  <c r="FP58" i="4"/>
  <c r="FH176" i="4"/>
  <c r="FL176" i="4" s="1"/>
  <c r="FH191" i="4"/>
  <c r="FL191" i="4" s="1"/>
  <c r="FT106" i="4"/>
  <c r="FT86" i="4"/>
  <c r="FT125" i="4"/>
  <c r="FT87" i="4"/>
  <c r="FT146" i="4"/>
  <c r="FH162" i="4"/>
  <c r="FL162" i="4" s="1"/>
  <c r="FT72" i="4"/>
  <c r="FT59" i="4"/>
  <c r="FH76" i="4"/>
  <c r="FL76" i="4" s="1"/>
  <c r="FT190" i="4"/>
  <c r="FH186" i="4"/>
  <c r="FL186" i="4" s="1"/>
  <c r="FH169" i="4"/>
  <c r="FL169" i="4" s="1"/>
  <c r="FT178" i="4"/>
  <c r="FH55" i="4"/>
  <c r="FL55" i="4" s="1"/>
  <c r="FT138" i="4"/>
  <c r="FH103" i="4"/>
  <c r="FL103" i="4" s="1"/>
  <c r="FT83" i="4"/>
  <c r="FT123" i="4"/>
  <c r="FH111" i="4"/>
  <c r="FL111" i="4" s="1"/>
  <c r="FH123" i="4"/>
  <c r="FL123" i="4" s="1"/>
  <c r="FH94" i="4"/>
  <c r="FL94" i="4" s="1"/>
  <c r="FH120" i="4"/>
  <c r="FL120" i="4" s="1"/>
  <c r="FH185" i="4"/>
  <c r="FL185" i="4" s="1"/>
  <c r="FH181" i="4"/>
  <c r="FL181" i="4" s="1"/>
  <c r="FH184" i="4"/>
  <c r="FL184" i="4" s="1"/>
  <c r="FH179" i="4"/>
  <c r="FL179" i="4" s="1"/>
  <c r="FH85" i="4"/>
  <c r="FL85" i="4" s="1"/>
  <c r="FT191" i="4"/>
  <c r="FT162" i="4"/>
  <c r="FH159" i="4"/>
  <c r="FL159" i="4" s="1"/>
  <c r="FP97" i="4"/>
  <c r="FT150" i="4"/>
  <c r="FT137" i="4"/>
  <c r="FH59" i="4"/>
  <c r="FL59" i="4" s="1"/>
  <c r="FT184" i="4"/>
  <c r="FT164" i="4"/>
  <c r="FT118" i="4"/>
  <c r="FT21" i="4"/>
  <c r="FT189" i="4"/>
  <c r="FP77" i="4"/>
  <c r="FH166" i="4"/>
  <c r="FT170" i="4"/>
  <c r="FH70" i="4"/>
  <c r="FP21" i="4"/>
  <c r="FH141" i="4"/>
  <c r="FT20" i="4"/>
  <c r="FH187" i="4"/>
  <c r="FH170" i="4"/>
  <c r="FH66" i="4"/>
  <c r="FT29" i="4"/>
  <c r="FH62" i="4"/>
  <c r="FT78" i="4"/>
  <c r="FT62" i="4"/>
  <c r="FH189" i="4"/>
  <c r="FT70" i="4"/>
  <c r="FT141" i="4"/>
  <c r="FT135" i="4"/>
  <c r="FT58" i="4"/>
  <c r="FT163" i="4"/>
  <c r="FH58" i="4"/>
  <c r="FH152" i="4"/>
  <c r="FH97" i="4"/>
  <c r="FT192" i="4"/>
  <c r="FT114" i="4"/>
  <c r="FH118" i="4"/>
  <c r="FH109" i="4"/>
  <c r="FP18" i="4"/>
  <c r="FT97" i="4"/>
  <c r="FP19" i="4"/>
  <c r="FP160" i="4"/>
  <c r="FH161" i="4"/>
  <c r="FH155" i="4"/>
  <c r="FT19" i="4"/>
  <c r="FP20" i="4"/>
  <c r="FH78" i="4"/>
  <c r="FT155" i="4"/>
  <c r="FP165" i="4"/>
  <c r="FH135" i="4"/>
  <c r="FT187" i="4"/>
  <c r="FT109" i="4"/>
  <c r="FT166" i="4"/>
  <c r="FH29" i="4"/>
  <c r="FT161" i="4"/>
  <c r="FT152" i="4"/>
  <c r="FH114" i="4"/>
  <c r="FH192" i="4"/>
  <c r="FH163" i="4"/>
  <c r="FT18" i="4"/>
  <c r="FT66" i="4"/>
  <c r="FH160" i="4"/>
  <c r="FA165" i="4"/>
  <c r="CD205" i="4" a="1"/>
  <c r="CD205" i="4" s="1"/>
  <c r="CB205" i="4" a="1"/>
  <c r="CB205" i="4" s="1"/>
  <c r="CC17" i="4"/>
  <c r="CC205" i="4" a="1"/>
  <c r="CC205" i="4" s="1"/>
  <c r="CA205" i="4" a="1"/>
  <c r="CA205" i="4" s="1"/>
  <c r="AR104" i="5"/>
  <c r="AY41" i="8"/>
  <c r="AY98" i="8"/>
  <c r="AF17" i="7"/>
  <c r="AF20" i="7"/>
  <c r="AF18" i="7"/>
  <c r="Q2" i="7"/>
  <c r="P23" i="7" s="1"/>
  <c r="AF19" i="7"/>
  <c r="AF21" i="7"/>
  <c r="AF25" i="7"/>
  <c r="AA9" i="7"/>
  <c r="AF24" i="7"/>
  <c r="AN26" i="7"/>
  <c r="AF26" i="7"/>
  <c r="AR26" i="7"/>
  <c r="AR25" i="7"/>
  <c r="AN24" i="7"/>
  <c r="AN25" i="7"/>
  <c r="AR24" i="7"/>
  <c r="AN74" i="7"/>
  <c r="AN35" i="7"/>
  <c r="AN49" i="7"/>
  <c r="AN92" i="7"/>
  <c r="AN63" i="7"/>
  <c r="AN68" i="7"/>
  <c r="AN78" i="7"/>
  <c r="AN72" i="7"/>
  <c r="AN46" i="7"/>
  <c r="AN41" i="7"/>
  <c r="AN73" i="7"/>
  <c r="AN32" i="7"/>
  <c r="AN31" i="7"/>
  <c r="AN53" i="7"/>
  <c r="AN87" i="7"/>
  <c r="AN81" i="7"/>
  <c r="AN33" i="7"/>
  <c r="AN99" i="7"/>
  <c r="AN56" i="7"/>
  <c r="AN95" i="7"/>
  <c r="AN62" i="7"/>
  <c r="AN39" i="7"/>
  <c r="AN97" i="7"/>
  <c r="AN57" i="7"/>
  <c r="AN44" i="7"/>
  <c r="AN40" i="7"/>
  <c r="AN28" i="7"/>
  <c r="AN75" i="7"/>
  <c r="AN34" i="7"/>
  <c r="AN38" i="7"/>
  <c r="AN102" i="7"/>
  <c r="AN45" i="7"/>
  <c r="AN36" i="7"/>
  <c r="AN59" i="7"/>
  <c r="AN91" i="7"/>
  <c r="AN79" i="7"/>
  <c r="AN90" i="7"/>
  <c r="AN82" i="7"/>
  <c r="AN69" i="7"/>
  <c r="AN52" i="7"/>
  <c r="AN37" i="7"/>
  <c r="AN100" i="7"/>
  <c r="AN66" i="7"/>
  <c r="AN47" i="7"/>
  <c r="AN60" i="7"/>
  <c r="AN71" i="7"/>
  <c r="AN94" i="7"/>
  <c r="AN76" i="7"/>
  <c r="AN54" i="7"/>
  <c r="AN85" i="7"/>
  <c r="AF52" i="7"/>
  <c r="AR60" i="7"/>
  <c r="AF33" i="7"/>
  <c r="AN80" i="7"/>
  <c r="AF59" i="7"/>
  <c r="AN43" i="7"/>
  <c r="AR71" i="7"/>
  <c r="AF36" i="7"/>
  <c r="AN89" i="7"/>
  <c r="AR35" i="7"/>
  <c r="AF54" i="7"/>
  <c r="AF69" i="7"/>
  <c r="AF47" i="7"/>
  <c r="AR82" i="7"/>
  <c r="AR33" i="7"/>
  <c r="AF31" i="7"/>
  <c r="AR94" i="7"/>
  <c r="AR90" i="7"/>
  <c r="AR100" i="7"/>
  <c r="AF72" i="7"/>
  <c r="AR40" i="7"/>
  <c r="AF53" i="7"/>
  <c r="AN96" i="7"/>
  <c r="AF81" i="7"/>
  <c r="AR53" i="7"/>
  <c r="AR47" i="7"/>
  <c r="AN70" i="7"/>
  <c r="AF79" i="7"/>
  <c r="AN93" i="7"/>
  <c r="AR76" i="7"/>
  <c r="AR91" i="7"/>
  <c r="AR66" i="7"/>
  <c r="AR75" i="7"/>
  <c r="AF35" i="7"/>
  <c r="AN55" i="7"/>
  <c r="AF60" i="7"/>
  <c r="AF66" i="7"/>
  <c r="AR37" i="7"/>
  <c r="AR46" i="7"/>
  <c r="AN101" i="7"/>
  <c r="AR59" i="7"/>
  <c r="AN84" i="7"/>
  <c r="AF102" i="7"/>
  <c r="AF46" i="7"/>
  <c r="AF63" i="7"/>
  <c r="AR38" i="7"/>
  <c r="AF94" i="7"/>
  <c r="AF91" i="7"/>
  <c r="AF78" i="7"/>
  <c r="AF100" i="7"/>
  <c r="AR99" i="7"/>
  <c r="AR72" i="7"/>
  <c r="AF71" i="7"/>
  <c r="AF38" i="7"/>
  <c r="AR36" i="7"/>
  <c r="AR34" i="7"/>
  <c r="AF87" i="7"/>
  <c r="AF95" i="7"/>
  <c r="AF34" i="7"/>
  <c r="AR49" i="7"/>
  <c r="AR41" i="7"/>
  <c r="AR69" i="7"/>
  <c r="AF76" i="7"/>
  <c r="AN58" i="7"/>
  <c r="AN48" i="7"/>
  <c r="AR73" i="7"/>
  <c r="AF85" i="7"/>
  <c r="AR54" i="7"/>
  <c r="AR52" i="7"/>
  <c r="AR45" i="7"/>
  <c r="AR102" i="7"/>
  <c r="AN61" i="7"/>
  <c r="AR79" i="7"/>
  <c r="AN77" i="7"/>
  <c r="AR95" i="7"/>
  <c r="AF73" i="7"/>
  <c r="AF45" i="7"/>
  <c r="AF75" i="7"/>
  <c r="AR74" i="7"/>
  <c r="AF74" i="7"/>
  <c r="AR62" i="7"/>
  <c r="AR44" i="7"/>
  <c r="AR81" i="7"/>
  <c r="AN67" i="7"/>
  <c r="AF57" i="7"/>
  <c r="AF28" i="7"/>
  <c r="AR85" i="7"/>
  <c r="AR87" i="7"/>
  <c r="AF97" i="7"/>
  <c r="AF92" i="7"/>
  <c r="AR32" i="7"/>
  <c r="AR28" i="7"/>
  <c r="AR97" i="7"/>
  <c r="AR56" i="7"/>
  <c r="AF44" i="7"/>
  <c r="AR68" i="7"/>
  <c r="AR31" i="7"/>
  <c r="AR78" i="7"/>
  <c r="AR63" i="7"/>
  <c r="AF99" i="7"/>
  <c r="AF41" i="7"/>
  <c r="AF82" i="7"/>
  <c r="AF49" i="7"/>
  <c r="AF40" i="7"/>
  <c r="AN27" i="7"/>
  <c r="AR27" i="7"/>
  <c r="AN86" i="7"/>
  <c r="AR92" i="7"/>
  <c r="AF56" i="7"/>
  <c r="AR39" i="7"/>
  <c r="AN98" i="7"/>
  <c r="AF27" i="7"/>
  <c r="AF37" i="7"/>
  <c r="AF68" i="7"/>
  <c r="AF62" i="7"/>
  <c r="AF39" i="7"/>
  <c r="AF90" i="7"/>
  <c r="AR57" i="7"/>
  <c r="AF32" i="7"/>
  <c r="AF67" i="7"/>
  <c r="AF89" i="7"/>
  <c r="AR19" i="7"/>
  <c r="AR43" i="7"/>
  <c r="AR58" i="7"/>
  <c r="AN42" i="7"/>
  <c r="AR21" i="7"/>
  <c r="AF77" i="7"/>
  <c r="AN21" i="7"/>
  <c r="AR70" i="7"/>
  <c r="AN22" i="7"/>
  <c r="AR55" i="7"/>
  <c r="AF96" i="7"/>
  <c r="AF43" i="7"/>
  <c r="AF55" i="7"/>
  <c r="AF22" i="7"/>
  <c r="AR93" i="7"/>
  <c r="AF48" i="7"/>
  <c r="AR48" i="7"/>
  <c r="AF93" i="7"/>
  <c r="AF58" i="7"/>
  <c r="AF86" i="7"/>
  <c r="AN88" i="7"/>
  <c r="AF70" i="7"/>
  <c r="AN19" i="7"/>
  <c r="AN20" i="7"/>
  <c r="AF80" i="7"/>
  <c r="AR22" i="7"/>
  <c r="AR101" i="7"/>
  <c r="AR80" i="7"/>
  <c r="AR86" i="7"/>
  <c r="AR61" i="7"/>
  <c r="AR84" i="7"/>
  <c r="AR20" i="7"/>
  <c r="AF84" i="7"/>
  <c r="AF101" i="7"/>
  <c r="AN83" i="7"/>
  <c r="AR98" i="7"/>
  <c r="AF61" i="7"/>
  <c r="AF98" i="7"/>
  <c r="AR77" i="7"/>
  <c r="AR96" i="7"/>
  <c r="AR67" i="7"/>
  <c r="AR89" i="7"/>
  <c r="AF83" i="7"/>
  <c r="BD16" i="9"/>
  <c r="BD29" i="9"/>
  <c r="BD32" i="9"/>
  <c r="BD19" i="9"/>
  <c r="BD17" i="9"/>
  <c r="BD42" i="9"/>
  <c r="BD26" i="9"/>
  <c r="BD31" i="9"/>
  <c r="BD18" i="9"/>
  <c r="BD44" i="9"/>
  <c r="BD22" i="9"/>
  <c r="BD43" i="9"/>
  <c r="AY9" i="9"/>
  <c r="BD20" i="9"/>
  <c r="BD41" i="9"/>
  <c r="BD30" i="9"/>
  <c r="BD27" i="9"/>
  <c r="BD23" i="9"/>
  <c r="BD21" i="9"/>
  <c r="BD34" i="9"/>
  <c r="BL27" i="9"/>
  <c r="BL22" i="9"/>
  <c r="BP26" i="9"/>
  <c r="BD28" i="9"/>
  <c r="BD15" i="9"/>
  <c r="BL20" i="9"/>
  <c r="BP42" i="9"/>
  <c r="BL17" i="9"/>
  <c r="BL19" i="9"/>
  <c r="BP30" i="9"/>
  <c r="BP34" i="9"/>
  <c r="BL28" i="9"/>
  <c r="BL15" i="9"/>
  <c r="BL43" i="9"/>
  <c r="BL41" i="9"/>
  <c r="BL34" i="9"/>
  <c r="BP43" i="9"/>
  <c r="BL31" i="9"/>
  <c r="BP22" i="9"/>
  <c r="BP27" i="9"/>
  <c r="BL29" i="9"/>
  <c r="BL21" i="9"/>
  <c r="BL30" i="9"/>
  <c r="BL26" i="9"/>
  <c r="BL42" i="9"/>
  <c r="BL44" i="9"/>
  <c r="BP31" i="9"/>
  <c r="BP28" i="9"/>
  <c r="BL16" i="9"/>
  <c r="BP32" i="9"/>
  <c r="BL23" i="9"/>
  <c r="BP29" i="9"/>
  <c r="BP21" i="9"/>
  <c r="BP41" i="9"/>
  <c r="BP23" i="9"/>
  <c r="BL32" i="9"/>
  <c r="BL18" i="9"/>
  <c r="BP44" i="9"/>
  <c r="BL113" i="9"/>
  <c r="BL150" i="9"/>
  <c r="BL114" i="9"/>
  <c r="BL164" i="9"/>
  <c r="BL45" i="9"/>
  <c r="BL35" i="9"/>
  <c r="BL145" i="9"/>
  <c r="BL93" i="9"/>
  <c r="BL78" i="9"/>
  <c r="BL51" i="9"/>
  <c r="BL59" i="9"/>
  <c r="BL98" i="9"/>
  <c r="BL111" i="9"/>
  <c r="BD78" i="9"/>
  <c r="BL67" i="9"/>
  <c r="BL37" i="9"/>
  <c r="BL143" i="9"/>
  <c r="BL90" i="9"/>
  <c r="BL62" i="9"/>
  <c r="BL154" i="9"/>
  <c r="BL48" i="9"/>
  <c r="BL134" i="9"/>
  <c r="BL82" i="9"/>
  <c r="BL146" i="9"/>
  <c r="BL57" i="9"/>
  <c r="BL130" i="9"/>
  <c r="BL155" i="9"/>
  <c r="BL95" i="9"/>
  <c r="BL94" i="9"/>
  <c r="BL91" i="9"/>
  <c r="BL117" i="9"/>
  <c r="BL128" i="9"/>
  <c r="BL147" i="9"/>
  <c r="BL104" i="9"/>
  <c r="BL69" i="9"/>
  <c r="BP78" i="9"/>
  <c r="BL64" i="9"/>
  <c r="BL136" i="9"/>
  <c r="BL139" i="9"/>
  <c r="BL140" i="9"/>
  <c r="BL138" i="9"/>
  <c r="BL167" i="9"/>
  <c r="BL61" i="9"/>
  <c r="BL75" i="9"/>
  <c r="BL120" i="9"/>
  <c r="BL148" i="9"/>
  <c r="BL40" i="9"/>
  <c r="BL63" i="9"/>
  <c r="BL72" i="9"/>
  <c r="BL158" i="9"/>
  <c r="BL170" i="9"/>
  <c r="BL65" i="9"/>
  <c r="BL83" i="9"/>
  <c r="BL123" i="9"/>
  <c r="BL81" i="9"/>
  <c r="BL105" i="9"/>
  <c r="BL88" i="9"/>
  <c r="BL110" i="9"/>
  <c r="BL149" i="9"/>
  <c r="BL168" i="9"/>
  <c r="BL121" i="9"/>
  <c r="BL165" i="9"/>
  <c r="BL73" i="9"/>
  <c r="BL84" i="9"/>
  <c r="BL53" i="9"/>
  <c r="BL157" i="9"/>
  <c r="BL144" i="9"/>
  <c r="BL115" i="9"/>
  <c r="BL119" i="9"/>
  <c r="BL122" i="9"/>
  <c r="BL70" i="9"/>
  <c r="BL58" i="9"/>
  <c r="BL56" i="9"/>
  <c r="BL151" i="9"/>
  <c r="BL141" i="9"/>
  <c r="BL152" i="9"/>
  <c r="BL87" i="9"/>
  <c r="BL118" i="9"/>
  <c r="BL97" i="9"/>
  <c r="BL127" i="9"/>
  <c r="BL108" i="9"/>
  <c r="BL125" i="9"/>
  <c r="BL86" i="9"/>
  <c r="BL68" i="9"/>
  <c r="BL131" i="9"/>
  <c r="BL112" i="9"/>
  <c r="BL74" i="9"/>
  <c r="BL66" i="9"/>
  <c r="BL96" i="9"/>
  <c r="BL107" i="9"/>
  <c r="BP87" i="9"/>
  <c r="BP75" i="9"/>
  <c r="BP61" i="9"/>
  <c r="BP105" i="9"/>
  <c r="BP53" i="9"/>
  <c r="BD35" i="9"/>
  <c r="BP148" i="9"/>
  <c r="BP58" i="9"/>
  <c r="BL126" i="9"/>
  <c r="BD61" i="9"/>
  <c r="BP149" i="9"/>
  <c r="BP119" i="9"/>
  <c r="BP65" i="9"/>
  <c r="BP164" i="9"/>
  <c r="BD75" i="9"/>
  <c r="BP123" i="9"/>
  <c r="BD123" i="9"/>
  <c r="BD158" i="9"/>
  <c r="BD65" i="9"/>
  <c r="BD121" i="9"/>
  <c r="BP118" i="9"/>
  <c r="BP18" i="9"/>
  <c r="BP83" i="9"/>
  <c r="BP110" i="9"/>
  <c r="BD81" i="9"/>
  <c r="BP113" i="9"/>
  <c r="BP40" i="9"/>
  <c r="BD144" i="9"/>
  <c r="BD112" i="9"/>
  <c r="BD97" i="9"/>
  <c r="BD66" i="9"/>
  <c r="BP91" i="9"/>
  <c r="BD150" i="9"/>
  <c r="BP107" i="9"/>
  <c r="BP130" i="9"/>
  <c r="BL156" i="9"/>
  <c r="BD167" i="9"/>
  <c r="BD63" i="9"/>
  <c r="BD40" i="9"/>
  <c r="BD83" i="9"/>
  <c r="BD119" i="9"/>
  <c r="BP150" i="9"/>
  <c r="BP144" i="9"/>
  <c r="BD127" i="9"/>
  <c r="BD149" i="9"/>
  <c r="BD68" i="9"/>
  <c r="BP90" i="9"/>
  <c r="BP127" i="9"/>
  <c r="BP66" i="9"/>
  <c r="BL109" i="9"/>
  <c r="BD118" i="9"/>
  <c r="BL116" i="9"/>
  <c r="BD86" i="9"/>
  <c r="BD107" i="9"/>
  <c r="BP74" i="9"/>
  <c r="BP158" i="9"/>
  <c r="BL24" i="9"/>
  <c r="BD157" i="9"/>
  <c r="BP68" i="9"/>
  <c r="BD131" i="9"/>
  <c r="BD114" i="9"/>
  <c r="BD168" i="9"/>
  <c r="BP19" i="9"/>
  <c r="BP108" i="9"/>
  <c r="BD165" i="9"/>
  <c r="BD130" i="9"/>
  <c r="BP72" i="9"/>
  <c r="BD146" i="9"/>
  <c r="BP73" i="9"/>
  <c r="BD70" i="9"/>
  <c r="BD88" i="9"/>
  <c r="BL142" i="9"/>
  <c r="BL159" i="9"/>
  <c r="BP56" i="9"/>
  <c r="BD110" i="9"/>
  <c r="BP63" i="9"/>
  <c r="BP86" i="9"/>
  <c r="BP122" i="9"/>
  <c r="BD170" i="9"/>
  <c r="BD115" i="9"/>
  <c r="BL85" i="9"/>
  <c r="BL163" i="9"/>
  <c r="BD87" i="9"/>
  <c r="BL47" i="9"/>
  <c r="BD56" i="9"/>
  <c r="BD151" i="9"/>
  <c r="BD111" i="9"/>
  <c r="BP131" i="9"/>
  <c r="BP115" i="9"/>
  <c r="BL135" i="9"/>
  <c r="BD125" i="9"/>
  <c r="BP96" i="9"/>
  <c r="BP168" i="9"/>
  <c r="BP114" i="9"/>
  <c r="BP125" i="9"/>
  <c r="BD74" i="9"/>
  <c r="BD105" i="9"/>
  <c r="BD108" i="9"/>
  <c r="BD122" i="9"/>
  <c r="BP121" i="9"/>
  <c r="BP45" i="9"/>
  <c r="BD155" i="9"/>
  <c r="BP111" i="9"/>
  <c r="BD45" i="9"/>
  <c r="BP84" i="9"/>
  <c r="BP151" i="9"/>
  <c r="BP112" i="9"/>
  <c r="BP20" i="9"/>
  <c r="BD84" i="9"/>
  <c r="BL169" i="9"/>
  <c r="BD117" i="9"/>
  <c r="BP81" i="9"/>
  <c r="BP146" i="9"/>
  <c r="BP128" i="9"/>
  <c r="BD136" i="9"/>
  <c r="BP82" i="9"/>
  <c r="BD82" i="9"/>
  <c r="BD90" i="9"/>
  <c r="BP155" i="9"/>
  <c r="BP120" i="9"/>
  <c r="BP88" i="9"/>
  <c r="BD113" i="9"/>
  <c r="BP97" i="9"/>
  <c r="BD64" i="9"/>
  <c r="BD145" i="9"/>
  <c r="BP59" i="9"/>
  <c r="BP154" i="9"/>
  <c r="BP170" i="9"/>
  <c r="BD67" i="9"/>
  <c r="BD138" i="9"/>
  <c r="BD139" i="9"/>
  <c r="BP57" i="9"/>
  <c r="BP141" i="9"/>
  <c r="BP145" i="9"/>
  <c r="BL153" i="9"/>
  <c r="BD120" i="9"/>
  <c r="BD37" i="9"/>
  <c r="BD91" i="9"/>
  <c r="BP165" i="9"/>
  <c r="BD53" i="9"/>
  <c r="BD72" i="9"/>
  <c r="BP17" i="9"/>
  <c r="BL129" i="9"/>
  <c r="BD98" i="9"/>
  <c r="BD148" i="9"/>
  <c r="BD164" i="9"/>
  <c r="BD143" i="9"/>
  <c r="BD58" i="9"/>
  <c r="BP140" i="9"/>
  <c r="BL71" i="9"/>
  <c r="BP62" i="9"/>
  <c r="BD69" i="9"/>
  <c r="BL92" i="9"/>
  <c r="BP95" i="9"/>
  <c r="BD94" i="9"/>
  <c r="BD59" i="9"/>
  <c r="BD95" i="9"/>
  <c r="BD51" i="9"/>
  <c r="BD140" i="9"/>
  <c r="BP64" i="9"/>
  <c r="BP94" i="9"/>
  <c r="BD154" i="9"/>
  <c r="BP117" i="9"/>
  <c r="BP93" i="9"/>
  <c r="BP104" i="9"/>
  <c r="BP35" i="9"/>
  <c r="BP134" i="9"/>
  <c r="BP48" i="9"/>
  <c r="BP147" i="9"/>
  <c r="BL89" i="9"/>
  <c r="BP69" i="9"/>
  <c r="BP157" i="9"/>
  <c r="BD93" i="9"/>
  <c r="BD147" i="9"/>
  <c r="BP98" i="9"/>
  <c r="BP136" i="9"/>
  <c r="BD96" i="9"/>
  <c r="BD48" i="9"/>
  <c r="BD104" i="9"/>
  <c r="BP143" i="9"/>
  <c r="BD57" i="9"/>
  <c r="BD152" i="9"/>
  <c r="BD62" i="9"/>
  <c r="BD141" i="9"/>
  <c r="BP51" i="9"/>
  <c r="BL133" i="9"/>
  <c r="BP70" i="9"/>
  <c r="BP152" i="9"/>
  <c r="BP37" i="9"/>
  <c r="BD73" i="9"/>
  <c r="BP67" i="9"/>
  <c r="BP138" i="9"/>
  <c r="BD128" i="9"/>
  <c r="BL166" i="9"/>
  <c r="BD134" i="9"/>
  <c r="BP139" i="9"/>
  <c r="BP167" i="9"/>
  <c r="BP116" i="9"/>
  <c r="BD89" i="9"/>
  <c r="BD116" i="9"/>
  <c r="BD24" i="9"/>
  <c r="BP159" i="9"/>
  <c r="BP163" i="9"/>
  <c r="BD153" i="9"/>
  <c r="BD109" i="9"/>
  <c r="BL132" i="9"/>
  <c r="BD135" i="9"/>
  <c r="BL46" i="9"/>
  <c r="BP142" i="9"/>
  <c r="BP133" i="9"/>
  <c r="BD142" i="9"/>
  <c r="BD47" i="9"/>
  <c r="BL162" i="9"/>
  <c r="BP126" i="9"/>
  <c r="BP166" i="9"/>
  <c r="BD129" i="9"/>
  <c r="BD156" i="9"/>
  <c r="BP16" i="9"/>
  <c r="BD85" i="9"/>
  <c r="BD92" i="9"/>
  <c r="BD163" i="9"/>
  <c r="BP47" i="9"/>
  <c r="BP153" i="9"/>
  <c r="BP129" i="9"/>
  <c r="BP156" i="9"/>
  <c r="BP24" i="9"/>
  <c r="BD71" i="9"/>
  <c r="BD137" i="9"/>
  <c r="BD169" i="9"/>
  <c r="BP109" i="9"/>
  <c r="BP71" i="9"/>
  <c r="BP135" i="9"/>
  <c r="BP89" i="9"/>
  <c r="BL137" i="9"/>
  <c r="BD159" i="9"/>
  <c r="BD126" i="9"/>
  <c r="BD166" i="9"/>
  <c r="BP169" i="9"/>
  <c r="BP85" i="9"/>
  <c r="BP92" i="9"/>
  <c r="BD133" i="9"/>
  <c r="AF103" i="8"/>
  <c r="FT165" i="4"/>
  <c r="DP77" i="4"/>
  <c r="CK160" i="4"/>
  <c r="BY16" i="4"/>
  <c r="BZ17" i="4"/>
  <c r="BP178" i="9"/>
  <c r="BK103" i="8"/>
  <c r="Q2" i="4"/>
  <c r="AF21" i="4"/>
  <c r="AF20" i="4"/>
  <c r="AF196" i="4"/>
  <c r="AJ196" i="4" s="1"/>
  <c r="AF17" i="4"/>
  <c r="AF16" i="4"/>
  <c r="AF18" i="4"/>
  <c r="AF200" i="4"/>
  <c r="AJ200" i="4" s="1"/>
  <c r="AF19" i="4"/>
  <c r="AF47" i="4"/>
  <c r="AJ47" i="4" s="1"/>
  <c r="AF198" i="4"/>
  <c r="AF40" i="4"/>
  <c r="AJ40" i="4" s="1"/>
  <c r="AF41" i="4"/>
  <c r="AJ41" i="4" s="1"/>
  <c r="AF26" i="4"/>
  <c r="AF36" i="4"/>
  <c r="AJ36" i="4" s="1"/>
  <c r="AF35" i="4"/>
  <c r="AJ35" i="4" s="1"/>
  <c r="AF33" i="4"/>
  <c r="AJ33" i="4" s="1"/>
  <c r="AF46" i="4"/>
  <c r="AJ46" i="4" s="1"/>
  <c r="AF34" i="4"/>
  <c r="AJ34" i="4" s="1"/>
  <c r="AF39" i="4"/>
  <c r="AJ39" i="4" s="1"/>
  <c r="AF195" i="4"/>
  <c r="AF44" i="4"/>
  <c r="AJ44" i="4" s="1"/>
  <c r="AF37" i="4"/>
  <c r="AJ37" i="4" s="1"/>
  <c r="AF22" i="4"/>
  <c r="AA10" i="4"/>
  <c r="AF45" i="4"/>
  <c r="AJ45" i="4" s="1"/>
  <c r="AF50" i="4"/>
  <c r="AJ50" i="4" s="1"/>
  <c r="AF43" i="4"/>
  <c r="AJ43" i="4" s="1"/>
  <c r="AF194" i="4"/>
  <c r="AF197" i="4"/>
  <c r="AJ197" i="4" s="1"/>
  <c r="AF42" i="4"/>
  <c r="AJ42" i="4" s="1"/>
  <c r="AF31" i="4"/>
  <c r="AJ31" i="4" s="1"/>
  <c r="AF49" i="4"/>
  <c r="AJ49" i="4" s="1"/>
  <c r="AN195" i="4"/>
  <c r="AN26" i="4"/>
  <c r="AR44" i="4"/>
  <c r="AN39" i="4"/>
  <c r="AR34" i="4"/>
  <c r="AF25" i="4"/>
  <c r="AR198" i="4"/>
  <c r="AN34" i="4"/>
  <c r="AR33" i="4"/>
  <c r="AR39" i="4"/>
  <c r="AR31" i="4"/>
  <c r="AR194" i="4"/>
  <c r="AR49" i="4"/>
  <c r="AN43" i="4"/>
  <c r="AN42" i="4"/>
  <c r="AN35" i="4"/>
  <c r="AR27" i="4"/>
  <c r="AR26" i="4"/>
  <c r="AR197" i="4"/>
  <c r="AR50" i="4"/>
  <c r="AN23" i="4"/>
  <c r="AN37" i="4"/>
  <c r="AN44" i="4"/>
  <c r="AN45" i="4"/>
  <c r="AR46" i="4"/>
  <c r="AN197" i="4"/>
  <c r="AR47" i="4"/>
  <c r="AN41" i="4"/>
  <c r="AR195" i="4"/>
  <c r="AR200" i="4"/>
  <c r="AN194" i="4"/>
  <c r="AR25" i="4"/>
  <c r="AN36" i="4"/>
  <c r="AR42" i="4"/>
  <c r="AN22" i="4"/>
  <c r="AN196" i="4"/>
  <c r="AN25" i="4"/>
  <c r="AN199" i="4"/>
  <c r="AN46" i="4"/>
  <c r="AR43" i="4"/>
  <c r="AN50" i="4"/>
  <c r="AR37" i="4"/>
  <c r="AN40" i="4"/>
  <c r="AR23" i="4"/>
  <c r="AN198" i="4"/>
  <c r="AR41" i="4"/>
  <c r="AR36" i="4"/>
  <c r="AR22" i="4"/>
  <c r="AN49" i="4"/>
  <c r="AF27" i="4"/>
  <c r="AN47" i="4"/>
  <c r="AF199" i="4"/>
  <c r="AJ199" i="4" s="1"/>
  <c r="AN27" i="4"/>
  <c r="AR196" i="4"/>
  <c r="AR35" i="4"/>
  <c r="AR40" i="4"/>
  <c r="AR199" i="4"/>
  <c r="AN33" i="4"/>
  <c r="AN200" i="4"/>
  <c r="AR45" i="4"/>
  <c r="AN31" i="4"/>
  <c r="AF24" i="4"/>
  <c r="AF23" i="4"/>
  <c r="AN190" i="4"/>
  <c r="AN71" i="4"/>
  <c r="AN179" i="4"/>
  <c r="AN30" i="4"/>
  <c r="AN103" i="4"/>
  <c r="AN145" i="4"/>
  <c r="AN175" i="4"/>
  <c r="AN185" i="4"/>
  <c r="AN137" i="4"/>
  <c r="AN191" i="4"/>
  <c r="AN153" i="4"/>
  <c r="AN140" i="4"/>
  <c r="AN168" i="4"/>
  <c r="AN176" i="4"/>
  <c r="AN76" i="4"/>
  <c r="AN162" i="4"/>
  <c r="AN112" i="4"/>
  <c r="AN167" i="4"/>
  <c r="AN108" i="4"/>
  <c r="AN61" i="4"/>
  <c r="AN111" i="4"/>
  <c r="AN178" i="4"/>
  <c r="AN57" i="4"/>
  <c r="AN85" i="4"/>
  <c r="AN123" i="4"/>
  <c r="AN148" i="4"/>
  <c r="AN59" i="4"/>
  <c r="AN106" i="4"/>
  <c r="AN181" i="4"/>
  <c r="AN75" i="4"/>
  <c r="AN86" i="4"/>
  <c r="AN110" i="4"/>
  <c r="AN138" i="4"/>
  <c r="AN125" i="4"/>
  <c r="AN130" i="4"/>
  <c r="AN144" i="4"/>
  <c r="AN87" i="4"/>
  <c r="AN158" i="4"/>
  <c r="AN51" i="4"/>
  <c r="AN171" i="4"/>
  <c r="AN93" i="4"/>
  <c r="AN67" i="4"/>
  <c r="AN83" i="4"/>
  <c r="AN188" i="4"/>
  <c r="AN72" i="4"/>
  <c r="AN177" i="4"/>
  <c r="AN69" i="4"/>
  <c r="AN95" i="4"/>
  <c r="AN147" i="4"/>
  <c r="AN183" i="4"/>
  <c r="AN159" i="4"/>
  <c r="AN154" i="4"/>
  <c r="AN146" i="4"/>
  <c r="AN150" i="4"/>
  <c r="AN186" i="4"/>
  <c r="AN68" i="4"/>
  <c r="AN180" i="4"/>
  <c r="AN73" i="4"/>
  <c r="AN96" i="4"/>
  <c r="AN173" i="4"/>
  <c r="AN182" i="4"/>
  <c r="AN139" i="4"/>
  <c r="AN94" i="4"/>
  <c r="AN53" i="4"/>
  <c r="AN169" i="4"/>
  <c r="AN65" i="4"/>
  <c r="AN113" i="4"/>
  <c r="AN127" i="4"/>
  <c r="AN172" i="4"/>
  <c r="AN193" i="4"/>
  <c r="AN107" i="4"/>
  <c r="AN74" i="4"/>
  <c r="AN115" i="4"/>
  <c r="AN184" i="4"/>
  <c r="AN60" i="4"/>
  <c r="AN156" i="4"/>
  <c r="AN164" i="4"/>
  <c r="AN120" i="4"/>
  <c r="AN101" i="4"/>
  <c r="AN119" i="4"/>
  <c r="AN117" i="4"/>
  <c r="AN55" i="4"/>
  <c r="AN157" i="4"/>
  <c r="AN114" i="4"/>
  <c r="AR168" i="4"/>
  <c r="AF185" i="4"/>
  <c r="AJ185" i="4" s="1"/>
  <c r="AF67" i="4"/>
  <c r="AJ67" i="4" s="1"/>
  <c r="AF103" i="4"/>
  <c r="AJ103" i="4" s="1"/>
  <c r="AR85" i="4"/>
  <c r="AR94" i="4"/>
  <c r="AF164" i="4"/>
  <c r="AJ164" i="4" s="1"/>
  <c r="AR139" i="4"/>
  <c r="AR175" i="4"/>
  <c r="AR95" i="4"/>
  <c r="AR148" i="4"/>
  <c r="AN170" i="4"/>
  <c r="AF72" i="4"/>
  <c r="AJ72" i="4" s="1"/>
  <c r="AF69" i="4"/>
  <c r="AJ69" i="4" s="1"/>
  <c r="AF175" i="4"/>
  <c r="AJ175" i="4" s="1"/>
  <c r="AF74" i="4"/>
  <c r="AJ74" i="4" s="1"/>
  <c r="AR107" i="4"/>
  <c r="AR83" i="4"/>
  <c r="AF73" i="4"/>
  <c r="AJ73" i="4" s="1"/>
  <c r="AR60" i="4"/>
  <c r="AR144" i="4"/>
  <c r="AF65" i="4"/>
  <c r="AJ65" i="4" s="1"/>
  <c r="AR112" i="4"/>
  <c r="AR191" i="4"/>
  <c r="AR176" i="4"/>
  <c r="AF157" i="4"/>
  <c r="AJ157" i="4" s="1"/>
  <c r="AR140" i="4"/>
  <c r="AF183" i="4"/>
  <c r="AJ183" i="4" s="1"/>
  <c r="AR115" i="4"/>
  <c r="AF112" i="4"/>
  <c r="AJ112" i="4" s="1"/>
  <c r="AR103" i="4"/>
  <c r="AN155" i="4"/>
  <c r="AF140" i="4"/>
  <c r="AJ140" i="4" s="1"/>
  <c r="AR65" i="4"/>
  <c r="AR179" i="4"/>
  <c r="AF117" i="4"/>
  <c r="AJ117" i="4" s="1"/>
  <c r="AR153" i="4"/>
  <c r="AR69" i="4"/>
  <c r="AF83" i="4"/>
  <c r="AJ83" i="4" s="1"/>
  <c r="AF75" i="4"/>
  <c r="AJ75" i="4" s="1"/>
  <c r="AF177" i="4"/>
  <c r="AJ177" i="4" s="1"/>
  <c r="AF53" i="4"/>
  <c r="AJ53" i="4" s="1"/>
  <c r="AR74" i="4"/>
  <c r="AF106" i="4"/>
  <c r="AJ106" i="4" s="1"/>
  <c r="AR150" i="4"/>
  <c r="AR190" i="4"/>
  <c r="AF173" i="4"/>
  <c r="AJ173" i="4" s="1"/>
  <c r="AF55" i="4"/>
  <c r="AJ55" i="4" s="1"/>
  <c r="AR75" i="4"/>
  <c r="AR172" i="4"/>
  <c r="AR55" i="4"/>
  <c r="AN62" i="4"/>
  <c r="AR101" i="4"/>
  <c r="AF190" i="4"/>
  <c r="AJ190" i="4" s="1"/>
  <c r="AF60" i="4"/>
  <c r="AJ60" i="4" s="1"/>
  <c r="AF61" i="4"/>
  <c r="AJ61" i="4" s="1"/>
  <c r="AF51" i="4"/>
  <c r="AJ51" i="4" s="1"/>
  <c r="AF119" i="4"/>
  <c r="AJ119" i="4" s="1"/>
  <c r="AF147" i="4"/>
  <c r="AJ147" i="4" s="1"/>
  <c r="AF127" i="4"/>
  <c r="AJ127" i="4" s="1"/>
  <c r="AR164" i="4"/>
  <c r="AR96" i="4"/>
  <c r="AR68" i="4"/>
  <c r="AR147" i="4"/>
  <c r="AR61" i="4"/>
  <c r="AR157" i="4"/>
  <c r="AR120" i="4"/>
  <c r="AF101" i="4"/>
  <c r="AJ101" i="4" s="1"/>
  <c r="AR173" i="4"/>
  <c r="AF148" i="4"/>
  <c r="AJ148" i="4" s="1"/>
  <c r="AR171" i="4"/>
  <c r="AR182" i="4"/>
  <c r="AF150" i="4"/>
  <c r="AJ150" i="4" s="1"/>
  <c r="AR73" i="4"/>
  <c r="AR71" i="4"/>
  <c r="AF162" i="4"/>
  <c r="AJ162" i="4" s="1"/>
  <c r="AR180" i="4"/>
  <c r="AN187" i="4"/>
  <c r="AR127" i="4"/>
  <c r="AN163" i="4"/>
  <c r="AR146" i="4"/>
  <c r="AF193" i="4"/>
  <c r="AJ193" i="4" s="1"/>
  <c r="AR117" i="4"/>
  <c r="AR183" i="4"/>
  <c r="AR162" i="4"/>
  <c r="AF139" i="4"/>
  <c r="AJ139" i="4" s="1"/>
  <c r="AN66" i="4"/>
  <c r="AF159" i="4"/>
  <c r="AJ159" i="4" s="1"/>
  <c r="AF172" i="4"/>
  <c r="AJ172" i="4" s="1"/>
  <c r="AR154" i="4"/>
  <c r="AR67" i="4"/>
  <c r="AR108" i="4"/>
  <c r="AF107" i="4"/>
  <c r="AJ107" i="4" s="1"/>
  <c r="AF68" i="4"/>
  <c r="AJ68" i="4" s="1"/>
  <c r="AF168" i="4"/>
  <c r="AJ168" i="4" s="1"/>
  <c r="AR72" i="4"/>
  <c r="AF96" i="4"/>
  <c r="AJ96" i="4" s="1"/>
  <c r="AF120" i="4"/>
  <c r="AJ120" i="4" s="1"/>
  <c r="AR177" i="4"/>
  <c r="AR30" i="4"/>
  <c r="AN141" i="4"/>
  <c r="AF146" i="4"/>
  <c r="AJ146" i="4" s="1"/>
  <c r="AF125" i="4"/>
  <c r="AJ125" i="4" s="1"/>
  <c r="AF30" i="4"/>
  <c r="AJ30" i="4" s="1"/>
  <c r="AF144" i="4"/>
  <c r="AJ144" i="4" s="1"/>
  <c r="AF108" i="4"/>
  <c r="AJ108" i="4" s="1"/>
  <c r="AN192" i="4"/>
  <c r="AF154" i="4"/>
  <c r="AJ154" i="4" s="1"/>
  <c r="AF86" i="4"/>
  <c r="AJ86" i="4" s="1"/>
  <c r="AR113" i="4"/>
  <c r="AN58" i="4"/>
  <c r="AR57" i="4"/>
  <c r="AF158" i="4"/>
  <c r="AJ158" i="4" s="1"/>
  <c r="AF87" i="4"/>
  <c r="AJ87" i="4" s="1"/>
  <c r="AF191" i="4"/>
  <c r="AJ191" i="4" s="1"/>
  <c r="AR188" i="4"/>
  <c r="AR159" i="4"/>
  <c r="AN118" i="4"/>
  <c r="AN189" i="4"/>
  <c r="AR130" i="4"/>
  <c r="AR145" i="4"/>
  <c r="AR158" i="4"/>
  <c r="AR123" i="4"/>
  <c r="AF115" i="4"/>
  <c r="AJ115" i="4" s="1"/>
  <c r="AF57" i="4"/>
  <c r="AJ57" i="4" s="1"/>
  <c r="AF71" i="4"/>
  <c r="AJ71" i="4" s="1"/>
  <c r="AF184" i="4"/>
  <c r="AJ184" i="4" s="1"/>
  <c r="AF180" i="4"/>
  <c r="AJ180" i="4" s="1"/>
  <c r="AR53" i="4"/>
  <c r="AR167" i="4"/>
  <c r="AF95" i="4"/>
  <c r="AJ95" i="4" s="1"/>
  <c r="AF145" i="4"/>
  <c r="AJ145" i="4" s="1"/>
  <c r="AF188" i="4"/>
  <c r="AJ188" i="4" s="1"/>
  <c r="AR106" i="4"/>
  <c r="AN161" i="4"/>
  <c r="AF111" i="4"/>
  <c r="AJ111" i="4" s="1"/>
  <c r="AR186" i="4"/>
  <c r="AF59" i="4"/>
  <c r="AJ59" i="4" s="1"/>
  <c r="AN152" i="4"/>
  <c r="AF156" i="4"/>
  <c r="AJ156" i="4" s="1"/>
  <c r="AR119" i="4"/>
  <c r="AF153" i="4"/>
  <c r="AJ153" i="4" s="1"/>
  <c r="AR51" i="4"/>
  <c r="AF178" i="4"/>
  <c r="AJ178" i="4" s="1"/>
  <c r="AR185" i="4"/>
  <c r="AN97" i="4"/>
  <c r="AR110" i="4"/>
  <c r="AR93" i="4"/>
  <c r="AF94" i="4"/>
  <c r="AJ94" i="4" s="1"/>
  <c r="AN109" i="4"/>
  <c r="AF181" i="4"/>
  <c r="AJ181" i="4" s="1"/>
  <c r="AF138" i="4"/>
  <c r="AJ138" i="4" s="1"/>
  <c r="AN29" i="4"/>
  <c r="AF85" i="4"/>
  <c r="AJ85" i="4" s="1"/>
  <c r="AR184" i="4"/>
  <c r="AR87" i="4"/>
  <c r="AF123" i="4"/>
  <c r="AJ123" i="4" s="1"/>
  <c r="AR169" i="4"/>
  <c r="AN78" i="4"/>
  <c r="AF176" i="4"/>
  <c r="AJ176" i="4" s="1"/>
  <c r="AR111" i="4"/>
  <c r="AF169" i="4"/>
  <c r="AJ169" i="4" s="1"/>
  <c r="AR137" i="4"/>
  <c r="AN166" i="4"/>
  <c r="AR86" i="4"/>
  <c r="AR178" i="4"/>
  <c r="AR76" i="4"/>
  <c r="AF171" i="4"/>
  <c r="AJ171" i="4" s="1"/>
  <c r="AF167" i="4"/>
  <c r="AJ167" i="4" s="1"/>
  <c r="AR125" i="4"/>
  <c r="AF137" i="4"/>
  <c r="AJ137" i="4" s="1"/>
  <c r="AF76" i="4"/>
  <c r="AJ76" i="4" s="1"/>
  <c r="AN135" i="4"/>
  <c r="AF182" i="4"/>
  <c r="AJ182" i="4" s="1"/>
  <c r="AR193" i="4"/>
  <c r="AR156" i="4"/>
  <c r="AF93" i="4"/>
  <c r="AJ93" i="4" s="1"/>
  <c r="AF130" i="4"/>
  <c r="AJ130" i="4" s="1"/>
  <c r="AF179" i="4"/>
  <c r="AJ179" i="4" s="1"/>
  <c r="AN70" i="4"/>
  <c r="AR181" i="4"/>
  <c r="AF110" i="4"/>
  <c r="AJ110" i="4" s="1"/>
  <c r="AR59" i="4"/>
  <c r="AR138" i="4"/>
  <c r="AF186" i="4"/>
  <c r="AJ186" i="4" s="1"/>
  <c r="AF113" i="4"/>
  <c r="AJ113" i="4" s="1"/>
  <c r="AR118" i="4"/>
  <c r="AR62" i="4"/>
  <c r="AF163" i="4"/>
  <c r="AR20" i="4"/>
  <c r="AF62" i="4"/>
  <c r="AR78" i="4"/>
  <c r="AN19" i="4"/>
  <c r="AF166" i="4"/>
  <c r="AR166" i="4"/>
  <c r="AR66" i="4"/>
  <c r="AF161" i="4"/>
  <c r="AF66" i="4"/>
  <c r="AF109" i="4"/>
  <c r="AN160" i="4"/>
  <c r="AN20" i="4"/>
  <c r="AR155" i="4"/>
  <c r="AF170" i="4"/>
  <c r="AR163" i="4"/>
  <c r="AR152" i="4"/>
  <c r="AF118" i="4"/>
  <c r="AF29" i="4"/>
  <c r="AN18" i="4"/>
  <c r="AF58" i="4"/>
  <c r="AR97" i="4"/>
  <c r="AF141" i="4"/>
  <c r="AF155" i="4"/>
  <c r="AF114" i="4"/>
  <c r="AR189" i="4"/>
  <c r="AF152" i="4"/>
  <c r="AR58" i="4"/>
  <c r="AR70" i="4"/>
  <c r="AR170" i="4"/>
  <c r="AR109" i="4"/>
  <c r="AN21" i="4"/>
  <c r="AR21" i="4"/>
  <c r="AR29" i="4"/>
  <c r="AN165" i="4"/>
  <c r="AF187" i="4"/>
  <c r="AF135" i="4"/>
  <c r="AR19" i="4"/>
  <c r="AR18" i="4"/>
  <c r="AF189" i="4"/>
  <c r="AF70" i="4"/>
  <c r="AR192" i="4"/>
  <c r="AR135" i="4"/>
  <c r="AR114" i="4"/>
  <c r="AR141" i="4"/>
  <c r="AR187" i="4"/>
  <c r="AF192" i="4"/>
  <c r="AF78" i="4"/>
  <c r="AN77" i="4"/>
  <c r="AR161" i="4"/>
  <c r="AF97" i="4"/>
  <c r="AR83" i="7"/>
  <c r="AR37" i="5"/>
  <c r="BR77" i="4"/>
  <c r="AW162" i="9"/>
  <c r="BG17" i="4"/>
  <c r="BF16" i="4"/>
  <c r="CR16" i="4"/>
  <c r="CS17" i="4"/>
  <c r="BR165" i="4"/>
  <c r="AR98" i="8"/>
  <c r="CV17" i="4"/>
  <c r="CU205" i="4" a="1"/>
  <c r="CU205" i="4" s="1"/>
  <c r="CW205" i="4" a="1"/>
  <c r="CW205" i="4" s="1"/>
  <c r="CT205" i="4" a="1"/>
  <c r="CT205" i="4" s="1"/>
  <c r="CV205" i="4" a="1"/>
  <c r="CV205" i="4" s="1"/>
  <c r="FU80" i="4" l="1"/>
  <c r="FL80" i="4"/>
  <c r="FK80" i="4" s="1"/>
  <c r="FJ80" i="4" s="1"/>
  <c r="FI80" i="4" s="1"/>
  <c r="BL80" i="4"/>
  <c r="BC80" i="4"/>
  <c r="BB80" i="4" s="1"/>
  <c r="BA80" i="4" s="1"/>
  <c r="AZ80" i="4" s="1"/>
  <c r="DH80" i="4"/>
  <c r="DG80" i="4" s="1"/>
  <c r="DF80" i="4" s="1"/>
  <c r="DE80" i="4" s="1"/>
  <c r="DQ80" i="4"/>
  <c r="CE80" i="4"/>
  <c r="BV80" i="4"/>
  <c r="BU80" i="4" s="1"/>
  <c r="BT80" i="4" s="1"/>
  <c r="BS80" i="4" s="1"/>
  <c r="P82" i="4"/>
  <c r="P80" i="4"/>
  <c r="AS80" i="4"/>
  <c r="AJ80" i="4"/>
  <c r="AI80" i="4" s="1"/>
  <c r="AH80" i="4" s="1"/>
  <c r="AG80" i="4" s="1"/>
  <c r="CX80" i="4"/>
  <c r="CO80" i="4"/>
  <c r="CN80" i="4" s="1"/>
  <c r="CM80" i="4" s="1"/>
  <c r="CL80" i="4" s="1"/>
  <c r="FB80" i="4"/>
  <c r="ES80" i="4"/>
  <c r="ER80" i="4" s="1"/>
  <c r="EQ80" i="4" s="1"/>
  <c r="EP80" i="4" s="1"/>
  <c r="FU82" i="4"/>
  <c r="FL82" i="4"/>
  <c r="FK82" i="4" s="1"/>
  <c r="FJ82" i="4" s="1"/>
  <c r="FI82" i="4" s="1"/>
  <c r="DH82" i="4"/>
  <c r="DG82" i="4" s="1"/>
  <c r="DF82" i="4" s="1"/>
  <c r="DE82" i="4" s="1"/>
  <c r="DQ82" i="4"/>
  <c r="BV82" i="4"/>
  <c r="BU82" i="4" s="1"/>
  <c r="BT82" i="4" s="1"/>
  <c r="BS82" i="4" s="1"/>
  <c r="CE82" i="4"/>
  <c r="BC82" i="4"/>
  <c r="BB82" i="4" s="1"/>
  <c r="BA82" i="4" s="1"/>
  <c r="AZ82" i="4" s="1"/>
  <c r="BL82" i="4"/>
  <c r="CO82" i="4"/>
  <c r="CN82" i="4" s="1"/>
  <c r="CM82" i="4" s="1"/>
  <c r="CL82" i="4" s="1"/>
  <c r="CX82" i="4"/>
  <c r="ES82" i="4"/>
  <c r="ER82" i="4" s="1"/>
  <c r="EQ82" i="4" s="1"/>
  <c r="EP82" i="4" s="1"/>
  <c r="FB82" i="4"/>
  <c r="AJ82" i="4"/>
  <c r="AI82" i="4" s="1"/>
  <c r="AH82" i="4" s="1"/>
  <c r="AG82" i="4" s="1"/>
  <c r="AS82" i="4"/>
  <c r="P22" i="5"/>
  <c r="P40" i="5"/>
  <c r="AS23" i="7"/>
  <c r="AJ23" i="7"/>
  <c r="AI23" i="7" s="1"/>
  <c r="AH23" i="7" s="1"/>
  <c r="AG23" i="7" s="1"/>
  <c r="R23" i="7" s="1" a="1"/>
  <c r="R23" i="7" s="1"/>
  <c r="P75" i="5"/>
  <c r="P42" i="5"/>
  <c r="FU81" i="4"/>
  <c r="FL81" i="4"/>
  <c r="FK81" i="4" s="1"/>
  <c r="FJ81" i="4" s="1"/>
  <c r="FI81" i="4" s="1"/>
  <c r="DH81" i="4"/>
  <c r="DG81" i="4" s="1"/>
  <c r="DF81" i="4" s="1"/>
  <c r="DE81" i="4" s="1"/>
  <c r="DQ81" i="4"/>
  <c r="CE81" i="4"/>
  <c r="BV81" i="4"/>
  <c r="BU81" i="4" s="1"/>
  <c r="BT81" i="4" s="1"/>
  <c r="BS81" i="4" s="1"/>
  <c r="P90" i="4"/>
  <c r="P81" i="4"/>
  <c r="BL81" i="4"/>
  <c r="BC81" i="4"/>
  <c r="BB81" i="4" s="1"/>
  <c r="BA81" i="4" s="1"/>
  <c r="AZ81" i="4" s="1"/>
  <c r="ES81" i="4"/>
  <c r="ER81" i="4" s="1"/>
  <c r="EQ81" i="4" s="1"/>
  <c r="EP81" i="4" s="1"/>
  <c r="FB81" i="4"/>
  <c r="CX81" i="4"/>
  <c r="CO81" i="4"/>
  <c r="CN81" i="4" s="1"/>
  <c r="CM81" i="4" s="1"/>
  <c r="CL81" i="4" s="1"/>
  <c r="AS81" i="4"/>
  <c r="AJ81" i="4"/>
  <c r="AI81" i="4" s="1"/>
  <c r="AH81" i="4" s="1"/>
  <c r="AG81" i="4" s="1"/>
  <c r="FU90" i="4"/>
  <c r="FL90" i="4"/>
  <c r="FK90" i="4" s="1"/>
  <c r="FJ90" i="4" s="1"/>
  <c r="FI90" i="4" s="1"/>
  <c r="DQ90" i="4"/>
  <c r="DH90" i="4"/>
  <c r="DG90" i="4" s="1"/>
  <c r="DF90" i="4" s="1"/>
  <c r="DE90" i="4" s="1"/>
  <c r="BV90" i="4"/>
  <c r="BU90" i="4" s="1"/>
  <c r="BT90" i="4" s="1"/>
  <c r="BS90" i="4" s="1"/>
  <c r="CE90" i="4"/>
  <c r="BL90" i="4"/>
  <c r="BC90" i="4"/>
  <c r="BB90" i="4" s="1"/>
  <c r="BA90" i="4" s="1"/>
  <c r="AZ90" i="4" s="1"/>
  <c r="CX90" i="4"/>
  <c r="CO90" i="4"/>
  <c r="CN90" i="4" s="1"/>
  <c r="CM90" i="4" s="1"/>
  <c r="CL90" i="4" s="1"/>
  <c r="FB90" i="4"/>
  <c r="ES90" i="4"/>
  <c r="ER90" i="4" s="1"/>
  <c r="EQ90" i="4" s="1"/>
  <c r="EP90" i="4" s="1"/>
  <c r="AS90" i="4"/>
  <c r="AJ90" i="4"/>
  <c r="AI90" i="4" s="1"/>
  <c r="AH90" i="4" s="1"/>
  <c r="AG90" i="4" s="1"/>
  <c r="P124" i="4"/>
  <c r="AJ70" i="8"/>
  <c r="AI70" i="8" s="1"/>
  <c r="AH70" i="8" s="1"/>
  <c r="AG70" i="8" s="1"/>
  <c r="AS70" i="8"/>
  <c r="BL70" i="8"/>
  <c r="BC70" i="8"/>
  <c r="BB70" i="8" s="1"/>
  <c r="BA70" i="8" s="1"/>
  <c r="AZ70" i="8" s="1"/>
  <c r="CX70" i="8"/>
  <c r="CO70" i="8"/>
  <c r="CN70" i="8" s="1"/>
  <c r="CM70" i="8" s="1"/>
  <c r="CL70" i="8" s="1"/>
  <c r="CE70" i="8"/>
  <c r="BV70" i="8"/>
  <c r="BU70" i="8" s="1"/>
  <c r="BT70" i="8" s="1"/>
  <c r="BS70" i="8" s="1"/>
  <c r="FU124" i="4"/>
  <c r="FL124" i="4"/>
  <c r="FK124" i="4" s="1"/>
  <c r="FJ124" i="4" s="1"/>
  <c r="FI124" i="4" s="1"/>
  <c r="DQ124" i="4"/>
  <c r="DH124" i="4"/>
  <c r="DG124" i="4" s="1"/>
  <c r="DF124" i="4" s="1"/>
  <c r="DE124" i="4" s="1"/>
  <c r="BV124" i="4"/>
  <c r="BU124" i="4" s="1"/>
  <c r="BT124" i="4" s="1"/>
  <c r="BS124" i="4" s="1"/>
  <c r="CE124" i="4"/>
  <c r="BL124" i="4"/>
  <c r="BC124" i="4"/>
  <c r="BB124" i="4" s="1"/>
  <c r="BA124" i="4" s="1"/>
  <c r="AZ124" i="4" s="1"/>
  <c r="CO124" i="4"/>
  <c r="CN124" i="4" s="1"/>
  <c r="CM124" i="4" s="1"/>
  <c r="CL124" i="4" s="1"/>
  <c r="CX124" i="4"/>
  <c r="FB124" i="4"/>
  <c r="ES124" i="4"/>
  <c r="ER124" i="4" s="1"/>
  <c r="EQ124" i="4" s="1"/>
  <c r="EP124" i="4" s="1"/>
  <c r="AS124" i="4"/>
  <c r="AJ124" i="4"/>
  <c r="AI124" i="4" s="1"/>
  <c r="AH124" i="4" s="1"/>
  <c r="AG124" i="4" s="1"/>
  <c r="FU129" i="4"/>
  <c r="FL129" i="4"/>
  <c r="FK129" i="4" s="1"/>
  <c r="FJ129" i="4" s="1"/>
  <c r="FI129" i="4" s="1"/>
  <c r="DQ129" i="4"/>
  <c r="DH129" i="4"/>
  <c r="DG129" i="4" s="1"/>
  <c r="DF129" i="4" s="1"/>
  <c r="DE129" i="4" s="1"/>
  <c r="CE129" i="4"/>
  <c r="BV129" i="4"/>
  <c r="BU129" i="4" s="1"/>
  <c r="BT129" i="4" s="1"/>
  <c r="BS129" i="4" s="1"/>
  <c r="BL129" i="4"/>
  <c r="BC129" i="4"/>
  <c r="BB129" i="4" s="1"/>
  <c r="BA129" i="4" s="1"/>
  <c r="AZ129" i="4" s="1"/>
  <c r="P122" i="4"/>
  <c r="P129" i="4"/>
  <c r="CO129" i="4"/>
  <c r="CN129" i="4" s="1"/>
  <c r="CM129" i="4" s="1"/>
  <c r="CL129" i="4" s="1"/>
  <c r="CX129" i="4"/>
  <c r="FB129" i="4"/>
  <c r="ES129" i="4"/>
  <c r="ER129" i="4" s="1"/>
  <c r="EQ129" i="4" s="1"/>
  <c r="EP129" i="4" s="1"/>
  <c r="AS129" i="4"/>
  <c r="AJ129" i="4"/>
  <c r="AI129" i="4" s="1"/>
  <c r="AH129" i="4" s="1"/>
  <c r="AG129" i="4" s="1"/>
  <c r="AX101" i="9"/>
  <c r="AO101" i="9"/>
  <c r="AN101" i="9" s="1"/>
  <c r="AM101" i="9" s="1"/>
  <c r="AL101" i="9" s="1"/>
  <c r="BQ101" i="9"/>
  <c r="BH101" i="9"/>
  <c r="BG101" i="9" s="1"/>
  <c r="BF101" i="9" s="1"/>
  <c r="BE101" i="9" s="1"/>
  <c r="P79" i="9"/>
  <c r="P77" i="9"/>
  <c r="AX77" i="9"/>
  <c r="AO77" i="9"/>
  <c r="AN77" i="9" s="1"/>
  <c r="AM77" i="9" s="1"/>
  <c r="AL77" i="9" s="1"/>
  <c r="BQ77" i="9"/>
  <c r="BH77" i="9"/>
  <c r="BG77" i="9" s="1"/>
  <c r="BF77" i="9" s="1"/>
  <c r="BE77" i="9" s="1"/>
  <c r="BQ79" i="9"/>
  <c r="BH79" i="9"/>
  <c r="BG79" i="9" s="1"/>
  <c r="BF79" i="9" s="1"/>
  <c r="BE79" i="9" s="1"/>
  <c r="AX79" i="9"/>
  <c r="AO79" i="9"/>
  <c r="AN79" i="9" s="1"/>
  <c r="AM79" i="9" s="1"/>
  <c r="AL79" i="9" s="1"/>
  <c r="P52" i="9"/>
  <c r="P60" i="9"/>
  <c r="BQ60" i="9"/>
  <c r="BH60" i="9"/>
  <c r="BG60" i="9" s="1"/>
  <c r="BF60" i="9" s="1"/>
  <c r="BE60" i="9" s="1"/>
  <c r="AO60" i="9"/>
  <c r="AN60" i="9" s="1"/>
  <c r="AM60" i="9" s="1"/>
  <c r="AL60" i="9" s="1"/>
  <c r="AX60" i="9"/>
  <c r="AX52" i="9"/>
  <c r="AO52" i="9"/>
  <c r="AN52" i="9" s="1"/>
  <c r="AM52" i="9" s="1"/>
  <c r="AL52" i="9" s="1"/>
  <c r="BQ52" i="9"/>
  <c r="BH52" i="9"/>
  <c r="BG52" i="9" s="1"/>
  <c r="BF52" i="9" s="1"/>
  <c r="BE52" i="9" s="1"/>
  <c r="P50" i="9"/>
  <c r="P49" i="9"/>
  <c r="BQ49" i="9"/>
  <c r="BH49" i="9"/>
  <c r="BG49" i="9" s="1"/>
  <c r="BF49" i="9" s="1"/>
  <c r="BE49" i="9" s="1"/>
  <c r="AO49" i="9"/>
  <c r="AN49" i="9" s="1"/>
  <c r="AM49" i="9" s="1"/>
  <c r="AL49" i="9" s="1"/>
  <c r="AX49" i="9"/>
  <c r="BQ50" i="9"/>
  <c r="BH50" i="9"/>
  <c r="BG50" i="9" s="1"/>
  <c r="BF50" i="9" s="1"/>
  <c r="BE50" i="9" s="1"/>
  <c r="AX50" i="9"/>
  <c r="AO50" i="9"/>
  <c r="AN50" i="9" s="1"/>
  <c r="AM50" i="9" s="1"/>
  <c r="AL50" i="9" s="1"/>
  <c r="P44" i="8"/>
  <c r="P68" i="8"/>
  <c r="AJ68" i="8"/>
  <c r="AI68" i="8" s="1"/>
  <c r="AH68" i="8" s="1"/>
  <c r="AG68" i="8" s="1"/>
  <c r="AS68" i="8"/>
  <c r="CX68" i="8"/>
  <c r="CO68" i="8"/>
  <c r="CN68" i="8" s="1"/>
  <c r="CM68" i="8" s="1"/>
  <c r="CL68" i="8" s="1"/>
  <c r="BL68" i="8"/>
  <c r="BC68" i="8"/>
  <c r="BB68" i="8" s="1"/>
  <c r="BA68" i="8" s="1"/>
  <c r="AZ68" i="8" s="1"/>
  <c r="BV68" i="8"/>
  <c r="BU68" i="8" s="1"/>
  <c r="BT68" i="8" s="1"/>
  <c r="BS68" i="8" s="1"/>
  <c r="CE68" i="8"/>
  <c r="P56" i="5"/>
  <c r="P73" i="5"/>
  <c r="FU131" i="4"/>
  <c r="FL131" i="4"/>
  <c r="FK131" i="4" s="1"/>
  <c r="FJ131" i="4" s="1"/>
  <c r="FI131" i="4" s="1"/>
  <c r="DQ131" i="4"/>
  <c r="DH131" i="4"/>
  <c r="DG131" i="4" s="1"/>
  <c r="DF131" i="4" s="1"/>
  <c r="DE131" i="4" s="1"/>
  <c r="BV131" i="4"/>
  <c r="BU131" i="4" s="1"/>
  <c r="BT131" i="4" s="1"/>
  <c r="BS131" i="4" s="1"/>
  <c r="CE131" i="4"/>
  <c r="BL131" i="4"/>
  <c r="BC131" i="4"/>
  <c r="BB131" i="4" s="1"/>
  <c r="BA131" i="4" s="1"/>
  <c r="AZ131" i="4" s="1"/>
  <c r="CX131" i="4"/>
  <c r="CO131" i="4"/>
  <c r="CN131" i="4" s="1"/>
  <c r="CM131" i="4" s="1"/>
  <c r="CL131" i="4" s="1"/>
  <c r="ES131" i="4"/>
  <c r="ER131" i="4" s="1"/>
  <c r="EQ131" i="4" s="1"/>
  <c r="EP131" i="4" s="1"/>
  <c r="FB131" i="4"/>
  <c r="P132" i="4"/>
  <c r="P131" i="4"/>
  <c r="AS131" i="4"/>
  <c r="AJ131" i="4"/>
  <c r="AI131" i="4" s="1"/>
  <c r="AH131" i="4" s="1"/>
  <c r="AG131" i="4" s="1"/>
  <c r="FL132" i="4"/>
  <c r="FK132" i="4" s="1"/>
  <c r="FJ132" i="4" s="1"/>
  <c r="FI132" i="4" s="1"/>
  <c r="FU132" i="4"/>
  <c r="BV132" i="4"/>
  <c r="BU132" i="4" s="1"/>
  <c r="BT132" i="4" s="1"/>
  <c r="BS132" i="4" s="1"/>
  <c r="CE132" i="4"/>
  <c r="DH132" i="4"/>
  <c r="DG132" i="4" s="1"/>
  <c r="DF132" i="4" s="1"/>
  <c r="DE132" i="4" s="1"/>
  <c r="DQ132" i="4"/>
  <c r="BC132" i="4"/>
  <c r="BB132" i="4" s="1"/>
  <c r="BA132" i="4" s="1"/>
  <c r="AZ132" i="4" s="1"/>
  <c r="BL132" i="4"/>
  <c r="ES132" i="4"/>
  <c r="ER132" i="4" s="1"/>
  <c r="EQ132" i="4" s="1"/>
  <c r="EP132" i="4" s="1"/>
  <c r="FB132" i="4"/>
  <c r="CX132" i="4"/>
  <c r="CO132" i="4"/>
  <c r="CN132" i="4" s="1"/>
  <c r="CM132" i="4" s="1"/>
  <c r="CL132" i="4" s="1"/>
  <c r="AJ132" i="4"/>
  <c r="AI132" i="4" s="1"/>
  <c r="AH132" i="4" s="1"/>
  <c r="AG132" i="4" s="1"/>
  <c r="AS132" i="4"/>
  <c r="FU122" i="4"/>
  <c r="FL122" i="4"/>
  <c r="FK122" i="4" s="1"/>
  <c r="FJ122" i="4" s="1"/>
  <c r="FI122" i="4" s="1"/>
  <c r="BV122" i="4"/>
  <c r="BU122" i="4" s="1"/>
  <c r="BT122" i="4" s="1"/>
  <c r="BS122" i="4" s="1"/>
  <c r="CE122" i="4"/>
  <c r="DH122" i="4"/>
  <c r="DG122" i="4" s="1"/>
  <c r="DF122" i="4" s="1"/>
  <c r="DE122" i="4" s="1"/>
  <c r="DQ122" i="4"/>
  <c r="BL122" i="4"/>
  <c r="BC122" i="4"/>
  <c r="BB122" i="4" s="1"/>
  <c r="BA122" i="4" s="1"/>
  <c r="AZ122" i="4" s="1"/>
  <c r="CO122" i="4"/>
  <c r="CN122" i="4" s="1"/>
  <c r="CM122" i="4" s="1"/>
  <c r="CL122" i="4" s="1"/>
  <c r="CX122" i="4"/>
  <c r="P99" i="4"/>
  <c r="FB122" i="4"/>
  <c r="ES122" i="4"/>
  <c r="ER122" i="4" s="1"/>
  <c r="EQ122" i="4" s="1"/>
  <c r="EP122" i="4" s="1"/>
  <c r="AS122" i="4"/>
  <c r="AJ122" i="4"/>
  <c r="AI122" i="4" s="1"/>
  <c r="AH122" i="4" s="1"/>
  <c r="AG122" i="4" s="1"/>
  <c r="CE44" i="8"/>
  <c r="BV44" i="8"/>
  <c r="BU44" i="8" s="1"/>
  <c r="BT44" i="8" s="1"/>
  <c r="BS44" i="8" s="1"/>
  <c r="AS44" i="8"/>
  <c r="AJ44" i="8"/>
  <c r="AI44" i="8" s="1"/>
  <c r="AH44" i="8" s="1"/>
  <c r="AG44" i="8" s="1"/>
  <c r="BL44" i="8"/>
  <c r="BC44" i="8"/>
  <c r="BB44" i="8" s="1"/>
  <c r="BA44" i="8" s="1"/>
  <c r="AZ44" i="8" s="1"/>
  <c r="CX44" i="8"/>
  <c r="CO44" i="8"/>
  <c r="CN44" i="8" s="1"/>
  <c r="CM44" i="8" s="1"/>
  <c r="CL44" i="8" s="1"/>
  <c r="FU99" i="4"/>
  <c r="FL99" i="4"/>
  <c r="FK99" i="4" s="1"/>
  <c r="FJ99" i="4" s="1"/>
  <c r="FI99" i="4" s="1"/>
  <c r="DQ99" i="4"/>
  <c r="DH99" i="4"/>
  <c r="DG99" i="4" s="1"/>
  <c r="DF99" i="4" s="1"/>
  <c r="DE99" i="4" s="1"/>
  <c r="BV99" i="4"/>
  <c r="BU99" i="4" s="1"/>
  <c r="BT99" i="4" s="1"/>
  <c r="BS99" i="4" s="1"/>
  <c r="CE99" i="4"/>
  <c r="BL99" i="4"/>
  <c r="BC99" i="4"/>
  <c r="BB99" i="4" s="1"/>
  <c r="BA99" i="4" s="1"/>
  <c r="AZ99" i="4" s="1"/>
  <c r="CO99" i="4"/>
  <c r="CN99" i="4" s="1"/>
  <c r="CM99" i="4" s="1"/>
  <c r="CL99" i="4" s="1"/>
  <c r="CX99" i="4"/>
  <c r="FB99" i="4"/>
  <c r="ES99" i="4"/>
  <c r="ER99" i="4" s="1"/>
  <c r="EQ99" i="4" s="1"/>
  <c r="EP99" i="4" s="1"/>
  <c r="AS99" i="4"/>
  <c r="AJ99" i="4"/>
  <c r="AI99" i="4" s="1"/>
  <c r="AH99" i="4" s="1"/>
  <c r="AG99" i="4" s="1"/>
  <c r="FU98" i="4"/>
  <c r="FL98" i="4"/>
  <c r="FK98" i="4" s="1"/>
  <c r="FJ98" i="4" s="1"/>
  <c r="FI98" i="4" s="1"/>
  <c r="DQ98" i="4"/>
  <c r="DH98" i="4"/>
  <c r="DG98" i="4" s="1"/>
  <c r="DF98" i="4" s="1"/>
  <c r="DE98" i="4" s="1"/>
  <c r="AS98" i="4"/>
  <c r="AJ98" i="4"/>
  <c r="AI98" i="4" s="1"/>
  <c r="AH98" i="4" s="1"/>
  <c r="AG98" i="4" s="1"/>
  <c r="BV98" i="4"/>
  <c r="BU98" i="4" s="1"/>
  <c r="BT98" i="4" s="1"/>
  <c r="BS98" i="4" s="1"/>
  <c r="CE98" i="4"/>
  <c r="ES98" i="4"/>
  <c r="ER98" i="4" s="1"/>
  <c r="EQ98" i="4" s="1"/>
  <c r="EP98" i="4" s="1"/>
  <c r="FB98" i="4"/>
  <c r="BC98" i="4"/>
  <c r="BB98" i="4" s="1"/>
  <c r="BA98" i="4" s="1"/>
  <c r="AZ98" i="4" s="1"/>
  <c r="BL98" i="4"/>
  <c r="CX98" i="4"/>
  <c r="CO98" i="4"/>
  <c r="CN98" i="4" s="1"/>
  <c r="CM98" i="4" s="1"/>
  <c r="CL98" i="4" s="1"/>
  <c r="P104" i="4"/>
  <c r="P98" i="4"/>
  <c r="P50" i="5"/>
  <c r="P61" i="5"/>
  <c r="FU104" i="4"/>
  <c r="FL104" i="4"/>
  <c r="FK104" i="4" s="1"/>
  <c r="FJ104" i="4" s="1"/>
  <c r="FI104" i="4" s="1"/>
  <c r="BV104" i="4"/>
  <c r="BU104" i="4" s="1"/>
  <c r="BT104" i="4" s="1"/>
  <c r="BS104" i="4" s="1"/>
  <c r="CE104" i="4"/>
  <c r="FB104" i="4"/>
  <c r="ES104" i="4"/>
  <c r="ER104" i="4" s="1"/>
  <c r="EQ104" i="4" s="1"/>
  <c r="EP104" i="4" s="1"/>
  <c r="DH104" i="4"/>
  <c r="DG104" i="4" s="1"/>
  <c r="DF104" i="4" s="1"/>
  <c r="DE104" i="4" s="1"/>
  <c r="DQ104" i="4"/>
  <c r="BC104" i="4"/>
  <c r="BB104" i="4" s="1"/>
  <c r="BA104" i="4" s="1"/>
  <c r="AZ104" i="4" s="1"/>
  <c r="BL104" i="4"/>
  <c r="CO104" i="4"/>
  <c r="CN104" i="4" s="1"/>
  <c r="CM104" i="4" s="1"/>
  <c r="CL104" i="4" s="1"/>
  <c r="CX104" i="4"/>
  <c r="AS104" i="4"/>
  <c r="AJ104" i="4"/>
  <c r="AI104" i="4" s="1"/>
  <c r="AH104" i="4" s="1"/>
  <c r="AG104" i="4" s="1"/>
  <c r="P45" i="5"/>
  <c r="P84" i="4"/>
  <c r="P88" i="4"/>
  <c r="FU88" i="4"/>
  <c r="FL88" i="4"/>
  <c r="FK88" i="4" s="1"/>
  <c r="FJ88" i="4" s="1"/>
  <c r="FI88" i="4" s="1"/>
  <c r="DH88" i="4"/>
  <c r="DG88" i="4" s="1"/>
  <c r="DF88" i="4" s="1"/>
  <c r="DE88" i="4" s="1"/>
  <c r="DQ88" i="4"/>
  <c r="CE88" i="4"/>
  <c r="BV88" i="4"/>
  <c r="BU88" i="4" s="1"/>
  <c r="BT88" i="4" s="1"/>
  <c r="BS88" i="4" s="1"/>
  <c r="BC88" i="4"/>
  <c r="BB88" i="4" s="1"/>
  <c r="BA88" i="4" s="1"/>
  <c r="AZ88" i="4" s="1"/>
  <c r="BL88" i="4"/>
  <c r="CX88" i="4"/>
  <c r="CO88" i="4"/>
  <c r="CN88" i="4" s="1"/>
  <c r="CM88" i="4" s="1"/>
  <c r="CL88" i="4" s="1"/>
  <c r="ES88" i="4"/>
  <c r="ER88" i="4" s="1"/>
  <c r="EQ88" i="4" s="1"/>
  <c r="EP88" i="4" s="1"/>
  <c r="FB88" i="4"/>
  <c r="AJ88" i="4"/>
  <c r="AI88" i="4" s="1"/>
  <c r="AH88" i="4" s="1"/>
  <c r="AG88" i="4" s="1"/>
  <c r="AS88" i="4"/>
  <c r="FU84" i="4"/>
  <c r="FL84" i="4"/>
  <c r="FK84" i="4" s="1"/>
  <c r="FJ84" i="4" s="1"/>
  <c r="FI84" i="4" s="1"/>
  <c r="BV84" i="4"/>
  <c r="BU84" i="4" s="1"/>
  <c r="BT84" i="4" s="1"/>
  <c r="BS84" i="4" s="1"/>
  <c r="CE84" i="4"/>
  <c r="DH84" i="4"/>
  <c r="DG84" i="4" s="1"/>
  <c r="DF84" i="4" s="1"/>
  <c r="DE84" i="4" s="1"/>
  <c r="DQ84" i="4"/>
  <c r="FB84" i="4"/>
  <c r="ES84" i="4"/>
  <c r="ER84" i="4" s="1"/>
  <c r="EQ84" i="4" s="1"/>
  <c r="EP84" i="4" s="1"/>
  <c r="AJ84" i="4"/>
  <c r="AI84" i="4" s="1"/>
  <c r="AH84" i="4" s="1"/>
  <c r="AG84" i="4" s="1"/>
  <c r="AS84" i="4"/>
  <c r="BL84" i="4"/>
  <c r="BC84" i="4"/>
  <c r="BB84" i="4" s="1"/>
  <c r="BA84" i="4" s="1"/>
  <c r="AZ84" i="4" s="1"/>
  <c r="CX84" i="4"/>
  <c r="CO84" i="4"/>
  <c r="CN84" i="4" s="1"/>
  <c r="CM84" i="4" s="1"/>
  <c r="CL84" i="4" s="1"/>
  <c r="P39" i="5"/>
  <c r="P41" i="5"/>
  <c r="P92" i="4"/>
  <c r="FU92" i="4"/>
  <c r="FL92" i="4"/>
  <c r="FK92" i="4" s="1"/>
  <c r="FJ92" i="4" s="1"/>
  <c r="FI92" i="4" s="1"/>
  <c r="FB92" i="4"/>
  <c r="ES92" i="4"/>
  <c r="ER92" i="4" s="1"/>
  <c r="EQ92" i="4" s="1"/>
  <c r="EP92" i="4" s="1"/>
  <c r="AJ92" i="4"/>
  <c r="AI92" i="4" s="1"/>
  <c r="AH92" i="4" s="1"/>
  <c r="AG92" i="4" s="1"/>
  <c r="AS92" i="4"/>
  <c r="DQ92" i="4"/>
  <c r="DH92" i="4"/>
  <c r="DG92" i="4" s="1"/>
  <c r="DF92" i="4" s="1"/>
  <c r="DE92" i="4" s="1"/>
  <c r="BV92" i="4"/>
  <c r="BU92" i="4" s="1"/>
  <c r="BT92" i="4" s="1"/>
  <c r="BS92" i="4" s="1"/>
  <c r="CE92" i="4"/>
  <c r="BC92" i="4"/>
  <c r="BB92" i="4" s="1"/>
  <c r="BA92" i="4" s="1"/>
  <c r="AZ92" i="4" s="1"/>
  <c r="BL92" i="4"/>
  <c r="CO92" i="4"/>
  <c r="CN92" i="4" s="1"/>
  <c r="CM92" i="4" s="1"/>
  <c r="CL92" i="4" s="1"/>
  <c r="CX92" i="4"/>
  <c r="DZ69" i="4"/>
  <c r="DY69" i="4" s="1"/>
  <c r="DX69" i="4" s="1"/>
  <c r="DZ105" i="4"/>
  <c r="DY105" i="4" s="1"/>
  <c r="DX105" i="4" s="1"/>
  <c r="DZ185" i="4"/>
  <c r="DY185" i="4" s="1"/>
  <c r="DX185" i="4" s="1"/>
  <c r="DZ173" i="4"/>
  <c r="DY173" i="4" s="1"/>
  <c r="DX173" i="4" s="1"/>
  <c r="DZ37" i="4"/>
  <c r="DY37" i="4" s="1"/>
  <c r="DX37" i="4" s="1"/>
  <c r="DZ190" i="4"/>
  <c r="DZ184" i="4"/>
  <c r="DY184" i="4" s="1"/>
  <c r="DX184" i="4" s="1"/>
  <c r="DZ111" i="4"/>
  <c r="DY111" i="4" s="1"/>
  <c r="DX111" i="4" s="1"/>
  <c r="DZ136" i="4"/>
  <c r="DY136" i="4" s="1"/>
  <c r="DX136" i="4" s="1"/>
  <c r="DZ83" i="4"/>
  <c r="DY83" i="4" s="1"/>
  <c r="DX83" i="4" s="1"/>
  <c r="DZ186" i="4"/>
  <c r="DY186" i="4" s="1"/>
  <c r="DX186" i="4" s="1"/>
  <c r="DZ115" i="4"/>
  <c r="DZ76" i="4"/>
  <c r="DY76" i="4" s="1"/>
  <c r="DX76" i="4" s="1"/>
  <c r="DZ94" i="4"/>
  <c r="DY94" i="4" s="1"/>
  <c r="DX94" i="4" s="1"/>
  <c r="DZ171" i="4"/>
  <c r="DZ130" i="4"/>
  <c r="DY130" i="4" s="1"/>
  <c r="DX130" i="4" s="1"/>
  <c r="DZ87" i="4"/>
  <c r="DY87" i="4" s="1"/>
  <c r="DX87" i="4" s="1"/>
  <c r="DZ143" i="4"/>
  <c r="DY143" i="4" s="1"/>
  <c r="DX143" i="4" s="1"/>
  <c r="DZ51" i="4"/>
  <c r="DY51" i="4" s="1"/>
  <c r="DX51" i="4" s="1"/>
  <c r="DZ157" i="4"/>
  <c r="DY157" i="4" s="1"/>
  <c r="DX157" i="4" s="1"/>
  <c r="DZ64" i="4"/>
  <c r="DY64" i="4" s="1"/>
  <c r="DX64" i="4" s="1"/>
  <c r="DZ74" i="4"/>
  <c r="DY74" i="4" s="1"/>
  <c r="DX74" i="4" s="1"/>
  <c r="DZ156" i="4"/>
  <c r="DZ61" i="4"/>
  <c r="DY61" i="4" s="1"/>
  <c r="DX61" i="4" s="1"/>
  <c r="DZ55" i="4"/>
  <c r="DY55" i="4" s="1"/>
  <c r="DZ44" i="4"/>
  <c r="DY44" i="4" s="1"/>
  <c r="DX44" i="4" s="1"/>
  <c r="DZ196" i="4"/>
  <c r="DZ174" i="4"/>
  <c r="DY174" i="4" s="1"/>
  <c r="DX174" i="4" s="1"/>
  <c r="FK134" i="4"/>
  <c r="FJ134" i="4" s="1"/>
  <c r="FI134" i="4" s="1"/>
  <c r="DZ107" i="4"/>
  <c r="DY107" i="4" s="1"/>
  <c r="DX107" i="4" s="1"/>
  <c r="DZ180" i="4"/>
  <c r="DY180" i="4" s="1"/>
  <c r="DX180" i="4" s="1"/>
  <c r="DZ72" i="4"/>
  <c r="DY72" i="4" s="1"/>
  <c r="DX72" i="4" s="1"/>
  <c r="DZ139" i="4"/>
  <c r="DY139" i="4" s="1"/>
  <c r="DX139" i="4" s="1"/>
  <c r="DZ41" i="4"/>
  <c r="DY41" i="4" s="1"/>
  <c r="DX41" i="4" s="1"/>
  <c r="DZ169" i="4"/>
  <c r="DY169" i="4" s="1"/>
  <c r="DX169" i="4" s="1"/>
  <c r="DZ179" i="4"/>
  <c r="DY179" i="4" s="1"/>
  <c r="DX179" i="4" s="1"/>
  <c r="DZ38" i="4"/>
  <c r="DY38" i="4" s="1"/>
  <c r="DX38" i="4" s="1"/>
  <c r="DZ100" i="4"/>
  <c r="DZ191" i="4"/>
  <c r="DY191" i="4" s="1"/>
  <c r="DX191" i="4" s="1"/>
  <c r="DZ60" i="4"/>
  <c r="DY60" i="4" s="1"/>
  <c r="DX60" i="4" s="1"/>
  <c r="DZ35" i="4"/>
  <c r="DY35" i="4" s="1"/>
  <c r="DX35" i="4" s="1"/>
  <c r="DZ39" i="4"/>
  <c r="DY39" i="4" s="1"/>
  <c r="DX39" i="4" s="1"/>
  <c r="DZ30" i="4"/>
  <c r="DY30" i="4" s="1"/>
  <c r="DX30" i="4" s="1"/>
  <c r="DZ33" i="4"/>
  <c r="DY33" i="4" s="1"/>
  <c r="DX33" i="4" s="1"/>
  <c r="DZ65" i="4"/>
  <c r="DZ182" i="4"/>
  <c r="DY182" i="4" s="1"/>
  <c r="DX182" i="4" s="1"/>
  <c r="DZ167" i="4"/>
  <c r="DZ91" i="4"/>
  <c r="DY91" i="4" s="1"/>
  <c r="DX91" i="4" s="1"/>
  <c r="DZ43" i="4"/>
  <c r="DY43" i="4" s="1"/>
  <c r="DX43" i="4" s="1"/>
  <c r="DZ32" i="4"/>
  <c r="DY32" i="4" s="1"/>
  <c r="DX32" i="4" s="1"/>
  <c r="DZ63" i="4"/>
  <c r="DY63" i="4" s="1"/>
  <c r="DX63" i="4" s="1"/>
  <c r="DZ137" i="4"/>
  <c r="DZ101" i="4"/>
  <c r="DY101" i="4" s="1"/>
  <c r="DX101" i="4" s="1"/>
  <c r="DZ138" i="4"/>
  <c r="DY138" i="4" s="1"/>
  <c r="DX138" i="4" s="1"/>
  <c r="DZ93" i="4"/>
  <c r="DY93" i="4" s="1"/>
  <c r="DX93" i="4" s="1"/>
  <c r="DZ140" i="4"/>
  <c r="DY140" i="4" s="1"/>
  <c r="DX140" i="4" s="1"/>
  <c r="DZ68" i="4"/>
  <c r="DY68" i="4" s="1"/>
  <c r="DX68" i="4" s="1"/>
  <c r="DZ199" i="4"/>
  <c r="DZ59" i="4"/>
  <c r="DZ108" i="4"/>
  <c r="DY108" i="4" s="1"/>
  <c r="DX108" i="4" s="1"/>
  <c r="DZ112" i="4"/>
  <c r="DY112" i="4" s="1"/>
  <c r="DX112" i="4" s="1"/>
  <c r="DZ177" i="4"/>
  <c r="DY177" i="4" s="1"/>
  <c r="DX177" i="4" s="1"/>
  <c r="DZ128" i="4"/>
  <c r="DY128" i="4" s="1"/>
  <c r="DX128" i="4" s="1"/>
  <c r="DZ119" i="4"/>
  <c r="DZ96" i="4"/>
  <c r="DY96" i="4" s="1"/>
  <c r="DX96" i="4" s="1"/>
  <c r="DZ117" i="4"/>
  <c r="DY117" i="4" s="1"/>
  <c r="DX117" i="4" s="1"/>
  <c r="DZ45" i="4"/>
  <c r="DY45" i="4" s="1"/>
  <c r="DX45" i="4" s="1"/>
  <c r="DZ123" i="4"/>
  <c r="DY123" i="4" s="1"/>
  <c r="DX123" i="4" s="1"/>
  <c r="DZ134" i="4"/>
  <c r="DY134" i="4" s="1"/>
  <c r="DX134" i="4" s="1"/>
  <c r="DZ164" i="4"/>
  <c r="DZ145" i="4"/>
  <c r="DY145" i="4" s="1"/>
  <c r="DX145" i="4" s="1"/>
  <c r="DZ150" i="4"/>
  <c r="DY150" i="4" s="1"/>
  <c r="DX150" i="4" s="1"/>
  <c r="DZ113" i="4"/>
  <c r="DY113" i="4" s="1"/>
  <c r="DX113" i="4" s="1"/>
  <c r="DZ126" i="4"/>
  <c r="DY126" i="4" s="1"/>
  <c r="DX126" i="4" s="1"/>
  <c r="DZ121" i="4"/>
  <c r="DY121" i="4" s="1"/>
  <c r="DX121" i="4" s="1"/>
  <c r="DZ50" i="4"/>
  <c r="DY50" i="4" s="1"/>
  <c r="DX50" i="4" s="1"/>
  <c r="DZ71" i="4"/>
  <c r="DZ86" i="4"/>
  <c r="DY86" i="4" s="1"/>
  <c r="DX86" i="4" s="1"/>
  <c r="DZ183" i="4"/>
  <c r="DY183" i="4" s="1"/>
  <c r="DX183" i="4" s="1"/>
  <c r="DZ197" i="4"/>
  <c r="DY197" i="4" s="1"/>
  <c r="DX197" i="4" s="1"/>
  <c r="DZ79" i="4"/>
  <c r="DY79" i="4" s="1"/>
  <c r="DX79" i="4" s="1"/>
  <c r="DZ127" i="4"/>
  <c r="DY127" i="4" s="1"/>
  <c r="DX127" i="4" s="1"/>
  <c r="DZ175" i="4"/>
  <c r="DY175" i="4" s="1"/>
  <c r="DX175" i="4" s="1"/>
  <c r="DZ200" i="4"/>
  <c r="DY200" i="4" s="1"/>
  <c r="DX200" i="4" s="1"/>
  <c r="DZ193" i="4"/>
  <c r="DZ154" i="4"/>
  <c r="DY154" i="4" s="1"/>
  <c r="DX154" i="4" s="1"/>
  <c r="DZ85" i="4"/>
  <c r="DY85" i="4" s="1"/>
  <c r="DX85" i="4" s="1"/>
  <c r="DZ67" i="4"/>
  <c r="DZ57" i="4"/>
  <c r="DY57" i="4" s="1"/>
  <c r="DX57" i="4" s="1"/>
  <c r="DZ172" i="4"/>
  <c r="DY172" i="4" s="1"/>
  <c r="DX172" i="4" s="1"/>
  <c r="DZ159" i="4"/>
  <c r="DY159" i="4" s="1"/>
  <c r="DX159" i="4" s="1"/>
  <c r="DZ153" i="4"/>
  <c r="DZ106" i="4"/>
  <c r="DY106" i="4" s="1"/>
  <c r="DX106" i="4" s="1"/>
  <c r="DZ125" i="4"/>
  <c r="DY125" i="4" s="1"/>
  <c r="DX125" i="4" s="1"/>
  <c r="DZ149" i="4"/>
  <c r="DY149" i="4" s="1"/>
  <c r="DX149" i="4" s="1"/>
  <c r="DZ168" i="4"/>
  <c r="DY168" i="4" s="1"/>
  <c r="DX168" i="4" s="1"/>
  <c r="DZ178" i="4"/>
  <c r="DY178" i="4" s="1"/>
  <c r="DX178" i="4" s="1"/>
  <c r="DZ162" i="4"/>
  <c r="DZ46" i="4"/>
  <c r="DY46" i="4" s="1"/>
  <c r="DX46" i="4" s="1"/>
  <c r="DZ89" i="4"/>
  <c r="DY89" i="4" s="1"/>
  <c r="DX89" i="4" s="1"/>
  <c r="DZ144" i="4"/>
  <c r="DY144" i="4" s="1"/>
  <c r="DX144" i="4" s="1"/>
  <c r="DZ147" i="4"/>
  <c r="DY147" i="4" s="1"/>
  <c r="DX147" i="4" s="1"/>
  <c r="DZ49" i="4"/>
  <c r="DY49" i="4" s="1"/>
  <c r="DX49" i="4" s="1"/>
  <c r="DZ73" i="4"/>
  <c r="DY73" i="4" s="1"/>
  <c r="DX73" i="4" s="1"/>
  <c r="DZ40" i="4"/>
  <c r="DY40" i="4" s="1"/>
  <c r="DX40" i="4" s="1"/>
  <c r="DZ56" i="4"/>
  <c r="DY56" i="4" s="1"/>
  <c r="DX56" i="4" s="1"/>
  <c r="DZ158" i="4"/>
  <c r="DY158" i="4" s="1"/>
  <c r="DX158" i="4" s="1"/>
  <c r="DZ75" i="4"/>
  <c r="DY75" i="4" s="1"/>
  <c r="DX75" i="4" s="1"/>
  <c r="DZ36" i="4"/>
  <c r="DY36" i="4" s="1"/>
  <c r="DX36" i="4" s="1"/>
  <c r="DZ142" i="4"/>
  <c r="DZ176" i="4"/>
  <c r="DY176" i="4" s="1"/>
  <c r="DX176" i="4" s="1"/>
  <c r="DZ95" i="4"/>
  <c r="DY95" i="4" s="1"/>
  <c r="DX95" i="4" s="1"/>
  <c r="DZ181" i="4"/>
  <c r="DY181" i="4" s="1"/>
  <c r="DX181" i="4" s="1"/>
  <c r="DZ54" i="4"/>
  <c r="DY54" i="4" s="1"/>
  <c r="DX54" i="4" s="1"/>
  <c r="DZ116" i="4"/>
  <c r="DY116" i="4" s="1"/>
  <c r="DX116" i="4" s="1"/>
  <c r="DZ47" i="4"/>
  <c r="DY47" i="4" s="1"/>
  <c r="DX47" i="4" s="1"/>
  <c r="DZ34" i="4"/>
  <c r="DY34" i="4" s="1"/>
  <c r="DX34" i="4" s="1"/>
  <c r="DZ48" i="4"/>
  <c r="DY48" i="4" s="1"/>
  <c r="DX48" i="4" s="1"/>
  <c r="DZ52" i="4"/>
  <c r="DY52" i="4" s="1"/>
  <c r="DX52" i="4" s="1"/>
  <c r="DZ146" i="4"/>
  <c r="DY146" i="4" s="1"/>
  <c r="DX146" i="4" s="1"/>
  <c r="DZ188" i="4"/>
  <c r="DZ31" i="4"/>
  <c r="DY31" i="4" s="1"/>
  <c r="DX31" i="4" s="1"/>
  <c r="DZ148" i="4"/>
  <c r="DY148" i="4" s="1"/>
  <c r="DX148" i="4" s="1"/>
  <c r="DZ110" i="4"/>
  <c r="DZ42" i="4"/>
  <c r="DY42" i="4" s="1"/>
  <c r="DX42" i="4" s="1"/>
  <c r="DZ133" i="4"/>
  <c r="DY133" i="4" s="1"/>
  <c r="DX133" i="4" s="1"/>
  <c r="DZ102" i="4"/>
  <c r="DY102" i="4" s="1"/>
  <c r="DX102" i="4" s="1"/>
  <c r="DZ120" i="4"/>
  <c r="DY120" i="4" s="1"/>
  <c r="DX120" i="4" s="1"/>
  <c r="DZ53" i="4"/>
  <c r="DY53" i="4" s="1"/>
  <c r="DX53" i="4" s="1"/>
  <c r="DZ103" i="4"/>
  <c r="DY103" i="4" s="1"/>
  <c r="DX103" i="4" s="1"/>
  <c r="DZ151" i="4"/>
  <c r="DY151" i="4" s="1"/>
  <c r="DX151" i="4" s="1"/>
  <c r="P63" i="4"/>
  <c r="DG63" i="4"/>
  <c r="DF63" i="4" s="1"/>
  <c r="DE63" i="4" s="1"/>
  <c r="DQ63" i="4"/>
  <c r="BU63" i="4"/>
  <c r="BT63" i="4" s="1"/>
  <c r="BS63" i="4" s="1"/>
  <c r="CE63" i="4"/>
  <c r="BL63" i="4"/>
  <c r="BB63" i="4"/>
  <c r="BA63" i="4" s="1"/>
  <c r="AZ63" i="4" s="1"/>
  <c r="CX63" i="4"/>
  <c r="CN63" i="4"/>
  <c r="CM63" i="4" s="1"/>
  <c r="CL63" i="4" s="1"/>
  <c r="FB63" i="4"/>
  <c r="ER63" i="4"/>
  <c r="EQ63" i="4" s="1"/>
  <c r="EP63" i="4" s="1"/>
  <c r="AI63" i="4"/>
  <c r="AH63" i="4" s="1"/>
  <c r="AG63" i="4" s="1"/>
  <c r="AS63" i="4"/>
  <c r="FU63" i="4"/>
  <c r="FK63" i="4"/>
  <c r="FJ63" i="4" s="1"/>
  <c r="FI63" i="4" s="1"/>
  <c r="AX160" i="9"/>
  <c r="AO160" i="9"/>
  <c r="AN160" i="9" s="1"/>
  <c r="BQ160" i="9"/>
  <c r="BH160" i="9"/>
  <c r="BG160" i="9" s="1"/>
  <c r="BF160" i="9" s="1"/>
  <c r="BE160" i="9" s="1"/>
  <c r="P161" i="9"/>
  <c r="P160" i="9"/>
  <c r="AO161" i="9"/>
  <c r="AN161" i="9" s="1"/>
  <c r="AM161" i="9" s="1"/>
  <c r="AL161" i="9" s="1"/>
  <c r="AX161" i="9"/>
  <c r="BH161" i="9"/>
  <c r="BG161" i="9" s="1"/>
  <c r="BF161" i="9" s="1"/>
  <c r="BE161" i="9" s="1"/>
  <c r="BQ161" i="9"/>
  <c r="AJ53" i="8"/>
  <c r="AI53" i="8" s="1"/>
  <c r="AH53" i="8" s="1"/>
  <c r="AG53" i="8" s="1"/>
  <c r="AS53" i="8"/>
  <c r="BL53" i="8"/>
  <c r="BC53" i="8"/>
  <c r="BB53" i="8" s="1"/>
  <c r="BA53" i="8" s="1"/>
  <c r="AZ53" i="8" s="1"/>
  <c r="CX53" i="8"/>
  <c r="CO53" i="8"/>
  <c r="CN53" i="8" s="1"/>
  <c r="CM53" i="8" s="1"/>
  <c r="CL53" i="8" s="1"/>
  <c r="BV53" i="8"/>
  <c r="BU53" i="8" s="1"/>
  <c r="BT53" i="8" s="1"/>
  <c r="BS53" i="8" s="1"/>
  <c r="CE53" i="8"/>
  <c r="P65" i="7"/>
  <c r="P50" i="7"/>
  <c r="AS50" i="7"/>
  <c r="AJ50" i="7"/>
  <c r="AI50" i="7" s="1"/>
  <c r="AH50" i="7" s="1"/>
  <c r="AG50" i="7" s="1"/>
  <c r="R50" i="7" s="1" a="1"/>
  <c r="R50" i="7" s="1"/>
  <c r="BC69" i="8"/>
  <c r="BB69" i="8" s="1"/>
  <c r="BA69" i="8" s="1"/>
  <c r="AZ69" i="8" s="1"/>
  <c r="BL69" i="8"/>
  <c r="P77" i="8"/>
  <c r="P69" i="8"/>
  <c r="AJ69" i="8"/>
  <c r="AI69" i="8" s="1"/>
  <c r="AH69" i="8" s="1"/>
  <c r="AG69" i="8" s="1"/>
  <c r="AS69" i="8"/>
  <c r="CX69" i="8"/>
  <c r="CO69" i="8"/>
  <c r="CN69" i="8" s="1"/>
  <c r="CM69" i="8" s="1"/>
  <c r="CL69" i="8" s="1"/>
  <c r="BV69" i="8"/>
  <c r="BU69" i="8" s="1"/>
  <c r="BT69" i="8" s="1"/>
  <c r="BS69" i="8" s="1"/>
  <c r="CE69" i="8"/>
  <c r="P60" i="5"/>
  <c r="P74" i="5"/>
  <c r="P64" i="4"/>
  <c r="AS64" i="4"/>
  <c r="AI64" i="4"/>
  <c r="AH64" i="4" s="1"/>
  <c r="AG64" i="4" s="1"/>
  <c r="BU64" i="4"/>
  <c r="BT64" i="4" s="1"/>
  <c r="BS64" i="4" s="1"/>
  <c r="CE64" i="4"/>
  <c r="DQ64" i="4"/>
  <c r="DG64" i="4"/>
  <c r="DF64" i="4" s="1"/>
  <c r="DE64" i="4" s="1"/>
  <c r="FU64" i="4"/>
  <c r="FK64" i="4"/>
  <c r="FJ64" i="4" s="1"/>
  <c r="FI64" i="4" s="1"/>
  <c r="FB64" i="4"/>
  <c r="ER64" i="4"/>
  <c r="EQ64" i="4" s="1"/>
  <c r="EP64" i="4" s="1"/>
  <c r="BB64" i="4"/>
  <c r="BA64" i="4" s="1"/>
  <c r="AZ64" i="4" s="1"/>
  <c r="BL64" i="4"/>
  <c r="CN64" i="4"/>
  <c r="CM64" i="4" s="1"/>
  <c r="CL64" i="4" s="1"/>
  <c r="CX64" i="4"/>
  <c r="P80" i="5"/>
  <c r="P24" i="5"/>
  <c r="DG52" i="4"/>
  <c r="DF52" i="4" s="1"/>
  <c r="DE52" i="4" s="1"/>
  <c r="DQ52" i="4"/>
  <c r="BU52" i="4"/>
  <c r="BT52" i="4" s="1"/>
  <c r="BS52" i="4" s="1"/>
  <c r="CE52" i="4"/>
  <c r="BL52" i="4"/>
  <c r="BB52" i="4"/>
  <c r="BA52" i="4" s="1"/>
  <c r="AZ52" i="4" s="1"/>
  <c r="CX52" i="4"/>
  <c r="CN52" i="4"/>
  <c r="CM52" i="4" s="1"/>
  <c r="CL52" i="4" s="1"/>
  <c r="FU52" i="4"/>
  <c r="FK52" i="4"/>
  <c r="FJ52" i="4" s="1"/>
  <c r="FI52" i="4" s="1"/>
  <c r="P79" i="4"/>
  <c r="P52" i="4"/>
  <c r="FB52" i="4"/>
  <c r="ER52" i="4"/>
  <c r="EQ52" i="4" s="1"/>
  <c r="EP52" i="4" s="1"/>
  <c r="AS52" i="4"/>
  <c r="AI52" i="4"/>
  <c r="AH52" i="4" s="1"/>
  <c r="AG52" i="4" s="1"/>
  <c r="P106" i="9"/>
  <c r="P102" i="9"/>
  <c r="BQ102" i="9"/>
  <c r="BH102" i="9"/>
  <c r="BG102" i="9" s="1"/>
  <c r="BF102" i="9" s="1"/>
  <c r="BE102" i="9" s="1"/>
  <c r="AX102" i="9"/>
  <c r="AO102" i="9"/>
  <c r="AN102" i="9" s="1"/>
  <c r="AM102" i="9" s="1"/>
  <c r="AL102" i="9" s="1"/>
  <c r="AX106" i="9"/>
  <c r="AO106" i="9"/>
  <c r="AN106" i="9" s="1"/>
  <c r="AM106" i="9" s="1"/>
  <c r="AL106" i="9" s="1"/>
  <c r="BQ106" i="9"/>
  <c r="BH106" i="9"/>
  <c r="BG106" i="9" s="1"/>
  <c r="BF106" i="9" s="1"/>
  <c r="BE106" i="9" s="1"/>
  <c r="P54" i="9"/>
  <c r="P25" i="9"/>
  <c r="BQ25" i="9"/>
  <c r="BH25" i="9"/>
  <c r="BG25" i="9" s="1"/>
  <c r="BF25" i="9" s="1"/>
  <c r="BE25" i="9" s="1"/>
  <c r="AX25" i="9"/>
  <c r="AO25" i="9"/>
  <c r="AN25" i="9" s="1"/>
  <c r="AM25" i="9" s="1"/>
  <c r="AL25" i="9" s="1"/>
  <c r="FU79" i="4"/>
  <c r="FK79" i="4"/>
  <c r="FJ79" i="4" s="1"/>
  <c r="FI79" i="4" s="1"/>
  <c r="CN79" i="4"/>
  <c r="CM79" i="4" s="1"/>
  <c r="CL79" i="4" s="1"/>
  <c r="CX79" i="4"/>
  <c r="DQ79" i="4"/>
  <c r="DG79" i="4"/>
  <c r="DF79" i="4" s="1"/>
  <c r="DE79" i="4" s="1"/>
  <c r="BU79" i="4"/>
  <c r="BT79" i="4" s="1"/>
  <c r="BS79" i="4" s="1"/>
  <c r="CE79" i="4"/>
  <c r="FB79" i="4"/>
  <c r="ER79" i="4"/>
  <c r="EQ79" i="4" s="1"/>
  <c r="EP79" i="4" s="1"/>
  <c r="BL79" i="4"/>
  <c r="BB79" i="4"/>
  <c r="BA79" i="4" s="1"/>
  <c r="AZ79" i="4" s="1"/>
  <c r="AI79" i="4"/>
  <c r="AH79" i="4" s="1"/>
  <c r="AG79" i="4" s="1"/>
  <c r="AS79" i="4"/>
  <c r="BL102" i="4"/>
  <c r="BB102" i="4"/>
  <c r="BA102" i="4" s="1"/>
  <c r="AZ102" i="4" s="1"/>
  <c r="FU102" i="4"/>
  <c r="FK102" i="4"/>
  <c r="FJ102" i="4" s="1"/>
  <c r="FI102" i="4" s="1"/>
  <c r="FB102" i="4"/>
  <c r="ER102" i="4"/>
  <c r="EQ102" i="4" s="1"/>
  <c r="EP102" i="4" s="1"/>
  <c r="DG102" i="4"/>
  <c r="DF102" i="4" s="1"/>
  <c r="DE102" i="4" s="1"/>
  <c r="DQ102" i="4"/>
  <c r="BU102" i="4"/>
  <c r="BT102" i="4" s="1"/>
  <c r="BS102" i="4" s="1"/>
  <c r="CE102" i="4"/>
  <c r="CX102" i="4"/>
  <c r="CN102" i="4"/>
  <c r="CM102" i="4" s="1"/>
  <c r="CL102" i="4" s="1"/>
  <c r="P133" i="4"/>
  <c r="P102" i="4"/>
  <c r="AI102" i="4"/>
  <c r="AH102" i="4" s="1"/>
  <c r="AG102" i="4" s="1"/>
  <c r="AS102" i="4"/>
  <c r="AS65" i="7"/>
  <c r="AJ65" i="7"/>
  <c r="AI65" i="7" s="1"/>
  <c r="AH65" i="7" s="1"/>
  <c r="AG65" i="7" s="1"/>
  <c r="R65" i="7" s="1" a="1"/>
  <c r="R65" i="7" s="1"/>
  <c r="P64" i="7"/>
  <c r="AS64" i="7"/>
  <c r="AJ64" i="7"/>
  <c r="AI64" i="7" s="1"/>
  <c r="AH64" i="7" s="1"/>
  <c r="AG64" i="7" s="1"/>
  <c r="R64" i="7" s="1" a="1"/>
  <c r="R64" i="7" s="1"/>
  <c r="P51" i="7"/>
  <c r="AJ77" i="8"/>
  <c r="AI77" i="8" s="1"/>
  <c r="AH77" i="8" s="1"/>
  <c r="AG77" i="8" s="1"/>
  <c r="AS77" i="8"/>
  <c r="CX77" i="8"/>
  <c r="CO77" i="8"/>
  <c r="CN77" i="8" s="1"/>
  <c r="CM77" i="8" s="1"/>
  <c r="CL77" i="8" s="1"/>
  <c r="BL77" i="8"/>
  <c r="BC77" i="8"/>
  <c r="BB77" i="8" s="1"/>
  <c r="BA77" i="8" s="1"/>
  <c r="AZ77" i="8" s="1"/>
  <c r="CE77" i="8"/>
  <c r="BV77" i="8"/>
  <c r="BU77" i="8" s="1"/>
  <c r="BT77" i="8" s="1"/>
  <c r="BS77" i="8" s="1"/>
  <c r="DQ133" i="4"/>
  <c r="DG133" i="4"/>
  <c r="DF133" i="4" s="1"/>
  <c r="DE133" i="4" s="1"/>
  <c r="CE133" i="4"/>
  <c r="BU133" i="4"/>
  <c r="BT133" i="4" s="1"/>
  <c r="BS133" i="4" s="1"/>
  <c r="BL133" i="4"/>
  <c r="BB133" i="4"/>
  <c r="BA133" i="4" s="1"/>
  <c r="AZ133" i="4" s="1"/>
  <c r="CX133" i="4"/>
  <c r="CN133" i="4"/>
  <c r="CM133" i="4" s="1"/>
  <c r="CL133" i="4" s="1"/>
  <c r="ER133" i="4"/>
  <c r="EQ133" i="4" s="1"/>
  <c r="EP133" i="4" s="1"/>
  <c r="FB133" i="4"/>
  <c r="AS133" i="4"/>
  <c r="AI133" i="4"/>
  <c r="AH133" i="4" s="1"/>
  <c r="AG133" i="4" s="1"/>
  <c r="FU133" i="4"/>
  <c r="FK133" i="4"/>
  <c r="FJ133" i="4" s="1"/>
  <c r="FI133" i="4" s="1"/>
  <c r="BL52" i="8"/>
  <c r="BC52" i="8"/>
  <c r="BB52" i="8" s="1"/>
  <c r="BA52" i="8" s="1"/>
  <c r="AZ52" i="8" s="1"/>
  <c r="CX52" i="8"/>
  <c r="CO52" i="8"/>
  <c r="CN52" i="8" s="1"/>
  <c r="CM52" i="8" s="1"/>
  <c r="CL52" i="8" s="1"/>
  <c r="AJ52" i="8"/>
  <c r="AI52" i="8" s="1"/>
  <c r="AH52" i="8" s="1"/>
  <c r="AG52" i="8" s="1"/>
  <c r="AS52" i="8"/>
  <c r="CE52" i="8"/>
  <c r="BV52" i="8"/>
  <c r="BU52" i="8" s="1"/>
  <c r="BT52" i="8" s="1"/>
  <c r="BS52" i="8" s="1"/>
  <c r="AJ51" i="7"/>
  <c r="AI51" i="7" s="1"/>
  <c r="AH51" i="7" s="1"/>
  <c r="AG51" i="7" s="1"/>
  <c r="V51" i="7" s="1" a="1"/>
  <c r="V51" i="7" s="1"/>
  <c r="AS51" i="7"/>
  <c r="P59" i="5"/>
  <c r="P126" i="4"/>
  <c r="P85" i="8"/>
  <c r="P45" i="8"/>
  <c r="AJ45" i="8"/>
  <c r="AI45" i="8" s="1"/>
  <c r="AH45" i="8" s="1"/>
  <c r="AG45" i="8" s="1"/>
  <c r="AS45" i="8"/>
  <c r="CE45" i="8"/>
  <c r="BV45" i="8"/>
  <c r="BU45" i="8" s="1"/>
  <c r="BT45" i="8" s="1"/>
  <c r="BS45" i="8" s="1"/>
  <c r="BL45" i="8"/>
  <c r="BC45" i="8"/>
  <c r="BB45" i="8" s="1"/>
  <c r="BA45" i="8" s="1"/>
  <c r="AZ45" i="8" s="1"/>
  <c r="CX45" i="8"/>
  <c r="CO45" i="8"/>
  <c r="CN45" i="8" s="1"/>
  <c r="CM45" i="8" s="1"/>
  <c r="CL45" i="8" s="1"/>
  <c r="AX18" i="9"/>
  <c r="AX63" i="9"/>
  <c r="AX107" i="9"/>
  <c r="AX117" i="9"/>
  <c r="AX35" i="9"/>
  <c r="AX58" i="9"/>
  <c r="AX146" i="9"/>
  <c r="AX114" i="9"/>
  <c r="BQ47" i="9"/>
  <c r="AX78" i="9"/>
  <c r="BQ44" i="9"/>
  <c r="BQ38" i="9"/>
  <c r="BQ129" i="9"/>
  <c r="BQ26" i="9"/>
  <c r="AX74" i="9"/>
  <c r="BQ130" i="9"/>
  <c r="BQ55" i="9"/>
  <c r="BQ124" i="9"/>
  <c r="BQ18" i="9"/>
  <c r="AX26" i="9"/>
  <c r="BQ17" i="9"/>
  <c r="BQ29" i="9"/>
  <c r="BQ40" i="9"/>
  <c r="BQ98" i="9"/>
  <c r="BQ71" i="9"/>
  <c r="BQ78" i="9"/>
  <c r="BQ42" i="9"/>
  <c r="BQ110" i="9"/>
  <c r="BQ146" i="9"/>
  <c r="BQ145" i="9"/>
  <c r="BQ109" i="9"/>
  <c r="BQ147" i="9"/>
  <c r="BQ137" i="9"/>
  <c r="BQ100" i="9"/>
  <c r="BQ33" i="9"/>
  <c r="BQ72" i="9"/>
  <c r="BQ111" i="9"/>
  <c r="BQ20" i="9"/>
  <c r="BQ154" i="9"/>
  <c r="BQ45" i="9"/>
  <c r="BQ31" i="9"/>
  <c r="AX149" i="9"/>
  <c r="AX30" i="9"/>
  <c r="BQ99" i="9"/>
  <c r="BQ59" i="9"/>
  <c r="BQ142" i="9"/>
  <c r="BQ149" i="9"/>
  <c r="BQ16" i="9"/>
  <c r="AX135" i="9"/>
  <c r="BQ75" i="9"/>
  <c r="BQ113" i="9"/>
  <c r="BQ74" i="9"/>
  <c r="BQ15" i="9"/>
  <c r="AX93" i="9"/>
  <c r="BQ153" i="9"/>
  <c r="BQ58" i="9"/>
  <c r="BQ80" i="9"/>
  <c r="BQ63" i="9"/>
  <c r="BQ61" i="9"/>
  <c r="BQ24" i="9"/>
  <c r="BQ150" i="9"/>
  <c r="BQ35" i="9"/>
  <c r="BQ46" i="9"/>
  <c r="BQ116" i="9"/>
  <c r="BQ131" i="9"/>
  <c r="BQ30" i="9"/>
  <c r="BQ151" i="9"/>
  <c r="BQ97" i="9"/>
  <c r="AX119" i="9"/>
  <c r="AX108" i="9"/>
  <c r="BQ34" i="9"/>
  <c r="BQ117" i="9"/>
  <c r="BQ92" i="9"/>
  <c r="AX32" i="9"/>
  <c r="AX167" i="9"/>
  <c r="AX169" i="9"/>
  <c r="AX86" i="9"/>
  <c r="AX125" i="9"/>
  <c r="AX143" i="9"/>
  <c r="AX142" i="9"/>
  <c r="AX94" i="9"/>
  <c r="AX103" i="9"/>
  <c r="AX83" i="9"/>
  <c r="AX126" i="9"/>
  <c r="AX120" i="9"/>
  <c r="AX44" i="9"/>
  <c r="AX55" i="9"/>
  <c r="AX31" i="9"/>
  <c r="AX116" i="9"/>
  <c r="AX112" i="9"/>
  <c r="AX61" i="9"/>
  <c r="AX152" i="9"/>
  <c r="AX163" i="9"/>
  <c r="AX164" i="9"/>
  <c r="AX40" i="9"/>
  <c r="AX104" i="9"/>
  <c r="AX88" i="9"/>
  <c r="AX65" i="9"/>
  <c r="AX111" i="9"/>
  <c r="AX21" i="9"/>
  <c r="AX134" i="9"/>
  <c r="AX138" i="9"/>
  <c r="AX68" i="9"/>
  <c r="AX97" i="9"/>
  <c r="AX129" i="9"/>
  <c r="AX70" i="9"/>
  <c r="AX121" i="9"/>
  <c r="AX76" i="9"/>
  <c r="AX51" i="9"/>
  <c r="AX144" i="9"/>
  <c r="AX24" i="9"/>
  <c r="AX118" i="9"/>
  <c r="AX42" i="9"/>
  <c r="AX148" i="9"/>
  <c r="AX85" i="9"/>
  <c r="AX123" i="9"/>
  <c r="AX128" i="9"/>
  <c r="AX165" i="9"/>
  <c r="AX73" i="9"/>
  <c r="AX92" i="9"/>
  <c r="AX67" i="9"/>
  <c r="AX84" i="9"/>
  <c r="AX132" i="9"/>
  <c r="AX27" i="9"/>
  <c r="AX95" i="9"/>
  <c r="AX109" i="9"/>
  <c r="AX71" i="9"/>
  <c r="AX150" i="9"/>
  <c r="AX23" i="9"/>
  <c r="AX99" i="9"/>
  <c r="AX72" i="9"/>
  <c r="AX136" i="9"/>
  <c r="AX75" i="9"/>
  <c r="AX64" i="9"/>
  <c r="AX170" i="9"/>
  <c r="AX131" i="9"/>
  <c r="AX87" i="9"/>
  <c r="AX53" i="9"/>
  <c r="AX166" i="9"/>
  <c r="AX137" i="9"/>
  <c r="AX133" i="9"/>
  <c r="AX48" i="9"/>
  <c r="AX90" i="9"/>
  <c r="AX140" i="9"/>
  <c r="AX91" i="9"/>
  <c r="AX110" i="9"/>
  <c r="AX22" i="9"/>
  <c r="AX45" i="9"/>
  <c r="AX82" i="9"/>
  <c r="AX81" i="9"/>
  <c r="AX168" i="9"/>
  <c r="AX98" i="9"/>
  <c r="AX46" i="9"/>
  <c r="AX80" i="9"/>
  <c r="AX155" i="9"/>
  <c r="AX38" i="9"/>
  <c r="AX151" i="9"/>
  <c r="AX159" i="9"/>
  <c r="AX141" i="9"/>
  <c r="AX105" i="9"/>
  <c r="AX100" i="9"/>
  <c r="AX47" i="9"/>
  <c r="AX69" i="9"/>
  <c r="AX20" i="9"/>
  <c r="AX33" i="9"/>
  <c r="AX115" i="9"/>
  <c r="AX130" i="9"/>
  <c r="AX158" i="9"/>
  <c r="AX153" i="9"/>
  <c r="AX113" i="9"/>
  <c r="AX28" i="9"/>
  <c r="AX54" i="9"/>
  <c r="AX145" i="9"/>
  <c r="AX62" i="9"/>
  <c r="AX43" i="9"/>
  <c r="AX29" i="9"/>
  <c r="AX57" i="9"/>
  <c r="AX59" i="9"/>
  <c r="AX34" i="9"/>
  <c r="AX156" i="9"/>
  <c r="AX147" i="9"/>
  <c r="AX56" i="9"/>
  <c r="AX154" i="9"/>
  <c r="AX139" i="9"/>
  <c r="AX127" i="9"/>
  <c r="AX162" i="9"/>
  <c r="AX66" i="9"/>
  <c r="AX122" i="9"/>
  <c r="AX41" i="9"/>
  <c r="AX36" i="9"/>
  <c r="AX89" i="9"/>
  <c r="AX157" i="9"/>
  <c r="AX37" i="9"/>
  <c r="AX96" i="9"/>
  <c r="AX124" i="9"/>
  <c r="AO54" i="9"/>
  <c r="AN54" i="9" s="1"/>
  <c r="AM54" i="9" s="1"/>
  <c r="AL54" i="9" s="1"/>
  <c r="BQ54" i="9"/>
  <c r="BH54" i="9"/>
  <c r="BG54" i="9" s="1"/>
  <c r="BF54" i="9" s="1"/>
  <c r="BE54" i="9" s="1"/>
  <c r="P76" i="9"/>
  <c r="AO76" i="9"/>
  <c r="AN76" i="9" s="1"/>
  <c r="AM76" i="9" s="1"/>
  <c r="AL76" i="9" s="1"/>
  <c r="BQ76" i="9"/>
  <c r="BH76" i="9"/>
  <c r="BG76" i="9" s="1"/>
  <c r="BF76" i="9" s="1"/>
  <c r="BE76" i="9" s="1"/>
  <c r="P36" i="9"/>
  <c r="P124" i="9"/>
  <c r="AO124" i="9"/>
  <c r="AN124" i="9" s="1"/>
  <c r="AM124" i="9" s="1"/>
  <c r="AL124" i="9" s="1"/>
  <c r="BH124" i="9"/>
  <c r="BG124" i="9" s="1"/>
  <c r="BF124" i="9" s="1"/>
  <c r="BE124" i="9" s="1"/>
  <c r="AS126" i="4"/>
  <c r="AI126" i="4"/>
  <c r="AH126" i="4" s="1"/>
  <c r="AG126" i="4" s="1"/>
  <c r="BL126" i="4"/>
  <c r="BB126" i="4"/>
  <c r="BA126" i="4" s="1"/>
  <c r="AZ126" i="4" s="1"/>
  <c r="CX126" i="4"/>
  <c r="CN126" i="4"/>
  <c r="CM126" i="4" s="1"/>
  <c r="CL126" i="4" s="1"/>
  <c r="FB126" i="4"/>
  <c r="ER126" i="4"/>
  <c r="EQ126" i="4" s="1"/>
  <c r="EP126" i="4" s="1"/>
  <c r="BU126" i="4"/>
  <c r="BT126" i="4" s="1"/>
  <c r="BS126" i="4" s="1"/>
  <c r="CE126" i="4"/>
  <c r="FU126" i="4"/>
  <c r="FK126" i="4"/>
  <c r="FJ126" i="4" s="1"/>
  <c r="FI126" i="4" s="1"/>
  <c r="DQ126" i="4"/>
  <c r="DG126" i="4"/>
  <c r="DF126" i="4" s="1"/>
  <c r="DE126" i="4" s="1"/>
  <c r="P86" i="5"/>
  <c r="P91" i="5"/>
  <c r="P87" i="5"/>
  <c r="AI134" i="4"/>
  <c r="AH134" i="4" s="1"/>
  <c r="AG134" i="4" s="1"/>
  <c r="AS134" i="4"/>
  <c r="DQ134" i="4"/>
  <c r="DG134" i="4"/>
  <c r="DF134" i="4" s="1"/>
  <c r="DE134" i="4" s="1"/>
  <c r="CE134" i="4"/>
  <c r="BU134" i="4"/>
  <c r="BT134" i="4" s="1"/>
  <c r="BS134" i="4" s="1"/>
  <c r="BL134" i="4"/>
  <c r="BB134" i="4"/>
  <c r="BA134" i="4" s="1"/>
  <c r="AZ134" i="4" s="1"/>
  <c r="CX134" i="4"/>
  <c r="CN134" i="4"/>
  <c r="CM134" i="4" s="1"/>
  <c r="CL134" i="4" s="1"/>
  <c r="FB134" i="4"/>
  <c r="ER134" i="4"/>
  <c r="EQ134" i="4" s="1"/>
  <c r="EP134" i="4" s="1"/>
  <c r="CX85" i="8"/>
  <c r="CO85" i="8"/>
  <c r="CN85" i="8" s="1"/>
  <c r="CM85" i="8" s="1"/>
  <c r="CL85" i="8" s="1"/>
  <c r="CE85" i="8"/>
  <c r="BV85" i="8"/>
  <c r="BU85" i="8" s="1"/>
  <c r="BT85" i="8" s="1"/>
  <c r="BS85" i="8" s="1"/>
  <c r="BC85" i="8"/>
  <c r="BB85" i="8" s="1"/>
  <c r="BA85" i="8" s="1"/>
  <c r="AZ85" i="8" s="1"/>
  <c r="BL85" i="8"/>
  <c r="AJ85" i="8"/>
  <c r="AI85" i="8" s="1"/>
  <c r="AH85" i="8" s="1"/>
  <c r="AG85" i="8" s="1"/>
  <c r="AS85" i="8"/>
  <c r="P84" i="8"/>
  <c r="P91" i="8"/>
  <c r="AJ91" i="8"/>
  <c r="AI91" i="8" s="1"/>
  <c r="AH91" i="8" s="1"/>
  <c r="AG91" i="8" s="1"/>
  <c r="AS91" i="8"/>
  <c r="BL91" i="8"/>
  <c r="BC91" i="8"/>
  <c r="BB91" i="8" s="1"/>
  <c r="BA91" i="8" s="1"/>
  <c r="AZ91" i="8" s="1"/>
  <c r="CE91" i="8"/>
  <c r="BV91" i="8"/>
  <c r="BU91" i="8" s="1"/>
  <c r="BT91" i="8" s="1"/>
  <c r="BS91" i="8" s="1"/>
  <c r="CX91" i="8"/>
  <c r="CO91" i="8"/>
  <c r="CN91" i="8" s="1"/>
  <c r="CM91" i="8" s="1"/>
  <c r="CL91" i="8" s="1"/>
  <c r="CE84" i="8"/>
  <c r="BV84" i="8"/>
  <c r="BU84" i="8" s="1"/>
  <c r="BT84" i="8" s="1"/>
  <c r="BS84" i="8" s="1"/>
  <c r="CX84" i="8"/>
  <c r="CO84" i="8"/>
  <c r="CN84" i="8" s="1"/>
  <c r="CM84" i="8" s="1"/>
  <c r="CL84" i="8" s="1"/>
  <c r="AS84" i="8"/>
  <c r="AJ84" i="8"/>
  <c r="AI84" i="8" s="1"/>
  <c r="AH84" i="8" s="1"/>
  <c r="AG84" i="8" s="1"/>
  <c r="BC84" i="8"/>
  <c r="BB84" i="8" s="1"/>
  <c r="BA84" i="8" s="1"/>
  <c r="AZ84" i="8" s="1"/>
  <c r="BL84" i="8"/>
  <c r="P26" i="8"/>
  <c r="P92" i="5"/>
  <c r="P49" i="5"/>
  <c r="P143" i="4"/>
  <c r="CE143" i="4"/>
  <c r="BU143" i="4"/>
  <c r="BT143" i="4" s="1"/>
  <c r="BS143" i="4" s="1"/>
  <c r="DQ143" i="4"/>
  <c r="DG143" i="4"/>
  <c r="DF143" i="4" s="1"/>
  <c r="DE143" i="4" s="1"/>
  <c r="BL143" i="4"/>
  <c r="BB143" i="4"/>
  <c r="BA143" i="4" s="1"/>
  <c r="AZ143" i="4" s="1"/>
  <c r="CX143" i="4"/>
  <c r="CN143" i="4"/>
  <c r="CM143" i="4" s="1"/>
  <c r="CL143" i="4" s="1"/>
  <c r="AS143" i="4"/>
  <c r="AI143" i="4"/>
  <c r="AH143" i="4" s="1"/>
  <c r="AG143" i="4" s="1"/>
  <c r="FB143" i="4"/>
  <c r="ER143" i="4"/>
  <c r="EQ143" i="4" s="1"/>
  <c r="EP143" i="4" s="1"/>
  <c r="FU143" i="4"/>
  <c r="FK143" i="4"/>
  <c r="FJ143" i="4" s="1"/>
  <c r="FI143" i="4" s="1"/>
  <c r="P100" i="4"/>
  <c r="BB100" i="4"/>
  <c r="BA100" i="4" s="1"/>
  <c r="AZ100" i="4" s="1"/>
  <c r="BL100" i="4"/>
  <c r="FU100" i="4"/>
  <c r="FK100" i="4"/>
  <c r="FJ100" i="4" s="1"/>
  <c r="FI100" i="4" s="1"/>
  <c r="CE100" i="4"/>
  <c r="BU100" i="4"/>
  <c r="BT100" i="4" s="1"/>
  <c r="BS100" i="4" s="1"/>
  <c r="DG100" i="4"/>
  <c r="DF100" i="4" s="1"/>
  <c r="DE100" i="4" s="1"/>
  <c r="DQ100" i="4"/>
  <c r="AI100" i="4"/>
  <c r="AH100" i="4" s="1"/>
  <c r="AG100" i="4" s="1"/>
  <c r="AS100" i="4"/>
  <c r="ER100" i="4"/>
  <c r="EQ100" i="4" s="1"/>
  <c r="EP100" i="4" s="1"/>
  <c r="FB100" i="4"/>
  <c r="CX100" i="4"/>
  <c r="CN100" i="4"/>
  <c r="CM100" i="4" s="1"/>
  <c r="CL100" i="4" s="1"/>
  <c r="BL26" i="8"/>
  <c r="BC26" i="8"/>
  <c r="BB26" i="8" s="1"/>
  <c r="BA26" i="8" s="1"/>
  <c r="AZ26" i="8" s="1"/>
  <c r="CE26" i="8"/>
  <c r="BV26" i="8"/>
  <c r="BU26" i="8" s="1"/>
  <c r="BT26" i="8" s="1"/>
  <c r="BS26" i="8" s="1"/>
  <c r="CX26" i="8"/>
  <c r="CO26" i="8"/>
  <c r="CN26" i="8" s="1"/>
  <c r="CM26" i="8" s="1"/>
  <c r="CL26" i="8" s="1"/>
  <c r="AS26" i="8"/>
  <c r="AJ26" i="8"/>
  <c r="AI26" i="8" s="1"/>
  <c r="AH26" i="8" s="1"/>
  <c r="AG26" i="8" s="1"/>
  <c r="P43" i="8"/>
  <c r="P80" i="8"/>
  <c r="AJ80" i="8"/>
  <c r="AI80" i="8" s="1"/>
  <c r="AH80" i="8" s="1"/>
  <c r="AG80" i="8" s="1"/>
  <c r="AS80" i="8"/>
  <c r="CE80" i="8"/>
  <c r="BV80" i="8"/>
  <c r="BU80" i="8" s="1"/>
  <c r="BT80" i="8" s="1"/>
  <c r="BS80" i="8" s="1"/>
  <c r="BL80" i="8"/>
  <c r="BC80" i="8"/>
  <c r="BB80" i="8" s="1"/>
  <c r="BA80" i="8" s="1"/>
  <c r="AZ80" i="8" s="1"/>
  <c r="CX80" i="8"/>
  <c r="CO80" i="8"/>
  <c r="CN80" i="8" s="1"/>
  <c r="CM80" i="8" s="1"/>
  <c r="CL80" i="8" s="1"/>
  <c r="AS89" i="4"/>
  <c r="AI89" i="4"/>
  <c r="AH89" i="4" s="1"/>
  <c r="AG89" i="4" s="1"/>
  <c r="DQ89" i="4"/>
  <c r="DG89" i="4"/>
  <c r="DF89" i="4" s="1"/>
  <c r="DE89" i="4" s="1"/>
  <c r="P172" i="4"/>
  <c r="P89" i="4"/>
  <c r="BL89" i="4"/>
  <c r="BB89" i="4"/>
  <c r="BA89" i="4" s="1"/>
  <c r="AZ89" i="4" s="1"/>
  <c r="CX89" i="4"/>
  <c r="CN89" i="4"/>
  <c r="CM89" i="4" s="1"/>
  <c r="CL89" i="4" s="1"/>
  <c r="FB89" i="4"/>
  <c r="ER89" i="4"/>
  <c r="EQ89" i="4" s="1"/>
  <c r="EP89" i="4" s="1"/>
  <c r="FU89" i="4"/>
  <c r="FK89" i="4"/>
  <c r="FJ89" i="4" s="1"/>
  <c r="FI89" i="4" s="1"/>
  <c r="BU89" i="4"/>
  <c r="BT89" i="4" s="1"/>
  <c r="BS89" i="4" s="1"/>
  <c r="CE89" i="4"/>
  <c r="BV43" i="8"/>
  <c r="BU43" i="8" s="1"/>
  <c r="CE43" i="8"/>
  <c r="CO43" i="8"/>
  <c r="CN43" i="8" s="1"/>
  <c r="CX43" i="8"/>
  <c r="AS43" i="8"/>
  <c r="AJ43" i="8"/>
  <c r="AI43" i="8" s="1"/>
  <c r="BL43" i="8"/>
  <c r="BC43" i="8"/>
  <c r="BB43" i="8" s="1"/>
  <c r="BQ36" i="9"/>
  <c r="BH36" i="9"/>
  <c r="BG36" i="9" s="1"/>
  <c r="BF36" i="9" s="1"/>
  <c r="BE36" i="9" s="1"/>
  <c r="AO36" i="9"/>
  <c r="AN36" i="9" s="1"/>
  <c r="AM36" i="9" s="1"/>
  <c r="AL36" i="9" s="1"/>
  <c r="P33" i="9"/>
  <c r="AO33" i="9"/>
  <c r="AN33" i="9" s="1"/>
  <c r="AM33" i="9" s="1"/>
  <c r="AL33" i="9" s="1"/>
  <c r="BH33" i="9"/>
  <c r="BG33" i="9" s="1"/>
  <c r="BF33" i="9" s="1"/>
  <c r="BE33" i="9" s="1"/>
  <c r="AO38" i="9"/>
  <c r="AN38" i="9" s="1"/>
  <c r="AM38" i="9" s="1"/>
  <c r="AL38" i="9" s="1"/>
  <c r="P38" i="9"/>
  <c r="BH38" i="9"/>
  <c r="BG38" i="9" s="1"/>
  <c r="BF38" i="9" s="1"/>
  <c r="BE38" i="9" s="1"/>
  <c r="CE149" i="4"/>
  <c r="BU149" i="4"/>
  <c r="BT149" i="4" s="1"/>
  <c r="BS149" i="4" s="1"/>
  <c r="DQ149" i="4"/>
  <c r="DG149" i="4"/>
  <c r="DF149" i="4" s="1"/>
  <c r="DE149" i="4" s="1"/>
  <c r="BL149" i="4"/>
  <c r="BB149" i="4"/>
  <c r="BA149" i="4" s="1"/>
  <c r="AZ149" i="4" s="1"/>
  <c r="CX149" i="4"/>
  <c r="CN149" i="4"/>
  <c r="CM149" i="4" s="1"/>
  <c r="CL149" i="4" s="1"/>
  <c r="AI149" i="4"/>
  <c r="AH149" i="4" s="1"/>
  <c r="AG149" i="4" s="1"/>
  <c r="AS149" i="4"/>
  <c r="FB149" i="4"/>
  <c r="ER149" i="4"/>
  <c r="EQ149" i="4" s="1"/>
  <c r="EP149" i="4" s="1"/>
  <c r="P142" i="4"/>
  <c r="P149" i="4"/>
  <c r="FU149" i="4"/>
  <c r="FK149" i="4"/>
  <c r="FJ149" i="4" s="1"/>
  <c r="FI149" i="4" s="1"/>
  <c r="DG142" i="4"/>
  <c r="DF142" i="4" s="1"/>
  <c r="DE142" i="4" s="1"/>
  <c r="DQ142" i="4"/>
  <c r="BU142" i="4"/>
  <c r="BT142" i="4" s="1"/>
  <c r="BS142" i="4" s="1"/>
  <c r="CE142" i="4"/>
  <c r="BL142" i="4"/>
  <c r="BB142" i="4"/>
  <c r="BA142" i="4" s="1"/>
  <c r="AZ142" i="4" s="1"/>
  <c r="AS142" i="4"/>
  <c r="AI142" i="4"/>
  <c r="AH142" i="4" s="1"/>
  <c r="AG142" i="4" s="1"/>
  <c r="CX142" i="4"/>
  <c r="CN142" i="4"/>
  <c r="CM142" i="4" s="1"/>
  <c r="CL142" i="4" s="1"/>
  <c r="FB142" i="4"/>
  <c r="ER142" i="4"/>
  <c r="EQ142" i="4" s="1"/>
  <c r="EP142" i="4" s="1"/>
  <c r="FU142" i="4"/>
  <c r="FK142" i="4"/>
  <c r="FJ142" i="4" s="1"/>
  <c r="FI142" i="4" s="1"/>
  <c r="BL151" i="4"/>
  <c r="BB151" i="4"/>
  <c r="BA151" i="4" s="1"/>
  <c r="AZ151" i="4" s="1"/>
  <c r="P136" i="4"/>
  <c r="P151" i="4"/>
  <c r="CX151" i="4"/>
  <c r="CN151" i="4"/>
  <c r="CM151" i="4" s="1"/>
  <c r="CL151" i="4" s="1"/>
  <c r="AI151" i="4"/>
  <c r="AH151" i="4" s="1"/>
  <c r="AG151" i="4" s="1"/>
  <c r="AS151" i="4"/>
  <c r="ER151" i="4"/>
  <c r="EQ151" i="4" s="1"/>
  <c r="EP151" i="4" s="1"/>
  <c r="FB151" i="4"/>
  <c r="FU151" i="4"/>
  <c r="FK151" i="4"/>
  <c r="FJ151" i="4" s="1"/>
  <c r="FI151" i="4" s="1"/>
  <c r="CE151" i="4"/>
  <c r="BU151" i="4"/>
  <c r="BT151" i="4" s="1"/>
  <c r="BS151" i="4" s="1"/>
  <c r="DG151" i="4"/>
  <c r="DF151" i="4" s="1"/>
  <c r="DE151" i="4" s="1"/>
  <c r="DQ151" i="4"/>
  <c r="DG136" i="4"/>
  <c r="DF136" i="4" s="1"/>
  <c r="DE136" i="4" s="1"/>
  <c r="DQ136" i="4"/>
  <c r="BL136" i="4"/>
  <c r="BB136" i="4"/>
  <c r="BA136" i="4" s="1"/>
  <c r="AZ136" i="4" s="1"/>
  <c r="AI136" i="4"/>
  <c r="AH136" i="4" s="1"/>
  <c r="AG136" i="4" s="1"/>
  <c r="AS136" i="4"/>
  <c r="FU136" i="4"/>
  <c r="FK136" i="4"/>
  <c r="FJ136" i="4" s="1"/>
  <c r="FI136" i="4" s="1"/>
  <c r="FB136" i="4"/>
  <c r="ER136" i="4"/>
  <c r="EQ136" i="4" s="1"/>
  <c r="EP136" i="4" s="1"/>
  <c r="CX136" i="4"/>
  <c r="CN136" i="4"/>
  <c r="CM136" i="4" s="1"/>
  <c r="CL136" i="4" s="1"/>
  <c r="BU136" i="4"/>
  <c r="BT136" i="4" s="1"/>
  <c r="BS136" i="4" s="1"/>
  <c r="CE136" i="4"/>
  <c r="P174" i="4"/>
  <c r="AS174" i="4"/>
  <c r="AI174" i="4"/>
  <c r="AH174" i="4" s="1"/>
  <c r="AG174" i="4" s="1"/>
  <c r="BB174" i="4"/>
  <c r="BA174" i="4" s="1"/>
  <c r="AZ174" i="4" s="1"/>
  <c r="BL174" i="4"/>
  <c r="CX174" i="4"/>
  <c r="CN174" i="4"/>
  <c r="CM174" i="4" s="1"/>
  <c r="CL174" i="4" s="1"/>
  <c r="BU174" i="4"/>
  <c r="BT174" i="4" s="1"/>
  <c r="BS174" i="4" s="1"/>
  <c r="CE174" i="4"/>
  <c r="FB174" i="4"/>
  <c r="ER174" i="4"/>
  <c r="EQ174" i="4" s="1"/>
  <c r="EP174" i="4" s="1"/>
  <c r="FU174" i="4"/>
  <c r="FK174" i="4"/>
  <c r="FJ174" i="4" s="1"/>
  <c r="FI174" i="4" s="1"/>
  <c r="DQ174" i="4"/>
  <c r="DG174" i="4"/>
  <c r="DF174" i="4" s="1"/>
  <c r="DE174" i="4" s="1"/>
  <c r="P56" i="4"/>
  <c r="P29" i="8"/>
  <c r="P30" i="8"/>
  <c r="CE30" i="8"/>
  <c r="BV30" i="8"/>
  <c r="BU30" i="8" s="1"/>
  <c r="BT30" i="8" s="1"/>
  <c r="BS30" i="8" s="1"/>
  <c r="CX30" i="8"/>
  <c r="CO30" i="8"/>
  <c r="CN30" i="8" s="1"/>
  <c r="CM30" i="8" s="1"/>
  <c r="CL30" i="8" s="1"/>
  <c r="BC30" i="8"/>
  <c r="BB30" i="8" s="1"/>
  <c r="BA30" i="8" s="1"/>
  <c r="AZ30" i="8" s="1"/>
  <c r="BL30" i="8"/>
  <c r="AJ30" i="8"/>
  <c r="AI30" i="8" s="1"/>
  <c r="AH30" i="8" s="1"/>
  <c r="AG30" i="8" s="1"/>
  <c r="AS30" i="8"/>
  <c r="CE29" i="8"/>
  <c r="BV29" i="8"/>
  <c r="BU29" i="8" s="1"/>
  <c r="BT29" i="8" s="1"/>
  <c r="BS29" i="8" s="1"/>
  <c r="CX29" i="8"/>
  <c r="CO29" i="8"/>
  <c r="CN29" i="8" s="1"/>
  <c r="CM29" i="8" s="1"/>
  <c r="CL29" i="8" s="1"/>
  <c r="BC29" i="8"/>
  <c r="BB29" i="8" s="1"/>
  <c r="BA29" i="8" s="1"/>
  <c r="AZ29" i="8" s="1"/>
  <c r="BL29" i="8"/>
  <c r="AJ29" i="8"/>
  <c r="AI29" i="8" s="1"/>
  <c r="AH29" i="8" s="1"/>
  <c r="AG29" i="8" s="1"/>
  <c r="AS29" i="8"/>
  <c r="P28" i="8"/>
  <c r="CX28" i="8"/>
  <c r="CO28" i="8"/>
  <c r="CN28" i="8" s="1"/>
  <c r="CM28" i="8" s="1"/>
  <c r="CL28" i="8" s="1"/>
  <c r="BV28" i="8"/>
  <c r="BU28" i="8" s="1"/>
  <c r="BT28" i="8" s="1"/>
  <c r="BS28" i="8" s="1"/>
  <c r="CE28" i="8"/>
  <c r="BL28" i="8"/>
  <c r="BC28" i="8"/>
  <c r="BB28" i="8" s="1"/>
  <c r="BA28" i="8" s="1"/>
  <c r="AZ28" i="8" s="1"/>
  <c r="AJ28" i="8"/>
  <c r="AI28" i="8" s="1"/>
  <c r="AH28" i="8" s="1"/>
  <c r="AG28" i="8" s="1"/>
  <c r="AS28" i="8"/>
  <c r="AS30" i="7"/>
  <c r="AJ30" i="7"/>
  <c r="AI30" i="7" s="1"/>
  <c r="AH30" i="7" s="1"/>
  <c r="AG30" i="7" s="1"/>
  <c r="V30" i="7" s="1" a="1"/>
  <c r="V30" i="7" s="1"/>
  <c r="P29" i="7"/>
  <c r="P30" i="7"/>
  <c r="AS29" i="7"/>
  <c r="AJ29" i="7"/>
  <c r="AI29" i="7" s="1"/>
  <c r="AH29" i="7" s="1"/>
  <c r="AG29" i="7" s="1"/>
  <c r="V29" i="7" s="1" a="1"/>
  <c r="V29" i="7" s="1"/>
  <c r="BB56" i="4"/>
  <c r="BA56" i="4" s="1"/>
  <c r="AZ56" i="4" s="1"/>
  <c r="BL56" i="4"/>
  <c r="CX56" i="4"/>
  <c r="CN56" i="4"/>
  <c r="CM56" i="4" s="1"/>
  <c r="CL56" i="4" s="1"/>
  <c r="AI56" i="4"/>
  <c r="AH56" i="4" s="1"/>
  <c r="AG56" i="4" s="1"/>
  <c r="AS56" i="4"/>
  <c r="ER56" i="4"/>
  <c r="EQ56" i="4" s="1"/>
  <c r="EP56" i="4" s="1"/>
  <c r="FB56" i="4"/>
  <c r="FU56" i="4"/>
  <c r="FK56" i="4"/>
  <c r="FJ56" i="4" s="1"/>
  <c r="FI56" i="4" s="1"/>
  <c r="DG56" i="4"/>
  <c r="DF56" i="4" s="1"/>
  <c r="DE56" i="4" s="1"/>
  <c r="DQ56" i="4"/>
  <c r="BU56" i="4"/>
  <c r="BT56" i="4" s="1"/>
  <c r="BS56" i="4" s="1"/>
  <c r="CE56" i="4"/>
  <c r="P23" i="5"/>
  <c r="P27" i="5"/>
  <c r="P54" i="4"/>
  <c r="DQ54" i="4"/>
  <c r="DG54" i="4"/>
  <c r="DF54" i="4" s="1"/>
  <c r="DE54" i="4" s="1"/>
  <c r="AI54" i="4"/>
  <c r="AH54" i="4" s="1"/>
  <c r="AG54" i="4" s="1"/>
  <c r="AS54" i="4"/>
  <c r="BL54" i="4"/>
  <c r="BB54" i="4"/>
  <c r="BA54" i="4" s="1"/>
  <c r="AZ54" i="4" s="1"/>
  <c r="CX54" i="4"/>
  <c r="CN54" i="4"/>
  <c r="CM54" i="4" s="1"/>
  <c r="CL54" i="4" s="1"/>
  <c r="FB54" i="4"/>
  <c r="ER54" i="4"/>
  <c r="EQ54" i="4" s="1"/>
  <c r="EP54" i="4" s="1"/>
  <c r="FU54" i="4"/>
  <c r="FK54" i="4"/>
  <c r="FJ54" i="4" s="1"/>
  <c r="FI54" i="4" s="1"/>
  <c r="BU54" i="4"/>
  <c r="BT54" i="4" s="1"/>
  <c r="BS54" i="4" s="1"/>
  <c r="CE54" i="4"/>
  <c r="DG48" i="4"/>
  <c r="DF48" i="4" s="1"/>
  <c r="DE48" i="4" s="1"/>
  <c r="DQ48" i="4"/>
  <c r="BU48" i="4"/>
  <c r="BT48" i="4" s="1"/>
  <c r="BS48" i="4" s="1"/>
  <c r="CE48" i="4"/>
  <c r="BL48" i="4"/>
  <c r="BB48" i="4"/>
  <c r="BA48" i="4" s="1"/>
  <c r="AZ48" i="4" s="1"/>
  <c r="CX48" i="4"/>
  <c r="CN48" i="4"/>
  <c r="CM48" i="4" s="1"/>
  <c r="CL48" i="4" s="1"/>
  <c r="AS48" i="4"/>
  <c r="AI48" i="4"/>
  <c r="AH48" i="4" s="1"/>
  <c r="AG48" i="4" s="1"/>
  <c r="FB48" i="4"/>
  <c r="ER48" i="4"/>
  <c r="EQ48" i="4" s="1"/>
  <c r="EP48" i="4" s="1"/>
  <c r="P48" i="4"/>
  <c r="FU48" i="4"/>
  <c r="FK48" i="4"/>
  <c r="FJ48" i="4" s="1"/>
  <c r="FI48" i="4" s="1"/>
  <c r="P77" i="5"/>
  <c r="P128" i="4"/>
  <c r="P73" i="8"/>
  <c r="AJ73" i="8"/>
  <c r="AI73" i="8" s="1"/>
  <c r="AH73" i="8" s="1"/>
  <c r="AG73" i="8" s="1"/>
  <c r="AS73" i="8"/>
  <c r="CX73" i="8"/>
  <c r="CO73" i="8"/>
  <c r="CN73" i="8" s="1"/>
  <c r="CM73" i="8" s="1"/>
  <c r="CL73" i="8" s="1"/>
  <c r="BV73" i="8"/>
  <c r="BU73" i="8" s="1"/>
  <c r="BT73" i="8" s="1"/>
  <c r="BS73" i="8" s="1"/>
  <c r="CE73" i="8"/>
  <c r="BC73" i="8"/>
  <c r="BB73" i="8" s="1"/>
  <c r="BA73" i="8" s="1"/>
  <c r="AZ73" i="8" s="1"/>
  <c r="BL73" i="8"/>
  <c r="BL128" i="4"/>
  <c r="BB128" i="4"/>
  <c r="BA128" i="4" s="1"/>
  <c r="AZ128" i="4" s="1"/>
  <c r="CX128" i="4"/>
  <c r="CN128" i="4"/>
  <c r="CM128" i="4" s="1"/>
  <c r="CL128" i="4" s="1"/>
  <c r="AI128" i="4"/>
  <c r="AH128" i="4" s="1"/>
  <c r="AG128" i="4" s="1"/>
  <c r="AS128" i="4"/>
  <c r="FB128" i="4"/>
  <c r="ER128" i="4"/>
  <c r="EQ128" i="4" s="1"/>
  <c r="EP128" i="4" s="1"/>
  <c r="FU128" i="4"/>
  <c r="FK128" i="4"/>
  <c r="FJ128" i="4" s="1"/>
  <c r="FI128" i="4" s="1"/>
  <c r="DQ128" i="4"/>
  <c r="DG128" i="4"/>
  <c r="DF128" i="4" s="1"/>
  <c r="DE128" i="4" s="1"/>
  <c r="CE128" i="4"/>
  <c r="BU128" i="4"/>
  <c r="BT128" i="4" s="1"/>
  <c r="BS128" i="4" s="1"/>
  <c r="P57" i="5"/>
  <c r="P38" i="4"/>
  <c r="P103" i="9"/>
  <c r="P99" i="9"/>
  <c r="AO99" i="9"/>
  <c r="AN99" i="9" s="1"/>
  <c r="AM99" i="9" s="1"/>
  <c r="AL99" i="9" s="1"/>
  <c r="BH99" i="9"/>
  <c r="BG99" i="9" s="1"/>
  <c r="BF99" i="9" s="1"/>
  <c r="BE99" i="9" s="1"/>
  <c r="AO103" i="9"/>
  <c r="AN103" i="9" s="1"/>
  <c r="AM103" i="9" s="1"/>
  <c r="AL103" i="9" s="1"/>
  <c r="BQ103" i="9"/>
  <c r="BH103" i="9"/>
  <c r="BG103" i="9" s="1"/>
  <c r="BF103" i="9" s="1"/>
  <c r="BE103" i="9" s="1"/>
  <c r="AO100" i="9"/>
  <c r="AN100" i="9" s="1"/>
  <c r="AM100" i="9" s="1"/>
  <c r="AL100" i="9" s="1"/>
  <c r="P80" i="9"/>
  <c r="P100" i="9"/>
  <c r="BH100" i="9"/>
  <c r="BG100" i="9" s="1"/>
  <c r="BF100" i="9" s="1"/>
  <c r="BE100" i="9" s="1"/>
  <c r="AO80" i="9"/>
  <c r="AN80" i="9" s="1"/>
  <c r="AM80" i="9" s="1"/>
  <c r="AL80" i="9" s="1"/>
  <c r="BH80" i="9"/>
  <c r="BG80" i="9" s="1"/>
  <c r="BF80" i="9" s="1"/>
  <c r="BE80" i="9" s="1"/>
  <c r="P55" i="9"/>
  <c r="AO55" i="9"/>
  <c r="AN55" i="9" s="1"/>
  <c r="AM55" i="9" s="1"/>
  <c r="AL55" i="9" s="1"/>
  <c r="BH55" i="9"/>
  <c r="BG55" i="9" s="1"/>
  <c r="BF55" i="9" s="1"/>
  <c r="BE55" i="9" s="1"/>
  <c r="CE38" i="4"/>
  <c r="BU38" i="4"/>
  <c r="BT38" i="4" s="1"/>
  <c r="BS38" i="4" s="1"/>
  <c r="BL38" i="4"/>
  <c r="BB38" i="4"/>
  <c r="BA38" i="4" s="1"/>
  <c r="AZ38" i="4" s="1"/>
  <c r="CX38" i="4"/>
  <c r="CN38" i="4"/>
  <c r="CM38" i="4" s="1"/>
  <c r="CL38" i="4" s="1"/>
  <c r="AS38" i="4"/>
  <c r="AI38" i="4"/>
  <c r="AH38" i="4" s="1"/>
  <c r="AG38" i="4" s="1"/>
  <c r="DG38" i="4"/>
  <c r="DF38" i="4" s="1"/>
  <c r="DE38" i="4" s="1"/>
  <c r="DQ38" i="4"/>
  <c r="FB38" i="4"/>
  <c r="ER38" i="4"/>
  <c r="EQ38" i="4" s="1"/>
  <c r="EP38" i="4" s="1"/>
  <c r="FU38" i="4"/>
  <c r="FK38" i="4"/>
  <c r="FJ38" i="4" s="1"/>
  <c r="FI38" i="4" s="1"/>
  <c r="DG32" i="4"/>
  <c r="DF32" i="4" s="1"/>
  <c r="DE32" i="4" s="1"/>
  <c r="DQ32" i="4"/>
  <c r="P121" i="4"/>
  <c r="P32" i="4"/>
  <c r="AS32" i="4"/>
  <c r="AI32" i="4"/>
  <c r="AH32" i="4" s="1"/>
  <c r="AG32" i="4" s="1"/>
  <c r="BU32" i="4"/>
  <c r="BT32" i="4" s="1"/>
  <c r="BS32" i="4" s="1"/>
  <c r="CE32" i="4"/>
  <c r="BL32" i="4"/>
  <c r="BB32" i="4"/>
  <c r="BA32" i="4" s="1"/>
  <c r="AZ32" i="4" s="1"/>
  <c r="CX32" i="4"/>
  <c r="CN32" i="4"/>
  <c r="CM32" i="4" s="1"/>
  <c r="CL32" i="4" s="1"/>
  <c r="FU32" i="4"/>
  <c r="FK32" i="4"/>
  <c r="FJ32" i="4" s="1"/>
  <c r="FI32" i="4" s="1"/>
  <c r="FB32" i="4"/>
  <c r="ER32" i="4"/>
  <c r="EQ32" i="4" s="1"/>
  <c r="EP32" i="4" s="1"/>
  <c r="EE28" i="4" a="1"/>
  <c r="EE28" i="4" s="1"/>
  <c r="EI28" i="4" a="1"/>
  <c r="EI28" i="4" s="1"/>
  <c r="DW28" i="4" a="1"/>
  <c r="DW28" i="4" s="1"/>
  <c r="DW203" i="4" s="1" a="1"/>
  <c r="DW203" i="4" s="1"/>
  <c r="DZ16" i="4"/>
  <c r="DY17" i="4"/>
  <c r="DR12" i="4"/>
  <c r="DR13" i="4" s="1"/>
  <c r="DR11" i="4"/>
  <c r="BC51" i="8"/>
  <c r="BB51" i="8" s="1"/>
  <c r="BA51" i="8" s="1"/>
  <c r="AZ51" i="8" s="1"/>
  <c r="BL51" i="8"/>
  <c r="BV51" i="8"/>
  <c r="BU51" i="8" s="1"/>
  <c r="BT51" i="8" s="1"/>
  <c r="BS51" i="8" s="1"/>
  <c r="CE51" i="8"/>
  <c r="CX51" i="8"/>
  <c r="CO51" i="8"/>
  <c r="CN51" i="8" s="1"/>
  <c r="CM51" i="8" s="1"/>
  <c r="CL51" i="8" s="1"/>
  <c r="AJ51" i="8"/>
  <c r="AI51" i="8" s="1"/>
  <c r="AH51" i="8" s="1"/>
  <c r="AG51" i="8" s="1"/>
  <c r="AS51" i="8"/>
  <c r="FB121" i="4"/>
  <c r="ER121" i="4"/>
  <c r="EQ121" i="4" s="1"/>
  <c r="EP121" i="4" s="1"/>
  <c r="BB121" i="4"/>
  <c r="BA121" i="4" s="1"/>
  <c r="AZ121" i="4" s="1"/>
  <c r="BL121" i="4"/>
  <c r="CN121" i="4"/>
  <c r="CM121" i="4" s="1"/>
  <c r="CL121" i="4" s="1"/>
  <c r="CX121" i="4"/>
  <c r="AI121" i="4"/>
  <c r="AH121" i="4" s="1"/>
  <c r="AG121" i="4" s="1"/>
  <c r="AS121" i="4"/>
  <c r="FU121" i="4"/>
  <c r="FK121" i="4"/>
  <c r="FJ121" i="4" s="1"/>
  <c r="FI121" i="4" s="1"/>
  <c r="DQ121" i="4"/>
  <c r="DG121" i="4"/>
  <c r="DF121" i="4" s="1"/>
  <c r="DE121" i="4" s="1"/>
  <c r="BU121" i="4"/>
  <c r="BT121" i="4" s="1"/>
  <c r="BS121" i="4" s="1"/>
  <c r="CE121" i="4"/>
  <c r="CE56" i="8"/>
  <c r="BV56" i="8"/>
  <c r="BU56" i="8" s="1"/>
  <c r="BT56" i="8" s="1"/>
  <c r="BS56" i="8" s="1"/>
  <c r="CX56" i="8"/>
  <c r="BL56" i="8"/>
  <c r="BC56" i="8"/>
  <c r="BB56" i="8" s="1"/>
  <c r="BA56" i="8" s="1"/>
  <c r="AZ56" i="8" s="1"/>
  <c r="AJ56" i="8"/>
  <c r="AI56" i="8" s="1"/>
  <c r="AH56" i="8" s="1"/>
  <c r="AG56" i="8" s="1"/>
  <c r="AS56" i="8"/>
  <c r="CX55" i="8"/>
  <c r="CO55" i="8"/>
  <c r="CN55" i="8" s="1"/>
  <c r="CM55" i="8" s="1"/>
  <c r="CL55" i="8" s="1"/>
  <c r="CE55" i="8"/>
  <c r="BV55" i="8"/>
  <c r="BU55" i="8" s="1"/>
  <c r="BT55" i="8" s="1"/>
  <c r="BS55" i="8" s="1"/>
  <c r="BC55" i="8"/>
  <c r="BB55" i="8" s="1"/>
  <c r="BA55" i="8" s="1"/>
  <c r="AZ55" i="8" s="1"/>
  <c r="BL55" i="8"/>
  <c r="AJ55" i="8"/>
  <c r="AI55" i="8" s="1"/>
  <c r="AH55" i="8" s="1"/>
  <c r="AG55" i="8" s="1"/>
  <c r="AS55" i="8"/>
  <c r="P51" i="5"/>
  <c r="BB116" i="4"/>
  <c r="BA116" i="4" s="1"/>
  <c r="AZ116" i="4" s="1"/>
  <c r="BL116" i="4"/>
  <c r="CN116" i="4"/>
  <c r="CM116" i="4" s="1"/>
  <c r="CL116" i="4" s="1"/>
  <c r="CX116" i="4"/>
  <c r="AS116" i="4"/>
  <c r="AI116" i="4"/>
  <c r="AH116" i="4" s="1"/>
  <c r="AG116" i="4" s="1"/>
  <c r="ER116" i="4"/>
  <c r="EQ116" i="4" s="1"/>
  <c r="EP116" i="4" s="1"/>
  <c r="FB116" i="4"/>
  <c r="FU116" i="4"/>
  <c r="FK116" i="4"/>
  <c r="FJ116" i="4" s="1"/>
  <c r="FI116" i="4" s="1"/>
  <c r="P105" i="4"/>
  <c r="P116" i="4"/>
  <c r="DQ116" i="4"/>
  <c r="DG116" i="4"/>
  <c r="DF116" i="4" s="1"/>
  <c r="DE116" i="4" s="1"/>
  <c r="CE116" i="4"/>
  <c r="BU116" i="4"/>
  <c r="BT116" i="4" s="1"/>
  <c r="BS116" i="4" s="1"/>
  <c r="FU105" i="4"/>
  <c r="FK105" i="4"/>
  <c r="FJ105" i="4" s="1"/>
  <c r="FI105" i="4" s="1"/>
  <c r="BB105" i="4"/>
  <c r="BA105" i="4" s="1"/>
  <c r="AZ105" i="4" s="1"/>
  <c r="BL105" i="4"/>
  <c r="CN105" i="4"/>
  <c r="CM105" i="4" s="1"/>
  <c r="CL105" i="4" s="1"/>
  <c r="CX105" i="4"/>
  <c r="AS105" i="4"/>
  <c r="AI105" i="4"/>
  <c r="AH105" i="4" s="1"/>
  <c r="AG105" i="4" s="1"/>
  <c r="ER105" i="4"/>
  <c r="EQ105" i="4" s="1"/>
  <c r="EP105" i="4" s="1"/>
  <c r="FB105" i="4"/>
  <c r="DG105" i="4"/>
  <c r="DF105" i="4" s="1"/>
  <c r="DE105" i="4" s="1"/>
  <c r="DQ105" i="4"/>
  <c r="CE105" i="4"/>
  <c r="BU105" i="4"/>
  <c r="BT105" i="4" s="1"/>
  <c r="BS105" i="4" s="1"/>
  <c r="P91" i="4"/>
  <c r="BB91" i="4"/>
  <c r="BA91" i="4" s="1"/>
  <c r="AZ91" i="4" s="1"/>
  <c r="BL91" i="4"/>
  <c r="CN91" i="4"/>
  <c r="CM91" i="4" s="1"/>
  <c r="CL91" i="4" s="1"/>
  <c r="CX91" i="4"/>
  <c r="AS91" i="4"/>
  <c r="AI91" i="4"/>
  <c r="AH91" i="4" s="1"/>
  <c r="AG91" i="4" s="1"/>
  <c r="ER91" i="4"/>
  <c r="EQ91" i="4" s="1"/>
  <c r="EP91" i="4" s="1"/>
  <c r="FB91" i="4"/>
  <c r="FU91" i="4"/>
  <c r="FK91" i="4"/>
  <c r="FJ91" i="4" s="1"/>
  <c r="FI91" i="4" s="1"/>
  <c r="DG91" i="4"/>
  <c r="DF91" i="4" s="1"/>
  <c r="DE91" i="4" s="1"/>
  <c r="DQ91" i="4"/>
  <c r="CE91" i="4"/>
  <c r="BU91" i="4"/>
  <c r="BT91" i="4" s="1"/>
  <c r="BS91" i="4" s="1"/>
  <c r="CE95" i="8"/>
  <c r="CE23" i="8"/>
  <c r="CE75" i="8"/>
  <c r="BV23" i="8"/>
  <c r="BU23" i="8" s="1"/>
  <c r="BT23" i="8" s="1"/>
  <c r="BS23" i="8" s="1"/>
  <c r="CX22" i="8"/>
  <c r="CX72" i="8"/>
  <c r="CX112" i="8"/>
  <c r="CX101" i="8"/>
  <c r="CE79" i="8"/>
  <c r="CE93" i="8"/>
  <c r="CF11" i="8"/>
  <c r="CF12" i="8" s="1"/>
  <c r="CX21" i="8"/>
  <c r="CE109" i="8"/>
  <c r="CX115" i="8"/>
  <c r="CX113" i="8"/>
  <c r="CX89" i="8"/>
  <c r="CE40" i="8"/>
  <c r="CE19" i="8"/>
  <c r="CE106" i="8"/>
  <c r="CE24" i="8"/>
  <c r="CE33" i="8"/>
  <c r="CX41" i="8"/>
  <c r="CE115" i="8"/>
  <c r="CE89" i="8"/>
  <c r="CE49" i="8"/>
  <c r="CE87" i="8"/>
  <c r="CE41" i="8"/>
  <c r="CX102" i="8"/>
  <c r="CE25" i="8"/>
  <c r="CX33" i="8"/>
  <c r="CX103" i="8"/>
  <c r="CE108" i="8"/>
  <c r="CE36" i="8"/>
  <c r="CE34" i="8"/>
  <c r="CE37" i="8"/>
  <c r="CE31" i="8"/>
  <c r="CE67" i="8"/>
  <c r="BV87" i="8"/>
  <c r="BU87" i="8" s="1"/>
  <c r="BT87" i="8" s="1"/>
  <c r="BS87" i="8" s="1"/>
  <c r="CE46" i="8"/>
  <c r="CE60" i="8"/>
  <c r="CE81" i="8"/>
  <c r="CX37" i="8"/>
  <c r="CX98" i="8"/>
  <c r="CX47" i="8"/>
  <c r="CE99" i="8"/>
  <c r="CE48" i="8"/>
  <c r="CE105" i="8"/>
  <c r="CX116" i="8"/>
  <c r="CE107" i="8"/>
  <c r="CX24" i="8"/>
  <c r="CX19" i="8"/>
  <c r="CX110" i="8"/>
  <c r="CX104" i="8"/>
  <c r="CE50" i="8"/>
  <c r="CE92" i="8"/>
  <c r="CX86" i="8"/>
  <c r="CE88" i="8"/>
  <c r="CX118" i="8"/>
  <c r="CE35" i="8"/>
  <c r="AS77" i="4"/>
  <c r="CE76" i="8"/>
  <c r="CE110" i="8"/>
  <c r="CX59" i="8"/>
  <c r="CX78" i="8"/>
  <c r="CX35" i="8"/>
  <c r="CO113" i="8"/>
  <c r="CN113" i="8" s="1"/>
  <c r="CN112" i="8" s="1"/>
  <c r="CO112" i="8" s="1"/>
  <c r="CX60" i="8"/>
  <c r="CX62" i="8"/>
  <c r="CE104" i="8"/>
  <c r="CE38" i="8"/>
  <c r="CE118" i="8"/>
  <c r="CX38" i="8"/>
  <c r="CE116" i="8"/>
  <c r="CX76" i="8"/>
  <c r="CE78" i="8"/>
  <c r="CE57" i="8"/>
  <c r="CX20" i="8"/>
  <c r="CE86" i="8"/>
  <c r="AS165" i="4"/>
  <c r="BQ132" i="9"/>
  <c r="BV106" i="8"/>
  <c r="BU106" i="8" s="1"/>
  <c r="BT106" i="8" s="1"/>
  <c r="BS106" i="8" s="1"/>
  <c r="CE97" i="8"/>
  <c r="BV60" i="8"/>
  <c r="BU60" i="8" s="1"/>
  <c r="BU59" i="8" s="1"/>
  <c r="BV59" i="8" s="1"/>
  <c r="CX160" i="4"/>
  <c r="CE63" i="8"/>
  <c r="CE66" i="8"/>
  <c r="CE61" i="8"/>
  <c r="BV34" i="8"/>
  <c r="BU34" i="8" s="1"/>
  <c r="BT34" i="8" s="1"/>
  <c r="BS34" i="8" s="1"/>
  <c r="AS88" i="7"/>
  <c r="CE77" i="4"/>
  <c r="CX25" i="8"/>
  <c r="CX108" i="8"/>
  <c r="CO78" i="8"/>
  <c r="CN78" i="8" s="1"/>
  <c r="CM78" i="8" s="1"/>
  <c r="CL78" i="8" s="1"/>
  <c r="CX83" i="8"/>
  <c r="CE72" i="8"/>
  <c r="CE54" i="8"/>
  <c r="CE39" i="8"/>
  <c r="CO35" i="8"/>
  <c r="CN35" i="8" s="1"/>
  <c r="CM35" i="8" s="1"/>
  <c r="CL35" i="8" s="1"/>
  <c r="CX92" i="8"/>
  <c r="CE71" i="8"/>
  <c r="CX66" i="8"/>
  <c r="FB77" i="4"/>
  <c r="CX93" i="8"/>
  <c r="CX105" i="8"/>
  <c r="CE62" i="8"/>
  <c r="CX57" i="8"/>
  <c r="CE112" i="8"/>
  <c r="CE100" i="8"/>
  <c r="BV86" i="8"/>
  <c r="BU86" i="8" s="1"/>
  <c r="BT86" i="8" s="1"/>
  <c r="BS86" i="8" s="1"/>
  <c r="CE111" i="8"/>
  <c r="CX50" i="8"/>
  <c r="CX65" i="8"/>
  <c r="CX63" i="8"/>
  <c r="CE42" i="8"/>
  <c r="CX96" i="8"/>
  <c r="BR121" i="8" a="1"/>
  <c r="BR121" i="8" s="1"/>
  <c r="CE102" i="8"/>
  <c r="CX36" i="8"/>
  <c r="CE20" i="8"/>
  <c r="BV76" i="8"/>
  <c r="BU76" i="8" s="1"/>
  <c r="BT76" i="8" s="1"/>
  <c r="BS76" i="8" s="1"/>
  <c r="CE90" i="8"/>
  <c r="CX117" i="8"/>
  <c r="CE21" i="8"/>
  <c r="CX46" i="8"/>
  <c r="CO50" i="8"/>
  <c r="CN50" i="8" s="1"/>
  <c r="CM50" i="8" s="1"/>
  <c r="CL50" i="8" s="1"/>
  <c r="CE65" i="8"/>
  <c r="CE47" i="8"/>
  <c r="CE101" i="8"/>
  <c r="CX87" i="8"/>
  <c r="CX81" i="8"/>
  <c r="CX82" i="8"/>
  <c r="CO57" i="8"/>
  <c r="CN57" i="8" s="1"/>
  <c r="CM57" i="8" s="1"/>
  <c r="CL57" i="8" s="1"/>
  <c r="AS160" i="4"/>
  <c r="BV71" i="8"/>
  <c r="BU71" i="8" s="1"/>
  <c r="BT71" i="8" s="1"/>
  <c r="BS71" i="8" s="1"/>
  <c r="CO63" i="8"/>
  <c r="CN63" i="8" s="1"/>
  <c r="CE27" i="8"/>
  <c r="CX39" i="8"/>
  <c r="CJ121" i="8" a="1"/>
  <c r="CJ121" i="8" s="1"/>
  <c r="CX106" i="8"/>
  <c r="CX95" i="8"/>
  <c r="CE113" i="8"/>
  <c r="CE64" i="8"/>
  <c r="CX42" i="8"/>
  <c r="CE96" i="8"/>
  <c r="CE83" i="8"/>
  <c r="CX90" i="8"/>
  <c r="CX75" i="8"/>
  <c r="CE160" i="4"/>
  <c r="CX74" i="8"/>
  <c r="CX23" i="8"/>
  <c r="CX49" i="8"/>
  <c r="BM10" i="8"/>
  <c r="CX107" i="8"/>
  <c r="CE103" i="8"/>
  <c r="CX114" i="8"/>
  <c r="BL77" i="4"/>
  <c r="CE74" i="8"/>
  <c r="CE114" i="8"/>
  <c r="BL165" i="4"/>
  <c r="CX109" i="8"/>
  <c r="FB160" i="4"/>
  <c r="BV83" i="8"/>
  <c r="BU83" i="8" s="1"/>
  <c r="BT83" i="8" s="1"/>
  <c r="BS83" i="8" s="1"/>
  <c r="CE94" i="8"/>
  <c r="CE165" i="4"/>
  <c r="BV50" i="8"/>
  <c r="BU50" i="8" s="1"/>
  <c r="CX27" i="8"/>
  <c r="CK121" i="8" a="1"/>
  <c r="CK121" i="8" s="1"/>
  <c r="CX58" i="8"/>
  <c r="CF121" i="8" a="1"/>
  <c r="CF121" i="8" s="1"/>
  <c r="CI121" i="8" a="1"/>
  <c r="CI121" i="8" s="1"/>
  <c r="CE58" i="8"/>
  <c r="CX99" i="8"/>
  <c r="CE82" i="8"/>
  <c r="CE98" i="8"/>
  <c r="CE59" i="8"/>
  <c r="CX71" i="8"/>
  <c r="FU77" i="4"/>
  <c r="CE32" i="8"/>
  <c r="CX48" i="8"/>
  <c r="CX61" i="8"/>
  <c r="CX94" i="8"/>
  <c r="CX32" i="8"/>
  <c r="BL160" i="4"/>
  <c r="BO178" i="9"/>
  <c r="BL98" i="8"/>
  <c r="BL41" i="8"/>
  <c r="BQ162" i="9"/>
  <c r="CX31" i="8"/>
  <c r="CX88" i="8"/>
  <c r="CX114" i="4"/>
  <c r="BQ121" i="8" a="1"/>
  <c r="BQ121" i="8" s="1"/>
  <c r="CX40" i="8"/>
  <c r="CX111" i="8"/>
  <c r="CE152" i="4"/>
  <c r="AS55" i="7"/>
  <c r="AS103" i="8"/>
  <c r="CE114" i="4"/>
  <c r="FU78" i="4"/>
  <c r="FU187" i="4"/>
  <c r="AS62" i="4"/>
  <c r="AS101" i="7"/>
  <c r="BQ133" i="9"/>
  <c r="CE117" i="8"/>
  <c r="BL59" i="8"/>
  <c r="CX64" i="8"/>
  <c r="CX67" i="8"/>
  <c r="CE187" i="4"/>
  <c r="CX79" i="8"/>
  <c r="DQ165" i="4"/>
  <c r="AS49" i="8"/>
  <c r="AS189" i="4"/>
  <c r="DQ192" i="4"/>
  <c r="DQ198" i="4"/>
  <c r="AS65" i="8"/>
  <c r="BL161" i="4"/>
  <c r="FB170" i="4"/>
  <c r="FB97" i="4"/>
  <c r="AS161" i="4"/>
  <c r="CX70" i="4"/>
  <c r="AS48" i="7"/>
  <c r="AS22" i="7"/>
  <c r="BL58" i="4"/>
  <c r="AS43" i="7"/>
  <c r="AS98" i="8"/>
  <c r="CX135" i="4"/>
  <c r="CE70" i="4"/>
  <c r="CE141" i="4"/>
  <c r="CX100" i="8"/>
  <c r="AS114" i="4"/>
  <c r="AS194" i="4"/>
  <c r="CE58" i="4"/>
  <c r="AS198" i="4"/>
  <c r="FU160" i="4"/>
  <c r="FU163" i="4"/>
  <c r="FB165" i="4"/>
  <c r="BQ163" i="9"/>
  <c r="CX189" i="4"/>
  <c r="BL95" i="8"/>
  <c r="DQ152" i="4"/>
  <c r="CE78" i="4"/>
  <c r="FU155" i="4"/>
  <c r="FB109" i="4"/>
  <c r="BL62" i="4"/>
  <c r="AS77" i="7"/>
  <c r="AS84" i="7"/>
  <c r="FB62" i="4"/>
  <c r="BQ85" i="9"/>
  <c r="FU198" i="4"/>
  <c r="AS41" i="8"/>
  <c r="BL92" i="8"/>
  <c r="CX97" i="8"/>
  <c r="DQ109" i="4"/>
  <c r="CX170" i="4"/>
  <c r="BM121" i="8" a="1"/>
  <c r="BM121" i="8" s="1"/>
  <c r="FU152" i="4"/>
  <c r="DQ161" i="4"/>
  <c r="CX152" i="4"/>
  <c r="CX34" i="8"/>
  <c r="BQ126" i="9"/>
  <c r="BP121" i="8" a="1"/>
  <c r="BP121" i="8" s="1"/>
  <c r="BL141" i="4"/>
  <c r="BL109" i="4"/>
  <c r="BL198" i="4"/>
  <c r="AS192" i="4"/>
  <c r="AS62" i="8"/>
  <c r="CE163" i="4"/>
  <c r="AS101" i="8"/>
  <c r="CX77" i="4"/>
  <c r="CE192" i="4"/>
  <c r="CX141" i="4"/>
  <c r="BL103" i="8"/>
  <c r="CX54" i="8"/>
  <c r="AS58" i="7"/>
  <c r="FU135" i="4"/>
  <c r="FB135" i="4"/>
  <c r="AS117" i="8"/>
  <c r="BL189" i="4"/>
  <c r="BL78" i="4"/>
  <c r="CX97" i="4"/>
  <c r="CX194" i="4"/>
  <c r="CE161" i="4"/>
  <c r="DQ114" i="4"/>
  <c r="DQ166" i="4"/>
  <c r="BL166" i="4"/>
  <c r="CE195" i="4"/>
  <c r="AS166" i="4"/>
  <c r="DQ155" i="4"/>
  <c r="DQ77" i="4"/>
  <c r="AS99" i="8"/>
  <c r="BL135" i="4"/>
  <c r="AI164" i="4"/>
  <c r="AS164" i="4"/>
  <c r="CN17" i="8"/>
  <c r="CM18" i="8"/>
  <c r="AS76" i="4"/>
  <c r="AI76" i="4"/>
  <c r="AH76" i="4" s="1"/>
  <c r="AG76" i="4" s="1"/>
  <c r="AI184" i="4"/>
  <c r="AH184" i="4" s="1"/>
  <c r="AG184" i="4" s="1"/>
  <c r="AS184" i="4"/>
  <c r="AS101" i="4"/>
  <c r="AI101" i="4"/>
  <c r="AH101" i="4" s="1"/>
  <c r="AG101" i="4" s="1"/>
  <c r="BH93" i="9"/>
  <c r="BG93" i="9" s="1"/>
  <c r="BQ93" i="9"/>
  <c r="AS33" i="7"/>
  <c r="AJ33" i="7"/>
  <c r="AI33" i="7" s="1"/>
  <c r="AH33" i="7" s="1"/>
  <c r="AG33" i="7" s="1"/>
  <c r="R33" i="7" s="1" a="1"/>
  <c r="R33" i="7" s="1"/>
  <c r="AI137" i="4"/>
  <c r="AH137" i="4" s="1"/>
  <c r="AG137" i="4" s="1"/>
  <c r="AS137" i="4"/>
  <c r="AS159" i="4"/>
  <c r="AI159" i="4"/>
  <c r="AH159" i="4" s="1"/>
  <c r="AG159" i="4" s="1"/>
  <c r="AI140" i="4"/>
  <c r="AH140" i="4" s="1"/>
  <c r="AG140" i="4" s="1"/>
  <c r="AS140" i="4"/>
  <c r="AJ26" i="4"/>
  <c r="AI26" i="4" s="1"/>
  <c r="AH26" i="4" s="1"/>
  <c r="AG26" i="4" s="1"/>
  <c r="AS26" i="4"/>
  <c r="BH164" i="9"/>
  <c r="BG164" i="9" s="1"/>
  <c r="BQ164" i="9"/>
  <c r="BQ122" i="9"/>
  <c r="BH122" i="9"/>
  <c r="BG122" i="9" s="1"/>
  <c r="BF122" i="9" s="1"/>
  <c r="BE122" i="9" s="1"/>
  <c r="BQ86" i="9"/>
  <c r="BH86" i="9"/>
  <c r="BG86" i="9" s="1"/>
  <c r="BH97" i="9"/>
  <c r="BG97" i="9" s="1"/>
  <c r="BF97" i="9" s="1"/>
  <c r="BE97" i="9" s="1"/>
  <c r="BH20" i="9"/>
  <c r="BG20" i="9" s="1"/>
  <c r="BF20" i="9" s="1"/>
  <c r="BE20" i="9" s="1"/>
  <c r="AS108" i="4"/>
  <c r="AI108" i="4"/>
  <c r="AH108" i="4" s="1"/>
  <c r="AG108" i="4" s="1"/>
  <c r="AI41" i="4"/>
  <c r="AH41" i="4" s="1"/>
  <c r="AG41" i="4" s="1"/>
  <c r="AS41" i="4"/>
  <c r="BH148" i="9"/>
  <c r="BG148" i="9" s="1"/>
  <c r="BF148" i="9" s="1"/>
  <c r="BE148" i="9" s="1"/>
  <c r="BQ148" i="9"/>
  <c r="BH112" i="9"/>
  <c r="BG112" i="9" s="1"/>
  <c r="BF112" i="9" s="1"/>
  <c r="BE112" i="9" s="1"/>
  <c r="BQ112" i="9"/>
  <c r="AY11" i="9"/>
  <c r="AY12" i="9" s="1"/>
  <c r="AY10" i="9"/>
  <c r="AJ79" i="7"/>
  <c r="AI79" i="7" s="1"/>
  <c r="AH79" i="7" s="1"/>
  <c r="AG79" i="7" s="1"/>
  <c r="V79" i="7" s="1" a="1"/>
  <c r="V79" i="7" s="1"/>
  <c r="AS79" i="7"/>
  <c r="AJ52" i="7"/>
  <c r="AI52" i="7" s="1"/>
  <c r="AH52" i="7" s="1"/>
  <c r="AG52" i="7" s="1"/>
  <c r="R52" i="7" s="1" a="1"/>
  <c r="R52" i="7" s="1"/>
  <c r="AS52" i="7"/>
  <c r="CC16" i="4"/>
  <c r="CD17" i="4"/>
  <c r="CE17" i="4" s="1"/>
  <c r="FK74" i="4"/>
  <c r="FJ74" i="4" s="1"/>
  <c r="FI74" i="4" s="1"/>
  <c r="FU74" i="4"/>
  <c r="FB163" i="4"/>
  <c r="ER57" i="4"/>
  <c r="EQ57" i="4" s="1"/>
  <c r="EP57" i="4" s="1"/>
  <c r="FB57" i="4"/>
  <c r="ER112" i="4"/>
  <c r="EQ112" i="4" s="1"/>
  <c r="EP112" i="4" s="1"/>
  <c r="FB112" i="4"/>
  <c r="ER115" i="4"/>
  <c r="FB115" i="4"/>
  <c r="ER167" i="4"/>
  <c r="FB167" i="4"/>
  <c r="ER60" i="4"/>
  <c r="EQ60" i="4" s="1"/>
  <c r="EP60" i="4" s="1"/>
  <c r="FB60" i="4"/>
  <c r="ER74" i="4"/>
  <c r="EQ74" i="4" s="1"/>
  <c r="EP74" i="4" s="1"/>
  <c r="FB74" i="4"/>
  <c r="ER45" i="4"/>
  <c r="EQ45" i="4" s="1"/>
  <c r="EP45" i="4" s="1"/>
  <c r="FB45" i="4"/>
  <c r="DG112" i="4"/>
  <c r="DF112" i="4" s="1"/>
  <c r="DE112" i="4" s="1"/>
  <c r="DQ112" i="4"/>
  <c r="DG75" i="4"/>
  <c r="DF75" i="4" s="1"/>
  <c r="DE75" i="4" s="1"/>
  <c r="DQ75" i="4"/>
  <c r="DQ159" i="4"/>
  <c r="DG159" i="4"/>
  <c r="DF159" i="4" s="1"/>
  <c r="DE159" i="4" s="1"/>
  <c r="DG85" i="4"/>
  <c r="DF85" i="4" s="1"/>
  <c r="DE85" i="4" s="1"/>
  <c r="DQ85" i="4"/>
  <c r="DG39" i="4"/>
  <c r="DF39" i="4" s="1"/>
  <c r="DE39" i="4" s="1"/>
  <c r="DQ39" i="4"/>
  <c r="DQ200" i="4"/>
  <c r="DG200" i="4"/>
  <c r="DF200" i="4" s="1"/>
  <c r="DE200" i="4" s="1"/>
  <c r="AJ83" i="8"/>
  <c r="AI83" i="8" s="1"/>
  <c r="AS83" i="8"/>
  <c r="AS87" i="8"/>
  <c r="AJ87" i="8"/>
  <c r="AI87" i="8" s="1"/>
  <c r="AH87" i="8" s="1"/>
  <c r="AG87" i="8" s="1"/>
  <c r="BB175" i="4"/>
  <c r="BA175" i="4" s="1"/>
  <c r="AZ175" i="4" s="1"/>
  <c r="BL175" i="4"/>
  <c r="BG28" i="4" a="1"/>
  <c r="BG28" i="4" s="1"/>
  <c r="BB156" i="4"/>
  <c r="BL156" i="4"/>
  <c r="BB69" i="4"/>
  <c r="BA69" i="4" s="1"/>
  <c r="AZ69" i="4" s="1"/>
  <c r="BL69" i="4"/>
  <c r="BB68" i="4"/>
  <c r="BA68" i="4" s="1"/>
  <c r="AZ68" i="4" s="1"/>
  <c r="BL68" i="4"/>
  <c r="BC22" i="4"/>
  <c r="BB22" i="4" s="1"/>
  <c r="BA22" i="4" s="1"/>
  <c r="AZ22" i="4" s="1"/>
  <c r="BL22" i="4"/>
  <c r="CX153" i="4"/>
  <c r="CN153" i="4"/>
  <c r="CX86" i="4"/>
  <c r="CN86" i="4"/>
  <c r="CM86" i="4" s="1"/>
  <c r="CL86" i="4" s="1"/>
  <c r="CX24" i="4"/>
  <c r="CO24" i="4"/>
  <c r="CN24" i="4" s="1"/>
  <c r="CM24" i="4" s="1"/>
  <c r="CL24" i="4" s="1"/>
  <c r="CX20" i="4"/>
  <c r="CO20" i="4"/>
  <c r="CN20" i="4" s="1"/>
  <c r="CM20" i="4" s="1"/>
  <c r="CL20" i="4" s="1"/>
  <c r="AO144" i="9"/>
  <c r="AN144" i="9" s="1"/>
  <c r="AM144" i="9" s="1"/>
  <c r="AL144" i="9" s="1"/>
  <c r="AO61" i="9"/>
  <c r="AN61" i="9" s="1"/>
  <c r="AM61" i="9" s="1"/>
  <c r="AL61" i="9" s="1"/>
  <c r="AO134" i="9"/>
  <c r="AN134" i="9" s="1"/>
  <c r="AO27" i="9"/>
  <c r="AN27" i="9" s="1"/>
  <c r="AM27" i="9" s="1"/>
  <c r="AL27" i="9" s="1"/>
  <c r="BC94" i="8"/>
  <c r="BB94" i="8" s="1"/>
  <c r="BA94" i="8" s="1"/>
  <c r="AZ94" i="8" s="1"/>
  <c r="BL94" i="8"/>
  <c r="BL83" i="8"/>
  <c r="BC83" i="8"/>
  <c r="BB83" i="8" s="1"/>
  <c r="BU106" i="4"/>
  <c r="BT106" i="4" s="1"/>
  <c r="BS106" i="4" s="1"/>
  <c r="CE106" i="4"/>
  <c r="CE72" i="4"/>
  <c r="BU72" i="4"/>
  <c r="BT72" i="4" s="1"/>
  <c r="BS72" i="4" s="1"/>
  <c r="BU65" i="4"/>
  <c r="BT65" i="4" s="1"/>
  <c r="BS65" i="4" s="1"/>
  <c r="CE65" i="4"/>
  <c r="BU46" i="4"/>
  <c r="BT46" i="4" s="1"/>
  <c r="BS46" i="4" s="1"/>
  <c r="CE46" i="4"/>
  <c r="BP173" i="9" a="1"/>
  <c r="BP173" i="9" s="1"/>
  <c r="BN173" i="9" a="1"/>
  <c r="BN173" i="9" s="1"/>
  <c r="BM173" i="9" a="1"/>
  <c r="BM173" i="9" s="1"/>
  <c r="BO173" i="9" a="1"/>
  <c r="BO173" i="9" s="1"/>
  <c r="AH114" i="5"/>
  <c r="AG114" i="5" s="1"/>
  <c r="U114" i="5" s="1"/>
  <c r="AI113" i="5"/>
  <c r="AJ113" i="5" s="1"/>
  <c r="P19" i="5"/>
  <c r="T5" i="5"/>
  <c r="P15" i="5"/>
  <c r="P16" i="5"/>
  <c r="P17" i="5"/>
  <c r="P18" i="5"/>
  <c r="P58" i="5"/>
  <c r="P111" i="5"/>
  <c r="P76" i="5"/>
  <c r="P101" i="5"/>
  <c r="P54" i="5"/>
  <c r="P88" i="5"/>
  <c r="P63" i="5"/>
  <c r="P44" i="5"/>
  <c r="P112" i="5"/>
  <c r="P52" i="5"/>
  <c r="P68" i="5"/>
  <c r="P25" i="5"/>
  <c r="P83" i="5"/>
  <c r="P65" i="5"/>
  <c r="P66" i="5"/>
  <c r="P81" i="5"/>
  <c r="P26" i="5"/>
  <c r="P114" i="5"/>
  <c r="P35" i="5"/>
  <c r="P31" i="5"/>
  <c r="P106" i="5"/>
  <c r="P110" i="5"/>
  <c r="P47" i="5"/>
  <c r="P53" i="5"/>
  <c r="P71" i="5"/>
  <c r="P36" i="5"/>
  <c r="P94" i="5"/>
  <c r="P118" i="5"/>
  <c r="P28" i="5"/>
  <c r="P62" i="5"/>
  <c r="P69" i="5"/>
  <c r="P30" i="5"/>
  <c r="P103" i="5"/>
  <c r="P32" i="5"/>
  <c r="P107" i="5"/>
  <c r="P33" i="5"/>
  <c r="P98" i="5"/>
  <c r="P78" i="5"/>
  <c r="P79" i="5"/>
  <c r="P116" i="5"/>
  <c r="P84" i="5"/>
  <c r="P29" i="5"/>
  <c r="P89" i="5"/>
  <c r="P108" i="5"/>
  <c r="P72" i="5"/>
  <c r="P48" i="5"/>
  <c r="P90" i="5"/>
  <c r="P95" i="5"/>
  <c r="P97" i="5"/>
  <c r="P46" i="5"/>
  <c r="P82" i="5"/>
  <c r="P21" i="5"/>
  <c r="P113" i="5"/>
  <c r="P93" i="5"/>
  <c r="P117" i="5"/>
  <c r="P64" i="5"/>
  <c r="P100" i="5"/>
  <c r="P67" i="5"/>
  <c r="P115" i="5"/>
  <c r="P96" i="5"/>
  <c r="P38" i="5"/>
  <c r="P85" i="5"/>
  <c r="P102" i="5"/>
  <c r="P105" i="5"/>
  <c r="P34" i="5"/>
  <c r="P70" i="5"/>
  <c r="P55" i="5"/>
  <c r="P109" i="5"/>
  <c r="P99" i="5"/>
  <c r="P37" i="5"/>
  <c r="P20" i="5"/>
  <c r="P104" i="5"/>
  <c r="BH134" i="9"/>
  <c r="BG134" i="9" s="1"/>
  <c r="BQ134" i="9"/>
  <c r="BQ118" i="9"/>
  <c r="BH118" i="9"/>
  <c r="BG118" i="9" s="1"/>
  <c r="BF118" i="9" s="1"/>
  <c r="BE118" i="9" s="1"/>
  <c r="BH43" i="9"/>
  <c r="BG43" i="9" s="1"/>
  <c r="BF43" i="9" s="1"/>
  <c r="BE43" i="9" s="1"/>
  <c r="BQ43" i="9"/>
  <c r="AS56" i="7"/>
  <c r="AJ56" i="7"/>
  <c r="AI56" i="7" s="1"/>
  <c r="FT28" i="4" a="1"/>
  <c r="FT28" i="4" s="1"/>
  <c r="FK146" i="4"/>
  <c r="FJ146" i="4" s="1"/>
  <c r="FI146" i="4" s="1"/>
  <c r="FU146" i="4"/>
  <c r="FU73" i="4"/>
  <c r="FK73" i="4"/>
  <c r="FJ73" i="4" s="1"/>
  <c r="FI73" i="4" s="1"/>
  <c r="FU49" i="4"/>
  <c r="FK49" i="4"/>
  <c r="FJ49" i="4" s="1"/>
  <c r="FI49" i="4" s="1"/>
  <c r="FB58" i="4"/>
  <c r="FB192" i="4"/>
  <c r="ER183" i="4"/>
  <c r="EQ183" i="4" s="1"/>
  <c r="EP183" i="4" s="1"/>
  <c r="FB183" i="4"/>
  <c r="FB162" i="4"/>
  <c r="ER162" i="4"/>
  <c r="ER110" i="4"/>
  <c r="FB110" i="4"/>
  <c r="ER33" i="4"/>
  <c r="EQ33" i="4" s="1"/>
  <c r="EP33" i="4" s="1"/>
  <c r="FB33" i="4"/>
  <c r="DQ53" i="4"/>
  <c r="DG53" i="4"/>
  <c r="DF53" i="4" s="1"/>
  <c r="DE53" i="4" s="1"/>
  <c r="DQ59" i="4"/>
  <c r="DG59" i="4"/>
  <c r="DG153" i="4"/>
  <c r="DQ153" i="4"/>
  <c r="DQ115" i="4"/>
  <c r="DG115" i="4"/>
  <c r="DG33" i="4"/>
  <c r="DF33" i="4" s="1"/>
  <c r="DE33" i="4" s="1"/>
  <c r="DQ33" i="4"/>
  <c r="DH19" i="4"/>
  <c r="DG19" i="4" s="1"/>
  <c r="DF19" i="4" s="1"/>
  <c r="DE19" i="4" s="1"/>
  <c r="AS108" i="8"/>
  <c r="AS100" i="8"/>
  <c r="AJ100" i="8"/>
  <c r="AI100" i="8" s="1"/>
  <c r="AR17" i="4"/>
  <c r="AS17" i="4" s="1"/>
  <c r="AQ16" i="4"/>
  <c r="BL180" i="4"/>
  <c r="BB180" i="4"/>
  <c r="BA180" i="4" s="1"/>
  <c r="AZ180" i="4" s="1"/>
  <c r="BB127" i="4"/>
  <c r="BA127" i="4" s="1"/>
  <c r="AZ127" i="4" s="1"/>
  <c r="BL127" i="4"/>
  <c r="BL93" i="4"/>
  <c r="BB93" i="4"/>
  <c r="BA93" i="4" s="1"/>
  <c r="AZ93" i="4" s="1"/>
  <c r="BC26" i="4"/>
  <c r="BB26" i="4" s="1"/>
  <c r="BA26" i="4" s="1"/>
  <c r="AZ26" i="4" s="1"/>
  <c r="BL26" i="4"/>
  <c r="CX172" i="4"/>
  <c r="CN172" i="4"/>
  <c r="CM172" i="4" s="1"/>
  <c r="CL172" i="4" s="1"/>
  <c r="CN148" i="4"/>
  <c r="CM148" i="4" s="1"/>
  <c r="CL148" i="4" s="1"/>
  <c r="CX148" i="4"/>
  <c r="CN138" i="4"/>
  <c r="CM138" i="4" s="1"/>
  <c r="CL138" i="4" s="1"/>
  <c r="CX138" i="4"/>
  <c r="CO26" i="4"/>
  <c r="CN26" i="4" s="1"/>
  <c r="CM26" i="4" s="1"/>
  <c r="CL26" i="4" s="1"/>
  <c r="CX26" i="4"/>
  <c r="CN200" i="4"/>
  <c r="CM200" i="4" s="1"/>
  <c r="CL200" i="4" s="1"/>
  <c r="CX200" i="4"/>
  <c r="AO58" i="9"/>
  <c r="AN58" i="9" s="1"/>
  <c r="AM58" i="9" s="1"/>
  <c r="AL58" i="9" s="1"/>
  <c r="AO117" i="9"/>
  <c r="AN117" i="9" s="1"/>
  <c r="AO34" i="9"/>
  <c r="AN34" i="9" s="1"/>
  <c r="AM34" i="9" s="1"/>
  <c r="AL34" i="9" s="1"/>
  <c r="AO20" i="9"/>
  <c r="AN20" i="9" s="1"/>
  <c r="AM20" i="9" s="1"/>
  <c r="AL20" i="9" s="1"/>
  <c r="BC89" i="8"/>
  <c r="BB89" i="8" s="1"/>
  <c r="BA89" i="8" s="1"/>
  <c r="AZ89" i="8" s="1"/>
  <c r="BL89" i="8"/>
  <c r="BU190" i="4"/>
  <c r="CE190" i="4"/>
  <c r="BU69" i="4"/>
  <c r="BT69" i="4" s="1"/>
  <c r="BS69" i="4" s="1"/>
  <c r="CE69" i="4"/>
  <c r="BU53" i="4"/>
  <c r="BT53" i="4" s="1"/>
  <c r="BS53" i="4" s="1"/>
  <c r="CE53" i="4"/>
  <c r="BU44" i="4"/>
  <c r="BT44" i="4" s="1"/>
  <c r="BS44" i="4" s="1"/>
  <c r="CE44" i="4"/>
  <c r="FK139" i="4"/>
  <c r="FJ139" i="4" s="1"/>
  <c r="FI139" i="4" s="1"/>
  <c r="FU139" i="4"/>
  <c r="ER157" i="4"/>
  <c r="EQ157" i="4" s="1"/>
  <c r="EP157" i="4" s="1"/>
  <c r="FB157" i="4"/>
  <c r="DQ168" i="4"/>
  <c r="DG168" i="4"/>
  <c r="DF168" i="4" s="1"/>
  <c r="DE168" i="4" s="1"/>
  <c r="DQ37" i="4"/>
  <c r="DG37" i="4"/>
  <c r="DF37" i="4" s="1"/>
  <c r="DE37" i="4" s="1"/>
  <c r="AS47" i="8"/>
  <c r="AJ47" i="8"/>
  <c r="AI47" i="8" s="1"/>
  <c r="AH47" i="8" s="1"/>
  <c r="AG47" i="8" s="1"/>
  <c r="AS50" i="8"/>
  <c r="AJ50" i="8"/>
  <c r="AI50" i="8" s="1"/>
  <c r="BB171" i="4"/>
  <c r="BL171" i="4"/>
  <c r="BB103" i="4"/>
  <c r="BA103" i="4" s="1"/>
  <c r="AZ103" i="4" s="1"/>
  <c r="BL103" i="4"/>
  <c r="BB137" i="4"/>
  <c r="BA137" i="4" s="1"/>
  <c r="AZ137" i="4" s="1"/>
  <c r="BL137" i="4"/>
  <c r="BL76" i="4"/>
  <c r="BB76" i="4"/>
  <c r="BA76" i="4" s="1"/>
  <c r="AZ76" i="4" s="1"/>
  <c r="BB34" i="4"/>
  <c r="BA34" i="4" s="1"/>
  <c r="AZ34" i="4" s="1"/>
  <c r="BL34" i="4"/>
  <c r="CX162" i="4"/>
  <c r="CN162" i="4"/>
  <c r="CN183" i="4"/>
  <c r="CM183" i="4" s="1"/>
  <c r="CL183" i="4" s="1"/>
  <c r="CX183" i="4"/>
  <c r="CX190" i="4"/>
  <c r="CN190" i="4"/>
  <c r="CX40" i="4"/>
  <c r="CN40" i="4"/>
  <c r="CM40" i="4" s="1"/>
  <c r="CL40" i="4" s="1"/>
  <c r="AO164" i="9"/>
  <c r="AN164" i="9" s="1"/>
  <c r="AO127" i="9"/>
  <c r="AN127" i="9" s="1"/>
  <c r="AO119" i="9"/>
  <c r="AN119" i="9" s="1"/>
  <c r="AM119" i="9" s="1"/>
  <c r="AL119" i="9" s="1"/>
  <c r="AO123" i="9"/>
  <c r="AN123" i="9" s="1"/>
  <c r="AM123" i="9" s="1"/>
  <c r="AL123" i="9" s="1"/>
  <c r="AO148" i="9"/>
  <c r="AN148" i="9" s="1"/>
  <c r="AM148" i="9" s="1"/>
  <c r="AL148" i="9" s="1"/>
  <c r="BC54" i="8"/>
  <c r="BB54" i="8" s="1"/>
  <c r="BA54" i="8" s="1"/>
  <c r="AZ54" i="8" s="1"/>
  <c r="BL54" i="8"/>
  <c r="BU75" i="4"/>
  <c r="BT75" i="4" s="1"/>
  <c r="BS75" i="4" s="1"/>
  <c r="CE75" i="4"/>
  <c r="CE123" i="4"/>
  <c r="BU123" i="4"/>
  <c r="BT123" i="4" s="1"/>
  <c r="BS123" i="4" s="1"/>
  <c r="BU157" i="4"/>
  <c r="BT157" i="4" s="1"/>
  <c r="BS157" i="4" s="1"/>
  <c r="CE157" i="4"/>
  <c r="AI34" i="5" a="1"/>
  <c r="AI34" i="5" s="1"/>
  <c r="AJ34" i="5" s="1"/>
  <c r="AH35" i="5"/>
  <c r="AG35" i="5" s="1"/>
  <c r="U35" i="5" s="1"/>
  <c r="BH110" i="9"/>
  <c r="BG110" i="9" s="1"/>
  <c r="AS38" i="7"/>
  <c r="AJ38" i="7"/>
  <c r="AI38" i="7" s="1"/>
  <c r="AH38" i="7" s="1"/>
  <c r="AG38" i="7" s="1"/>
  <c r="V38" i="7" s="1" a="1"/>
  <c r="V38" i="7" s="1"/>
  <c r="FU115" i="4"/>
  <c r="FK115" i="4"/>
  <c r="FL23" i="4"/>
  <c r="FK23" i="4" s="1"/>
  <c r="FJ23" i="4" s="1"/>
  <c r="FI23" i="4" s="1"/>
  <c r="FU23" i="4"/>
  <c r="FB114" i="4"/>
  <c r="ER75" i="4"/>
  <c r="EQ75" i="4" s="1"/>
  <c r="EP75" i="4" s="1"/>
  <c r="FB75" i="4"/>
  <c r="FB177" i="4"/>
  <c r="ER177" i="4"/>
  <c r="EQ177" i="4" s="1"/>
  <c r="EP177" i="4" s="1"/>
  <c r="ER140" i="4"/>
  <c r="EQ140" i="4" s="1"/>
  <c r="EP140" i="4" s="1"/>
  <c r="FB140" i="4"/>
  <c r="AS163" i="4"/>
  <c r="AS171" i="4"/>
  <c r="AI171" i="4"/>
  <c r="AI57" i="4"/>
  <c r="AH57" i="4" s="1"/>
  <c r="AG57" i="4" s="1"/>
  <c r="AS57" i="4"/>
  <c r="AS173" i="4"/>
  <c r="AI173" i="4"/>
  <c r="AH173" i="4" s="1"/>
  <c r="AG173" i="4" s="1"/>
  <c r="AS31" i="4"/>
  <c r="AI31" i="4"/>
  <c r="AH31" i="4" s="1"/>
  <c r="AG31" i="4" s="1"/>
  <c r="AS47" i="4"/>
  <c r="AI47" i="4"/>
  <c r="AH47" i="4" s="1"/>
  <c r="AG47" i="4" s="1"/>
  <c r="BH90" i="9"/>
  <c r="BG90" i="9" s="1"/>
  <c r="BQ90" i="9"/>
  <c r="BQ105" i="9"/>
  <c r="BH105" i="9"/>
  <c r="BG105" i="9" s="1"/>
  <c r="BF105" i="9" s="1"/>
  <c r="BE105" i="9" s="1"/>
  <c r="BK173" i="9" a="1"/>
  <c r="BK173" i="9" s="1"/>
  <c r="BL173" i="9" a="1"/>
  <c r="BL173" i="9" s="1"/>
  <c r="BJ173" i="9" a="1"/>
  <c r="BJ173" i="9" s="1"/>
  <c r="BI173" i="9" a="1"/>
  <c r="BI173" i="9" s="1"/>
  <c r="AJ71" i="7"/>
  <c r="AI71" i="7" s="1"/>
  <c r="AS71" i="7"/>
  <c r="FU170" i="4"/>
  <c r="FK85" i="4"/>
  <c r="FJ85" i="4" s="1"/>
  <c r="FI85" i="4" s="1"/>
  <c r="FU85" i="4"/>
  <c r="FK147" i="4"/>
  <c r="FJ147" i="4" s="1"/>
  <c r="FI147" i="4" s="1"/>
  <c r="FU147" i="4"/>
  <c r="FK31" i="4"/>
  <c r="FJ31" i="4" s="1"/>
  <c r="FI31" i="4" s="1"/>
  <c r="FU31" i="4"/>
  <c r="FB29" i="4"/>
  <c r="EO28" i="4" a="1"/>
  <c r="EO28" i="4" s="1"/>
  <c r="EO203" i="4" s="1" a="1"/>
  <c r="EO203" i="4" s="1"/>
  <c r="ER145" i="4"/>
  <c r="EQ145" i="4" s="1"/>
  <c r="EP145" i="4" s="1"/>
  <c r="FB145" i="4"/>
  <c r="FB87" i="4"/>
  <c r="ER87" i="4"/>
  <c r="EQ87" i="4" s="1"/>
  <c r="EP87" i="4" s="1"/>
  <c r="ER172" i="4"/>
  <c r="EQ172" i="4" s="1"/>
  <c r="EP172" i="4" s="1"/>
  <c r="FB172" i="4"/>
  <c r="ES23" i="4"/>
  <c r="ER23" i="4" s="1"/>
  <c r="EQ23" i="4" s="1"/>
  <c r="EP23" i="4" s="1"/>
  <c r="FB23" i="4"/>
  <c r="DQ185" i="4"/>
  <c r="DG185" i="4"/>
  <c r="DF185" i="4" s="1"/>
  <c r="DE185" i="4" s="1"/>
  <c r="DQ125" i="4"/>
  <c r="DG125" i="4"/>
  <c r="DF125" i="4" s="1"/>
  <c r="DE125" i="4" s="1"/>
  <c r="AS92" i="8"/>
  <c r="BL178" i="4"/>
  <c r="BB178" i="4"/>
  <c r="BA178" i="4" s="1"/>
  <c r="AZ178" i="4" s="1"/>
  <c r="BB83" i="4"/>
  <c r="BA83" i="4" s="1"/>
  <c r="AZ83" i="4" s="1"/>
  <c r="BL83" i="4"/>
  <c r="BB111" i="4"/>
  <c r="BA111" i="4" s="1"/>
  <c r="AZ111" i="4" s="1"/>
  <c r="BL111" i="4"/>
  <c r="BB61" i="4"/>
  <c r="BA61" i="4" s="1"/>
  <c r="AZ61" i="4" s="1"/>
  <c r="BL61" i="4"/>
  <c r="BB123" i="4"/>
  <c r="BA123" i="4" s="1"/>
  <c r="AZ123" i="4" s="1"/>
  <c r="BL123" i="4"/>
  <c r="BB158" i="4"/>
  <c r="BA158" i="4" s="1"/>
  <c r="AZ158" i="4" s="1"/>
  <c r="BL158" i="4"/>
  <c r="BC24" i="4"/>
  <c r="BB24" i="4" s="1"/>
  <c r="BA24" i="4" s="1"/>
  <c r="AZ24" i="4" s="1"/>
  <c r="BL24" i="4"/>
  <c r="BC25" i="4"/>
  <c r="BB25" i="4" s="1"/>
  <c r="BA25" i="4" s="1"/>
  <c r="AZ25" i="4" s="1"/>
  <c r="BL25" i="4"/>
  <c r="CX164" i="4"/>
  <c r="CN164" i="4"/>
  <c r="CN101" i="4"/>
  <c r="CM101" i="4" s="1"/>
  <c r="CL101" i="4" s="1"/>
  <c r="CX101" i="4"/>
  <c r="CN181" i="4"/>
  <c r="CM181" i="4" s="1"/>
  <c r="CL181" i="4" s="1"/>
  <c r="CX181" i="4"/>
  <c r="CN144" i="4"/>
  <c r="CM144" i="4" s="1"/>
  <c r="CL144" i="4" s="1"/>
  <c r="CX144" i="4"/>
  <c r="CN47" i="4"/>
  <c r="CM47" i="4" s="1"/>
  <c r="CL47" i="4" s="1"/>
  <c r="CX47" i="4"/>
  <c r="AO120" i="9"/>
  <c r="AN120" i="9" s="1"/>
  <c r="AM120" i="9" s="1"/>
  <c r="AL120" i="9" s="1"/>
  <c r="AO26" i="9"/>
  <c r="AN26" i="9" s="1"/>
  <c r="AM26" i="9" s="1"/>
  <c r="AL26" i="9" s="1"/>
  <c r="CM83" i="8"/>
  <c r="CL83" i="8" s="1"/>
  <c r="BL67" i="8"/>
  <c r="BC67" i="8"/>
  <c r="BB67" i="8" s="1"/>
  <c r="BA67" i="8" s="1"/>
  <c r="AZ67" i="8" s="1"/>
  <c r="BL105" i="8"/>
  <c r="BC105" i="8"/>
  <c r="BB105" i="8" s="1"/>
  <c r="CE95" i="4"/>
  <c r="BU95" i="4"/>
  <c r="BT95" i="4" s="1"/>
  <c r="BS95" i="4" s="1"/>
  <c r="BV21" i="4"/>
  <c r="BU21" i="4" s="1"/>
  <c r="BT21" i="4" s="1"/>
  <c r="BS21" i="4" s="1"/>
  <c r="CE21" i="4"/>
  <c r="BJ17" i="8"/>
  <c r="BK18" i="8"/>
  <c r="BL18" i="8" s="1"/>
  <c r="AH97" i="5"/>
  <c r="AG97" i="5" s="1"/>
  <c r="U97" i="5" s="1"/>
  <c r="AI96" i="5"/>
  <c r="AJ96" i="5" s="1"/>
  <c r="AI70" i="5"/>
  <c r="AJ70" i="5" s="1"/>
  <c r="AH71" i="5"/>
  <c r="AG71" i="5" s="1"/>
  <c r="U71" i="5" s="1"/>
  <c r="BH72" i="9"/>
  <c r="BG72" i="9" s="1"/>
  <c r="AS75" i="7"/>
  <c r="AJ75" i="7"/>
  <c r="AI75" i="7" s="1"/>
  <c r="AH75" i="7" s="1"/>
  <c r="AG75" i="7" s="1"/>
  <c r="R75" i="7" s="1" a="1"/>
  <c r="R75" i="7" s="1"/>
  <c r="ER95" i="4"/>
  <c r="EQ95" i="4" s="1"/>
  <c r="EP95" i="4" s="1"/>
  <c r="FB95" i="4"/>
  <c r="FB182" i="4"/>
  <c r="ER182" i="4"/>
  <c r="EQ182" i="4" s="1"/>
  <c r="EP182" i="4" s="1"/>
  <c r="DG140" i="4"/>
  <c r="DF140" i="4" s="1"/>
  <c r="DE140" i="4" s="1"/>
  <c r="DQ140" i="4"/>
  <c r="DG190" i="4"/>
  <c r="DQ190" i="4"/>
  <c r="DQ69" i="4"/>
  <c r="DG69" i="4"/>
  <c r="DF69" i="4" s="1"/>
  <c r="DE69" i="4" s="1"/>
  <c r="DG177" i="4"/>
  <c r="DF177" i="4" s="1"/>
  <c r="DE177" i="4" s="1"/>
  <c r="DQ177" i="4"/>
  <c r="DG101" i="4"/>
  <c r="DF101" i="4" s="1"/>
  <c r="DE101" i="4" s="1"/>
  <c r="DQ101" i="4"/>
  <c r="DG186" i="4"/>
  <c r="DF186" i="4" s="1"/>
  <c r="DE186" i="4" s="1"/>
  <c r="DQ186" i="4"/>
  <c r="AJ71" i="8"/>
  <c r="AI71" i="8" s="1"/>
  <c r="AH71" i="8" s="1"/>
  <c r="AG71" i="8" s="1"/>
  <c r="AS71" i="8"/>
  <c r="AJ72" i="8"/>
  <c r="AI72" i="8" s="1"/>
  <c r="AH72" i="8" s="1"/>
  <c r="AG72" i="8" s="1"/>
  <c r="AS72" i="8"/>
  <c r="AS106" i="8"/>
  <c r="AJ106" i="8"/>
  <c r="AI106" i="8" s="1"/>
  <c r="AH106" i="8" s="1"/>
  <c r="AG106" i="8" s="1"/>
  <c r="BB139" i="4"/>
  <c r="BA139" i="4" s="1"/>
  <c r="AZ139" i="4" s="1"/>
  <c r="BL139" i="4"/>
  <c r="BC23" i="4"/>
  <c r="BB23" i="4" s="1"/>
  <c r="BA23" i="4" s="1"/>
  <c r="AZ23" i="4" s="1"/>
  <c r="BL23" i="4"/>
  <c r="BB200" i="4"/>
  <c r="BA200" i="4" s="1"/>
  <c r="AZ200" i="4" s="1"/>
  <c r="BL200" i="4"/>
  <c r="CX111" i="4"/>
  <c r="CN111" i="4"/>
  <c r="CM111" i="4" s="1"/>
  <c r="CL111" i="4" s="1"/>
  <c r="CX196" i="4"/>
  <c r="CN196" i="4"/>
  <c r="AO141" i="9"/>
  <c r="AN141" i="9" s="1"/>
  <c r="AM141" i="9" s="1"/>
  <c r="AL141" i="9" s="1"/>
  <c r="AO104" i="9"/>
  <c r="AN104" i="9" s="1"/>
  <c r="AM104" i="9" s="1"/>
  <c r="AL104" i="9" s="1"/>
  <c r="AO69" i="9"/>
  <c r="AN69" i="9" s="1"/>
  <c r="AM69" i="9" s="1"/>
  <c r="AL69" i="9" s="1"/>
  <c r="AO41" i="9"/>
  <c r="AN41" i="9" s="1"/>
  <c r="AM41" i="9" s="1"/>
  <c r="AL41" i="9" s="1"/>
  <c r="AO19" i="9"/>
  <c r="AN19" i="9" s="1"/>
  <c r="AM19" i="9" s="1"/>
  <c r="AL19" i="9" s="1"/>
  <c r="AO16" i="9"/>
  <c r="BL93" i="8"/>
  <c r="BC93" i="8"/>
  <c r="BB93" i="8" s="1"/>
  <c r="CD28" i="4" a="1"/>
  <c r="CD28" i="4" s="1"/>
  <c r="BU67" i="4"/>
  <c r="CE67" i="4"/>
  <c r="BU60" i="4"/>
  <c r="BT60" i="4" s="1"/>
  <c r="BS60" i="4" s="1"/>
  <c r="CE60" i="4"/>
  <c r="BU42" i="4"/>
  <c r="BT42" i="4" s="1"/>
  <c r="BS42" i="4" s="1"/>
  <c r="CE42" i="4"/>
  <c r="AI85" i="5"/>
  <c r="AJ85" i="5" s="1"/>
  <c r="FK162" i="4"/>
  <c r="FU162" i="4"/>
  <c r="CR204" i="4" a="1"/>
  <c r="CR204" i="4" s="1"/>
  <c r="CP204" i="4" a="1"/>
  <c r="CP204" i="4" s="1"/>
  <c r="CQ204" i="4" a="1"/>
  <c r="CQ204" i="4" s="1"/>
  <c r="CS204" i="4" a="1"/>
  <c r="CS204" i="4" s="1"/>
  <c r="CS16" i="4"/>
  <c r="BH53" i="9"/>
  <c r="BG53" i="9" s="1"/>
  <c r="BF53" i="9" s="1"/>
  <c r="BE53" i="9" s="1"/>
  <c r="BQ53" i="9"/>
  <c r="BQ81" i="9"/>
  <c r="BH81" i="9"/>
  <c r="BG81" i="9" s="1"/>
  <c r="BF81" i="9" s="1"/>
  <c r="BE81" i="9" s="1"/>
  <c r="BH44" i="9"/>
  <c r="BG44" i="9" s="1"/>
  <c r="BF44" i="9" s="1"/>
  <c r="BE44" i="9" s="1"/>
  <c r="AS45" i="7"/>
  <c r="AJ45" i="7"/>
  <c r="AI45" i="7" s="1"/>
  <c r="AH45" i="7" s="1"/>
  <c r="AG45" i="7" s="1"/>
  <c r="R45" i="7" s="1" a="1"/>
  <c r="R45" i="7" s="1"/>
  <c r="FK184" i="4"/>
  <c r="FJ184" i="4" s="1"/>
  <c r="FI184" i="4" s="1"/>
  <c r="FU184" i="4"/>
  <c r="FK168" i="4"/>
  <c r="FJ168" i="4" s="1"/>
  <c r="FI168" i="4" s="1"/>
  <c r="FU168" i="4"/>
  <c r="FK157" i="4"/>
  <c r="FJ157" i="4" s="1"/>
  <c r="FI157" i="4" s="1"/>
  <c r="FU157" i="4"/>
  <c r="FB51" i="4"/>
  <c r="ER51" i="4"/>
  <c r="EQ51" i="4" s="1"/>
  <c r="EP51" i="4" s="1"/>
  <c r="FB67" i="4"/>
  <c r="ER67" i="4"/>
  <c r="ER42" i="4"/>
  <c r="EQ42" i="4" s="1"/>
  <c r="EP42" i="4" s="1"/>
  <c r="FB42" i="4"/>
  <c r="DG148" i="4"/>
  <c r="DF148" i="4" s="1"/>
  <c r="DE148" i="4" s="1"/>
  <c r="DQ148" i="4"/>
  <c r="DQ178" i="4"/>
  <c r="DG178" i="4"/>
  <c r="DF178" i="4" s="1"/>
  <c r="DE178" i="4" s="1"/>
  <c r="DG138" i="4"/>
  <c r="DF138" i="4" s="1"/>
  <c r="DE138" i="4" s="1"/>
  <c r="DQ138" i="4"/>
  <c r="DG110" i="4"/>
  <c r="DQ110" i="4"/>
  <c r="AJ116" i="8"/>
  <c r="AI116" i="8" s="1"/>
  <c r="AH116" i="8" s="1"/>
  <c r="AG116" i="8" s="1"/>
  <c r="AS116" i="8"/>
  <c r="BB115" i="4"/>
  <c r="BL115" i="4"/>
  <c r="BL150" i="4"/>
  <c r="BB150" i="4"/>
  <c r="BA150" i="4" s="1"/>
  <c r="AZ150" i="4" s="1"/>
  <c r="BB154" i="4"/>
  <c r="BA154" i="4" s="1"/>
  <c r="AZ154" i="4" s="1"/>
  <c r="BL154" i="4"/>
  <c r="BL188" i="4"/>
  <c r="BB188" i="4"/>
  <c r="BL195" i="4"/>
  <c r="CS28" i="4" a="1"/>
  <c r="CS28" i="4" s="1"/>
  <c r="CN57" i="4"/>
  <c r="CM57" i="4" s="1"/>
  <c r="CL57" i="4" s="1"/>
  <c r="CX57" i="4"/>
  <c r="CX59" i="4"/>
  <c r="CN59" i="4"/>
  <c r="CN119" i="4"/>
  <c r="CX119" i="4"/>
  <c r="CX34" i="4"/>
  <c r="CN34" i="4"/>
  <c r="CM34" i="4" s="1"/>
  <c r="CL34" i="4" s="1"/>
  <c r="AO35" i="9"/>
  <c r="AN35" i="9" s="1"/>
  <c r="AM35" i="9" s="1"/>
  <c r="AL35" i="9" s="1"/>
  <c r="AO158" i="9"/>
  <c r="AN158" i="9" s="1"/>
  <c r="AM158" i="9" s="1"/>
  <c r="AL158" i="9" s="1"/>
  <c r="AJ173" i="9" a="1"/>
  <c r="AJ173" i="9" s="1"/>
  <c r="AI173" i="9" a="1"/>
  <c r="AI173" i="9" s="1"/>
  <c r="AK173" i="9" a="1"/>
  <c r="AK173" i="9" s="1"/>
  <c r="AF173" i="9" a="1"/>
  <c r="AF173" i="9" s="1"/>
  <c r="AO29" i="9"/>
  <c r="AN29" i="9" s="1"/>
  <c r="AM29" i="9" s="1"/>
  <c r="AL29" i="9" s="1"/>
  <c r="CR122" i="8" a="1"/>
  <c r="CR122" i="8" s="1"/>
  <c r="CS122" i="8" a="1"/>
  <c r="CS122" i="8" s="1"/>
  <c r="CS17" i="8"/>
  <c r="CQ122" i="8" a="1"/>
  <c r="CQ122" i="8" s="1"/>
  <c r="CP122" i="8" a="1"/>
  <c r="CP122" i="8" s="1"/>
  <c r="FP204" i="4" a="1"/>
  <c r="FP204" i="4" s="1"/>
  <c r="FP16" i="4"/>
  <c r="FN204" i="4" a="1"/>
  <c r="FN204" i="4" s="1"/>
  <c r="FM204" i="4" a="1"/>
  <c r="FM204" i="4" s="1"/>
  <c r="FO204" i="4" a="1"/>
  <c r="FO204" i="4" s="1"/>
  <c r="BL116" i="8"/>
  <c r="BC116" i="8"/>
  <c r="BB116" i="8" s="1"/>
  <c r="BA116" i="8" s="1"/>
  <c r="AZ116" i="8" s="1"/>
  <c r="BL39" i="8"/>
  <c r="BC39" i="8"/>
  <c r="BB39" i="8" s="1"/>
  <c r="BA39" i="8" s="1"/>
  <c r="AZ39" i="8" s="1"/>
  <c r="BC110" i="8"/>
  <c r="BB110" i="8" s="1"/>
  <c r="BA110" i="8" s="1"/>
  <c r="AZ110" i="8" s="1"/>
  <c r="BL110" i="8"/>
  <c r="BC25" i="8"/>
  <c r="BB25" i="8" s="1"/>
  <c r="BA25" i="8" s="1"/>
  <c r="AZ25" i="8" s="1"/>
  <c r="BL25" i="8"/>
  <c r="BU83" i="4"/>
  <c r="BT83" i="4" s="1"/>
  <c r="BS83" i="4" s="1"/>
  <c r="CE83" i="4"/>
  <c r="CE55" i="4"/>
  <c r="BU55" i="4"/>
  <c r="BT55" i="4" s="1"/>
  <c r="BS55" i="4" s="1"/>
  <c r="AJ74" i="7"/>
  <c r="AI74" i="7" s="1"/>
  <c r="AH74" i="7" s="1"/>
  <c r="AG74" i="7" s="1"/>
  <c r="R74" i="7" s="1" a="1"/>
  <c r="R74" i="7" s="1"/>
  <c r="AS74" i="7"/>
  <c r="BH74" i="9"/>
  <c r="BG74" i="9" s="1"/>
  <c r="BF74" i="9" s="1"/>
  <c r="BE74" i="9" s="1"/>
  <c r="AJ81" i="7"/>
  <c r="AI81" i="7" s="1"/>
  <c r="AS81" i="7"/>
  <c r="FU119" i="4"/>
  <c r="FK119" i="4"/>
  <c r="FU45" i="4"/>
  <c r="FK45" i="4"/>
  <c r="FJ45" i="4" s="1"/>
  <c r="FI45" i="4" s="1"/>
  <c r="FK197" i="4"/>
  <c r="FJ197" i="4" s="1"/>
  <c r="FI197" i="4" s="1"/>
  <c r="FU197" i="4"/>
  <c r="FB101" i="4"/>
  <c r="ER101" i="4"/>
  <c r="EQ101" i="4" s="1"/>
  <c r="EP101" i="4" s="1"/>
  <c r="AS152" i="4"/>
  <c r="AS115" i="4"/>
  <c r="AI115" i="4"/>
  <c r="AI42" i="4"/>
  <c r="AH42" i="4" s="1"/>
  <c r="AG42" i="4" s="1"/>
  <c r="AS42" i="4"/>
  <c r="AI200" i="4"/>
  <c r="AH200" i="4" s="1"/>
  <c r="AG200" i="4" s="1"/>
  <c r="AS200" i="4"/>
  <c r="BT102" i="8"/>
  <c r="BS102" i="8" s="1"/>
  <c r="BU101" i="8"/>
  <c r="BV101" i="8" s="1"/>
  <c r="BG204" i="4" a="1"/>
  <c r="BG204" i="4" s="1"/>
  <c r="BG16" i="4"/>
  <c r="BF204" i="4" a="1"/>
  <c r="BF204" i="4" s="1"/>
  <c r="BD204" i="4" a="1"/>
  <c r="BD204" i="4" s="1"/>
  <c r="BE204" i="4" a="1"/>
  <c r="BE204" i="4" s="1"/>
  <c r="AI113" i="4"/>
  <c r="AH113" i="4" s="1"/>
  <c r="AG113" i="4" s="1"/>
  <c r="AS113" i="4"/>
  <c r="AI125" i="4"/>
  <c r="AH125" i="4" s="1"/>
  <c r="AG125" i="4" s="1"/>
  <c r="AS125" i="4"/>
  <c r="AS157" i="4"/>
  <c r="AI157" i="4"/>
  <c r="AH157" i="4" s="1"/>
  <c r="AG157" i="4" s="1"/>
  <c r="AS197" i="4"/>
  <c r="AI197" i="4"/>
  <c r="AH197" i="4" s="1"/>
  <c r="AG197" i="4" s="1"/>
  <c r="AS18" i="4"/>
  <c r="AJ18" i="4"/>
  <c r="AI18" i="4" s="1"/>
  <c r="AH18" i="4" s="1"/>
  <c r="AG18" i="4" s="1"/>
  <c r="BQ136" i="9"/>
  <c r="BH136" i="9"/>
  <c r="BG136" i="9" s="1"/>
  <c r="BH88" i="9"/>
  <c r="BG88" i="9" s="1"/>
  <c r="BF88" i="9" s="1"/>
  <c r="BE88" i="9" s="1"/>
  <c r="BQ88" i="9"/>
  <c r="BH18" i="9"/>
  <c r="BG18" i="9" s="1"/>
  <c r="BF18" i="9" s="1"/>
  <c r="BE18" i="9" s="1"/>
  <c r="AS96" i="7"/>
  <c r="AS40" i="7"/>
  <c r="AJ40" i="7"/>
  <c r="AI40" i="7" s="1"/>
  <c r="AH40" i="7" s="1"/>
  <c r="AG40" i="7" s="1"/>
  <c r="V40" i="7" s="1" a="1"/>
  <c r="V40" i="7" s="1"/>
  <c r="AS73" i="7"/>
  <c r="AJ73" i="7"/>
  <c r="AI73" i="7" s="1"/>
  <c r="AH73" i="7" s="1"/>
  <c r="AG73" i="7" s="1"/>
  <c r="V73" i="7" s="1" a="1"/>
  <c r="V73" i="7" s="1"/>
  <c r="AS100" i="7"/>
  <c r="AJ100" i="7"/>
  <c r="AI100" i="7" s="1"/>
  <c r="AH100" i="7" s="1"/>
  <c r="AG100" i="7" s="1"/>
  <c r="R100" i="7" s="1" a="1"/>
  <c r="R100" i="7" s="1"/>
  <c r="AJ53" i="7"/>
  <c r="AI53" i="7" s="1"/>
  <c r="AH53" i="7" s="1"/>
  <c r="AG53" i="7" s="1"/>
  <c r="V53" i="7" s="1" a="1"/>
  <c r="V53" i="7" s="1"/>
  <c r="AS53" i="7"/>
  <c r="FU141" i="4"/>
  <c r="FK181" i="4"/>
  <c r="FJ181" i="4" s="1"/>
  <c r="FI181" i="4" s="1"/>
  <c r="FU181" i="4"/>
  <c r="FU75" i="4"/>
  <c r="FK75" i="4"/>
  <c r="FJ75" i="4" s="1"/>
  <c r="FI75" i="4" s="1"/>
  <c r="FK106" i="4"/>
  <c r="FJ106" i="4" s="1"/>
  <c r="FI106" i="4" s="1"/>
  <c r="FU106" i="4"/>
  <c r="FU175" i="4"/>
  <c r="FK175" i="4"/>
  <c r="FJ175" i="4" s="1"/>
  <c r="FI175" i="4" s="1"/>
  <c r="CM109" i="8"/>
  <c r="CL109" i="8" s="1"/>
  <c r="CN108" i="8"/>
  <c r="CO108" i="8" s="1"/>
  <c r="FB120" i="4"/>
  <c r="ER120" i="4"/>
  <c r="EQ120" i="4" s="1"/>
  <c r="EP120" i="4" s="1"/>
  <c r="FB117" i="4"/>
  <c r="ER117" i="4"/>
  <c r="EQ117" i="4" s="1"/>
  <c r="EP117" i="4" s="1"/>
  <c r="ER138" i="4"/>
  <c r="EQ138" i="4" s="1"/>
  <c r="EP138" i="4" s="1"/>
  <c r="FB138" i="4"/>
  <c r="ER53" i="4"/>
  <c r="EQ53" i="4" s="1"/>
  <c r="EP53" i="4" s="1"/>
  <c r="FB53" i="4"/>
  <c r="FB39" i="4"/>
  <c r="ER39" i="4"/>
  <c r="EQ39" i="4" s="1"/>
  <c r="EP39" i="4" s="1"/>
  <c r="DQ187" i="4"/>
  <c r="DQ163" i="4"/>
  <c r="DG60" i="4"/>
  <c r="DF60" i="4" s="1"/>
  <c r="DE60" i="4" s="1"/>
  <c r="DQ60" i="4"/>
  <c r="DQ146" i="4"/>
  <c r="DG146" i="4"/>
  <c r="DF146" i="4" s="1"/>
  <c r="DE146" i="4" s="1"/>
  <c r="DQ43" i="4"/>
  <c r="DG43" i="4"/>
  <c r="DF43" i="4" s="1"/>
  <c r="DE43" i="4" s="1"/>
  <c r="DH26" i="4"/>
  <c r="DG26" i="4" s="1"/>
  <c r="DF26" i="4" s="1"/>
  <c r="DE26" i="4" s="1"/>
  <c r="DQ26" i="4"/>
  <c r="AS40" i="8"/>
  <c r="AJ40" i="8"/>
  <c r="AI40" i="8" s="1"/>
  <c r="AH40" i="8" s="1"/>
  <c r="AG40" i="8" s="1"/>
  <c r="AJ110" i="8"/>
  <c r="AI110" i="8" s="1"/>
  <c r="AH110" i="8" s="1"/>
  <c r="AG110" i="8" s="1"/>
  <c r="AS110" i="8"/>
  <c r="AJ86" i="8"/>
  <c r="AI86" i="8" s="1"/>
  <c r="AH86" i="8" s="1"/>
  <c r="AG86" i="8" s="1"/>
  <c r="AS86" i="8"/>
  <c r="BB113" i="4"/>
  <c r="BA113" i="4" s="1"/>
  <c r="AZ113" i="4" s="1"/>
  <c r="BL113" i="4"/>
  <c r="BL164" i="4"/>
  <c r="BB164" i="4"/>
  <c r="BL119" i="4"/>
  <c r="BB119" i="4"/>
  <c r="BL19" i="4"/>
  <c r="BC19" i="4"/>
  <c r="BB19" i="4" s="1"/>
  <c r="BA19" i="4" s="1"/>
  <c r="AZ19" i="4" s="1"/>
  <c r="BB36" i="4"/>
  <c r="BA36" i="4" s="1"/>
  <c r="AZ36" i="4" s="1"/>
  <c r="BL36" i="4"/>
  <c r="BB46" i="4"/>
  <c r="BA46" i="4" s="1"/>
  <c r="AZ46" i="4" s="1"/>
  <c r="BL46" i="4"/>
  <c r="CX53" i="4"/>
  <c r="CN53" i="4"/>
  <c r="CM53" i="4" s="1"/>
  <c r="CL53" i="4" s="1"/>
  <c r="CX50" i="4"/>
  <c r="CN50" i="4"/>
  <c r="CM50" i="4" s="1"/>
  <c r="CL50" i="4" s="1"/>
  <c r="CX46" i="4"/>
  <c r="CN46" i="4"/>
  <c r="CM46" i="4" s="1"/>
  <c r="CL46" i="4" s="1"/>
  <c r="AO66" i="9"/>
  <c r="AN66" i="9" s="1"/>
  <c r="AM66" i="9" s="1"/>
  <c r="AL66" i="9" s="1"/>
  <c r="AO84" i="9"/>
  <c r="AN84" i="9" s="1"/>
  <c r="AM84" i="9" s="1"/>
  <c r="AL84" i="9" s="1"/>
  <c r="AO128" i="9"/>
  <c r="AN128" i="9" s="1"/>
  <c r="AM128" i="9" s="1"/>
  <c r="AL128" i="9" s="1"/>
  <c r="AO23" i="9"/>
  <c r="AN23" i="9" s="1"/>
  <c r="AM23" i="9" s="1"/>
  <c r="AL23" i="9" s="1"/>
  <c r="BC31" i="8"/>
  <c r="BB31" i="8" s="1"/>
  <c r="BA31" i="8" s="1"/>
  <c r="AZ31" i="8" s="1"/>
  <c r="BL31" i="8"/>
  <c r="BL66" i="8"/>
  <c r="BC66" i="8"/>
  <c r="BB66" i="8" s="1"/>
  <c r="BC97" i="8"/>
  <c r="BB97" i="8" s="1"/>
  <c r="BA97" i="8" s="1"/>
  <c r="AZ97" i="8" s="1"/>
  <c r="BL97" i="8"/>
  <c r="CE170" i="4"/>
  <c r="CE113" i="4"/>
  <c r="BU113" i="4"/>
  <c r="BT113" i="4" s="1"/>
  <c r="BS113" i="4" s="1"/>
  <c r="CE96" i="4"/>
  <c r="BU96" i="4"/>
  <c r="BT96" i="4" s="1"/>
  <c r="BS96" i="4" s="1"/>
  <c r="CN99" i="8"/>
  <c r="CM100" i="8"/>
  <c r="CL100" i="8" s="1"/>
  <c r="EZ16" i="4"/>
  <c r="FA17" i="4"/>
  <c r="FB17" i="4" s="1"/>
  <c r="FK199" i="4"/>
  <c r="FU199" i="4"/>
  <c r="FB189" i="4"/>
  <c r="ER181" i="4"/>
  <c r="EQ181" i="4" s="1"/>
  <c r="EP181" i="4" s="1"/>
  <c r="FB181" i="4"/>
  <c r="FB108" i="4"/>
  <c r="ER108" i="4"/>
  <c r="EQ108" i="4" s="1"/>
  <c r="EP108" i="4" s="1"/>
  <c r="ER119" i="4"/>
  <c r="FB119" i="4"/>
  <c r="ER158" i="4"/>
  <c r="EQ158" i="4" s="1"/>
  <c r="EP158" i="4" s="1"/>
  <c r="FB158" i="4"/>
  <c r="ES27" i="4"/>
  <c r="ER27" i="4" s="1"/>
  <c r="EQ27" i="4" s="1"/>
  <c r="EP27" i="4" s="1"/>
  <c r="FB27" i="4"/>
  <c r="DQ97" i="4"/>
  <c r="DG179" i="4"/>
  <c r="DF179" i="4" s="1"/>
  <c r="DE179" i="4" s="1"/>
  <c r="DQ179" i="4"/>
  <c r="DG167" i="4"/>
  <c r="DQ167" i="4"/>
  <c r="DQ65" i="4"/>
  <c r="DG65" i="4"/>
  <c r="DF65" i="4" s="1"/>
  <c r="DE65" i="4" s="1"/>
  <c r="DQ108" i="4"/>
  <c r="DG108" i="4"/>
  <c r="DF108" i="4" s="1"/>
  <c r="DE108" i="4" s="1"/>
  <c r="AJ38" i="8"/>
  <c r="AI38" i="8" s="1"/>
  <c r="AH38" i="8" s="1"/>
  <c r="AG38" i="8" s="1"/>
  <c r="AS38" i="8"/>
  <c r="AJ90" i="8"/>
  <c r="AI90" i="8" s="1"/>
  <c r="AH90" i="8" s="1"/>
  <c r="AG90" i="8" s="1"/>
  <c r="AS90" i="8"/>
  <c r="BL163" i="4"/>
  <c r="BL70" i="4"/>
  <c r="BB159" i="4"/>
  <c r="BA159" i="4" s="1"/>
  <c r="AZ159" i="4" s="1"/>
  <c r="BL159" i="4"/>
  <c r="BL49" i="4"/>
  <c r="BB49" i="4"/>
  <c r="BA49" i="4" s="1"/>
  <c r="AZ49" i="4" s="1"/>
  <c r="CN30" i="4"/>
  <c r="CX30" i="4"/>
  <c r="CX167" i="4"/>
  <c r="CN167" i="4"/>
  <c r="CN73" i="4"/>
  <c r="CM73" i="4" s="1"/>
  <c r="CL73" i="4" s="1"/>
  <c r="CX73" i="4"/>
  <c r="CN65" i="4"/>
  <c r="CM65" i="4" s="1"/>
  <c r="CL65" i="4" s="1"/>
  <c r="CX65" i="4"/>
  <c r="CX51" i="4"/>
  <c r="CN51" i="4"/>
  <c r="CM51" i="4" s="1"/>
  <c r="CL51" i="4" s="1"/>
  <c r="CX49" i="4"/>
  <c r="CN49" i="4"/>
  <c r="CM49" i="4" s="1"/>
  <c r="CL49" i="4" s="1"/>
  <c r="CV17" i="8"/>
  <c r="CW18" i="8"/>
  <c r="CX18" i="8" s="1"/>
  <c r="AO90" i="9"/>
  <c r="AN90" i="9" s="1"/>
  <c r="AO108" i="9"/>
  <c r="AN108" i="9" s="1"/>
  <c r="AM108" i="9" s="1"/>
  <c r="AL108" i="9" s="1"/>
  <c r="P22" i="9"/>
  <c r="P28" i="9"/>
  <c r="P32" i="9"/>
  <c r="P34" i="9"/>
  <c r="P29" i="9"/>
  <c r="P19" i="9"/>
  <c r="P31" i="9"/>
  <c r="P44" i="9"/>
  <c r="P43" i="9"/>
  <c r="P18" i="9"/>
  <c r="P42" i="9"/>
  <c r="P26" i="9"/>
  <c r="P21" i="9"/>
  <c r="P41" i="9"/>
  <c r="P27" i="9"/>
  <c r="P20" i="9"/>
  <c r="P30" i="9"/>
  <c r="P15" i="9"/>
  <c r="P16" i="9"/>
  <c r="P23" i="9"/>
  <c r="P17" i="9"/>
  <c r="P78" i="9"/>
  <c r="P63" i="9"/>
  <c r="P83" i="9"/>
  <c r="P107" i="9"/>
  <c r="P97" i="9"/>
  <c r="P59" i="9"/>
  <c r="P53" i="9"/>
  <c r="P158" i="9"/>
  <c r="P148" i="9"/>
  <c r="P143" i="9"/>
  <c r="P165" i="9"/>
  <c r="P69" i="9"/>
  <c r="P164" i="9"/>
  <c r="P152" i="9"/>
  <c r="P91" i="9"/>
  <c r="P154" i="9"/>
  <c r="P87" i="9"/>
  <c r="P149" i="9"/>
  <c r="P108" i="9"/>
  <c r="P84" i="9"/>
  <c r="P61" i="9"/>
  <c r="P96" i="9"/>
  <c r="P122" i="9"/>
  <c r="P123" i="9"/>
  <c r="P72" i="9"/>
  <c r="P168" i="9"/>
  <c r="P65" i="9"/>
  <c r="P134" i="9"/>
  <c r="P140" i="9"/>
  <c r="P131" i="9"/>
  <c r="P57" i="9"/>
  <c r="P112" i="9"/>
  <c r="P82" i="9"/>
  <c r="P119" i="9"/>
  <c r="P86" i="9"/>
  <c r="P66" i="9"/>
  <c r="P75" i="9"/>
  <c r="P151" i="9"/>
  <c r="P157" i="9"/>
  <c r="P130" i="9"/>
  <c r="P45" i="9"/>
  <c r="P121" i="9"/>
  <c r="P170" i="9"/>
  <c r="P147" i="9"/>
  <c r="P35" i="9"/>
  <c r="P56" i="9"/>
  <c r="P111" i="9"/>
  <c r="P127" i="9"/>
  <c r="P74" i="9"/>
  <c r="P58" i="9"/>
  <c r="P88" i="9"/>
  <c r="P40" i="9"/>
  <c r="P117" i="9"/>
  <c r="P48" i="9"/>
  <c r="P51" i="9"/>
  <c r="P73" i="9"/>
  <c r="P128" i="9"/>
  <c r="P105" i="9"/>
  <c r="P118" i="9"/>
  <c r="P104" i="9"/>
  <c r="P136" i="9"/>
  <c r="P93" i="9"/>
  <c r="P67" i="9"/>
  <c r="P167" i="9"/>
  <c r="P37" i="9"/>
  <c r="P98" i="9"/>
  <c r="P138" i="9"/>
  <c r="P114" i="9"/>
  <c r="P139" i="9"/>
  <c r="P81" i="9"/>
  <c r="P144" i="9"/>
  <c r="P146" i="9"/>
  <c r="P68" i="9"/>
  <c r="P90" i="9"/>
  <c r="P150" i="9"/>
  <c r="P62" i="9"/>
  <c r="P70" i="9"/>
  <c r="P64" i="9"/>
  <c r="P145" i="9"/>
  <c r="P120" i="9"/>
  <c r="P95" i="9"/>
  <c r="P141" i="9"/>
  <c r="P94" i="9"/>
  <c r="P113" i="9"/>
  <c r="P155" i="9"/>
  <c r="P125" i="9"/>
  <c r="P115" i="9"/>
  <c r="P110" i="9"/>
  <c r="P163" i="9"/>
  <c r="P71" i="9"/>
  <c r="P126" i="9"/>
  <c r="P166" i="9"/>
  <c r="P116" i="9"/>
  <c r="P109" i="9"/>
  <c r="P92" i="9"/>
  <c r="P85" i="9"/>
  <c r="P159" i="9"/>
  <c r="P47" i="9"/>
  <c r="P24" i="9"/>
  <c r="P169" i="9"/>
  <c r="P133" i="9"/>
  <c r="P135" i="9"/>
  <c r="P142" i="9"/>
  <c r="P129" i="9"/>
  <c r="P156" i="9"/>
  <c r="P89" i="9"/>
  <c r="P137" i="9"/>
  <c r="P162" i="9"/>
  <c r="P132" i="9"/>
  <c r="P46" i="9"/>
  <c r="BL65" i="8"/>
  <c r="BL64" i="8"/>
  <c r="BC64" i="8"/>
  <c r="BB64" i="8" s="1"/>
  <c r="BA64" i="8" s="1"/>
  <c r="AZ64" i="8" s="1"/>
  <c r="BC87" i="8"/>
  <c r="BB87" i="8" s="1"/>
  <c r="BA87" i="8" s="1"/>
  <c r="AZ87" i="8" s="1"/>
  <c r="BL87" i="8"/>
  <c r="BC32" i="8"/>
  <c r="BB32" i="8" s="1"/>
  <c r="BA32" i="8" s="1"/>
  <c r="AZ32" i="8" s="1"/>
  <c r="BL32" i="8"/>
  <c r="BC34" i="8"/>
  <c r="BB34" i="8" s="1"/>
  <c r="BA34" i="8" s="1"/>
  <c r="AZ34" i="8" s="1"/>
  <c r="BL34" i="8"/>
  <c r="CE155" i="4"/>
  <c r="BU188" i="4"/>
  <c r="CE188" i="4"/>
  <c r="CE117" i="4"/>
  <c r="BU117" i="4"/>
  <c r="BT117" i="4" s="1"/>
  <c r="BS117" i="4" s="1"/>
  <c r="CE194" i="4"/>
  <c r="BV25" i="4"/>
  <c r="BU25" i="4" s="1"/>
  <c r="BT25" i="4" s="1"/>
  <c r="BS25" i="4" s="1"/>
  <c r="CE25" i="4"/>
  <c r="BU112" i="8"/>
  <c r="BV112" i="8" s="1"/>
  <c r="BT113" i="8"/>
  <c r="BS113" i="8" s="1"/>
  <c r="BH98" i="9"/>
  <c r="BG98" i="9" s="1"/>
  <c r="BF98" i="9" s="1"/>
  <c r="BE98" i="9" s="1"/>
  <c r="BH82" i="9"/>
  <c r="BG82" i="9" s="1"/>
  <c r="BF82" i="9" s="1"/>
  <c r="BE82" i="9" s="1"/>
  <c r="BQ82" i="9"/>
  <c r="AI178" i="4"/>
  <c r="AH178" i="4" s="1"/>
  <c r="AG178" i="4" s="1"/>
  <c r="AS178" i="4"/>
  <c r="AS98" i="7"/>
  <c r="AJ49" i="7"/>
  <c r="AI49" i="7" s="1"/>
  <c r="AS49" i="7"/>
  <c r="AJ78" i="7"/>
  <c r="AI78" i="7" s="1"/>
  <c r="AS78" i="7"/>
  <c r="AS26" i="7"/>
  <c r="AJ26" i="7"/>
  <c r="AI26" i="7" s="1"/>
  <c r="AH26" i="7" s="1"/>
  <c r="AG26" i="7" s="1"/>
  <c r="V26" i="7" s="1" a="1"/>
  <c r="V26" i="7" s="1"/>
  <c r="FK185" i="4"/>
  <c r="FJ185" i="4" s="1"/>
  <c r="FI185" i="4" s="1"/>
  <c r="FU185" i="4"/>
  <c r="FU71" i="4"/>
  <c r="FK71" i="4"/>
  <c r="FK37" i="4"/>
  <c r="FJ37" i="4" s="1"/>
  <c r="FI37" i="4" s="1"/>
  <c r="FU37" i="4"/>
  <c r="AS155" i="4"/>
  <c r="AS103" i="4"/>
  <c r="AI103" i="4"/>
  <c r="AH103" i="4" s="1"/>
  <c r="AG103" i="4" s="1"/>
  <c r="AS43" i="4"/>
  <c r="AI43" i="4"/>
  <c r="AH43" i="4" s="1"/>
  <c r="AG43" i="4" s="1"/>
  <c r="AJ17" i="4"/>
  <c r="AI17" i="4" s="1"/>
  <c r="BH91" i="9"/>
  <c r="BG91" i="9" s="1"/>
  <c r="BF91" i="9" s="1"/>
  <c r="BE91" i="9" s="1"/>
  <c r="BQ91" i="9"/>
  <c r="BQ68" i="9"/>
  <c r="BH68" i="9"/>
  <c r="BG68" i="9" s="1"/>
  <c r="BF68" i="9" s="1"/>
  <c r="BE68" i="9" s="1"/>
  <c r="BH78" i="9"/>
  <c r="BG78" i="9" s="1"/>
  <c r="BF78" i="9" s="1"/>
  <c r="BE78" i="9" s="1"/>
  <c r="AS61" i="7"/>
  <c r="AJ82" i="7"/>
  <c r="AI82" i="7" s="1"/>
  <c r="AH82" i="7" s="1"/>
  <c r="AG82" i="7" s="1"/>
  <c r="V82" i="7" s="1" a="1"/>
  <c r="V82" i="7" s="1"/>
  <c r="AS82" i="7"/>
  <c r="AS91" i="7"/>
  <c r="AJ91" i="7"/>
  <c r="AI91" i="7" s="1"/>
  <c r="AH91" i="7" s="1"/>
  <c r="AG91" i="7" s="1"/>
  <c r="V91" i="7" s="1" a="1"/>
  <c r="V91" i="7" s="1"/>
  <c r="FU161" i="4"/>
  <c r="FK120" i="4"/>
  <c r="FJ120" i="4" s="1"/>
  <c r="FI120" i="4" s="1"/>
  <c r="FU120" i="4"/>
  <c r="FU134" i="4"/>
  <c r="FU61" i="4"/>
  <c r="FK61" i="4"/>
  <c r="FJ61" i="4" s="1"/>
  <c r="FI61" i="4" s="1"/>
  <c r="FK172" i="4"/>
  <c r="FJ172" i="4" s="1"/>
  <c r="FI172" i="4" s="1"/>
  <c r="FU172" i="4"/>
  <c r="FU44" i="4"/>
  <c r="FK44" i="4"/>
  <c r="FJ44" i="4" s="1"/>
  <c r="FI44" i="4" s="1"/>
  <c r="FB141" i="4"/>
  <c r="ER76" i="4"/>
  <c r="EQ76" i="4" s="1"/>
  <c r="EP76" i="4" s="1"/>
  <c r="FB76" i="4"/>
  <c r="ER200" i="4"/>
  <c r="EQ200" i="4" s="1"/>
  <c r="EP200" i="4" s="1"/>
  <c r="FB200" i="4"/>
  <c r="FB46" i="4"/>
  <c r="ER46" i="4"/>
  <c r="EQ46" i="4" s="1"/>
  <c r="EP46" i="4" s="1"/>
  <c r="DQ70" i="4"/>
  <c r="DQ118" i="4"/>
  <c r="DQ57" i="4"/>
  <c r="DG57" i="4"/>
  <c r="DF57" i="4" s="1"/>
  <c r="DE57" i="4" s="1"/>
  <c r="DQ67" i="4"/>
  <c r="DG67" i="4"/>
  <c r="DQ123" i="4"/>
  <c r="DG123" i="4"/>
  <c r="DF123" i="4" s="1"/>
  <c r="DE123" i="4" s="1"/>
  <c r="DQ157" i="4"/>
  <c r="DG157" i="4"/>
  <c r="DF157" i="4" s="1"/>
  <c r="DE157" i="4" s="1"/>
  <c r="DH20" i="4"/>
  <c r="DG20" i="4" s="1"/>
  <c r="DF20" i="4" s="1"/>
  <c r="DE20" i="4" s="1"/>
  <c r="AJ81" i="8"/>
  <c r="AI81" i="8" s="1"/>
  <c r="AH81" i="8" s="1"/>
  <c r="AG81" i="8" s="1"/>
  <c r="AS81" i="8"/>
  <c r="AJ64" i="8"/>
  <c r="AI64" i="8" s="1"/>
  <c r="AH64" i="8" s="1"/>
  <c r="AG64" i="8" s="1"/>
  <c r="AS64" i="8"/>
  <c r="BL173" i="4"/>
  <c r="BB173" i="4"/>
  <c r="BA173" i="4" s="1"/>
  <c r="AZ173" i="4" s="1"/>
  <c r="BL59" i="4"/>
  <c r="BB59" i="4"/>
  <c r="BB42" i="4"/>
  <c r="BA42" i="4" s="1"/>
  <c r="AZ42" i="4" s="1"/>
  <c r="BL42" i="4"/>
  <c r="BL41" i="4"/>
  <c r="BB41" i="4"/>
  <c r="BA41" i="4" s="1"/>
  <c r="AZ41" i="4" s="1"/>
  <c r="CX187" i="4"/>
  <c r="CX156" i="4"/>
  <c r="CN156" i="4"/>
  <c r="CN72" i="4"/>
  <c r="CM72" i="4" s="1"/>
  <c r="CL72" i="4" s="1"/>
  <c r="CX72" i="4"/>
  <c r="CN93" i="4"/>
  <c r="CM93" i="4" s="1"/>
  <c r="CL93" i="4" s="1"/>
  <c r="CX93" i="4"/>
  <c r="CX67" i="4"/>
  <c r="CN67" i="4"/>
  <c r="CN197" i="4"/>
  <c r="CM197" i="4" s="1"/>
  <c r="CL197" i="4" s="1"/>
  <c r="CX197" i="4"/>
  <c r="AO86" i="9"/>
  <c r="AN86" i="9" s="1"/>
  <c r="AO154" i="9"/>
  <c r="AN154" i="9" s="1"/>
  <c r="AO78" i="9"/>
  <c r="AN78" i="9" s="1"/>
  <c r="AM78" i="9" s="1"/>
  <c r="AL78" i="9" s="1"/>
  <c r="AO44" i="9"/>
  <c r="AN44" i="9" s="1"/>
  <c r="AM44" i="9" s="1"/>
  <c r="AL44" i="9" s="1"/>
  <c r="AO32" i="9"/>
  <c r="AN32" i="9" s="1"/>
  <c r="AM32" i="9" s="1"/>
  <c r="AL32" i="9" s="1"/>
  <c r="BL40" i="8"/>
  <c r="BC40" i="8"/>
  <c r="BB40" i="8" s="1"/>
  <c r="BA40" i="8" s="1"/>
  <c r="AZ40" i="8" s="1"/>
  <c r="BL118" i="8"/>
  <c r="BC118" i="8"/>
  <c r="BB118" i="8" s="1"/>
  <c r="BC106" i="8"/>
  <c r="BB106" i="8" s="1"/>
  <c r="BA106" i="8" s="1"/>
  <c r="AZ106" i="8" s="1"/>
  <c r="BL106" i="8"/>
  <c r="CE135" i="4"/>
  <c r="BV24" i="4"/>
  <c r="BU24" i="4" s="1"/>
  <c r="BT24" i="4" s="1"/>
  <c r="BS24" i="4" s="1"/>
  <c r="CE24" i="4"/>
  <c r="FU165" i="4"/>
  <c r="AH94" i="5"/>
  <c r="AG94" i="5" s="1"/>
  <c r="U94" i="5" s="1"/>
  <c r="AI93" i="5"/>
  <c r="AJ93" i="5" s="1"/>
  <c r="FU72" i="4"/>
  <c r="FK72" i="4"/>
  <c r="FJ72" i="4" s="1"/>
  <c r="FI72" i="4" s="1"/>
  <c r="DQ40" i="4"/>
  <c r="DG40" i="4"/>
  <c r="DF40" i="4" s="1"/>
  <c r="DE40" i="4" s="1"/>
  <c r="AI186" i="4"/>
  <c r="AH186" i="4" s="1"/>
  <c r="AG186" i="4" s="1"/>
  <c r="AS186" i="4"/>
  <c r="AI153" i="4"/>
  <c r="AS153" i="4"/>
  <c r="AI146" i="4"/>
  <c r="AH146" i="4" s="1"/>
  <c r="AG146" i="4" s="1"/>
  <c r="AS146" i="4"/>
  <c r="BQ156" i="9"/>
  <c r="BQ73" i="9"/>
  <c r="BH73" i="9"/>
  <c r="BG73" i="9" s="1"/>
  <c r="BF73" i="9" s="1"/>
  <c r="BE73" i="9" s="1"/>
  <c r="BH70" i="9"/>
  <c r="BG70" i="9" s="1"/>
  <c r="BF70" i="9" s="1"/>
  <c r="BE70" i="9" s="1"/>
  <c r="BQ70" i="9"/>
  <c r="AS97" i="4"/>
  <c r="AI127" i="4"/>
  <c r="AH127" i="4" s="1"/>
  <c r="AG127" i="4" s="1"/>
  <c r="AS127" i="4"/>
  <c r="AI106" i="4"/>
  <c r="AH106" i="4" s="1"/>
  <c r="AG106" i="4" s="1"/>
  <c r="AS106" i="4"/>
  <c r="AS67" i="4"/>
  <c r="AI67" i="4"/>
  <c r="AS196" i="4"/>
  <c r="AI196" i="4"/>
  <c r="BH154" i="9"/>
  <c r="BG154" i="9" s="1"/>
  <c r="BQ37" i="9"/>
  <c r="BH37" i="9"/>
  <c r="BG37" i="9" s="1"/>
  <c r="BF37" i="9" s="1"/>
  <c r="BE37" i="9" s="1"/>
  <c r="BH146" i="9"/>
  <c r="BG146" i="9" s="1"/>
  <c r="BF146" i="9" s="1"/>
  <c r="BE146" i="9" s="1"/>
  <c r="BH149" i="9"/>
  <c r="BG149" i="9" s="1"/>
  <c r="BF149" i="9" s="1"/>
  <c r="BE149" i="9" s="1"/>
  <c r="BH26" i="9"/>
  <c r="BG26" i="9" s="1"/>
  <c r="BF26" i="9" s="1"/>
  <c r="BE26" i="9" s="1"/>
  <c r="AJ41" i="7"/>
  <c r="AI41" i="7" s="1"/>
  <c r="AH41" i="7" s="1"/>
  <c r="AG41" i="7" s="1"/>
  <c r="V41" i="7" s="1" a="1"/>
  <c r="V41" i="7" s="1"/>
  <c r="AS41" i="7"/>
  <c r="AS94" i="7"/>
  <c r="AJ94" i="7"/>
  <c r="AI94" i="7" s="1"/>
  <c r="AS72" i="7"/>
  <c r="AJ72" i="7"/>
  <c r="AI72" i="7" s="1"/>
  <c r="AH72" i="7" s="1"/>
  <c r="AG72" i="7" s="1"/>
  <c r="R72" i="7" s="1" a="1"/>
  <c r="R72" i="7" s="1"/>
  <c r="AS24" i="7"/>
  <c r="AJ24" i="7"/>
  <c r="AI24" i="7" s="1"/>
  <c r="AH24" i="7" s="1"/>
  <c r="AG24" i="7" s="1"/>
  <c r="V24" i="7" s="1" a="1"/>
  <c r="V24" i="7" s="1"/>
  <c r="FK94" i="4"/>
  <c r="FJ94" i="4" s="1"/>
  <c r="FI94" i="4" s="1"/>
  <c r="FU94" i="4"/>
  <c r="FK150" i="4"/>
  <c r="FJ150" i="4" s="1"/>
  <c r="FI150" i="4" s="1"/>
  <c r="FU150" i="4"/>
  <c r="FU190" i="4"/>
  <c r="FK190" i="4"/>
  <c r="FU51" i="4"/>
  <c r="FK51" i="4"/>
  <c r="FJ51" i="4" s="1"/>
  <c r="FI51" i="4" s="1"/>
  <c r="FK36" i="4"/>
  <c r="FJ36" i="4" s="1"/>
  <c r="FI36" i="4" s="1"/>
  <c r="FU36" i="4"/>
  <c r="FB155" i="4"/>
  <c r="FB78" i="4"/>
  <c r="ER30" i="4"/>
  <c r="FB30" i="4"/>
  <c r="ES24" i="4"/>
  <c r="ER24" i="4" s="1"/>
  <c r="EQ24" i="4" s="1"/>
  <c r="EP24" i="4" s="1"/>
  <c r="FB24" i="4"/>
  <c r="ER37" i="4"/>
  <c r="EQ37" i="4" s="1"/>
  <c r="EP37" i="4" s="1"/>
  <c r="FB37" i="4"/>
  <c r="DQ141" i="4"/>
  <c r="DP28" i="4" a="1"/>
  <c r="DP28" i="4" s="1"/>
  <c r="DG173" i="4"/>
  <c r="DF173" i="4" s="1"/>
  <c r="DE173" i="4" s="1"/>
  <c r="DQ173" i="4"/>
  <c r="DG106" i="4"/>
  <c r="DF106" i="4" s="1"/>
  <c r="DE106" i="4" s="1"/>
  <c r="DQ106" i="4"/>
  <c r="DG197" i="4"/>
  <c r="DF197" i="4" s="1"/>
  <c r="DE197" i="4" s="1"/>
  <c r="DQ197" i="4"/>
  <c r="DQ25" i="4"/>
  <c r="DH25" i="4"/>
  <c r="DG25" i="4" s="1"/>
  <c r="DF25" i="4" s="1"/>
  <c r="DE25" i="4" s="1"/>
  <c r="AS79" i="8"/>
  <c r="AS27" i="8"/>
  <c r="AJ27" i="8"/>
  <c r="AI27" i="8" s="1"/>
  <c r="AH27" i="8" s="1"/>
  <c r="AG27" i="8" s="1"/>
  <c r="P25" i="8"/>
  <c r="P20" i="8"/>
  <c r="P17" i="8"/>
  <c r="P19" i="8"/>
  <c r="P21" i="8"/>
  <c r="P24" i="8"/>
  <c r="P18" i="8"/>
  <c r="Q5" i="8"/>
  <c r="P50" i="8"/>
  <c r="P46" i="8"/>
  <c r="P75" i="8"/>
  <c r="P76" i="8"/>
  <c r="P33" i="8"/>
  <c r="P116" i="8"/>
  <c r="P106" i="8"/>
  <c r="P47" i="8"/>
  <c r="P74" i="8"/>
  <c r="P105" i="8"/>
  <c r="P93" i="8"/>
  <c r="P96" i="8"/>
  <c r="P107" i="8"/>
  <c r="P100" i="8"/>
  <c r="P87" i="8"/>
  <c r="P111" i="8"/>
  <c r="P36" i="8"/>
  <c r="P72" i="8"/>
  <c r="P32" i="8"/>
  <c r="P83" i="8"/>
  <c r="P64" i="8"/>
  <c r="P90" i="8"/>
  <c r="P78" i="8"/>
  <c r="P115" i="8"/>
  <c r="P23" i="8"/>
  <c r="P109" i="8"/>
  <c r="P39" i="8"/>
  <c r="P48" i="8"/>
  <c r="P60" i="8"/>
  <c r="P27" i="8"/>
  <c r="P86" i="8"/>
  <c r="P66" i="8"/>
  <c r="P40" i="8"/>
  <c r="P67" i="8"/>
  <c r="P63" i="8"/>
  <c r="P102" i="8"/>
  <c r="P110" i="8"/>
  <c r="P89" i="8"/>
  <c r="P37" i="8"/>
  <c r="P113" i="8"/>
  <c r="P94" i="8"/>
  <c r="P34" i="8"/>
  <c r="P71" i="8"/>
  <c r="P88" i="8"/>
  <c r="P97" i="8"/>
  <c r="P61" i="8"/>
  <c r="P35" i="8"/>
  <c r="P31" i="8"/>
  <c r="P38" i="8"/>
  <c r="P59" i="8"/>
  <c r="P117" i="8"/>
  <c r="P65" i="8"/>
  <c r="P92" i="8"/>
  <c r="P101" i="8"/>
  <c r="P112" i="8"/>
  <c r="P114" i="8"/>
  <c r="P42" i="8"/>
  <c r="P104" i="8"/>
  <c r="P22" i="8"/>
  <c r="P79" i="8"/>
  <c r="P99" i="8"/>
  <c r="P49" i="8"/>
  <c r="P95" i="8"/>
  <c r="P108" i="8"/>
  <c r="P82" i="8"/>
  <c r="P62" i="8"/>
  <c r="P103" i="8"/>
  <c r="P41" i="8"/>
  <c r="P98" i="8"/>
  <c r="BL187" i="4"/>
  <c r="BL145" i="4"/>
  <c r="BB145" i="4"/>
  <c r="BA145" i="4" s="1"/>
  <c r="AZ145" i="4" s="1"/>
  <c r="BL108" i="4"/>
  <c r="BB108" i="4"/>
  <c r="BA108" i="4" s="1"/>
  <c r="AZ108" i="4" s="1"/>
  <c r="BB75" i="4"/>
  <c r="BA75" i="4" s="1"/>
  <c r="AZ75" i="4" s="1"/>
  <c r="BL75" i="4"/>
  <c r="BB106" i="4"/>
  <c r="BA106" i="4" s="1"/>
  <c r="AZ106" i="4" s="1"/>
  <c r="BL106" i="4"/>
  <c r="BL71" i="4"/>
  <c r="BB71" i="4"/>
  <c r="BL31" i="4"/>
  <c r="BB31" i="4"/>
  <c r="BA31" i="4" s="1"/>
  <c r="AZ31" i="4" s="1"/>
  <c r="CX78" i="4"/>
  <c r="CX22" i="4"/>
  <c r="CO22" i="4"/>
  <c r="CN22" i="4" s="1"/>
  <c r="CM22" i="4" s="1"/>
  <c r="CL22" i="4" s="1"/>
  <c r="AO165" i="9"/>
  <c r="AN165" i="9" s="1"/>
  <c r="AM165" i="9" s="1"/>
  <c r="AL165" i="9" s="1"/>
  <c r="AO170" i="9"/>
  <c r="AN170" i="9" s="1"/>
  <c r="AO93" i="9"/>
  <c r="AN93" i="9" s="1"/>
  <c r="AO21" i="9"/>
  <c r="AN21" i="9" s="1"/>
  <c r="AM21" i="9" s="1"/>
  <c r="AL21" i="9" s="1"/>
  <c r="BL114" i="8"/>
  <c r="BC27" i="8"/>
  <c r="BB27" i="8" s="1"/>
  <c r="BA27" i="8" s="1"/>
  <c r="AZ27" i="8" s="1"/>
  <c r="BL27" i="8"/>
  <c r="CE118" i="4"/>
  <c r="CE158" i="4"/>
  <c r="BU158" i="4"/>
  <c r="BT158" i="4" s="1"/>
  <c r="BS158" i="4" s="1"/>
  <c r="CE153" i="4"/>
  <c r="BU153" i="4"/>
  <c r="BU87" i="4"/>
  <c r="BT87" i="4" s="1"/>
  <c r="BS87" i="4" s="1"/>
  <c r="CE87" i="4"/>
  <c r="CE198" i="4"/>
  <c r="BH22" i="9"/>
  <c r="BG22" i="9" s="1"/>
  <c r="BF22" i="9" s="1"/>
  <c r="BE22" i="9" s="1"/>
  <c r="BQ22" i="9"/>
  <c r="ER113" i="4"/>
  <c r="EQ113" i="4" s="1"/>
  <c r="EP113" i="4" s="1"/>
  <c r="FB113" i="4"/>
  <c r="BH31" i="9"/>
  <c r="BG31" i="9" s="1"/>
  <c r="BF31" i="9" s="1"/>
  <c r="BE31" i="9" s="1"/>
  <c r="AS141" i="4"/>
  <c r="AI169" i="4"/>
  <c r="AH169" i="4" s="1"/>
  <c r="AG169" i="4" s="1"/>
  <c r="AS169" i="4"/>
  <c r="AI156" i="4"/>
  <c r="AS156" i="4"/>
  <c r="AS193" i="4"/>
  <c r="AI193" i="4"/>
  <c r="AI147" i="4"/>
  <c r="AH147" i="4" s="1"/>
  <c r="AG147" i="4" s="1"/>
  <c r="AS147" i="4"/>
  <c r="AS50" i="4"/>
  <c r="AI50" i="4"/>
  <c r="AH50" i="4" s="1"/>
  <c r="AG50" i="4" s="1"/>
  <c r="AJ20" i="4"/>
  <c r="AI20" i="4" s="1"/>
  <c r="AH20" i="4" s="1"/>
  <c r="AG20" i="4" s="1"/>
  <c r="AS20" i="4"/>
  <c r="BH120" i="9"/>
  <c r="BG120" i="9" s="1"/>
  <c r="BF120" i="9" s="1"/>
  <c r="BE120" i="9" s="1"/>
  <c r="BQ120" i="9"/>
  <c r="BQ125" i="9"/>
  <c r="BH125" i="9"/>
  <c r="BG125" i="9" s="1"/>
  <c r="BF125" i="9" s="1"/>
  <c r="BE125" i="9" s="1"/>
  <c r="BH127" i="9"/>
  <c r="BG127" i="9" s="1"/>
  <c r="BQ127" i="9"/>
  <c r="BH121" i="9"/>
  <c r="BG121" i="9" s="1"/>
  <c r="BF121" i="9" s="1"/>
  <c r="BE121" i="9" s="1"/>
  <c r="BQ121" i="9"/>
  <c r="BH42" i="9"/>
  <c r="BG42" i="9" s="1"/>
  <c r="BF42" i="9" s="1"/>
  <c r="BE42" i="9" s="1"/>
  <c r="AJ99" i="7"/>
  <c r="AI99" i="7" s="1"/>
  <c r="AS99" i="7"/>
  <c r="FU166" i="4"/>
  <c r="FU123" i="4"/>
  <c r="FK123" i="4"/>
  <c r="FJ123" i="4" s="1"/>
  <c r="FI123" i="4" s="1"/>
  <c r="FK191" i="4"/>
  <c r="FJ191" i="4" s="1"/>
  <c r="FI191" i="4" s="1"/>
  <c r="FU191" i="4"/>
  <c r="FK125" i="4"/>
  <c r="FJ125" i="4" s="1"/>
  <c r="FI125" i="4" s="1"/>
  <c r="FU125" i="4"/>
  <c r="FU156" i="4"/>
  <c r="FK156" i="4"/>
  <c r="FK145" i="4"/>
  <c r="FJ145" i="4" s="1"/>
  <c r="FI145" i="4" s="1"/>
  <c r="FU145" i="4"/>
  <c r="FK53" i="4"/>
  <c r="FJ53" i="4" s="1"/>
  <c r="FI53" i="4" s="1"/>
  <c r="FU53" i="4"/>
  <c r="FK50" i="4"/>
  <c r="FJ50" i="4" s="1"/>
  <c r="FI50" i="4" s="1"/>
  <c r="FU50" i="4"/>
  <c r="FU200" i="4"/>
  <c r="FK200" i="4"/>
  <c r="FJ200" i="4" s="1"/>
  <c r="FI200" i="4" s="1"/>
  <c r="FB118" i="4"/>
  <c r="ER185" i="4"/>
  <c r="EQ185" i="4" s="1"/>
  <c r="EP185" i="4" s="1"/>
  <c r="FB185" i="4"/>
  <c r="FB127" i="4"/>
  <c r="ER127" i="4"/>
  <c r="EQ127" i="4" s="1"/>
  <c r="EP127" i="4" s="1"/>
  <c r="ER168" i="4"/>
  <c r="EQ168" i="4" s="1"/>
  <c r="EP168" i="4" s="1"/>
  <c r="FB168" i="4"/>
  <c r="ER72" i="4"/>
  <c r="EQ72" i="4" s="1"/>
  <c r="EP72" i="4" s="1"/>
  <c r="FB72" i="4"/>
  <c r="FB68" i="4"/>
  <c r="ER68" i="4"/>
  <c r="EQ68" i="4" s="1"/>
  <c r="EP68" i="4" s="1"/>
  <c r="ER40" i="4"/>
  <c r="EQ40" i="4" s="1"/>
  <c r="EP40" i="4" s="1"/>
  <c r="FB40" i="4"/>
  <c r="FB198" i="4"/>
  <c r="DQ117" i="4"/>
  <c r="DG117" i="4"/>
  <c r="DF117" i="4" s="1"/>
  <c r="DE117" i="4" s="1"/>
  <c r="DQ74" i="4"/>
  <c r="DG74" i="4"/>
  <c r="DF74" i="4" s="1"/>
  <c r="DE74" i="4" s="1"/>
  <c r="DG175" i="4"/>
  <c r="DF175" i="4" s="1"/>
  <c r="DE175" i="4" s="1"/>
  <c r="DQ175" i="4"/>
  <c r="DQ30" i="4"/>
  <c r="DG30" i="4"/>
  <c r="AJ58" i="8"/>
  <c r="AI58" i="8" s="1"/>
  <c r="AH58" i="8" s="1"/>
  <c r="AG58" i="8" s="1"/>
  <c r="AS58" i="8"/>
  <c r="BL183" i="4"/>
  <c r="BB183" i="4"/>
  <c r="BA183" i="4" s="1"/>
  <c r="AZ183" i="4" s="1"/>
  <c r="BL86" i="4"/>
  <c r="BB86" i="4"/>
  <c r="BA86" i="4" s="1"/>
  <c r="AZ86" i="4" s="1"/>
  <c r="BL185" i="4"/>
  <c r="BB185" i="4"/>
  <c r="BA185" i="4" s="1"/>
  <c r="AZ185" i="4" s="1"/>
  <c r="BL44" i="4"/>
  <c r="BB44" i="4"/>
  <c r="BA44" i="4" s="1"/>
  <c r="AZ44" i="4" s="1"/>
  <c r="CN177" i="4"/>
  <c r="CM177" i="4" s="1"/>
  <c r="CL177" i="4" s="1"/>
  <c r="CX177" i="4"/>
  <c r="CX21" i="4"/>
  <c r="CO21" i="4"/>
  <c r="CN21" i="4" s="1"/>
  <c r="CM21" i="4" s="1"/>
  <c r="CL21" i="4" s="1"/>
  <c r="CO18" i="4"/>
  <c r="CN18" i="4" s="1"/>
  <c r="CM18" i="4" s="1"/>
  <c r="CL18" i="4" s="1"/>
  <c r="CX18" i="4"/>
  <c r="CO17" i="4"/>
  <c r="CN17" i="4" s="1"/>
  <c r="AO145" i="9"/>
  <c r="AN145" i="9" s="1"/>
  <c r="AM145" i="9" s="1"/>
  <c r="AL145" i="9" s="1"/>
  <c r="AO167" i="9"/>
  <c r="AN167" i="9" s="1"/>
  <c r="AO40" i="9"/>
  <c r="AN40" i="9" s="1"/>
  <c r="AM40" i="9" s="1"/>
  <c r="AL40" i="9" s="1"/>
  <c r="AO121" i="9"/>
  <c r="AN121" i="9" s="1"/>
  <c r="AM121" i="9" s="1"/>
  <c r="AL121" i="9" s="1"/>
  <c r="AO122" i="9"/>
  <c r="AN122" i="9" s="1"/>
  <c r="AM122" i="9" s="1"/>
  <c r="AL122" i="9" s="1"/>
  <c r="BU114" i="8"/>
  <c r="BV114" i="8" s="1"/>
  <c r="BT115" i="8"/>
  <c r="BS115" i="8" s="1"/>
  <c r="BG17" i="8"/>
  <c r="BG122" i="8" a="1"/>
  <c r="BG122" i="8" s="1"/>
  <c r="BE122" i="8" a="1"/>
  <c r="BE122" i="8" s="1"/>
  <c r="BF122" i="8" a="1"/>
  <c r="BF122" i="8" s="1"/>
  <c r="BD122" i="8" a="1"/>
  <c r="BD122" i="8" s="1"/>
  <c r="BL108" i="8"/>
  <c r="BL81" i="8"/>
  <c r="BC81" i="8"/>
  <c r="BB81" i="8" s="1"/>
  <c r="BA81" i="8" s="1"/>
  <c r="AZ81" i="8" s="1"/>
  <c r="BR28" i="4" a="1"/>
  <c r="BR28" i="4" s="1"/>
  <c r="BM203" i="4" s="1" a="1"/>
  <c r="BM203" i="4" s="1"/>
  <c r="CE29" i="4"/>
  <c r="CE97" i="4"/>
  <c r="CE178" i="4"/>
  <c r="BU178" i="4"/>
  <c r="BT178" i="4" s="1"/>
  <c r="BS178" i="4" s="1"/>
  <c r="CE159" i="4"/>
  <c r="BU159" i="4"/>
  <c r="BT159" i="4" s="1"/>
  <c r="BS159" i="4" s="1"/>
  <c r="BK17" i="4"/>
  <c r="BL17" i="4" s="1"/>
  <c r="BJ16" i="4"/>
  <c r="AI71" i="4"/>
  <c r="AS71" i="4"/>
  <c r="FU111" i="4"/>
  <c r="FK111" i="4"/>
  <c r="FJ111" i="4" s="1"/>
  <c r="FI111" i="4" s="1"/>
  <c r="FL24" i="4"/>
  <c r="FK24" i="4" s="1"/>
  <c r="FJ24" i="4" s="1"/>
  <c r="FI24" i="4" s="1"/>
  <c r="FU24" i="4"/>
  <c r="ER190" i="4"/>
  <c r="FB190" i="4"/>
  <c r="FB96" i="4"/>
  <c r="ER96" i="4"/>
  <c r="EQ96" i="4" s="1"/>
  <c r="EP96" i="4" s="1"/>
  <c r="FB36" i="4"/>
  <c r="ER36" i="4"/>
  <c r="EQ36" i="4" s="1"/>
  <c r="EP36" i="4" s="1"/>
  <c r="FB199" i="4"/>
  <c r="ER199" i="4"/>
  <c r="ER43" i="4"/>
  <c r="EQ43" i="4" s="1"/>
  <c r="EP43" i="4" s="1"/>
  <c r="FB43" i="4"/>
  <c r="DQ78" i="4"/>
  <c r="DQ87" i="4"/>
  <c r="DG87" i="4"/>
  <c r="DF87" i="4" s="1"/>
  <c r="DE87" i="4" s="1"/>
  <c r="DG144" i="4"/>
  <c r="DF144" i="4" s="1"/>
  <c r="DE144" i="4" s="1"/>
  <c r="DQ144" i="4"/>
  <c r="DG68" i="4"/>
  <c r="DF68" i="4" s="1"/>
  <c r="DE68" i="4" s="1"/>
  <c r="DQ68" i="4"/>
  <c r="DQ162" i="4"/>
  <c r="DG162" i="4"/>
  <c r="DQ147" i="4"/>
  <c r="DG147" i="4"/>
  <c r="DF147" i="4" s="1"/>
  <c r="DE147" i="4" s="1"/>
  <c r="DG31" i="4"/>
  <c r="DF31" i="4" s="1"/>
  <c r="DE31" i="4" s="1"/>
  <c r="DQ31" i="4"/>
  <c r="AJ31" i="8"/>
  <c r="AI31" i="8" s="1"/>
  <c r="AH31" i="8" s="1"/>
  <c r="AG31" i="8" s="1"/>
  <c r="AS31" i="8"/>
  <c r="AS76" i="8"/>
  <c r="AJ76" i="8"/>
  <c r="AI76" i="8" s="1"/>
  <c r="AH76" i="8" s="1"/>
  <c r="AG76" i="8" s="1"/>
  <c r="AA11" i="8"/>
  <c r="AA12" i="8" s="1"/>
  <c r="AA10" i="8"/>
  <c r="BB85" i="4"/>
  <c r="BA85" i="4" s="1"/>
  <c r="AZ85" i="4" s="1"/>
  <c r="BL85" i="4"/>
  <c r="BL74" i="4"/>
  <c r="BB74" i="4"/>
  <c r="BA74" i="4" s="1"/>
  <c r="AZ74" i="4" s="1"/>
  <c r="BB182" i="4"/>
  <c r="BA182" i="4" s="1"/>
  <c r="AZ182" i="4" s="1"/>
  <c r="BL182" i="4"/>
  <c r="BL125" i="4"/>
  <c r="BB125" i="4"/>
  <c r="BA125" i="4" s="1"/>
  <c r="AZ125" i="4" s="1"/>
  <c r="BB146" i="4"/>
  <c r="BA146" i="4" s="1"/>
  <c r="AZ146" i="4" s="1"/>
  <c r="BL146" i="4"/>
  <c r="CN169" i="4"/>
  <c r="CM169" i="4" s="1"/>
  <c r="CL169" i="4" s="1"/>
  <c r="CX169" i="4"/>
  <c r="CX55" i="4"/>
  <c r="CN55" i="4"/>
  <c r="CM55" i="4" s="1"/>
  <c r="CL55" i="4" s="1"/>
  <c r="CX69" i="4"/>
  <c r="CN69" i="4"/>
  <c r="CM69" i="4" s="1"/>
  <c r="CL69" i="4" s="1"/>
  <c r="CN60" i="4"/>
  <c r="CM60" i="4" s="1"/>
  <c r="CL60" i="4" s="1"/>
  <c r="CX60" i="4"/>
  <c r="CX19" i="4"/>
  <c r="CO19" i="4"/>
  <c r="CN19" i="4" s="1"/>
  <c r="CM19" i="4" s="1"/>
  <c r="CL19" i="4" s="1"/>
  <c r="CN199" i="4"/>
  <c r="CX199" i="4"/>
  <c r="AO96" i="9"/>
  <c r="AN96" i="9" s="1"/>
  <c r="AM96" i="9" s="1"/>
  <c r="AL96" i="9" s="1"/>
  <c r="AO59" i="9"/>
  <c r="AN59" i="9" s="1"/>
  <c r="AM59" i="9" s="1"/>
  <c r="AL59" i="9" s="1"/>
  <c r="BL57" i="8"/>
  <c r="BC57" i="8"/>
  <c r="BB57" i="8" s="1"/>
  <c r="BA57" i="8" s="1"/>
  <c r="AZ57" i="8" s="1"/>
  <c r="BC74" i="8"/>
  <c r="BB74" i="8" s="1"/>
  <c r="BA74" i="8" s="1"/>
  <c r="AZ74" i="8" s="1"/>
  <c r="BL74" i="8"/>
  <c r="BC88" i="8"/>
  <c r="BB88" i="8" s="1"/>
  <c r="BA88" i="8" s="1"/>
  <c r="AZ88" i="8" s="1"/>
  <c r="BL88" i="8"/>
  <c r="BC18" i="8"/>
  <c r="BB18" i="8" s="1"/>
  <c r="CE191" i="4"/>
  <c r="BU191" i="4"/>
  <c r="BT191" i="4" s="1"/>
  <c r="BS191" i="4" s="1"/>
  <c r="BU101" i="4"/>
  <c r="BT101" i="4" s="1"/>
  <c r="BS101" i="4" s="1"/>
  <c r="CE101" i="4"/>
  <c r="BU115" i="4"/>
  <c r="CE115" i="4"/>
  <c r="CE49" i="4"/>
  <c r="BU49" i="4"/>
  <c r="BT49" i="4" s="1"/>
  <c r="BS49" i="4" s="1"/>
  <c r="BH128" i="9"/>
  <c r="BG128" i="9" s="1"/>
  <c r="BF128" i="9" s="1"/>
  <c r="BE128" i="9" s="1"/>
  <c r="BQ128" i="9"/>
  <c r="FK179" i="4"/>
  <c r="FJ179" i="4" s="1"/>
  <c r="FI179" i="4" s="1"/>
  <c r="FU179" i="4"/>
  <c r="AS78" i="4"/>
  <c r="AI176" i="4"/>
  <c r="AH176" i="4" s="1"/>
  <c r="AG176" i="4" s="1"/>
  <c r="AS176" i="4"/>
  <c r="AI59" i="4"/>
  <c r="AS59" i="4"/>
  <c r="AI120" i="4"/>
  <c r="AH120" i="4" s="1"/>
  <c r="AG120" i="4" s="1"/>
  <c r="AS120" i="4"/>
  <c r="AS119" i="4"/>
  <c r="AI119" i="4"/>
  <c r="AI65" i="4"/>
  <c r="AH65" i="4" s="1"/>
  <c r="AG65" i="4" s="1"/>
  <c r="AS65" i="4"/>
  <c r="AA11" i="4"/>
  <c r="AA12" i="4"/>
  <c r="AA13" i="4" s="1"/>
  <c r="CM115" i="8"/>
  <c r="CL115" i="8" s="1"/>
  <c r="CN114" i="8"/>
  <c r="CO114" i="8" s="1"/>
  <c r="BH140" i="9"/>
  <c r="BG140" i="9" s="1"/>
  <c r="BF140" i="9" s="1"/>
  <c r="BE140" i="9" s="1"/>
  <c r="BQ140" i="9"/>
  <c r="BH165" i="9"/>
  <c r="BG165" i="9" s="1"/>
  <c r="BF165" i="9" s="1"/>
  <c r="BE165" i="9" s="1"/>
  <c r="BQ165" i="9"/>
  <c r="BQ158" i="9"/>
  <c r="BH158" i="9"/>
  <c r="BG158" i="9" s="1"/>
  <c r="BF158" i="9" s="1"/>
  <c r="BE158" i="9" s="1"/>
  <c r="BQ19" i="9"/>
  <c r="BH19" i="9"/>
  <c r="BG19" i="9" s="1"/>
  <c r="BF19" i="9" s="1"/>
  <c r="AS46" i="7"/>
  <c r="AJ46" i="7"/>
  <c r="AI46" i="7" s="1"/>
  <c r="AH46" i="7" s="1"/>
  <c r="AG46" i="7" s="1"/>
  <c r="V46" i="7" s="1" a="1"/>
  <c r="V46" i="7" s="1"/>
  <c r="AJ25" i="7"/>
  <c r="AI25" i="7" s="1"/>
  <c r="AH25" i="7" s="1"/>
  <c r="AG25" i="7" s="1"/>
  <c r="R25" i="7" s="1" a="1"/>
  <c r="R25" i="7" s="1"/>
  <c r="AS25" i="7"/>
  <c r="FU176" i="4"/>
  <c r="FK176" i="4"/>
  <c r="FJ176" i="4" s="1"/>
  <c r="FI176" i="4" s="1"/>
  <c r="FU95" i="4"/>
  <c r="FK95" i="4"/>
  <c r="FJ95" i="4" s="1"/>
  <c r="FI95" i="4" s="1"/>
  <c r="FK33" i="4"/>
  <c r="FJ33" i="4" s="1"/>
  <c r="FI33" i="4" s="1"/>
  <c r="FU33" i="4"/>
  <c r="FB169" i="4"/>
  <c r="ER169" i="4"/>
  <c r="EQ169" i="4" s="1"/>
  <c r="EP169" i="4" s="1"/>
  <c r="ER188" i="4"/>
  <c r="FB188" i="4"/>
  <c r="ES19" i="4"/>
  <c r="ER19" i="4" s="1"/>
  <c r="EQ19" i="4" s="1"/>
  <c r="EP19" i="4" s="1"/>
  <c r="FB19" i="4"/>
  <c r="FB49" i="4"/>
  <c r="ER49" i="4"/>
  <c r="EQ49" i="4" s="1"/>
  <c r="EP49" i="4" s="1"/>
  <c r="DQ183" i="4"/>
  <c r="DG183" i="4"/>
  <c r="DF183" i="4" s="1"/>
  <c r="DE183" i="4" s="1"/>
  <c r="DG172" i="4"/>
  <c r="DF172" i="4" s="1"/>
  <c r="DE172" i="4" s="1"/>
  <c r="DQ172" i="4"/>
  <c r="DG71" i="4"/>
  <c r="DQ71" i="4"/>
  <c r="DG34" i="4"/>
  <c r="DF34" i="4" s="1"/>
  <c r="DE34" i="4" s="1"/>
  <c r="DQ34" i="4"/>
  <c r="DQ41" i="4"/>
  <c r="DG41" i="4"/>
  <c r="DF41" i="4" s="1"/>
  <c r="DE41" i="4" s="1"/>
  <c r="AJ35" i="8"/>
  <c r="AI35" i="8" s="1"/>
  <c r="AH35" i="8" s="1"/>
  <c r="AG35" i="8" s="1"/>
  <c r="AS35" i="8"/>
  <c r="AY28" i="4" a="1"/>
  <c r="AY28" i="4" s="1"/>
  <c r="AW203" i="4" s="1" a="1"/>
  <c r="AW203" i="4" s="1"/>
  <c r="BL29" i="4"/>
  <c r="BL138" i="4"/>
  <c r="BB138" i="4"/>
  <c r="BA138" i="4" s="1"/>
  <c r="AZ138" i="4" s="1"/>
  <c r="CN108" i="4"/>
  <c r="CM108" i="4" s="1"/>
  <c r="CL108" i="4" s="1"/>
  <c r="CX108" i="4"/>
  <c r="CN178" i="4"/>
  <c r="CM178" i="4" s="1"/>
  <c r="CL178" i="4" s="1"/>
  <c r="CX178" i="4"/>
  <c r="CN150" i="4"/>
  <c r="CM150" i="4" s="1"/>
  <c r="CL150" i="4" s="1"/>
  <c r="CX150" i="4"/>
  <c r="CN180" i="4"/>
  <c r="CM180" i="4" s="1"/>
  <c r="CL180" i="4" s="1"/>
  <c r="CX180" i="4"/>
  <c r="CX33" i="4"/>
  <c r="CN33" i="4"/>
  <c r="CM33" i="4" s="1"/>
  <c r="CL33" i="4" s="1"/>
  <c r="CN44" i="4"/>
  <c r="CM44" i="4" s="1"/>
  <c r="CL44" i="4" s="1"/>
  <c r="CX44" i="4"/>
  <c r="AO57" i="9"/>
  <c r="AN57" i="9" s="1"/>
  <c r="AM57" i="9" s="1"/>
  <c r="AL57" i="9" s="1"/>
  <c r="AO105" i="9"/>
  <c r="AN105" i="9" s="1"/>
  <c r="AM105" i="9" s="1"/>
  <c r="AL105" i="9" s="1"/>
  <c r="AO45" i="9"/>
  <c r="AN45" i="9" s="1"/>
  <c r="AM45" i="9" s="1"/>
  <c r="AL45" i="9" s="1"/>
  <c r="AO131" i="9"/>
  <c r="AN131" i="9" s="1"/>
  <c r="AM131" i="9" s="1"/>
  <c r="AL131" i="9" s="1"/>
  <c r="BC86" i="8"/>
  <c r="BB86" i="8" s="1"/>
  <c r="BA86" i="8" s="1"/>
  <c r="AZ86" i="8" s="1"/>
  <c r="BL86" i="8"/>
  <c r="BC47" i="8"/>
  <c r="BB47" i="8" s="1"/>
  <c r="BA47" i="8" s="1"/>
  <c r="AZ47" i="8" s="1"/>
  <c r="BL47" i="8"/>
  <c r="BC21" i="8"/>
  <c r="BB21" i="8" s="1"/>
  <c r="BA21" i="8" s="1"/>
  <c r="AZ21" i="8" s="1"/>
  <c r="BL21" i="8"/>
  <c r="BU111" i="4"/>
  <c r="BT111" i="4" s="1"/>
  <c r="BS111" i="4" s="1"/>
  <c r="CE111" i="4"/>
  <c r="BU47" i="4"/>
  <c r="BT47" i="4" s="1"/>
  <c r="BS47" i="4" s="1"/>
  <c r="CE47" i="4"/>
  <c r="BU33" i="4"/>
  <c r="BT33" i="4" s="1"/>
  <c r="BS33" i="4" s="1"/>
  <c r="CE33" i="4"/>
  <c r="BU17" i="8"/>
  <c r="BT18" i="8"/>
  <c r="AI110" i="4"/>
  <c r="AS110" i="4"/>
  <c r="BH51" i="9"/>
  <c r="BG51" i="9" s="1"/>
  <c r="BF51" i="9" s="1"/>
  <c r="BE51" i="9" s="1"/>
  <c r="BQ51" i="9"/>
  <c r="BH117" i="9"/>
  <c r="BG117" i="9" s="1"/>
  <c r="BH119" i="9"/>
  <c r="BG119" i="9" s="1"/>
  <c r="BF119" i="9" s="1"/>
  <c r="BE119" i="9" s="1"/>
  <c r="BQ119" i="9"/>
  <c r="BQ123" i="9"/>
  <c r="BH123" i="9"/>
  <c r="BG123" i="9" s="1"/>
  <c r="BF123" i="9" s="1"/>
  <c r="BE123" i="9" s="1"/>
  <c r="BH32" i="9"/>
  <c r="BG32" i="9" s="1"/>
  <c r="BF32" i="9" s="1"/>
  <c r="BE32" i="9" s="1"/>
  <c r="BQ32" i="9"/>
  <c r="AS102" i="7"/>
  <c r="AJ102" i="7"/>
  <c r="AI102" i="7" s="1"/>
  <c r="AJ31" i="7"/>
  <c r="AI31" i="7" s="1"/>
  <c r="AH31" i="7" s="1"/>
  <c r="AG31" i="7" s="1"/>
  <c r="V31" i="7" s="1" a="1"/>
  <c r="V31" i="7" s="1"/>
  <c r="AS31" i="7"/>
  <c r="AS21" i="7"/>
  <c r="AJ21" i="7"/>
  <c r="AI21" i="7" s="1"/>
  <c r="AH21" i="7" s="1"/>
  <c r="AG21" i="7" s="1"/>
  <c r="FU109" i="4"/>
  <c r="FK57" i="4"/>
  <c r="FJ57" i="4" s="1"/>
  <c r="FI57" i="4" s="1"/>
  <c r="FU57" i="4"/>
  <c r="FU65" i="4"/>
  <c r="FK65" i="4"/>
  <c r="FJ65" i="4" s="1"/>
  <c r="FI65" i="4" s="1"/>
  <c r="FK42" i="4"/>
  <c r="FJ42" i="4" s="1"/>
  <c r="FI42" i="4" s="1"/>
  <c r="FU42" i="4"/>
  <c r="FU196" i="4"/>
  <c r="FK196" i="4"/>
  <c r="FB106" i="4"/>
  <c r="ER106" i="4"/>
  <c r="EQ106" i="4" s="1"/>
  <c r="EP106" i="4" s="1"/>
  <c r="ER196" i="4"/>
  <c r="FB196" i="4"/>
  <c r="BU92" i="8"/>
  <c r="BV92" i="8" s="1"/>
  <c r="BT93" i="8"/>
  <c r="BS93" i="8" s="1"/>
  <c r="DQ58" i="4"/>
  <c r="DG156" i="4"/>
  <c r="DQ156" i="4"/>
  <c r="DG96" i="4"/>
  <c r="DF96" i="4" s="1"/>
  <c r="DE96" i="4" s="1"/>
  <c r="DQ96" i="4"/>
  <c r="DQ27" i="4"/>
  <c r="DH27" i="4"/>
  <c r="DG27" i="4" s="1"/>
  <c r="DF27" i="4" s="1"/>
  <c r="DE27" i="4" s="1"/>
  <c r="AS102" i="8"/>
  <c r="AJ102" i="8"/>
  <c r="AI102" i="8" s="1"/>
  <c r="AJ32" i="8"/>
  <c r="AI32" i="8" s="1"/>
  <c r="AH32" i="8" s="1"/>
  <c r="AG32" i="8" s="1"/>
  <c r="AS32" i="8"/>
  <c r="AJ37" i="8"/>
  <c r="AI37" i="8" s="1"/>
  <c r="AH37" i="8" s="1"/>
  <c r="AG37" i="8" s="1"/>
  <c r="AS37" i="8"/>
  <c r="AS54" i="8"/>
  <c r="AJ54" i="8"/>
  <c r="AI54" i="8" s="1"/>
  <c r="AH54" i="8" s="1"/>
  <c r="AG54" i="8" s="1"/>
  <c r="BL87" i="4"/>
  <c r="BB87" i="4"/>
  <c r="BA87" i="4" s="1"/>
  <c r="AZ87" i="4" s="1"/>
  <c r="BB153" i="4"/>
  <c r="BL153" i="4"/>
  <c r="BC17" i="4"/>
  <c r="BB17" i="4" s="1"/>
  <c r="BL21" i="4"/>
  <c r="BC21" i="4"/>
  <c r="BB21" i="4" s="1"/>
  <c r="BA21" i="4" s="1"/>
  <c r="AZ21" i="4" s="1"/>
  <c r="CX120" i="4"/>
  <c r="CN120" i="4"/>
  <c r="CM120" i="4" s="1"/>
  <c r="CL120" i="4" s="1"/>
  <c r="CX94" i="4"/>
  <c r="CN94" i="4"/>
  <c r="CM94" i="4" s="1"/>
  <c r="CL94" i="4" s="1"/>
  <c r="CX140" i="4"/>
  <c r="CN140" i="4"/>
  <c r="CM140" i="4" s="1"/>
  <c r="CL140" i="4" s="1"/>
  <c r="CX145" i="4"/>
  <c r="CN145" i="4"/>
  <c r="CM145" i="4" s="1"/>
  <c r="CL145" i="4" s="1"/>
  <c r="CX87" i="4"/>
  <c r="CN87" i="4"/>
  <c r="CM87" i="4" s="1"/>
  <c r="CL87" i="4" s="1"/>
  <c r="CX103" i="4"/>
  <c r="CN103" i="4"/>
  <c r="CM103" i="4" s="1"/>
  <c r="CL103" i="4" s="1"/>
  <c r="CO27" i="4"/>
  <c r="CN27" i="4" s="1"/>
  <c r="CM27" i="4" s="1"/>
  <c r="CL27" i="4" s="1"/>
  <c r="CX27" i="4"/>
  <c r="BU99" i="8"/>
  <c r="BT100" i="8"/>
  <c r="BS100" i="8" s="1"/>
  <c r="AO147" i="9"/>
  <c r="AN147" i="9" s="1"/>
  <c r="AM147" i="9" s="1"/>
  <c r="AL147" i="9" s="1"/>
  <c r="AO67" i="9"/>
  <c r="AN67" i="9" s="1"/>
  <c r="AM67" i="9" s="1"/>
  <c r="AL67" i="9" s="1"/>
  <c r="AO114" i="9"/>
  <c r="AN114" i="9" s="1"/>
  <c r="AM114" i="9" s="1"/>
  <c r="AL114" i="9" s="1"/>
  <c r="AO88" i="9"/>
  <c r="AN88" i="9" s="1"/>
  <c r="AM88" i="9" s="1"/>
  <c r="AL88" i="9" s="1"/>
  <c r="BL20" i="8"/>
  <c r="BC20" i="8"/>
  <c r="BB20" i="8" s="1"/>
  <c r="BA20" i="8" s="1"/>
  <c r="AZ20" i="8" s="1"/>
  <c r="BU74" i="4"/>
  <c r="BT74" i="4" s="1"/>
  <c r="BS74" i="4" s="1"/>
  <c r="CE74" i="4"/>
  <c r="BU186" i="4"/>
  <c r="BT186" i="4" s="1"/>
  <c r="BS186" i="4" s="1"/>
  <c r="CE186" i="4"/>
  <c r="CE76" i="4"/>
  <c r="BU76" i="4"/>
  <c r="BT76" i="4" s="1"/>
  <c r="BS76" i="4" s="1"/>
  <c r="BU31" i="4"/>
  <c r="BT31" i="4" s="1"/>
  <c r="BS31" i="4" s="1"/>
  <c r="CE31" i="4"/>
  <c r="AF20" i="5" a="1"/>
  <c r="AF20" i="5" s="1"/>
  <c r="AD121" i="5" s="1" a="1"/>
  <c r="AD121" i="5" s="1"/>
  <c r="AS118" i="4"/>
  <c r="AI111" i="4"/>
  <c r="AH111" i="4" s="1"/>
  <c r="AG111" i="4" s="1"/>
  <c r="AS111" i="4"/>
  <c r="AS61" i="4"/>
  <c r="AI61" i="4"/>
  <c r="AH61" i="4" s="1"/>
  <c r="AG61" i="4" s="1"/>
  <c r="AS53" i="4"/>
  <c r="AI53" i="4"/>
  <c r="AH53" i="4" s="1"/>
  <c r="AG53" i="4" s="1"/>
  <c r="AS22" i="4"/>
  <c r="AJ22" i="4"/>
  <c r="AI22" i="4" s="1"/>
  <c r="AH22" i="4" s="1"/>
  <c r="AG22" i="4" s="1"/>
  <c r="CN59" i="8"/>
  <c r="CO59" i="8" s="1"/>
  <c r="CM60" i="8"/>
  <c r="CL60" i="8" s="1"/>
  <c r="BH141" i="9"/>
  <c r="BG141" i="9" s="1"/>
  <c r="BF141" i="9" s="1"/>
  <c r="BE141" i="9" s="1"/>
  <c r="BQ141" i="9"/>
  <c r="BH95" i="9"/>
  <c r="BG95" i="9" s="1"/>
  <c r="BF95" i="9" s="1"/>
  <c r="BE95" i="9" s="1"/>
  <c r="BQ95" i="9"/>
  <c r="BQ83" i="9"/>
  <c r="BH83" i="9"/>
  <c r="BG83" i="9" s="1"/>
  <c r="BF83" i="9" s="1"/>
  <c r="BE83" i="9" s="1"/>
  <c r="BH29" i="9"/>
  <c r="BG29" i="9" s="1"/>
  <c r="BF29" i="9" s="1"/>
  <c r="BE29" i="9" s="1"/>
  <c r="AS19" i="7"/>
  <c r="AJ19" i="7"/>
  <c r="AI19" i="7" s="1"/>
  <c r="AH19" i="7" s="1"/>
  <c r="AG19" i="7" s="1"/>
  <c r="FU118" i="4"/>
  <c r="FK177" i="4"/>
  <c r="FJ177" i="4" s="1"/>
  <c r="FI177" i="4" s="1"/>
  <c r="FU177" i="4"/>
  <c r="FU167" i="4"/>
  <c r="FK167" i="4"/>
  <c r="FK108" i="4"/>
  <c r="FJ108" i="4" s="1"/>
  <c r="FI108" i="4" s="1"/>
  <c r="FU108" i="4"/>
  <c r="FU43" i="4"/>
  <c r="FK43" i="4"/>
  <c r="FJ43" i="4" s="1"/>
  <c r="FI43" i="4" s="1"/>
  <c r="FB66" i="4"/>
  <c r="ER164" i="4"/>
  <c r="FB164" i="4"/>
  <c r="ER103" i="4"/>
  <c r="EQ103" i="4" s="1"/>
  <c r="EP103" i="4" s="1"/>
  <c r="FB103" i="4"/>
  <c r="FB154" i="4"/>
  <c r="ER154" i="4"/>
  <c r="EQ154" i="4" s="1"/>
  <c r="EP154" i="4" s="1"/>
  <c r="FB44" i="4"/>
  <c r="ER44" i="4"/>
  <c r="EQ44" i="4" s="1"/>
  <c r="EP44" i="4" s="1"/>
  <c r="DQ135" i="4"/>
  <c r="DQ107" i="4"/>
  <c r="DG107" i="4"/>
  <c r="DF107" i="4" s="1"/>
  <c r="DE107" i="4" s="1"/>
  <c r="DQ182" i="4"/>
  <c r="DG182" i="4"/>
  <c r="DF182" i="4" s="1"/>
  <c r="DE182" i="4" s="1"/>
  <c r="DQ188" i="4"/>
  <c r="DG188" i="4"/>
  <c r="DG130" i="4"/>
  <c r="DF130" i="4" s="1"/>
  <c r="DE130" i="4" s="1"/>
  <c r="DQ130" i="4"/>
  <c r="DG55" i="4"/>
  <c r="DF55" i="4" s="1"/>
  <c r="DQ55" i="4"/>
  <c r="AS66" i="8"/>
  <c r="AJ66" i="8"/>
  <c r="AI66" i="8" s="1"/>
  <c r="AS60" i="8"/>
  <c r="AJ60" i="8"/>
  <c r="AI60" i="8" s="1"/>
  <c r="AS105" i="8"/>
  <c r="AJ105" i="8"/>
  <c r="AI105" i="8" s="1"/>
  <c r="BB94" i="4"/>
  <c r="BA94" i="4" s="1"/>
  <c r="AZ94" i="4" s="1"/>
  <c r="BL94" i="4"/>
  <c r="BB65" i="4"/>
  <c r="BA65" i="4" s="1"/>
  <c r="AZ65" i="4" s="1"/>
  <c r="BL65" i="4"/>
  <c r="BC27" i="4"/>
  <c r="BB27" i="4" s="1"/>
  <c r="BA27" i="4" s="1"/>
  <c r="AZ27" i="4" s="1"/>
  <c r="BL27" i="4"/>
  <c r="AN16" i="4"/>
  <c r="AN204" i="4" a="1"/>
  <c r="AN204" i="4" s="1"/>
  <c r="AL204" i="4" a="1"/>
  <c r="AL204" i="4" s="1"/>
  <c r="AM204" i="4" a="1"/>
  <c r="AM204" i="4" s="1"/>
  <c r="CW28" i="4" a="1"/>
  <c r="CW28" i="4" s="1"/>
  <c r="CX62" i="4"/>
  <c r="CN139" i="4"/>
  <c r="CM139" i="4" s="1"/>
  <c r="CL139" i="4" s="1"/>
  <c r="CX139" i="4"/>
  <c r="CN175" i="4"/>
  <c r="CM175" i="4" s="1"/>
  <c r="CL175" i="4" s="1"/>
  <c r="CX175" i="4"/>
  <c r="CN106" i="4"/>
  <c r="CM106" i="4" s="1"/>
  <c r="CL106" i="4" s="1"/>
  <c r="CX106" i="4"/>
  <c r="CN154" i="4"/>
  <c r="CM154" i="4" s="1"/>
  <c r="CL154" i="4" s="1"/>
  <c r="CX154" i="4"/>
  <c r="CX147" i="4"/>
  <c r="CN147" i="4"/>
  <c r="CM147" i="4" s="1"/>
  <c r="CL147" i="4" s="1"/>
  <c r="CO25" i="4"/>
  <c r="CN25" i="4" s="1"/>
  <c r="CM25" i="4" s="1"/>
  <c r="CL25" i="4" s="1"/>
  <c r="CX25" i="4"/>
  <c r="AO74" i="9"/>
  <c r="AN74" i="9" s="1"/>
  <c r="AM74" i="9" s="1"/>
  <c r="AL74" i="9" s="1"/>
  <c r="AO140" i="9"/>
  <c r="AN140" i="9" s="1"/>
  <c r="AM140" i="9" s="1"/>
  <c r="AL140" i="9" s="1"/>
  <c r="BU62" i="8"/>
  <c r="BV62" i="8" s="1"/>
  <c r="BT63" i="8"/>
  <c r="BS63" i="8" s="1"/>
  <c r="BL104" i="8"/>
  <c r="BL24" i="8"/>
  <c r="BC24" i="8"/>
  <c r="BB24" i="8" s="1"/>
  <c r="BA24" i="8" s="1"/>
  <c r="AZ24" i="8" s="1"/>
  <c r="BU172" i="4"/>
  <c r="BT172" i="4" s="1"/>
  <c r="BS172" i="4" s="1"/>
  <c r="CE172" i="4"/>
  <c r="CE41" i="4"/>
  <c r="BU41" i="4"/>
  <c r="BT41" i="4" s="1"/>
  <c r="BS41" i="4" s="1"/>
  <c r="BU199" i="4"/>
  <c r="CE199" i="4"/>
  <c r="AH101" i="5"/>
  <c r="AG101" i="5" s="1"/>
  <c r="U101" i="5" s="1"/>
  <c r="AI100" i="5"/>
  <c r="AI55" i="4"/>
  <c r="AH55" i="4" s="1"/>
  <c r="AG55" i="4" s="1"/>
  <c r="AS55" i="4"/>
  <c r="FA28" i="4" a="1"/>
  <c r="FA28" i="4" s="1"/>
  <c r="AS45" i="4"/>
  <c r="AI45" i="4"/>
  <c r="AH45" i="4" s="1"/>
  <c r="AG45" i="4" s="1"/>
  <c r="AI191" i="4"/>
  <c r="AH191" i="4" s="1"/>
  <c r="AG191" i="4" s="1"/>
  <c r="AS191" i="4"/>
  <c r="AS123" i="4"/>
  <c r="AI123" i="4"/>
  <c r="AH123" i="4" s="1"/>
  <c r="AG123" i="4" s="1"/>
  <c r="AS177" i="4"/>
  <c r="AI177" i="4"/>
  <c r="AH177" i="4" s="1"/>
  <c r="AG177" i="4" s="1"/>
  <c r="AS73" i="4"/>
  <c r="AI73" i="4"/>
  <c r="AH73" i="4" s="1"/>
  <c r="AG73" i="4" s="1"/>
  <c r="AI199" i="4"/>
  <c r="AS199" i="4"/>
  <c r="AI37" i="4"/>
  <c r="AH37" i="4" s="1"/>
  <c r="AG37" i="4" s="1"/>
  <c r="AS37" i="4"/>
  <c r="BQ166" i="9"/>
  <c r="BH84" i="9"/>
  <c r="BG84" i="9" s="1"/>
  <c r="BF84" i="9" s="1"/>
  <c r="BE84" i="9" s="1"/>
  <c r="BQ84" i="9"/>
  <c r="BH111" i="9"/>
  <c r="BG111" i="9" s="1"/>
  <c r="BF111" i="9" s="1"/>
  <c r="BE111" i="9" s="1"/>
  <c r="BH40" i="9"/>
  <c r="BG40" i="9" s="1"/>
  <c r="BF40" i="9" s="1"/>
  <c r="BE40" i="9" s="1"/>
  <c r="BH75" i="9"/>
  <c r="BG75" i="9" s="1"/>
  <c r="BF75" i="9" s="1"/>
  <c r="BE75" i="9" s="1"/>
  <c r="BD173" i="9" a="1"/>
  <c r="BD173" i="9" s="1"/>
  <c r="BB173" i="9" a="1"/>
  <c r="BB173" i="9" s="1"/>
  <c r="BC173" i="9" a="1"/>
  <c r="BC173" i="9" s="1"/>
  <c r="AY173" i="9" a="1"/>
  <c r="AY173" i="9" s="1"/>
  <c r="AS44" i="7"/>
  <c r="AJ44" i="7"/>
  <c r="AI44" i="7" s="1"/>
  <c r="Q5" i="7"/>
  <c r="P24" i="7"/>
  <c r="P18" i="7"/>
  <c r="P21" i="7"/>
  <c r="P20" i="7"/>
  <c r="P17" i="7"/>
  <c r="P25" i="7"/>
  <c r="P26" i="7"/>
  <c r="P19" i="7"/>
  <c r="P52" i="7"/>
  <c r="P54" i="7"/>
  <c r="P36" i="7"/>
  <c r="P47" i="7"/>
  <c r="P59" i="7"/>
  <c r="P44" i="7"/>
  <c r="P31" i="7"/>
  <c r="P72" i="7"/>
  <c r="P57" i="7"/>
  <c r="P56" i="7"/>
  <c r="P90" i="7"/>
  <c r="P81" i="7"/>
  <c r="P79" i="7"/>
  <c r="P66" i="7"/>
  <c r="P99" i="7"/>
  <c r="P35" i="7"/>
  <c r="P28" i="7"/>
  <c r="P73" i="7"/>
  <c r="P46" i="7"/>
  <c r="P63" i="7"/>
  <c r="P102" i="7"/>
  <c r="P94" i="7"/>
  <c r="P91" i="7"/>
  <c r="P78" i="7"/>
  <c r="P100" i="7"/>
  <c r="P38" i="7"/>
  <c r="P34" i="7"/>
  <c r="P71" i="7"/>
  <c r="P37" i="7"/>
  <c r="P92" i="7"/>
  <c r="P87" i="7"/>
  <c r="P76" i="7"/>
  <c r="P85" i="7"/>
  <c r="P33" i="7"/>
  <c r="P53" i="7"/>
  <c r="P60" i="7"/>
  <c r="P45" i="7"/>
  <c r="P75" i="7"/>
  <c r="P74" i="7"/>
  <c r="P95" i="7"/>
  <c r="P97" i="7"/>
  <c r="P49" i="7"/>
  <c r="P41" i="7"/>
  <c r="P82" i="7"/>
  <c r="P40" i="7"/>
  <c r="P69" i="7"/>
  <c r="P27" i="7"/>
  <c r="P68" i="7"/>
  <c r="P39" i="7"/>
  <c r="P32" i="7"/>
  <c r="P62" i="7"/>
  <c r="P67" i="7"/>
  <c r="P77" i="7"/>
  <c r="P89" i="7"/>
  <c r="P22" i="7"/>
  <c r="P55" i="7"/>
  <c r="P96" i="7"/>
  <c r="P58" i="7"/>
  <c r="P48" i="7"/>
  <c r="P93" i="7"/>
  <c r="P86" i="7"/>
  <c r="P70" i="7"/>
  <c r="P80" i="7"/>
  <c r="P43" i="7"/>
  <c r="P101" i="7"/>
  <c r="P84" i="7"/>
  <c r="P61" i="7"/>
  <c r="P98" i="7"/>
  <c r="P83" i="7"/>
  <c r="P88" i="7"/>
  <c r="P42" i="7"/>
  <c r="CM102" i="8"/>
  <c r="CL102" i="8" s="1"/>
  <c r="CN101" i="8"/>
  <c r="CO101" i="8" s="1"/>
  <c r="FU60" i="4"/>
  <c r="FK60" i="4"/>
  <c r="FJ60" i="4" s="1"/>
  <c r="FI60" i="4" s="1"/>
  <c r="FU67" i="4"/>
  <c r="FK67" i="4"/>
  <c r="FU117" i="4"/>
  <c r="FK117" i="4"/>
  <c r="FJ117" i="4" s="1"/>
  <c r="FI117" i="4" s="1"/>
  <c r="FK35" i="4"/>
  <c r="FJ35" i="4" s="1"/>
  <c r="FI35" i="4" s="1"/>
  <c r="FU35" i="4"/>
  <c r="FU34" i="4"/>
  <c r="FK34" i="4"/>
  <c r="FJ34" i="4" s="1"/>
  <c r="FI34" i="4" s="1"/>
  <c r="FB166" i="4"/>
  <c r="ER123" i="4"/>
  <c r="EQ123" i="4" s="1"/>
  <c r="EP123" i="4" s="1"/>
  <c r="FB123" i="4"/>
  <c r="ER86" i="4"/>
  <c r="EQ86" i="4" s="1"/>
  <c r="EP86" i="4" s="1"/>
  <c r="FB86" i="4"/>
  <c r="FB195" i="4"/>
  <c r="ER35" i="4"/>
  <c r="EQ35" i="4" s="1"/>
  <c r="EP35" i="4" s="1"/>
  <c r="FB35" i="4"/>
  <c r="DQ66" i="4"/>
  <c r="DQ61" i="4"/>
  <c r="DG61" i="4"/>
  <c r="DF61" i="4" s="1"/>
  <c r="DE61" i="4" s="1"/>
  <c r="DQ169" i="4"/>
  <c r="DG169" i="4"/>
  <c r="DF169" i="4" s="1"/>
  <c r="DE169" i="4" s="1"/>
  <c r="DQ137" i="4"/>
  <c r="DG137" i="4"/>
  <c r="DF137" i="4" s="1"/>
  <c r="DE137" i="4" s="1"/>
  <c r="DG119" i="4"/>
  <c r="DQ119" i="4"/>
  <c r="AJ48" i="8"/>
  <c r="AI48" i="8" s="1"/>
  <c r="AH48" i="8" s="1"/>
  <c r="AG48" i="8" s="1"/>
  <c r="AS48" i="8"/>
  <c r="AS33" i="8"/>
  <c r="AJ33" i="8"/>
  <c r="AI33" i="8" s="1"/>
  <c r="AH33" i="8" s="1"/>
  <c r="AG33" i="8" s="1"/>
  <c r="BB186" i="4"/>
  <c r="BA186" i="4" s="1"/>
  <c r="AZ186" i="4" s="1"/>
  <c r="BL186" i="4"/>
  <c r="BL107" i="4"/>
  <c r="BB107" i="4"/>
  <c r="BA107" i="4" s="1"/>
  <c r="AZ107" i="4" s="1"/>
  <c r="BB147" i="4"/>
  <c r="BA147" i="4" s="1"/>
  <c r="AZ147" i="4" s="1"/>
  <c r="BL147" i="4"/>
  <c r="BL51" i="4"/>
  <c r="BB51" i="4"/>
  <c r="BA51" i="4" s="1"/>
  <c r="AZ51" i="4" s="1"/>
  <c r="BB172" i="4"/>
  <c r="BA172" i="4" s="1"/>
  <c r="AZ172" i="4" s="1"/>
  <c r="BL172" i="4"/>
  <c r="BC20" i="4"/>
  <c r="BB20" i="4" s="1"/>
  <c r="BA20" i="4" s="1"/>
  <c r="AZ20" i="4" s="1"/>
  <c r="BL20" i="4"/>
  <c r="CX66" i="4"/>
  <c r="CX191" i="4"/>
  <c r="CN191" i="4"/>
  <c r="CM191" i="4" s="1"/>
  <c r="CL191" i="4" s="1"/>
  <c r="AO111" i="9"/>
  <c r="AN111" i="9" s="1"/>
  <c r="AM111" i="9" s="1"/>
  <c r="AL111" i="9" s="1"/>
  <c r="AO82" i="9"/>
  <c r="AN82" i="9" s="1"/>
  <c r="AM82" i="9" s="1"/>
  <c r="AL82" i="9" s="1"/>
  <c r="AO136" i="9"/>
  <c r="AN136" i="9" s="1"/>
  <c r="BL99" i="8"/>
  <c r="BL102" i="8"/>
  <c r="BC102" i="8"/>
  <c r="BB102" i="8" s="1"/>
  <c r="BC96" i="8"/>
  <c r="BB96" i="8" s="1"/>
  <c r="BL96" i="8"/>
  <c r="AT11" i="8"/>
  <c r="AT12" i="8" s="1"/>
  <c r="AT10" i="8"/>
  <c r="BU156" i="4"/>
  <c r="CE156" i="4"/>
  <c r="CE73" i="4"/>
  <c r="BU73" i="4"/>
  <c r="BT73" i="4" s="1"/>
  <c r="BS73" i="4" s="1"/>
  <c r="CE110" i="4"/>
  <c r="BU110" i="4"/>
  <c r="CE137" i="4"/>
  <c r="BU137" i="4"/>
  <c r="BT137" i="4" s="1"/>
  <c r="BS137" i="4" s="1"/>
  <c r="CE23" i="4"/>
  <c r="BV23" i="4"/>
  <c r="BU23" i="4" s="1"/>
  <c r="BT23" i="4" s="1"/>
  <c r="BS23" i="4" s="1"/>
  <c r="CE45" i="4"/>
  <c r="BU45" i="4"/>
  <c r="BT45" i="4" s="1"/>
  <c r="BS45" i="4" s="1"/>
  <c r="AA11" i="7"/>
  <c r="AA12" i="7" s="1"/>
  <c r="AA10" i="7"/>
  <c r="CV16" i="4"/>
  <c r="CW17" i="4"/>
  <c r="CX17" i="4" s="1"/>
  <c r="AS29" i="4"/>
  <c r="AF28" i="4" a="1"/>
  <c r="AF28" i="4" s="1"/>
  <c r="AA203" i="4" s="1" a="1"/>
  <c r="AA203" i="4" s="1"/>
  <c r="AI96" i="4"/>
  <c r="AH96" i="4" s="1"/>
  <c r="AG96" i="4" s="1"/>
  <c r="AS96" i="4"/>
  <c r="AI51" i="4"/>
  <c r="AH51" i="4" s="1"/>
  <c r="AG51" i="4" s="1"/>
  <c r="AS51" i="4"/>
  <c r="P198" i="4"/>
  <c r="P25" i="4"/>
  <c r="P33" i="4"/>
  <c r="P34" i="4"/>
  <c r="P16" i="4"/>
  <c r="P18" i="4"/>
  <c r="P19" i="4"/>
  <c r="P37" i="4"/>
  <c r="P22" i="4"/>
  <c r="P45" i="4"/>
  <c r="P50" i="4"/>
  <c r="P26" i="4"/>
  <c r="P20" i="4"/>
  <c r="P194" i="4"/>
  <c r="P17" i="4"/>
  <c r="P195" i="4"/>
  <c r="P49" i="4"/>
  <c r="Q5" i="4"/>
  <c r="V3" i="4" s="1"/>
  <c r="P43" i="4"/>
  <c r="P40" i="4"/>
  <c r="P36" i="4"/>
  <c r="P31" i="4"/>
  <c r="P42" i="4"/>
  <c r="P46" i="4"/>
  <c r="P27" i="4"/>
  <c r="P21" i="4"/>
  <c r="P47" i="4"/>
  <c r="P41" i="4"/>
  <c r="P24" i="4"/>
  <c r="P23" i="4"/>
  <c r="P44" i="4"/>
  <c r="P35" i="4"/>
  <c r="P39" i="4"/>
  <c r="P72" i="4"/>
  <c r="P69" i="4"/>
  <c r="P175" i="4"/>
  <c r="P67" i="4"/>
  <c r="P103" i="4"/>
  <c r="P73" i="4"/>
  <c r="P164" i="4"/>
  <c r="P157" i="4"/>
  <c r="P183" i="4"/>
  <c r="P112" i="4"/>
  <c r="P74" i="4"/>
  <c r="P117" i="4"/>
  <c r="P83" i="4"/>
  <c r="P65" i="4"/>
  <c r="P76" i="4"/>
  <c r="P75" i="4"/>
  <c r="P140" i="4"/>
  <c r="P106" i="4"/>
  <c r="P53" i="4"/>
  <c r="P173" i="4"/>
  <c r="P55" i="4"/>
  <c r="P134" i="4"/>
  <c r="P60" i="4"/>
  <c r="P61" i="4"/>
  <c r="P147" i="4"/>
  <c r="P190" i="4"/>
  <c r="P51" i="4"/>
  <c r="P119" i="4"/>
  <c r="P148" i="4"/>
  <c r="P150" i="4"/>
  <c r="P101" i="4"/>
  <c r="P167" i="4"/>
  <c r="P181" i="4"/>
  <c r="P162" i="4"/>
  <c r="P139" i="4"/>
  <c r="P182" i="4"/>
  <c r="P107" i="4"/>
  <c r="P193" i="4"/>
  <c r="P68" i="4"/>
  <c r="P168" i="4"/>
  <c r="P115" i="4"/>
  <c r="P96" i="4"/>
  <c r="P120" i="4"/>
  <c r="P113" i="4"/>
  <c r="P146" i="4"/>
  <c r="P125" i="4"/>
  <c r="P154" i="4"/>
  <c r="P86" i="4"/>
  <c r="P30" i="4"/>
  <c r="P144" i="4"/>
  <c r="P108" i="4"/>
  <c r="P185" i="4"/>
  <c r="P186" i="4"/>
  <c r="P191" i="4"/>
  <c r="P158" i="4"/>
  <c r="P180" i="4"/>
  <c r="P57" i="4"/>
  <c r="P71" i="4"/>
  <c r="P184" i="4"/>
  <c r="P145" i="4"/>
  <c r="P188" i="4"/>
  <c r="P156" i="4"/>
  <c r="P153" i="4"/>
  <c r="P95" i="4"/>
  <c r="P111" i="4"/>
  <c r="P178" i="4"/>
  <c r="P94" i="4"/>
  <c r="P59" i="4"/>
  <c r="P138" i="4"/>
  <c r="P123" i="4"/>
  <c r="P176" i="4"/>
  <c r="P169" i="4"/>
  <c r="P85" i="4"/>
  <c r="P127" i="4"/>
  <c r="P137" i="4"/>
  <c r="P171" i="4"/>
  <c r="P130" i="4"/>
  <c r="P179" i="4"/>
  <c r="P93" i="4"/>
  <c r="P177" i="4"/>
  <c r="P110" i="4"/>
  <c r="P87" i="4"/>
  <c r="P159" i="4"/>
  <c r="P166" i="4"/>
  <c r="P62" i="4"/>
  <c r="P163" i="4"/>
  <c r="P66" i="4"/>
  <c r="P161" i="4"/>
  <c r="P109" i="4"/>
  <c r="P118" i="4"/>
  <c r="P29" i="4"/>
  <c r="P58" i="4"/>
  <c r="P155" i="4"/>
  <c r="P152" i="4"/>
  <c r="P141" i="4"/>
  <c r="P114" i="4"/>
  <c r="P135" i="4"/>
  <c r="P170" i="4"/>
  <c r="P187" i="4"/>
  <c r="P97" i="4"/>
  <c r="P70" i="4"/>
  <c r="P192" i="4"/>
  <c r="P78" i="4"/>
  <c r="P189" i="4"/>
  <c r="P28" i="4"/>
  <c r="P165" i="4"/>
  <c r="P77" i="4"/>
  <c r="P160" i="4"/>
  <c r="AS179" i="4"/>
  <c r="AI179" i="4"/>
  <c r="AH179" i="4" s="1"/>
  <c r="AG179" i="4" s="1"/>
  <c r="AI87" i="4"/>
  <c r="AH87" i="4" s="1"/>
  <c r="AG87" i="4" s="1"/>
  <c r="AS87" i="4"/>
  <c r="AS60" i="4"/>
  <c r="AI60" i="4"/>
  <c r="AH60" i="4" s="1"/>
  <c r="AG60" i="4" s="1"/>
  <c r="AS75" i="4"/>
  <c r="AI75" i="4"/>
  <c r="AH75" i="4" s="1"/>
  <c r="AG75" i="4" s="1"/>
  <c r="AI44" i="4"/>
  <c r="AH44" i="4" s="1"/>
  <c r="AG44" i="4" s="1"/>
  <c r="AS44" i="4"/>
  <c r="BH62" i="9"/>
  <c r="BG62" i="9" s="1"/>
  <c r="BF62" i="9" s="1"/>
  <c r="BE62" i="9" s="1"/>
  <c r="BQ62" i="9"/>
  <c r="BH59" i="9"/>
  <c r="BG59" i="9" s="1"/>
  <c r="BF59" i="9" s="1"/>
  <c r="BE59" i="9" s="1"/>
  <c r="BH168" i="9"/>
  <c r="BG168" i="9" s="1"/>
  <c r="BF168" i="9" s="1"/>
  <c r="BE168" i="9" s="1"/>
  <c r="BQ168" i="9"/>
  <c r="BH63" i="9"/>
  <c r="BG63" i="9" s="1"/>
  <c r="BF63" i="9" s="1"/>
  <c r="BE63" i="9" s="1"/>
  <c r="BH28" i="9"/>
  <c r="BG28" i="9" s="1"/>
  <c r="BF28" i="9" s="1"/>
  <c r="BE28" i="9" s="1"/>
  <c r="BQ28" i="9"/>
  <c r="AS85" i="7"/>
  <c r="AJ85" i="7"/>
  <c r="AI85" i="7" s="1"/>
  <c r="AS47" i="7"/>
  <c r="AJ47" i="7"/>
  <c r="AI47" i="7" s="1"/>
  <c r="AH47" i="7" s="1"/>
  <c r="AG47" i="7" s="1"/>
  <c r="R47" i="7" s="1" a="1"/>
  <c r="R47" i="7" s="1"/>
  <c r="AJ18" i="7"/>
  <c r="AI18" i="7" s="1"/>
  <c r="FK87" i="4"/>
  <c r="FJ87" i="4" s="1"/>
  <c r="FI87" i="4" s="1"/>
  <c r="FU87" i="4"/>
  <c r="FU69" i="4"/>
  <c r="FK69" i="4"/>
  <c r="FJ69" i="4" s="1"/>
  <c r="FI69" i="4" s="1"/>
  <c r="FU173" i="4"/>
  <c r="FK173" i="4"/>
  <c r="FJ173" i="4" s="1"/>
  <c r="FI173" i="4" s="1"/>
  <c r="BT109" i="8"/>
  <c r="BS109" i="8" s="1"/>
  <c r="BU108" i="8"/>
  <c r="BV108" i="8" s="1"/>
  <c r="ER176" i="4"/>
  <c r="EQ176" i="4" s="1"/>
  <c r="EP176" i="4" s="1"/>
  <c r="FB176" i="4"/>
  <c r="FB159" i="4"/>
  <c r="ER159" i="4"/>
  <c r="EQ159" i="4" s="1"/>
  <c r="EP159" i="4" s="1"/>
  <c r="FB61" i="4"/>
  <c r="ER61" i="4"/>
  <c r="EQ61" i="4" s="1"/>
  <c r="EP61" i="4" s="1"/>
  <c r="FB146" i="4"/>
  <c r="ER146" i="4"/>
  <c r="EQ146" i="4" s="1"/>
  <c r="EP146" i="4" s="1"/>
  <c r="ER139" i="4"/>
  <c r="EQ139" i="4" s="1"/>
  <c r="EP139" i="4" s="1"/>
  <c r="FB139" i="4"/>
  <c r="ER178" i="4"/>
  <c r="EQ178" i="4" s="1"/>
  <c r="EP178" i="4" s="1"/>
  <c r="FB178" i="4"/>
  <c r="FB41" i="4"/>
  <c r="ER41" i="4"/>
  <c r="EQ41" i="4" s="1"/>
  <c r="EP41" i="4" s="1"/>
  <c r="DG113" i="4"/>
  <c r="DF113" i="4" s="1"/>
  <c r="DE113" i="4" s="1"/>
  <c r="DQ113" i="4"/>
  <c r="DG127" i="4"/>
  <c r="DF127" i="4" s="1"/>
  <c r="DE127" i="4" s="1"/>
  <c r="DQ127" i="4"/>
  <c r="DG35" i="4"/>
  <c r="DF35" i="4" s="1"/>
  <c r="DE35" i="4" s="1"/>
  <c r="DQ35" i="4"/>
  <c r="AS104" i="8"/>
  <c r="AJ97" i="8"/>
  <c r="AI97" i="8" s="1"/>
  <c r="AH97" i="8" s="1"/>
  <c r="AG97" i="8" s="1"/>
  <c r="AS97" i="8"/>
  <c r="AS39" i="8"/>
  <c r="AJ39" i="8"/>
  <c r="AI39" i="8" s="1"/>
  <c r="AH39" i="8" s="1"/>
  <c r="AG39" i="8" s="1"/>
  <c r="BL55" i="4"/>
  <c r="BB55" i="4"/>
  <c r="BA55" i="4" s="1"/>
  <c r="AZ55" i="4" s="1"/>
  <c r="BB72" i="4"/>
  <c r="BA72" i="4" s="1"/>
  <c r="AZ72" i="4" s="1"/>
  <c r="BL72" i="4"/>
  <c r="BL168" i="4"/>
  <c r="BB168" i="4"/>
  <c r="BA168" i="4" s="1"/>
  <c r="AZ168" i="4" s="1"/>
  <c r="BL18" i="4"/>
  <c r="BC18" i="4"/>
  <c r="BB18" i="4" s="1"/>
  <c r="BA18" i="4" s="1"/>
  <c r="AZ18" i="4" s="1"/>
  <c r="CX29" i="4"/>
  <c r="CK28" i="4" a="1"/>
  <c r="CK28" i="4" s="1"/>
  <c r="CK203" i="4" s="1" a="1"/>
  <c r="CK203" i="4" s="1"/>
  <c r="CX161" i="4"/>
  <c r="CX182" i="4"/>
  <c r="CN182" i="4"/>
  <c r="CM182" i="4" s="1"/>
  <c r="CL182" i="4" s="1"/>
  <c r="CN171" i="4"/>
  <c r="CX171" i="4"/>
  <c r="AO157" i="9"/>
  <c r="AN157" i="9" s="1"/>
  <c r="AO139" i="9"/>
  <c r="AN139" i="9" s="1"/>
  <c r="AO73" i="9"/>
  <c r="AN73" i="9" s="1"/>
  <c r="AM73" i="9" s="1"/>
  <c r="AL73" i="9" s="1"/>
  <c r="AO168" i="9"/>
  <c r="AN168" i="9" s="1"/>
  <c r="AM168" i="9" s="1"/>
  <c r="AL168" i="9" s="1"/>
  <c r="AO149" i="9"/>
  <c r="AN149" i="9" s="1"/>
  <c r="AM149" i="9" s="1"/>
  <c r="AL149" i="9" s="1"/>
  <c r="AO30" i="9"/>
  <c r="AN30" i="9" s="1"/>
  <c r="AM30" i="9" s="1"/>
  <c r="AL30" i="9" s="1"/>
  <c r="BC115" i="8"/>
  <c r="BB115" i="8" s="1"/>
  <c r="BL115" i="8"/>
  <c r="BL23" i="8"/>
  <c r="BC23" i="8"/>
  <c r="BB23" i="8" s="1"/>
  <c r="BC37" i="8"/>
  <c r="BB37" i="8" s="1"/>
  <c r="BA37" i="8" s="1"/>
  <c r="AZ37" i="8" s="1"/>
  <c r="BL37" i="8"/>
  <c r="BC46" i="8"/>
  <c r="BB46" i="8" s="1"/>
  <c r="BA46" i="8" s="1"/>
  <c r="AZ46" i="8" s="1"/>
  <c r="BL46" i="8"/>
  <c r="BL50" i="8"/>
  <c r="BC50" i="8"/>
  <c r="BB50" i="8" s="1"/>
  <c r="AW121" i="8" a="1"/>
  <c r="AW121" i="8" s="1"/>
  <c r="AX121" i="8" a="1"/>
  <c r="AX121" i="8" s="1"/>
  <c r="AY121" i="8" a="1"/>
  <c r="AY121" i="8" s="1"/>
  <c r="AT121" i="8" a="1"/>
  <c r="AT121" i="8" s="1"/>
  <c r="CE103" i="4"/>
  <c r="BU103" i="4"/>
  <c r="BT103" i="4" s="1"/>
  <c r="BS103" i="4" s="1"/>
  <c r="BU175" i="4"/>
  <c r="BT175" i="4" s="1"/>
  <c r="BS175" i="4" s="1"/>
  <c r="CE175" i="4"/>
  <c r="BU168" i="4"/>
  <c r="BT168" i="4" s="1"/>
  <c r="BS168" i="4" s="1"/>
  <c r="CE168" i="4"/>
  <c r="CE154" i="4"/>
  <c r="BU154" i="4"/>
  <c r="BT154" i="4" s="1"/>
  <c r="BS154" i="4" s="1"/>
  <c r="CE37" i="4"/>
  <c r="BU37" i="4"/>
  <c r="BT37" i="4" s="1"/>
  <c r="BS37" i="4" s="1"/>
  <c r="CE196" i="4"/>
  <c r="BU196" i="4"/>
  <c r="AI67" i="5"/>
  <c r="AJ67" i="5" s="1"/>
  <c r="AH68" i="5"/>
  <c r="AG68" i="5" s="1"/>
  <c r="U68" i="5" s="1"/>
  <c r="BQ108" i="9"/>
  <c r="BH108" i="9"/>
  <c r="BG108" i="9" s="1"/>
  <c r="BF108" i="9" s="1"/>
  <c r="BE108" i="9" s="1"/>
  <c r="AS139" i="4"/>
  <c r="AI139" i="4"/>
  <c r="AH139" i="4" s="1"/>
  <c r="AG139" i="4" s="1"/>
  <c r="BT105" i="8"/>
  <c r="BS105" i="8" s="1"/>
  <c r="BU117" i="8"/>
  <c r="BV117" i="8" s="1"/>
  <c r="BT118" i="8"/>
  <c r="BS118" i="8" s="1"/>
  <c r="AS170" i="4"/>
  <c r="AI130" i="4"/>
  <c r="AH130" i="4" s="1"/>
  <c r="AG130" i="4" s="1"/>
  <c r="AS130" i="4"/>
  <c r="AS188" i="4"/>
  <c r="AI188" i="4"/>
  <c r="AI158" i="4"/>
  <c r="AH158" i="4" s="1"/>
  <c r="AG158" i="4" s="1"/>
  <c r="AS158" i="4"/>
  <c r="AI162" i="4"/>
  <c r="AS162" i="4"/>
  <c r="BQ159" i="9"/>
  <c r="BQ135" i="9"/>
  <c r="BQ152" i="9"/>
  <c r="BH152" i="9"/>
  <c r="BG152" i="9" s="1"/>
  <c r="BF152" i="9" s="1"/>
  <c r="BE152" i="9" s="1"/>
  <c r="BQ94" i="9"/>
  <c r="BH94" i="9"/>
  <c r="BG94" i="9" s="1"/>
  <c r="BF94" i="9" s="1"/>
  <c r="BE94" i="9" s="1"/>
  <c r="BQ139" i="9"/>
  <c r="BH139" i="9"/>
  <c r="BG139" i="9" s="1"/>
  <c r="BH151" i="9"/>
  <c r="BG151" i="9" s="1"/>
  <c r="BF151" i="9" s="1"/>
  <c r="BE151" i="9" s="1"/>
  <c r="BQ114" i="9"/>
  <c r="BH114" i="9"/>
  <c r="BG114" i="9" s="1"/>
  <c r="BF114" i="9" s="1"/>
  <c r="BE114" i="9" s="1"/>
  <c r="BH167" i="9"/>
  <c r="BG167" i="9" s="1"/>
  <c r="BQ167" i="9"/>
  <c r="BH16" i="9"/>
  <c r="BG16" i="9" s="1"/>
  <c r="AS89" i="7"/>
  <c r="AJ69" i="7"/>
  <c r="AI69" i="7" s="1"/>
  <c r="AH69" i="7" s="1"/>
  <c r="AG69" i="7" s="1"/>
  <c r="V69" i="7" s="1" a="1"/>
  <c r="V69" i="7" s="1"/>
  <c r="AS69" i="7"/>
  <c r="FU97" i="4"/>
  <c r="FK103" i="4"/>
  <c r="FJ103" i="4" s="1"/>
  <c r="FI103" i="4" s="1"/>
  <c r="FU103" i="4"/>
  <c r="FK183" i="4"/>
  <c r="FJ183" i="4" s="1"/>
  <c r="FI183" i="4" s="1"/>
  <c r="FU183" i="4"/>
  <c r="FK107" i="4"/>
  <c r="FJ107" i="4" s="1"/>
  <c r="FI107" i="4" s="1"/>
  <c r="FU107" i="4"/>
  <c r="FK30" i="4"/>
  <c r="FU30" i="4"/>
  <c r="FU154" i="4"/>
  <c r="FK154" i="4"/>
  <c r="FJ154" i="4" s="1"/>
  <c r="FI154" i="4" s="1"/>
  <c r="FL27" i="4"/>
  <c r="FK27" i="4" s="1"/>
  <c r="FJ27" i="4" s="1"/>
  <c r="FI27" i="4" s="1"/>
  <c r="FU27" i="4"/>
  <c r="FU195" i="4"/>
  <c r="FU47" i="4"/>
  <c r="FK47" i="4"/>
  <c r="FJ47" i="4" s="1"/>
  <c r="FI47" i="4" s="1"/>
  <c r="FB161" i="4"/>
  <c r="FB152" i="4"/>
  <c r="FB175" i="4"/>
  <c r="ER175" i="4"/>
  <c r="EQ175" i="4" s="1"/>
  <c r="EP175" i="4" s="1"/>
  <c r="FB148" i="4"/>
  <c r="ER148" i="4"/>
  <c r="EQ148" i="4" s="1"/>
  <c r="EP148" i="4" s="1"/>
  <c r="FB194" i="4"/>
  <c r="ES18" i="4"/>
  <c r="ER18" i="4" s="1"/>
  <c r="EQ18" i="4" s="1"/>
  <c r="EP18" i="4" s="1"/>
  <c r="FB18" i="4"/>
  <c r="CN92" i="8"/>
  <c r="CO92" i="8" s="1"/>
  <c r="CM93" i="8"/>
  <c r="CL93" i="8" s="1"/>
  <c r="DG154" i="4"/>
  <c r="DF154" i="4" s="1"/>
  <c r="DE154" i="4" s="1"/>
  <c r="DQ154" i="4"/>
  <c r="DL28" i="4" a="1"/>
  <c r="DL28" i="4" s="1"/>
  <c r="DG95" i="4"/>
  <c r="DF95" i="4" s="1"/>
  <c r="DE95" i="4" s="1"/>
  <c r="DQ95" i="4"/>
  <c r="DQ193" i="4"/>
  <c r="DG193" i="4"/>
  <c r="DQ21" i="4"/>
  <c r="DH21" i="4"/>
  <c r="DG21" i="4" s="1"/>
  <c r="DF21" i="4" s="1"/>
  <c r="DE21" i="4" s="1"/>
  <c r="CM23" i="8"/>
  <c r="CL23" i="8" s="1"/>
  <c r="AJ34" i="8"/>
  <c r="AI34" i="8" s="1"/>
  <c r="AH34" i="8" s="1"/>
  <c r="AG34" i="8" s="1"/>
  <c r="AS34" i="8"/>
  <c r="AS96" i="8"/>
  <c r="AJ96" i="8"/>
  <c r="AI96" i="8" s="1"/>
  <c r="AA121" i="8" a="1"/>
  <c r="AA121" i="8" s="1"/>
  <c r="AD121" i="8" a="1"/>
  <c r="AD121" i="8" s="1"/>
  <c r="AF121" i="8" a="1"/>
  <c r="AF121" i="8" s="1"/>
  <c r="AE121" i="8" a="1"/>
  <c r="AE121" i="8" s="1"/>
  <c r="BL97" i="4"/>
  <c r="BL170" i="4"/>
  <c r="BB60" i="4"/>
  <c r="BA60" i="4" s="1"/>
  <c r="AZ60" i="4" s="1"/>
  <c r="BL60" i="4"/>
  <c r="BL197" i="4"/>
  <c r="BB197" i="4"/>
  <c r="BA197" i="4" s="1"/>
  <c r="AZ197" i="4" s="1"/>
  <c r="CX163" i="4"/>
  <c r="CX184" i="4"/>
  <c r="CN184" i="4"/>
  <c r="CM184" i="4" s="1"/>
  <c r="CL184" i="4" s="1"/>
  <c r="CX85" i="4"/>
  <c r="CN85" i="4"/>
  <c r="CM85" i="4" s="1"/>
  <c r="CL85" i="4" s="1"/>
  <c r="CN168" i="4"/>
  <c r="CM168" i="4" s="1"/>
  <c r="CL168" i="4" s="1"/>
  <c r="CX168" i="4"/>
  <c r="CX76" i="4"/>
  <c r="CN76" i="4"/>
  <c r="CM76" i="4" s="1"/>
  <c r="CL76" i="4" s="1"/>
  <c r="CX35" i="4"/>
  <c r="CN35" i="4"/>
  <c r="CM35" i="4" s="1"/>
  <c r="CL35" i="4" s="1"/>
  <c r="CF12" i="4"/>
  <c r="CF13" i="4" s="1"/>
  <c r="CF11" i="4"/>
  <c r="AO150" i="9"/>
  <c r="AN150" i="9" s="1"/>
  <c r="AM150" i="9" s="1"/>
  <c r="AL150" i="9" s="1"/>
  <c r="AO87" i="9"/>
  <c r="AN87" i="9" s="1"/>
  <c r="AM87" i="9" s="1"/>
  <c r="AL87" i="9" s="1"/>
  <c r="BL79" i="8"/>
  <c r="BL22" i="8"/>
  <c r="BL76" i="8"/>
  <c r="BC76" i="8"/>
  <c r="BB76" i="8" s="1"/>
  <c r="BA76" i="8" s="1"/>
  <c r="AZ76" i="8" s="1"/>
  <c r="BL78" i="8"/>
  <c r="BC78" i="8"/>
  <c r="BB78" i="8" s="1"/>
  <c r="BA78" i="8" s="1"/>
  <c r="AZ78" i="8" s="1"/>
  <c r="BL19" i="8"/>
  <c r="BC19" i="8"/>
  <c r="BB19" i="8" s="1"/>
  <c r="BA19" i="8" s="1"/>
  <c r="AZ19" i="8" s="1"/>
  <c r="CE189" i="4"/>
  <c r="CE193" i="4"/>
  <c r="BU193" i="4"/>
  <c r="CE146" i="4"/>
  <c r="BU146" i="4"/>
  <c r="BT146" i="4" s="1"/>
  <c r="BS146" i="4" s="1"/>
  <c r="CE57" i="4"/>
  <c r="BU57" i="4"/>
  <c r="BT57" i="4" s="1"/>
  <c r="BS57" i="4" s="1"/>
  <c r="BV26" i="4"/>
  <c r="BU26" i="4" s="1"/>
  <c r="BT26" i="4" s="1"/>
  <c r="BS26" i="4" s="1"/>
  <c r="CE26" i="4"/>
  <c r="BV19" i="4"/>
  <c r="BU19" i="4" s="1"/>
  <c r="BT19" i="4" s="1"/>
  <c r="BS19" i="4" s="1"/>
  <c r="CE19" i="4"/>
  <c r="BU34" i="4"/>
  <c r="BT34" i="4" s="1"/>
  <c r="BS34" i="4" s="1"/>
  <c r="CE34" i="4"/>
  <c r="AJ16" i="5"/>
  <c r="AI16" i="5" s="1"/>
  <c r="DG111" i="4"/>
  <c r="DF111" i="4" s="1"/>
  <c r="DE111" i="4" s="1"/>
  <c r="DQ111" i="4"/>
  <c r="BQ65" i="9"/>
  <c r="BH65" i="9"/>
  <c r="BG65" i="9" s="1"/>
  <c r="BF65" i="9" s="1"/>
  <c r="BE65" i="9" s="1"/>
  <c r="AS93" i="4"/>
  <c r="AI93" i="4"/>
  <c r="AH93" i="4" s="1"/>
  <c r="AG93" i="4" s="1"/>
  <c r="AI85" i="4"/>
  <c r="AH85" i="4" s="1"/>
  <c r="AG85" i="4" s="1"/>
  <c r="AS85" i="4"/>
  <c r="AS145" i="4"/>
  <c r="AI145" i="4"/>
  <c r="AH145" i="4" s="1"/>
  <c r="AG145" i="4" s="1"/>
  <c r="AS168" i="4"/>
  <c r="AI168" i="4"/>
  <c r="AH168" i="4" s="1"/>
  <c r="AG168" i="4" s="1"/>
  <c r="AS190" i="4"/>
  <c r="AI190" i="4"/>
  <c r="AS27" i="4"/>
  <c r="AJ27" i="4"/>
  <c r="AI27" i="4" s="1"/>
  <c r="AH27" i="4" s="1"/>
  <c r="AG27" i="4" s="1"/>
  <c r="AS195" i="4"/>
  <c r="BH57" i="9"/>
  <c r="BG57" i="9" s="1"/>
  <c r="BF57" i="9" s="1"/>
  <c r="BE57" i="9" s="1"/>
  <c r="BQ57" i="9"/>
  <c r="BQ138" i="9"/>
  <c r="BH56" i="9"/>
  <c r="BG56" i="9" s="1"/>
  <c r="BF56" i="9" s="1"/>
  <c r="BE56" i="9" s="1"/>
  <c r="BQ56" i="9"/>
  <c r="BH131" i="9"/>
  <c r="BG131" i="9" s="1"/>
  <c r="BF131" i="9" s="1"/>
  <c r="BE131" i="9" s="1"/>
  <c r="AS67" i="7"/>
  <c r="AJ54" i="7"/>
  <c r="AI54" i="7" s="1"/>
  <c r="AH54" i="7" s="1"/>
  <c r="AG54" i="7" s="1"/>
  <c r="V54" i="7" s="1" a="1"/>
  <c r="V54" i="7" s="1"/>
  <c r="AS54" i="7"/>
  <c r="AS20" i="7"/>
  <c r="AJ20" i="7"/>
  <c r="AI20" i="7" s="1"/>
  <c r="AH20" i="7" s="1"/>
  <c r="AG20" i="7" s="1"/>
  <c r="FU101" i="4"/>
  <c r="FK101" i="4"/>
  <c r="FJ101" i="4" s="1"/>
  <c r="FI101" i="4" s="1"/>
  <c r="FK110" i="4"/>
  <c r="FU110" i="4"/>
  <c r="FU93" i="4"/>
  <c r="FK93" i="4"/>
  <c r="FJ93" i="4" s="1"/>
  <c r="FI93" i="4" s="1"/>
  <c r="FU194" i="4"/>
  <c r="FU26" i="4"/>
  <c r="FL26" i="4"/>
  <c r="FK26" i="4" s="1"/>
  <c r="FJ26" i="4" s="1"/>
  <c r="FI26" i="4" s="1"/>
  <c r="FB156" i="4"/>
  <c r="ER156" i="4"/>
  <c r="FB180" i="4"/>
  <c r="ER180" i="4"/>
  <c r="EQ180" i="4" s="1"/>
  <c r="EP180" i="4" s="1"/>
  <c r="ER144" i="4"/>
  <c r="EQ144" i="4" s="1"/>
  <c r="EP144" i="4" s="1"/>
  <c r="FB144" i="4"/>
  <c r="ER179" i="4"/>
  <c r="EQ179" i="4" s="1"/>
  <c r="EP179" i="4" s="1"/>
  <c r="FB179" i="4"/>
  <c r="FB34" i="4"/>
  <c r="ER34" i="4"/>
  <c r="EQ34" i="4" s="1"/>
  <c r="EP34" i="4" s="1"/>
  <c r="ER50" i="4"/>
  <c r="EQ50" i="4" s="1"/>
  <c r="EP50" i="4" s="1"/>
  <c r="FB50" i="4"/>
  <c r="DG145" i="4"/>
  <c r="DF145" i="4" s="1"/>
  <c r="DE145" i="4" s="1"/>
  <c r="DQ145" i="4"/>
  <c r="DG150" i="4"/>
  <c r="DF150" i="4" s="1"/>
  <c r="DE150" i="4" s="1"/>
  <c r="DQ150" i="4"/>
  <c r="DG158" i="4"/>
  <c r="DF158" i="4" s="1"/>
  <c r="DE158" i="4" s="1"/>
  <c r="DQ158" i="4"/>
  <c r="DQ194" i="4"/>
  <c r="DG42" i="4"/>
  <c r="DF42" i="4" s="1"/>
  <c r="DE42" i="4" s="1"/>
  <c r="DQ42" i="4"/>
  <c r="AS42" i="8"/>
  <c r="AJ88" i="8"/>
  <c r="AI88" i="8" s="1"/>
  <c r="AH88" i="8" s="1"/>
  <c r="AG88" i="8" s="1"/>
  <c r="AS88" i="8"/>
  <c r="AS93" i="8"/>
  <c r="AJ93" i="8"/>
  <c r="AI93" i="8" s="1"/>
  <c r="AJ46" i="8"/>
  <c r="AI46" i="8" s="1"/>
  <c r="AH46" i="8" s="1"/>
  <c r="AG46" i="8" s="1"/>
  <c r="AS46" i="8"/>
  <c r="AS20" i="8"/>
  <c r="AJ20" i="8"/>
  <c r="AI20" i="8" s="1"/>
  <c r="AH20" i="8" s="1"/>
  <c r="AG20" i="8" s="1"/>
  <c r="BL57" i="4"/>
  <c r="BB57" i="4"/>
  <c r="BA57" i="4" s="1"/>
  <c r="AZ57" i="4" s="1"/>
  <c r="BB40" i="4"/>
  <c r="BA40" i="4" s="1"/>
  <c r="AZ40" i="4" s="1"/>
  <c r="BL40" i="4"/>
  <c r="BL37" i="4"/>
  <c r="BB37" i="4"/>
  <c r="BA37" i="4" s="1"/>
  <c r="AZ37" i="4" s="1"/>
  <c r="CX58" i="4"/>
  <c r="CX117" i="4"/>
  <c r="CN117" i="4"/>
  <c r="CM117" i="4" s="1"/>
  <c r="CL117" i="4" s="1"/>
  <c r="CO23" i="4"/>
  <c r="CN23" i="4" s="1"/>
  <c r="CM23" i="4" s="1"/>
  <c r="CL23" i="4" s="1"/>
  <c r="CX23" i="4"/>
  <c r="EW16" i="4"/>
  <c r="EW204" i="4" a="1"/>
  <c r="EW204" i="4" s="1"/>
  <c r="EU204" i="4" a="1"/>
  <c r="EU204" i="4" s="1"/>
  <c r="ET204" i="4" a="1"/>
  <c r="ET204" i="4" s="1"/>
  <c r="EV204" i="4" a="1"/>
  <c r="EV204" i="4" s="1"/>
  <c r="AO72" i="9"/>
  <c r="AN72" i="9" s="1"/>
  <c r="AO37" i="9"/>
  <c r="AN37" i="9" s="1"/>
  <c r="AM37" i="9" s="1"/>
  <c r="AL37" i="9" s="1"/>
  <c r="AO118" i="9"/>
  <c r="AN118" i="9" s="1"/>
  <c r="AM118" i="9" s="1"/>
  <c r="AL118" i="9" s="1"/>
  <c r="AM106" i="7" a="1"/>
  <c r="AM106" i="7" s="1"/>
  <c r="AN17" i="7"/>
  <c r="AK106" i="7" a="1"/>
  <c r="AK106" i="7" s="1"/>
  <c r="AL106" i="7" a="1"/>
  <c r="AL106" i="7" s="1"/>
  <c r="AN106" i="7" a="1"/>
  <c r="AN106" i="7" s="1"/>
  <c r="BL71" i="8"/>
  <c r="BC71" i="8"/>
  <c r="BB71" i="8" s="1"/>
  <c r="BA71" i="8" s="1"/>
  <c r="AZ71" i="8" s="1"/>
  <c r="BC35" i="8"/>
  <c r="BB35" i="8" s="1"/>
  <c r="BA35" i="8" s="1"/>
  <c r="AZ35" i="8" s="1"/>
  <c r="BL35" i="8"/>
  <c r="BU138" i="4"/>
  <c r="BT138" i="4" s="1"/>
  <c r="BS138" i="4" s="1"/>
  <c r="CE138" i="4"/>
  <c r="BU139" i="4"/>
  <c r="BT139" i="4" s="1"/>
  <c r="BS139" i="4" s="1"/>
  <c r="CE139" i="4"/>
  <c r="BU94" i="4"/>
  <c r="BT94" i="4" s="1"/>
  <c r="BS94" i="4" s="1"/>
  <c r="CE94" i="4"/>
  <c r="CE181" i="4"/>
  <c r="BU181" i="4"/>
  <c r="BT181" i="4" s="1"/>
  <c r="BS181" i="4" s="1"/>
  <c r="CE144" i="4"/>
  <c r="BU144" i="4"/>
  <c r="BT144" i="4" s="1"/>
  <c r="BS144" i="4" s="1"/>
  <c r="CE173" i="4"/>
  <c r="BU173" i="4"/>
  <c r="BT173" i="4" s="1"/>
  <c r="BS173" i="4" s="1"/>
  <c r="BU40" i="4"/>
  <c r="BT40" i="4" s="1"/>
  <c r="BS40" i="4" s="1"/>
  <c r="CE40" i="4"/>
  <c r="AI21" i="5" a="1"/>
  <c r="AI21" i="5" s="1"/>
  <c r="AJ19" i="4"/>
  <c r="AI19" i="4" s="1"/>
  <c r="AH19" i="4" s="1"/>
  <c r="AG19" i="4" s="1"/>
  <c r="AS19" i="4"/>
  <c r="AS58" i="4"/>
  <c r="AS70" i="4"/>
  <c r="AS95" i="4"/>
  <c r="AI95" i="4"/>
  <c r="AH95" i="4" s="1"/>
  <c r="AG95" i="4" s="1"/>
  <c r="AI68" i="4"/>
  <c r="AH68" i="4" s="1"/>
  <c r="AG68" i="4" s="1"/>
  <c r="AS68" i="4"/>
  <c r="AS83" i="4"/>
  <c r="AI83" i="4"/>
  <c r="AH83" i="4" s="1"/>
  <c r="AG83" i="4" s="1"/>
  <c r="AS39" i="4"/>
  <c r="AI39" i="4"/>
  <c r="AH39" i="4" s="1"/>
  <c r="AG39" i="4" s="1"/>
  <c r="BH67" i="9"/>
  <c r="BG67" i="9" s="1"/>
  <c r="BF67" i="9" s="1"/>
  <c r="BE67" i="9" s="1"/>
  <c r="BQ67" i="9"/>
  <c r="AJ32" i="7"/>
  <c r="AI32" i="7" s="1"/>
  <c r="AH32" i="7" s="1"/>
  <c r="AG32" i="7" s="1"/>
  <c r="R32" i="7" s="1" a="1"/>
  <c r="R32" i="7" s="1"/>
  <c r="AS32" i="7"/>
  <c r="AS66" i="7"/>
  <c r="AJ66" i="7"/>
  <c r="AI66" i="7" s="1"/>
  <c r="AH66" i="7" s="1"/>
  <c r="AG66" i="7" s="1"/>
  <c r="V66" i="7" s="1" a="1"/>
  <c r="V66" i="7" s="1"/>
  <c r="AF105" i="7" a="1"/>
  <c r="AF105" i="7" s="1"/>
  <c r="AE105" i="7" a="1"/>
  <c r="AE105" i="7" s="1"/>
  <c r="AA105" i="7" a="1"/>
  <c r="AA105" i="7" s="1"/>
  <c r="AD105" i="7" a="1"/>
  <c r="AD105" i="7" s="1"/>
  <c r="FK55" i="4"/>
  <c r="FJ55" i="4" s="1"/>
  <c r="FI55" i="4" s="1"/>
  <c r="FU55" i="4"/>
  <c r="FU164" i="4"/>
  <c r="FK164" i="4"/>
  <c r="FK144" i="4"/>
  <c r="FJ144" i="4" s="1"/>
  <c r="FI144" i="4" s="1"/>
  <c r="FU144" i="4"/>
  <c r="FK86" i="4"/>
  <c r="FJ86" i="4" s="1"/>
  <c r="FI86" i="4" s="1"/>
  <c r="FU86" i="4"/>
  <c r="FK127" i="4"/>
  <c r="FJ127" i="4" s="1"/>
  <c r="FI127" i="4" s="1"/>
  <c r="FU127" i="4"/>
  <c r="FK39" i="4"/>
  <c r="FJ39" i="4" s="1"/>
  <c r="FI39" i="4" s="1"/>
  <c r="FU39" i="4"/>
  <c r="FU19" i="4"/>
  <c r="FL19" i="4"/>
  <c r="FK19" i="4" s="1"/>
  <c r="FJ19" i="4" s="1"/>
  <c r="FI19" i="4" s="1"/>
  <c r="FL20" i="4"/>
  <c r="FK20" i="4" s="1"/>
  <c r="FJ20" i="4" s="1"/>
  <c r="FI20" i="4" s="1"/>
  <c r="FU20" i="4"/>
  <c r="ER171" i="4"/>
  <c r="FB171" i="4"/>
  <c r="ER85" i="4"/>
  <c r="EQ85" i="4" s="1"/>
  <c r="EP85" i="4" s="1"/>
  <c r="FB85" i="4"/>
  <c r="FB184" i="4"/>
  <c r="ER184" i="4"/>
  <c r="EQ184" i="4" s="1"/>
  <c r="EP184" i="4" s="1"/>
  <c r="ER93" i="4"/>
  <c r="EQ93" i="4" s="1"/>
  <c r="EP93" i="4" s="1"/>
  <c r="FB93" i="4"/>
  <c r="ER59" i="4"/>
  <c r="FB59" i="4"/>
  <c r="FB197" i="4"/>
  <c r="ER197" i="4"/>
  <c r="EQ197" i="4" s="1"/>
  <c r="EP197" i="4" s="1"/>
  <c r="CM96" i="8"/>
  <c r="CL96" i="8" s="1"/>
  <c r="CN95" i="8"/>
  <c r="CO95" i="8" s="1"/>
  <c r="DG191" i="4"/>
  <c r="DF191" i="4" s="1"/>
  <c r="DE191" i="4" s="1"/>
  <c r="DQ191" i="4"/>
  <c r="DQ139" i="4"/>
  <c r="DG139" i="4"/>
  <c r="DF139" i="4" s="1"/>
  <c r="DE139" i="4" s="1"/>
  <c r="DG72" i="4"/>
  <c r="DF72" i="4" s="1"/>
  <c r="DE72" i="4" s="1"/>
  <c r="DQ72" i="4"/>
  <c r="DH24" i="4"/>
  <c r="DG24" i="4" s="1"/>
  <c r="DF24" i="4" s="1"/>
  <c r="DE24" i="4" s="1"/>
  <c r="DQ24" i="4"/>
  <c r="AS95" i="8"/>
  <c r="AS112" i="8"/>
  <c r="AJ111" i="8"/>
  <c r="AI111" i="8" s="1"/>
  <c r="AH111" i="8" s="1"/>
  <c r="AG111" i="8" s="1"/>
  <c r="AS111" i="8"/>
  <c r="AS21" i="8"/>
  <c r="AJ21" i="8"/>
  <c r="AI21" i="8" s="1"/>
  <c r="AH21" i="8" s="1"/>
  <c r="AG21" i="8" s="1"/>
  <c r="BL152" i="4"/>
  <c r="BL184" i="4"/>
  <c r="BB184" i="4"/>
  <c r="BA184" i="4" s="1"/>
  <c r="AZ184" i="4" s="1"/>
  <c r="BL181" i="4"/>
  <c r="BB181" i="4"/>
  <c r="BA181" i="4" s="1"/>
  <c r="AZ181" i="4" s="1"/>
  <c r="BL179" i="4"/>
  <c r="BB179" i="4"/>
  <c r="BA179" i="4" s="1"/>
  <c r="AZ179" i="4" s="1"/>
  <c r="BL199" i="4"/>
  <c r="BB199" i="4"/>
  <c r="BB33" i="4"/>
  <c r="BA33" i="4" s="1"/>
  <c r="AZ33" i="4" s="1"/>
  <c r="BL33" i="4"/>
  <c r="CX165" i="4"/>
  <c r="CN127" i="4"/>
  <c r="CM127" i="4" s="1"/>
  <c r="CL127" i="4" s="1"/>
  <c r="CX127" i="4"/>
  <c r="CN115" i="4"/>
  <c r="CX115" i="4"/>
  <c r="CN185" i="4"/>
  <c r="CM185" i="4" s="1"/>
  <c r="CL185" i="4" s="1"/>
  <c r="CX185" i="4"/>
  <c r="CX39" i="4"/>
  <c r="CN39" i="4"/>
  <c r="CM39" i="4" s="1"/>
  <c r="CL39" i="4" s="1"/>
  <c r="CX42" i="4"/>
  <c r="CN42" i="4"/>
  <c r="CM42" i="4" s="1"/>
  <c r="CL42" i="4" s="1"/>
  <c r="AJ178" i="9"/>
  <c r="AO70" i="9"/>
  <c r="AN70" i="9" s="1"/>
  <c r="AM70" i="9" s="1"/>
  <c r="AL70" i="9" s="1"/>
  <c r="AO115" i="9"/>
  <c r="AN115" i="9" s="1"/>
  <c r="AM115" i="9" s="1"/>
  <c r="AL115" i="9" s="1"/>
  <c r="AO91" i="9"/>
  <c r="AN91" i="9" s="1"/>
  <c r="AM91" i="9" s="1"/>
  <c r="AL91" i="9" s="1"/>
  <c r="AO97" i="9"/>
  <c r="AN97" i="9" s="1"/>
  <c r="AM97" i="9" s="1"/>
  <c r="AL97" i="9" s="1"/>
  <c r="BL49" i="8"/>
  <c r="BC107" i="8"/>
  <c r="BB107" i="8" s="1"/>
  <c r="BA107" i="8" s="1"/>
  <c r="AZ107" i="8" s="1"/>
  <c r="BL107" i="8"/>
  <c r="BU180" i="4"/>
  <c r="BT180" i="4" s="1"/>
  <c r="BS180" i="4" s="1"/>
  <c r="CE180" i="4"/>
  <c r="BU61" i="4"/>
  <c r="BT61" i="4" s="1"/>
  <c r="BS61" i="4" s="1"/>
  <c r="CE61" i="4"/>
  <c r="BU169" i="4"/>
  <c r="BT169" i="4" s="1"/>
  <c r="BS169" i="4" s="1"/>
  <c r="CE169" i="4"/>
  <c r="CE59" i="4"/>
  <c r="BU59" i="4"/>
  <c r="BU71" i="4"/>
  <c r="CE71" i="4"/>
  <c r="BU197" i="4"/>
  <c r="BT197" i="4" s="1"/>
  <c r="BS197" i="4" s="1"/>
  <c r="CE197" i="4"/>
  <c r="CE43" i="4"/>
  <c r="BU43" i="4"/>
  <c r="BT43" i="4" s="1"/>
  <c r="BS43" i="4" s="1"/>
  <c r="BT96" i="8"/>
  <c r="BS96" i="8" s="1"/>
  <c r="BU95" i="8"/>
  <c r="BV95" i="8" s="1"/>
  <c r="AI102" i="5"/>
  <c r="AJ102" i="5" s="1"/>
  <c r="AH103" i="5"/>
  <c r="AG103" i="5" s="1"/>
  <c r="U103" i="5" s="1"/>
  <c r="AH106" i="5"/>
  <c r="AG106" i="5" s="1"/>
  <c r="U106" i="5" s="1"/>
  <c r="AI105" i="5"/>
  <c r="FK96" i="4"/>
  <c r="FJ96" i="4" s="1"/>
  <c r="FI96" i="4" s="1"/>
  <c r="FU96" i="4"/>
  <c r="AS107" i="4"/>
  <c r="AI107" i="4"/>
  <c r="AH107" i="4" s="1"/>
  <c r="AG107" i="4" s="1"/>
  <c r="AS74" i="4"/>
  <c r="AI74" i="4"/>
  <c r="AH74" i="4" s="1"/>
  <c r="AG74" i="4" s="1"/>
  <c r="AI34" i="4"/>
  <c r="AH34" i="4" s="1"/>
  <c r="AG34" i="4" s="1"/>
  <c r="AS34" i="4"/>
  <c r="BQ104" i="9"/>
  <c r="BH104" i="9"/>
  <c r="BG104" i="9" s="1"/>
  <c r="BF104" i="9" s="1"/>
  <c r="BE104" i="9" s="1"/>
  <c r="BH69" i="9"/>
  <c r="BG69" i="9" s="1"/>
  <c r="BF69" i="9" s="1"/>
  <c r="BE69" i="9" s="1"/>
  <c r="BQ69" i="9"/>
  <c r="BH45" i="9"/>
  <c r="BG45" i="9" s="1"/>
  <c r="BF45" i="9" s="1"/>
  <c r="BE45" i="9" s="1"/>
  <c r="BH87" i="9"/>
  <c r="BG87" i="9" s="1"/>
  <c r="BF87" i="9" s="1"/>
  <c r="BE87" i="9" s="1"/>
  <c r="BQ87" i="9"/>
  <c r="BH61" i="9"/>
  <c r="BG61" i="9" s="1"/>
  <c r="BF61" i="9" s="1"/>
  <c r="BE61" i="9" s="1"/>
  <c r="AS80" i="7"/>
  <c r="AS92" i="7"/>
  <c r="AJ92" i="7"/>
  <c r="AI92" i="7" s="1"/>
  <c r="AH92" i="7" s="1"/>
  <c r="AG92" i="7" s="1"/>
  <c r="R92" i="7" s="1" a="1"/>
  <c r="R92" i="7" s="1"/>
  <c r="AJ76" i="7"/>
  <c r="AI76" i="7" s="1"/>
  <c r="AH76" i="7" s="1"/>
  <c r="AG76" i="7" s="1"/>
  <c r="V76" i="7" s="1" a="1"/>
  <c r="V76" i="7" s="1"/>
  <c r="AS76" i="7"/>
  <c r="AJ60" i="7"/>
  <c r="AI60" i="7" s="1"/>
  <c r="AH60" i="7" s="1"/>
  <c r="AG60" i="7" s="1"/>
  <c r="V60" i="7" s="1" a="1"/>
  <c r="V60" i="7" s="1"/>
  <c r="AS60" i="7"/>
  <c r="FU113" i="4"/>
  <c r="FK113" i="4"/>
  <c r="FJ113" i="4" s="1"/>
  <c r="FI113" i="4" s="1"/>
  <c r="FK188" i="4"/>
  <c r="FU188" i="4"/>
  <c r="FC11" i="4"/>
  <c r="FC12" i="4"/>
  <c r="FC13" i="4" s="1"/>
  <c r="FB137" i="4"/>
  <c r="ER137" i="4"/>
  <c r="EQ137" i="4" s="1"/>
  <c r="EP137" i="4" s="1"/>
  <c r="ER130" i="4"/>
  <c r="EQ130" i="4" s="1"/>
  <c r="EP130" i="4" s="1"/>
  <c r="FB130" i="4"/>
  <c r="FB193" i="4"/>
  <c r="ER193" i="4"/>
  <c r="EJ12" i="4"/>
  <c r="EJ13" i="4" s="1"/>
  <c r="EJ11" i="4"/>
  <c r="DQ176" i="4"/>
  <c r="DG176" i="4"/>
  <c r="DF176" i="4" s="1"/>
  <c r="DE176" i="4" s="1"/>
  <c r="DQ184" i="4"/>
  <c r="DG184" i="4"/>
  <c r="DF184" i="4" s="1"/>
  <c r="DE184" i="4" s="1"/>
  <c r="DG49" i="4"/>
  <c r="DF49" i="4" s="1"/>
  <c r="DE49" i="4" s="1"/>
  <c r="DQ49" i="4"/>
  <c r="DG47" i="4"/>
  <c r="DF47" i="4" s="1"/>
  <c r="DE47" i="4" s="1"/>
  <c r="DQ47" i="4"/>
  <c r="AS59" i="8"/>
  <c r="AJ113" i="8"/>
  <c r="AI113" i="8" s="1"/>
  <c r="AS113" i="8"/>
  <c r="AJ74" i="8"/>
  <c r="AI74" i="8" s="1"/>
  <c r="AH74" i="8" s="1"/>
  <c r="AG74" i="8" s="1"/>
  <c r="AS74" i="8"/>
  <c r="AJ24" i="8"/>
  <c r="AI24" i="8" s="1"/>
  <c r="AH24" i="8" s="1"/>
  <c r="AG24" i="8" s="1"/>
  <c r="AS24" i="8"/>
  <c r="BB144" i="4"/>
  <c r="BA144" i="4" s="1"/>
  <c r="AZ144" i="4" s="1"/>
  <c r="BL144" i="4"/>
  <c r="BL140" i="4"/>
  <c r="BB140" i="4"/>
  <c r="BA140" i="4" s="1"/>
  <c r="AZ140" i="4" s="1"/>
  <c r="BB112" i="4"/>
  <c r="BA112" i="4" s="1"/>
  <c r="AZ112" i="4" s="1"/>
  <c r="BL112" i="4"/>
  <c r="CX159" i="4"/>
  <c r="CN159" i="4"/>
  <c r="CM159" i="4" s="1"/>
  <c r="CL159" i="4" s="1"/>
  <c r="CN113" i="4"/>
  <c r="CM113" i="4" s="1"/>
  <c r="CL113" i="4" s="1"/>
  <c r="CX113" i="4"/>
  <c r="CX68" i="4"/>
  <c r="CN68" i="4"/>
  <c r="CM68" i="4" s="1"/>
  <c r="CL68" i="4" s="1"/>
  <c r="CN83" i="4"/>
  <c r="CM83" i="4" s="1"/>
  <c r="CL83" i="4" s="1"/>
  <c r="CX83" i="4"/>
  <c r="CX45" i="4"/>
  <c r="CN45" i="4"/>
  <c r="CM45" i="4" s="1"/>
  <c r="CL45" i="4" s="1"/>
  <c r="AO95" i="9"/>
  <c r="AN95" i="9" s="1"/>
  <c r="AM95" i="9" s="1"/>
  <c r="AL95" i="9" s="1"/>
  <c r="AO151" i="9"/>
  <c r="AN151" i="9" s="1"/>
  <c r="AM151" i="9" s="1"/>
  <c r="AL151" i="9" s="1"/>
  <c r="AO152" i="9"/>
  <c r="AN152" i="9" s="1"/>
  <c r="AM152" i="9" s="1"/>
  <c r="AL152" i="9" s="1"/>
  <c r="BL112" i="8"/>
  <c r="BL109" i="8"/>
  <c r="BC109" i="8"/>
  <c r="BB109" i="8" s="1"/>
  <c r="BL111" i="8"/>
  <c r="BC111" i="8"/>
  <c r="BB111" i="8" s="1"/>
  <c r="BA111" i="8" s="1"/>
  <c r="AZ111" i="8" s="1"/>
  <c r="BL60" i="8"/>
  <c r="BC60" i="8"/>
  <c r="BB60" i="8" s="1"/>
  <c r="CE162" i="4"/>
  <c r="BU162" i="4"/>
  <c r="CE182" i="4"/>
  <c r="BU182" i="4"/>
  <c r="BT182" i="4" s="1"/>
  <c r="BS182" i="4" s="1"/>
  <c r="CE176" i="4"/>
  <c r="BU176" i="4"/>
  <c r="BT176" i="4" s="1"/>
  <c r="BS176" i="4" s="1"/>
  <c r="CE177" i="4"/>
  <c r="BU177" i="4"/>
  <c r="BT177" i="4" s="1"/>
  <c r="BS177" i="4" s="1"/>
  <c r="BU36" i="4"/>
  <c r="BT36" i="4" s="1"/>
  <c r="BS36" i="4" s="1"/>
  <c r="CE36" i="4"/>
  <c r="BU200" i="4"/>
  <c r="BT200" i="4" s="1"/>
  <c r="BS200" i="4" s="1"/>
  <c r="CE200" i="4"/>
  <c r="AA11" i="5"/>
  <c r="AA12" i="5" s="1"/>
  <c r="AA10" i="5"/>
  <c r="AI112" i="4"/>
  <c r="AH112" i="4" s="1"/>
  <c r="AG112" i="4" s="1"/>
  <c r="AS112" i="4"/>
  <c r="DQ45" i="4"/>
  <c r="DG45" i="4"/>
  <c r="DF45" i="4" s="1"/>
  <c r="DE45" i="4" s="1"/>
  <c r="AI183" i="4"/>
  <c r="AH183" i="4" s="1"/>
  <c r="AG183" i="4" s="1"/>
  <c r="AS183" i="4"/>
  <c r="AS185" i="4"/>
  <c r="AI185" i="4"/>
  <c r="AH185" i="4" s="1"/>
  <c r="AG185" i="4" s="1"/>
  <c r="AS109" i="4"/>
  <c r="AI150" i="4"/>
  <c r="AH150" i="4" s="1"/>
  <c r="AG150" i="4" s="1"/>
  <c r="AS150" i="4"/>
  <c r="BH48" i="9"/>
  <c r="BG48" i="9" s="1"/>
  <c r="BF48" i="9" s="1"/>
  <c r="BE48" i="9" s="1"/>
  <c r="BQ48" i="9"/>
  <c r="BQ157" i="9"/>
  <c r="BH157" i="9"/>
  <c r="BG157" i="9" s="1"/>
  <c r="BH34" i="9"/>
  <c r="BG34" i="9" s="1"/>
  <c r="BF34" i="9" s="1"/>
  <c r="BE34" i="9" s="1"/>
  <c r="AJ90" i="7"/>
  <c r="AI90" i="7" s="1"/>
  <c r="AS90" i="7"/>
  <c r="AS97" i="7"/>
  <c r="AJ97" i="7"/>
  <c r="AI97" i="7" s="1"/>
  <c r="AS36" i="7"/>
  <c r="AJ36" i="7"/>
  <c r="AI36" i="7" s="1"/>
  <c r="AH36" i="7" s="1"/>
  <c r="AG36" i="7" s="1"/>
  <c r="R36" i="7" s="1" a="1"/>
  <c r="R36" i="7" s="1"/>
  <c r="FU192" i="4"/>
  <c r="FU59" i="4"/>
  <c r="FK59" i="4"/>
  <c r="FU169" i="4"/>
  <c r="FK169" i="4"/>
  <c r="FJ169" i="4" s="1"/>
  <c r="FI169" i="4" s="1"/>
  <c r="FU137" i="4"/>
  <c r="FK137" i="4"/>
  <c r="FJ137" i="4" s="1"/>
  <c r="FI137" i="4" s="1"/>
  <c r="FU112" i="4"/>
  <c r="FK112" i="4"/>
  <c r="FJ112" i="4" s="1"/>
  <c r="FI112" i="4" s="1"/>
  <c r="FK158" i="4"/>
  <c r="FJ158" i="4" s="1"/>
  <c r="FI158" i="4" s="1"/>
  <c r="FU158" i="4"/>
  <c r="FL17" i="4"/>
  <c r="FK17" i="4" s="1"/>
  <c r="FB187" i="4"/>
  <c r="FB69" i="4"/>
  <c r="ER69" i="4"/>
  <c r="EQ69" i="4" s="1"/>
  <c r="EP69" i="4" s="1"/>
  <c r="FB186" i="4"/>
  <c r="ER186" i="4"/>
  <c r="EQ186" i="4" s="1"/>
  <c r="EP186" i="4" s="1"/>
  <c r="FB111" i="4"/>
  <c r="ER111" i="4"/>
  <c r="EQ111" i="4" s="1"/>
  <c r="EP111" i="4" s="1"/>
  <c r="ER31" i="4"/>
  <c r="EQ31" i="4" s="1"/>
  <c r="EP31" i="4" s="1"/>
  <c r="FB31" i="4"/>
  <c r="DQ189" i="4"/>
  <c r="DQ93" i="4"/>
  <c r="DG93" i="4"/>
  <c r="DF93" i="4" s="1"/>
  <c r="DE93" i="4" s="1"/>
  <c r="DG50" i="4"/>
  <c r="DF50" i="4" s="1"/>
  <c r="DE50" i="4" s="1"/>
  <c r="DQ50" i="4"/>
  <c r="AS114" i="8"/>
  <c r="AS109" i="8"/>
  <c r="AJ109" i="8"/>
  <c r="AI109" i="8" s="1"/>
  <c r="AJ25" i="8"/>
  <c r="AI25" i="8" s="1"/>
  <c r="AH25" i="8" s="1"/>
  <c r="AG25" i="8" s="1"/>
  <c r="AS25" i="8"/>
  <c r="BL192" i="4"/>
  <c r="BB169" i="4"/>
  <c r="BA169" i="4" s="1"/>
  <c r="AZ169" i="4" s="1"/>
  <c r="BL169" i="4"/>
  <c r="BB96" i="4"/>
  <c r="BA96" i="4" s="1"/>
  <c r="AZ96" i="4" s="1"/>
  <c r="BL96" i="4"/>
  <c r="BB67" i="4"/>
  <c r="BL67" i="4"/>
  <c r="BB45" i="4"/>
  <c r="BA45" i="4" s="1"/>
  <c r="AZ45" i="4" s="1"/>
  <c r="BL45" i="4"/>
  <c r="BL194" i="4"/>
  <c r="CN176" i="4"/>
  <c r="CM176" i="4" s="1"/>
  <c r="CL176" i="4" s="1"/>
  <c r="CX176" i="4"/>
  <c r="CN61" i="4"/>
  <c r="CM61" i="4" s="1"/>
  <c r="CL61" i="4" s="1"/>
  <c r="CX61" i="4"/>
  <c r="CN188" i="4"/>
  <c r="CX188" i="4"/>
  <c r="CN193" i="4"/>
  <c r="CX193" i="4"/>
  <c r="CX173" i="4"/>
  <c r="CN173" i="4"/>
  <c r="CM173" i="4" s="1"/>
  <c r="CL173" i="4" s="1"/>
  <c r="AO75" i="9"/>
  <c r="AN75" i="9" s="1"/>
  <c r="AM75" i="9" s="1"/>
  <c r="AL75" i="9" s="1"/>
  <c r="AO113" i="9"/>
  <c r="AN113" i="9" s="1"/>
  <c r="AM113" i="9" s="1"/>
  <c r="AL113" i="9" s="1"/>
  <c r="AO107" i="9"/>
  <c r="AN107" i="9" s="1"/>
  <c r="AM107" i="9" s="1"/>
  <c r="AL107" i="9" s="1"/>
  <c r="BC33" i="8"/>
  <c r="BB33" i="8" s="1"/>
  <c r="BA33" i="8" s="1"/>
  <c r="AZ33" i="8" s="1"/>
  <c r="BL33" i="8"/>
  <c r="CE183" i="4"/>
  <c r="BU183" i="4"/>
  <c r="BT183" i="4" s="1"/>
  <c r="BS183" i="4" s="1"/>
  <c r="BU68" i="4"/>
  <c r="BT68" i="4" s="1"/>
  <c r="BS68" i="4" s="1"/>
  <c r="CE68" i="4"/>
  <c r="CE167" i="4"/>
  <c r="BU167" i="4"/>
  <c r="BU112" i="4"/>
  <c r="BT112" i="4" s="1"/>
  <c r="BS112" i="4" s="1"/>
  <c r="CE112" i="4"/>
  <c r="BV22" i="4"/>
  <c r="BU22" i="4" s="1"/>
  <c r="BT22" i="4" s="1"/>
  <c r="BS22" i="4" s="1"/>
  <c r="CE22" i="4"/>
  <c r="CE35" i="4"/>
  <c r="BU35" i="4"/>
  <c r="BT35" i="4" s="1"/>
  <c r="BS35" i="4" s="1"/>
  <c r="AI55" i="5"/>
  <c r="AJ55" i="5" s="1"/>
  <c r="AH83" i="5"/>
  <c r="AG83" i="5" s="1"/>
  <c r="U83" i="5" s="1"/>
  <c r="AI82" i="5"/>
  <c r="AJ82" i="5" s="1"/>
  <c r="AJ19" i="5"/>
  <c r="AI19" i="5" s="1"/>
  <c r="AH19" i="5" s="1"/>
  <c r="AG19" i="5" s="1"/>
  <c r="T19" i="5" s="1" a="1"/>
  <c r="T19" i="5" s="1"/>
  <c r="AS167" i="4"/>
  <c r="AI167" i="4"/>
  <c r="AI49" i="4"/>
  <c r="AH49" i="4" s="1"/>
  <c r="AG49" i="4" s="1"/>
  <c r="AS49" i="4"/>
  <c r="BH17" i="9"/>
  <c r="BG17" i="9" s="1"/>
  <c r="BF17" i="9" s="1"/>
  <c r="BE17" i="9" s="1"/>
  <c r="AS66" i="4"/>
  <c r="AS175" i="4"/>
  <c r="AI175" i="4"/>
  <c r="AH175" i="4" s="1"/>
  <c r="AG175" i="4" s="1"/>
  <c r="AS46" i="4"/>
  <c r="AI46" i="4"/>
  <c r="AH46" i="4" s="1"/>
  <c r="AG46" i="4" s="1"/>
  <c r="BH96" i="9"/>
  <c r="BG96" i="9" s="1"/>
  <c r="BF96" i="9" s="1"/>
  <c r="BE96" i="9" s="1"/>
  <c r="BQ96" i="9"/>
  <c r="BH21" i="9"/>
  <c r="BG21" i="9" s="1"/>
  <c r="BF21" i="9" s="1"/>
  <c r="BE21" i="9" s="1"/>
  <c r="BQ21" i="9"/>
  <c r="AS83" i="7"/>
  <c r="AS39" i="7"/>
  <c r="AJ39" i="7"/>
  <c r="AI39" i="7" s="1"/>
  <c r="AH39" i="7" s="1"/>
  <c r="AG39" i="7" s="1"/>
  <c r="R39" i="7" s="1" a="1"/>
  <c r="R39" i="7" s="1"/>
  <c r="AS35" i="7"/>
  <c r="AJ35" i="7"/>
  <c r="AI35" i="7" s="1"/>
  <c r="AH35" i="7" s="1"/>
  <c r="AG35" i="7" s="1"/>
  <c r="R35" i="7" s="1" a="1"/>
  <c r="R35" i="7" s="1"/>
  <c r="FU114" i="4"/>
  <c r="FK180" i="4"/>
  <c r="FJ180" i="4" s="1"/>
  <c r="FI180" i="4" s="1"/>
  <c r="FU180" i="4"/>
  <c r="FU182" i="4"/>
  <c r="FK182" i="4"/>
  <c r="FJ182" i="4" s="1"/>
  <c r="FI182" i="4" s="1"/>
  <c r="FU153" i="4"/>
  <c r="FK153" i="4"/>
  <c r="FL18" i="4"/>
  <c r="FK18" i="4" s="1"/>
  <c r="FJ18" i="4" s="1"/>
  <c r="FI18" i="4" s="1"/>
  <c r="FU18" i="4"/>
  <c r="FB94" i="4"/>
  <c r="ER94" i="4"/>
  <c r="EQ94" i="4" s="1"/>
  <c r="EP94" i="4" s="1"/>
  <c r="FB147" i="4"/>
  <c r="ER147" i="4"/>
  <c r="EQ147" i="4" s="1"/>
  <c r="EP147" i="4" s="1"/>
  <c r="ER65" i="4"/>
  <c r="EQ65" i="4" s="1"/>
  <c r="EP65" i="4" s="1"/>
  <c r="FB65" i="4"/>
  <c r="FB25" i="4"/>
  <c r="ES25" i="4"/>
  <c r="ER25" i="4" s="1"/>
  <c r="EQ25" i="4" s="1"/>
  <c r="EP25" i="4" s="1"/>
  <c r="DG171" i="4"/>
  <c r="DQ171" i="4"/>
  <c r="DQ51" i="4"/>
  <c r="DG51" i="4"/>
  <c r="DF51" i="4" s="1"/>
  <c r="DE51" i="4" s="1"/>
  <c r="CY12" i="4"/>
  <c r="CY13" i="4" s="1"/>
  <c r="CY11" i="4"/>
  <c r="DG199" i="4"/>
  <c r="DQ199" i="4"/>
  <c r="AS107" i="8"/>
  <c r="AJ107" i="8"/>
  <c r="AI107" i="8" s="1"/>
  <c r="AH107" i="8" s="1"/>
  <c r="AG107" i="8" s="1"/>
  <c r="AJ118" i="8"/>
  <c r="AI118" i="8" s="1"/>
  <c r="AS118" i="8"/>
  <c r="BL155" i="4"/>
  <c r="BB157" i="4"/>
  <c r="BA157" i="4" s="1"/>
  <c r="AZ157" i="4" s="1"/>
  <c r="BL157" i="4"/>
  <c r="BL196" i="4"/>
  <c r="BB196" i="4"/>
  <c r="BT66" i="8"/>
  <c r="BS66" i="8" s="1"/>
  <c r="CX95" i="4"/>
  <c r="CN95" i="4"/>
  <c r="CM95" i="4" s="1"/>
  <c r="CL95" i="4" s="1"/>
  <c r="CX158" i="4"/>
  <c r="CN158" i="4"/>
  <c r="CM158" i="4" s="1"/>
  <c r="CL158" i="4" s="1"/>
  <c r="CN31" i="4"/>
  <c r="CM31" i="4" s="1"/>
  <c r="CL31" i="4" s="1"/>
  <c r="CX31" i="4"/>
  <c r="CN117" i="8"/>
  <c r="CO117" i="8" s="1"/>
  <c r="CM118" i="8"/>
  <c r="CL118" i="8" s="1"/>
  <c r="AO62" i="9"/>
  <c r="AN62" i="9" s="1"/>
  <c r="AM62" i="9" s="1"/>
  <c r="AL62" i="9" s="1"/>
  <c r="AO17" i="9"/>
  <c r="AN17" i="9" s="1"/>
  <c r="AM17" i="9" s="1"/>
  <c r="AL17" i="9" s="1"/>
  <c r="FS16" i="4"/>
  <c r="FT17" i="4"/>
  <c r="FU17" i="4" s="1"/>
  <c r="BL82" i="8"/>
  <c r="BL117" i="8"/>
  <c r="BC38" i="8"/>
  <c r="BB38" i="8" s="1"/>
  <c r="BA38" i="8" s="1"/>
  <c r="AZ38" i="8" s="1"/>
  <c r="BL38" i="8"/>
  <c r="BL61" i="8"/>
  <c r="BC61" i="8"/>
  <c r="BB61" i="8" s="1"/>
  <c r="BA61" i="8" s="1"/>
  <c r="AZ61" i="8" s="1"/>
  <c r="BL90" i="8"/>
  <c r="BC90" i="8"/>
  <c r="BB90" i="8" s="1"/>
  <c r="BA90" i="8" s="1"/>
  <c r="AZ90" i="8" s="1"/>
  <c r="CE66" i="4"/>
  <c r="CE166" i="4"/>
  <c r="BU145" i="4"/>
  <c r="BT145" i="4" s="1"/>
  <c r="BS145" i="4" s="1"/>
  <c r="CE145" i="4"/>
  <c r="BU147" i="4"/>
  <c r="BT147" i="4" s="1"/>
  <c r="BS147" i="4" s="1"/>
  <c r="CE147" i="4"/>
  <c r="CE140" i="4"/>
  <c r="BU140" i="4"/>
  <c r="BT140" i="4" s="1"/>
  <c r="BS140" i="4" s="1"/>
  <c r="CE86" i="4"/>
  <c r="BU86" i="4"/>
  <c r="BT86" i="4" s="1"/>
  <c r="BS86" i="4" s="1"/>
  <c r="CE130" i="4"/>
  <c r="BU130" i="4"/>
  <c r="BT130" i="4" s="1"/>
  <c r="BS130" i="4" s="1"/>
  <c r="BV27" i="4"/>
  <c r="BU27" i="4" s="1"/>
  <c r="BT27" i="4" s="1"/>
  <c r="BS27" i="4" s="1"/>
  <c r="CE27" i="4"/>
  <c r="BU50" i="4"/>
  <c r="BT50" i="4" s="1"/>
  <c r="BS50" i="4" s="1"/>
  <c r="CE50" i="4"/>
  <c r="AI117" i="5"/>
  <c r="AJ117" i="5" s="1"/>
  <c r="AH118" i="5"/>
  <c r="AG118" i="5" s="1"/>
  <c r="U118" i="5" s="1"/>
  <c r="AH116" i="5"/>
  <c r="AG116" i="5" s="1"/>
  <c r="U116" i="5" s="1"/>
  <c r="AI115" i="5"/>
  <c r="AJ115" i="5" s="1"/>
  <c r="AJ18" i="5"/>
  <c r="AI18" i="5" s="1"/>
  <c r="AH18" i="5" s="1"/>
  <c r="AG18" i="5" s="1"/>
  <c r="T18" i="5" s="1" a="1"/>
  <c r="T18" i="5" s="1"/>
  <c r="AI40" i="4"/>
  <c r="AH40" i="4" s="1"/>
  <c r="AG40" i="4" s="1"/>
  <c r="AS40" i="4"/>
  <c r="CM105" i="8"/>
  <c r="CL105" i="8" s="1"/>
  <c r="CN104" i="8"/>
  <c r="ES20" i="4"/>
  <c r="ER20" i="4" s="1"/>
  <c r="EQ20" i="4" s="1"/>
  <c r="EP20" i="4" s="1"/>
  <c r="FB20" i="4"/>
  <c r="AS21" i="4"/>
  <c r="AJ21" i="4"/>
  <c r="AI21" i="4" s="1"/>
  <c r="AH21" i="4" s="1"/>
  <c r="AG21" i="4" s="1"/>
  <c r="BH130" i="9"/>
  <c r="BG130" i="9" s="1"/>
  <c r="AJ63" i="7"/>
  <c r="AI63" i="7" s="1"/>
  <c r="AH63" i="7" s="1"/>
  <c r="AG63" i="7" s="1"/>
  <c r="R63" i="7" s="1" a="1"/>
  <c r="R63" i="7" s="1"/>
  <c r="AS63" i="7"/>
  <c r="AN28" i="4" a="1"/>
  <c r="AN28" i="4" s="1"/>
  <c r="AS135" i="4"/>
  <c r="AJ25" i="4"/>
  <c r="AI25" i="4" s="1"/>
  <c r="AH25" i="4" s="1"/>
  <c r="AG25" i="4" s="1"/>
  <c r="AS25" i="4"/>
  <c r="BQ169" i="9"/>
  <c r="BH115" i="9"/>
  <c r="BG115" i="9" s="1"/>
  <c r="BF115" i="9" s="1"/>
  <c r="BE115" i="9" s="1"/>
  <c r="BQ115" i="9"/>
  <c r="BH23" i="9"/>
  <c r="BG23" i="9" s="1"/>
  <c r="BF23" i="9" s="1"/>
  <c r="BE23" i="9" s="1"/>
  <c r="BQ23" i="9"/>
  <c r="AS70" i="7"/>
  <c r="AS62" i="7"/>
  <c r="AJ62" i="7"/>
  <c r="AI62" i="7" s="1"/>
  <c r="FK186" i="4"/>
  <c r="FJ186" i="4" s="1"/>
  <c r="FI186" i="4" s="1"/>
  <c r="FU186" i="4"/>
  <c r="FU130" i="4"/>
  <c r="FK130" i="4"/>
  <c r="FJ130" i="4" s="1"/>
  <c r="FI130" i="4" s="1"/>
  <c r="FK148" i="4"/>
  <c r="FJ148" i="4" s="1"/>
  <c r="FI148" i="4" s="1"/>
  <c r="FU148" i="4"/>
  <c r="FU68" i="4"/>
  <c r="FK68" i="4"/>
  <c r="FJ68" i="4" s="1"/>
  <c r="FI68" i="4" s="1"/>
  <c r="FK171" i="4"/>
  <c r="FU171" i="4"/>
  <c r="FL21" i="4"/>
  <c r="FK21" i="4" s="1"/>
  <c r="FJ21" i="4" s="1"/>
  <c r="FI21" i="4" s="1"/>
  <c r="FU21" i="4"/>
  <c r="FK41" i="4"/>
  <c r="FJ41" i="4" s="1"/>
  <c r="FI41" i="4" s="1"/>
  <c r="FU41" i="4"/>
  <c r="FB70" i="4"/>
  <c r="EW28" i="4" a="1"/>
  <c r="EW28" i="4" s="1"/>
  <c r="ES21" i="4"/>
  <c r="ER21" i="4" s="1"/>
  <c r="EQ21" i="4" s="1"/>
  <c r="EP21" i="4" s="1"/>
  <c r="FB21" i="4"/>
  <c r="ES17" i="4"/>
  <c r="ER17" i="4" s="1"/>
  <c r="DQ94" i="4"/>
  <c r="DG94" i="4"/>
  <c r="DF94" i="4" s="1"/>
  <c r="DE94" i="4" s="1"/>
  <c r="DQ73" i="4"/>
  <c r="DG73" i="4"/>
  <c r="DF73" i="4" s="1"/>
  <c r="DE73" i="4" s="1"/>
  <c r="DG36" i="4"/>
  <c r="DF36" i="4" s="1"/>
  <c r="DE36" i="4" s="1"/>
  <c r="DQ36" i="4"/>
  <c r="DG46" i="4"/>
  <c r="DF46" i="4" s="1"/>
  <c r="DE46" i="4" s="1"/>
  <c r="DQ46" i="4"/>
  <c r="AJ18" i="8"/>
  <c r="AI18" i="8" s="1"/>
  <c r="BL114" i="4"/>
  <c r="BK28" i="4" a="1"/>
  <c r="BK28" i="4" s="1"/>
  <c r="BB191" i="4"/>
  <c r="BA191" i="4" s="1"/>
  <c r="AZ191" i="4" s="1"/>
  <c r="BL191" i="4"/>
  <c r="BB193" i="4"/>
  <c r="BL193" i="4"/>
  <c r="BL117" i="4"/>
  <c r="BB117" i="4"/>
  <c r="BA117" i="4" s="1"/>
  <c r="AZ117" i="4" s="1"/>
  <c r="BL50" i="4"/>
  <c r="BB50" i="4"/>
  <c r="BA50" i="4" s="1"/>
  <c r="AZ50" i="4" s="1"/>
  <c r="CX155" i="4"/>
  <c r="CN179" i="4"/>
  <c r="CM179" i="4" s="1"/>
  <c r="CL179" i="4" s="1"/>
  <c r="CX179" i="4"/>
  <c r="CN112" i="4"/>
  <c r="CM112" i="4" s="1"/>
  <c r="CL112" i="4" s="1"/>
  <c r="CX112" i="4"/>
  <c r="CN123" i="4"/>
  <c r="CM123" i="4" s="1"/>
  <c r="CL123" i="4" s="1"/>
  <c r="CX123" i="4"/>
  <c r="CN41" i="4"/>
  <c r="CM41" i="4" s="1"/>
  <c r="CL41" i="4" s="1"/>
  <c r="CX41" i="4"/>
  <c r="AO48" i="9"/>
  <c r="AN48" i="9" s="1"/>
  <c r="AM48" i="9" s="1"/>
  <c r="AL48" i="9" s="1"/>
  <c r="AO64" i="9"/>
  <c r="AN64" i="9" s="1"/>
  <c r="AM64" i="9" s="1"/>
  <c r="AL64" i="9" s="1"/>
  <c r="AO53" i="9"/>
  <c r="AN53" i="9" s="1"/>
  <c r="AM53" i="9" s="1"/>
  <c r="AL53" i="9" s="1"/>
  <c r="AS42" i="7"/>
  <c r="BL101" i="8"/>
  <c r="BL100" i="8"/>
  <c r="BC100" i="8"/>
  <c r="BB100" i="8" s="1"/>
  <c r="BU125" i="4"/>
  <c r="BT125" i="4" s="1"/>
  <c r="BS125" i="4" s="1"/>
  <c r="CE125" i="4"/>
  <c r="CE108" i="4"/>
  <c r="BU108" i="4"/>
  <c r="BT108" i="4" s="1"/>
  <c r="BS108" i="4" s="1"/>
  <c r="CE127" i="4"/>
  <c r="BU127" i="4"/>
  <c r="BT127" i="4" s="1"/>
  <c r="BS127" i="4" s="1"/>
  <c r="BU93" i="4"/>
  <c r="BT93" i="4" s="1"/>
  <c r="BS93" i="4" s="1"/>
  <c r="CE93" i="4"/>
  <c r="CE39" i="4"/>
  <c r="BU39" i="4"/>
  <c r="BT39" i="4" s="1"/>
  <c r="BS39" i="4" s="1"/>
  <c r="AH65" i="5"/>
  <c r="AG65" i="5" s="1"/>
  <c r="U65" i="5" s="1"/>
  <c r="AI64" i="5"/>
  <c r="AJ64" i="5" s="1"/>
  <c r="AI182" i="4"/>
  <c r="AH182" i="4" s="1"/>
  <c r="AG182" i="4" s="1"/>
  <c r="AS182" i="4"/>
  <c r="AI35" i="4"/>
  <c r="AH35" i="4" s="1"/>
  <c r="AG35" i="4" s="1"/>
  <c r="AS35" i="4"/>
  <c r="BH58" i="9"/>
  <c r="BG58" i="9" s="1"/>
  <c r="BF58" i="9" s="1"/>
  <c r="BE58" i="9" s="1"/>
  <c r="BQ155" i="9"/>
  <c r="BH155" i="9"/>
  <c r="BG155" i="9" s="1"/>
  <c r="BF155" i="9" s="1"/>
  <c r="BE155" i="9" s="1"/>
  <c r="BH170" i="9"/>
  <c r="BG170" i="9" s="1"/>
  <c r="BQ170" i="9"/>
  <c r="BH150" i="9"/>
  <c r="BG150" i="9" s="1"/>
  <c r="BF150" i="9" s="1"/>
  <c r="BE150" i="9" s="1"/>
  <c r="BH27" i="9"/>
  <c r="BG27" i="9" s="1"/>
  <c r="BF27" i="9" s="1"/>
  <c r="BE27" i="9" s="1"/>
  <c r="BQ27" i="9"/>
  <c r="AS68" i="7"/>
  <c r="AJ68" i="7"/>
  <c r="AI68" i="7" s="1"/>
  <c r="AS28" i="7"/>
  <c r="AJ28" i="7"/>
  <c r="AI28" i="7" s="1"/>
  <c r="AH28" i="7" s="1"/>
  <c r="AG28" i="7" s="1"/>
  <c r="V28" i="7" s="1" a="1"/>
  <c r="V28" i="7" s="1"/>
  <c r="AS34" i="7"/>
  <c r="AJ34" i="7"/>
  <c r="AI34" i="7" s="1"/>
  <c r="AH34" i="7" s="1"/>
  <c r="AG34" i="7" s="1"/>
  <c r="V34" i="7" s="1" a="1"/>
  <c r="V34" i="7" s="1"/>
  <c r="AS59" i="7"/>
  <c r="AJ59" i="7"/>
  <c r="AI59" i="7" s="1"/>
  <c r="FL25" i="4"/>
  <c r="FK25" i="4" s="1"/>
  <c r="FJ25" i="4" s="1"/>
  <c r="FI25" i="4" s="1"/>
  <c r="FU25" i="4"/>
  <c r="FB173" i="4"/>
  <c r="ER173" i="4"/>
  <c r="EQ173" i="4" s="1"/>
  <c r="EP173" i="4" s="1"/>
  <c r="ER83" i="4"/>
  <c r="EQ83" i="4" s="1"/>
  <c r="EP83" i="4" s="1"/>
  <c r="FB83" i="4"/>
  <c r="ER73" i="4"/>
  <c r="EQ73" i="4" s="1"/>
  <c r="EP73" i="4" s="1"/>
  <c r="FB73" i="4"/>
  <c r="ER107" i="4"/>
  <c r="EQ107" i="4" s="1"/>
  <c r="EP107" i="4" s="1"/>
  <c r="FB107" i="4"/>
  <c r="ES22" i="4"/>
  <c r="ER22" i="4" s="1"/>
  <c r="EQ22" i="4" s="1"/>
  <c r="EP22" i="4" s="1"/>
  <c r="FB22" i="4"/>
  <c r="DQ170" i="4"/>
  <c r="DG181" i="4"/>
  <c r="DF181" i="4" s="1"/>
  <c r="DE181" i="4" s="1"/>
  <c r="DQ181" i="4"/>
  <c r="DG83" i="4"/>
  <c r="DF83" i="4" s="1"/>
  <c r="DE83" i="4" s="1"/>
  <c r="DQ83" i="4"/>
  <c r="DH18" i="4"/>
  <c r="DG18" i="4" s="1"/>
  <c r="DF18" i="4" s="1"/>
  <c r="DE18" i="4" s="1"/>
  <c r="DH17" i="4"/>
  <c r="DG17" i="4" s="1"/>
  <c r="AS67" i="8"/>
  <c r="AJ67" i="8"/>
  <c r="AI67" i="8" s="1"/>
  <c r="AH67" i="8" s="1"/>
  <c r="AG67" i="8" s="1"/>
  <c r="AS23" i="8"/>
  <c r="AJ23" i="8"/>
  <c r="AI23" i="8" s="1"/>
  <c r="AJ36" i="8"/>
  <c r="AI36" i="8" s="1"/>
  <c r="AH36" i="8" s="1"/>
  <c r="AG36" i="8" s="1"/>
  <c r="AS36" i="8"/>
  <c r="AJ61" i="8"/>
  <c r="AI61" i="8" s="1"/>
  <c r="AH61" i="8" s="1"/>
  <c r="AG61" i="8" s="1"/>
  <c r="AS61" i="8"/>
  <c r="AJ19" i="8"/>
  <c r="AI19" i="8" s="1"/>
  <c r="AH19" i="8" s="1"/>
  <c r="AG19" i="8" s="1"/>
  <c r="AS19" i="8"/>
  <c r="BL73" i="4"/>
  <c r="BB73" i="4"/>
  <c r="BA73" i="4" s="1"/>
  <c r="AZ73" i="4" s="1"/>
  <c r="BL30" i="4"/>
  <c r="BB30" i="4"/>
  <c r="BL35" i="4"/>
  <c r="BB35" i="4"/>
  <c r="BA35" i="4" s="1"/>
  <c r="AZ35" i="4" s="1"/>
  <c r="BB39" i="4"/>
  <c r="BA39" i="4" s="1"/>
  <c r="AZ39" i="4" s="1"/>
  <c r="BL39" i="4"/>
  <c r="CX192" i="4"/>
  <c r="CX107" i="4"/>
  <c r="CN107" i="4"/>
  <c r="CM107" i="4" s="1"/>
  <c r="CL107" i="4" s="1"/>
  <c r="CN137" i="4"/>
  <c r="CM137" i="4" s="1"/>
  <c r="CL137" i="4" s="1"/>
  <c r="CX137" i="4"/>
  <c r="CN74" i="4"/>
  <c r="CM74" i="4" s="1"/>
  <c r="CL74" i="4" s="1"/>
  <c r="CX74" i="4"/>
  <c r="CX195" i="4"/>
  <c r="AO112" i="9"/>
  <c r="AN112" i="9" s="1"/>
  <c r="AM112" i="9" s="1"/>
  <c r="AL112" i="9" s="1"/>
  <c r="AO130" i="9"/>
  <c r="AN130" i="9" s="1"/>
  <c r="AO65" i="9"/>
  <c r="AN65" i="9" s="1"/>
  <c r="AM65" i="9" s="1"/>
  <c r="AL65" i="9" s="1"/>
  <c r="AO143" i="9"/>
  <c r="AN143" i="9" s="1"/>
  <c r="AO63" i="9"/>
  <c r="AN63" i="9" s="1"/>
  <c r="AM63" i="9" s="1"/>
  <c r="AL63" i="9" s="1"/>
  <c r="AF11" i="9"/>
  <c r="AF12" i="9" s="1"/>
  <c r="AF10" i="9"/>
  <c r="P9" i="9"/>
  <c r="P10" i="9" s="1"/>
  <c r="AO42" i="9"/>
  <c r="AN42" i="9" s="1"/>
  <c r="AM42" i="9" s="1"/>
  <c r="AL42" i="9" s="1"/>
  <c r="BL42" i="8"/>
  <c r="BC58" i="8"/>
  <c r="BB58" i="8" s="1"/>
  <c r="BA58" i="8" s="1"/>
  <c r="AZ58" i="8" s="1"/>
  <c r="BL58" i="8"/>
  <c r="BL75" i="8"/>
  <c r="BC75" i="8"/>
  <c r="BB75" i="8" s="1"/>
  <c r="BA75" i="8" s="1"/>
  <c r="AZ75" i="8" s="1"/>
  <c r="BL72" i="8"/>
  <c r="BC72" i="8"/>
  <c r="BB72" i="8" s="1"/>
  <c r="BA72" i="8" s="1"/>
  <c r="AZ72" i="8" s="1"/>
  <c r="BZ28" i="4" a="1"/>
  <c r="BZ28" i="4" s="1"/>
  <c r="CE179" i="4"/>
  <c r="BU179" i="4"/>
  <c r="BT179" i="4" s="1"/>
  <c r="BS179" i="4" s="1"/>
  <c r="CE164" i="4"/>
  <c r="BU164" i="4"/>
  <c r="BV20" i="4"/>
  <c r="BU20" i="4" s="1"/>
  <c r="BT20" i="4" s="1"/>
  <c r="BS20" i="4" s="1"/>
  <c r="CE20" i="4"/>
  <c r="BV17" i="4"/>
  <c r="BU17" i="4" s="1"/>
  <c r="AI38" i="5"/>
  <c r="AJ17" i="5"/>
  <c r="AI17" i="5" s="1"/>
  <c r="AH17" i="5" s="1"/>
  <c r="AG17" i="5" s="1"/>
  <c r="T17" i="5" s="1" a="1"/>
  <c r="T17" i="5" s="1"/>
  <c r="BH144" i="9"/>
  <c r="BG144" i="9" s="1"/>
  <c r="BF144" i="9" s="1"/>
  <c r="BE144" i="9" s="1"/>
  <c r="BQ144" i="9"/>
  <c r="DQ62" i="4"/>
  <c r="AS138" i="4"/>
  <c r="AI138" i="4"/>
  <c r="AH138" i="4" s="1"/>
  <c r="AG138" i="4" s="1"/>
  <c r="AS86" i="4"/>
  <c r="AI86" i="4"/>
  <c r="AH86" i="4" s="1"/>
  <c r="AG86" i="4" s="1"/>
  <c r="AS117" i="4"/>
  <c r="AI117" i="4"/>
  <c r="AH117" i="4" s="1"/>
  <c r="AG117" i="4" s="1"/>
  <c r="AS23" i="4"/>
  <c r="AJ23" i="4"/>
  <c r="AI23" i="4" s="1"/>
  <c r="AH23" i="4" s="1"/>
  <c r="AG23" i="4" s="1"/>
  <c r="AI33" i="4"/>
  <c r="AH33" i="4" s="1"/>
  <c r="AG33" i="4" s="1"/>
  <c r="AS33" i="4"/>
  <c r="AS187" i="4"/>
  <c r="AS181" i="4"/>
  <c r="AI181" i="4"/>
  <c r="AH181" i="4" s="1"/>
  <c r="AG181" i="4" s="1"/>
  <c r="AI154" i="4"/>
  <c r="AH154" i="4" s="1"/>
  <c r="AG154" i="4" s="1"/>
  <c r="AS154" i="4"/>
  <c r="AS148" i="4"/>
  <c r="AI148" i="4"/>
  <c r="AH148" i="4" s="1"/>
  <c r="AG148" i="4" s="1"/>
  <c r="AI69" i="4"/>
  <c r="AH69" i="4" s="1"/>
  <c r="AG69" i="4" s="1"/>
  <c r="AS69" i="4"/>
  <c r="AS24" i="4"/>
  <c r="AJ24" i="4"/>
  <c r="AI24" i="4" s="1"/>
  <c r="AH24" i="4" s="1"/>
  <c r="AG24" i="4" s="1"/>
  <c r="BH145" i="9"/>
  <c r="BG145" i="9" s="1"/>
  <c r="BF145" i="9" s="1"/>
  <c r="BE145" i="9" s="1"/>
  <c r="AS180" i="4"/>
  <c r="AI180" i="4"/>
  <c r="AH180" i="4" s="1"/>
  <c r="AG180" i="4" s="1"/>
  <c r="AS172" i="4"/>
  <c r="AI172" i="4"/>
  <c r="AH172" i="4" s="1"/>
  <c r="AG172" i="4" s="1"/>
  <c r="AI72" i="4"/>
  <c r="AH72" i="4" s="1"/>
  <c r="AG72" i="4" s="1"/>
  <c r="AS72" i="4"/>
  <c r="AI36" i="4"/>
  <c r="AH36" i="4" s="1"/>
  <c r="AG36" i="4" s="1"/>
  <c r="AS36" i="4"/>
  <c r="BQ89" i="9"/>
  <c r="BH147" i="9"/>
  <c r="BG147" i="9" s="1"/>
  <c r="BF147" i="9" s="1"/>
  <c r="BE147" i="9" s="1"/>
  <c r="BQ143" i="9"/>
  <c r="BH143" i="9"/>
  <c r="BG143" i="9" s="1"/>
  <c r="BH64" i="9"/>
  <c r="BG64" i="9" s="1"/>
  <c r="BF64" i="9" s="1"/>
  <c r="BE64" i="9" s="1"/>
  <c r="BQ64" i="9"/>
  <c r="BH107" i="9"/>
  <c r="BG107" i="9" s="1"/>
  <c r="BF107" i="9" s="1"/>
  <c r="BE107" i="9" s="1"/>
  <c r="BQ107" i="9"/>
  <c r="BH30" i="9"/>
  <c r="BG30" i="9" s="1"/>
  <c r="BF30" i="9" s="1"/>
  <c r="BE30" i="9" s="1"/>
  <c r="AS86" i="7"/>
  <c r="AJ37" i="7"/>
  <c r="AI37" i="7" s="1"/>
  <c r="AH37" i="7" s="1"/>
  <c r="AG37" i="7" s="1"/>
  <c r="V37" i="7" s="1" a="1"/>
  <c r="V37" i="7" s="1"/>
  <c r="AS37" i="7"/>
  <c r="AJ57" i="7"/>
  <c r="AI57" i="7" s="1"/>
  <c r="AH57" i="7" s="1"/>
  <c r="AG57" i="7" s="1"/>
  <c r="V57" i="7" s="1" a="1"/>
  <c r="V57" i="7" s="1"/>
  <c r="AS57" i="7"/>
  <c r="AJ95" i="7"/>
  <c r="AI95" i="7" s="1"/>
  <c r="AH95" i="7" s="1"/>
  <c r="AG95" i="7" s="1"/>
  <c r="V95" i="7" s="1" a="1"/>
  <c r="V95" i="7" s="1"/>
  <c r="AS95" i="7"/>
  <c r="FH28" i="4" a="1"/>
  <c r="FH28" i="4" s="1"/>
  <c r="FU189" i="4"/>
  <c r="FU178" i="4"/>
  <c r="FK178" i="4"/>
  <c r="FJ178" i="4" s="1"/>
  <c r="FI178" i="4" s="1"/>
  <c r="FL22" i="4"/>
  <c r="FK22" i="4" s="1"/>
  <c r="FJ22" i="4" s="1"/>
  <c r="FI22" i="4" s="1"/>
  <c r="FU22" i="4"/>
  <c r="ER55" i="4"/>
  <c r="EQ55" i="4" s="1"/>
  <c r="EP55" i="4" s="1"/>
  <c r="FB55" i="4"/>
  <c r="FB150" i="4"/>
  <c r="ER150" i="4"/>
  <c r="EQ150" i="4" s="1"/>
  <c r="EP150" i="4" s="1"/>
  <c r="ER47" i="4"/>
  <c r="EQ47" i="4" s="1"/>
  <c r="EP47" i="4" s="1"/>
  <c r="FB47" i="4"/>
  <c r="DQ180" i="4"/>
  <c r="DG180" i="4"/>
  <c r="DF180" i="4" s="1"/>
  <c r="DE180" i="4" s="1"/>
  <c r="DG120" i="4"/>
  <c r="DF120" i="4" s="1"/>
  <c r="DE120" i="4" s="1"/>
  <c r="DQ120" i="4"/>
  <c r="DQ76" i="4"/>
  <c r="DG76" i="4"/>
  <c r="DF76" i="4" s="1"/>
  <c r="DE76" i="4" s="1"/>
  <c r="DG44" i="4"/>
  <c r="DF44" i="4" s="1"/>
  <c r="DE44" i="4" s="1"/>
  <c r="DQ44" i="4"/>
  <c r="AJ94" i="8"/>
  <c r="AI94" i="8" s="1"/>
  <c r="AH94" i="8" s="1"/>
  <c r="AG94" i="8" s="1"/>
  <c r="AS94" i="8"/>
  <c r="AS115" i="8"/>
  <c r="AJ115" i="8"/>
  <c r="AI115" i="8" s="1"/>
  <c r="BL118" i="4"/>
  <c r="BB177" i="4"/>
  <c r="BA177" i="4" s="1"/>
  <c r="AZ177" i="4" s="1"/>
  <c r="BL177" i="4"/>
  <c r="BB148" i="4"/>
  <c r="BA148" i="4" s="1"/>
  <c r="AZ148" i="4" s="1"/>
  <c r="BL148" i="4"/>
  <c r="BB95" i="4"/>
  <c r="BA95" i="4" s="1"/>
  <c r="AZ95" i="4" s="1"/>
  <c r="BL95" i="4"/>
  <c r="BL110" i="4"/>
  <c r="BB110" i="4"/>
  <c r="BB43" i="4"/>
  <c r="BA43" i="4" s="1"/>
  <c r="AZ43" i="4" s="1"/>
  <c r="BL43" i="4"/>
  <c r="CN146" i="4"/>
  <c r="CM146" i="4" s="1"/>
  <c r="CL146" i="4" s="1"/>
  <c r="CX146" i="4"/>
  <c r="CX96" i="4"/>
  <c r="CN96" i="4"/>
  <c r="CM96" i="4" s="1"/>
  <c r="CL96" i="4" s="1"/>
  <c r="CX37" i="4"/>
  <c r="CN37" i="4"/>
  <c r="CM37" i="4" s="1"/>
  <c r="CL37" i="4" s="1"/>
  <c r="AO125" i="9"/>
  <c r="AN125" i="9" s="1"/>
  <c r="AM125" i="9" s="1"/>
  <c r="AL125" i="9" s="1"/>
  <c r="AO81" i="9"/>
  <c r="AN81" i="9" s="1"/>
  <c r="AM81" i="9" s="1"/>
  <c r="AL81" i="9" s="1"/>
  <c r="AO83" i="9"/>
  <c r="AN83" i="9" s="1"/>
  <c r="AM83" i="9" s="1"/>
  <c r="AL83" i="9" s="1"/>
  <c r="AO68" i="9"/>
  <c r="AN68" i="9" s="1"/>
  <c r="AM68" i="9" s="1"/>
  <c r="AL68" i="9" s="1"/>
  <c r="AO110" i="9"/>
  <c r="AN110" i="9" s="1"/>
  <c r="AO28" i="9"/>
  <c r="AN28" i="9" s="1"/>
  <c r="AM28" i="9" s="1"/>
  <c r="AL28" i="9" s="1"/>
  <c r="AO31" i="9"/>
  <c r="AN31" i="9" s="1"/>
  <c r="AM31" i="9" s="1"/>
  <c r="AL31" i="9" s="1"/>
  <c r="DQ160" i="4"/>
  <c r="BC63" i="8"/>
  <c r="BB63" i="8" s="1"/>
  <c r="BL63" i="8"/>
  <c r="BC113" i="8"/>
  <c r="BB113" i="8" s="1"/>
  <c r="BL113" i="8"/>
  <c r="CE109" i="4"/>
  <c r="BU85" i="4"/>
  <c r="BT85" i="4" s="1"/>
  <c r="BS85" i="4" s="1"/>
  <c r="CE85" i="4"/>
  <c r="CE171" i="4"/>
  <c r="BU171" i="4"/>
  <c r="BU150" i="4"/>
  <c r="BT150" i="4" s="1"/>
  <c r="BS150" i="4" s="1"/>
  <c r="CE150" i="4"/>
  <c r="BV18" i="4"/>
  <c r="BU18" i="4" s="1"/>
  <c r="BT18" i="4" s="1"/>
  <c r="BS18" i="4" s="1"/>
  <c r="CE18" i="4"/>
  <c r="AI109" i="5"/>
  <c r="AJ109" i="5" s="1"/>
  <c r="AH110" i="5"/>
  <c r="AG110" i="5" s="1"/>
  <c r="U110" i="5" s="1"/>
  <c r="AS30" i="4"/>
  <c r="AI30" i="4"/>
  <c r="FK83" i="4"/>
  <c r="FJ83" i="4" s="1"/>
  <c r="FI83" i="4" s="1"/>
  <c r="FU83" i="4"/>
  <c r="FK140" i="4"/>
  <c r="FJ140" i="4" s="1"/>
  <c r="FI140" i="4" s="1"/>
  <c r="FU140" i="4"/>
  <c r="FP28" i="4" a="1"/>
  <c r="FP28" i="4" s="1"/>
  <c r="FU193" i="4"/>
  <c r="FK193" i="4"/>
  <c r="FU46" i="4"/>
  <c r="FK46" i="4"/>
  <c r="FJ46" i="4" s="1"/>
  <c r="FI46" i="4" s="1"/>
  <c r="ER71" i="4"/>
  <c r="FB71" i="4"/>
  <c r="ER153" i="4"/>
  <c r="FB153" i="4"/>
  <c r="DQ29" i="4"/>
  <c r="DD28" i="4" a="1"/>
  <c r="DD28" i="4" s="1"/>
  <c r="DD203" i="4" s="1" a="1"/>
  <c r="DD203" i="4" s="1"/>
  <c r="DQ103" i="4"/>
  <c r="DG103" i="4"/>
  <c r="DF103" i="4" s="1"/>
  <c r="DE103" i="4" s="1"/>
  <c r="DG86" i="4"/>
  <c r="DF86" i="4" s="1"/>
  <c r="DE86" i="4" s="1"/>
  <c r="DQ86" i="4"/>
  <c r="DQ164" i="4"/>
  <c r="DG164" i="4"/>
  <c r="DQ195" i="4"/>
  <c r="DQ22" i="4"/>
  <c r="DH22" i="4"/>
  <c r="DG22" i="4" s="1"/>
  <c r="DF22" i="4" s="1"/>
  <c r="DE22" i="4" s="1"/>
  <c r="DG196" i="4"/>
  <c r="DQ196" i="4"/>
  <c r="AJ63" i="8"/>
  <c r="AI63" i="8" s="1"/>
  <c r="AS63" i="8"/>
  <c r="AS57" i="8"/>
  <c r="AJ57" i="8"/>
  <c r="AI57" i="8" s="1"/>
  <c r="AH57" i="8" s="1"/>
  <c r="AG57" i="8" s="1"/>
  <c r="BB53" i="4"/>
  <c r="BA53" i="4" s="1"/>
  <c r="AZ53" i="4" s="1"/>
  <c r="BL53" i="4"/>
  <c r="BB190" i="4"/>
  <c r="BL190" i="4"/>
  <c r="BL101" i="4"/>
  <c r="BB101" i="4"/>
  <c r="BA101" i="4" s="1"/>
  <c r="AZ101" i="4" s="1"/>
  <c r="BL176" i="4"/>
  <c r="BB176" i="4"/>
  <c r="BA176" i="4" s="1"/>
  <c r="AZ176" i="4" s="1"/>
  <c r="BL162" i="4"/>
  <c r="BB162" i="4"/>
  <c r="CX109" i="4"/>
  <c r="CX110" i="4"/>
  <c r="CN110" i="4"/>
  <c r="CX157" i="4"/>
  <c r="CN157" i="4"/>
  <c r="CM157" i="4" s="1"/>
  <c r="CL157" i="4" s="1"/>
  <c r="CX75" i="4"/>
  <c r="CN75" i="4"/>
  <c r="CM75" i="4" s="1"/>
  <c r="CL75" i="4" s="1"/>
  <c r="CN36" i="4"/>
  <c r="CM36" i="4" s="1"/>
  <c r="CL36" i="4" s="1"/>
  <c r="CX36" i="4"/>
  <c r="AO155" i="9"/>
  <c r="AN155" i="9" s="1"/>
  <c r="AM155" i="9" s="1"/>
  <c r="AL155" i="9" s="1"/>
  <c r="AO98" i="9"/>
  <c r="AN98" i="9" s="1"/>
  <c r="AM98" i="9" s="1"/>
  <c r="AL98" i="9" s="1"/>
  <c r="AO56" i="9"/>
  <c r="AN56" i="9" s="1"/>
  <c r="AM56" i="9" s="1"/>
  <c r="AL56" i="9" s="1"/>
  <c r="AO22" i="9"/>
  <c r="AN22" i="9" s="1"/>
  <c r="AM22" i="9" s="1"/>
  <c r="AL22" i="9" s="1"/>
  <c r="AR18" i="7"/>
  <c r="AS18" i="7" s="1"/>
  <c r="AQ17" i="7"/>
  <c r="BC48" i="8"/>
  <c r="BB48" i="8" s="1"/>
  <c r="BA48" i="8" s="1"/>
  <c r="AZ48" i="8" s="1"/>
  <c r="BL48" i="8"/>
  <c r="BC36" i="8"/>
  <c r="BB36" i="8" s="1"/>
  <c r="BA36" i="8" s="1"/>
  <c r="AZ36" i="8" s="1"/>
  <c r="BL36" i="8"/>
  <c r="CE148" i="4"/>
  <c r="BU148" i="4"/>
  <c r="BT148" i="4" s="1"/>
  <c r="BS148" i="4" s="1"/>
  <c r="CE119" i="4"/>
  <c r="BU119" i="4"/>
  <c r="CE107" i="4"/>
  <c r="BU107" i="4"/>
  <c r="BT107" i="4" s="1"/>
  <c r="BS107" i="4" s="1"/>
  <c r="CE30" i="4"/>
  <c r="BU30" i="4"/>
  <c r="BM12" i="4"/>
  <c r="BM13" i="4" s="1"/>
  <c r="BM11" i="4"/>
  <c r="AI144" i="4"/>
  <c r="AH144" i="4" s="1"/>
  <c r="AG144" i="4" s="1"/>
  <c r="AS144" i="4"/>
  <c r="BZ204" i="4" a="1"/>
  <c r="BZ204" i="4" s="1"/>
  <c r="BX204" i="4" a="1"/>
  <c r="BX204" i="4" s="1"/>
  <c r="BZ16" i="4"/>
  <c r="BW204" i="4" a="1"/>
  <c r="BW204" i="4" s="1"/>
  <c r="BY204" i="4" a="1"/>
  <c r="BY204" i="4" s="1"/>
  <c r="AR28" i="4" a="1"/>
  <c r="AR28" i="4" s="1"/>
  <c r="AI94" i="4"/>
  <c r="AH94" i="4" s="1"/>
  <c r="AG94" i="4" s="1"/>
  <c r="AS94" i="4"/>
  <c r="BH66" i="9"/>
  <c r="BG66" i="9" s="1"/>
  <c r="BF66" i="9" s="1"/>
  <c r="BE66" i="9" s="1"/>
  <c r="BQ66" i="9"/>
  <c r="BH35" i="9"/>
  <c r="BG35" i="9" s="1"/>
  <c r="BF35" i="9" s="1"/>
  <c r="BE35" i="9" s="1"/>
  <c r="BH41" i="9"/>
  <c r="BG41" i="9" s="1"/>
  <c r="BF41" i="9" s="1"/>
  <c r="BE41" i="9" s="1"/>
  <c r="BQ41" i="9"/>
  <c r="AJ27" i="7"/>
  <c r="AI27" i="7" s="1"/>
  <c r="AH27" i="7" s="1"/>
  <c r="AG27" i="7" s="1"/>
  <c r="R27" i="7" s="1" a="1"/>
  <c r="R27" i="7" s="1"/>
  <c r="AS27" i="7"/>
  <c r="AJ87" i="7"/>
  <c r="AI87" i="7" s="1"/>
  <c r="AS87" i="7"/>
  <c r="BH113" i="9"/>
  <c r="BG113" i="9" s="1"/>
  <c r="BF113" i="9" s="1"/>
  <c r="BE113" i="9" s="1"/>
  <c r="AS93" i="7"/>
  <c r="FK159" i="4"/>
  <c r="FJ159" i="4" s="1"/>
  <c r="FI159" i="4" s="1"/>
  <c r="FU159" i="4"/>
  <c r="FK76" i="4"/>
  <c r="FJ76" i="4" s="1"/>
  <c r="FI76" i="4" s="1"/>
  <c r="FU76" i="4"/>
  <c r="FK138" i="4"/>
  <c r="FJ138" i="4" s="1"/>
  <c r="FI138" i="4" s="1"/>
  <c r="FU138" i="4"/>
  <c r="FK40" i="4"/>
  <c r="FJ40" i="4" s="1"/>
  <c r="FI40" i="4" s="1"/>
  <c r="FU40" i="4"/>
  <c r="FB191" i="4"/>
  <c r="ER191" i="4"/>
  <c r="EQ191" i="4" s="1"/>
  <c r="EP191" i="4" s="1"/>
  <c r="ER125" i="4"/>
  <c r="EQ125" i="4" s="1"/>
  <c r="EP125" i="4" s="1"/>
  <c r="FB125" i="4"/>
  <c r="ES26" i="4"/>
  <c r="ER26" i="4" s="1"/>
  <c r="EQ26" i="4" s="1"/>
  <c r="EP26" i="4" s="1"/>
  <c r="FB26" i="4"/>
  <c r="DH23" i="4"/>
  <c r="DG23" i="4" s="1"/>
  <c r="DF23" i="4" s="1"/>
  <c r="DE23" i="4" s="1"/>
  <c r="DQ23" i="4"/>
  <c r="AS82" i="8"/>
  <c r="AJ89" i="8"/>
  <c r="AI89" i="8" s="1"/>
  <c r="AH89" i="8" s="1"/>
  <c r="AG89" i="8" s="1"/>
  <c r="AS89" i="8"/>
  <c r="AJ75" i="8"/>
  <c r="AI75" i="8" s="1"/>
  <c r="AH75" i="8" s="1"/>
  <c r="AG75" i="8" s="1"/>
  <c r="AS75" i="8"/>
  <c r="AS78" i="8"/>
  <c r="AJ78" i="8"/>
  <c r="AI78" i="8" s="1"/>
  <c r="AH78" i="8" s="1"/>
  <c r="AG78" i="8" s="1"/>
  <c r="BL66" i="4"/>
  <c r="BL167" i="4"/>
  <c r="BB167" i="4"/>
  <c r="BL130" i="4"/>
  <c r="BB130" i="4"/>
  <c r="BA130" i="4" s="1"/>
  <c r="AZ130" i="4" s="1"/>
  <c r="BB120" i="4"/>
  <c r="BA120" i="4" s="1"/>
  <c r="AZ120" i="4" s="1"/>
  <c r="BL120" i="4"/>
  <c r="BL47" i="4"/>
  <c r="BB47" i="4"/>
  <c r="BA47" i="4" s="1"/>
  <c r="AZ47" i="4" s="1"/>
  <c r="AT11" i="4"/>
  <c r="AT12" i="4"/>
  <c r="AT13" i="4" s="1"/>
  <c r="CX166" i="4"/>
  <c r="CX118" i="4"/>
  <c r="CN125" i="4"/>
  <c r="CM125" i="4" s="1"/>
  <c r="CL125" i="4" s="1"/>
  <c r="CX125" i="4"/>
  <c r="CN130" i="4"/>
  <c r="CM130" i="4" s="1"/>
  <c r="CL130" i="4" s="1"/>
  <c r="CX130" i="4"/>
  <c r="CX186" i="4"/>
  <c r="CN186" i="4"/>
  <c r="CM186" i="4" s="1"/>
  <c r="CL186" i="4" s="1"/>
  <c r="CN71" i="4"/>
  <c r="CX71" i="4"/>
  <c r="CX198" i="4"/>
  <c r="CX43" i="4"/>
  <c r="CN43" i="4"/>
  <c r="CM43" i="4" s="1"/>
  <c r="CL43" i="4" s="1"/>
  <c r="CM66" i="8"/>
  <c r="CL66" i="8" s="1"/>
  <c r="AO94" i="9"/>
  <c r="AN94" i="9" s="1"/>
  <c r="AM94" i="9" s="1"/>
  <c r="AL94" i="9" s="1"/>
  <c r="AO146" i="9"/>
  <c r="AN146" i="9" s="1"/>
  <c r="AM146" i="9" s="1"/>
  <c r="AL146" i="9" s="1"/>
  <c r="AO51" i="9"/>
  <c r="AN51" i="9" s="1"/>
  <c r="AM51" i="9" s="1"/>
  <c r="AL51" i="9" s="1"/>
  <c r="AO43" i="9"/>
  <c r="AN43" i="9" s="1"/>
  <c r="AM43" i="9" s="1"/>
  <c r="AL43" i="9" s="1"/>
  <c r="AO18" i="9"/>
  <c r="AN18" i="9" s="1"/>
  <c r="AM18" i="9" s="1"/>
  <c r="AL18" i="9" s="1"/>
  <c r="BL62" i="8"/>
  <c r="CE62" i="4"/>
  <c r="CE120" i="4"/>
  <c r="BU120" i="4"/>
  <c r="BT120" i="4" s="1"/>
  <c r="BS120" i="4" s="1"/>
  <c r="BU51" i="4"/>
  <c r="BT51" i="4" s="1"/>
  <c r="BS51" i="4" s="1"/>
  <c r="CE51" i="4"/>
  <c r="BU185" i="4"/>
  <c r="BT185" i="4" s="1"/>
  <c r="BS185" i="4" s="1"/>
  <c r="CE185" i="4"/>
  <c r="CE184" i="4"/>
  <c r="BU184" i="4"/>
  <c r="BT184" i="4" s="1"/>
  <c r="BS184" i="4" s="1"/>
  <c r="AR20" i="5" a="1"/>
  <c r="AR20" i="5" s="1"/>
  <c r="V80" i="4" l="1" a="1"/>
  <c r="V80" i="4" s="1"/>
  <c r="Q80" i="4" a="1"/>
  <c r="Q80" i="4" s="1"/>
  <c r="R80" i="4" a="1"/>
  <c r="R80" i="4" s="1"/>
  <c r="V82" i="4" a="1"/>
  <c r="V82" i="4" s="1"/>
  <c r="Q82" i="4" a="1"/>
  <c r="Q82" i="4" s="1"/>
  <c r="R82" i="4" a="1"/>
  <c r="R82" i="4" s="1"/>
  <c r="V23" i="7" a="1"/>
  <c r="V23" i="7" s="1"/>
  <c r="R81" i="4" a="1"/>
  <c r="R81" i="4" s="1"/>
  <c r="V81" i="4" a="1"/>
  <c r="V81" i="4" s="1"/>
  <c r="Q81" i="4" a="1"/>
  <c r="Q81" i="4" s="1"/>
  <c r="R90" i="4" a="1"/>
  <c r="R90" i="4" s="1"/>
  <c r="Q90" i="4" a="1"/>
  <c r="Q90" i="4" s="1"/>
  <c r="V90" i="4" a="1"/>
  <c r="V90" i="4" s="1"/>
  <c r="R70" i="8"/>
  <c r="R124" i="4" a="1"/>
  <c r="R124" i="4" s="1"/>
  <c r="Q124" i="4" a="1"/>
  <c r="Q124" i="4" s="1"/>
  <c r="V124" i="4" a="1"/>
  <c r="V124" i="4" s="1"/>
  <c r="R129" i="4" a="1"/>
  <c r="R129" i="4" s="1"/>
  <c r="V129" i="4" a="1"/>
  <c r="V129" i="4" s="1"/>
  <c r="Q129" i="4" a="1"/>
  <c r="Q129" i="4" s="1"/>
  <c r="R101" i="9" a="1"/>
  <c r="R101" i="9" s="1"/>
  <c r="V101" i="9" a="1"/>
  <c r="V101" i="9" s="1"/>
  <c r="Q101" i="9" a="1"/>
  <c r="Q101" i="9" s="1"/>
  <c r="O101" i="9" a="1"/>
  <c r="O101" i="9" s="1"/>
  <c r="O77" i="9" a="1"/>
  <c r="O77" i="9" s="1"/>
  <c r="V77" i="9" a="1"/>
  <c r="V77" i="9" s="1"/>
  <c r="Q77" i="9" a="1"/>
  <c r="Q77" i="9" s="1"/>
  <c r="R77" i="9" a="1"/>
  <c r="R77" i="9" s="1"/>
  <c r="Q79" i="9" a="1"/>
  <c r="Q79" i="9" s="1"/>
  <c r="R60" i="9" a="1"/>
  <c r="R60" i="9" s="1"/>
  <c r="V79" i="9" a="1"/>
  <c r="V79" i="9" s="1"/>
  <c r="O79" i="9" a="1"/>
  <c r="O79" i="9" s="1"/>
  <c r="R79" i="9" a="1"/>
  <c r="R79" i="9" s="1"/>
  <c r="O60" i="9" a="1"/>
  <c r="O60" i="9" s="1"/>
  <c r="V60" i="9" a="1"/>
  <c r="V60" i="9" s="1"/>
  <c r="Q60" i="9" a="1"/>
  <c r="Q60" i="9" s="1"/>
  <c r="V52" i="9" a="1"/>
  <c r="V52" i="9" s="1"/>
  <c r="Q52" i="9" a="1"/>
  <c r="Q52" i="9" s="1"/>
  <c r="R49" i="9" a="1"/>
  <c r="R49" i="9" s="1"/>
  <c r="R52" i="9" a="1"/>
  <c r="R52" i="9" s="1"/>
  <c r="O52" i="9" a="1"/>
  <c r="O52" i="9" s="1"/>
  <c r="V49" i="9" a="1"/>
  <c r="V49" i="9" s="1"/>
  <c r="O49" i="9" a="1"/>
  <c r="O49" i="9" s="1"/>
  <c r="O50" i="9" a="1"/>
  <c r="O50" i="9" s="1"/>
  <c r="Q49" i="9" a="1"/>
  <c r="Q49" i="9" s="1"/>
  <c r="Q50" i="9" a="1"/>
  <c r="Q50" i="9" s="1"/>
  <c r="R50" i="9" a="1"/>
  <c r="R50" i="9" s="1"/>
  <c r="V50" i="9" a="1"/>
  <c r="V50" i="9" s="1"/>
  <c r="R68" i="8"/>
  <c r="Q131" i="4" a="1"/>
  <c r="Q131" i="4" s="1"/>
  <c r="V131" i="4" a="1"/>
  <c r="V131" i="4" s="1"/>
  <c r="R131" i="4" a="1"/>
  <c r="R131" i="4" s="1"/>
  <c r="V132" i="4" a="1"/>
  <c r="V132" i="4" s="1"/>
  <c r="Q132" i="4" a="1"/>
  <c r="Q132" i="4" s="1"/>
  <c r="R132" i="4" a="1"/>
  <c r="R132" i="4" s="1"/>
  <c r="V122" i="4" a="1"/>
  <c r="V122" i="4" s="1"/>
  <c r="R122" i="4" a="1"/>
  <c r="R122" i="4" s="1"/>
  <c r="Q122" i="4" a="1"/>
  <c r="Q122" i="4" s="1"/>
  <c r="R44" i="8"/>
  <c r="V99" i="4" a="1"/>
  <c r="V99" i="4" s="1"/>
  <c r="Q99" i="4" a="1"/>
  <c r="Q99" i="4" s="1"/>
  <c r="R99" i="4" a="1"/>
  <c r="R99" i="4" s="1"/>
  <c r="R98" i="4" a="1"/>
  <c r="R98" i="4" s="1"/>
  <c r="Q98" i="4" a="1"/>
  <c r="Q98" i="4" s="1"/>
  <c r="V98" i="4" a="1"/>
  <c r="V98" i="4" s="1"/>
  <c r="Q104" i="4" a="1"/>
  <c r="Q104" i="4" s="1"/>
  <c r="R104" i="4" a="1"/>
  <c r="R104" i="4" s="1"/>
  <c r="V104" i="4" a="1"/>
  <c r="V104" i="4" s="1"/>
  <c r="R88" i="4" a="1"/>
  <c r="R88" i="4" s="1"/>
  <c r="V88" i="4" a="1"/>
  <c r="V88" i="4" s="1"/>
  <c r="Q88" i="4" a="1"/>
  <c r="Q88" i="4" s="1"/>
  <c r="V84" i="4" a="1"/>
  <c r="V84" i="4" s="1"/>
  <c r="Q84" i="4" a="1"/>
  <c r="Q84" i="4" s="1"/>
  <c r="R84" i="4" a="1"/>
  <c r="R84" i="4" s="1"/>
  <c r="V92" i="4" a="1"/>
  <c r="V92" i="4" s="1"/>
  <c r="Q92" i="4" a="1"/>
  <c r="Q92" i="4" s="1"/>
  <c r="R92" i="4" a="1"/>
  <c r="R92" i="4" s="1"/>
  <c r="DY188" i="4"/>
  <c r="DX188" i="4" s="1"/>
  <c r="DZ187" i="4"/>
  <c r="EA187" i="4" s="1"/>
  <c r="DZ152" i="4"/>
  <c r="EA152" i="4" s="1"/>
  <c r="DY153" i="4"/>
  <c r="DX153" i="4" s="1"/>
  <c r="DY142" i="4"/>
  <c r="DX142" i="4" s="1"/>
  <c r="V142" i="4" s="1" a="1"/>
  <c r="V142" i="4" s="1"/>
  <c r="DZ141" i="4"/>
  <c r="EA141" i="4" s="1"/>
  <c r="DY171" i="4"/>
  <c r="DX171" i="4" s="1"/>
  <c r="DZ170" i="4"/>
  <c r="EA170" i="4" s="1"/>
  <c r="DY67" i="4"/>
  <c r="DX67" i="4" s="1"/>
  <c r="DZ66" i="4"/>
  <c r="EA66" i="4" s="1"/>
  <c r="DY137" i="4"/>
  <c r="DX137" i="4" s="1"/>
  <c r="R137" i="4" s="1" a="1"/>
  <c r="R137" i="4" s="1"/>
  <c r="DZ135" i="4"/>
  <c r="EA135" i="4" s="1"/>
  <c r="DY164" i="4"/>
  <c r="DX164" i="4" s="1"/>
  <c r="DZ163" i="4"/>
  <c r="EA163" i="4" s="1"/>
  <c r="DZ114" i="4"/>
  <c r="EA114" i="4" s="1"/>
  <c r="DY115" i="4"/>
  <c r="DX115" i="4" s="1"/>
  <c r="DZ29" i="4"/>
  <c r="EA29" i="4" s="1"/>
  <c r="DY100" i="4"/>
  <c r="DX100" i="4" s="1"/>
  <c r="R100" i="4" s="1" a="1"/>
  <c r="R100" i="4" s="1"/>
  <c r="DZ97" i="4"/>
  <c r="EA97" i="4" s="1"/>
  <c r="DY193" i="4"/>
  <c r="DX193" i="4" s="1"/>
  <c r="DZ192" i="4"/>
  <c r="EA192" i="4" s="1"/>
  <c r="DZ166" i="4"/>
  <c r="EA166" i="4" s="1"/>
  <c r="DY167" i="4"/>
  <c r="DX167" i="4" s="1"/>
  <c r="DZ109" i="4"/>
  <c r="EA109" i="4" s="1"/>
  <c r="DY110" i="4"/>
  <c r="DX110" i="4" s="1"/>
  <c r="DZ195" i="4"/>
  <c r="DY196" i="4"/>
  <c r="DX196" i="4" s="1"/>
  <c r="DY65" i="4"/>
  <c r="DX65" i="4" s="1"/>
  <c r="R65" i="4" s="1" a="1"/>
  <c r="R65" i="4" s="1"/>
  <c r="DZ62" i="4"/>
  <c r="EA62" i="4" s="1"/>
  <c r="DZ118" i="4"/>
  <c r="EA118" i="4" s="1"/>
  <c r="DY119" i="4"/>
  <c r="DX119" i="4" s="1"/>
  <c r="DY190" i="4"/>
  <c r="DX190" i="4" s="1"/>
  <c r="DZ189" i="4"/>
  <c r="EA189" i="4" s="1"/>
  <c r="DY156" i="4"/>
  <c r="DX156" i="4" s="1"/>
  <c r="DZ155" i="4"/>
  <c r="EA155" i="4" s="1"/>
  <c r="DY162" i="4"/>
  <c r="DX162" i="4" s="1"/>
  <c r="DZ161" i="4"/>
  <c r="EA161" i="4" s="1"/>
  <c r="DY59" i="4"/>
  <c r="DX59" i="4" s="1"/>
  <c r="DZ58" i="4"/>
  <c r="EA58" i="4" s="1"/>
  <c r="DZ78" i="4"/>
  <c r="EA78" i="4" s="1"/>
  <c r="DZ70" i="4"/>
  <c r="EA70" i="4" s="1"/>
  <c r="DY71" i="4"/>
  <c r="DX71" i="4" s="1"/>
  <c r="DZ198" i="4"/>
  <c r="EA198" i="4" s="1"/>
  <c r="DY199" i="4"/>
  <c r="DX199" i="4" s="1"/>
  <c r="V63" i="4" a="1"/>
  <c r="V63" i="4" s="1"/>
  <c r="Q63" i="4" a="1"/>
  <c r="Q63" i="4" s="1"/>
  <c r="R63" i="4" a="1"/>
  <c r="R63" i="4" s="1"/>
  <c r="AM160" i="9"/>
  <c r="AL160" i="9" s="1"/>
  <c r="O160" i="9" s="1" a="1"/>
  <c r="O160" i="9" s="1"/>
  <c r="AN159" i="9"/>
  <c r="R161" i="9" a="1"/>
  <c r="R161" i="9" s="1"/>
  <c r="Q161" i="9" a="1"/>
  <c r="Q161" i="9" s="1"/>
  <c r="O161" i="9" a="1"/>
  <c r="O161" i="9" s="1"/>
  <c r="V161" i="9" a="1"/>
  <c r="V161" i="9" s="1"/>
  <c r="V159" i="9" s="1"/>
  <c r="R53" i="8"/>
  <c r="V50" i="7" a="1"/>
  <c r="V50" i="7" s="1"/>
  <c r="R69" i="8"/>
  <c r="R64" i="4" a="1"/>
  <c r="R64" i="4" s="1"/>
  <c r="V64" i="4" a="1"/>
  <c r="V64" i="4" s="1"/>
  <c r="Q64" i="4" a="1"/>
  <c r="Q64" i="4" s="1"/>
  <c r="R52" i="4" a="1"/>
  <c r="R52" i="4" s="1"/>
  <c r="V52" i="4" a="1"/>
  <c r="V52" i="4" s="1"/>
  <c r="Q52" i="4" a="1"/>
  <c r="Q52" i="4" s="1"/>
  <c r="V102" i="9" a="1"/>
  <c r="V102" i="9" s="1"/>
  <c r="Q102" i="9" a="1"/>
  <c r="Q102" i="9" s="1"/>
  <c r="R102" i="9" a="1"/>
  <c r="R102" i="9" s="1"/>
  <c r="O102" i="9" a="1"/>
  <c r="O102" i="9" s="1"/>
  <c r="R106" i="9" a="1"/>
  <c r="R106" i="9" s="1"/>
  <c r="O106" i="9" a="1"/>
  <c r="O106" i="9" s="1"/>
  <c r="V106" i="9" a="1"/>
  <c r="V106" i="9" s="1"/>
  <c r="Q106" i="9" a="1"/>
  <c r="Q106" i="9" s="1"/>
  <c r="R25" i="9" a="1"/>
  <c r="R25" i="9" s="1"/>
  <c r="V25" i="9" a="1"/>
  <c r="V25" i="9" s="1"/>
  <c r="Q25" i="9" a="1"/>
  <c r="Q25" i="9" s="1"/>
  <c r="O25" i="9" a="1"/>
  <c r="O25" i="9" s="1"/>
  <c r="R79" i="4" a="1"/>
  <c r="R79" i="4" s="1"/>
  <c r="V79" i="4" a="1"/>
  <c r="V79" i="4" s="1"/>
  <c r="Q79" i="4" a="1"/>
  <c r="Q79" i="4" s="1"/>
  <c r="R102" i="4" a="1"/>
  <c r="R102" i="4" s="1"/>
  <c r="Q102" i="4" a="1"/>
  <c r="Q102" i="4" s="1"/>
  <c r="V102" i="4" a="1"/>
  <c r="V102" i="4" s="1"/>
  <c r="V65" i="7" a="1"/>
  <c r="V65" i="7" s="1"/>
  <c r="V64" i="7" a="1"/>
  <c r="V64" i="7" s="1"/>
  <c r="R77" i="8"/>
  <c r="Q133" i="4" a="1"/>
  <c r="Q133" i="4" s="1"/>
  <c r="V133" i="4" a="1"/>
  <c r="V133" i="4" s="1"/>
  <c r="R133" i="4" a="1"/>
  <c r="R133" i="4" s="1"/>
  <c r="R51" i="7" a="1"/>
  <c r="R51" i="7" s="1"/>
  <c r="R52" i="8"/>
  <c r="R45" i="8"/>
  <c r="BA43" i="8"/>
  <c r="AZ43" i="8" s="1"/>
  <c r="BB42" i="8"/>
  <c r="AH43" i="8"/>
  <c r="AG43" i="8" s="1"/>
  <c r="AI42" i="8"/>
  <c r="CM43" i="8"/>
  <c r="CL43" i="8" s="1"/>
  <c r="CN42" i="8"/>
  <c r="CO42" i="8" s="1"/>
  <c r="BT43" i="8"/>
  <c r="BS43" i="8" s="1"/>
  <c r="BU42" i="8"/>
  <c r="BV42" i="8" s="1"/>
  <c r="BQ173" i="9"/>
  <c r="R54" i="9" a="1"/>
  <c r="R54" i="9" s="1"/>
  <c r="V54" i="9" a="1"/>
  <c r="V54" i="9" s="1"/>
  <c r="Q54" i="9" a="1"/>
  <c r="Q54" i="9" s="1"/>
  <c r="O54" i="9" a="1"/>
  <c r="O54" i="9" s="1"/>
  <c r="BE19" i="9"/>
  <c r="AN16" i="9"/>
  <c r="AN15" i="9" s="1"/>
  <c r="O76" i="9" a="1"/>
  <c r="O76" i="9" s="1"/>
  <c r="V76" i="9" a="1"/>
  <c r="V76" i="9" s="1"/>
  <c r="Q76" i="9" a="1"/>
  <c r="Q76" i="9" s="1"/>
  <c r="R76" i="9" a="1"/>
  <c r="R76" i="9" s="1"/>
  <c r="Q124" i="9" a="1"/>
  <c r="Q124" i="9" s="1"/>
  <c r="V124" i="9" a="1"/>
  <c r="V124" i="9" s="1"/>
  <c r="R124" i="9" a="1"/>
  <c r="R124" i="9" s="1"/>
  <c r="O124" i="9" a="1"/>
  <c r="O124" i="9" s="1"/>
  <c r="V126" i="4" a="1"/>
  <c r="V126" i="4" s="1"/>
  <c r="R126" i="4" a="1"/>
  <c r="R126" i="4" s="1"/>
  <c r="Q126" i="4" a="1"/>
  <c r="Q126" i="4" s="1"/>
  <c r="CN82" i="8"/>
  <c r="CO82" i="8" s="1"/>
  <c r="R85" i="8"/>
  <c r="R84" i="8"/>
  <c r="R91" i="8"/>
  <c r="R143" i="4" a="1"/>
  <c r="R143" i="4" s="1"/>
  <c r="Q143" i="4" a="1"/>
  <c r="Q143" i="4" s="1"/>
  <c r="V143" i="4" a="1"/>
  <c r="V143" i="4" s="1"/>
  <c r="R26" i="8"/>
  <c r="CN79" i="8"/>
  <c r="CO79" i="8" s="1"/>
  <c r="R80" i="8"/>
  <c r="Q89" i="4" a="1"/>
  <c r="Q89" i="4" s="1"/>
  <c r="R89" i="4" a="1"/>
  <c r="R89" i="4" s="1"/>
  <c r="V89" i="4" a="1"/>
  <c r="V89" i="4" s="1"/>
  <c r="V172" i="4" a="1"/>
  <c r="V172" i="4" s="1"/>
  <c r="R172" i="4" a="1"/>
  <c r="R172" i="4" s="1"/>
  <c r="Q172" i="4" a="1"/>
  <c r="Q172" i="4" s="1"/>
  <c r="O36" i="9" a="1"/>
  <c r="O36" i="9" s="1"/>
  <c r="V36" i="9" a="1"/>
  <c r="V36" i="9" s="1"/>
  <c r="R36" i="9" a="1"/>
  <c r="R36" i="9" s="1"/>
  <c r="Q36" i="9" a="1"/>
  <c r="Q36" i="9" s="1"/>
  <c r="Q33" i="9" a="1"/>
  <c r="Q33" i="9" s="1"/>
  <c r="V33" i="9" a="1"/>
  <c r="V33" i="9" s="1"/>
  <c r="O33" i="9" a="1"/>
  <c r="O33" i="9" s="1"/>
  <c r="R33" i="9" a="1"/>
  <c r="R33" i="9" s="1"/>
  <c r="V38" i="9" a="1"/>
  <c r="V38" i="9" s="1"/>
  <c r="O38" i="9" a="1"/>
  <c r="O38" i="9" s="1"/>
  <c r="Q38" i="9" a="1"/>
  <c r="Q38" i="9" s="1"/>
  <c r="R38" i="9" a="1"/>
  <c r="R38" i="9" s="1"/>
  <c r="V149" i="4" a="1"/>
  <c r="V149" i="4" s="1"/>
  <c r="Q149" i="4" a="1"/>
  <c r="Q149" i="4" s="1"/>
  <c r="R149" i="4" a="1"/>
  <c r="R149" i="4" s="1"/>
  <c r="V151" i="4" a="1"/>
  <c r="V151" i="4" s="1"/>
  <c r="Q151" i="4" a="1"/>
  <c r="Q151" i="4" s="1"/>
  <c r="R151" i="4" a="1"/>
  <c r="R151" i="4" s="1"/>
  <c r="Q136" i="4" a="1"/>
  <c r="Q136" i="4" s="1"/>
  <c r="R136" i="4" a="1"/>
  <c r="R136" i="4" s="1"/>
  <c r="V136" i="4" a="1"/>
  <c r="V136" i="4" s="1"/>
  <c r="V174" i="4" a="1"/>
  <c r="V174" i="4" s="1"/>
  <c r="Q174" i="4" a="1"/>
  <c r="Q174" i="4" s="1"/>
  <c r="R174" i="4" a="1"/>
  <c r="R174" i="4" s="1"/>
  <c r="R30" i="8"/>
  <c r="R29" i="8"/>
  <c r="R30" i="7" a="1"/>
  <c r="R30" i="7" s="1"/>
  <c r="R28" i="8"/>
  <c r="R29" i="7" a="1"/>
  <c r="R29" i="7" s="1"/>
  <c r="V56" i="4" a="1"/>
  <c r="V56" i="4" s="1"/>
  <c r="R56" i="4" a="1"/>
  <c r="R56" i="4" s="1"/>
  <c r="Q56" i="4" a="1"/>
  <c r="Q56" i="4" s="1"/>
  <c r="R54" i="4" a="1"/>
  <c r="R54" i="4" s="1"/>
  <c r="V54" i="4" a="1"/>
  <c r="V54" i="4" s="1"/>
  <c r="Q54" i="4" a="1"/>
  <c r="Q54" i="4" s="1"/>
  <c r="R48" i="4" a="1"/>
  <c r="R48" i="4" s="1"/>
  <c r="V48" i="4" a="1"/>
  <c r="V48" i="4" s="1"/>
  <c r="Q48" i="4" a="1"/>
  <c r="Q48" i="4" s="1"/>
  <c r="R73" i="8"/>
  <c r="V128" i="4" a="1"/>
  <c r="V128" i="4" s="1"/>
  <c r="R128" i="4" a="1"/>
  <c r="R128" i="4" s="1"/>
  <c r="Q128" i="4" a="1"/>
  <c r="Q128" i="4" s="1"/>
  <c r="O99" i="9" a="1"/>
  <c r="O99" i="9" s="1"/>
  <c r="Q99" i="9" a="1"/>
  <c r="Q99" i="9" s="1"/>
  <c r="V103" i="9" a="1"/>
  <c r="V103" i="9" s="1"/>
  <c r="R99" i="9" a="1"/>
  <c r="R99" i="9" s="1"/>
  <c r="V99" i="9" a="1"/>
  <c r="V99" i="9" s="1"/>
  <c r="O103" i="9" a="1"/>
  <c r="O103" i="9" s="1"/>
  <c r="Q103" i="9" a="1"/>
  <c r="Q103" i="9" s="1"/>
  <c r="R103" i="9" a="1"/>
  <c r="R103" i="9" s="1"/>
  <c r="V100" i="9" a="1"/>
  <c r="V100" i="9" s="1"/>
  <c r="R100" i="9" a="1"/>
  <c r="R100" i="9" s="1"/>
  <c r="Q100" i="9" a="1"/>
  <c r="Q100" i="9" s="1"/>
  <c r="O100" i="9" a="1"/>
  <c r="O100" i="9" s="1"/>
  <c r="Q80" i="9" a="1"/>
  <c r="Q80" i="9" s="1"/>
  <c r="V80" i="9" a="1"/>
  <c r="V80" i="9" s="1"/>
  <c r="R80" i="9" a="1"/>
  <c r="R80" i="9" s="1"/>
  <c r="O80" i="9" a="1"/>
  <c r="O80" i="9" s="1"/>
  <c r="O55" i="9" a="1"/>
  <c r="O55" i="9" s="1"/>
  <c r="R55" i="9" a="1"/>
  <c r="R55" i="9" s="1"/>
  <c r="Q55" i="9" a="1"/>
  <c r="Q55" i="9" s="1"/>
  <c r="V55" i="9" a="1"/>
  <c r="V55" i="9" s="1"/>
  <c r="R38" i="4" a="1"/>
  <c r="R38" i="4" s="1"/>
  <c r="Q38" i="4" a="1"/>
  <c r="Q38" i="4" s="1"/>
  <c r="V38" i="4" a="1"/>
  <c r="V38" i="4" s="1"/>
  <c r="EF18" i="4"/>
  <c r="EG18" i="4" s="1"/>
  <c r="EH18" i="4" s="1"/>
  <c r="EI18" i="4" s="1"/>
  <c r="Q32" i="4" a="1"/>
  <c r="Q32" i="4" s="1"/>
  <c r="V32" i="4" a="1"/>
  <c r="V32" i="4" s="1"/>
  <c r="R32" i="4" a="1"/>
  <c r="R32" i="4" s="1"/>
  <c r="DR203" i="4" a="1"/>
  <c r="DR203" i="4" s="1"/>
  <c r="DV203" i="4" a="1"/>
  <c r="DV203" i="4" s="1"/>
  <c r="DU203" i="4" a="1"/>
  <c r="DU203" i="4" s="1"/>
  <c r="DX17" i="4"/>
  <c r="EA16" i="4"/>
  <c r="R51" i="8"/>
  <c r="V121" i="4" a="1"/>
  <c r="V121" i="4" s="1"/>
  <c r="R121" i="4" a="1"/>
  <c r="R121" i="4" s="1"/>
  <c r="Q121" i="4" a="1"/>
  <c r="Q121" i="4" s="1"/>
  <c r="R56" i="8"/>
  <c r="R55" i="8"/>
  <c r="V116" i="4" a="1"/>
  <c r="V116" i="4" s="1"/>
  <c r="Q116" i="4" a="1"/>
  <c r="Q116" i="4" s="1"/>
  <c r="R116" i="4" a="1"/>
  <c r="R116" i="4" s="1"/>
  <c r="V105" i="4" a="1"/>
  <c r="V105" i="4" s="1"/>
  <c r="R105" i="4" a="1"/>
  <c r="R105" i="4" s="1"/>
  <c r="Q105" i="4" a="1"/>
  <c r="Q105" i="4" s="1"/>
  <c r="V91" i="4" a="1"/>
  <c r="V91" i="4" s="1"/>
  <c r="Q91" i="4" a="1"/>
  <c r="Q91" i="4" s="1"/>
  <c r="R91" i="4" a="1"/>
  <c r="R91" i="4" s="1"/>
  <c r="CN65" i="8"/>
  <c r="CO65" i="8" s="1"/>
  <c r="CM63" i="8"/>
  <c r="CL63" i="8" s="1"/>
  <c r="CN62" i="8"/>
  <c r="CO62" i="8" s="1"/>
  <c r="R67" i="8"/>
  <c r="R94" i="8"/>
  <c r="R89" i="8"/>
  <c r="BU49" i="8"/>
  <c r="BV49" i="8" s="1"/>
  <c r="BT50" i="8"/>
  <c r="BS50" i="8" s="1"/>
  <c r="R54" i="8"/>
  <c r="CM113" i="8"/>
  <c r="CL113" i="8" s="1"/>
  <c r="BU104" i="8"/>
  <c r="EJ203" i="4" a="1"/>
  <c r="EJ203" i="4" s="1"/>
  <c r="EM203" i="4" a="1"/>
  <c r="EM203" i="4" s="1"/>
  <c r="EN203" i="4" a="1"/>
  <c r="EN203" i="4" s="1"/>
  <c r="R25" i="8"/>
  <c r="CN22" i="8" a="1"/>
  <c r="CN22" i="8" s="1"/>
  <c r="CO22" i="8" s="1"/>
  <c r="BU79" i="8"/>
  <c r="BV79" i="8" s="1"/>
  <c r="BU65" i="8"/>
  <c r="BV65" i="8" s="1"/>
  <c r="R39" i="8"/>
  <c r="BU22" i="8" a="1"/>
  <c r="BU22" i="8" s="1"/>
  <c r="BV22" i="8" s="1"/>
  <c r="R97" i="8"/>
  <c r="CN49" i="8"/>
  <c r="CO49" i="8" s="1"/>
  <c r="R74" i="8"/>
  <c r="BQ203" i="4" a="1"/>
  <c r="BQ203" i="4" s="1"/>
  <c r="BP203" i="4" a="1"/>
  <c r="BP203" i="4" s="1"/>
  <c r="R31" i="8"/>
  <c r="BR203" i="4" a="1"/>
  <c r="BR203" i="4" s="1"/>
  <c r="BU82" i="8"/>
  <c r="BV82" i="8" s="1"/>
  <c r="V4" i="4"/>
  <c r="BT60" i="8"/>
  <c r="BS60" i="8" s="1"/>
  <c r="R34" i="8"/>
  <c r="V74" i="7" a="1"/>
  <c r="V74" i="7" s="1"/>
  <c r="R24" i="8"/>
  <c r="V65" i="9" a="1"/>
  <c r="V65" i="9" s="1"/>
  <c r="R62" i="9" a="1"/>
  <c r="R62" i="9" s="1"/>
  <c r="V96" i="9" a="1"/>
  <c r="V96" i="9" s="1"/>
  <c r="R75" i="8"/>
  <c r="R57" i="8"/>
  <c r="O29" i="9" a="1"/>
  <c r="O29" i="9" s="1"/>
  <c r="Q112" i="9" a="1"/>
  <c r="Q112" i="9" s="1"/>
  <c r="V22" i="9" a="1"/>
  <c r="V22" i="9" s="1"/>
  <c r="V42" i="9" a="1"/>
  <c r="V42" i="9" s="1"/>
  <c r="O98" i="9" a="1"/>
  <c r="O98" i="9" s="1"/>
  <c r="V75" i="7" a="1"/>
  <c r="V75" i="7" s="1"/>
  <c r="Q28" i="9" a="1"/>
  <c r="Q28" i="9" s="1"/>
  <c r="R82" i="9" a="1"/>
  <c r="R82" i="9" s="1"/>
  <c r="O122" i="9" a="1"/>
  <c r="O122" i="9" s="1"/>
  <c r="R51" i="9" a="1"/>
  <c r="R51" i="9" s="1"/>
  <c r="R97" i="9" a="1"/>
  <c r="R97" i="9" s="1"/>
  <c r="R88" i="8"/>
  <c r="R91" i="9" a="1"/>
  <c r="R91" i="9" s="1"/>
  <c r="O105" i="9" a="1"/>
  <c r="O105" i="9" s="1"/>
  <c r="Q146" i="9" a="1"/>
  <c r="Q146" i="9" s="1"/>
  <c r="R47" i="4" a="1"/>
  <c r="R47" i="4" s="1"/>
  <c r="V140" i="9" a="1"/>
  <c r="V140" i="9" s="1"/>
  <c r="O87" i="9" a="1"/>
  <c r="O87" i="9" s="1"/>
  <c r="V73" i="9" a="1"/>
  <c r="V73" i="9" s="1"/>
  <c r="R72" i="4" a="1"/>
  <c r="R72" i="4" s="1"/>
  <c r="O88" i="9" a="1"/>
  <c r="O88" i="9" s="1"/>
  <c r="Q21" i="7" a="1"/>
  <c r="Q21" i="7" s="1"/>
  <c r="R69" i="7" a="1"/>
  <c r="R69" i="7" s="1"/>
  <c r="Q23" i="9" a="1"/>
  <c r="Q23" i="9" s="1"/>
  <c r="Q20" i="7" a="1"/>
  <c r="Q20" i="7" s="1"/>
  <c r="R83" i="9" a="1"/>
  <c r="R83" i="9" s="1"/>
  <c r="O44" i="9" a="1"/>
  <c r="O44" i="9" s="1"/>
  <c r="V118" i="9" a="1"/>
  <c r="V118" i="9" s="1"/>
  <c r="V125" i="9" a="1"/>
  <c r="V125" i="9" s="1"/>
  <c r="R28" i="7" a="1"/>
  <c r="R28" i="7" s="1"/>
  <c r="V101" i="4" a="1"/>
  <c r="V101" i="4" s="1"/>
  <c r="Q61" i="9" a="1"/>
  <c r="Q61" i="9" s="1"/>
  <c r="V70" i="9" a="1"/>
  <c r="V70" i="9" s="1"/>
  <c r="R56" i="9" a="1"/>
  <c r="R56" i="9" s="1"/>
  <c r="Q21" i="4" a="1"/>
  <c r="Q21" i="4" s="1"/>
  <c r="V155" i="9" a="1"/>
  <c r="V155" i="9" s="1"/>
  <c r="R63" i="9" a="1"/>
  <c r="R63" i="9" s="1"/>
  <c r="R68" i="9" a="1"/>
  <c r="R68" i="9" s="1"/>
  <c r="V146" i="9" a="1"/>
  <c r="V146" i="9" s="1"/>
  <c r="Q98" i="9" a="1"/>
  <c r="Q98" i="9" s="1"/>
  <c r="Q83" i="9" a="1"/>
  <c r="Q83" i="9" s="1"/>
  <c r="O65" i="9" a="1"/>
  <c r="O65" i="9" s="1"/>
  <c r="O125" i="9" a="1"/>
  <c r="O125" i="9" s="1"/>
  <c r="R31" i="7" a="1"/>
  <c r="R31" i="7" s="1"/>
  <c r="V33" i="7" a="1"/>
  <c r="V33" i="7" s="1"/>
  <c r="DC203" i="4" a="1"/>
  <c r="DC203" i="4" s="1"/>
  <c r="Q181" i="4" a="1"/>
  <c r="Q181" i="4" s="1"/>
  <c r="R34" i="7" a="1"/>
  <c r="R34" i="7" s="1"/>
  <c r="Q48" i="9" a="1"/>
  <c r="Q48" i="9" s="1"/>
  <c r="O115" i="9" a="1"/>
  <c r="O115" i="9" s="1"/>
  <c r="V106" i="4" a="1"/>
  <c r="V106" i="4" s="1"/>
  <c r="R78" i="8"/>
  <c r="R24" i="7" a="1"/>
  <c r="R24" i="7" s="1"/>
  <c r="Q44" i="9" a="1"/>
  <c r="Q44" i="9" s="1"/>
  <c r="O22" i="9" a="1"/>
  <c r="O22" i="9" s="1"/>
  <c r="V44" i="9" a="1"/>
  <c r="V44" i="9" s="1"/>
  <c r="R36" i="4" a="1"/>
  <c r="R36" i="4" s="1"/>
  <c r="V154" i="4" a="1"/>
  <c r="V154" i="4" s="1"/>
  <c r="R110" i="8"/>
  <c r="R40" i="7" a="1"/>
  <c r="R40" i="7" s="1"/>
  <c r="V86" i="4" a="1"/>
  <c r="V86" i="4" s="1"/>
  <c r="V27" i="7" a="1"/>
  <c r="V27" i="7" s="1"/>
  <c r="O31" i="9" a="1"/>
  <c r="O31" i="9" s="1"/>
  <c r="Q147" i="9" a="1"/>
  <c r="Q147" i="9" s="1"/>
  <c r="Q51" i="9" a="1"/>
  <c r="Q51" i="9" s="1"/>
  <c r="R37" i="7" a="1"/>
  <c r="R37" i="7" s="1"/>
  <c r="V2" i="4"/>
  <c r="Q183" i="4" a="1"/>
  <c r="Q183" i="4" s="1"/>
  <c r="Q152" i="9" a="1"/>
  <c r="Q152" i="9" s="1"/>
  <c r="V148" i="9" a="1"/>
  <c r="V148" i="9" s="1"/>
  <c r="Q64" i="9" a="1"/>
  <c r="Q64" i="9" s="1"/>
  <c r="O151" i="9" a="1"/>
  <c r="O151" i="9" s="1"/>
  <c r="O131" i="9" a="1"/>
  <c r="O131" i="9" s="1"/>
  <c r="O78" i="9" a="1"/>
  <c r="O78" i="9" s="1"/>
  <c r="V56" i="9" a="1"/>
  <c r="V56" i="9" s="1"/>
  <c r="R31" i="9" a="1"/>
  <c r="R31" i="9" s="1"/>
  <c r="O48" i="9" a="1"/>
  <c r="O48" i="9" s="1"/>
  <c r="V75" i="9" a="1"/>
  <c r="V75" i="9" s="1"/>
  <c r="R95" i="9" a="1"/>
  <c r="R95" i="9" s="1"/>
  <c r="R73" i="7" a="1"/>
  <c r="R73" i="7" s="1"/>
  <c r="Q34" i="4" a="1"/>
  <c r="Q34" i="4" s="1"/>
  <c r="R111" i="8"/>
  <c r="R150" i="9" a="1"/>
  <c r="R150" i="9" s="1"/>
  <c r="R30" i="9" a="1"/>
  <c r="R30" i="9" s="1"/>
  <c r="R105" i="9" a="1"/>
  <c r="R105" i="9" s="1"/>
  <c r="O28" i="9" a="1"/>
  <c r="O28" i="9" s="1"/>
  <c r="V168" i="4" a="1"/>
  <c r="V168" i="4" s="1"/>
  <c r="Q87" i="4" a="1"/>
  <c r="Q87" i="4" s="1"/>
  <c r="O149" i="9" a="1"/>
  <c r="O149" i="9" s="1"/>
  <c r="R180" i="4" a="1"/>
  <c r="R180" i="4" s="1"/>
  <c r="Q105" i="9" a="1"/>
  <c r="Q105" i="9" s="1"/>
  <c r="V26" i="9" a="1"/>
  <c r="V26" i="9" s="1"/>
  <c r="Q94" i="9" a="1"/>
  <c r="Q94" i="9" s="1"/>
  <c r="R74" i="9" a="1"/>
  <c r="R74" i="9" s="1"/>
  <c r="Q141" i="9" a="1"/>
  <c r="Q141" i="9" s="1"/>
  <c r="R66" i="7" a="1"/>
  <c r="R66" i="7" s="1"/>
  <c r="R40" i="4" a="1"/>
  <c r="R40" i="4" s="1"/>
  <c r="R98" i="9" a="1"/>
  <c r="R98" i="9" s="1"/>
  <c r="Q68" i="9" a="1"/>
  <c r="Q68" i="9" s="1"/>
  <c r="R73" i="9" a="1"/>
  <c r="R73" i="9" s="1"/>
  <c r="O111" i="9" a="1"/>
  <c r="O111" i="9" s="1"/>
  <c r="Q145" i="9" a="1"/>
  <c r="Q145" i="9" s="1"/>
  <c r="Q42" i="9" a="1"/>
  <c r="Q42" i="9" s="1"/>
  <c r="V94" i="4" a="1"/>
  <c r="V94" i="4" s="1"/>
  <c r="R42" i="9" a="1"/>
  <c r="R42" i="9" s="1"/>
  <c r="R27" i="9" a="1"/>
  <c r="R27" i="9" s="1"/>
  <c r="V175" i="4" a="1"/>
  <c r="V175" i="4" s="1"/>
  <c r="V117" i="4" a="1"/>
  <c r="V117" i="4" s="1"/>
  <c r="V138" i="4" a="1"/>
  <c r="V138" i="4" s="1"/>
  <c r="V112" i="9" a="1"/>
  <c r="V112" i="9" s="1"/>
  <c r="Q24" i="4" a="1"/>
  <c r="Q24" i="4" s="1"/>
  <c r="AE121" i="5" a="1"/>
  <c r="AE121" i="5" s="1"/>
  <c r="Q20" i="8" a="1"/>
  <c r="Q20" i="8" s="1"/>
  <c r="V45" i="7" a="1"/>
  <c r="V45" i="7" s="1"/>
  <c r="V158" i="4" a="1"/>
  <c r="V158" i="4" s="1"/>
  <c r="AA121" i="5" a="1"/>
  <c r="AA121" i="5" s="1"/>
  <c r="Q81" i="9" a="1"/>
  <c r="Q81" i="9" s="1"/>
  <c r="R144" i="9" a="1"/>
  <c r="R144" i="9" s="1"/>
  <c r="R155" i="9" a="1"/>
  <c r="R155" i="9" s="1"/>
  <c r="AF121" i="5" a="1"/>
  <c r="AF121" i="5" s="1"/>
  <c r="O97" i="9" a="1"/>
  <c r="O97" i="9" s="1"/>
  <c r="R84" i="9" a="1"/>
  <c r="R84" i="9" s="1"/>
  <c r="O67" i="9" a="1"/>
  <c r="O67" i="9" s="1"/>
  <c r="R82" i="7" a="1"/>
  <c r="R82" i="7" s="1"/>
  <c r="R125" i="9" a="1"/>
  <c r="R125" i="9" s="1"/>
  <c r="R134" i="4" a="1"/>
  <c r="R134" i="4" s="1"/>
  <c r="V122" i="9" a="1"/>
  <c r="V122" i="9" s="1"/>
  <c r="R26" i="7" a="1"/>
  <c r="R26" i="7" s="1"/>
  <c r="O91" i="9" a="1"/>
  <c r="O91" i="9" s="1"/>
  <c r="R121" i="9" a="1"/>
  <c r="R121" i="9" s="1"/>
  <c r="R43" i="9" a="1"/>
  <c r="R43" i="9" s="1"/>
  <c r="R154" i="4" a="1"/>
  <c r="R154" i="4" s="1"/>
  <c r="O45" i="9" a="1"/>
  <c r="O45" i="9" s="1"/>
  <c r="CY203" i="4" a="1"/>
  <c r="CY203" i="4" s="1"/>
  <c r="Q154" i="4" a="1"/>
  <c r="Q154" i="4" s="1"/>
  <c r="R68" i="4" a="1"/>
  <c r="R68" i="4" s="1"/>
  <c r="R44" i="9" a="1"/>
  <c r="R44" i="9" s="1"/>
  <c r="O41" i="9" a="1"/>
  <c r="O41" i="9" s="1"/>
  <c r="Q75" i="4" a="1"/>
  <c r="Q75" i="4" s="1"/>
  <c r="V85" i="4" a="1"/>
  <c r="V85" i="4" s="1"/>
  <c r="R57" i="7" a="1"/>
  <c r="R57" i="7" s="1"/>
  <c r="V46" i="4" a="1"/>
  <c r="V46" i="4" s="1"/>
  <c r="O69" i="9" a="1"/>
  <c r="O69" i="9" s="1"/>
  <c r="V111" i="4" a="1"/>
  <c r="V111" i="4" s="1"/>
  <c r="R41" i="7" a="1"/>
  <c r="R41" i="7" s="1"/>
  <c r="R66" i="9" a="1"/>
  <c r="R66" i="9" s="1"/>
  <c r="V100" i="7" a="1"/>
  <c r="V100" i="7" s="1"/>
  <c r="V41" i="9" a="1"/>
  <c r="V41" i="9" s="1"/>
  <c r="R73" i="4" a="1"/>
  <c r="R73" i="4" s="1"/>
  <c r="Q158" i="4" a="1"/>
  <c r="Q158" i="4" s="1"/>
  <c r="V95" i="9" a="1"/>
  <c r="V95" i="9" s="1"/>
  <c r="V104" i="9" a="1"/>
  <c r="V104" i="9" s="1"/>
  <c r="Q115" i="9" a="1"/>
  <c r="Q115" i="9" s="1"/>
  <c r="R111" i="4" a="1"/>
  <c r="R111" i="4" s="1"/>
  <c r="R130" i="4" a="1"/>
  <c r="R130" i="4" s="1"/>
  <c r="R53" i="4" a="1"/>
  <c r="R53" i="4" s="1"/>
  <c r="V165" i="9" a="1"/>
  <c r="V165" i="9" s="1"/>
  <c r="R78" i="9" a="1"/>
  <c r="R78" i="9" s="1"/>
  <c r="V66" i="9" a="1"/>
  <c r="V66" i="9" s="1"/>
  <c r="V69" i="9" a="1"/>
  <c r="V69" i="9" s="1"/>
  <c r="R123" i="9" a="1"/>
  <c r="R123" i="9" s="1"/>
  <c r="O61" i="9" a="1"/>
  <c r="O61" i="9" s="1"/>
  <c r="O95" i="9" a="1"/>
  <c r="O95" i="9" s="1"/>
  <c r="V83" i="4" a="1"/>
  <c r="V83" i="4" s="1"/>
  <c r="R88" i="9" a="1"/>
  <c r="R88" i="9" s="1"/>
  <c r="V125" i="4" a="1"/>
  <c r="V125" i="4" s="1"/>
  <c r="V123" i="9" a="1"/>
  <c r="V123" i="9" s="1"/>
  <c r="R26" i="9" a="1"/>
  <c r="R26" i="9" s="1"/>
  <c r="R146" i="9" a="1"/>
  <c r="R146" i="9" s="1"/>
  <c r="V120" i="4" a="1"/>
  <c r="V120" i="4" s="1"/>
  <c r="O35" i="9" a="1"/>
  <c r="O35" i="9" s="1"/>
  <c r="O83" i="9" a="1"/>
  <c r="O83" i="9" s="1"/>
  <c r="Q33" i="4" a="1"/>
  <c r="Q33" i="4" s="1"/>
  <c r="Q65" i="9" a="1"/>
  <c r="Q65" i="9" s="1"/>
  <c r="Q19" i="8" a="1"/>
  <c r="Q19" i="8" s="1"/>
  <c r="R145" i="4" a="1"/>
  <c r="R145" i="4" s="1"/>
  <c r="R70" i="9" a="1"/>
  <c r="R70" i="9" s="1"/>
  <c r="Q184" i="4" a="1"/>
  <c r="Q184" i="4" s="1"/>
  <c r="V57" i="9" a="1"/>
  <c r="V57" i="9" s="1"/>
  <c r="R61" i="4" a="1"/>
  <c r="R61" i="4" s="1"/>
  <c r="O114" i="9" a="1"/>
  <c r="O114" i="9" s="1"/>
  <c r="Q178" i="4" a="1"/>
  <c r="Q178" i="4" s="1"/>
  <c r="Q119" i="9" a="1"/>
  <c r="Q119" i="9" s="1"/>
  <c r="V144" i="9" a="1"/>
  <c r="V144" i="9" s="1"/>
  <c r="R151" i="9" a="1"/>
  <c r="R151" i="9" s="1"/>
  <c r="Q111" i="4" a="1"/>
  <c r="Q111" i="4" s="1"/>
  <c r="R64" i="8"/>
  <c r="Q130" i="4" a="1"/>
  <c r="Q130" i="4" s="1"/>
  <c r="O81" i="9" a="1"/>
  <c r="O81" i="9" s="1"/>
  <c r="R33" i="4" a="1"/>
  <c r="R33" i="4" s="1"/>
  <c r="V35" i="4" a="1"/>
  <c r="V35" i="4" s="1"/>
  <c r="R46" i="4" a="1"/>
  <c r="R46" i="4" s="1"/>
  <c r="R81" i="9" a="1"/>
  <c r="R81" i="9" s="1"/>
  <c r="R35" i="4" a="1"/>
  <c r="R35" i="4" s="1"/>
  <c r="R53" i="9" a="1"/>
  <c r="R53" i="9" s="1"/>
  <c r="R34" i="4" a="1"/>
  <c r="R34" i="4" s="1"/>
  <c r="R95" i="4" a="1"/>
  <c r="R95" i="4" s="1"/>
  <c r="R67" i="9" a="1"/>
  <c r="R67" i="9" s="1"/>
  <c r="R120" i="9" a="1"/>
  <c r="R120" i="9" s="1"/>
  <c r="Q43" i="4" a="1"/>
  <c r="Q43" i="4" s="1"/>
  <c r="V113" i="4" a="1"/>
  <c r="V113" i="4" s="1"/>
  <c r="V120" i="9" a="1"/>
  <c r="V120" i="9" s="1"/>
  <c r="V47" i="4" a="1"/>
  <c r="V47" i="4" s="1"/>
  <c r="Q185" i="4" a="1"/>
  <c r="Q185" i="4" s="1"/>
  <c r="Q74" i="4" a="1"/>
  <c r="Q74" i="4" s="1"/>
  <c r="V31" i="4" a="1"/>
  <c r="V31" i="4" s="1"/>
  <c r="R43" i="4" a="1"/>
  <c r="R43" i="4" s="1"/>
  <c r="R104" i="9" a="1"/>
  <c r="R104" i="9" s="1"/>
  <c r="V30" i="9" a="1"/>
  <c r="V30" i="9" s="1"/>
  <c r="Q182" i="4" a="1"/>
  <c r="Q182" i="4" s="1"/>
  <c r="R74" i="4" a="1"/>
  <c r="R74" i="4" s="1"/>
  <c r="Q21" i="8" a="1"/>
  <c r="Q21" i="8" s="1"/>
  <c r="Q27" i="4" a="1"/>
  <c r="Q27" i="4" s="1"/>
  <c r="R139" i="4" a="1"/>
  <c r="R139" i="4" s="1"/>
  <c r="O141" i="9" a="1"/>
  <c r="O141" i="9" s="1"/>
  <c r="Q31" i="4" a="1"/>
  <c r="Q31" i="4" s="1"/>
  <c r="O58" i="9" a="1"/>
  <c r="O58" i="9" s="1"/>
  <c r="V55" i="4" a="1"/>
  <c r="V55" i="4" s="1"/>
  <c r="Q108" i="9" a="1"/>
  <c r="Q108" i="9" s="1"/>
  <c r="V147" i="9" a="1"/>
  <c r="V147" i="9" s="1"/>
  <c r="Q50" i="4" a="1"/>
  <c r="Q50" i="4" s="1"/>
  <c r="R81" i="8"/>
  <c r="Q103" i="4" a="1"/>
  <c r="Q103" i="4" s="1"/>
  <c r="Q29" i="9" a="1"/>
  <c r="Q29" i="9" s="1"/>
  <c r="R117" i="4" a="1"/>
  <c r="R117" i="4" s="1"/>
  <c r="Q150" i="4" a="1"/>
  <c r="Q150" i="4" s="1"/>
  <c r="Q37" i="4" a="1"/>
  <c r="Q37" i="4" s="1"/>
  <c r="Q120" i="4" a="1"/>
  <c r="Q120" i="4" s="1"/>
  <c r="R50" i="4" a="1"/>
  <c r="R50" i="4" s="1"/>
  <c r="Q26" i="4" a="1"/>
  <c r="Q26" i="4" s="1"/>
  <c r="Q94" i="4" a="1"/>
  <c r="Q94" i="4" s="1"/>
  <c r="Q117" i="4" a="1"/>
  <c r="Q117" i="4" s="1"/>
  <c r="Q107" i="4" a="1"/>
  <c r="Q107" i="4" s="1"/>
  <c r="V44" i="4" a="1"/>
  <c r="V44" i="4" s="1"/>
  <c r="R120" i="4" a="1"/>
  <c r="R120" i="4" s="1"/>
  <c r="R173" i="4" a="1"/>
  <c r="R173" i="4" s="1"/>
  <c r="R94" i="4" a="1"/>
  <c r="R94" i="4" s="1"/>
  <c r="V31" i="9" a="1"/>
  <c r="V31" i="9" s="1"/>
  <c r="V40" i="4" a="1"/>
  <c r="V40" i="4" s="1"/>
  <c r="Q45" i="4" a="1"/>
  <c r="Q45" i="4" s="1"/>
  <c r="Q44" i="4" a="1"/>
  <c r="Q44" i="4" s="1"/>
  <c r="R146" i="4" a="1"/>
  <c r="R146" i="4" s="1"/>
  <c r="Q31" i="9" a="1"/>
  <c r="Q31" i="9" s="1"/>
  <c r="V35" i="7" a="1"/>
  <c r="V35" i="7" s="1"/>
  <c r="Q49" i="4" a="1"/>
  <c r="Q49" i="4" s="1"/>
  <c r="V87" i="9" a="1"/>
  <c r="V87" i="9" s="1"/>
  <c r="R75" i="4" a="1"/>
  <c r="R75" i="4" s="1"/>
  <c r="R122" i="9" a="1"/>
  <c r="R122" i="9" s="1"/>
  <c r="Q147" i="4" a="1"/>
  <c r="Q147" i="4" s="1"/>
  <c r="DB203" i="4" a="1"/>
  <c r="DB203" i="4" s="1"/>
  <c r="O64" i="9" a="1"/>
  <c r="O64" i="9" s="1"/>
  <c r="Q191" i="4" a="1"/>
  <c r="Q191" i="4" s="1"/>
  <c r="V49" i="4" a="1"/>
  <c r="V49" i="4" s="1"/>
  <c r="V176" i="4" a="1"/>
  <c r="V176" i="4" s="1"/>
  <c r="R147" i="4" a="1"/>
  <c r="R147" i="4" s="1"/>
  <c r="Q60" i="4" a="1"/>
  <c r="Q60" i="4" s="1"/>
  <c r="Q73" i="4" a="1"/>
  <c r="Q73" i="4" s="1"/>
  <c r="Q19" i="7" a="1"/>
  <c r="Q19" i="7" s="1"/>
  <c r="O59" i="9" a="1"/>
  <c r="O59" i="9" s="1"/>
  <c r="V121" i="9" a="1"/>
  <c r="V121" i="9" s="1"/>
  <c r="V75" i="4" a="1"/>
  <c r="V75" i="4" s="1"/>
  <c r="R69" i="4" a="1"/>
  <c r="R69" i="4" s="1"/>
  <c r="Q51" i="4" a="1"/>
  <c r="Q51" i="4" s="1"/>
  <c r="V73" i="4" a="1"/>
  <c r="V73" i="4" s="1"/>
  <c r="V59" i="9" a="1"/>
  <c r="V59" i="9" s="1"/>
  <c r="V159" i="4" a="1"/>
  <c r="V159" i="4" s="1"/>
  <c r="R42" i="4" a="1"/>
  <c r="R42" i="4" s="1"/>
  <c r="R158" i="9" a="1"/>
  <c r="R158" i="9" s="1"/>
  <c r="R28" i="9" a="1"/>
  <c r="R28" i="9" s="1"/>
  <c r="R86" i="4" a="1"/>
  <c r="R86" i="4" s="1"/>
  <c r="O42" i="9" a="1"/>
  <c r="O42" i="9" s="1"/>
  <c r="V39" i="4" a="1"/>
  <c r="V39" i="4" s="1"/>
  <c r="V48" i="9" a="1"/>
  <c r="V48" i="9" s="1"/>
  <c r="V39" i="7" a="1"/>
  <c r="V39" i="7" s="1"/>
  <c r="V36" i="7" a="1"/>
  <c r="V36" i="7" s="1"/>
  <c r="V60" i="4" a="1"/>
  <c r="V60" i="4" s="1"/>
  <c r="V51" i="4" a="1"/>
  <c r="V51" i="4" s="1"/>
  <c r="V177" i="4" a="1"/>
  <c r="V177" i="4" s="1"/>
  <c r="V158" i="9" a="1"/>
  <c r="V158" i="9" s="1"/>
  <c r="R96" i="9" a="1"/>
  <c r="R96" i="9" s="1"/>
  <c r="O40" i="9" a="1"/>
  <c r="O40" i="9" s="1"/>
  <c r="O21" i="9" a="1"/>
  <c r="O21" i="9" s="1"/>
  <c r="R108" i="4" a="1"/>
  <c r="R108" i="4" s="1"/>
  <c r="Q186" i="4" a="1"/>
  <c r="Q186" i="4" s="1"/>
  <c r="R35" i="9" a="1"/>
  <c r="R35" i="9" s="1"/>
  <c r="Q157" i="4" a="1"/>
  <c r="Q157" i="4" s="1"/>
  <c r="O43" i="9" a="1"/>
  <c r="O43" i="9" s="1"/>
  <c r="V43" i="9" a="1"/>
  <c r="V43" i="9" s="1"/>
  <c r="V134" i="4" a="1"/>
  <c r="V134" i="4" s="1"/>
  <c r="Q138" i="4" a="1"/>
  <c r="Q138" i="4" s="1"/>
  <c r="Q107" i="9" a="1"/>
  <c r="Q107" i="9" s="1"/>
  <c r="V96" i="4" a="1"/>
  <c r="V96" i="4" s="1"/>
  <c r="V145" i="4" a="1"/>
  <c r="V145" i="4" s="1"/>
  <c r="V149" i="9" a="1"/>
  <c r="V149" i="9" s="1"/>
  <c r="V87" i="4" a="1"/>
  <c r="V87" i="4" s="1"/>
  <c r="Q96" i="9" a="1"/>
  <c r="Q96" i="9" s="1"/>
  <c r="R57" i="4" a="1"/>
  <c r="R57" i="4" s="1"/>
  <c r="O34" i="9" a="1"/>
  <c r="O34" i="9" s="1"/>
  <c r="R87" i="4" a="1"/>
  <c r="R87" i="4" s="1"/>
  <c r="V147" i="4" a="1"/>
  <c r="V147" i="4" s="1"/>
  <c r="V123" i="4" a="1"/>
  <c r="V123" i="4" s="1"/>
  <c r="R131" i="9" a="1"/>
  <c r="R131" i="9" s="1"/>
  <c r="R108" i="9" a="1"/>
  <c r="R108" i="9" s="1"/>
  <c r="Q43" i="9" a="1"/>
  <c r="Q43" i="9" s="1"/>
  <c r="R138" i="4" a="1"/>
  <c r="R138" i="4" s="1"/>
  <c r="V183" i="4" a="1"/>
  <c r="V183" i="4" s="1"/>
  <c r="Q57" i="4" a="1"/>
  <c r="Q57" i="4" s="1"/>
  <c r="Q149" i="9" a="1"/>
  <c r="Q149" i="9" s="1"/>
  <c r="V179" i="4" a="1"/>
  <c r="V179" i="4" s="1"/>
  <c r="Q128" i="9" a="1"/>
  <c r="Q128" i="9" s="1"/>
  <c r="Q169" i="4" a="1"/>
  <c r="Q169" i="4" s="1"/>
  <c r="Q32" i="9" a="1"/>
  <c r="Q32" i="9" s="1"/>
  <c r="R140" i="4" a="1"/>
  <c r="R140" i="4" s="1"/>
  <c r="R181" i="4" a="1"/>
  <c r="R181" i="4" s="1"/>
  <c r="Q113" i="9" a="1"/>
  <c r="Q113" i="9" s="1"/>
  <c r="Q25" i="4" a="1"/>
  <c r="Q25" i="4" s="1"/>
  <c r="Q144" i="4" a="1"/>
  <c r="Q144" i="4" s="1"/>
  <c r="O155" i="9" a="1"/>
  <c r="O155" i="9" s="1"/>
  <c r="V28" i="9" a="1"/>
  <c r="V28" i="9" s="1"/>
  <c r="FU28" i="4"/>
  <c r="Q36" i="4" a="1"/>
  <c r="Q36" i="4" s="1"/>
  <c r="R148" i="4" a="1"/>
  <c r="R148" i="4" s="1"/>
  <c r="R39" i="4" a="1"/>
  <c r="R39" i="4" s="1"/>
  <c r="O62" i="9" a="1"/>
  <c r="O62" i="9" s="1"/>
  <c r="R75" i="9" a="1"/>
  <c r="R75" i="9" s="1"/>
  <c r="R183" i="4" a="1"/>
  <c r="R183" i="4" s="1"/>
  <c r="V97" i="9" a="1"/>
  <c r="V97" i="9" s="1"/>
  <c r="Q85" i="4" a="1"/>
  <c r="Q85" i="4" s="1"/>
  <c r="Q140" i="9" a="1"/>
  <c r="Q140" i="9" s="1"/>
  <c r="Q45" i="9" a="1"/>
  <c r="Q45" i="9" s="1"/>
  <c r="R145" i="9" a="1"/>
  <c r="R145" i="9" s="1"/>
  <c r="O32" i="9" a="1"/>
  <c r="O32" i="9" s="1"/>
  <c r="V51" i="9" a="1"/>
  <c r="V51" i="9" s="1"/>
  <c r="Q22" i="9" a="1"/>
  <c r="Q22" i="9" s="1"/>
  <c r="Q155" i="9" a="1"/>
  <c r="Q155" i="9" s="1"/>
  <c r="V43" i="4" a="1"/>
  <c r="V43" i="4" s="1"/>
  <c r="Q67" i="9" a="1"/>
  <c r="Q67" i="9" s="1"/>
  <c r="O118" i="9" a="1"/>
  <c r="O118" i="9" s="1"/>
  <c r="V93" i="4" a="1"/>
  <c r="V93" i="4" s="1"/>
  <c r="V168" i="9" a="1"/>
  <c r="V168" i="9" s="1"/>
  <c r="V191" i="4" a="1"/>
  <c r="V191" i="4" s="1"/>
  <c r="V105" i="9" a="1"/>
  <c r="V105" i="9" s="1"/>
  <c r="Q41" i="4" a="1"/>
  <c r="Q41" i="4" s="1"/>
  <c r="Q58" i="9" a="1"/>
  <c r="Q58" i="9" s="1"/>
  <c r="R186" i="4" a="1"/>
  <c r="R186" i="4" s="1"/>
  <c r="R45" i="4" a="1"/>
  <c r="R45" i="4" s="1"/>
  <c r="O23" i="9" a="1"/>
  <c r="O23" i="9" s="1"/>
  <c r="Q23" i="4" a="1"/>
  <c r="Q23" i="4" s="1"/>
  <c r="Q75" i="9" a="1"/>
  <c r="Q75" i="9" s="1"/>
  <c r="Q69" i="4" a="1"/>
  <c r="Q69" i="4" s="1"/>
  <c r="Q179" i="4" a="1"/>
  <c r="Q179" i="4" s="1"/>
  <c r="Q39" i="4" a="1"/>
  <c r="Q39" i="4" s="1"/>
  <c r="O82" i="9" a="1"/>
  <c r="O82" i="9" s="1"/>
  <c r="R76" i="4" a="1"/>
  <c r="R76" i="4" s="1"/>
  <c r="Q27" i="9" a="1"/>
  <c r="Q27" i="9" s="1"/>
  <c r="V36" i="4" a="1"/>
  <c r="V36" i="4" s="1"/>
  <c r="O68" i="9" a="1"/>
  <c r="O68" i="9" s="1"/>
  <c r="R107" i="8"/>
  <c r="V68" i="9" a="1"/>
  <c r="V68" i="9" s="1"/>
  <c r="V72" i="4" a="1"/>
  <c r="V72" i="4" s="1"/>
  <c r="V150" i="9" a="1"/>
  <c r="V150" i="9" s="1"/>
  <c r="V140" i="4" a="1"/>
  <c r="V140" i="4" s="1"/>
  <c r="Q91" i="9" a="1"/>
  <c r="Q91" i="9" s="1"/>
  <c r="O37" i="9" a="1"/>
  <c r="O37" i="9" s="1"/>
  <c r="V103" i="4" a="1"/>
  <c r="V103" i="4" s="1"/>
  <c r="R32" i="8"/>
  <c r="Q106" i="4" a="1"/>
  <c r="Q106" i="4" s="1"/>
  <c r="R157" i="4" a="1"/>
  <c r="R157" i="4" s="1"/>
  <c r="R95" i="7" a="1"/>
  <c r="R95" i="7" s="1"/>
  <c r="Q86" i="4" a="1"/>
  <c r="Q86" i="4" s="1"/>
  <c r="Q22" i="4" a="1"/>
  <c r="Q22" i="4" s="1"/>
  <c r="V34" i="9" a="1"/>
  <c r="V34" i="9" s="1"/>
  <c r="V151" i="9" a="1"/>
  <c r="V151" i="9" s="1"/>
  <c r="R115" i="9" a="1"/>
  <c r="R115" i="9" s="1"/>
  <c r="R55" i="4" a="1"/>
  <c r="R55" i="4" s="1"/>
  <c r="R111" i="9" a="1"/>
  <c r="R111" i="9" s="1"/>
  <c r="V127" i="4" a="1"/>
  <c r="V127" i="4" s="1"/>
  <c r="V84" i="9" a="1"/>
  <c r="V84" i="9" s="1"/>
  <c r="V157" i="4" a="1"/>
  <c r="V157" i="4" s="1"/>
  <c r="V112" i="4" a="1"/>
  <c r="V112" i="4" s="1"/>
  <c r="V115" i="9" a="1"/>
  <c r="V115" i="9" s="1"/>
  <c r="Q168" i="4" a="1"/>
  <c r="Q168" i="4" s="1"/>
  <c r="R57" i="9" a="1"/>
  <c r="R57" i="9" s="1"/>
  <c r="R165" i="9" a="1"/>
  <c r="R165" i="9" s="1"/>
  <c r="Q41" i="9" a="1"/>
  <c r="Q41" i="9" s="1"/>
  <c r="R106" i="8"/>
  <c r="DF199" i="4"/>
  <c r="DE199" i="4" s="1"/>
  <c r="DG198" i="4"/>
  <c r="DH198" i="4" s="1"/>
  <c r="FJ17" i="4"/>
  <c r="FK16" i="4"/>
  <c r="Q112" i="4" a="1"/>
  <c r="Q112" i="4" s="1"/>
  <c r="V152" i="9" a="1"/>
  <c r="V152" i="9" s="1"/>
  <c r="DG97" i="4"/>
  <c r="DH97" i="4" s="1"/>
  <c r="R60" i="7" a="1"/>
  <c r="R60" i="7" s="1"/>
  <c r="AJ105" i="5"/>
  <c r="AI104" i="5" a="1"/>
  <c r="AI104" i="5" s="1"/>
  <c r="AJ104" i="5" s="1"/>
  <c r="Q83" i="4" a="1"/>
  <c r="Q83" i="4" s="1"/>
  <c r="BU62" i="4"/>
  <c r="BV62" i="4" s="1"/>
  <c r="AI84" i="7"/>
  <c r="AH85" i="7"/>
  <c r="AG85" i="7" s="1"/>
  <c r="R60" i="4" a="1"/>
  <c r="R60" i="4" s="1"/>
  <c r="AH60" i="8"/>
  <c r="AG60" i="8" s="1"/>
  <c r="AI59" i="8"/>
  <c r="AJ59" i="8" s="1"/>
  <c r="EQ164" i="4"/>
  <c r="EP164" i="4" s="1"/>
  <c r="ER163" i="4"/>
  <c r="ES163" i="4" s="1"/>
  <c r="O57" i="9" a="1"/>
  <c r="O57" i="9" s="1"/>
  <c r="Q59" i="9" a="1"/>
  <c r="Q59" i="9" s="1"/>
  <c r="R169" i="4" a="1"/>
  <c r="R169" i="4" s="1"/>
  <c r="Q21" i="9" a="1"/>
  <c r="Q21" i="9" s="1"/>
  <c r="EY204" i="4" a="1"/>
  <c r="EY204" i="4" s="1"/>
  <c r="FA16" i="4"/>
  <c r="EZ204" i="4" a="1"/>
  <c r="EZ204" i="4" s="1"/>
  <c r="FA204" i="4" a="1"/>
  <c r="FA204" i="4" s="1"/>
  <c r="EX204" i="4" a="1"/>
  <c r="EX204" i="4" s="1"/>
  <c r="R141" i="9" a="1"/>
  <c r="R141" i="9" s="1"/>
  <c r="V119" i="9" a="1"/>
  <c r="V119" i="9" s="1"/>
  <c r="FK62" i="4"/>
  <c r="FL62" i="4" s="1"/>
  <c r="Q140" i="4" a="1"/>
  <c r="Q140" i="4" s="1"/>
  <c r="O146" i="9" a="1"/>
  <c r="O146" i="9" s="1"/>
  <c r="Q72" i="4" a="1"/>
  <c r="Q72" i="4" s="1"/>
  <c r="V33" i="4" a="1"/>
  <c r="V33" i="4" s="1"/>
  <c r="AM130" i="9"/>
  <c r="AL130" i="9" s="1"/>
  <c r="AN129" i="9"/>
  <c r="R49" i="4" a="1"/>
  <c r="R49" i="4" s="1"/>
  <c r="R152" i="9" a="1"/>
  <c r="R152" i="9" s="1"/>
  <c r="V34" i="4" a="1"/>
  <c r="V34" i="4" s="1"/>
  <c r="AH96" i="8"/>
  <c r="AG96" i="8" s="1"/>
  <c r="AI95" i="8"/>
  <c r="AJ95" i="8" s="1"/>
  <c r="R149" i="9" a="1"/>
  <c r="R149" i="9" s="1"/>
  <c r="V82" i="9" a="1"/>
  <c r="V82" i="9" s="1"/>
  <c r="R37" i="4" a="1"/>
  <c r="R37" i="4" s="1"/>
  <c r="V67" i="9" a="1"/>
  <c r="V67" i="9" s="1"/>
  <c r="AI101" i="8"/>
  <c r="AJ101" i="8" s="1"/>
  <c r="AH102" i="8"/>
  <c r="AG102" i="8" s="1"/>
  <c r="Q57" i="9" a="1"/>
  <c r="Q57" i="9" s="1"/>
  <c r="R59" i="9" a="1"/>
  <c r="R59" i="9" s="1"/>
  <c r="V169" i="4" a="1"/>
  <c r="V169" i="4" s="1"/>
  <c r="V21" i="9" a="1"/>
  <c r="V21" i="9" s="1"/>
  <c r="Q165" i="9" a="1"/>
  <c r="Q165" i="9" s="1"/>
  <c r="V4" i="8"/>
  <c r="V3" i="8"/>
  <c r="BF154" i="9"/>
  <c r="BE154" i="9" s="1"/>
  <c r="BG153" i="9"/>
  <c r="BH153" i="9" s="1"/>
  <c r="V78" i="9" a="1"/>
  <c r="V78" i="9" s="1"/>
  <c r="V108" i="9" a="1"/>
  <c r="V108" i="9" s="1"/>
  <c r="Q84" i="9" a="1"/>
  <c r="Q84" i="9" s="1"/>
  <c r="AH115" i="4"/>
  <c r="AG115" i="4" s="1"/>
  <c r="AI114" i="4"/>
  <c r="AJ114" i="4" s="1"/>
  <c r="V141" i="9" a="1"/>
  <c r="V141" i="9" s="1"/>
  <c r="R71" i="8"/>
  <c r="O26" i="9" a="1"/>
  <c r="O26" i="9" s="1"/>
  <c r="R31" i="4" a="1"/>
  <c r="R31" i="4" s="1"/>
  <c r="R119" i="9" a="1"/>
  <c r="R119" i="9" s="1"/>
  <c r="R34" i="9" a="1"/>
  <c r="R34" i="9" s="1"/>
  <c r="DG152" i="4"/>
  <c r="DH152" i="4" s="1"/>
  <c r="DF153" i="4"/>
  <c r="DE153" i="4" s="1"/>
  <c r="V4" i="5"/>
  <c r="V3" i="5"/>
  <c r="FJ153" i="4"/>
  <c r="FI153" i="4" s="1"/>
  <c r="FK152" i="4"/>
  <c r="FL152" i="4" s="1"/>
  <c r="AI89" i="7"/>
  <c r="AH90" i="7"/>
  <c r="AG90" i="7" s="1"/>
  <c r="V74" i="4" a="1"/>
  <c r="V74" i="4" s="1"/>
  <c r="CN114" i="4"/>
  <c r="CO114" i="4" s="1"/>
  <c r="CM115" i="4"/>
  <c r="CL115" i="4" s="1"/>
  <c r="V37" i="4" a="1"/>
  <c r="V37" i="4" s="1"/>
  <c r="AI65" i="8"/>
  <c r="AJ65" i="8" s="1"/>
  <c r="AH66" i="8"/>
  <c r="AG66" i="8" s="1"/>
  <c r="DG161" i="4"/>
  <c r="DF162" i="4"/>
  <c r="DE162" i="4" s="1"/>
  <c r="O165" i="9" a="1"/>
  <c r="O165" i="9" s="1"/>
  <c r="CM156" i="4"/>
  <c r="CL156" i="4" s="1"/>
  <c r="CN155" i="4"/>
  <c r="CO155" i="4" s="1"/>
  <c r="R103" i="4" a="1"/>
  <c r="R103" i="4" s="1"/>
  <c r="AI77" i="7"/>
  <c r="AJ77" i="7" s="1"/>
  <c r="AH78" i="7"/>
  <c r="AG78" i="7" s="1"/>
  <c r="O108" i="9" a="1"/>
  <c r="O108" i="9" s="1"/>
  <c r="CO99" i="8"/>
  <c r="CN98" i="8" a="1"/>
  <c r="CN98" i="8" s="1"/>
  <c r="CO98" i="8" s="1"/>
  <c r="O84" i="9" a="1"/>
  <c r="O84" i="9" s="1"/>
  <c r="BB187" i="4"/>
  <c r="BC187" i="4" s="1"/>
  <c r="BA188" i="4"/>
  <c r="AZ188" i="4" s="1"/>
  <c r="Q26" i="9" a="1"/>
  <c r="Q26" i="9" s="1"/>
  <c r="Q34" i="9" a="1"/>
  <c r="Q34" i="9" s="1"/>
  <c r="CN97" i="4"/>
  <c r="CO97" i="4" s="1"/>
  <c r="DG58" i="4"/>
  <c r="DH58" i="4" s="1"/>
  <c r="DF59" i="4"/>
  <c r="DE59" i="4" s="1"/>
  <c r="CN78" i="4"/>
  <c r="AN47" i="9"/>
  <c r="Q40" i="4" a="1"/>
  <c r="Q40" i="4" s="1"/>
  <c r="Q125" i="9" a="1"/>
  <c r="Q125" i="9" s="1"/>
  <c r="Q134" i="4" a="1"/>
  <c r="Q134" i="4" s="1"/>
  <c r="O112" i="9" a="1"/>
  <c r="O112" i="9" s="1"/>
  <c r="AH109" i="8"/>
  <c r="AG109" i="8" s="1"/>
  <c r="AI108" i="8"/>
  <c r="AJ108" i="8" s="1"/>
  <c r="R76" i="7" a="1"/>
  <c r="R76" i="7" s="1"/>
  <c r="V91" i="9" a="1"/>
  <c r="V91" i="9" s="1"/>
  <c r="V68" i="4" a="1"/>
  <c r="V68" i="4" s="1"/>
  <c r="R85" i="4" a="1"/>
  <c r="R85" i="4" s="1"/>
  <c r="R87" i="9" a="1"/>
  <c r="R87" i="9" s="1"/>
  <c r="V53" i="4" a="1"/>
  <c r="V53" i="4" s="1"/>
  <c r="AH153" i="4"/>
  <c r="AG153" i="4" s="1"/>
  <c r="AI152" i="4"/>
  <c r="AJ152" i="4" s="1"/>
  <c r="BU187" i="4"/>
  <c r="BV187" i="4" s="1"/>
  <c r="BT188" i="4"/>
  <c r="BS188" i="4" s="1"/>
  <c r="BF136" i="9"/>
  <c r="BE136" i="9" s="1"/>
  <c r="BG135" i="9"/>
  <c r="BH135" i="9" s="1"/>
  <c r="BI122" i="8" a="1"/>
  <c r="BI122" i="8" s="1"/>
  <c r="BJ122" i="8" a="1"/>
  <c r="BJ122" i="8" s="1"/>
  <c r="BH122" i="8" a="1"/>
  <c r="BH122" i="8" s="1"/>
  <c r="BK122" i="8" a="1"/>
  <c r="BK122" i="8" s="1"/>
  <c r="BK17" i="8"/>
  <c r="BF170" i="9"/>
  <c r="BE170" i="9" s="1"/>
  <c r="BG159" i="9"/>
  <c r="BH159" i="9" s="1"/>
  <c r="BG169" i="9"/>
  <c r="BH169" i="9" s="1"/>
  <c r="CN192" i="4"/>
  <c r="CO192" i="4" s="1"/>
  <c r="CM193" i="4"/>
  <c r="CL193" i="4" s="1"/>
  <c r="Q68" i="4" a="1"/>
  <c r="Q68" i="4" s="1"/>
  <c r="R118" i="9" a="1"/>
  <c r="R118" i="9" s="1"/>
  <c r="BU192" i="4"/>
  <c r="BV192" i="4" s="1"/>
  <c r="BT193" i="4"/>
  <c r="BS193" i="4" s="1"/>
  <c r="Q87" i="9" a="1"/>
  <c r="Q87" i="9" s="1"/>
  <c r="Q111" i="9" a="1"/>
  <c r="Q111" i="9" s="1"/>
  <c r="V3" i="7"/>
  <c r="V4" i="7"/>
  <c r="Q53" i="4" a="1"/>
  <c r="Q53" i="4" s="1"/>
  <c r="EQ188" i="4"/>
  <c r="EP188" i="4" s="1"/>
  <c r="ER187" i="4"/>
  <c r="ES187" i="4" s="1"/>
  <c r="O96" i="9" a="1"/>
  <c r="O96" i="9" s="1"/>
  <c r="AN166" i="9"/>
  <c r="AM167" i="9"/>
  <c r="AL167" i="9" s="1"/>
  <c r="V50" i="4" a="1"/>
  <c r="V50" i="4" s="1"/>
  <c r="V186" i="4" a="1"/>
  <c r="V186" i="4" s="1"/>
  <c r="DF67" i="4"/>
  <c r="DE67" i="4" s="1"/>
  <c r="DG66" i="4"/>
  <c r="DH66" i="4" s="1"/>
  <c r="R91" i="7" a="1"/>
  <c r="R91" i="7" s="1"/>
  <c r="FK161" i="4"/>
  <c r="FJ162" i="4"/>
  <c r="FI162" i="4" s="1"/>
  <c r="AI170" i="4"/>
  <c r="AJ170" i="4" s="1"/>
  <c r="AH171" i="4"/>
  <c r="AG171" i="4" s="1"/>
  <c r="CN152" i="4"/>
  <c r="CO152" i="4" s="1"/>
  <c r="CM153" i="4"/>
  <c r="CL153" i="4" s="1"/>
  <c r="R159" i="4" a="1"/>
  <c r="R159" i="4" s="1"/>
  <c r="Q101" i="4" a="1"/>
  <c r="Q101" i="4" s="1"/>
  <c r="BA30" i="4"/>
  <c r="AZ30" i="4" s="1"/>
  <c r="BB29" i="4"/>
  <c r="AH30" i="4"/>
  <c r="AG30" i="4" s="1"/>
  <c r="AI29" i="4"/>
  <c r="ER141" i="4"/>
  <c r="ES141" i="4" s="1"/>
  <c r="BZ203" i="4" a="1"/>
  <c r="BZ203" i="4" s="1"/>
  <c r="BX203" i="4" a="1"/>
  <c r="BX203" i="4" s="1"/>
  <c r="BY203" i="4" a="1"/>
  <c r="BY203" i="4" s="1"/>
  <c r="BW203" i="4" a="1"/>
  <c r="BW203" i="4" s="1"/>
  <c r="R112" i="9" a="1"/>
  <c r="R112" i="9" s="1"/>
  <c r="Q46" i="4" a="1"/>
  <c r="Q46" i="4" s="1"/>
  <c r="AI166" i="4"/>
  <c r="AH167" i="4"/>
  <c r="AG167" i="4" s="1"/>
  <c r="BG156" i="9"/>
  <c r="BH156" i="9" s="1"/>
  <c r="BF157" i="9"/>
  <c r="BE157" i="9" s="1"/>
  <c r="Q151" i="9" a="1"/>
  <c r="Q151" i="9" s="1"/>
  <c r="Q118" i="9" a="1"/>
  <c r="Q118" i="9" s="1"/>
  <c r="O168" i="9" a="1"/>
  <c r="O168" i="9" s="1"/>
  <c r="BU109" i="4"/>
  <c r="BV109" i="4" s="1"/>
  <c r="BT110" i="4"/>
  <c r="BS110" i="4" s="1"/>
  <c r="V111" i="9" a="1"/>
  <c r="V111" i="9" s="1"/>
  <c r="V45" i="4" a="1"/>
  <c r="V45" i="4" s="1"/>
  <c r="BL28" i="4" a="1"/>
  <c r="BL28" i="4" s="1"/>
  <c r="V145" i="9" a="1"/>
  <c r="V145" i="9" s="1"/>
  <c r="V2" i="8"/>
  <c r="AI195" i="4"/>
  <c r="AH196" i="4"/>
  <c r="AG196" i="4" s="1"/>
  <c r="AT203" i="4" a="1"/>
  <c r="AT203" i="4" s="1"/>
  <c r="ER118" i="4"/>
  <c r="ES118" i="4" s="1"/>
  <c r="EQ119" i="4"/>
  <c r="EP119" i="4" s="1"/>
  <c r="O66" i="9" a="1"/>
  <c r="O66" i="9" s="1"/>
  <c r="BB118" i="4"/>
  <c r="BC118" i="4" s="1"/>
  <c r="BA119" i="4"/>
  <c r="AZ119" i="4" s="1"/>
  <c r="R41" i="9" a="1"/>
  <c r="R41" i="9" s="1"/>
  <c r="Q159" i="4" a="1"/>
  <c r="Q159" i="4" s="1"/>
  <c r="R101" i="4" a="1"/>
  <c r="R101" i="4" s="1"/>
  <c r="Q56" i="9" a="1"/>
  <c r="Q56" i="9" s="1"/>
  <c r="AI141" i="4"/>
  <c r="AJ141" i="4" s="1"/>
  <c r="DF171" i="4"/>
  <c r="DE171" i="4" s="1"/>
  <c r="DG170" i="4"/>
  <c r="DH170" i="4" s="1"/>
  <c r="Q139" i="4" a="1"/>
  <c r="Q139" i="4" s="1"/>
  <c r="BA50" i="8"/>
  <c r="AZ50" i="8" s="1"/>
  <c r="BB49" i="8"/>
  <c r="BC49" i="8" s="1"/>
  <c r="R168" i="9" a="1"/>
  <c r="R168" i="9" s="1"/>
  <c r="AI79" i="8"/>
  <c r="AJ79" i="8" s="1"/>
  <c r="R147" i="9" a="1"/>
  <c r="R147" i="9" s="1"/>
  <c r="BG121" i="8" a="1"/>
  <c r="BG121" i="8" s="1"/>
  <c r="BF121" i="8" a="1"/>
  <c r="BF121" i="8" s="1"/>
  <c r="BE121" i="8" a="1"/>
  <c r="BE121" i="8" s="1"/>
  <c r="BD121" i="8" a="1"/>
  <c r="BD121" i="8" s="1"/>
  <c r="AX203" i="4" a="1"/>
  <c r="AX203" i="4" s="1"/>
  <c r="AH49" i="7"/>
  <c r="AG49" i="7" s="1"/>
  <c r="AI48" i="7"/>
  <c r="AJ48" i="7" s="1"/>
  <c r="Q66" i="9" a="1"/>
  <c r="Q66" i="9" s="1"/>
  <c r="O158" i="9" a="1"/>
  <c r="O158" i="9" s="1"/>
  <c r="AH87" i="7"/>
  <c r="AG87" i="7" s="1"/>
  <c r="AI86" i="7"/>
  <c r="AJ86" i="7" s="1"/>
  <c r="AH63" i="8"/>
  <c r="AG63" i="8" s="1"/>
  <c r="AI62" i="8"/>
  <c r="AJ62" i="8" s="1"/>
  <c r="CM188" i="4"/>
  <c r="CL188" i="4" s="1"/>
  <c r="CN187" i="4"/>
  <c r="CO187" i="4" s="1"/>
  <c r="R94" i="9" a="1"/>
  <c r="R94" i="9" s="1"/>
  <c r="AP106" i="7" a="1"/>
  <c r="AP106" i="7" s="1"/>
  <c r="AR106" i="7" a="1"/>
  <c r="AR106" i="7" s="1"/>
  <c r="AQ106" i="7" a="1"/>
  <c r="AQ106" i="7" s="1"/>
  <c r="AO106" i="7" a="1"/>
  <c r="AO106" i="7" s="1"/>
  <c r="AR17" i="7"/>
  <c r="O56" i="9" a="1"/>
  <c r="O56" i="9" s="1"/>
  <c r="AH115" i="8"/>
  <c r="AG115" i="8" s="1"/>
  <c r="AI114" i="8"/>
  <c r="AJ114" i="8" s="1"/>
  <c r="AI37" i="5" a="1"/>
  <c r="AI37" i="5" s="1"/>
  <c r="AJ37" i="5" s="1"/>
  <c r="AJ38" i="5"/>
  <c r="V63" i="9" a="1"/>
  <c r="V63" i="9" s="1"/>
  <c r="R61" i="8"/>
  <c r="FK135" i="4"/>
  <c r="FL135" i="4" s="1"/>
  <c r="Q175" i="4" a="1"/>
  <c r="Q175" i="4" s="1"/>
  <c r="V107" i="9" a="1"/>
  <c r="V107" i="9" s="1"/>
  <c r="V92" i="7" a="1"/>
  <c r="V92" i="7" s="1"/>
  <c r="Q93" i="4" a="1"/>
  <c r="Q93" i="4" s="1"/>
  <c r="BU97" i="4"/>
  <c r="BV97" i="4" s="1"/>
  <c r="BF16" i="9"/>
  <c r="BG15" i="9"/>
  <c r="V139" i="4" a="1"/>
  <c r="V139" i="4" s="1"/>
  <c r="Q168" i="9" a="1"/>
  <c r="Q168" i="9" s="1"/>
  <c r="AI43" i="7"/>
  <c r="AH44" i="7"/>
  <c r="AG44" i="7" s="1"/>
  <c r="O147" i="9" a="1"/>
  <c r="O147" i="9" s="1"/>
  <c r="FH203" i="4" a="1"/>
  <c r="FH203" i="4" s="1"/>
  <c r="AI70" i="4"/>
  <c r="AJ70" i="4" s="1"/>
  <c r="AH71" i="4"/>
  <c r="AG71" i="4" s="1"/>
  <c r="O145" i="9" a="1"/>
  <c r="O145" i="9" s="1"/>
  <c r="CJ203" i="4" a="1"/>
  <c r="CJ203" i="4" s="1"/>
  <c r="EQ30" i="4"/>
  <c r="EP30" i="4" s="1"/>
  <c r="ER29" i="4"/>
  <c r="V72" i="7" a="1"/>
  <c r="V72" i="7" s="1"/>
  <c r="AY203" i="4" a="1"/>
  <c r="AY203" i="4" s="1"/>
  <c r="BB163" i="4"/>
  <c r="BC163" i="4" s="1"/>
  <c r="BA164" i="4"/>
  <c r="AZ164" i="4" s="1"/>
  <c r="Q113" i="4" a="1"/>
  <c r="Q113" i="4" s="1"/>
  <c r="CA204" i="4" a="1"/>
  <c r="CA204" i="4" s="1"/>
  <c r="CD204" i="4" a="1"/>
  <c r="CD204" i="4" s="1"/>
  <c r="CB204" i="4" a="1"/>
  <c r="CB204" i="4" s="1"/>
  <c r="CD16" i="4"/>
  <c r="CC204" i="4" a="1"/>
  <c r="CC204" i="4" s="1"/>
  <c r="AH68" i="7"/>
  <c r="AG68" i="7" s="1"/>
  <c r="AI67" i="7"/>
  <c r="AJ67" i="7" s="1"/>
  <c r="O94" i="9" a="1"/>
  <c r="O94" i="9" s="1"/>
  <c r="R144" i="4" a="1"/>
  <c r="R144" i="4" s="1"/>
  <c r="DG195" i="4"/>
  <c r="DF196" i="4"/>
  <c r="DE196" i="4" s="1"/>
  <c r="BT171" i="4"/>
  <c r="BS171" i="4" s="1"/>
  <c r="BU170" i="4"/>
  <c r="BV170" i="4" s="1"/>
  <c r="Q148" i="4" a="1"/>
  <c r="Q148" i="4" s="1"/>
  <c r="BT17" i="4"/>
  <c r="BU16" i="4"/>
  <c r="O63" i="9" a="1"/>
  <c r="O63" i="9" s="1"/>
  <c r="R175" i="4" a="1"/>
  <c r="R175" i="4" s="1"/>
  <c r="O107" i="9" a="1"/>
  <c r="O107" i="9" s="1"/>
  <c r="V95" i="4" a="1"/>
  <c r="V95" i="4" s="1"/>
  <c r="R93" i="4" a="1"/>
  <c r="R93" i="4" s="1"/>
  <c r="CN170" i="4"/>
  <c r="CO170" i="4" s="1"/>
  <c r="CM171" i="4"/>
  <c r="CL171" i="4" s="1"/>
  <c r="FK166" i="4"/>
  <c r="FJ167" i="4"/>
  <c r="FI167" i="4" s="1"/>
  <c r="V61" i="4" a="1"/>
  <c r="V61" i="4" s="1"/>
  <c r="R35" i="8"/>
  <c r="BK204" i="4" a="1"/>
  <c r="BK204" i="4" s="1"/>
  <c r="BJ204" i="4" a="1"/>
  <c r="BJ204" i="4" s="1"/>
  <c r="BK16" i="4"/>
  <c r="BH204" i="4" a="1"/>
  <c r="BH204" i="4" s="1"/>
  <c r="BI204" i="4" a="1"/>
  <c r="BI204" i="4" s="1"/>
  <c r="CI203" i="4" a="1"/>
  <c r="CI203" i="4" s="1"/>
  <c r="BB117" i="8"/>
  <c r="BC117" i="8" s="1"/>
  <c r="BA118" i="8"/>
  <c r="AZ118" i="8" s="1"/>
  <c r="V178" i="4" a="1"/>
  <c r="V178" i="4" s="1"/>
  <c r="R90" i="8"/>
  <c r="R53" i="7" a="1"/>
  <c r="R53" i="7" s="1"/>
  <c r="R113" i="4" a="1"/>
  <c r="R113" i="4" s="1"/>
  <c r="Q158" i="9" a="1"/>
  <c r="Q158" i="9" s="1"/>
  <c r="CN195" i="4"/>
  <c r="CM196" i="4"/>
  <c r="CL196" i="4" s="1"/>
  <c r="V52" i="7" a="1"/>
  <c r="V52" i="7" s="1"/>
  <c r="Q180" i="4" a="1"/>
  <c r="Q180" i="4" s="1"/>
  <c r="V148" i="4" a="1"/>
  <c r="V148" i="4" s="1"/>
  <c r="Q63" i="9" a="1"/>
  <c r="Q63" i="9" s="1"/>
  <c r="R36" i="8"/>
  <c r="V63" i="7" a="1"/>
  <c r="V63" i="7" s="1"/>
  <c r="FS204" i="4" a="1"/>
  <c r="FS204" i="4" s="1"/>
  <c r="FT16" i="4"/>
  <c r="FR204" i="4" a="1"/>
  <c r="FR204" i="4" s="1"/>
  <c r="FQ204" i="4" a="1"/>
  <c r="FQ204" i="4" s="1"/>
  <c r="FT204" i="4" a="1"/>
  <c r="FT204" i="4" s="1"/>
  <c r="R107" i="9" a="1"/>
  <c r="R107" i="9" s="1"/>
  <c r="EQ171" i="4"/>
  <c r="EP171" i="4" s="1"/>
  <c r="ER170" i="4"/>
  <c r="ES170" i="4" s="1"/>
  <c r="V32" i="7" a="1"/>
  <c r="V32" i="7" s="1"/>
  <c r="Q95" i="4" a="1"/>
  <c r="Q95" i="4" s="1"/>
  <c r="FK109" i="4"/>
  <c r="FL109" i="4" s="1"/>
  <c r="FJ110" i="4"/>
  <c r="FI110" i="4" s="1"/>
  <c r="BG166" i="9"/>
  <c r="BH166" i="9" s="1"/>
  <c r="BF167" i="9"/>
  <c r="BE167" i="9" s="1"/>
  <c r="R51" i="4" a="1"/>
  <c r="R51" i="4" s="1"/>
  <c r="Q61" i="4" a="1"/>
  <c r="Q61" i="4" s="1"/>
  <c r="FF203" i="4" a="1"/>
  <c r="FF203" i="4" s="1"/>
  <c r="CF203" i="4" a="1"/>
  <c r="CF203" i="4" s="1"/>
  <c r="AM154" i="9"/>
  <c r="AL154" i="9" s="1"/>
  <c r="AN153" i="9"/>
  <c r="R178" i="4" a="1"/>
  <c r="R178" i="4" s="1"/>
  <c r="P153" i="9"/>
  <c r="AM90" i="9"/>
  <c r="AL90" i="9" s="1"/>
  <c r="AN89" i="9"/>
  <c r="AH71" i="7"/>
  <c r="AG71" i="7" s="1"/>
  <c r="AI70" i="7"/>
  <c r="AJ70" i="7" s="1"/>
  <c r="V173" i="4" a="1"/>
  <c r="V173" i="4" s="1"/>
  <c r="AN126" i="9"/>
  <c r="AM127" i="9"/>
  <c r="AL127" i="9" s="1"/>
  <c r="AH56" i="7"/>
  <c r="AG56" i="7" s="1"/>
  <c r="AI55" i="7"/>
  <c r="AJ55" i="7" s="1"/>
  <c r="Q108" i="4" a="1"/>
  <c r="Q108" i="4" s="1"/>
  <c r="R184" i="4" a="1"/>
  <c r="R184" i="4" s="1"/>
  <c r="V94" i="9" a="1"/>
  <c r="V94" i="9" s="1"/>
  <c r="V144" i="4" a="1"/>
  <c r="V144" i="4" s="1"/>
  <c r="AH23" i="8"/>
  <c r="AG23" i="8" s="1"/>
  <c r="AI22" i="8" a="1"/>
  <c r="AI22" i="8" s="1"/>
  <c r="AJ22" i="8" s="1"/>
  <c r="V64" i="9" a="1"/>
  <c r="V64" i="9" s="1"/>
  <c r="ER16" i="4"/>
  <c r="EQ17" i="4"/>
  <c r="Q37" i="9" a="1"/>
  <c r="Q37" i="9" s="1"/>
  <c r="R179" i="4" a="1"/>
  <c r="R179" i="4" s="1"/>
  <c r="BU155" i="4"/>
  <c r="BV155" i="4" s="1"/>
  <c r="BT156" i="4"/>
  <c r="BS156" i="4" s="1"/>
  <c r="BG24" i="9"/>
  <c r="BH24" i="9" s="1"/>
  <c r="AH199" i="4"/>
  <c r="AG199" i="4" s="1"/>
  <c r="AI198" i="4"/>
  <c r="AJ198" i="4" s="1"/>
  <c r="DF188" i="4"/>
  <c r="DE188" i="4" s="1"/>
  <c r="DG187" i="4"/>
  <c r="DH187" i="4" s="1"/>
  <c r="DF156" i="4"/>
  <c r="DE156" i="4" s="1"/>
  <c r="DG155" i="4"/>
  <c r="DH155" i="4" s="1"/>
  <c r="AH110" i="4"/>
  <c r="AG110" i="4" s="1"/>
  <c r="AI109" i="4"/>
  <c r="AJ109" i="4" s="1"/>
  <c r="V131" i="9" a="1"/>
  <c r="V131" i="9" s="1"/>
  <c r="FC203" i="4" a="1"/>
  <c r="FC203" i="4" s="1"/>
  <c r="AH119" i="4"/>
  <c r="AG119" i="4" s="1"/>
  <c r="AI118" i="4"/>
  <c r="AJ118" i="4" s="1"/>
  <c r="Q122" i="9" a="1"/>
  <c r="Q122" i="9" s="1"/>
  <c r="AM93" i="9"/>
  <c r="AL93" i="9" s="1"/>
  <c r="AN92" i="9"/>
  <c r="FJ119" i="4"/>
  <c r="FI119" i="4" s="1"/>
  <c r="FK118" i="4"/>
  <c r="FL118" i="4" s="1"/>
  <c r="R69" i="9" a="1"/>
  <c r="R69" i="9" s="1"/>
  <c r="CM164" i="4"/>
  <c r="CL164" i="4" s="1"/>
  <c r="CN163" i="4"/>
  <c r="CO163" i="4" s="1"/>
  <c r="Q173" i="4" a="1"/>
  <c r="Q173" i="4" s="1"/>
  <c r="BB170" i="4"/>
  <c r="BC170" i="4" s="1"/>
  <c r="BA171" i="4"/>
  <c r="AZ171" i="4" s="1"/>
  <c r="AN116" i="9"/>
  <c r="AM117" i="9"/>
  <c r="AL117" i="9" s="1"/>
  <c r="AN133" i="9"/>
  <c r="AM134" i="9"/>
  <c r="AL134" i="9" s="1"/>
  <c r="V108" i="4" a="1"/>
  <c r="V108" i="4" s="1"/>
  <c r="V184" i="4" a="1"/>
  <c r="V184" i="4" s="1"/>
  <c r="AN109" i="9"/>
  <c r="AM110" i="9"/>
  <c r="AL110" i="9" s="1"/>
  <c r="V180" i="4" a="1"/>
  <c r="V180" i="4" s="1"/>
  <c r="Q35" i="4" a="1"/>
  <c r="Q35" i="4" s="1"/>
  <c r="BB78" i="4"/>
  <c r="BA199" i="4"/>
  <c r="AZ199" i="4" s="1"/>
  <c r="BB198" i="4"/>
  <c r="BC198" i="4" s="1"/>
  <c r="R64" i="9" a="1"/>
  <c r="R64" i="9" s="1"/>
  <c r="BB195" i="4"/>
  <c r="BA196" i="4"/>
  <c r="AZ196" i="4" s="1"/>
  <c r="ER192" i="4"/>
  <c r="ES192" i="4" s="1"/>
  <c r="EQ193" i="4"/>
  <c r="EP193" i="4" s="1"/>
  <c r="AI97" i="4"/>
  <c r="AJ97" i="4" s="1"/>
  <c r="BT71" i="4"/>
  <c r="BS71" i="4" s="1"/>
  <c r="BU70" i="4"/>
  <c r="BV70" i="4" s="1"/>
  <c r="V37" i="9" a="1"/>
  <c r="V37" i="9" s="1"/>
  <c r="DG192" i="4"/>
  <c r="DH192" i="4" s="1"/>
  <c r="DF193" i="4"/>
  <c r="DE193" i="4" s="1"/>
  <c r="Q73" i="9" a="1"/>
  <c r="Q73" i="9" s="1"/>
  <c r="BU141" i="4"/>
  <c r="BV141" i="4" s="1"/>
  <c r="R33" i="8"/>
  <c r="BS18" i="8"/>
  <c r="Q131" i="9" a="1"/>
  <c r="Q131" i="9" s="1"/>
  <c r="FG203" i="4" a="1"/>
  <c r="FG203" i="4" s="1"/>
  <c r="BB135" i="4"/>
  <c r="BC135" i="4" s="1"/>
  <c r="BA115" i="4"/>
  <c r="AZ115" i="4" s="1"/>
  <c r="BB114" i="4"/>
  <c r="BC114" i="4" s="1"/>
  <c r="Q69" i="9" a="1"/>
  <c r="Q69" i="9" s="1"/>
  <c r="DF190" i="4"/>
  <c r="DE190" i="4" s="1"/>
  <c r="DG189" i="4"/>
  <c r="DH189" i="4" s="1"/>
  <c r="R58" i="9" a="1"/>
  <c r="R58" i="9" s="1"/>
  <c r="EQ110" i="4"/>
  <c r="EP110" i="4" s="1"/>
  <c r="ER109" i="4"/>
  <c r="ES109" i="4" s="1"/>
  <c r="BT164" i="4"/>
  <c r="BS164" i="4" s="1"/>
  <c r="BU163" i="4"/>
  <c r="BV163" i="4" s="1"/>
  <c r="V107" i="4" a="1"/>
  <c r="V107" i="4" s="1"/>
  <c r="BU58" i="4"/>
  <c r="BV58" i="4" s="1"/>
  <c r="BT59" i="4"/>
  <c r="BS59" i="4" s="1"/>
  <c r="R37" i="9" a="1"/>
  <c r="R37" i="9" s="1"/>
  <c r="BA23" i="8"/>
  <c r="AZ23" i="8" s="1"/>
  <c r="BB22" i="8" a="1"/>
  <c r="BB22" i="8" s="1"/>
  <c r="BC22" i="8" s="1"/>
  <c r="FK141" i="4"/>
  <c r="FL141" i="4" s="1"/>
  <c r="BV17" i="8"/>
  <c r="AE203" i="4" a="1"/>
  <c r="AE203" i="4" s="1"/>
  <c r="CU122" i="8" a="1"/>
  <c r="CU122" i="8" s="1"/>
  <c r="CW122" i="8" a="1"/>
  <c r="CW122" i="8" s="1"/>
  <c r="CW17" i="8"/>
  <c r="CX17" i="8" s="1"/>
  <c r="CV122" i="8" a="1"/>
  <c r="CV122" i="8" s="1"/>
  <c r="CT122" i="8" a="1"/>
  <c r="CT122" i="8" s="1"/>
  <c r="R38" i="8"/>
  <c r="BB65" i="8"/>
  <c r="BC65" i="8" s="1"/>
  <c r="BA66" i="8"/>
  <c r="AZ66" i="8" s="1"/>
  <c r="R86" i="8"/>
  <c r="Q120" i="9" a="1"/>
  <c r="Q120" i="9" s="1"/>
  <c r="ER161" i="4"/>
  <c r="EQ162" i="4"/>
  <c r="EP162" i="4" s="1"/>
  <c r="R61" i="9" a="1"/>
  <c r="R61" i="9" s="1"/>
  <c r="R79" i="7" a="1"/>
  <c r="R79" i="7" s="1"/>
  <c r="ER70" i="4"/>
  <c r="ES70" i="4" s="1"/>
  <c r="EQ71" i="4"/>
  <c r="EP71" i="4" s="1"/>
  <c r="BG47" i="9"/>
  <c r="AH59" i="7"/>
  <c r="AG59" i="7" s="1"/>
  <c r="AI58" i="7"/>
  <c r="AJ58" i="7" s="1"/>
  <c r="FK97" i="4"/>
  <c r="FL97" i="4" s="1"/>
  <c r="V113" i="9" a="1"/>
  <c r="V113" i="9" s="1"/>
  <c r="Q95" i="9" a="1"/>
  <c r="Q95" i="9" s="1"/>
  <c r="R107" i="4" a="1"/>
  <c r="R107" i="4" s="1"/>
  <c r="AI161" i="4"/>
  <c r="AH162" i="4"/>
  <c r="AG162" i="4" s="1"/>
  <c r="O73" i="9" a="1"/>
  <c r="O73" i="9" s="1"/>
  <c r="BB16" i="4"/>
  <c r="BA17" i="4"/>
  <c r="BT115" i="4"/>
  <c r="BS115" i="4" s="1"/>
  <c r="BU114" i="4"/>
  <c r="BV114" i="4" s="1"/>
  <c r="EQ199" i="4"/>
  <c r="EP199" i="4" s="1"/>
  <c r="ER198" i="4"/>
  <c r="ES198" i="4" s="1"/>
  <c r="CN16" i="4"/>
  <c r="CM17" i="4"/>
  <c r="AH94" i="7"/>
  <c r="AG94" i="7" s="1"/>
  <c r="AI93" i="7"/>
  <c r="AJ93" i="7" s="1"/>
  <c r="AF203" i="4" a="1"/>
  <c r="AF203" i="4" s="1"/>
  <c r="V35" i="9" a="1"/>
  <c r="V35" i="9" s="1"/>
  <c r="R116" i="8"/>
  <c r="BU135" i="4"/>
  <c r="BV135" i="4" s="1"/>
  <c r="O120" i="9" a="1"/>
  <c r="O120" i="9" s="1"/>
  <c r="AM164" i="9"/>
  <c r="AL164" i="9" s="1"/>
  <c r="AN163" i="9"/>
  <c r="AI49" i="8"/>
  <c r="AJ49" i="8" s="1"/>
  <c r="AH50" i="8"/>
  <c r="AG50" i="8" s="1"/>
  <c r="V58" i="9" a="1"/>
  <c r="V58" i="9" s="1"/>
  <c r="V61" i="9" a="1"/>
  <c r="V61" i="9" s="1"/>
  <c r="BA156" i="4"/>
  <c r="AZ156" i="4" s="1"/>
  <c r="BB155" i="4"/>
  <c r="BC155" i="4" s="1"/>
  <c r="DG16" i="4"/>
  <c r="DF17" i="4"/>
  <c r="BB99" i="8"/>
  <c r="BA100" i="8"/>
  <c r="AZ100" i="8" s="1"/>
  <c r="ER135" i="4"/>
  <c r="ES135" i="4" s="1"/>
  <c r="BF130" i="9"/>
  <c r="BE130" i="9" s="1"/>
  <c r="BG129" i="9"/>
  <c r="BH129" i="9" s="1"/>
  <c r="R113" i="9" a="1"/>
  <c r="R113" i="9" s="1"/>
  <c r="R185" i="4" a="1"/>
  <c r="R185" i="4" s="1"/>
  <c r="BF139" i="9"/>
  <c r="BE139" i="9" s="1"/>
  <c r="BG138" i="9"/>
  <c r="BH138" i="9"/>
  <c r="R158" i="4" a="1"/>
  <c r="R158" i="4" s="1"/>
  <c r="Q96" i="4" a="1"/>
  <c r="Q96" i="4" s="1"/>
  <c r="R48" i="8"/>
  <c r="Q55" i="4" a="1"/>
  <c r="Q55" i="4" s="1"/>
  <c r="O140" i="9" a="1"/>
  <c r="O140" i="9" s="1"/>
  <c r="AI101" i="7"/>
  <c r="AJ101" i="7" s="1"/>
  <c r="AH102" i="7"/>
  <c r="AG102" i="7" s="1"/>
  <c r="DG70" i="4"/>
  <c r="DH70" i="4" s="1"/>
  <c r="DF71" i="4"/>
  <c r="DE71" i="4" s="1"/>
  <c r="R58" i="8"/>
  <c r="AI98" i="7"/>
  <c r="AJ98" i="7" s="1"/>
  <c r="AH99" i="7"/>
  <c r="AG99" i="7" s="1"/>
  <c r="V32" i="9" a="1"/>
  <c r="V32" i="9" s="1"/>
  <c r="FJ199" i="4"/>
  <c r="FI199" i="4" s="1"/>
  <c r="FK198" i="4"/>
  <c r="FL198" i="4" s="1"/>
  <c r="Q35" i="9" a="1"/>
  <c r="Q35" i="9" s="1"/>
  <c r="R148" i="9" a="1"/>
  <c r="R148" i="9" s="1"/>
  <c r="Q76" i="4" a="1"/>
  <c r="Q76" i="4" s="1"/>
  <c r="FK29" i="4"/>
  <c r="FJ30" i="4"/>
  <c r="FI30" i="4" s="1"/>
  <c r="BU195" i="4"/>
  <c r="BT196" i="4"/>
  <c r="BS196" i="4" s="1"/>
  <c r="BA115" i="8"/>
  <c r="AZ115" i="8" s="1"/>
  <c r="BB114" i="8"/>
  <c r="BC114" i="8" s="1"/>
  <c r="CX28" i="4" a="1"/>
  <c r="CX28" i="4" s="1"/>
  <c r="R96" i="4" a="1"/>
  <c r="R96" i="4" s="1"/>
  <c r="ER195" i="4"/>
  <c r="EQ196" i="4"/>
  <c r="EP196" i="4" s="1"/>
  <c r="R27" i="8"/>
  <c r="AH67" i="4"/>
  <c r="AG67" i="4" s="1"/>
  <c r="AI66" i="4"/>
  <c r="AJ66" i="4" s="1"/>
  <c r="AD203" i="4" a="1"/>
  <c r="AD203" i="4" s="1"/>
  <c r="R32" i="9" a="1"/>
  <c r="R32" i="9" s="1"/>
  <c r="AM86" i="9"/>
  <c r="AL86" i="9" s="1"/>
  <c r="AN85" i="9"/>
  <c r="FK70" i="4"/>
  <c r="FL70" i="4" s="1"/>
  <c r="FJ71" i="4"/>
  <c r="FI71" i="4" s="1"/>
  <c r="R40" i="8"/>
  <c r="BF203" i="4" a="1"/>
  <c r="BF203" i="4" s="1"/>
  <c r="BD203" i="4" a="1"/>
  <c r="BD203" i="4" s="1"/>
  <c r="BE203" i="4" a="1"/>
  <c r="BE203" i="4" s="1"/>
  <c r="BG203" i="4" a="1"/>
  <c r="BG203" i="4" s="1"/>
  <c r="AI80" i="7"/>
  <c r="AJ80" i="7" s="1"/>
  <c r="AH81" i="7"/>
  <c r="AG81" i="7" s="1"/>
  <c r="FP203" i="4" a="1"/>
  <c r="FP203" i="4" s="1"/>
  <c r="FM203" i="4" a="1"/>
  <c r="FM203" i="4" s="1"/>
  <c r="FO203" i="4" a="1"/>
  <c r="FO203" i="4" s="1"/>
  <c r="FN203" i="4" a="1"/>
  <c r="FN203" i="4" s="1"/>
  <c r="DF110" i="4"/>
  <c r="DE110" i="4" s="1"/>
  <c r="DG109" i="4"/>
  <c r="DH109" i="4" s="1"/>
  <c r="Q148" i="9" a="1"/>
  <c r="Q148" i="9" s="1"/>
  <c r="R47" i="8"/>
  <c r="BU189" i="4"/>
  <c r="BV189" i="4" s="1"/>
  <c r="BT190" i="4"/>
  <c r="BS190" i="4" s="1"/>
  <c r="AR204" i="4" a="1"/>
  <c r="AR204" i="4" s="1"/>
  <c r="AQ204" i="4" a="1"/>
  <c r="AQ204" i="4" s="1"/>
  <c r="AR16" i="4"/>
  <c r="AO204" i="4" a="1"/>
  <c r="AO204" i="4" s="1"/>
  <c r="AP204" i="4" a="1"/>
  <c r="AP204" i="4" s="1"/>
  <c r="V76" i="4" a="1"/>
  <c r="V76" i="4" s="1"/>
  <c r="O113" i="9" a="1"/>
  <c r="O113" i="9" s="1"/>
  <c r="BA67" i="4"/>
  <c r="AZ67" i="4" s="1"/>
  <c r="BB66" i="4"/>
  <c r="BC66" i="4" s="1"/>
  <c r="V182" i="4" a="1"/>
  <c r="V182" i="4" s="1"/>
  <c r="BA193" i="4"/>
  <c r="AZ193" i="4" s="1"/>
  <c r="BB192" i="4"/>
  <c r="BC192" i="4" s="1"/>
  <c r="AI61" i="7"/>
  <c r="AJ61" i="7" s="1"/>
  <c r="AH62" i="7"/>
  <c r="AG62" i="7" s="1"/>
  <c r="Q62" i="9" a="1"/>
  <c r="Q62" i="9" s="1"/>
  <c r="FK58" i="4"/>
  <c r="FL58" i="4" s="1"/>
  <c r="FJ59" i="4"/>
  <c r="FI59" i="4" s="1"/>
  <c r="V185" i="4" a="1"/>
  <c r="V185" i="4" s="1"/>
  <c r="O70" i="9" a="1"/>
  <c r="O70" i="9" s="1"/>
  <c r="Q150" i="9" a="1"/>
  <c r="Q150" i="9" s="1"/>
  <c r="BB95" i="8"/>
  <c r="BC95" i="8" s="1"/>
  <c r="BA96" i="8"/>
  <c r="AZ96" i="8" s="1"/>
  <c r="Q177" i="4" a="1"/>
  <c r="Q177" i="4" s="1"/>
  <c r="R140" i="9" a="1"/>
  <c r="R140" i="9" s="1"/>
  <c r="Q88" i="9" a="1"/>
  <c r="Q88" i="9" s="1"/>
  <c r="BV99" i="8"/>
  <c r="BU98" i="8" a="1"/>
  <c r="BU98" i="8" s="1"/>
  <c r="BV98" i="8" s="1"/>
  <c r="BA153" i="4"/>
  <c r="AZ153" i="4" s="1"/>
  <c r="BB152" i="4"/>
  <c r="BC152" i="4" s="1"/>
  <c r="R45" i="9" a="1"/>
  <c r="R45" i="9" s="1"/>
  <c r="AI62" i="4"/>
  <c r="AJ62" i="4" s="1"/>
  <c r="R76" i="8"/>
  <c r="O121" i="9" a="1"/>
  <c r="O121" i="9" s="1"/>
  <c r="BT153" i="4"/>
  <c r="BS153" i="4" s="1"/>
  <c r="BU152" i="4"/>
  <c r="BV152" i="4" s="1"/>
  <c r="AM170" i="9"/>
  <c r="AL170" i="9" s="1"/>
  <c r="AN169" i="9"/>
  <c r="BA59" i="4"/>
  <c r="AZ59" i="4" s="1"/>
  <c r="BB58" i="4"/>
  <c r="BC58" i="4" s="1"/>
  <c r="V23" i="9" a="1"/>
  <c r="V23" i="9" s="1"/>
  <c r="BU66" i="4"/>
  <c r="BV66" i="4" s="1"/>
  <c r="BT67" i="4"/>
  <c r="BS67" i="4" s="1"/>
  <c r="FK114" i="4"/>
  <c r="FL114" i="4" s="1"/>
  <c r="FJ115" i="4"/>
  <c r="FI115" i="4" s="1"/>
  <c r="O148" i="9" a="1"/>
  <c r="O148" i="9" s="1"/>
  <c r="BF134" i="9"/>
  <c r="BE134" i="9" s="1"/>
  <c r="BG133" i="9"/>
  <c r="R182" i="4" a="1"/>
  <c r="R182" i="4" s="1"/>
  <c r="BU161" i="4"/>
  <c r="BT162" i="4"/>
  <c r="BS162" i="4" s="1"/>
  <c r="FK192" i="4"/>
  <c r="FL192" i="4" s="1"/>
  <c r="FJ193" i="4"/>
  <c r="FI193" i="4" s="1"/>
  <c r="BG142" i="9"/>
  <c r="BH142" i="9" s="1"/>
  <c r="BF143" i="9"/>
  <c r="BE143" i="9" s="1"/>
  <c r="R48" i="9" a="1"/>
  <c r="R48" i="9" s="1"/>
  <c r="O51" i="9" a="1"/>
  <c r="O51" i="9" s="1"/>
  <c r="V62" i="9" a="1"/>
  <c r="V62" i="9" s="1"/>
  <c r="Q70" i="9" a="1"/>
  <c r="Q70" i="9" s="1"/>
  <c r="R54" i="7" a="1"/>
  <c r="R54" i="7" s="1"/>
  <c r="O150" i="9" a="1"/>
  <c r="O150" i="9" s="1"/>
  <c r="BA102" i="8"/>
  <c r="AZ102" i="8" s="1"/>
  <c r="BB101" i="8"/>
  <c r="BC101" i="8" s="1"/>
  <c r="R177" i="4" a="1"/>
  <c r="R177" i="4" s="1"/>
  <c r="AN203" i="4" a="1"/>
  <c r="AN203" i="4" s="1"/>
  <c r="AL203" i="4" a="1"/>
  <c r="AL203" i="4" s="1"/>
  <c r="AM203" i="4" a="1"/>
  <c r="AM203" i="4" s="1"/>
  <c r="V88" i="9" a="1"/>
  <c r="V88" i="9" s="1"/>
  <c r="V45" i="9" a="1"/>
  <c r="V45" i="9" s="1"/>
  <c r="CM199" i="4"/>
  <c r="CL199" i="4" s="1"/>
  <c r="CN198" i="4"/>
  <c r="CO198" i="4" s="1"/>
  <c r="Q121" i="9" a="1"/>
  <c r="Q121" i="9" s="1"/>
  <c r="R106" i="4" a="1"/>
  <c r="R106" i="4" s="1"/>
  <c r="AH100" i="8"/>
  <c r="AG100" i="8" s="1"/>
  <c r="AI99" i="8"/>
  <c r="R87" i="8"/>
  <c r="CN109" i="4"/>
  <c r="CO109" i="4" s="1"/>
  <c r="CM110" i="4"/>
  <c r="CL110" i="4" s="1"/>
  <c r="DF164" i="4"/>
  <c r="DE164" i="4" s="1"/>
  <c r="DG163" i="4"/>
  <c r="DH163" i="4" s="1"/>
  <c r="V98" i="9" a="1"/>
  <c r="V98" i="9" s="1"/>
  <c r="BB112" i="8"/>
  <c r="BC112" i="8" s="1"/>
  <c r="BA113" i="8"/>
  <c r="AZ113" i="8" s="1"/>
  <c r="V83" i="9" a="1"/>
  <c r="V83" i="9" s="1"/>
  <c r="AM143" i="9"/>
  <c r="AL143" i="9" s="1"/>
  <c r="AN142" i="9"/>
  <c r="BB141" i="4"/>
  <c r="BC141" i="4" s="1"/>
  <c r="AI189" i="4"/>
  <c r="AJ189" i="4" s="1"/>
  <c r="AH190" i="4"/>
  <c r="AG190" i="4" s="1"/>
  <c r="AI15" i="5"/>
  <c r="AH16" i="5"/>
  <c r="R44" i="4" a="1"/>
  <c r="R44" i="4" s="1"/>
  <c r="BB17" i="8"/>
  <c r="BA18" i="8"/>
  <c r="CN62" i="4"/>
  <c r="CO62" i="4" s="1"/>
  <c r="BA93" i="8"/>
  <c r="AZ93" i="8" s="1"/>
  <c r="BB92" i="8"/>
  <c r="BC92" i="8" s="1"/>
  <c r="BB104" i="8"/>
  <c r="BA105" i="8"/>
  <c r="AZ105" i="8" s="1"/>
  <c r="BB82" i="8"/>
  <c r="BC82" i="8" s="1"/>
  <c r="BA83" i="8"/>
  <c r="AZ83" i="8" s="1"/>
  <c r="O144" i="9" a="1"/>
  <c r="O144" i="9" s="1"/>
  <c r="EQ167" i="4"/>
  <c r="EP167" i="4" s="1"/>
  <c r="ER166" i="4"/>
  <c r="BG85" i="9"/>
  <c r="BH85" i="9" s="1"/>
  <c r="BF86" i="9"/>
  <c r="BE86" i="9" s="1"/>
  <c r="BU29" i="4"/>
  <c r="BT30" i="4"/>
  <c r="BS30" i="4" s="1"/>
  <c r="BB161" i="4"/>
  <c r="BA162" i="4"/>
  <c r="AZ162" i="4" s="1"/>
  <c r="BB59" i="8"/>
  <c r="BC59" i="8" s="1"/>
  <c r="BA60" i="8"/>
  <c r="AZ60" i="8" s="1"/>
  <c r="AH18" i="7"/>
  <c r="AI17" i="7"/>
  <c r="AI99" i="5" a="1"/>
  <c r="AI99" i="5" s="1"/>
  <c r="AJ99" i="5" s="1"/>
  <c r="AJ100" i="5"/>
  <c r="BB70" i="4"/>
  <c r="BC70" i="4" s="1"/>
  <c r="BA71" i="4"/>
  <c r="AZ71" i="4" s="1"/>
  <c r="CQ121" i="8" a="1"/>
  <c r="CQ121" i="8" s="1"/>
  <c r="CR121" i="8" a="1"/>
  <c r="CR121" i="8" s="1"/>
  <c r="CS121" i="8" a="1"/>
  <c r="CS121" i="8" s="1"/>
  <c r="CP121" i="8" a="1"/>
  <c r="CP121" i="8" s="1"/>
  <c r="BF90" i="9"/>
  <c r="BE90" i="9" s="1"/>
  <c r="BG89" i="9"/>
  <c r="BH89" i="9" s="1"/>
  <c r="Q144" i="9" a="1"/>
  <c r="Q144" i="9" s="1"/>
  <c r="BA63" i="8"/>
  <c r="AZ63" i="8" s="1"/>
  <c r="BB62" i="8"/>
  <c r="BC62" i="8" s="1"/>
  <c r="Q53" i="9" a="1"/>
  <c r="Q53" i="9" s="1"/>
  <c r="ER78" i="4"/>
  <c r="FK78" i="4"/>
  <c r="AS28" i="4" a="1"/>
  <c r="AS28" i="4" s="1"/>
  <c r="V74" i="9" a="1"/>
  <c r="V74" i="9" s="1"/>
  <c r="ER189" i="4"/>
  <c r="ES189" i="4" s="1"/>
  <c r="EQ190" i="4"/>
  <c r="EP190" i="4" s="1"/>
  <c r="BF127" i="9"/>
  <c r="BE127" i="9" s="1"/>
  <c r="BG126" i="9"/>
  <c r="BH126" i="9" s="1"/>
  <c r="AH193" i="4"/>
  <c r="AG193" i="4" s="1"/>
  <c r="AI192" i="4"/>
  <c r="AJ192" i="4" s="1"/>
  <c r="O123" i="9" a="1"/>
  <c r="O123" i="9" s="1"/>
  <c r="AH83" i="8"/>
  <c r="AG83" i="8" s="1"/>
  <c r="AI82" i="8"/>
  <c r="AJ82" i="8" s="1"/>
  <c r="EQ115" i="4"/>
  <c r="EP115" i="4" s="1"/>
  <c r="ER114" i="4"/>
  <c r="ES114" i="4" s="1"/>
  <c r="AN24" i="9"/>
  <c r="AI135" i="4"/>
  <c r="AJ135" i="4" s="1"/>
  <c r="R65" i="9" a="1"/>
  <c r="R65" i="9" s="1"/>
  <c r="V53" i="9" a="1"/>
  <c r="V53" i="9" s="1"/>
  <c r="O75" i="9" a="1"/>
  <c r="O75" i="9" s="1"/>
  <c r="V150" i="4" a="1"/>
  <c r="V150" i="4" s="1"/>
  <c r="AH113" i="8"/>
  <c r="AG113" i="8" s="1"/>
  <c r="AI112" i="8"/>
  <c r="AJ112" i="8" s="1"/>
  <c r="AM72" i="9"/>
  <c r="AL72" i="9" s="1"/>
  <c r="AN71" i="9"/>
  <c r="R168" i="4" a="1"/>
  <c r="R168" i="4" s="1"/>
  <c r="AN138" i="9"/>
  <c r="AO138" i="9"/>
  <c r="AM139" i="9"/>
  <c r="AL139" i="9" s="1"/>
  <c r="R123" i="4" a="1"/>
  <c r="R123" i="4" s="1"/>
  <c r="Q74" i="9" a="1"/>
  <c r="Q74" i="9" s="1"/>
  <c r="V114" i="9" a="1"/>
  <c r="V114" i="9" s="1"/>
  <c r="AH59" i="4"/>
  <c r="AG59" i="4" s="1"/>
  <c r="AI58" i="4"/>
  <c r="AJ58" i="4" s="1"/>
  <c r="CE28" i="4" a="1"/>
  <c r="CE28" i="4" s="1"/>
  <c r="Q40" i="9" a="1"/>
  <c r="Q40" i="9" s="1"/>
  <c r="V128" i="9" a="1"/>
  <c r="V128" i="9" s="1"/>
  <c r="Q42" i="4" a="1"/>
  <c r="Q42" i="4" s="1"/>
  <c r="Q123" i="9" a="1"/>
  <c r="Q123" i="9" s="1"/>
  <c r="CL18" i="8"/>
  <c r="BB62" i="4"/>
  <c r="BC62" i="4" s="1"/>
  <c r="BB109" i="4"/>
  <c r="BC109" i="4" s="1"/>
  <c r="BA110" i="4"/>
  <c r="AZ110" i="4" s="1"/>
  <c r="O53" i="9" a="1"/>
  <c r="O53" i="9" s="1"/>
  <c r="ER97" i="4"/>
  <c r="ES97" i="4" s="1"/>
  <c r="R150" i="4" a="1"/>
  <c r="R150" i="4" s="1"/>
  <c r="FJ188" i="4"/>
  <c r="FI188" i="4" s="1"/>
  <c r="FK187" i="4"/>
  <c r="FL187" i="4" s="1"/>
  <c r="R46" i="8"/>
  <c r="AH188" i="4"/>
  <c r="AG188" i="4" s="1"/>
  <c r="AI187" i="4"/>
  <c r="AJ187" i="4" s="1"/>
  <c r="V47" i="7" a="1"/>
  <c r="V47" i="7" s="1"/>
  <c r="CU204" i="4" a="1"/>
  <c r="CU204" i="4" s="1"/>
  <c r="CV204" i="4" a="1"/>
  <c r="CV204" i="4" s="1"/>
  <c r="CT204" i="4" a="1"/>
  <c r="CT204" i="4" s="1"/>
  <c r="CW204" i="4" a="1"/>
  <c r="CW204" i="4" s="1"/>
  <c r="CW16" i="4"/>
  <c r="Q123" i="4" a="1"/>
  <c r="Q123" i="4" s="1"/>
  <c r="BT199" i="4"/>
  <c r="BS199" i="4" s="1"/>
  <c r="BU198" i="4"/>
  <c r="BV198" i="4" s="1"/>
  <c r="O74" i="9" a="1"/>
  <c r="O74" i="9" s="1"/>
  <c r="R114" i="9" a="1"/>
  <c r="R114" i="9" s="1"/>
  <c r="FK195" i="4"/>
  <c r="FJ196" i="4"/>
  <c r="FI196" i="4" s="1"/>
  <c r="CN141" i="4"/>
  <c r="CO141" i="4" s="1"/>
  <c r="R176" i="4" a="1"/>
  <c r="R176" i="4" s="1"/>
  <c r="R40" i="9" a="1"/>
  <c r="R40" i="9" s="1"/>
  <c r="DG29" i="4"/>
  <c r="DF30" i="4"/>
  <c r="DE30" i="4" s="1"/>
  <c r="R127" i="4" a="1"/>
  <c r="R127" i="4" s="1"/>
  <c r="V146" i="4" a="1"/>
  <c r="V146" i="4" s="1"/>
  <c r="CM67" i="4"/>
  <c r="CL67" i="4" s="1"/>
  <c r="CN66" i="4"/>
  <c r="CO66" i="4" s="1"/>
  <c r="AH17" i="4"/>
  <c r="AI16" i="4"/>
  <c r="DF167" i="4"/>
  <c r="DE167" i="4" s="1"/>
  <c r="DG166" i="4"/>
  <c r="R128" i="9" a="1"/>
  <c r="R128" i="9" s="1"/>
  <c r="DG141" i="4"/>
  <c r="DH141" i="4" s="1"/>
  <c r="V42" i="4" a="1"/>
  <c r="V42" i="4" s="1"/>
  <c r="O104" i="9" a="1"/>
  <c r="O104" i="9" s="1"/>
  <c r="R38" i="7" a="1"/>
  <c r="R38" i="7" s="1"/>
  <c r="O27" i="9" a="1"/>
  <c r="O27" i="9" s="1"/>
  <c r="CO17" i="8"/>
  <c r="BA167" i="4"/>
  <c r="AZ167" i="4" s="1"/>
  <c r="BB166" i="4"/>
  <c r="CM71" i="4"/>
  <c r="CL71" i="4" s="1"/>
  <c r="CN70" i="4"/>
  <c r="CO70" i="4" s="1"/>
  <c r="BU118" i="4"/>
  <c r="BV118" i="4" s="1"/>
  <c r="BT119" i="4"/>
  <c r="BS119" i="4" s="1"/>
  <c r="DQ28" i="4" a="1"/>
  <c r="DQ28" i="4" s="1"/>
  <c r="V181" i="4" a="1"/>
  <c r="V181" i="4" s="1"/>
  <c r="AH18" i="8"/>
  <c r="AI17" i="8"/>
  <c r="BA109" i="8"/>
  <c r="AZ109" i="8" s="1"/>
  <c r="BB108" i="8"/>
  <c r="BC108" i="8" s="1"/>
  <c r="AI92" i="8"/>
  <c r="AJ92" i="8" s="1"/>
  <c r="AH93" i="8"/>
  <c r="AG93" i="8" s="1"/>
  <c r="O30" i="9" a="1"/>
  <c r="O30" i="9" s="1"/>
  <c r="V2" i="7"/>
  <c r="Q114" i="9" a="1"/>
  <c r="Q114" i="9" s="1"/>
  <c r="V25" i="7" a="1"/>
  <c r="V25" i="7" s="1"/>
  <c r="Q176" i="4" a="1"/>
  <c r="Q176" i="4" s="1"/>
  <c r="V40" i="9" a="1"/>
  <c r="V40" i="9" s="1"/>
  <c r="Q127" i="4" a="1"/>
  <c r="Q127" i="4" s="1"/>
  <c r="Q146" i="4" a="1"/>
  <c r="Q146" i="4" s="1"/>
  <c r="CN166" i="4"/>
  <c r="CM167" i="4"/>
  <c r="CL167" i="4" s="1"/>
  <c r="O128" i="9" a="1"/>
  <c r="O128" i="9" s="1"/>
  <c r="CN118" i="4"/>
  <c r="CO118" i="4" s="1"/>
  <c r="CM119" i="4"/>
  <c r="CL119" i="4" s="1"/>
  <c r="Q104" i="9" a="1"/>
  <c r="Q104" i="9" s="1"/>
  <c r="CN189" i="4"/>
  <c r="CO189" i="4" s="1"/>
  <c r="CM190" i="4"/>
  <c r="CL190" i="4" s="1"/>
  <c r="V2" i="5"/>
  <c r="V27" i="9" a="1"/>
  <c r="V27" i="9" s="1"/>
  <c r="V41" i="4" a="1"/>
  <c r="V41" i="4" s="1"/>
  <c r="BG163" i="9"/>
  <c r="BF164" i="9"/>
  <c r="BE164" i="9" s="1"/>
  <c r="DG62" i="4"/>
  <c r="DH62" i="4" s="1"/>
  <c r="V81" i="9" a="1"/>
  <c r="V81" i="9" s="1"/>
  <c r="ER62" i="4"/>
  <c r="ES62" i="4" s="1"/>
  <c r="AI78" i="4"/>
  <c r="AH118" i="8"/>
  <c r="AG118" i="8" s="1"/>
  <c r="AI117" i="8"/>
  <c r="AJ117" i="8" s="1"/>
  <c r="FK163" i="4"/>
  <c r="FL163" i="4" s="1"/>
  <c r="FJ164" i="4"/>
  <c r="FI164" i="4" s="1"/>
  <c r="AN105" i="7" a="1"/>
  <c r="AN105" i="7" s="1"/>
  <c r="AL105" i="7" a="1"/>
  <c r="AL105" i="7" s="1"/>
  <c r="AM105" i="7" a="1"/>
  <c r="AM105" i="7" s="1"/>
  <c r="AK105" i="7" a="1"/>
  <c r="AK105" i="7" s="1"/>
  <c r="V130" i="4" a="1"/>
  <c r="V130" i="4" s="1"/>
  <c r="Q30" i="9" a="1"/>
  <c r="Q30" i="9" s="1"/>
  <c r="BG116" i="9"/>
  <c r="BH116" i="9" s="1"/>
  <c r="BF117" i="9"/>
  <c r="BE117" i="9" s="1"/>
  <c r="DG78" i="4"/>
  <c r="FK155" i="4"/>
  <c r="FL155" i="4" s="1"/>
  <c r="FJ156" i="4"/>
  <c r="FI156" i="4" s="1"/>
  <c r="CM59" i="4"/>
  <c r="CL59" i="4" s="1"/>
  <c r="CN58" i="4"/>
  <c r="CO58" i="4" s="1"/>
  <c r="BF72" i="9"/>
  <c r="BE72" i="9" s="1"/>
  <c r="BG71" i="9"/>
  <c r="BH71" i="9" s="1"/>
  <c r="FB28" i="4" a="1"/>
  <c r="FB28" i="4" s="1"/>
  <c r="DG114" i="4"/>
  <c r="DH114" i="4" s="1"/>
  <c r="DF115" i="4"/>
  <c r="DE115" i="4" s="1"/>
  <c r="R41" i="4" a="1"/>
  <c r="R41" i="4" s="1"/>
  <c r="AI96" i="7"/>
  <c r="AJ96" i="7" s="1"/>
  <c r="AH97" i="7"/>
  <c r="AG97" i="7" s="1"/>
  <c r="AJ21" i="5"/>
  <c r="AJ20" i="5" s="1" a="1"/>
  <c r="AJ20" i="5" s="1"/>
  <c r="AI20" i="5" a="1"/>
  <c r="AI20" i="5" s="1"/>
  <c r="AN135" i="9"/>
  <c r="AM136" i="9"/>
  <c r="AL136" i="9" s="1"/>
  <c r="FK189" i="4"/>
  <c r="FL189" i="4" s="1"/>
  <c r="FJ190" i="4"/>
  <c r="FI190" i="4" s="1"/>
  <c r="R125" i="4" a="1"/>
  <c r="R125" i="4" s="1"/>
  <c r="R29" i="9" a="1"/>
  <c r="R29" i="9" s="1"/>
  <c r="Q47" i="4" a="1"/>
  <c r="Q47" i="4" s="1"/>
  <c r="V57" i="4" a="1"/>
  <c r="V57" i="4" s="1"/>
  <c r="CN135" i="4"/>
  <c r="CO135" i="4" s="1"/>
  <c r="AI22" i="7" a="1"/>
  <c r="AI22" i="7" s="1"/>
  <c r="AJ22" i="7" s="1"/>
  <c r="BA190" i="4"/>
  <c r="AZ190" i="4" s="1"/>
  <c r="BB189" i="4"/>
  <c r="BC189" i="4" s="1"/>
  <c r="DG135" i="4"/>
  <c r="DH135" i="4" s="1"/>
  <c r="V69" i="4" a="1"/>
  <c r="V69" i="4" s="1"/>
  <c r="R112" i="4" a="1"/>
  <c r="R112" i="4" s="1"/>
  <c r="O152" i="9" a="1"/>
  <c r="O152" i="9" s="1"/>
  <c r="Q97" i="9" a="1"/>
  <c r="Q97" i="9" s="1"/>
  <c r="R83" i="4" a="1"/>
  <c r="R83" i="4" s="1"/>
  <c r="EV203" i="4" a="1"/>
  <c r="EV203" i="4" s="1"/>
  <c r="EU203" i="4" a="1"/>
  <c r="EU203" i="4" s="1"/>
  <c r="EW203" i="4" a="1"/>
  <c r="EW203" i="4" s="1"/>
  <c r="ET203" i="4" a="1"/>
  <c r="ET203" i="4" s="1"/>
  <c r="Q145" i="4" a="1"/>
  <c r="Q145" i="4" s="1"/>
  <c r="Q82" i="9" a="1"/>
  <c r="Q82" i="9" s="1"/>
  <c r="DF119" i="4"/>
  <c r="DE119" i="4" s="1"/>
  <c r="DG118" i="4"/>
  <c r="DH118" i="4" s="1"/>
  <c r="FK66" i="4"/>
  <c r="FL66" i="4" s="1"/>
  <c r="FJ67" i="4"/>
  <c r="FI67" i="4" s="1"/>
  <c r="R191" i="4" a="1"/>
  <c r="R191" i="4" s="1"/>
  <c r="AH105" i="8"/>
  <c r="AG105" i="8" s="1"/>
  <c r="AI104" i="8"/>
  <c r="R37" i="8"/>
  <c r="BB97" i="4"/>
  <c r="BC97" i="4" s="1"/>
  <c r="R46" i="7" a="1"/>
  <c r="R46" i="7" s="1"/>
  <c r="BB79" i="8"/>
  <c r="BC79" i="8" s="1"/>
  <c r="AI155" i="4"/>
  <c r="AJ155" i="4" s="1"/>
  <c r="AH156" i="4"/>
  <c r="AG156" i="4" s="1"/>
  <c r="Q78" i="9" a="1"/>
  <c r="Q78" i="9" s="1"/>
  <c r="BU78" i="4"/>
  <c r="CN29" i="4"/>
  <c r="CM30" i="4"/>
  <c r="CL30" i="4" s="1"/>
  <c r="Q125" i="4" a="1"/>
  <c r="Q125" i="4" s="1"/>
  <c r="V29" i="9" a="1"/>
  <c r="V29" i="9" s="1"/>
  <c r="ER66" i="4"/>
  <c r="ES66" i="4" s="1"/>
  <c r="EQ67" i="4"/>
  <c r="EP67" i="4" s="1"/>
  <c r="CR203" i="4" a="1"/>
  <c r="CR203" i="4" s="1"/>
  <c r="CQ203" i="4" a="1"/>
  <c r="CQ203" i="4" s="1"/>
  <c r="CS203" i="4" a="1"/>
  <c r="CS203" i="4" s="1"/>
  <c r="CP203" i="4" a="1"/>
  <c r="CP203" i="4" s="1"/>
  <c r="BF110" i="9"/>
  <c r="BE110" i="9" s="1"/>
  <c r="BG109" i="9"/>
  <c r="BH109" i="9" s="1"/>
  <c r="O119" i="9" a="1"/>
  <c r="O119" i="9" s="1"/>
  <c r="BG92" i="9"/>
  <c r="BH92" i="9" s="1"/>
  <c r="BF93" i="9"/>
  <c r="BE93" i="9" s="1"/>
  <c r="BT167" i="4"/>
  <c r="BS167" i="4" s="1"/>
  <c r="BU166" i="4"/>
  <c r="ER152" i="4"/>
  <c r="ES152" i="4" s="1"/>
  <c r="EQ153" i="4"/>
  <c r="EP153" i="4" s="1"/>
  <c r="FK170" i="4"/>
  <c r="FL170" i="4" s="1"/>
  <c r="FJ171" i="4"/>
  <c r="FI171" i="4" s="1"/>
  <c r="CO104" i="8"/>
  <c r="CN103" i="8" a="1"/>
  <c r="CN103" i="8" s="1"/>
  <c r="CO103" i="8" s="1"/>
  <c r="ER58" i="4"/>
  <c r="ES58" i="4" s="1"/>
  <c r="EQ59" i="4"/>
  <c r="EP59" i="4" s="1"/>
  <c r="ER155" i="4"/>
  <c r="ES155" i="4" s="1"/>
  <c r="EQ156" i="4"/>
  <c r="EP156" i="4" s="1"/>
  <c r="AN156" i="9"/>
  <c r="AM157" i="9"/>
  <c r="AL157" i="9" s="1"/>
  <c r="R72" i="8"/>
  <c r="CN161" i="4"/>
  <c r="CM162" i="4"/>
  <c r="CL162" i="4" s="1"/>
  <c r="AH164" i="4"/>
  <c r="AG164" i="4" s="1"/>
  <c r="AI163" i="4"/>
  <c r="AJ163" i="4" s="1"/>
  <c r="Q137" i="4" l="1" a="1"/>
  <c r="Q137" i="4" s="1"/>
  <c r="V137" i="4" a="1"/>
  <c r="V137" i="4" s="1"/>
  <c r="V65" i="4" a="1"/>
  <c r="V65" i="4" s="1"/>
  <c r="Q65" i="4" a="1"/>
  <c r="Q65" i="4" s="1"/>
  <c r="DZ160" i="4"/>
  <c r="EA160" i="4" s="1"/>
  <c r="R142" i="4" a="1"/>
  <c r="R142" i="4" s="1"/>
  <c r="Q142" i="4" a="1"/>
  <c r="Q142" i="4" s="1"/>
  <c r="DZ194" i="4"/>
  <c r="EA194" i="4" s="1"/>
  <c r="DZ165" i="4"/>
  <c r="EA165" i="4" s="1"/>
  <c r="V100" i="4" a="1"/>
  <c r="V100" i="4" s="1"/>
  <c r="DZ77" i="4" a="1"/>
  <c r="DZ77" i="4" s="1"/>
  <c r="EA77" i="4" s="1"/>
  <c r="EA195" i="4"/>
  <c r="EA28" i="4" a="1"/>
  <c r="EA28" i="4" s="1"/>
  <c r="DZ28" i="4" a="1"/>
  <c r="DZ28" i="4" s="1"/>
  <c r="DX205" i="4" a="1"/>
  <c r="DX205" i="4" s="1"/>
  <c r="DZ205" i="4" a="1"/>
  <c r="DZ205" i="4" s="1"/>
  <c r="DY205" i="4" a="1"/>
  <c r="DY205" i="4" s="1"/>
  <c r="EA205" i="4" a="1"/>
  <c r="EA205" i="4" s="1"/>
  <c r="Q100" i="4" a="1"/>
  <c r="Q100" i="4" s="1"/>
  <c r="V160" i="9" a="1"/>
  <c r="V160" i="9" s="1"/>
  <c r="Q160" i="9" a="1"/>
  <c r="Q160" i="9" s="1"/>
  <c r="R160" i="9" a="1"/>
  <c r="R160" i="9" s="1"/>
  <c r="R43" i="8"/>
  <c r="AM16" i="9"/>
  <c r="AN175" i="9" s="1" a="1"/>
  <c r="AN175" i="9" s="1"/>
  <c r="BU103" i="8" a="1"/>
  <c r="BU103" i="8" s="1"/>
  <c r="BV103" i="8" s="1"/>
  <c r="BV104" i="8"/>
  <c r="CM123" i="8" a="1"/>
  <c r="CM123" i="8" s="1"/>
  <c r="CO123" i="8" a="1"/>
  <c r="CO123" i="8" s="1"/>
  <c r="CL123" i="8" a="1"/>
  <c r="CL123" i="8" s="1"/>
  <c r="CN123" i="8" a="1"/>
  <c r="CN123" i="8" s="1"/>
  <c r="BU41" i="8" a="1"/>
  <c r="BU41" i="8" s="1"/>
  <c r="BV41" i="8" s="1"/>
  <c r="CN41" i="8" a="1"/>
  <c r="CN41" i="8" s="1"/>
  <c r="CO41" i="8" s="1"/>
  <c r="CM121" i="8" s="1" a="1"/>
  <c r="CM121" i="8" s="1"/>
  <c r="BT123" i="8" a="1"/>
  <c r="BT123" i="8" s="1"/>
  <c r="BV123" i="8" a="1"/>
  <c r="BV123" i="8" s="1"/>
  <c r="BU123" i="8" a="1"/>
  <c r="BU123" i="8" s="1"/>
  <c r="BS123" i="8" a="1"/>
  <c r="BS123" i="8" s="1"/>
  <c r="R50" i="8"/>
  <c r="R93" i="8"/>
  <c r="R113" i="8"/>
  <c r="R100" i="8"/>
  <c r="R105" i="8"/>
  <c r="R83" i="8"/>
  <c r="R23" i="8"/>
  <c r="DH205" i="4" a="1"/>
  <c r="DH205" i="4" s="1"/>
  <c r="DE205" i="4" a="1"/>
  <c r="DE205" i="4" s="1"/>
  <c r="DG205" i="4" a="1"/>
  <c r="DG205" i="4" s="1"/>
  <c r="DE17" i="4"/>
  <c r="DF205" i="4" a="1"/>
  <c r="DF205" i="4" s="1"/>
  <c r="BC29" i="4"/>
  <c r="BC28" i="4" s="1" a="1"/>
  <c r="BC28" i="4" s="1"/>
  <c r="BB28" i="4" a="1"/>
  <c r="BB28" i="4" s="1"/>
  <c r="DG77" i="4" a="1"/>
  <c r="DG77" i="4" s="1"/>
  <c r="DH77" i="4" s="1"/>
  <c r="DH78" i="4"/>
  <c r="CO161" i="4"/>
  <c r="CN160" i="4"/>
  <c r="CO160" i="4" s="1"/>
  <c r="DH166" i="4"/>
  <c r="DG165" i="4"/>
  <c r="DH165" i="4" s="1"/>
  <c r="Q188" i="4" a="1"/>
  <c r="Q188" i="4" s="1"/>
  <c r="V188" i="4" a="1"/>
  <c r="V188" i="4" s="1"/>
  <c r="R188" i="4" a="1"/>
  <c r="R188" i="4" s="1"/>
  <c r="AO24" i="9"/>
  <c r="O24" i="9" s="1" a="1"/>
  <c r="O24" i="9" s="1"/>
  <c r="DH16" i="4"/>
  <c r="R162" i="4" a="1"/>
  <c r="R162" i="4" s="1"/>
  <c r="Q162" i="4" a="1"/>
  <c r="Q162" i="4" s="1"/>
  <c r="V162" i="4" a="1"/>
  <c r="V162" i="4" s="1"/>
  <c r="BB194" i="4"/>
  <c r="BC194" i="4" s="1"/>
  <c r="BC195" i="4"/>
  <c r="AO153" i="9"/>
  <c r="O153" i="9" s="1" a="1"/>
  <c r="O153" i="9" s="1"/>
  <c r="FK165" i="4"/>
  <c r="FL165" i="4" s="1"/>
  <c r="FL166" i="4"/>
  <c r="AI160" i="4"/>
  <c r="AJ160" i="4" s="1"/>
  <c r="AJ161" i="4"/>
  <c r="O154" i="9" a="1"/>
  <c r="O154" i="9" s="1"/>
  <c r="Q154" i="9" a="1"/>
  <c r="Q154" i="9" s="1"/>
  <c r="R154" i="9" a="1"/>
  <c r="R154" i="9" s="1"/>
  <c r="V154" i="9" a="1"/>
  <c r="V154" i="9" s="1"/>
  <c r="V153" i="9" s="1"/>
  <c r="R96" i="8"/>
  <c r="R157" i="9" a="1"/>
  <c r="R157" i="9" s="1"/>
  <c r="V157" i="9" a="1"/>
  <c r="V157" i="9" s="1"/>
  <c r="V156" i="9" s="1"/>
  <c r="O157" i="9" a="1"/>
  <c r="O157" i="9" s="1"/>
  <c r="Q157" i="9" a="1"/>
  <c r="Q157" i="9" s="1"/>
  <c r="CO29" i="4"/>
  <c r="CO28" i="4" s="1" a="1"/>
  <c r="CO28" i="4" s="1"/>
  <c r="CN28" i="4" a="1"/>
  <c r="CN28" i="4" s="1"/>
  <c r="AJ16" i="4"/>
  <c r="V139" i="9" a="1"/>
  <c r="V139" i="9" s="1"/>
  <c r="Q139" i="9" a="1"/>
  <c r="Q139" i="9" s="1"/>
  <c r="O139" i="9" a="1"/>
  <c r="O139" i="9" s="1"/>
  <c r="R139" i="9" a="1"/>
  <c r="R139" i="9" s="1"/>
  <c r="AI98" i="8" a="1"/>
  <c r="AI98" i="8" s="1"/>
  <c r="AJ98" i="8" s="1"/>
  <c r="AJ99" i="8"/>
  <c r="AO156" i="9"/>
  <c r="O156" i="9" s="1" a="1"/>
  <c r="O156" i="9" s="1"/>
  <c r="AJ17" i="8"/>
  <c r="AJ205" i="4" a="1"/>
  <c r="AJ205" i="4" s="1"/>
  <c r="AG205" i="4" a="1"/>
  <c r="AG205" i="4" s="1"/>
  <c r="AH205" i="4" a="1"/>
  <c r="AH205" i="4" s="1"/>
  <c r="AG17" i="4"/>
  <c r="AI205" i="4" a="1"/>
  <c r="AI205" i="4" s="1"/>
  <c r="BC42" i="8"/>
  <c r="BB41" i="8" a="1"/>
  <c r="BB41" i="8" s="1"/>
  <c r="BC41" i="8" s="1"/>
  <c r="ER28" i="4" a="1"/>
  <c r="ER28" i="4" s="1"/>
  <c r="ES29" i="4"/>
  <c r="ES28" i="4" s="1" a="1"/>
  <c r="ES28" i="4" s="1"/>
  <c r="R115" i="8"/>
  <c r="V78" i="7" a="1"/>
  <c r="V78" i="7" s="1"/>
  <c r="V77" i="7" s="1"/>
  <c r="R78" i="7" a="1"/>
  <c r="R78" i="7" s="1"/>
  <c r="AN137" i="9"/>
  <c r="O138" i="9" a="1"/>
  <c r="O138" i="9" s="1"/>
  <c r="BB103" i="8" a="1"/>
  <c r="BB103" i="8" s="1"/>
  <c r="BC103" i="8" s="1"/>
  <c r="BC104" i="8"/>
  <c r="V99" i="7" a="1"/>
  <c r="V99" i="7" s="1"/>
  <c r="V98" i="7" s="1"/>
  <c r="R99" i="7" a="1"/>
  <c r="R99" i="7" s="1"/>
  <c r="R109" i="8"/>
  <c r="BU77" i="4" a="1"/>
  <c r="BU77" i="4" s="1"/>
  <c r="BV77" i="4" s="1"/>
  <c r="BV78" i="4"/>
  <c r="AR105" i="7" a="1"/>
  <c r="AR105" i="7" s="1"/>
  <c r="AO105" i="7" a="1"/>
  <c r="AO105" i="7" s="1"/>
  <c r="AQ105" i="7" a="1"/>
  <c r="AQ105" i="7" s="1"/>
  <c r="AP105" i="7" a="1"/>
  <c r="AP105" i="7" s="1"/>
  <c r="AS17" i="7"/>
  <c r="R115" i="4" a="1"/>
  <c r="R115" i="4" s="1"/>
  <c r="V115" i="4" a="1"/>
  <c r="V115" i="4" s="1"/>
  <c r="Q115" i="4" a="1"/>
  <c r="Q115" i="4" s="1"/>
  <c r="R60" i="8"/>
  <c r="AZ18" i="8"/>
  <c r="BB123" i="8" a="1"/>
  <c r="BB123" i="8" s="1"/>
  <c r="AZ123" i="8" a="1"/>
  <c r="AZ123" i="8" s="1"/>
  <c r="BA123" i="8" a="1"/>
  <c r="BA123" i="8" s="1"/>
  <c r="BC123" i="8" a="1"/>
  <c r="BC123" i="8" s="1"/>
  <c r="BG162" i="9"/>
  <c r="BH162" i="9" s="1"/>
  <c r="BH163" i="9"/>
  <c r="AO71" i="9"/>
  <c r="O71" i="9" s="1" a="1"/>
  <c r="O71" i="9" s="1"/>
  <c r="BB77" i="4" a="1"/>
  <c r="BB77" i="4" s="1"/>
  <c r="BC77" i="4" s="1"/>
  <c r="BC78" i="4"/>
  <c r="R171" i="4" a="1"/>
  <c r="R171" i="4" s="1"/>
  <c r="V171" i="4" a="1"/>
  <c r="V171" i="4" s="1"/>
  <c r="Q171" i="4" a="1"/>
  <c r="Q171" i="4" s="1"/>
  <c r="AI123" i="8" a="1"/>
  <c r="AI123" i="8" s="1"/>
  <c r="AJ123" i="8" a="1"/>
  <c r="AJ123" i="8" s="1"/>
  <c r="AG123" i="8" a="1"/>
  <c r="AG123" i="8" s="1"/>
  <c r="AH123" i="8" a="1"/>
  <c r="AH123" i="8" s="1"/>
  <c r="AG18" i="8"/>
  <c r="V72" i="9" a="1"/>
  <c r="V72" i="9" s="1"/>
  <c r="V71" i="9" s="1"/>
  <c r="O72" i="9" a="1"/>
  <c r="O72" i="9" s="1"/>
  <c r="R72" i="9" a="1"/>
  <c r="R72" i="9" s="1"/>
  <c r="Q72" i="9" a="1"/>
  <c r="Q72" i="9" s="1"/>
  <c r="AO85" i="9"/>
  <c r="O85" i="9" s="1" a="1"/>
  <c r="O85" i="9" s="1"/>
  <c r="AN162" i="9"/>
  <c r="AO163" i="9"/>
  <c r="ER205" i="4" a="1"/>
  <c r="ER205" i="4" s="1"/>
  <c r="EP17" i="4"/>
  <c r="EQ205" i="4" a="1"/>
  <c r="EQ205" i="4" s="1"/>
  <c r="EP205" i="4" a="1"/>
  <c r="EP205" i="4" s="1"/>
  <c r="ES205" i="4" a="1"/>
  <c r="ES205" i="4" s="1"/>
  <c r="AO129" i="9"/>
  <c r="O129" i="9" s="1" a="1"/>
  <c r="O129" i="9" s="1"/>
  <c r="V85" i="7" a="1"/>
  <c r="V85" i="7" s="1"/>
  <c r="V84" i="7" s="1"/>
  <c r="R85" i="7" a="1"/>
  <c r="R85" i="7" s="1"/>
  <c r="V24" i="9"/>
  <c r="BU160" i="4"/>
  <c r="BV160" i="4" s="1"/>
  <c r="BV161" i="4"/>
  <c r="V86" i="9" a="1"/>
  <c r="V86" i="9" s="1"/>
  <c r="V85" i="9" s="1"/>
  <c r="Q86" i="9" a="1"/>
  <c r="Q86" i="9" s="1"/>
  <c r="R86" i="9" a="1"/>
  <c r="R86" i="9" s="1"/>
  <c r="O86" i="9" a="1"/>
  <c r="O86" i="9" s="1"/>
  <c r="R164" i="9" a="1"/>
  <c r="R164" i="9" s="1"/>
  <c r="Q164" i="9" a="1"/>
  <c r="Q164" i="9" s="1"/>
  <c r="O164" i="9" a="1"/>
  <c r="O164" i="9" s="1"/>
  <c r="ES16" i="4"/>
  <c r="V71" i="4" a="1"/>
  <c r="V71" i="4" s="1"/>
  <c r="Q71" i="4" a="1"/>
  <c r="Q71" i="4" s="1"/>
  <c r="R71" i="4" a="1"/>
  <c r="R71" i="4" s="1"/>
  <c r="V130" i="9" a="1"/>
  <c r="V130" i="9" s="1"/>
  <c r="V129" i="9" s="1"/>
  <c r="O130" i="9" a="1"/>
  <c r="O130" i="9" s="1"/>
  <c r="Q130" i="9" a="1"/>
  <c r="Q130" i="9" s="1"/>
  <c r="R130" i="9" a="1"/>
  <c r="R130" i="9" s="1"/>
  <c r="AI83" i="7" a="1"/>
  <c r="AI83" i="7" s="1"/>
  <c r="AJ83" i="7" s="1"/>
  <c r="AJ84" i="7"/>
  <c r="R193" i="4" a="1"/>
  <c r="R193" i="4" s="1"/>
  <c r="Q193" i="4" a="1"/>
  <c r="Q193" i="4" s="1"/>
  <c r="V193" i="4" a="1"/>
  <c r="V193" i="4" s="1"/>
  <c r="Q156" i="4" a="1"/>
  <c r="Q156" i="4" s="1"/>
  <c r="R156" i="4" a="1"/>
  <c r="R156" i="4" s="1"/>
  <c r="V156" i="4" a="1"/>
  <c r="V156" i="4" s="1"/>
  <c r="DG28" i="4" a="1"/>
  <c r="DG28" i="4" s="1"/>
  <c r="DH29" i="4"/>
  <c r="DH28" i="4" s="1" a="1"/>
  <c r="DH28" i="4" s="1"/>
  <c r="V102" i="7" a="1"/>
  <c r="V102" i="7" s="1"/>
  <c r="V101" i="7" s="1"/>
  <c r="R102" i="7" a="1"/>
  <c r="R102" i="7" s="1"/>
  <c r="BV16" i="4"/>
  <c r="FK160" i="4"/>
  <c r="FL160" i="4" s="1"/>
  <c r="FL161" i="4"/>
  <c r="AN46" i="9"/>
  <c r="AO47" i="9"/>
  <c r="R59" i="7" a="1"/>
  <c r="R59" i="7" s="1"/>
  <c r="V59" i="7" a="1"/>
  <c r="V59" i="7" s="1"/>
  <c r="V58" i="7" s="1"/>
  <c r="R110" i="9" a="1"/>
  <c r="R110" i="9" s="1"/>
  <c r="O110" i="9" a="1"/>
  <c r="O110" i="9" s="1"/>
  <c r="Q110" i="9" a="1"/>
  <c r="Q110" i="9" s="1"/>
  <c r="V110" i="9" a="1"/>
  <c r="V110" i="9" s="1"/>
  <c r="V109" i="9" s="1"/>
  <c r="AO92" i="9"/>
  <c r="O92" i="9" s="1" a="1"/>
  <c r="O92" i="9" s="1"/>
  <c r="BS205" i="4" a="1"/>
  <c r="BS205" i="4" s="1"/>
  <c r="BV205" i="4" a="1"/>
  <c r="BV205" i="4" s="1"/>
  <c r="BT205" i="4" a="1"/>
  <c r="BT205" i="4" s="1"/>
  <c r="BU205" i="4" a="1"/>
  <c r="BU205" i="4" s="1"/>
  <c r="BS17" i="4"/>
  <c r="V47" i="9"/>
  <c r="DH161" i="4"/>
  <c r="DG160" i="4"/>
  <c r="DH160" i="4" s="1"/>
  <c r="AO109" i="9"/>
  <c r="O109" i="9" s="1" a="1"/>
  <c r="O109" i="9" s="1"/>
  <c r="V93" i="9" a="1"/>
  <c r="V93" i="9" s="1"/>
  <c r="V92" i="9" s="1"/>
  <c r="O93" i="9" a="1"/>
  <c r="O93" i="9" s="1"/>
  <c r="R93" i="9" a="1"/>
  <c r="R93" i="9" s="1"/>
  <c r="Q93" i="9" a="1"/>
  <c r="Q93" i="9" s="1"/>
  <c r="CN194" i="4"/>
  <c r="CO194" i="4" s="1"/>
  <c r="CO195" i="4"/>
  <c r="BK121" i="8" a="1"/>
  <c r="BK121" i="8" s="1"/>
  <c r="BH121" i="8" a="1"/>
  <c r="BH121" i="8" s="1"/>
  <c r="BI121" i="8" a="1"/>
  <c r="BI121" i="8" s="1"/>
  <c r="BJ121" i="8" a="1"/>
  <c r="BJ121" i="8" s="1"/>
  <c r="BL17" i="8"/>
  <c r="V22" i="7"/>
  <c r="BB165" i="4"/>
  <c r="BC165" i="4" s="1"/>
  <c r="BC166" i="4"/>
  <c r="AR203" i="4" a="1"/>
  <c r="AR203" i="4" s="1"/>
  <c r="AO203" i="4" a="1"/>
  <c r="AO203" i="4" s="1"/>
  <c r="AQ203" i="4" a="1"/>
  <c r="AQ203" i="4" s="1"/>
  <c r="AP203" i="4" a="1"/>
  <c r="AP203" i="4" s="1"/>
  <c r="V67" i="4" a="1"/>
  <c r="V67" i="4" s="1"/>
  <c r="R67" i="4" a="1"/>
  <c r="R67" i="4" s="1"/>
  <c r="Q67" i="4" a="1"/>
  <c r="Q67" i="4" s="1"/>
  <c r="BH47" i="9"/>
  <c r="BG46" i="9"/>
  <c r="BH46" i="9" s="1"/>
  <c r="V44" i="7" a="1"/>
  <c r="V44" i="7" s="1"/>
  <c r="V43" i="7" s="1"/>
  <c r="R44" i="7" a="1"/>
  <c r="R44" i="7" s="1"/>
  <c r="R66" i="8"/>
  <c r="AI123" i="5" a="1"/>
  <c r="AI123" i="5" s="1"/>
  <c r="AH123" i="5" a="1"/>
  <c r="AH123" i="5" s="1"/>
  <c r="AG123" i="5" a="1"/>
  <c r="AG123" i="5" s="1"/>
  <c r="AJ123" i="5" a="1"/>
  <c r="AJ123" i="5" s="1"/>
  <c r="AG16" i="5"/>
  <c r="AJ43" i="7"/>
  <c r="AI42" i="7" a="1"/>
  <c r="AI42" i="7" s="1"/>
  <c r="AJ42" i="7" s="1"/>
  <c r="R167" i="4" a="1"/>
  <c r="R167" i="4" s="1"/>
  <c r="V167" i="4" a="1"/>
  <c r="V167" i="4" s="1"/>
  <c r="Q167" i="4" a="1"/>
  <c r="Q167" i="4" s="1"/>
  <c r="BC17" i="8"/>
  <c r="AJ166" i="4"/>
  <c r="AI165" i="4"/>
  <c r="AJ165" i="4" s="1"/>
  <c r="AH107" i="7" a="1"/>
  <c r="AH107" i="7" s="1"/>
  <c r="AI107" i="7" a="1"/>
  <c r="AI107" i="7" s="1"/>
  <c r="AJ107" i="7" a="1"/>
  <c r="AJ107" i="7" s="1"/>
  <c r="AG18" i="7"/>
  <c r="Q18" i="7" s="1" a="1"/>
  <c r="Q18" i="7" s="1"/>
  <c r="AG107" i="7" a="1"/>
  <c r="AG107" i="7" s="1"/>
  <c r="Q190" i="4" a="1"/>
  <c r="Q190" i="4" s="1"/>
  <c r="R190" i="4" a="1"/>
  <c r="R190" i="4" s="1"/>
  <c r="V190" i="4" a="1"/>
  <c r="V190" i="4" s="1"/>
  <c r="ER194" i="4"/>
  <c r="ES194" i="4" s="1"/>
  <c r="ES195" i="4"/>
  <c r="R119" i="4" a="1"/>
  <c r="R119" i="4" s="1"/>
  <c r="Q119" i="4" a="1"/>
  <c r="Q119" i="4" s="1"/>
  <c r="V119" i="4" a="1"/>
  <c r="V119" i="4" s="1"/>
  <c r="DH195" i="4"/>
  <c r="DG194" i="4"/>
  <c r="DH194" i="4" s="1"/>
  <c r="R63" i="8"/>
  <c r="O167" i="9" a="1"/>
  <c r="O167" i="9" s="1"/>
  <c r="R167" i="9" a="1"/>
  <c r="R167" i="9" s="1"/>
  <c r="V167" i="9" a="1"/>
  <c r="V167" i="9" s="1"/>
  <c r="V166" i="9" s="1"/>
  <c r="V163" i="9" s="1"/>
  <c r="Q167" i="9" a="1"/>
  <c r="Q167" i="9" s="1"/>
  <c r="CN165" i="4"/>
  <c r="CO165" i="4" s="1"/>
  <c r="CO166" i="4"/>
  <c r="V94" i="7" a="1"/>
  <c r="V94" i="7" s="1"/>
  <c r="V93" i="7" s="1"/>
  <c r="R94" i="7" a="1"/>
  <c r="R94" i="7" s="1"/>
  <c r="BH15" i="9"/>
  <c r="AO166" i="9"/>
  <c r="O166" i="9" s="1" a="1"/>
  <c r="O166" i="9" s="1"/>
  <c r="CO78" i="4"/>
  <c r="CN77" i="4" a="1"/>
  <c r="CN77" i="4" s="1"/>
  <c r="CO77" i="4" s="1"/>
  <c r="BG132" i="9"/>
  <c r="BH132" i="9" s="1"/>
  <c r="BH133" i="9"/>
  <c r="FL195" i="4"/>
  <c r="FK194" i="4"/>
  <c r="FL194" i="4" s="1"/>
  <c r="AO15" i="9"/>
  <c r="BG137" i="9"/>
  <c r="BH137" i="9" s="1"/>
  <c r="V134" i="9" a="1"/>
  <c r="V134" i="9" s="1"/>
  <c r="V133" i="9" s="1"/>
  <c r="O134" i="9" a="1"/>
  <c r="O134" i="9" s="1"/>
  <c r="Q134" i="9" a="1"/>
  <c r="Q134" i="9" s="1"/>
  <c r="R134" i="9" a="1"/>
  <c r="R134" i="9" s="1"/>
  <c r="BE16" i="9"/>
  <c r="BE175" i="9" a="1"/>
  <c r="BE175" i="9" s="1"/>
  <c r="BH175" i="9" a="1"/>
  <c r="BH175" i="9" s="1"/>
  <c r="BF175" i="9" a="1"/>
  <c r="BF175" i="9" s="1"/>
  <c r="BG175" i="9" a="1"/>
  <c r="BG175" i="9" s="1"/>
  <c r="V87" i="7" a="1"/>
  <c r="V87" i="7" s="1"/>
  <c r="V86" i="7" s="1"/>
  <c r="R87" i="7" a="1"/>
  <c r="R87" i="7" s="1"/>
  <c r="AJ42" i="8"/>
  <c r="AI41" i="8" a="1"/>
  <c r="AI41" i="8" s="1"/>
  <c r="AJ41" i="8" s="1"/>
  <c r="ES161" i="4"/>
  <c r="ER160" i="4"/>
  <c r="ES160" i="4" s="1"/>
  <c r="AO133" i="9"/>
  <c r="AN132" i="9"/>
  <c r="V56" i="7" a="1"/>
  <c r="V56" i="7" s="1"/>
  <c r="V55" i="7" s="1"/>
  <c r="R56" i="7" a="1"/>
  <c r="R56" i="7" s="1"/>
  <c r="R90" i="7" a="1"/>
  <c r="R90" i="7" s="1"/>
  <c r="V90" i="7" a="1"/>
  <c r="V90" i="7" s="1"/>
  <c r="V89" i="7" s="1"/>
  <c r="BU165" i="4"/>
  <c r="BV165" i="4" s="1"/>
  <c r="BV166" i="4"/>
  <c r="AJ104" i="8"/>
  <c r="AI103" i="8" a="1"/>
  <c r="AI103" i="8" s="1"/>
  <c r="AJ103" i="8" s="1"/>
  <c r="BB160" i="4"/>
  <c r="BC160" i="4" s="1"/>
  <c r="BC161" i="4"/>
  <c r="AO142" i="9"/>
  <c r="O142" i="9" s="1" a="1"/>
  <c r="O142" i="9" s="1"/>
  <c r="CM205" i="4" a="1"/>
  <c r="CM205" i="4" s="1"/>
  <c r="CL17" i="4"/>
  <c r="CL205" i="4" a="1"/>
  <c r="CL205" i="4" s="1"/>
  <c r="CO205" i="4" a="1"/>
  <c r="CO205" i="4" s="1"/>
  <c r="CN205" i="4" a="1"/>
  <c r="CN205" i="4" s="1"/>
  <c r="R117" i="9" a="1"/>
  <c r="R117" i="9" s="1"/>
  <c r="O117" i="9" a="1"/>
  <c r="O117" i="9" s="1"/>
  <c r="Q117" i="9" a="1"/>
  <c r="Q117" i="9" s="1"/>
  <c r="V117" i="9" a="1"/>
  <c r="V117" i="9" s="1"/>
  <c r="V116" i="9" s="1"/>
  <c r="R110" i="4" a="1"/>
  <c r="R110" i="4" s="1"/>
  <c r="V110" i="4" a="1"/>
  <c r="V110" i="4" s="1"/>
  <c r="Q110" i="4" a="1"/>
  <c r="Q110" i="4" s="1"/>
  <c r="Q127" i="9" a="1"/>
  <c r="Q127" i="9" s="1"/>
  <c r="O127" i="9" a="1"/>
  <c r="O127" i="9" s="1"/>
  <c r="R127" i="9" a="1"/>
  <c r="R127" i="9" s="1"/>
  <c r="V127" i="9" a="1"/>
  <c r="V127" i="9" s="1"/>
  <c r="V126" i="9" s="1"/>
  <c r="R68" i="7" a="1"/>
  <c r="R68" i="7" s="1"/>
  <c r="V68" i="7" a="1"/>
  <c r="V68" i="7" s="1"/>
  <c r="V67" i="7" s="1"/>
  <c r="AI88" i="7"/>
  <c r="AJ88" i="7" s="1"/>
  <c r="AJ89" i="7"/>
  <c r="R143" i="9" a="1"/>
  <c r="R143" i="9" s="1"/>
  <c r="Q143" i="9" a="1"/>
  <c r="Q143" i="9" s="1"/>
  <c r="O143" i="9" a="1"/>
  <c r="O143" i="9" s="1"/>
  <c r="V143" i="9" a="1"/>
  <c r="V143" i="9" s="1"/>
  <c r="V142" i="9" s="1"/>
  <c r="CO16" i="4"/>
  <c r="AO116" i="9"/>
  <c r="O116" i="9" s="1" a="1"/>
  <c r="O116" i="9" s="1"/>
  <c r="AO126" i="9"/>
  <c r="O126" i="9" s="1" a="1"/>
  <c r="O126" i="9" s="1"/>
  <c r="FL78" i="4"/>
  <c r="FK77" i="4" a="1"/>
  <c r="FK77" i="4" s="1"/>
  <c r="FL77" i="4" s="1"/>
  <c r="AO169" i="9"/>
  <c r="O169" i="9" s="1" a="1"/>
  <c r="O169" i="9" s="1"/>
  <c r="CU203" i="4" a="1"/>
  <c r="CU203" i="4" s="1"/>
  <c r="CW203" i="4" a="1"/>
  <c r="CW203" i="4" s="1"/>
  <c r="CT203" i="4" a="1"/>
  <c r="CT203" i="4" s="1"/>
  <c r="CV203" i="4" a="1"/>
  <c r="CV203" i="4" s="1"/>
  <c r="CX16" i="4"/>
  <c r="BU28" i="4" a="1"/>
  <c r="BU28" i="4" s="1"/>
  <c r="BV29" i="4"/>
  <c r="BV28" i="4" s="1" a="1"/>
  <c r="BV28" i="4" s="1"/>
  <c r="R170" i="9" a="1"/>
  <c r="R170" i="9" s="1"/>
  <c r="Q170" i="9" a="1"/>
  <c r="Q170" i="9" s="1"/>
  <c r="V170" i="9" a="1"/>
  <c r="V170" i="9" s="1"/>
  <c r="V169" i="9" s="1"/>
  <c r="O170" i="9" a="1"/>
  <c r="O170" i="9" s="1"/>
  <c r="BV195" i="4"/>
  <c r="BU194" i="4"/>
  <c r="BV194" i="4" s="1"/>
  <c r="CD203" i="4" a="1"/>
  <c r="CD203" i="4" s="1"/>
  <c r="CB203" i="4" a="1"/>
  <c r="CB203" i="4" s="1"/>
  <c r="CA203" i="4" a="1"/>
  <c r="CA203" i="4" s="1"/>
  <c r="CC203" i="4" a="1"/>
  <c r="CC203" i="4" s="1"/>
  <c r="CE16" i="4"/>
  <c r="Q153" i="4" a="1"/>
  <c r="Q153" i="4" s="1"/>
  <c r="V153" i="4" a="1"/>
  <c r="V153" i="4" s="1"/>
  <c r="R153" i="4" a="1"/>
  <c r="R153" i="4" s="1"/>
  <c r="R102" i="8"/>
  <c r="FL16" i="4"/>
  <c r="ER77" i="4" a="1"/>
  <c r="ER77" i="4" s="1"/>
  <c r="ES77" i="4" s="1"/>
  <c r="ES78" i="4"/>
  <c r="BI203" i="4" a="1"/>
  <c r="BI203" i="4" s="1"/>
  <c r="BK203" i="4" a="1"/>
  <c r="BK203" i="4" s="1"/>
  <c r="BH203" i="4" a="1"/>
  <c r="BH203" i="4" s="1"/>
  <c r="BJ203" i="4" a="1"/>
  <c r="BJ203" i="4" s="1"/>
  <c r="BL16" i="4"/>
  <c r="R49" i="7" a="1"/>
  <c r="R49" i="7" s="1"/>
  <c r="V49" i="7" a="1"/>
  <c r="V49" i="7" s="1"/>
  <c r="V48" i="7" s="1"/>
  <c r="FJ205" i="4" a="1"/>
  <c r="FJ205" i="4" s="1"/>
  <c r="FI17" i="4"/>
  <c r="FL205" i="4" a="1"/>
  <c r="FL205" i="4" s="1"/>
  <c r="FK205" i="4" a="1"/>
  <c r="FK205" i="4" s="1"/>
  <c r="FI205" i="4" a="1"/>
  <c r="FI205" i="4" s="1"/>
  <c r="FL29" i="4"/>
  <c r="FL28" i="4" s="1" a="1"/>
  <c r="FL28" i="4" s="1"/>
  <c r="FK28" i="4" a="1"/>
  <c r="FK28" i="4" s="1"/>
  <c r="V71" i="7" a="1"/>
  <c r="V71" i="7" s="1"/>
  <c r="V70" i="7" s="1"/>
  <c r="R71" i="7" a="1"/>
  <c r="R71" i="7" s="1"/>
  <c r="EZ203" i="4" a="1"/>
  <c r="EZ203" i="4" s="1"/>
  <c r="EY203" i="4" a="1"/>
  <c r="EY203" i="4" s="1"/>
  <c r="EX203" i="4" a="1"/>
  <c r="EX203" i="4" s="1"/>
  <c r="FA203" i="4" a="1"/>
  <c r="FA203" i="4" s="1"/>
  <c r="FB16" i="4"/>
  <c r="R136" i="9" a="1"/>
  <c r="R136" i="9" s="1"/>
  <c r="V136" i="9" a="1"/>
  <c r="V136" i="9" s="1"/>
  <c r="V135" i="9" s="1"/>
  <c r="Q136" i="9" a="1"/>
  <c r="Q136" i="9" s="1"/>
  <c r="O136" i="9" a="1"/>
  <c r="O136" i="9" s="1"/>
  <c r="AO135" i="9"/>
  <c r="O135" i="9" s="1" a="1"/>
  <c r="O135" i="9" s="1"/>
  <c r="R118" i="8"/>
  <c r="P118" i="8" a="1"/>
  <c r="P118" i="8" s="1"/>
  <c r="V59" i="4" a="1"/>
  <c r="V59" i="4" s="1"/>
  <c r="R59" i="4" a="1"/>
  <c r="R59" i="4" s="1"/>
  <c r="Q59" i="4" a="1"/>
  <c r="Q59" i="4" s="1"/>
  <c r="ER165" i="4"/>
  <c r="ES165" i="4" s="1"/>
  <c r="ES166" i="4"/>
  <c r="AO89" i="9"/>
  <c r="O89" i="9" s="1" a="1"/>
  <c r="O89" i="9" s="1"/>
  <c r="FR203" i="4" a="1"/>
  <c r="FR203" i="4" s="1"/>
  <c r="FS203" i="4" a="1"/>
  <c r="FS203" i="4" s="1"/>
  <c r="FQ203" i="4" a="1"/>
  <c r="FQ203" i="4" s="1"/>
  <c r="FT203" i="4" a="1"/>
  <c r="FT203" i="4" s="1"/>
  <c r="FU16" i="4"/>
  <c r="AJ122" i="5" a="1"/>
  <c r="AJ122" i="5" s="1"/>
  <c r="AG122" i="5" a="1"/>
  <c r="AG122" i="5" s="1"/>
  <c r="AI122" i="5" a="1"/>
  <c r="AI122" i="5" s="1"/>
  <c r="AH122" i="5" a="1"/>
  <c r="AH122" i="5" s="1"/>
  <c r="AJ15" i="5"/>
  <c r="AO159" i="9"/>
  <c r="O159" i="9" s="1" a="1"/>
  <c r="O159" i="9" s="1"/>
  <c r="AI77" i="4" a="1"/>
  <c r="AI77" i="4" s="1"/>
  <c r="AJ77" i="4" s="1"/>
  <c r="AJ78" i="4"/>
  <c r="BC205" i="4" a="1"/>
  <c r="BC205" i="4" s="1"/>
  <c r="BA205" i="4" a="1"/>
  <c r="BA205" i="4" s="1"/>
  <c r="AZ205" i="4" a="1"/>
  <c r="AZ205" i="4" s="1"/>
  <c r="AZ17" i="4"/>
  <c r="BB205" i="4" a="1"/>
  <c r="BB205" i="4" s="1"/>
  <c r="R90" i="9" a="1"/>
  <c r="R90" i="9" s="1"/>
  <c r="Q90" i="9" a="1"/>
  <c r="Q90" i="9" s="1"/>
  <c r="V90" i="9" a="1"/>
  <c r="V90" i="9" s="1"/>
  <c r="V89" i="9" s="1"/>
  <c r="O90" i="9" a="1"/>
  <c r="O90" i="9" s="1"/>
  <c r="AJ195" i="4"/>
  <c r="AI194" i="4"/>
  <c r="AJ194" i="4" s="1"/>
  <c r="AI28" i="4" a="1"/>
  <c r="AI28" i="4" s="1"/>
  <c r="AJ29" i="4"/>
  <c r="AJ28" i="4" s="1" a="1"/>
  <c r="AJ28" i="4" s="1"/>
  <c r="AS16" i="4"/>
  <c r="AJ17" i="7"/>
  <c r="Q164" i="4" a="1"/>
  <c r="Q164" i="4" s="1"/>
  <c r="V164" i="4" a="1"/>
  <c r="V164" i="4" s="1"/>
  <c r="R164" i="4" a="1"/>
  <c r="R164" i="4" s="1"/>
  <c r="R97" i="7" a="1"/>
  <c r="R97" i="7" s="1"/>
  <c r="V97" i="7" a="1"/>
  <c r="V97" i="7" s="1"/>
  <c r="V96" i="7" s="1"/>
  <c r="V62" i="7" a="1"/>
  <c r="V62" i="7" s="1"/>
  <c r="V61" i="7" s="1"/>
  <c r="R62" i="7" a="1"/>
  <c r="R62" i="7" s="1"/>
  <c r="V81" i="7" a="1"/>
  <c r="V81" i="7" s="1"/>
  <c r="V80" i="7" s="1"/>
  <c r="R81" i="7" a="1"/>
  <c r="R81" i="7" s="1"/>
  <c r="BC99" i="8"/>
  <c r="BB98" i="8" a="1"/>
  <c r="BB98" i="8" s="1"/>
  <c r="BC98" i="8" s="1"/>
  <c r="BC16" i="4"/>
  <c r="CV121" i="8" a="1"/>
  <c r="CV121" i="8" s="1"/>
  <c r="CU121" i="8" a="1"/>
  <c r="CU121" i="8" s="1"/>
  <c r="CW121" i="8" a="1"/>
  <c r="CW121" i="8" s="1"/>
  <c r="CT121" i="8" a="1"/>
  <c r="CT121" i="8" s="1"/>
  <c r="R30" i="4" a="1"/>
  <c r="R30" i="4" s="1"/>
  <c r="V30" i="4" a="1"/>
  <c r="V30" i="4" s="1"/>
  <c r="Q30" i="4" a="1"/>
  <c r="Q30" i="4" s="1"/>
  <c r="EA203" i="4" l="1" a="1"/>
  <c r="EA203" i="4" s="1"/>
  <c r="DX203" i="4" a="1"/>
  <c r="DX203" i="4" s="1"/>
  <c r="DX204" i="4" a="1"/>
  <c r="DX204" i="4" s="1"/>
  <c r="EA204" i="4" a="1"/>
  <c r="EA204" i="4" s="1"/>
  <c r="DY203" i="4" a="1"/>
  <c r="DY203" i="4" s="1"/>
  <c r="DZ203" i="4" a="1"/>
  <c r="DZ203" i="4" s="1"/>
  <c r="DY204" i="4" a="1"/>
  <c r="DY204" i="4" s="1"/>
  <c r="DZ204" i="4" a="1"/>
  <c r="DZ204" i="4" s="1"/>
  <c r="AL16" i="9"/>
  <c r="AO175" i="9" a="1"/>
  <c r="AO175" i="9" s="1"/>
  <c r="AL175" i="9" a="1"/>
  <c r="AL175" i="9" s="1"/>
  <c r="AM175" i="9" a="1"/>
  <c r="AM175" i="9" s="1"/>
  <c r="BV121" i="8" a="1"/>
  <c r="BV121" i="8" s="1"/>
  <c r="CM122" i="8" a="1"/>
  <c r="CM122" i="8" s="1"/>
  <c r="CN122" i="8" a="1"/>
  <c r="CN122" i="8" s="1"/>
  <c r="CL121" i="8" a="1"/>
  <c r="CL121" i="8" s="1"/>
  <c r="CO121" i="8" a="1"/>
  <c r="CO121" i="8" s="1"/>
  <c r="CL122" i="8" a="1"/>
  <c r="CL122" i="8" s="1"/>
  <c r="BS122" i="8" a="1"/>
  <c r="BS122" i="8" s="1"/>
  <c r="BV122" i="8" a="1"/>
  <c r="BV122" i="8" s="1"/>
  <c r="BT122" i="8" a="1"/>
  <c r="BT122" i="8" s="1"/>
  <c r="BT121" i="8" a="1"/>
  <c r="BT121" i="8" s="1"/>
  <c r="BU121" i="8" a="1"/>
  <c r="BU121" i="8" s="1"/>
  <c r="BS121" i="8" a="1"/>
  <c r="BS121" i="8" s="1"/>
  <c r="BU122" i="8" a="1"/>
  <c r="BU122" i="8" s="1"/>
  <c r="CN121" i="8" a="1"/>
  <c r="CN121" i="8" s="1"/>
  <c r="CO122" i="8" a="1"/>
  <c r="CO122" i="8" s="1"/>
  <c r="V132" i="9"/>
  <c r="O163" i="9" a="1"/>
  <c r="O163" i="9" s="1"/>
  <c r="BC204" i="4" a="1"/>
  <c r="BC204" i="4" s="1"/>
  <c r="O47" i="9" a="1"/>
  <c r="O47" i="9" s="1"/>
  <c r="DF204" i="4" a="1"/>
  <c r="DF204" i="4" s="1"/>
  <c r="BF174" i="9" a="1"/>
  <c r="BF174" i="9" s="1"/>
  <c r="O133" i="9" a="1"/>
  <c r="O133" i="9" s="1"/>
  <c r="BH174" i="9" a="1"/>
  <c r="BH174" i="9" s="1"/>
  <c r="AZ204" i="4" a="1"/>
  <c r="AZ204" i="4" s="1"/>
  <c r="BB204" i="4" a="1"/>
  <c r="BB204" i="4" s="1"/>
  <c r="CN204" i="4" a="1"/>
  <c r="CN204" i="4" s="1"/>
  <c r="AJ106" i="7" a="1"/>
  <c r="AJ106" i="7" s="1"/>
  <c r="AG106" i="7" a="1"/>
  <c r="AG106" i="7" s="1"/>
  <c r="BA204" i="4" a="1"/>
  <c r="BA204" i="4" s="1"/>
  <c r="AH106" i="7" a="1"/>
  <c r="AH106" i="7" s="1"/>
  <c r="BV204" i="4" a="1"/>
  <c r="BV204" i="4" s="1"/>
  <c r="AI106" i="7" a="1"/>
  <c r="AI106" i="7" s="1"/>
  <c r="AG204" i="4" a="1"/>
  <c r="AG204" i="4" s="1"/>
  <c r="FI204" i="4" a="1"/>
  <c r="FI204" i="4" s="1"/>
  <c r="FK203" i="4" a="1"/>
  <c r="FK203" i="4" s="1"/>
  <c r="FL203" i="4" a="1"/>
  <c r="FL203" i="4" s="1"/>
  <c r="FJ203" i="4" a="1"/>
  <c r="FJ203" i="4" s="1"/>
  <c r="FI203" i="4" a="1"/>
  <c r="FI203" i="4" s="1"/>
  <c r="AO46" i="9"/>
  <c r="FK204" i="4" a="1"/>
  <c r="FK204" i="4" s="1"/>
  <c r="AO132" i="9"/>
  <c r="O132" i="9" s="1" a="1"/>
  <c r="O132" i="9" s="1"/>
  <c r="FL204" i="4" a="1"/>
  <c r="FL204" i="4" s="1"/>
  <c r="AH105" i="7" a="1"/>
  <c r="AH105" i="7" s="1"/>
  <c r="AI105" i="7" a="1"/>
  <c r="AI105" i="7" s="1"/>
  <c r="AJ105" i="7" a="1"/>
  <c r="AJ105" i="7" s="1"/>
  <c r="AG105" i="7" a="1"/>
  <c r="AG105" i="7" s="1"/>
  <c r="V138" i="9"/>
  <c r="V137" i="9" s="1"/>
  <c r="DE204" i="4" a="1"/>
  <c r="DE204" i="4" s="1"/>
  <c r="BS204" i="4" a="1"/>
  <c r="BS204" i="4" s="1"/>
  <c r="EP204" i="4" a="1"/>
  <c r="EP204" i="4" s="1"/>
  <c r="AG203" i="4" a="1"/>
  <c r="AG203" i="4" s="1"/>
  <c r="AJ203" i="4" a="1"/>
  <c r="AJ203" i="4" s="1"/>
  <c r="AI203" i="4" a="1"/>
  <c r="AI203" i="4" s="1"/>
  <c r="AH203" i="4" a="1"/>
  <c r="AH203" i="4" s="1"/>
  <c r="DH204" i="4" a="1"/>
  <c r="DH204" i="4" s="1"/>
  <c r="BE174" i="9" a="1"/>
  <c r="BE174" i="9" s="1"/>
  <c r="BT203" i="4" a="1"/>
  <c r="BT203" i="4" s="1"/>
  <c r="BU203" i="4" a="1"/>
  <c r="BU203" i="4" s="1"/>
  <c r="BV203" i="4" a="1"/>
  <c r="BV203" i="4" s="1"/>
  <c r="BS203" i="4" a="1"/>
  <c r="BS203" i="4" s="1"/>
  <c r="ER204" i="4" a="1"/>
  <c r="ER204" i="4" s="1"/>
  <c r="AO137" i="9"/>
  <c r="AJ204" i="4" a="1"/>
  <c r="AJ204" i="4" s="1"/>
  <c r="DG204" i="4" a="1"/>
  <c r="DG204" i="4" s="1"/>
  <c r="BG174" i="9" a="1"/>
  <c r="BG174" i="9" s="1"/>
  <c r="BT204" i="4" a="1"/>
  <c r="BT204" i="4" s="1"/>
  <c r="ES203" i="4" a="1"/>
  <c r="ES203" i="4" s="1"/>
  <c r="ER203" i="4" a="1"/>
  <c r="ER203" i="4" s="1"/>
  <c r="EP203" i="4" a="1"/>
  <c r="EP203" i="4" s="1"/>
  <c r="EQ203" i="4" a="1"/>
  <c r="EQ203" i="4" s="1"/>
  <c r="AO162" i="9"/>
  <c r="O162" i="9" s="1" a="1"/>
  <c r="O162" i="9" s="1"/>
  <c r="AI204" i="4" a="1"/>
  <c r="AI204" i="4" s="1"/>
  <c r="DH203" i="4" a="1"/>
  <c r="DH203" i="4" s="1"/>
  <c r="DG203" i="4" a="1"/>
  <c r="DG203" i="4" s="1"/>
  <c r="DF203" i="4" a="1"/>
  <c r="DF203" i="4" s="1"/>
  <c r="DE203" i="4" a="1"/>
  <c r="DE203" i="4" s="1"/>
  <c r="BU204" i="4" a="1"/>
  <c r="BU204" i="4" s="1"/>
  <c r="ES204" i="4" a="1"/>
  <c r="ES204" i="4" s="1"/>
  <c r="AH204" i="4" a="1"/>
  <c r="AH204" i="4" s="1"/>
  <c r="EQ204" i="4" a="1"/>
  <c r="EQ204" i="4" s="1"/>
  <c r="V46" i="9"/>
  <c r="CO203" i="4" a="1"/>
  <c r="CO203" i="4" s="1"/>
  <c r="CL203" i="4" a="1"/>
  <c r="CL203" i="4" s="1"/>
  <c r="CM203" i="4" a="1"/>
  <c r="CM203" i="4" s="1"/>
  <c r="CN203" i="4" a="1"/>
  <c r="CN203" i="4" s="1"/>
  <c r="CM204" i="4" a="1"/>
  <c r="CM204" i="4" s="1"/>
  <c r="BC122" i="8" a="1"/>
  <c r="BC122" i="8" s="1"/>
  <c r="BH173" i="9" a="1"/>
  <c r="BH173" i="9" s="1"/>
  <c r="BF173" i="9" a="1"/>
  <c r="BF173" i="9" s="1"/>
  <c r="BG173" i="9" a="1"/>
  <c r="BG173" i="9" s="1"/>
  <c r="BE173" i="9" a="1"/>
  <c r="BE173" i="9" s="1"/>
  <c r="CO204" i="4" a="1"/>
  <c r="CO204" i="4" s="1"/>
  <c r="BB122" i="8" a="1"/>
  <c r="BB122" i="8" s="1"/>
  <c r="AZ122" i="8" a="1"/>
  <c r="AZ122" i="8" s="1"/>
  <c r="V162" i="9" a="1"/>
  <c r="V162" i="9" s="1"/>
  <c r="BA122" i="8" a="1"/>
  <c r="BA122" i="8" s="1"/>
  <c r="AH122" i="8" a="1"/>
  <c r="AH122" i="8" s="1"/>
  <c r="BC203" i="4" a="1"/>
  <c r="BC203" i="4" s="1"/>
  <c r="AZ203" i="4" a="1"/>
  <c r="AZ203" i="4" s="1"/>
  <c r="BB203" i="4" a="1"/>
  <c r="BB203" i="4" s="1"/>
  <c r="BA203" i="4" a="1"/>
  <c r="BA203" i="4" s="1"/>
  <c r="BC121" i="8" a="1"/>
  <c r="BC121" i="8" s="1"/>
  <c r="BB121" i="8" a="1"/>
  <c r="BB121" i="8" s="1"/>
  <c r="BA121" i="8" a="1"/>
  <c r="BA121" i="8" s="1"/>
  <c r="AZ121" i="8" a="1"/>
  <c r="AZ121" i="8" s="1"/>
  <c r="AG122" i="8" a="1"/>
  <c r="AG122" i="8" s="1"/>
  <c r="CL204" i="4" a="1"/>
  <c r="CL204" i="4" s="1"/>
  <c r="AO174" i="9" a="1"/>
  <c r="AO174" i="9" s="1"/>
  <c r="AH121" i="8" a="1"/>
  <c r="AH121" i="8" s="1"/>
  <c r="AJ121" i="8" a="1"/>
  <c r="AJ121" i="8" s="1"/>
  <c r="AI121" i="8" a="1"/>
  <c r="AI121" i="8" s="1"/>
  <c r="AG121" i="8" a="1"/>
  <c r="AG121" i="8" s="1"/>
  <c r="AI122" i="8" a="1"/>
  <c r="AI122" i="8" s="1"/>
  <c r="AN174" i="9" a="1"/>
  <c r="AN174" i="9" s="1"/>
  <c r="V88" i="7"/>
  <c r="AL174" i="9" a="1"/>
  <c r="AL174" i="9" s="1"/>
  <c r="AJ122" i="8" a="1"/>
  <c r="AJ122" i="8" s="1"/>
  <c r="AH121" i="5" a="1"/>
  <c r="AH121" i="5" s="1"/>
  <c r="AJ121" i="5" a="1"/>
  <c r="AJ121" i="5" s="1"/>
  <c r="AG121" i="5" a="1"/>
  <c r="AG121" i="5" s="1"/>
  <c r="AI121" i="5" a="1"/>
  <c r="AI121" i="5" s="1"/>
  <c r="V42" i="7"/>
  <c r="FJ204" i="4" a="1"/>
  <c r="FJ204" i="4" s="1"/>
  <c r="AM174" i="9" a="1"/>
  <c r="AM174" i="9" s="1"/>
  <c r="V83" i="7"/>
  <c r="AM173" i="9" l="1" a="1"/>
  <c r="AM173" i="9" s="1"/>
  <c r="AO173" i="9" a="1"/>
  <c r="AO173" i="9" s="1"/>
  <c r="O46" i="9" a="1"/>
  <c r="O46" i="9" s="1"/>
  <c r="O137" i="9" a="1"/>
  <c r="O137" i="9" s="1"/>
  <c r="AN173" i="9" a="1"/>
  <c r="AN173" i="9" s="1"/>
  <c r="AL173" i="9" a="1"/>
  <c r="AL173" i="9" s="1"/>
  <c r="BY22" i="8" l="1" a="1"/>
  <c r="BY22" i="8" s="1"/>
  <c r="BX18" i="8" s="1" a="1"/>
  <c r="BX18" i="8" s="1"/>
  <c r="AM22" i="8" a="1"/>
  <c r="AM22" i="8" s="1"/>
  <c r="AL18" i="8" s="1" a="1"/>
  <c r="AL18" i="8" s="1"/>
  <c r="AM21" i="5" a="1"/>
  <c r="AM21" i="5" s="1"/>
  <c r="AN21" i="5" l="1"/>
  <c r="AN20" i="5" s="1" a="1"/>
  <c r="AN20" i="5" s="1"/>
  <c r="AM20" i="5" a="1"/>
  <c r="AM20" i="5" s="1"/>
  <c r="AL16" i="5" s="1" a="1"/>
  <c r="AL16" i="5" s="1"/>
  <c r="AN22" i="8"/>
  <c r="AS22" i="8" s="1"/>
  <c r="BZ22" i="8"/>
  <c r="CE22" i="8" s="1"/>
  <c r="BY18" i="8" l="1"/>
  <c r="CA18" i="8"/>
  <c r="CB18" i="8" s="1"/>
  <c r="BZ123" i="8" a="1"/>
  <c r="BZ123" i="8" s="1"/>
  <c r="BW123" i="8" a="1"/>
  <c r="BW123" i="8" s="1"/>
  <c r="BY123" i="8" a="1"/>
  <c r="BY123" i="8" s="1"/>
  <c r="BX123" i="8" a="1"/>
  <c r="BX123" i="8" s="1"/>
  <c r="AN123" i="8" a="1"/>
  <c r="AN123" i="8" s="1"/>
  <c r="AM18" i="8"/>
  <c r="AK123" i="8" a="1"/>
  <c r="AK123" i="8" s="1"/>
  <c r="AL123" i="8" a="1"/>
  <c r="AL123" i="8" s="1"/>
  <c r="AO18" i="8"/>
  <c r="AP18" i="8" s="1"/>
  <c r="AM123" i="8" a="1"/>
  <c r="AM123" i="8" s="1"/>
  <c r="AM123" i="5" a="1"/>
  <c r="AM123" i="5" s="1"/>
  <c r="AL123" i="5" a="1"/>
  <c r="AL123" i="5" s="1"/>
  <c r="AM16" i="5"/>
  <c r="AO16" i="5"/>
  <c r="AP16" i="5" s="1"/>
  <c r="AN123" i="5" a="1"/>
  <c r="AN123" i="5" s="1"/>
  <c r="AK123" i="5" a="1"/>
  <c r="AK123" i="5" s="1"/>
  <c r="AN16" i="5" l="1"/>
  <c r="AM15" i="5"/>
  <c r="AQ123" i="8" a="1"/>
  <c r="AQ123" i="8" s="1"/>
  <c r="AR123" i="8" a="1"/>
  <c r="AR123" i="8" s="1"/>
  <c r="AQ18" i="8"/>
  <c r="AO123" i="8" a="1"/>
  <c r="AO123" i="8" s="1"/>
  <c r="AP123" i="8" a="1"/>
  <c r="AP123" i="8" s="1"/>
  <c r="AN18" i="8"/>
  <c r="AM17" i="8"/>
  <c r="AQ16" i="5"/>
  <c r="AO123" i="5" a="1"/>
  <c r="AO123" i="5" s="1"/>
  <c r="AR123" i="5" a="1"/>
  <c r="AR123" i="5" s="1"/>
  <c r="AP123" i="5" a="1"/>
  <c r="AP123" i="5" s="1"/>
  <c r="AQ123" i="5" a="1"/>
  <c r="AQ123" i="5" s="1"/>
  <c r="CB123" i="8" a="1"/>
  <c r="CB123" i="8" s="1"/>
  <c r="CC123" i="8" a="1"/>
  <c r="CC123" i="8" s="1"/>
  <c r="CC18" i="8"/>
  <c r="CD123" i="8" a="1"/>
  <c r="CD123" i="8" s="1"/>
  <c r="CA123" i="8" a="1"/>
  <c r="CA123" i="8" s="1"/>
  <c r="BY17" i="8"/>
  <c r="BZ18" i="8"/>
  <c r="BY122" i="8" l="1" a="1"/>
  <c r="BY122" i="8" s="1"/>
  <c r="BX122" i="8" a="1"/>
  <c r="BX122" i="8" s="1"/>
  <c r="BZ17" i="8"/>
  <c r="BZ122" i="8" a="1"/>
  <c r="BZ122" i="8" s="1"/>
  <c r="BW122" i="8" a="1"/>
  <c r="BW122" i="8" s="1"/>
  <c r="CD18" i="8"/>
  <c r="CE18" i="8" s="1"/>
  <c r="CC17" i="8"/>
  <c r="AR16" i="5"/>
  <c r="T16" i="5" s="1" a="1"/>
  <c r="T16" i="5" s="1"/>
  <c r="AQ15" i="5"/>
  <c r="AM122" i="8" a="1"/>
  <c r="AM122" i="8" s="1"/>
  <c r="AN122" i="8" a="1"/>
  <c r="AN122" i="8" s="1"/>
  <c r="AK122" i="8" a="1"/>
  <c r="AK122" i="8" s="1"/>
  <c r="AN17" i="8"/>
  <c r="AL122" i="8" a="1"/>
  <c r="AL122" i="8" s="1"/>
  <c r="AR18" i="8"/>
  <c r="AS18" i="8" s="1"/>
  <c r="AQ17" i="8"/>
  <c r="AL122" i="5" a="1"/>
  <c r="AL122" i="5" s="1"/>
  <c r="AN122" i="5" a="1"/>
  <c r="AN122" i="5" s="1"/>
  <c r="AN15" i="5"/>
  <c r="AK122" i="5" a="1"/>
  <c r="AK122" i="5" s="1"/>
  <c r="AM122" i="5" a="1"/>
  <c r="AM122" i="5" s="1"/>
  <c r="Q18" i="8" l="1" a="1"/>
  <c r="Q18" i="8" s="1"/>
  <c r="AR122" i="5" a="1"/>
  <c r="AR122" i="5" s="1"/>
  <c r="AR15" i="5"/>
  <c r="AO122" i="5" a="1"/>
  <c r="AO122" i="5" s="1"/>
  <c r="AP122" i="5" a="1"/>
  <c r="AP122" i="5" s="1"/>
  <c r="AQ122" i="5" a="1"/>
  <c r="AQ122" i="5" s="1"/>
  <c r="CB122" i="8" a="1"/>
  <c r="CB122" i="8" s="1"/>
  <c r="CD122" i="8" a="1"/>
  <c r="CD122" i="8" s="1"/>
  <c r="CA122" i="8" a="1"/>
  <c r="CA122" i="8" s="1"/>
  <c r="CD17" i="8"/>
  <c r="CC122" i="8" a="1"/>
  <c r="CC122" i="8" s="1"/>
  <c r="AL121" i="5" a="1"/>
  <c r="AL121" i="5" s="1"/>
  <c r="AN121" i="5" a="1"/>
  <c r="AN121" i="5" s="1"/>
  <c r="AM121" i="5" a="1"/>
  <c r="AM121" i="5" s="1"/>
  <c r="AK121" i="5" a="1"/>
  <c r="AK121" i="5" s="1"/>
  <c r="AQ122" i="8" a="1"/>
  <c r="AQ122" i="8" s="1"/>
  <c r="AR122" i="8" a="1"/>
  <c r="AR122" i="8" s="1"/>
  <c r="AR17" i="8"/>
  <c r="AS17" i="8" s="1"/>
  <c r="AP122" i="8" a="1"/>
  <c r="AP122" i="8" s="1"/>
  <c r="AO122" i="8" a="1"/>
  <c r="AO122" i="8" s="1"/>
  <c r="BY121" i="8" a="1"/>
  <c r="BY121" i="8" s="1"/>
  <c r="BX121" i="8" a="1"/>
  <c r="BX121" i="8" s="1"/>
  <c r="BW121" i="8" a="1"/>
  <c r="BW121" i="8" s="1"/>
  <c r="BZ121" i="8" a="1"/>
  <c r="BZ121" i="8" s="1"/>
  <c r="AM121" i="8" a="1"/>
  <c r="AM121" i="8" s="1"/>
  <c r="AN121" i="8" a="1"/>
  <c r="AN121" i="8" s="1"/>
  <c r="AL121" i="8" a="1"/>
  <c r="AL121" i="8" s="1"/>
  <c r="AK121" i="8" a="1"/>
  <c r="AK121" i="8" s="1"/>
  <c r="AO121" i="8" l="1" a="1"/>
  <c r="AO121" i="8" s="1"/>
  <c r="AQ121" i="8" a="1"/>
  <c r="AQ121" i="8" s="1"/>
  <c r="AR121" i="8" a="1"/>
  <c r="AR121" i="8" s="1"/>
  <c r="AP121" i="8" a="1"/>
  <c r="AP121" i="8" s="1"/>
  <c r="CE17" i="8"/>
  <c r="CB121" i="8" a="1"/>
  <c r="CB121" i="8" s="1"/>
  <c r="CD121" i="8" a="1"/>
  <c r="CD121" i="8" s="1"/>
  <c r="CC121" i="8" a="1"/>
  <c r="CC121" i="8" s="1"/>
  <c r="CA121" i="8" a="1"/>
  <c r="CA121" i="8" s="1"/>
  <c r="AQ121" i="5" a="1"/>
  <c r="AQ121" i="5" s="1"/>
  <c r="AR121" i="5" a="1"/>
  <c r="AR121" i="5" s="1"/>
  <c r="AP121" i="5" a="1"/>
  <c r="AP121" i="5" s="1"/>
  <c r="AO121" i="5" a="1"/>
  <c r="AO121" i="5" s="1"/>
  <c r="DM18" i="4"/>
  <c r="DM19" i="4"/>
  <c r="DN19" i="4" s="1"/>
  <c r="DM20" i="4"/>
  <c r="DN20" i="4" s="1"/>
  <c r="DO20" i="4" s="1"/>
  <c r="DP20" i="4" s="1"/>
  <c r="DQ20" i="4" s="1"/>
  <c r="DN18" i="4" l="1"/>
  <c r="DO18" i="4" s="1"/>
  <c r="DP18" i="4" s="1"/>
  <c r="DQ18" i="4" s="1"/>
  <c r="Q18" i="4" s="1" a="1"/>
  <c r="Q18" i="4" s="1"/>
  <c r="DO19" i="4"/>
  <c r="DP19" i="4" s="1"/>
  <c r="DQ19" i="4" s="1"/>
  <c r="Q19" i="4" s="1" a="1"/>
  <c r="Q19" i="4" s="1"/>
  <c r="DJ205" i="4" a="1"/>
  <c r="DJ205" i="4" s="1"/>
  <c r="DK17" i="4"/>
  <c r="DK205" i="4" a="1"/>
  <c r="DK205" i="4" s="1"/>
  <c r="DL205" i="4" a="1"/>
  <c r="DL205" i="4" s="1"/>
  <c r="DM17" i="4"/>
  <c r="DN17" i="4" s="1"/>
  <c r="DI205" i="4" a="1"/>
  <c r="DI205" i="4" s="1"/>
  <c r="Q20" i="4" a="1"/>
  <c r="Q20" i="4" s="1"/>
  <c r="DK16" i="4" l="1"/>
  <c r="DL17" i="4"/>
  <c r="DM205" i="4" a="1"/>
  <c r="DM205" i="4" s="1"/>
  <c r="DO17" i="4"/>
  <c r="DN205" i="4" a="1"/>
  <c r="DN205" i="4" s="1"/>
  <c r="DO205" i="4" a="1"/>
  <c r="DO205" i="4" s="1"/>
  <c r="DP205" i="4" a="1"/>
  <c r="DP205" i="4" s="1"/>
  <c r="DO16" i="4" l="1"/>
  <c r="DP17" i="4"/>
  <c r="DQ17" i="4" s="1"/>
  <c r="DL16" i="4"/>
  <c r="DI204" i="4" a="1"/>
  <c r="DI204" i="4" s="1"/>
  <c r="DK204" i="4" a="1"/>
  <c r="DK204" i="4" s="1"/>
  <c r="DJ204" i="4" a="1"/>
  <c r="DJ204" i="4" s="1"/>
  <c r="DL204" i="4" a="1"/>
  <c r="DL204" i="4" s="1"/>
  <c r="DI203" i="4" l="1" a="1"/>
  <c r="DI203" i="4" s="1"/>
  <c r="DK203" i="4" a="1"/>
  <c r="DK203" i="4" s="1"/>
  <c r="DL203" i="4" a="1"/>
  <c r="DL203" i="4" s="1"/>
  <c r="DJ203" i="4" a="1"/>
  <c r="DJ203" i="4" s="1"/>
  <c r="DP16" i="4"/>
  <c r="DM204" i="4" a="1"/>
  <c r="DM204" i="4" s="1"/>
  <c r="DP204" i="4" a="1"/>
  <c r="DP204" i="4" s="1"/>
  <c r="DN204" i="4" a="1"/>
  <c r="DN204" i="4" s="1"/>
  <c r="DO204" i="4" a="1"/>
  <c r="DO204" i="4" s="1"/>
  <c r="DO203" i="4" l="1" a="1"/>
  <c r="DO203" i="4" s="1"/>
  <c r="DM203" i="4" a="1"/>
  <c r="DM203" i="4" s="1"/>
  <c r="DP203" i="4" a="1"/>
  <c r="DP203" i="4" s="1"/>
  <c r="DN203" i="4" a="1"/>
  <c r="DN203" i="4" s="1"/>
  <c r="DQ16" i="4"/>
  <c r="AR19" i="9"/>
  <c r="AS19" i="9" l="1"/>
  <c r="AX19" i="9" s="1"/>
  <c r="AT16" i="9"/>
  <c r="AR17" i="9"/>
  <c r="AR16" i="9" s="1"/>
  <c r="AU17" i="9" l="1"/>
  <c r="AV17" i="9" s="1"/>
  <c r="AW17" i="9" s="1"/>
  <c r="AQ175" i="9" a="1"/>
  <c r="AQ175" i="9" s="1"/>
  <c r="AS175" i="9" a="1"/>
  <c r="AS175" i="9" s="1"/>
  <c r="AX175" i="9" s="1"/>
  <c r="AR175" i="9" a="1"/>
  <c r="AR175" i="9" s="1"/>
  <c r="AU16" i="9"/>
  <c r="AV16" i="9" s="1"/>
  <c r="AS17" i="9"/>
  <c r="AX17" i="9" s="1"/>
  <c r="AR15" i="9"/>
  <c r="AS16" i="9"/>
  <c r="AX16" i="9" s="1"/>
  <c r="AP175" i="9" a="1"/>
  <c r="AP175" i="9" s="1"/>
  <c r="O17" i="9" l="1" a="1"/>
  <c r="O17" i="9" s="1"/>
  <c r="AU18" i="9"/>
  <c r="AV18" i="9" s="1"/>
  <c r="AW18" i="9" s="1"/>
  <c r="Q18" i="9" s="1" a="1"/>
  <c r="Q18" i="9" s="1"/>
  <c r="AU19" i="9"/>
  <c r="AU20" i="9"/>
  <c r="AV20" i="9" s="1"/>
  <c r="AW20" i="9" s="1"/>
  <c r="V20" i="9" s="1" a="1"/>
  <c r="V20" i="9" s="1"/>
  <c r="AW16" i="9"/>
  <c r="AR174" i="9" a="1"/>
  <c r="AR174" i="9" s="1"/>
  <c r="AS174" i="9" a="1"/>
  <c r="AS174" i="9" s="1"/>
  <c r="AX174" i="9" s="1"/>
  <c r="AS15" i="9"/>
  <c r="AX15" i="9" s="1"/>
  <c r="AQ174" i="9" a="1"/>
  <c r="AQ174" i="9" s="1"/>
  <c r="AP174" i="9" a="1"/>
  <c r="AP174" i="9" s="1"/>
  <c r="AT175" i="9" l="1" a="1"/>
  <c r="AT175" i="9" s="1"/>
  <c r="V17" i="9" a="1"/>
  <c r="V17" i="9" s="1"/>
  <c r="O18" i="9" a="1"/>
  <c r="O18" i="9" s="1"/>
  <c r="Q17" i="9" a="1"/>
  <c r="Q17" i="9" s="1"/>
  <c r="O16" i="9" a="1"/>
  <c r="O16" i="9" s="1"/>
  <c r="Q16" i="9" a="1"/>
  <c r="Q16" i="9" s="1"/>
  <c r="V18" i="9" a="1"/>
  <c r="V18" i="9" s="1"/>
  <c r="AV19" i="9"/>
  <c r="AV175" i="9" a="1"/>
  <c r="AV175" i="9" s="1"/>
  <c r="AW175" i="9" a="1"/>
  <c r="AW175" i="9" s="1"/>
  <c r="AU175" i="9" a="1"/>
  <c r="AU175" i="9" s="1"/>
  <c r="Q20" i="9" a="1"/>
  <c r="Q20" i="9" s="1"/>
  <c r="AQ173" i="9" a="1"/>
  <c r="AQ173" i="9" s="1"/>
  <c r="AP173" i="9" a="1"/>
  <c r="AP173" i="9" s="1"/>
  <c r="AS173" i="9" a="1"/>
  <c r="AS173" i="9" s="1"/>
  <c r="AX173" i="9" s="1"/>
  <c r="AR173" i="9" a="1"/>
  <c r="AR173" i="9" s="1"/>
  <c r="V16" i="9" a="1"/>
  <c r="V16" i="9" s="1"/>
  <c r="O20" i="9" a="1"/>
  <c r="O20" i="9" s="1"/>
  <c r="AW19" i="9" l="1"/>
  <c r="O19" i="9" s="1" a="1"/>
  <c r="O19" i="9" s="1"/>
  <c r="AV15" i="9"/>
  <c r="V19" i="9" l="1" a="1"/>
  <c r="V19" i="9" s="1"/>
  <c r="V15" i="9" s="1"/>
  <c r="Q19" i="9" a="1"/>
  <c r="Q19" i="9" s="1"/>
  <c r="AT174" i="9" a="1"/>
  <c r="AT174" i="9" s="1"/>
  <c r="AU174" i="9" a="1"/>
  <c r="AU174" i="9" s="1"/>
  <c r="AW178" i="9"/>
  <c r="AW15" i="9"/>
  <c r="AV174" i="9" a="1"/>
  <c r="AV174" i="9" s="1"/>
  <c r="AW174" i="9" a="1"/>
  <c r="AW174" i="9" s="1"/>
  <c r="AT178" i="9"/>
  <c r="AV178" i="9" s="1"/>
  <c r="AV173" i="9" l="1" a="1"/>
  <c r="AV173" i="9" s="1"/>
  <c r="AW173" i="9" a="1"/>
  <c r="AW173" i="9" s="1"/>
  <c r="AU173" i="9" a="1"/>
  <c r="AU173" i="9" s="1"/>
  <c r="AT173" i="9" a="1"/>
  <c r="AT173" i="9" s="1"/>
  <c r="O15" i="9" a="1"/>
  <c r="O15" i="9" s="1"/>
  <c r="Q174" i="9" l="1" a="1"/>
  <c r="Q174" i="9" s="1"/>
  <c r="Q173" i="9" s="1"/>
  <c r="P174" i="9" a="1"/>
  <c r="P174" i="9" s="1"/>
  <c r="P173" i="9" s="1"/>
  <c r="O174" i="9" a="1"/>
  <c r="O174" i="9" s="1"/>
  <c r="O173" i="9" s="1"/>
  <c r="EE205" i="4" a="1"/>
  <c r="EE205" i="4" s="1"/>
  <c r="EC205" i="4" a="1"/>
  <c r="EC205" i="4" s="1"/>
  <c r="ED205" i="4" a="1"/>
  <c r="ED205" i="4" s="1"/>
  <c r="EB205" i="4" a="1"/>
  <c r="EB205" i="4" s="1"/>
  <c r="EE17" i="4"/>
  <c r="EG17" i="4"/>
  <c r="ED16" i="4" l="1"/>
  <c r="EC204" i="4" s="1" a="1"/>
  <c r="EC204" i="4" s="1"/>
  <c r="EH205" i="4" a="1"/>
  <c r="EH205" i="4" s="1"/>
  <c r="EG205" i="4" a="1"/>
  <c r="EG205" i="4" s="1"/>
  <c r="EF205" i="4" a="1"/>
  <c r="EF205" i="4" s="1"/>
  <c r="EI205" i="4" a="1"/>
  <c r="EI205" i="4" s="1"/>
  <c r="EH17" i="4"/>
  <c r="EB204" i="4" l="1" a="1"/>
  <c r="EB204" i="4" s="1"/>
  <c r="EE204" i="4" a="1"/>
  <c r="EE204" i="4" s="1"/>
  <c r="ED204" i="4" a="1"/>
  <c r="ED204" i="4" s="1"/>
  <c r="EE16" i="4"/>
  <c r="EI17" i="4"/>
  <c r="Q17" i="4" s="1" a="1"/>
  <c r="Q17" i="4" s="1"/>
  <c r="EH16" i="4"/>
  <c r="O218" i="3" l="1" a="1"/>
  <c r="O218" i="3" s="1"/>
  <c r="O238" i="3" a="1"/>
  <c r="O238" i="3" s="1"/>
  <c r="O379" i="3" a="1"/>
  <c r="O379" i="3" s="1"/>
  <c r="O246" i="3" a="1"/>
  <c r="O246" i="3" s="1"/>
  <c r="O313" i="3" a="1"/>
  <c r="O313" i="3" s="1"/>
  <c r="O353" i="3" a="1"/>
  <c r="O353" i="3" s="1"/>
  <c r="ED203" i="4" a="1"/>
  <c r="ED203" i="4" s="1"/>
  <c r="EE203" i="4" a="1"/>
  <c r="EE203" i="4" s="1"/>
  <c r="EB203" i="4" a="1"/>
  <c r="EB203" i="4" s="1"/>
  <c r="EC203" i="4" a="1"/>
  <c r="EC203" i="4" s="1"/>
  <c r="O215" i="3" a="1"/>
  <c r="O215" i="3" s="1"/>
  <c r="O359" i="3" a="1"/>
  <c r="O359" i="3" s="1"/>
  <c r="O365" i="3" a="1"/>
  <c r="O365" i="3" s="1"/>
  <c r="O31" i="3" a="1"/>
  <c r="O31" i="3" s="1"/>
  <c r="O217" i="3" a="1"/>
  <c r="O217" i="3" s="1"/>
  <c r="O292" i="3" a="1"/>
  <c r="O292" i="3" s="1"/>
  <c r="O83" i="3" a="1"/>
  <c r="O83" i="3" s="1"/>
  <c r="O258" i="3" a="1"/>
  <c r="O258" i="3" s="1"/>
  <c r="O194" i="3" a="1"/>
  <c r="O194" i="3" s="1"/>
  <c r="O281" i="3" a="1"/>
  <c r="O281" i="3" s="1"/>
  <c r="O290" i="3" a="1"/>
  <c r="O290" i="3" s="1"/>
  <c r="O308" i="3" a="1"/>
  <c r="O308" i="3" s="1"/>
  <c r="O333" i="3" a="1"/>
  <c r="O333" i="3" s="1"/>
  <c r="O35" i="3" a="1"/>
  <c r="O35" i="3" s="1"/>
  <c r="O141" i="3" a="1"/>
  <c r="O141" i="3" s="1"/>
  <c r="O112" i="3" a="1"/>
  <c r="O112" i="3" s="1"/>
  <c r="O366" i="3" a="1"/>
  <c r="O366" i="3" s="1"/>
  <c r="O88" i="3" a="1"/>
  <c r="O88" i="3" s="1"/>
  <c r="O346" i="3" a="1"/>
  <c r="O346" i="3" s="1"/>
  <c r="O326" i="3" a="1"/>
  <c r="O326" i="3" s="1"/>
  <c r="O244" i="3" a="1"/>
  <c r="O244" i="3" s="1"/>
  <c r="O111" i="3" a="1"/>
  <c r="O111" i="3" s="1"/>
  <c r="O212" i="3" a="1"/>
  <c r="O212" i="3" s="1"/>
  <c r="O307" i="3" a="1"/>
  <c r="O307" i="3" s="1"/>
  <c r="O68" i="3" a="1"/>
  <c r="O68" i="3" s="1"/>
  <c r="O367" i="3" a="1"/>
  <c r="O367" i="3" s="1"/>
  <c r="O17" i="3" a="1"/>
  <c r="O17" i="3" s="1"/>
  <c r="O380" i="3" a="1"/>
  <c r="O380" i="3" s="1"/>
  <c r="O129" i="3" a="1"/>
  <c r="O129" i="3" s="1"/>
  <c r="O306" i="3" a="1"/>
  <c r="O306" i="3" s="1"/>
  <c r="O131" i="3" a="1"/>
  <c r="O131" i="3" s="1"/>
  <c r="O26" i="3" a="1"/>
  <c r="O26" i="3" s="1"/>
  <c r="O153" i="3" a="1"/>
  <c r="O153" i="3" s="1"/>
  <c r="O175" i="3" a="1"/>
  <c r="O175" i="3" s="1"/>
  <c r="O96" i="3" a="1"/>
  <c r="O96" i="3" s="1"/>
  <c r="O345" i="3" a="1"/>
  <c r="O345" i="3" s="1"/>
  <c r="O104" i="3" a="1"/>
  <c r="O104" i="3" s="1"/>
  <c r="O192" i="3" a="1"/>
  <c r="O192" i="3" s="1"/>
  <c r="O203" i="3" a="1"/>
  <c r="O203" i="3" s="1"/>
  <c r="O187" i="3" a="1"/>
  <c r="O187" i="3" s="1"/>
  <c r="O198" i="3" a="1"/>
  <c r="O198" i="3" s="1"/>
  <c r="O339" i="3" a="1"/>
  <c r="O339" i="3" s="1"/>
  <c r="O357" i="3" a="1"/>
  <c r="O357" i="3" s="1"/>
  <c r="O51" i="3" a="1"/>
  <c r="O51" i="3" s="1"/>
  <c r="O138" i="3" a="1"/>
  <c r="O138" i="3" s="1"/>
  <c r="O296" i="3" a="1"/>
  <c r="O296" i="3" s="1"/>
  <c r="O298" i="3" a="1"/>
  <c r="O298" i="3" s="1"/>
  <c r="O81" i="3" a="1"/>
  <c r="O81" i="3" s="1"/>
  <c r="O338" i="3" a="1"/>
  <c r="O338" i="3" s="1"/>
  <c r="O349" i="3" a="1"/>
  <c r="O349" i="3" s="1"/>
  <c r="O209" i="3" a="1"/>
  <c r="O209" i="3" s="1"/>
  <c r="O320" i="3" a="1"/>
  <c r="O320" i="3" s="1"/>
  <c r="O150" i="3" a="1"/>
  <c r="O150" i="3" s="1"/>
  <c r="O121" i="3" a="1"/>
  <c r="O121" i="3" s="1"/>
  <c r="O225" i="3" a="1"/>
  <c r="O225" i="3" s="1"/>
  <c r="O18" i="3" a="1"/>
  <c r="O18" i="3" s="1"/>
  <c r="O97" i="3" a="1"/>
  <c r="O97" i="3" s="1"/>
  <c r="O368" i="3" a="1"/>
  <c r="O368" i="3" s="1"/>
  <c r="O377" i="3" a="1"/>
  <c r="O377" i="3" s="1"/>
  <c r="O87" i="3" a="1"/>
  <c r="O87" i="3" s="1"/>
  <c r="O130" i="3" a="1"/>
  <c r="O130" i="3" s="1"/>
  <c r="O220" i="3" a="1"/>
  <c r="O220" i="3" s="1"/>
  <c r="O393" i="3" a="1"/>
  <c r="O393" i="3" s="1"/>
  <c r="O325" i="3" a="1"/>
  <c r="O325" i="3" s="1"/>
  <c r="O282" i="3" a="1"/>
  <c r="O282" i="3" s="1"/>
  <c r="O193" i="3" a="1"/>
  <c r="O193" i="3" s="1"/>
  <c r="O148" i="3" a="1"/>
  <c r="O148" i="3" s="1"/>
  <c r="O132" i="3" a="1"/>
  <c r="O132" i="3" s="1"/>
  <c r="O271" i="3" a="1"/>
  <c r="O271" i="3" s="1"/>
  <c r="O182" i="3" a="1"/>
  <c r="O182" i="3" s="1"/>
  <c r="O348" i="3" a="1"/>
  <c r="O348" i="3" s="1"/>
  <c r="O164" i="3" a="1"/>
  <c r="O164" i="3" s="1"/>
  <c r="O44" i="3" a="1"/>
  <c r="O44" i="3" s="1"/>
  <c r="O396" i="3" a="1"/>
  <c r="O396" i="3" s="1"/>
  <c r="O84" i="3" a="1"/>
  <c r="O84" i="3" s="1"/>
  <c r="O15" i="3" a="1"/>
  <c r="O15" i="3" s="1"/>
  <c r="O80" i="3" a="1"/>
  <c r="O80" i="3" s="1"/>
  <c r="O172" i="3" a="1"/>
  <c r="O172" i="3" s="1"/>
  <c r="O310" i="3" a="1"/>
  <c r="O310" i="3" s="1"/>
  <c r="O247" i="3" a="1"/>
  <c r="O247" i="3" s="1"/>
  <c r="O283" i="3" a="1"/>
  <c r="O283" i="3" s="1"/>
  <c r="O301" i="3" a="1"/>
  <c r="O301" i="3" s="1"/>
  <c r="O91" i="3" a="1"/>
  <c r="O91" i="3" s="1"/>
  <c r="O275" i="3" a="1"/>
  <c r="O275" i="3" s="1"/>
  <c r="O350" i="3" a="1"/>
  <c r="O350" i="3" s="1"/>
  <c r="O128" i="3" a="1"/>
  <c r="O128" i="3" s="1"/>
  <c r="O387" i="3" a="1"/>
  <c r="O387" i="3" s="1"/>
  <c r="O400" i="3" a="1"/>
  <c r="O400" i="3" s="1"/>
  <c r="O173" i="3" a="1"/>
  <c r="O173" i="3" s="1"/>
  <c r="O19" i="3" a="1"/>
  <c r="O19" i="3" s="1"/>
  <c r="O270" i="3" a="1"/>
  <c r="O270" i="3" s="1"/>
  <c r="O197" i="3" a="1"/>
  <c r="O197" i="3" s="1"/>
  <c r="O277" i="3" a="1"/>
  <c r="O277" i="3" s="1"/>
  <c r="O93" i="3" a="1"/>
  <c r="O93" i="3" s="1"/>
  <c r="O50" i="3" a="1"/>
  <c r="O50" i="3" s="1"/>
  <c r="O162" i="3" a="1"/>
  <c r="O162" i="3" s="1"/>
  <c r="O64" i="3" a="1"/>
  <c r="O64" i="3" s="1"/>
  <c r="O248" i="3" a="1"/>
  <c r="O248" i="3" s="1"/>
  <c r="O22" i="3" a="1"/>
  <c r="O22" i="3" s="1"/>
  <c r="O370" i="3" a="1"/>
  <c r="O370" i="3" s="1"/>
  <c r="O92" i="3" a="1"/>
  <c r="O92" i="3" s="1"/>
  <c r="O315" i="3" a="1"/>
  <c r="O315" i="3" s="1"/>
  <c r="O109" i="3" a="1"/>
  <c r="O109" i="3" s="1"/>
  <c r="O45" i="3" a="1"/>
  <c r="O45" i="3" s="1"/>
  <c r="O169" i="3" a="1"/>
  <c r="O169" i="3" s="1"/>
  <c r="O155" i="3" a="1"/>
  <c r="O155" i="3" s="1"/>
  <c r="O38" i="3" a="1"/>
  <c r="O38" i="3" s="1"/>
  <c r="O288" i="3" a="1"/>
  <c r="O288" i="3" s="1"/>
  <c r="O23" i="3" a="1"/>
  <c r="O23" i="3" s="1"/>
  <c r="O241" i="3" a="1"/>
  <c r="O241" i="3" s="1"/>
  <c r="O46" i="3" a="1"/>
  <c r="O46" i="3" s="1"/>
  <c r="O394" i="3" a="1"/>
  <c r="O394" i="3" s="1"/>
  <c r="O82" i="3" a="1"/>
  <c r="O82" i="3" s="1"/>
  <c r="O66" i="3" a="1"/>
  <c r="O66" i="3" s="1"/>
  <c r="O13" i="3" a="1"/>
  <c r="O13" i="3" s="1"/>
  <c r="O185" i="3" a="1"/>
  <c r="O185" i="3" s="1"/>
  <c r="O39" i="3" a="1"/>
  <c r="O39" i="3" s="1"/>
  <c r="O285" i="3" a="1"/>
  <c r="O285" i="3" s="1"/>
  <c r="O255" i="3" a="1"/>
  <c r="O255" i="3" s="1"/>
  <c r="O340" i="3" a="1"/>
  <c r="O340" i="3" s="1"/>
  <c r="O286" i="3" a="1"/>
  <c r="O286" i="3" s="1"/>
  <c r="O267" i="3" a="1"/>
  <c r="O267" i="3" s="1"/>
  <c r="O234" i="3" a="1"/>
  <c r="O234" i="3" s="1"/>
  <c r="O5" i="3" a="1"/>
  <c r="O5" i="3" s="1"/>
  <c r="O304" i="3" a="1"/>
  <c r="O304" i="3" s="1"/>
  <c r="O395" i="3" a="1"/>
  <c r="O395" i="3" s="1"/>
  <c r="O224" i="3" a="1"/>
  <c r="O224" i="3" s="1"/>
  <c r="O336" i="3" a="1"/>
  <c r="O336" i="3" s="1"/>
  <c r="O16" i="3" a="1"/>
  <c r="O16" i="3" s="1"/>
  <c r="O318" i="3" a="1"/>
  <c r="O318" i="3" s="1"/>
  <c r="O27" i="3" a="1"/>
  <c r="O27" i="3" s="1"/>
  <c r="O195" i="3" a="1"/>
  <c r="O195" i="3" s="1"/>
  <c r="O362" i="3" a="1"/>
  <c r="O362" i="3" s="1"/>
  <c r="O32" i="3" a="1"/>
  <c r="O32" i="3" s="1"/>
  <c r="O293" i="3" a="1"/>
  <c r="O293" i="3" s="1"/>
  <c r="O284" i="3" a="1"/>
  <c r="O284" i="3" s="1"/>
  <c r="O360" i="3" a="1"/>
  <c r="O360" i="3" s="1"/>
  <c r="O108" i="3" a="1"/>
  <c r="O108" i="3" s="1"/>
  <c r="O117" i="3" a="1"/>
  <c r="O117" i="3" s="1"/>
  <c r="O199" i="3" a="1"/>
  <c r="O199" i="3" s="1"/>
  <c r="O43" i="3" a="1"/>
  <c r="O43" i="3" s="1"/>
  <c r="O55" i="3" a="1"/>
  <c r="O55" i="3" s="1"/>
  <c r="O250" i="3" a="1"/>
  <c r="O250" i="3" s="1"/>
  <c r="O85" i="3" a="1"/>
  <c r="O85" i="3" s="1"/>
  <c r="O369" i="3" a="1"/>
  <c r="O369" i="3" s="1"/>
  <c r="O176" i="3" a="1"/>
  <c r="O176" i="3" s="1"/>
  <c r="O237" i="3" a="1"/>
  <c r="O237" i="3" s="1"/>
  <c r="O229" i="3" a="1"/>
  <c r="O229" i="3" s="1"/>
  <c r="O3" i="3" a="1"/>
  <c r="O3" i="3" s="1"/>
  <c r="O399" i="3" a="1"/>
  <c r="O399" i="3" s="1"/>
  <c r="O171" i="3" a="1"/>
  <c r="O171" i="3" s="1"/>
  <c r="O115" i="3" a="1"/>
  <c r="O115" i="3" s="1"/>
  <c r="O252" i="3" a="1"/>
  <c r="O252" i="3" s="1"/>
  <c r="O351" i="3" a="1"/>
  <c r="O351" i="3" s="1"/>
  <c r="O278" i="3" a="1"/>
  <c r="O278" i="3" s="1"/>
  <c r="O210" i="3" a="1"/>
  <c r="O210" i="3" s="1"/>
  <c r="O331" i="3" a="1"/>
  <c r="O331" i="3" s="1"/>
  <c r="O147" i="3" a="1"/>
  <c r="O147" i="3" s="1"/>
  <c r="O239" i="3" a="1"/>
  <c r="O239" i="3" s="1"/>
  <c r="O119" i="3" a="1"/>
  <c r="O119" i="3" s="1"/>
  <c r="O341" i="3" a="1"/>
  <c r="O341" i="3" s="1"/>
  <c r="O180" i="3" a="1"/>
  <c r="O180" i="3" s="1"/>
  <c r="O354" i="3" a="1"/>
  <c r="O354" i="3" s="1"/>
  <c r="O384" i="3" a="1"/>
  <c r="O384" i="3" s="1"/>
  <c r="O375" i="3" a="1"/>
  <c r="O375" i="3" s="1"/>
  <c r="O364" i="3" a="1"/>
  <c r="O364" i="3" s="1"/>
  <c r="O200" i="3" a="1"/>
  <c r="O200" i="3" s="1"/>
  <c r="O383" i="3" a="1"/>
  <c r="O383" i="3" s="1"/>
  <c r="O9" i="3" a="1"/>
  <c r="O9" i="3" s="1"/>
  <c r="O149" i="3" a="1"/>
  <c r="O149" i="3" s="1"/>
  <c r="O382" i="3" a="1"/>
  <c r="O382" i="3" s="1"/>
  <c r="O208" i="3" a="1"/>
  <c r="O208" i="3" s="1"/>
  <c r="O312" i="3" a="1"/>
  <c r="O312" i="3" s="1"/>
  <c r="O28" i="3" a="1"/>
  <c r="O28" i="3" s="1"/>
  <c r="O72" i="3" a="1"/>
  <c r="O72" i="3" s="1"/>
  <c r="O249" i="3" a="1"/>
  <c r="O249" i="3" s="1"/>
  <c r="O381" i="3" a="1"/>
  <c r="O381" i="3" s="1"/>
  <c r="O146" i="3" a="1"/>
  <c r="O146" i="3" s="1"/>
  <c r="O152" i="3" a="1"/>
  <c r="O152" i="3" s="1"/>
  <c r="O99" i="3" a="1"/>
  <c r="O99" i="3" s="1"/>
  <c r="O122" i="3" a="1"/>
  <c r="O122" i="3" s="1"/>
  <c r="O323" i="3" a="1"/>
  <c r="O323" i="3" s="1"/>
  <c r="O262" i="3" a="1"/>
  <c r="O262" i="3" s="1"/>
  <c r="O163" i="3" a="1"/>
  <c r="O163" i="3" s="1"/>
  <c r="O120" i="3" a="1"/>
  <c r="O120" i="3" s="1"/>
  <c r="O230" i="3" a="1"/>
  <c r="O230" i="3" s="1"/>
  <c r="O144" i="3" a="1"/>
  <c r="O144" i="3" s="1"/>
  <c r="O243" i="3" a="1"/>
  <c r="O243" i="3" s="1"/>
  <c r="O177" i="3" a="1"/>
  <c r="O177" i="3" s="1"/>
  <c r="O191" i="3" a="1"/>
  <c r="O191" i="3" s="1"/>
  <c r="O73" i="3" a="1"/>
  <c r="O73" i="3" s="1"/>
  <c r="O56" i="3" a="1"/>
  <c r="O56" i="3" s="1"/>
  <c r="O190" i="3" a="1"/>
  <c r="O190" i="3" s="1"/>
  <c r="O373" i="3" a="1"/>
  <c r="O373" i="3" s="1"/>
  <c r="O317" i="3" a="1"/>
  <c r="O317" i="3" s="1"/>
  <c r="O256" i="3" a="1"/>
  <c r="O256" i="3" s="1"/>
  <c r="O127" i="3" a="1"/>
  <c r="O127" i="3" s="1"/>
  <c r="O34" i="3" a="1"/>
  <c r="O34" i="3" s="1"/>
  <c r="O295" i="3" a="1"/>
  <c r="O295" i="3" s="1"/>
  <c r="O12" i="3" a="1"/>
  <c r="O12" i="3" s="1"/>
  <c r="O75" i="3" a="1"/>
  <c r="O75" i="3" s="1"/>
  <c r="O235" i="3" a="1"/>
  <c r="O235" i="3" s="1"/>
  <c r="O391" i="3" a="1"/>
  <c r="O391" i="3" s="1"/>
  <c r="O53" i="3" a="1"/>
  <c r="O53" i="3" s="1"/>
  <c r="O371" i="3" a="1"/>
  <c r="O371" i="3" s="1"/>
  <c r="O178" i="3" a="1"/>
  <c r="O178" i="3" s="1"/>
  <c r="O103" i="3" a="1"/>
  <c r="O103" i="3" s="1"/>
  <c r="O363" i="3" a="1"/>
  <c r="O363" i="3" s="1"/>
  <c r="O378" i="3" a="1"/>
  <c r="O378" i="3" s="1"/>
  <c r="O30" i="3" a="1"/>
  <c r="O30" i="3" s="1"/>
  <c r="O253" i="3" a="1"/>
  <c r="O253" i="3" s="1"/>
  <c r="O332" i="3" a="1"/>
  <c r="O332" i="3" s="1"/>
  <c r="O280" i="3" a="1"/>
  <c r="O280" i="3" s="1"/>
  <c r="O186" i="3" a="1"/>
  <c r="O186" i="3" s="1"/>
  <c r="O184" i="3" a="1"/>
  <c r="O184" i="3" s="1"/>
  <c r="O110" i="3" a="1"/>
  <c r="O110" i="3" s="1"/>
  <c r="O90" i="3" a="1"/>
  <c r="O90" i="3" s="1"/>
  <c r="O60" i="3" a="1"/>
  <c r="O60" i="3" s="1"/>
  <c r="O136" i="3" a="1"/>
  <c r="O136" i="3" s="1"/>
  <c r="O334" i="3" a="1"/>
  <c r="O334" i="3" s="1"/>
  <c r="O142" i="3" a="1"/>
  <c r="O142" i="3" s="1"/>
  <c r="O37" i="3" a="1"/>
  <c r="O37" i="3" s="1"/>
  <c r="O245" i="3" a="1"/>
  <c r="O245" i="3" s="1"/>
  <c r="O221" i="3" a="1"/>
  <c r="O221" i="3" s="1"/>
  <c r="O134" i="3" a="1"/>
  <c r="O134" i="3" s="1"/>
  <c r="O261" i="3" a="1"/>
  <c r="O261" i="3" s="1"/>
  <c r="O291" i="3" a="1"/>
  <c r="O291" i="3" s="1"/>
  <c r="O113" i="3" a="1"/>
  <c r="O113" i="3" s="1"/>
  <c r="O107" i="3" a="1"/>
  <c r="O107" i="3" s="1"/>
  <c r="O289" i="3" a="1"/>
  <c r="O289" i="3" s="1"/>
  <c r="O222" i="3" a="1"/>
  <c r="O222" i="3" s="1"/>
  <c r="O300" i="3" a="1"/>
  <c r="O300" i="3" s="1"/>
  <c r="O352" i="3" a="1"/>
  <c r="O352" i="3" s="1"/>
  <c r="O123" i="3" a="1"/>
  <c r="O123" i="3" s="1"/>
  <c r="O24" i="3" a="1"/>
  <c r="O24" i="3" s="1"/>
  <c r="O70" i="3" a="1"/>
  <c r="O70" i="3" s="1"/>
  <c r="O59" i="3" a="1"/>
  <c r="O59" i="3" s="1"/>
  <c r="O118" i="3" a="1"/>
  <c r="O118" i="3" s="1"/>
  <c r="O57" i="3" a="1"/>
  <c r="O57" i="3" s="1"/>
  <c r="O374" i="3" a="1"/>
  <c r="O374" i="3" s="1"/>
  <c r="O189" i="3" a="1"/>
  <c r="O189" i="3" s="1"/>
  <c r="O265" i="3" a="1"/>
  <c r="O265" i="3" s="1"/>
  <c r="O47" i="3" a="1"/>
  <c r="O47" i="3" s="1"/>
  <c r="O206" i="3" a="1"/>
  <c r="O206" i="3" s="1"/>
  <c r="O219" i="3" a="1"/>
  <c r="O219" i="3" s="1"/>
  <c r="O71" i="3" a="1"/>
  <c r="O71" i="3" s="1"/>
  <c r="O183" i="3" a="1"/>
  <c r="O183" i="3" s="1"/>
  <c r="O236" i="3" a="1"/>
  <c r="O236" i="3" s="1"/>
  <c r="O58" i="3" a="1"/>
  <c r="O58" i="3" s="1"/>
  <c r="O157" i="3" a="1"/>
  <c r="O157" i="3" s="1"/>
  <c r="O294" i="3" a="1"/>
  <c r="O294" i="3" s="1"/>
  <c r="O358" i="3" a="1"/>
  <c r="O358" i="3" s="1"/>
  <c r="O181" i="3" a="1"/>
  <c r="O181" i="3" s="1"/>
  <c r="O319" i="3" a="1"/>
  <c r="O319" i="3" s="1"/>
  <c r="O160" i="3" a="1"/>
  <c r="O160" i="3" s="1"/>
  <c r="O49" i="3" a="1"/>
  <c r="O49" i="3" s="1"/>
  <c r="O98" i="3" a="1"/>
  <c r="O98" i="3" s="1"/>
  <c r="O372" i="3" a="1"/>
  <c r="O372" i="3" s="1"/>
  <c r="O240" i="3" a="1"/>
  <c r="O240" i="3" s="1"/>
  <c r="O321" i="3" a="1"/>
  <c r="O321" i="3" s="1"/>
  <c r="O232" i="3" a="1"/>
  <c r="O232" i="3" s="1"/>
  <c r="O297" i="3" a="1"/>
  <c r="O297" i="3" s="1"/>
  <c r="O14" i="3" a="1"/>
  <c r="O14" i="3" s="1"/>
  <c r="O188" i="3" a="1"/>
  <c r="O188" i="3" s="1"/>
  <c r="O385" i="3" a="1"/>
  <c r="O385" i="3" s="1"/>
  <c r="O42" i="3" a="1"/>
  <c r="O42" i="3" s="1"/>
  <c r="O233" i="3" a="1"/>
  <c r="O233" i="3" s="1"/>
  <c r="O102" i="3" a="1"/>
  <c r="O102" i="3" s="1"/>
  <c r="O25" i="3" a="1"/>
  <c r="O25" i="3" s="1"/>
  <c r="O398" i="3" a="1"/>
  <c r="O398" i="3" s="1"/>
  <c r="O344" i="3" a="1"/>
  <c r="O344" i="3" s="1"/>
  <c r="O263" i="3" a="1"/>
  <c r="O263" i="3" s="1"/>
  <c r="O116" i="3" a="1"/>
  <c r="O116" i="3" s="1"/>
  <c r="O126" i="3" a="1"/>
  <c r="O126" i="3" s="1"/>
  <c r="O6" i="3" a="1"/>
  <c r="O6" i="3" s="1"/>
  <c r="O264" i="3" a="1"/>
  <c r="O264" i="3" s="1"/>
  <c r="O165" i="3" a="1"/>
  <c r="O165" i="3" s="1"/>
  <c r="O158" i="3" a="1"/>
  <c r="O158" i="3" s="1"/>
  <c r="O78" i="3" a="1"/>
  <c r="O78" i="3" s="1"/>
  <c r="O337" i="3" a="1"/>
  <c r="O337" i="3" s="1"/>
  <c r="O272" i="3" a="1"/>
  <c r="O272" i="3" s="1"/>
  <c r="O279" i="3" a="1"/>
  <c r="O279" i="3" s="1"/>
  <c r="O260" i="3" a="1"/>
  <c r="O260" i="3" s="1"/>
  <c r="O202" i="3" a="1"/>
  <c r="O202" i="3" s="1"/>
  <c r="O299" i="3" a="1"/>
  <c r="O299" i="3" s="1"/>
  <c r="O329" i="3" a="1"/>
  <c r="O329" i="3" s="1"/>
  <c r="O143" i="3" a="1"/>
  <c r="O143" i="3" s="1"/>
  <c r="O33" i="3" a="1"/>
  <c r="O33" i="3" s="1"/>
  <c r="O266" i="3" a="1"/>
  <c r="O266" i="3" s="1"/>
  <c r="O196" i="3" a="1"/>
  <c r="O196" i="3" s="1"/>
  <c r="O361" i="3" a="1"/>
  <c r="O361" i="3" s="1"/>
  <c r="O106" i="3" a="1"/>
  <c r="O106" i="3" s="1"/>
  <c r="O174" i="3" a="1"/>
  <c r="O174" i="3" s="1"/>
  <c r="O29" i="3" a="1"/>
  <c r="O29" i="3" s="1"/>
  <c r="O388" i="3" a="1"/>
  <c r="O388" i="3" s="1"/>
  <c r="O376" i="3" a="1"/>
  <c r="O376" i="3" s="1"/>
  <c r="O62" i="3" a="1"/>
  <c r="O62" i="3" s="1"/>
  <c r="O259" i="3" a="1"/>
  <c r="O259" i="3" s="1"/>
  <c r="O342" i="3" a="1"/>
  <c r="O342" i="3" s="1"/>
  <c r="O397" i="3" a="1"/>
  <c r="O397" i="3" s="1"/>
  <c r="O226" i="3" a="1"/>
  <c r="O226" i="3" s="1"/>
  <c r="O316" i="3" a="1"/>
  <c r="O316" i="3" s="1"/>
  <c r="O161" i="3" a="1"/>
  <c r="O161" i="3" s="1"/>
  <c r="O79" i="3" a="1"/>
  <c r="O79" i="3" s="1"/>
  <c r="O227" i="3" a="1"/>
  <c r="O227" i="3" s="1"/>
  <c r="O356" i="3" a="1"/>
  <c r="O356" i="3" s="1"/>
  <c r="O390" i="3" a="1"/>
  <c r="O390" i="3" s="1"/>
  <c r="O114" i="3" a="1"/>
  <c r="O114" i="3" s="1"/>
  <c r="O242" i="3" a="1"/>
  <c r="O242" i="3" s="1"/>
  <c r="O76" i="3" a="1"/>
  <c r="O76" i="3" s="1"/>
  <c r="O124" i="3" a="1"/>
  <c r="O124" i="3" s="1"/>
  <c r="O179" i="3" a="1"/>
  <c r="O179" i="3" s="1"/>
  <c r="O54" i="3" a="1"/>
  <c r="O54" i="3" s="1"/>
  <c r="O314" i="3" a="1"/>
  <c r="O314" i="3" s="1"/>
  <c r="O137" i="3" a="1"/>
  <c r="O137" i="3" s="1"/>
  <c r="O389" i="3" a="1"/>
  <c r="O389" i="3" s="1"/>
  <c r="O133" i="3" a="1"/>
  <c r="O133" i="3" s="1"/>
  <c r="O159" i="3" a="1"/>
  <c r="O159" i="3" s="1"/>
  <c r="O154" i="3" a="1"/>
  <c r="O154" i="3" s="1"/>
  <c r="O311" i="3" a="1"/>
  <c r="O311" i="3" s="1"/>
  <c r="O251" i="3" a="1"/>
  <c r="O251" i="3" s="1"/>
  <c r="O274" i="3" a="1"/>
  <c r="O274" i="3" s="1"/>
  <c r="O151" i="3" a="1"/>
  <c r="O151" i="3" s="1"/>
  <c r="O170" i="3" a="1"/>
  <c r="O170" i="3" s="1"/>
  <c r="O302" i="3" a="1"/>
  <c r="O302" i="3" s="1"/>
  <c r="O287" i="3" a="1"/>
  <c r="O287" i="3" s="1"/>
  <c r="O269" i="3" a="1"/>
  <c r="O269" i="3" s="1"/>
  <c r="O309" i="3" a="1"/>
  <c r="O309" i="3" s="1"/>
  <c r="O77" i="3" a="1"/>
  <c r="O77" i="3" s="1"/>
  <c r="O347" i="3" a="1"/>
  <c r="O347" i="3" s="1"/>
  <c r="O322" i="3" a="1"/>
  <c r="O322" i="3" s="1"/>
  <c r="O254" i="3" a="1"/>
  <c r="O254" i="3" s="1"/>
  <c r="O95" i="3" a="1"/>
  <c r="O95" i="3" s="1"/>
  <c r="O205" i="3" a="1"/>
  <c r="O205" i="3" s="1"/>
  <c r="O231" i="3" a="1"/>
  <c r="O231" i="3" s="1"/>
  <c r="O328" i="3" a="1"/>
  <c r="O328" i="3" s="1"/>
  <c r="O273" i="3" a="1"/>
  <c r="O273" i="3" s="1"/>
  <c r="O41" i="3" a="1"/>
  <c r="O41" i="3" s="1"/>
  <c r="O268" i="3" a="1"/>
  <c r="O268" i="3" s="1"/>
  <c r="O228" i="3" a="1"/>
  <c r="O228" i="3" s="1"/>
  <c r="O140" i="3" a="1"/>
  <c r="O140" i="3" s="1"/>
  <c r="O145" i="3" a="1"/>
  <c r="O145" i="3" s="1"/>
  <c r="O94" i="3" a="1"/>
  <c r="O94" i="3" s="1"/>
  <c r="O168" i="3" a="1"/>
  <c r="O168" i="3" s="1"/>
  <c r="O40" i="3" a="1"/>
  <c r="O40" i="3" s="1"/>
  <c r="O86" i="3" a="1"/>
  <c r="O86" i="3" s="1"/>
  <c r="O257" i="3" a="1"/>
  <c r="O257" i="3" s="1"/>
  <c r="O223" i="3" a="1"/>
  <c r="O223" i="3" s="1"/>
  <c r="O355" i="3" a="1"/>
  <c r="O355" i="3" s="1"/>
  <c r="O305" i="3" a="1"/>
  <c r="O305" i="3" s="1"/>
  <c r="O105" i="3" a="1"/>
  <c r="O105" i="3" s="1"/>
  <c r="O330" i="3" a="1"/>
  <c r="O330" i="3" s="1"/>
  <c r="O125" i="3" a="1"/>
  <c r="O125" i="3" s="1"/>
  <c r="O303" i="3" a="1"/>
  <c r="O303" i="3" s="1"/>
  <c r="O327" i="3" a="1"/>
  <c r="O327" i="3" s="1"/>
  <c r="O204" i="3" a="1"/>
  <c r="O204" i="3" s="1"/>
  <c r="O207" i="3" a="1"/>
  <c r="O207" i="3" s="1"/>
  <c r="O335" i="3" a="1"/>
  <c r="O335" i="3" s="1"/>
  <c r="O63" i="3" a="1"/>
  <c r="O63" i="3" s="1"/>
  <c r="O201" i="3" a="1"/>
  <c r="O201" i="3" s="1"/>
  <c r="O89" i="3" a="1"/>
  <c r="O89" i="3" s="1"/>
  <c r="O65" i="3" a="1"/>
  <c r="O65" i="3" s="1"/>
  <c r="O48" i="3" a="1"/>
  <c r="O48" i="3" s="1"/>
  <c r="O276" i="3" a="1"/>
  <c r="O276" i="3" s="1"/>
  <c r="O386" i="3" a="1"/>
  <c r="O386" i="3" s="1"/>
  <c r="O324" i="3" a="1"/>
  <c r="O324" i="3" s="1"/>
  <c r="O139" i="3" a="1"/>
  <c r="O139" i="3" s="1"/>
  <c r="O167" i="3" a="1"/>
  <c r="O167" i="3" s="1"/>
  <c r="EG204" i="4" a="1"/>
  <c r="EG204" i="4" s="1"/>
  <c r="EF204" i="4" a="1"/>
  <c r="EF204" i="4" s="1"/>
  <c r="EI204" i="4" a="1"/>
  <c r="EI204" i="4" s="1"/>
  <c r="EH204" i="4" a="1"/>
  <c r="EH204" i="4" s="1"/>
  <c r="EI16" i="4"/>
  <c r="EH203" i="4" l="1" a="1"/>
  <c r="EH203" i="4" s="1"/>
  <c r="EG203" i="4" a="1"/>
  <c r="EG203" i="4" s="1"/>
  <c r="EF203" i="4" a="1"/>
  <c r="EF203" i="4" s="1"/>
  <c r="EI203" i="4" a="1"/>
  <c r="EI203"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Stefano</author>
  </authors>
  <commentList>
    <comment ref="F1371" authorId="0" shapeId="0" xr:uid="{B2D754EC-80ED-4EB6-AC1B-6CF9D35EA676}">
      <text>
        <r>
          <rPr>
            <b/>
            <sz val="9"/>
            <color indexed="81"/>
            <rFont val="Tahoma"/>
            <family val="2"/>
          </rPr>
          <t>Stefano:</t>
        </r>
        <r>
          <rPr>
            <sz val="9"/>
            <color indexed="81"/>
            <rFont val="Tahoma"/>
            <family val="2"/>
          </rPr>
          <t xml:space="preserve">
Lim 98.60 VT: 21.4.23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T1" authorId="0" shapeId="0" xr:uid="{AD21179C-E58C-4196-A0E3-DF25F8ACBD46}">
      <text>
        <r>
          <rPr>
            <b/>
            <sz val="9"/>
            <color indexed="81"/>
            <rFont val="Tahoma"/>
            <family val="2"/>
          </rPr>
          <t xml:space="preserve">Commissioni addebitate:
</t>
        </r>
        <r>
          <rPr>
            <sz val="9"/>
            <color indexed="81"/>
            <rFont val="Tahoma"/>
            <family val="2"/>
          </rPr>
          <t xml:space="preserve">19.06.19 6'456.25
</t>
        </r>
      </text>
    </comment>
    <comment ref="AT2" authorId="0" shapeId="0" xr:uid="{EE63592B-BAA4-4848-AE72-D0F2BE0E2C6C}">
      <text>
        <r>
          <rPr>
            <b/>
            <sz val="9"/>
            <color indexed="81"/>
            <rFont val="Tahoma"/>
            <family val="2"/>
          </rPr>
          <t>Aggiornamento:</t>
        </r>
        <r>
          <rPr>
            <sz val="9"/>
            <color indexed="81"/>
            <rFont val="Tahoma"/>
            <family val="2"/>
          </rPr>
          <t xml:space="preserve">
16.12.19</t>
        </r>
      </text>
    </comment>
    <comment ref="AA11" authorId="0" shapeId="0" xr:uid="{A081FFFC-84B4-4D5D-9506-2DB9F4B87F0B}">
      <text>
        <r>
          <rPr>
            <sz val="10"/>
            <color indexed="81"/>
            <rFont val="Calibri"/>
            <family val="2"/>
            <scheme val="minor"/>
          </rPr>
          <t xml:space="preserve">2025  +  9.27%
2024  +  8.39%
2023  +  2.26%
2022  -11.05%
2021  +  3.63%
2020  +  7.75%
2019  +  7.16%
2018  -  9.10%
2017  +  2.71%
2016  +  0.01%
 </t>
        </r>
      </text>
    </comment>
    <comment ref="AT11" authorId="0" shapeId="0" xr:uid="{AE51C638-5F69-44AA-83AD-D9E9E5A7B8C4}">
      <text>
        <r>
          <rPr>
            <sz val="9"/>
            <color indexed="81"/>
            <rFont val="Tahoma"/>
            <family val="2"/>
          </rPr>
          <t>2025 +  8.22%
2024 + 10.06%
2023 +  1.22%
2022 - 10.26%
2021 +  5.46%
2020 +  3.98%
2019 +  5.35%
2018 -   9.33%
2017 +  6.78%
2016 +  3.99%</t>
        </r>
      </text>
    </comment>
    <comment ref="BM11" authorId="0" shapeId="0" xr:uid="{6CF9500A-2D65-4474-9A04-CB0FBD3FF11B}">
      <text>
        <r>
          <rPr>
            <sz val="9"/>
            <color indexed="81"/>
            <rFont val="Tahoma"/>
            <family val="2"/>
          </rPr>
          <t>2025 + 11.80%
2024 +  9.32%
2023 + 1.72%
2022 -10.86%
2021 + 5.82%
2020 + 3.93%
2019 + 6.66%
2018 -10.02%
2017 + 6.77%
2016 + 5.14%</t>
        </r>
      </text>
    </comment>
    <comment ref="CF11" authorId="0" shapeId="0" xr:uid="{E266567D-7390-4370-A5DB-A4B1CC954646}">
      <text>
        <r>
          <rPr>
            <sz val="9"/>
            <color indexed="81"/>
            <rFont val="Tahoma"/>
            <family val="2"/>
          </rPr>
          <t xml:space="preserve">2025 +  9.78%
2024 + 8.76%
2023 + 2.03%
2022 -  9.85%
2021 + 3.83%
2020 + 4.14%
2019 + 9.78%
2018 -  8.28%
2017 + 6.12%
2016 + 2.31%
</t>
        </r>
      </text>
    </comment>
    <comment ref="CY11" authorId="0" shapeId="0" xr:uid="{FC97FA51-0C52-441A-995C-A9D3C219FEBC}">
      <text>
        <r>
          <rPr>
            <sz val="9"/>
            <color indexed="81"/>
            <rFont val="Tahoma"/>
            <family val="2"/>
          </rPr>
          <t>2023 +  0.85%
2022  -  9.58%
2021 +  3.42%
2020  -  0.04%
2019 +  5.45%
2018 - 10.17%</t>
        </r>
      </text>
    </comment>
    <comment ref="DR11" authorId="0" shapeId="0" xr:uid="{18D1801C-21B8-49E6-8225-2349DEE9E14B}">
      <text>
        <r>
          <rPr>
            <sz val="9"/>
            <color indexed="81"/>
            <rFont val="Tahoma"/>
            <family val="2"/>
          </rPr>
          <t>2023 +  0.85%
2022  -  9.58%
2021 +  3.42%
2020  -  0.04%
2019 +  5.45%
2018 - 10.17%</t>
        </r>
      </text>
    </comment>
    <comment ref="EJ11" authorId="0" shapeId="0" xr:uid="{87D8E359-E69E-4E46-88B7-C5AF164F88EC}">
      <text>
        <r>
          <rPr>
            <sz val="9"/>
            <color indexed="81"/>
            <rFont val="Tahoma"/>
            <family val="2"/>
          </rPr>
          <t>2025 +  9.07% (solo BdS)
2024 +  9.28% (100% UBS)
2023 +  3.80%
2022 - 11.31%
2021 +  2.76%
2020 +  1.88%
2019 +  8.29%
2018 - 14.89%
2017 + 8.58%
2016 +12.08%</t>
        </r>
      </text>
    </comment>
    <comment ref="FC11" authorId="0" shapeId="0" xr:uid="{F006206D-9532-43C4-8CD9-D34115B2F89C}">
      <text>
        <r>
          <rPr>
            <sz val="9"/>
            <color indexed="81"/>
            <rFont val="Tahoma"/>
            <family val="2"/>
          </rPr>
          <t>2025 +14.64%
2024 +  8.93%
2023 + 2.12%
2022 -  3.08%
2021 + 3.40%
2020 + 3.26%
2019 + 7.95%
2018 -  5.12%
2017 + 3.72%</t>
        </r>
      </text>
    </comment>
    <comment ref="DR17" authorId="0" shapeId="0" xr:uid="{D26B8CD2-2130-4ABE-9600-5C8F04C05683}">
      <text>
        <r>
          <rPr>
            <sz val="8"/>
            <color indexed="81"/>
            <rFont val="Calibri"/>
            <family val="2"/>
          </rPr>
          <t xml:space="preserve">-29700 @ 1.00 al 28.01.26 15:34
</t>
        </r>
      </text>
    </comment>
    <comment ref="BM18" authorId="0" shapeId="0" xr:uid="{317B6F9F-0FA0-4BFF-9C25-83A54F098978}">
      <text>
        <r>
          <rPr>
            <sz val="8"/>
            <color indexed="81"/>
            <rFont val="Calibri"/>
            <family val="2"/>
          </rPr>
          <t>-5000 @ 1.00 al 27.01.25 16:38
4600 @ 1.00 al 26.06.25 16:53</t>
        </r>
      </text>
    </comment>
    <comment ref="CF18" authorId="0" shapeId="0" xr:uid="{003C88E8-B372-4BE0-9337-002D77C145F9}">
      <text>
        <r>
          <rPr>
            <sz val="8"/>
            <color indexed="81"/>
            <rFont val="Calibri"/>
            <family val="2"/>
          </rPr>
          <t>-30000 @ 0.9673 al 12.04.24 17:16
24880 @ 1.00 al 29.01.25 11:40</t>
        </r>
      </text>
    </comment>
    <comment ref="CY18" authorId="0" shapeId="0" xr:uid="{28334545-8576-4471-90BD-FE391139C1E9}">
      <text>
        <r>
          <rPr>
            <sz val="8"/>
            <color indexed="81"/>
            <rFont val="Calibri"/>
            <family val="2"/>
          </rPr>
          <t>-150000 @ 1.00 al 03.03.26 16:09</t>
        </r>
      </text>
    </comment>
    <comment ref="DR18" authorId="0" shapeId="0" xr:uid="{B548BCFA-4752-43CF-A430-71DA21449239}">
      <text>
        <r>
          <rPr>
            <sz val="8"/>
            <color indexed="81"/>
            <rFont val="Calibri"/>
            <family val="2"/>
          </rPr>
          <t xml:space="preserve">30000 @ 1.00 al 28.01.26 15:34
</t>
        </r>
      </text>
    </comment>
    <comment ref="EJ18" authorId="0" shapeId="0" xr:uid="{2F3417C6-8E96-4457-B7DA-FC2B05E0405B}">
      <text>
        <r>
          <rPr>
            <sz val="8"/>
            <color indexed="81"/>
            <rFont val="Calibri"/>
            <family val="2"/>
          </rPr>
          <t>5000 @  al 30.03.21 16:14
5000 @ 1 al 07.06.21 16:04</t>
        </r>
      </text>
    </comment>
    <comment ref="FC18" authorId="0" shapeId="0" xr:uid="{2ED7AEB6-E8EE-420B-AEA3-258842216BD6}">
      <text>
        <r>
          <rPr>
            <sz val="8"/>
            <color indexed="81"/>
            <rFont val="Calibri"/>
            <family val="2"/>
          </rPr>
          <t>-410000 @ 1.00 al 10.12.25 10:38</t>
        </r>
      </text>
    </comment>
    <comment ref="AA19" authorId="0" shapeId="0" xr:uid="{1D1C499B-AABF-40D5-BD60-844D57BA8676}">
      <text>
        <r>
          <rPr>
            <sz val="8"/>
            <color indexed="81"/>
            <rFont val="Calibri"/>
            <family val="2"/>
          </rPr>
          <t>35000 @  al 05.05.21 11:01
20000 @ 1 al 22.03.22 17:21</t>
        </r>
      </text>
    </comment>
    <comment ref="AT19" authorId="0" shapeId="0" xr:uid="{EDCE4EE4-3398-49D7-A855-5E514A255C4C}">
      <text>
        <r>
          <rPr>
            <sz val="8"/>
            <color indexed="81"/>
            <rFont val="Calibri"/>
            <family val="2"/>
          </rPr>
          <t>-10000 @ 1.00 al 14.06.24 17:05
-70000 @ 1.00 al 25.02.26 16:28</t>
        </r>
      </text>
    </comment>
    <comment ref="BM19" authorId="0" shapeId="0" xr:uid="{29BB3330-0E26-4ACF-81B7-A630EAE0B677}">
      <text>
        <r>
          <rPr>
            <sz val="8"/>
            <color indexed="81"/>
            <rFont val="Calibri"/>
            <family val="2"/>
          </rPr>
          <t>-12000 @  al 09.09.20 09:47
5000 @ 1 al 09.06.21 17:23
15000 @ 1 al 22.03.22 17:21
-8296.50606474593 @ 1.00 al 24.09.23 20:55
-5000 @ 1.00 al 02.09.25 14:09</t>
        </r>
      </text>
    </comment>
    <comment ref="CF19" authorId="0" shapeId="0" xr:uid="{E8508C5A-1870-4C31-9EC6-FCEE9CD77F47}">
      <text>
        <r>
          <rPr>
            <sz val="8"/>
            <color indexed="81"/>
            <rFont val="Calibri"/>
            <family val="2"/>
          </rPr>
          <t>10000 @ 1 al 09.06.21 17:21
50000 @ 1 al 22.03.22 17:21
-26000 @ 1.00 al 29.01.25 11:38</t>
        </r>
      </text>
    </comment>
    <comment ref="CY19" authorId="0" shapeId="0" xr:uid="{4DC6F6A1-C2B2-42FE-ABC6-3D817623EC6B}">
      <text>
        <r>
          <rPr>
            <sz val="8"/>
            <color indexed="81"/>
            <rFont val="Calibri"/>
            <family val="2"/>
          </rPr>
          <t>-250000 @ 1.00 al 29.01.25 16:06</t>
        </r>
      </text>
    </comment>
    <comment ref="DR19" authorId="0" shapeId="0" xr:uid="{A2AD27EF-43E0-4C85-B9C3-6D4EE1180BE1}">
      <text>
        <r>
          <rPr>
            <sz val="8"/>
            <color theme="1"/>
            <rFont val="Calibri"/>
            <family val="2"/>
            <scheme val="minor"/>
          </rPr>
          <t xml:space="preserve">
14000 @ 1.00 al 12.02.26 17:26
20000 @ 1.00 al 20.02.26 17:28
18000 @ 1.00 al 20.02.26 17:29</t>
        </r>
      </text>
    </comment>
    <comment ref="EJ19" authorId="0" shapeId="0" xr:uid="{CC5EFBEE-C483-4518-B90D-03970FCC8438}">
      <text>
        <r>
          <rPr>
            <sz val="8"/>
            <color indexed="81"/>
            <rFont val="Calibri"/>
            <family val="2"/>
          </rPr>
          <t>18000 @ 1 al 07.06.21 16:03
5638.17 @ 1.00 al 05.10.23 10:34</t>
        </r>
      </text>
    </comment>
    <comment ref="FC19" authorId="0" shapeId="0" xr:uid="{96422C60-772D-43FA-B148-FF1566206611}">
      <text>
        <r>
          <rPr>
            <sz val="8"/>
            <color indexed="81"/>
            <rFont val="Calibri"/>
            <family val="2"/>
          </rPr>
          <t>-10000 @ 1.00 al 07.08.25 16:41
-170000 @ 1.00 al 10.12.25 10:39</t>
        </r>
      </text>
    </comment>
    <comment ref="AA30" authorId="0" shapeId="0" xr:uid="{FB10A21E-B03F-4F3D-872B-1EC00FBBA7FE}">
      <text>
        <r>
          <rPr>
            <sz val="8"/>
            <color indexed="81"/>
            <rFont val="Calibri"/>
            <family val="2"/>
          </rPr>
          <t>-200 @ 111.02 al 30.07.25 13:58</t>
        </r>
      </text>
    </comment>
    <comment ref="AT30" authorId="0" shapeId="0" xr:uid="{07385EE9-9538-4DB7-BEED-54727E357AAD}">
      <text>
        <r>
          <rPr>
            <sz val="8"/>
            <color indexed="81"/>
            <rFont val="Calibri"/>
            <family val="2"/>
          </rPr>
          <t>-350 @ 111.02 al 30.07.25 13:58</t>
        </r>
      </text>
    </comment>
    <comment ref="CY33" authorId="1" shapeId="0" xr:uid="{6C37D8A7-3FBE-4911-A48B-4C19D92D22B4}">
      <text>
        <r>
          <rPr>
            <sz val="8"/>
            <color indexed="81"/>
            <rFont val="Calibri"/>
            <family val="2"/>
          </rPr>
          <t>50000 @ 93.50% al 02.03.23 10:49</t>
        </r>
      </text>
    </comment>
    <comment ref="AA40" authorId="1" shapeId="0" xr:uid="{0E962C77-091A-44E0-A8F8-6B051D7D9A5B}">
      <text>
        <r>
          <rPr>
            <sz val="8"/>
            <color indexed="81"/>
            <rFont val="Calibri"/>
            <family val="2"/>
          </rPr>
          <t>15000 @ 94.85% al 01.03.23 12:08</t>
        </r>
      </text>
    </comment>
    <comment ref="AT40" authorId="1" shapeId="0" xr:uid="{BEE6B088-51B4-4BD8-99DA-CABE5C2DACB8}">
      <text>
        <r>
          <rPr>
            <sz val="8"/>
            <color indexed="81"/>
            <rFont val="Calibri"/>
            <family val="2"/>
          </rPr>
          <t>50000 @ 94.85% al 01.03.23 12:08</t>
        </r>
      </text>
    </comment>
    <comment ref="BM40" authorId="1" shapeId="0" xr:uid="{3E0933DF-798D-428E-9274-558B169C7F1A}">
      <text>
        <r>
          <rPr>
            <sz val="8"/>
            <color indexed="81"/>
            <rFont val="Calibri"/>
            <family val="2"/>
          </rPr>
          <t>10000 @ 94.85% al 01.03.23 12:08</t>
        </r>
      </text>
    </comment>
    <comment ref="CF40" authorId="1" shapeId="0" xr:uid="{70BC07BD-B49C-4806-93D1-8644E7D7EBFF}">
      <text>
        <r>
          <rPr>
            <sz val="8"/>
            <color indexed="81"/>
            <rFont val="Calibri"/>
            <family val="2"/>
          </rPr>
          <t>30000 @ 94.85% al 01.03.23 12:08</t>
        </r>
      </text>
    </comment>
    <comment ref="CY40" authorId="1" shapeId="0" xr:uid="{B90B24E6-ADAC-447A-8568-06208D604F21}">
      <text>
        <r>
          <rPr>
            <sz val="8"/>
            <color indexed="81"/>
            <rFont val="Calibri"/>
            <family val="2"/>
          </rPr>
          <t>50000 @ 94.85% al 02.03.23 09:59</t>
        </r>
      </text>
    </comment>
    <comment ref="EJ42" authorId="1" shapeId="0" xr:uid="{5111303B-E720-4241-9F5D-7148F3432C88}">
      <text>
        <r>
          <rPr>
            <sz val="8"/>
            <color indexed="81"/>
            <rFont val="Calibri"/>
            <family val="2"/>
          </rPr>
          <t>25000 @ 93.56% al 06.09.23 11:40</t>
        </r>
      </text>
    </comment>
    <comment ref="AA46" authorId="1" shapeId="0" xr:uid="{050A25D6-903A-4BA9-A0EF-958B14BBB606}">
      <text>
        <r>
          <rPr>
            <sz val="8"/>
            <color indexed="81"/>
            <rFont val="Calibri"/>
            <family val="2"/>
          </rPr>
          <t>20000 @ 90.35% al 21.09.23 19:11</t>
        </r>
      </text>
    </comment>
    <comment ref="AT46" authorId="1" shapeId="0" xr:uid="{D7AAC7B9-A7CE-4FD3-812D-6B563BD192DA}">
      <text>
        <r>
          <rPr>
            <sz val="8"/>
            <color indexed="81"/>
            <rFont val="Calibri"/>
            <family val="2"/>
          </rPr>
          <t>60000 @ 90.35% al 21.09.23 19:11</t>
        </r>
      </text>
    </comment>
    <comment ref="BM46" authorId="1" shapeId="0" xr:uid="{BB683498-AC84-425F-8F77-4C39B423A268}">
      <text>
        <r>
          <rPr>
            <sz val="8"/>
            <color indexed="81"/>
            <rFont val="Calibri"/>
            <family val="2"/>
          </rPr>
          <t>10000 @ 90.35% al 21.09.23 19:11</t>
        </r>
      </text>
    </comment>
    <comment ref="CF46" authorId="1" shapeId="0" xr:uid="{783C66DB-B49B-4B83-A8BE-51BD9603522E}">
      <text>
        <r>
          <rPr>
            <sz val="8"/>
            <color indexed="81"/>
            <rFont val="Calibri"/>
            <family val="2"/>
          </rPr>
          <t>30000 @ 90.35% al 21.09.23 19:12</t>
        </r>
      </text>
    </comment>
    <comment ref="EJ46" authorId="1" shapeId="0" xr:uid="{C8A5E888-D545-4347-912D-9F87E79BF62B}">
      <text>
        <r>
          <rPr>
            <sz val="8"/>
            <color indexed="81"/>
            <rFont val="Calibri"/>
            <family val="2"/>
          </rPr>
          <t>25000 @ 90.89% al 06.09.23 11:41</t>
        </r>
      </text>
    </comment>
    <comment ref="AA48" authorId="0" shapeId="0" xr:uid="{ADCE33E0-C7C7-408F-A6F8-1BFAD381C45D}">
      <text>
        <r>
          <rPr>
            <sz val="8"/>
            <color indexed="81"/>
            <rFont val="Calibri"/>
            <family val="2"/>
          </rPr>
          <t>15000 @ 99.24% al 29.07.25 15:57</t>
        </r>
      </text>
    </comment>
    <comment ref="AT48" authorId="0" shapeId="0" xr:uid="{25F377AF-5325-4168-A94C-A1B1FAFECD20}">
      <text>
        <r>
          <rPr>
            <sz val="8"/>
            <color indexed="81"/>
            <rFont val="Calibri"/>
            <family val="2"/>
          </rPr>
          <t>50000 @ 99.24% al 29.07.25 15:57</t>
        </r>
      </text>
    </comment>
    <comment ref="CF48" authorId="0" shapeId="0" xr:uid="{655F5A2D-9515-466C-AA48-0CE0B67407E0}">
      <text>
        <r>
          <rPr>
            <sz val="8"/>
            <color indexed="81"/>
            <rFont val="Calibri"/>
            <family val="2"/>
          </rPr>
          <t>20000 @ 99.24% al 29.07.25 15:57</t>
        </r>
      </text>
    </comment>
    <comment ref="CY48" authorId="0" shapeId="0" xr:uid="{299917B7-1028-4905-80B7-F16BA71F2C6F}">
      <text>
        <r>
          <rPr>
            <sz val="8"/>
            <color indexed="81"/>
            <rFont val="Calibri"/>
            <family val="2"/>
          </rPr>
          <t>50000 @ 99.24% al 30.07.25 14:37</t>
        </r>
      </text>
    </comment>
    <comment ref="DR48" authorId="0" shapeId="0" xr:uid="{DF481C20-C05A-416C-94B2-8443257049B9}">
      <text>
        <r>
          <rPr>
            <sz val="8"/>
            <color indexed="81"/>
            <rFont val="Calibri"/>
            <family val="2"/>
          </rPr>
          <t>30000 @ 99.24% al 29.07.25 13:56</t>
        </r>
      </text>
    </comment>
    <comment ref="EJ49" authorId="1" shapeId="0" xr:uid="{FBE3CAF5-96F9-4A8E-A46B-B52EC6C28289}">
      <text>
        <r>
          <rPr>
            <sz val="8"/>
            <color indexed="81"/>
            <rFont val="Calibri"/>
            <family val="2"/>
          </rPr>
          <t>20000 @ 89.80% al 06.09.23 11:41</t>
        </r>
      </text>
    </comment>
    <comment ref="AA52" authorId="0" shapeId="0" xr:uid="{DF627401-A366-4517-9EA2-E2E441F2E533}">
      <text>
        <r>
          <rPr>
            <sz val="8"/>
            <color indexed="81"/>
            <rFont val="Calibri"/>
            <family val="2"/>
          </rPr>
          <t>20000 @ 98.75% al 04.12.25 11:56</t>
        </r>
      </text>
    </comment>
    <comment ref="AT52" authorId="0" shapeId="0" xr:uid="{D9E9C262-23E7-4716-9F3E-50984644A1F5}">
      <text>
        <r>
          <rPr>
            <sz val="8"/>
            <color indexed="81"/>
            <rFont val="Calibri"/>
            <family val="2"/>
          </rPr>
          <t>50000 @ 98.75% al 04.12.25 11:56</t>
        </r>
      </text>
    </comment>
    <comment ref="BM52" authorId="0" shapeId="0" xr:uid="{19CD0CF8-6754-4F76-9179-BAF92334899C}">
      <text>
        <r>
          <rPr>
            <sz val="8"/>
            <color indexed="81"/>
            <rFont val="Calibri"/>
            <family val="2"/>
          </rPr>
          <t>10000 @ 98.75% al 04.12.25 11:56</t>
        </r>
      </text>
    </comment>
    <comment ref="CF52" authorId="0" shapeId="0" xr:uid="{E18CD4BE-A43E-4FF4-8DB7-8397EF9129CB}">
      <text>
        <r>
          <rPr>
            <sz val="8"/>
            <color indexed="81"/>
            <rFont val="Calibri"/>
            <family val="2"/>
          </rPr>
          <t>40000 @ 98.75% al 04.12.25 11:56</t>
        </r>
      </text>
    </comment>
    <comment ref="DR52" authorId="0" shapeId="0" xr:uid="{99A129D8-5101-4CBD-B617-9FE64FDC0286}">
      <text>
        <r>
          <rPr>
            <sz val="8"/>
            <color indexed="81"/>
            <rFont val="Calibri"/>
            <family val="2"/>
          </rPr>
          <t>30000 @ 98.70% al 04.12.25 11:23</t>
        </r>
      </text>
    </comment>
    <comment ref="AA54" authorId="0" shapeId="0" xr:uid="{7911BBDA-EE36-4658-9B1E-CEED722497C2}">
      <text>
        <r>
          <rPr>
            <sz val="8"/>
            <color indexed="81"/>
            <rFont val="Calibri"/>
            <family val="2"/>
          </rPr>
          <t>15000 @ 99.45% al 29.07.25 15:55</t>
        </r>
      </text>
    </comment>
    <comment ref="AT54" authorId="0" shapeId="0" xr:uid="{5A5EAE2B-7645-48F4-9B88-B298DF4DB3F5}">
      <text>
        <r>
          <rPr>
            <sz val="8"/>
            <color indexed="81"/>
            <rFont val="Calibri"/>
            <family val="2"/>
          </rPr>
          <t>50000 @ 99.45% al 29.07.25 15:55</t>
        </r>
      </text>
    </comment>
    <comment ref="CF54" authorId="0" shapeId="0" xr:uid="{63450FA6-A326-4B3C-B043-787F2A57210E}">
      <text>
        <r>
          <rPr>
            <sz val="8"/>
            <color indexed="81"/>
            <rFont val="Calibri"/>
            <family val="2"/>
          </rPr>
          <t>20000 @ 99.45% al 29.07.25 15:55</t>
        </r>
      </text>
    </comment>
    <comment ref="CY54" authorId="0" shapeId="0" xr:uid="{BC80B574-1307-4B2A-BE4A-6A7DC1B3C903}">
      <text>
        <r>
          <rPr>
            <sz val="8"/>
            <color indexed="81"/>
            <rFont val="Calibri"/>
            <family val="2"/>
          </rPr>
          <t>50000 @ 99.45% al 29.07.25 16:58</t>
        </r>
      </text>
    </comment>
    <comment ref="DR54" authorId="0" shapeId="0" xr:uid="{24884DBC-7819-4F39-B315-6B859B2D5976}">
      <text>
        <r>
          <rPr>
            <sz val="8"/>
            <color indexed="81"/>
            <rFont val="Calibri"/>
            <family val="2"/>
          </rPr>
          <t>15000 @ 99.25% al 29.07.25 14:08
15000 @ 99.45% al 29.07.25 15:55</t>
        </r>
      </text>
    </comment>
    <comment ref="AA55" authorId="0" shapeId="0" xr:uid="{0E74CC84-8F89-4B7D-8F49-68F71FB0646C}">
      <text>
        <r>
          <rPr>
            <sz val="8"/>
            <color indexed="81"/>
            <rFont val="Calibri"/>
            <family val="2"/>
          </rPr>
          <t>15000 @ 98.60% al 30.07.25 14:31</t>
        </r>
      </text>
    </comment>
    <comment ref="AT55" authorId="0" shapeId="0" xr:uid="{6C9C96BD-18C2-4C3F-A461-BB2D5FF74E67}">
      <text>
        <r>
          <rPr>
            <sz val="8"/>
            <color indexed="81"/>
            <rFont val="Calibri"/>
            <family val="2"/>
          </rPr>
          <t>50000 @ 98.60% al 30.07.25 14:31</t>
        </r>
      </text>
    </comment>
    <comment ref="BM55" authorId="0" shapeId="0" xr:uid="{7DB07374-E394-44CA-924E-8967E5F3F357}">
      <text>
        <r>
          <rPr>
            <sz val="8"/>
            <color indexed="81"/>
            <rFont val="Calibri"/>
            <family val="2"/>
          </rPr>
          <t>10000 @ 98.60% al 30.07.25 14:31</t>
        </r>
      </text>
    </comment>
    <comment ref="CF55" authorId="0" shapeId="0" xr:uid="{B5C3D5FF-8F91-4D60-BF86-A6BDA7EC459B}">
      <text>
        <r>
          <rPr>
            <sz val="8"/>
            <color indexed="81"/>
            <rFont val="Calibri"/>
            <family val="2"/>
          </rPr>
          <t>20000 @ 98.60% al 30.07.25 14:31</t>
        </r>
      </text>
    </comment>
    <comment ref="DR55" authorId="0" shapeId="0" xr:uid="{4F2DDF5D-7FD8-4353-85E5-85778A36A231}">
      <text>
        <r>
          <rPr>
            <sz val="8"/>
            <color indexed="81"/>
            <rFont val="Calibri"/>
            <family val="2"/>
          </rPr>
          <t>30000 @ 98.60% al 30.07.25 14:31</t>
        </r>
      </text>
    </comment>
    <comment ref="AA79" authorId="0" shapeId="0" xr:uid="{B28ECBF1-3C00-4887-8E89-DB2DD1ADD513}">
      <text>
        <r>
          <rPr>
            <sz val="8"/>
            <color indexed="81"/>
            <rFont val="Calibri"/>
            <family val="2"/>
          </rPr>
          <t>115 @ 72.72 al 29.01.26 16:34</t>
        </r>
      </text>
    </comment>
    <comment ref="AT79" authorId="0" shapeId="0" xr:uid="{DA13AC1C-DC05-484F-9154-8975B43A1091}">
      <text>
        <r>
          <rPr>
            <sz val="8"/>
            <color indexed="81"/>
            <rFont val="Calibri"/>
            <family val="2"/>
          </rPr>
          <t>360 @ 72.72 al 29.01.26 16:34</t>
        </r>
      </text>
    </comment>
    <comment ref="BM79" authorId="0" shapeId="0" xr:uid="{B6D98B6D-1ABF-44D1-A668-6B785403F5EF}">
      <text>
        <r>
          <rPr>
            <sz val="8"/>
            <color indexed="81"/>
            <rFont val="Calibri"/>
            <family val="2"/>
          </rPr>
          <t>60 @ 72.72 al 29.01.26 16:34</t>
        </r>
      </text>
    </comment>
    <comment ref="CF79" authorId="0" shapeId="0" xr:uid="{0AE69FC6-F9D5-441D-B6B1-8B97F191C907}">
      <text>
        <r>
          <rPr>
            <sz val="8"/>
            <color indexed="81"/>
            <rFont val="Calibri"/>
            <family val="2"/>
          </rPr>
          <t>180 @ 72.72 al 29.01.26 16:34</t>
        </r>
      </text>
    </comment>
    <comment ref="CY79" authorId="0" shapeId="0" xr:uid="{1ADC551E-C4FD-47E1-9674-6C85C061DE43}">
      <text>
        <r>
          <rPr>
            <sz val="8"/>
            <color indexed="81"/>
            <rFont val="Calibri"/>
            <family val="2"/>
          </rPr>
          <t>740 @ 72.72 al 29.01.26 16:34</t>
        </r>
      </text>
    </comment>
    <comment ref="DR79" authorId="0" shapeId="0" xr:uid="{CE1C3020-480B-41E9-93D3-B4F5B830BC1C}">
      <text>
        <r>
          <rPr>
            <sz val="8"/>
            <color indexed="81"/>
            <rFont val="Calibri"/>
            <family val="2"/>
          </rPr>
          <t>100 @ 72.72 al 29.01.26 16:34</t>
        </r>
      </text>
    </comment>
    <comment ref="DR80" authorId="0" shapeId="0" xr:uid="{9B769609-E75F-4828-9F94-40A3CFF55F32}">
      <text>
        <r>
          <rPr>
            <sz val="8"/>
            <color indexed="81"/>
            <rFont val="Calibri"/>
            <family val="2"/>
          </rPr>
          <t>8 @ 1’392.00 al 02.03.26 17:09</t>
        </r>
      </text>
    </comment>
    <comment ref="AA81" authorId="0" shapeId="0" xr:uid="{04696767-7610-4BFD-BD93-FF97E8188CD7}">
      <text>
        <r>
          <rPr>
            <sz val="8"/>
            <color indexed="81"/>
            <rFont val="Calibri"/>
            <family val="2"/>
          </rPr>
          <t>55 @ 152.20 al 13.02.26 17:35</t>
        </r>
      </text>
    </comment>
    <comment ref="AT81" authorId="0" shapeId="0" xr:uid="{F973F341-EC53-4700-9B96-FB9C45F4FF0E}">
      <text>
        <r>
          <rPr>
            <sz val="8"/>
            <color indexed="81"/>
            <rFont val="Calibri"/>
            <family val="2"/>
          </rPr>
          <t>170 @ 152.20 al 13.02.26 17:35</t>
        </r>
      </text>
    </comment>
    <comment ref="BM81" authorId="0" shapeId="0" xr:uid="{9CAA9C61-FCB4-4784-99E4-62A6C74CB274}">
      <text>
        <r>
          <rPr>
            <sz val="8"/>
            <color indexed="81"/>
            <rFont val="Calibri"/>
            <family val="2"/>
          </rPr>
          <t>30 @ 152.20 al 13.02.26 17:35</t>
        </r>
      </text>
    </comment>
    <comment ref="CF81" authorId="0" shapeId="0" xr:uid="{21CEE3EC-E26B-4B9D-BB7F-F44C32BE6375}">
      <text>
        <r>
          <rPr>
            <sz val="8"/>
            <color indexed="81"/>
            <rFont val="Calibri"/>
            <family val="2"/>
          </rPr>
          <t>100 @ 152.20 al 13.02.26 17:35</t>
        </r>
      </text>
    </comment>
    <comment ref="CY81" authorId="0" shapeId="0" xr:uid="{492F47A9-9EE0-42F5-B5DC-67C9D65DEF2D}">
      <text>
        <r>
          <rPr>
            <sz val="8"/>
            <color indexed="81"/>
            <rFont val="Calibri"/>
            <family val="2"/>
          </rPr>
          <t>350 @ 153.19 al 13.02.26 17:22</t>
        </r>
      </text>
    </comment>
    <comment ref="DR81" authorId="0" shapeId="0" xr:uid="{1A14FBC7-2049-42C6-B929-BDC6288B4497}">
      <text>
        <r>
          <rPr>
            <sz val="8"/>
            <color indexed="81"/>
            <rFont val="Calibri"/>
            <family val="2"/>
          </rPr>
          <t>70 @ 153.31 al 13.02.26 17:22</t>
        </r>
      </text>
    </comment>
    <comment ref="AA82" authorId="0" shapeId="0" xr:uid="{6CEFF432-E4CA-4217-B87F-77F136078E74}">
      <text>
        <r>
          <rPr>
            <sz val="8"/>
            <color indexed="81"/>
            <rFont val="Calibri"/>
            <family val="2"/>
          </rPr>
          <t>90 @ 95.92 al 02.03.26 11:05</t>
        </r>
      </text>
    </comment>
    <comment ref="AT82" authorId="0" shapeId="0" xr:uid="{F2782B2E-4143-46D4-B5B2-7939FC030768}">
      <text>
        <r>
          <rPr>
            <sz val="8"/>
            <color indexed="81"/>
            <rFont val="Calibri"/>
            <family val="2"/>
          </rPr>
          <t>275 @ 95.92 al 02.03.26 11:05</t>
        </r>
      </text>
    </comment>
    <comment ref="BM82" authorId="0" shapeId="0" xr:uid="{E08F84C9-F629-462C-AE66-A625A3EC52E6}">
      <text>
        <r>
          <rPr>
            <sz val="8"/>
            <color indexed="81"/>
            <rFont val="Calibri"/>
            <family val="2"/>
          </rPr>
          <t>45 @ 95.92 al 02.03.26 11:05</t>
        </r>
      </text>
    </comment>
    <comment ref="CF82" authorId="0" shapeId="0" xr:uid="{B36D5FD0-79A4-4882-813D-B2252B7DA536}">
      <text>
        <r>
          <rPr>
            <sz val="8"/>
            <color indexed="81"/>
            <rFont val="Calibri"/>
            <family val="2"/>
          </rPr>
          <t>140 @ 95.92 al 02.03.26 11:05</t>
        </r>
      </text>
    </comment>
    <comment ref="CY82" authorId="0" shapeId="0" xr:uid="{B0C807BF-13F5-4322-BD94-363AEDBD9931}">
      <text>
        <r>
          <rPr>
            <sz val="8"/>
            <color indexed="81"/>
            <rFont val="Calibri"/>
            <family val="2"/>
          </rPr>
          <t>570 @ 95.70 al 02.03.26 11:04</t>
        </r>
      </text>
    </comment>
    <comment ref="DR82" authorId="0" shapeId="0" xr:uid="{E1184DBA-317A-4344-A5B5-F6EF60C93FE2}">
      <text>
        <r>
          <rPr>
            <sz val="8"/>
            <color indexed="81"/>
            <rFont val="Calibri"/>
            <family val="2"/>
          </rPr>
          <t>110 @ 95.97 al 02.03.26 11:05</t>
        </r>
      </text>
    </comment>
    <comment ref="EJ83" authorId="0" shapeId="0" xr:uid="{32EDE0AD-2DFF-4424-91A1-9339FAE7DC98}">
      <text>
        <r>
          <rPr>
            <sz val="8"/>
            <color indexed="81"/>
            <rFont val="Calibri"/>
            <family val="2"/>
          </rPr>
          <t>315 @ 46.11 al 28.09.21 16:33
-155 @ 79.50 al 10.04.24 17:25</t>
        </r>
      </text>
    </comment>
    <comment ref="AA84" authorId="0" shapeId="0" xr:uid="{0FF612E2-B54F-4E2C-9FF8-E54049EB10EA}">
      <text>
        <r>
          <rPr>
            <sz val="8"/>
            <color indexed="81"/>
            <rFont val="Calibri"/>
            <family val="2"/>
          </rPr>
          <t>55 @ 155.79 al 29.01.26 16:38</t>
        </r>
      </text>
    </comment>
    <comment ref="AT84" authorId="0" shapeId="0" xr:uid="{7715D675-B7D9-416D-A1B2-648D12647220}">
      <text>
        <r>
          <rPr>
            <sz val="8"/>
            <color indexed="81"/>
            <rFont val="Calibri"/>
            <family val="2"/>
          </rPr>
          <t>165 @ 155.79 al 29.01.26 16:38</t>
        </r>
      </text>
    </comment>
    <comment ref="BM84" authorId="0" shapeId="0" xr:uid="{077B7795-A14F-4461-8C91-C44674C47B13}">
      <text>
        <r>
          <rPr>
            <sz val="8"/>
            <color indexed="81"/>
            <rFont val="Calibri"/>
            <family val="2"/>
          </rPr>
          <t>30 @ 155.79 al 29.01.26 16:38</t>
        </r>
      </text>
    </comment>
    <comment ref="CF84" authorId="0" shapeId="0" xr:uid="{CE0F5D53-2CAF-4B58-91A5-D9BE8B4BC824}">
      <text>
        <r>
          <rPr>
            <sz val="8"/>
            <color indexed="81"/>
            <rFont val="Calibri"/>
            <family val="2"/>
          </rPr>
          <t>80 @ 155.79 al 29.01.26 16:38</t>
        </r>
      </text>
    </comment>
    <comment ref="CY84" authorId="0" shapeId="0" xr:uid="{3AE29CC2-8518-484F-B17E-EC5170D4E5C1}">
      <text>
        <r>
          <rPr>
            <sz val="8"/>
            <color indexed="81"/>
            <rFont val="Calibri"/>
            <family val="2"/>
          </rPr>
          <t>350 @ 155.79 al 29.01.26 16:38</t>
        </r>
      </text>
    </comment>
    <comment ref="DR84" authorId="0" shapeId="0" xr:uid="{A25E451F-9C76-4766-A79B-3F2DFE0095A7}">
      <text>
        <r>
          <rPr>
            <sz val="8"/>
            <color indexed="81"/>
            <rFont val="Calibri"/>
            <family val="2"/>
          </rPr>
          <t>45 @ 155.79 al 29.01.26 16:38</t>
        </r>
      </text>
    </comment>
    <comment ref="AA85" authorId="0" shapeId="0" xr:uid="{31AE83A3-A275-4CBF-803D-DA1AF087D93A}">
      <text>
        <r>
          <rPr>
            <sz val="8"/>
            <color indexed="81"/>
            <rFont val="Calibri"/>
            <family val="2"/>
          </rPr>
          <t>20 @ 591.00 al 27.01.25 16:17</t>
        </r>
      </text>
    </comment>
    <comment ref="AT85" authorId="0" shapeId="0" xr:uid="{94DA2B20-CDD2-410B-9B29-06B94851701D}">
      <text>
        <r>
          <rPr>
            <sz val="8"/>
            <color indexed="81"/>
            <rFont val="Calibri"/>
            <family val="2"/>
          </rPr>
          <t>55 @ 591.00 al 27.01.25 16:17</t>
        </r>
      </text>
    </comment>
    <comment ref="BM85" authorId="0" shapeId="0" xr:uid="{19E48873-C5CF-47A8-88B9-67EA5B97078E}">
      <text>
        <r>
          <rPr>
            <sz val="8"/>
            <color indexed="81"/>
            <rFont val="Calibri"/>
            <family val="2"/>
          </rPr>
          <t>10 @ 591.00 al 27.01.25 16:17</t>
        </r>
      </text>
    </comment>
    <comment ref="CF85" authorId="0" shapeId="0" xr:uid="{8DEABFA0-0B0B-4550-A450-1F33354AACA9}">
      <text>
        <r>
          <rPr>
            <sz val="8"/>
            <color indexed="81"/>
            <rFont val="Calibri"/>
            <family val="2"/>
          </rPr>
          <t>20 @ 591.00 al 27.01.25 16:17</t>
        </r>
      </text>
    </comment>
    <comment ref="CY85" authorId="0" shapeId="0" xr:uid="{FAF4FC70-C024-4A4E-A3EC-8FDC16C30849}">
      <text>
        <r>
          <rPr>
            <sz val="8"/>
            <color indexed="81"/>
            <rFont val="Calibri"/>
            <family val="2"/>
          </rPr>
          <t>120 @ 591.00 al 27.01.25 16:17</t>
        </r>
      </text>
    </comment>
    <comment ref="EJ86" authorId="0" shapeId="0" xr:uid="{A2417587-902E-40C1-8D1D-09FF72582149}">
      <text>
        <r>
          <rPr>
            <sz val="8"/>
            <color indexed="81"/>
            <rFont val="Calibri"/>
            <family val="2"/>
          </rPr>
          <t>160 @ 74.88 al 26.03.18 16:35</t>
        </r>
      </text>
    </comment>
    <comment ref="AA88" authorId="0" shapeId="0" xr:uid="{0748BF89-180C-432E-9E16-4F86DA3E7FC1}">
      <text>
        <r>
          <rPr>
            <sz val="8"/>
            <color indexed="81"/>
            <rFont val="Calibri"/>
            <family val="2"/>
          </rPr>
          <t>180 @ 61.65 al 29.01.26 16:40</t>
        </r>
      </text>
    </comment>
    <comment ref="AT88" authorId="0" shapeId="0" xr:uid="{68965CBB-0CD8-430B-9D14-45626C6BC14F}">
      <text>
        <r>
          <rPr>
            <sz val="8"/>
            <color indexed="81"/>
            <rFont val="Calibri"/>
            <family val="2"/>
          </rPr>
          <t>560 @ 61.65 al 29.01.26 16:40</t>
        </r>
      </text>
    </comment>
    <comment ref="BM88" authorId="0" shapeId="0" xr:uid="{C4C76350-C15E-4684-95A0-1111034BA45C}">
      <text>
        <r>
          <rPr>
            <sz val="8"/>
            <color indexed="81"/>
            <rFont val="Calibri"/>
            <family val="2"/>
          </rPr>
          <t>90 @ 61.65 al 29.01.26 16:40</t>
        </r>
      </text>
    </comment>
    <comment ref="CF88" authorId="0" shapeId="0" xr:uid="{60856987-628A-421B-98C3-07885794AA34}">
      <text>
        <r>
          <rPr>
            <sz val="8"/>
            <color indexed="81"/>
            <rFont val="Calibri"/>
            <family val="2"/>
          </rPr>
          <t>280 @ 61.65 al 29.01.26 16:40</t>
        </r>
      </text>
    </comment>
    <comment ref="CY88" authorId="0" shapeId="0" xr:uid="{A0038055-4970-486A-A4A7-EE42A935E727}">
      <text>
        <r>
          <rPr>
            <sz val="8"/>
            <color indexed="81"/>
            <rFont val="Calibri"/>
            <family val="2"/>
          </rPr>
          <t>1000 @ 61.65 al 29.01.26 16:40</t>
        </r>
      </text>
    </comment>
    <comment ref="DR88" authorId="0" shapeId="0" xr:uid="{5C548C8E-3A7E-4162-89EF-AB032D758A07}">
      <text>
        <r>
          <rPr>
            <sz val="8"/>
            <color indexed="81"/>
            <rFont val="Calibri"/>
            <family val="2"/>
          </rPr>
          <t>140 @ 61.65 al 29.01.26 16:40</t>
        </r>
      </text>
    </comment>
    <comment ref="EB88" authorId="0" shapeId="0" xr:uid="{ABE3B1F9-7C9F-45CD-B3A4-496A8B7146C4}">
      <text>
        <r>
          <rPr>
            <b/>
            <sz val="9"/>
            <color indexed="81"/>
            <rFont val="Tahoma"/>
            <charset val="1"/>
          </rPr>
          <t>Stefano Morniroli:</t>
        </r>
        <r>
          <rPr>
            <sz val="9"/>
            <color indexed="81"/>
            <rFont val="Tahoma"/>
            <charset val="1"/>
          </rPr>
          <t xml:space="preserve">
LIM 64.00</t>
        </r>
      </text>
    </comment>
    <comment ref="AA91" authorId="0" shapeId="0" xr:uid="{0756525E-0F0D-4AE5-9732-E2F8AA5B67BF}">
      <text>
        <r>
          <rPr>
            <sz val="8"/>
            <color indexed="81"/>
            <rFont val="Calibri"/>
            <family val="2"/>
          </rPr>
          <t>10 @ 537.50 al 24.04.25 19:07</t>
        </r>
      </text>
    </comment>
    <comment ref="AT91" authorId="0" shapeId="0" xr:uid="{D5DC35BD-77C8-489B-95D7-FF550C8456AE}">
      <text>
        <r>
          <rPr>
            <sz val="8"/>
            <color indexed="81"/>
            <rFont val="Calibri"/>
            <family val="2"/>
          </rPr>
          <t>30 @ 537.50 al 24.04.25 19:07</t>
        </r>
      </text>
    </comment>
    <comment ref="CF91" authorId="0" shapeId="0" xr:uid="{FBAEB0D4-E94C-4937-8B53-4A896F189335}">
      <text>
        <r>
          <rPr>
            <sz val="8"/>
            <color indexed="81"/>
            <rFont val="Calibri"/>
            <family val="2"/>
          </rPr>
          <t>16 @ 537.50 al 24.04.25 19:07</t>
        </r>
      </text>
    </comment>
    <comment ref="CY91" authorId="0" shapeId="0" xr:uid="{465B17B9-191E-4EB8-A141-54638419758D}">
      <text>
        <r>
          <rPr>
            <sz val="8"/>
            <color indexed="81"/>
            <rFont val="Calibri"/>
            <family val="2"/>
          </rPr>
          <t>70 @ 537.50 al 24.04.25 19:07</t>
        </r>
      </text>
    </comment>
    <comment ref="AA92" authorId="0" shapeId="0" xr:uid="{47F35579-4F21-481C-B02D-245A94524DC6}">
      <text>
        <r>
          <rPr>
            <sz val="8"/>
            <color indexed="81"/>
            <rFont val="Calibri"/>
            <family val="2"/>
          </rPr>
          <t>65 @ 131.50 al 29.01.26 16:41</t>
        </r>
      </text>
    </comment>
    <comment ref="AT92" authorId="0" shapeId="0" xr:uid="{1A07E0A7-5E51-47A7-8A44-BDF5BBC40FA7}">
      <text>
        <r>
          <rPr>
            <sz val="8"/>
            <color indexed="81"/>
            <rFont val="Calibri"/>
            <family val="2"/>
          </rPr>
          <t>200 @ 131.50 al 29.01.26 16:41</t>
        </r>
      </text>
    </comment>
    <comment ref="BM92" authorId="0" shapeId="0" xr:uid="{98D70B80-21F7-4A1C-AFEA-1C7A6D0622D9}">
      <text>
        <r>
          <rPr>
            <sz val="8"/>
            <color indexed="81"/>
            <rFont val="Calibri"/>
            <family val="2"/>
          </rPr>
          <t>35 @ 131.50 al 29.01.26 16:41</t>
        </r>
      </text>
    </comment>
    <comment ref="CF92" authorId="0" shapeId="0" xr:uid="{24728D5C-2888-4431-9975-BE98E3C5F6AC}">
      <text>
        <r>
          <rPr>
            <sz val="8"/>
            <color indexed="81"/>
            <rFont val="Calibri"/>
            <family val="2"/>
          </rPr>
          <t>100 @ 131.50 al 29.01.26 16:41</t>
        </r>
      </text>
    </comment>
    <comment ref="CY92" authorId="0" shapeId="0" xr:uid="{FD75EF90-EB19-4FA9-BE04-0B3D514F5D8F}">
      <text>
        <r>
          <rPr>
            <sz val="8"/>
            <color indexed="81"/>
            <rFont val="Calibri"/>
            <family val="2"/>
          </rPr>
          <t>400 @ 131.50 al 29.01.26 16:41</t>
        </r>
      </text>
    </comment>
    <comment ref="DR92" authorId="0" shapeId="0" xr:uid="{A19817FB-767D-4DAC-A55F-6741E750C6B2}">
      <text>
        <r>
          <rPr>
            <sz val="8"/>
            <color indexed="81"/>
            <rFont val="Calibri"/>
            <family val="2"/>
          </rPr>
          <t>50 @ 131.50 al 29.01.26 16:41
30 @ 136.40 al 12.02.26 14:43</t>
        </r>
      </text>
    </comment>
    <comment ref="EJ96" authorId="1" shapeId="0" xr:uid="{33290781-DC7F-40C7-9419-0CDCC6F2B7F1}">
      <text>
        <r>
          <rPr>
            <sz val="8"/>
            <color indexed="81"/>
            <rFont val="Calibri"/>
            <family val="2"/>
          </rPr>
          <t>350 @ 73.82 al 04.09.23 16:10</t>
        </r>
      </text>
    </comment>
    <comment ref="AA99" authorId="0" shapeId="0" xr:uid="{301BF8C4-B532-4156-B608-1B25C854E564}">
      <text>
        <r>
          <rPr>
            <sz val="8"/>
            <color indexed="81"/>
            <rFont val="Calibri"/>
            <family val="2"/>
          </rPr>
          <t>45 @ 123.05 al 26.06.25 16:53</t>
        </r>
      </text>
    </comment>
    <comment ref="AT99" authorId="0" shapeId="0" xr:uid="{11E94169-B1EE-48CF-902F-19294E39ED11}">
      <text>
        <r>
          <rPr>
            <sz val="8"/>
            <color indexed="81"/>
            <rFont val="Calibri"/>
            <family val="2"/>
          </rPr>
          <t>140 @ 123.05 al 26.06.25 16:53</t>
        </r>
      </text>
    </comment>
    <comment ref="BM99" authorId="0" shapeId="0" xr:uid="{86002B75-EFC2-42D7-A821-C616FB482192}">
      <text>
        <r>
          <rPr>
            <sz val="8"/>
            <color indexed="81"/>
            <rFont val="Calibri"/>
            <family val="2"/>
          </rPr>
          <t>50 @ 123.05 al 26.06.25 16:52</t>
        </r>
      </text>
    </comment>
    <comment ref="CF99" authorId="0" shapeId="0" xr:uid="{5D334F5C-918E-4F73-BA95-E6C3A729FD8C}">
      <text>
        <r>
          <rPr>
            <sz val="8"/>
            <color indexed="81"/>
            <rFont val="Calibri"/>
            <family val="2"/>
          </rPr>
          <t>68 @ 123.05 al 26.06.25 16:53</t>
        </r>
      </text>
    </comment>
    <comment ref="CY99" authorId="0" shapeId="0" xr:uid="{EC4B4FE5-A43C-4E13-82F1-F3127FAE2D34}">
      <text>
        <r>
          <rPr>
            <sz val="8"/>
            <color indexed="81"/>
            <rFont val="Calibri"/>
            <family val="2"/>
          </rPr>
          <t>310 @ 124.00 al 26.06.25 16:39</t>
        </r>
      </text>
    </comment>
    <comment ref="AA100" authorId="0" shapeId="0" xr:uid="{8C8B7BB4-5508-4EE5-B40E-DA8D59A0CA15}">
      <text>
        <r>
          <rPr>
            <sz val="8"/>
            <color indexed="81"/>
            <rFont val="Calibri"/>
            <family val="2"/>
          </rPr>
          <t>135 @ 84.97 al 08.09.25 17:01</t>
        </r>
      </text>
    </comment>
    <comment ref="AT100" authorId="0" shapeId="0" xr:uid="{EC914A9F-3AF8-4F4B-8171-5423BC684C0D}">
      <text>
        <r>
          <rPr>
            <sz val="8"/>
            <color indexed="81"/>
            <rFont val="Calibri"/>
            <family val="2"/>
          </rPr>
          <t>415 @ 84.97 al 08.09.25 17:01</t>
        </r>
      </text>
    </comment>
    <comment ref="BM100" authorId="0" shapeId="0" xr:uid="{F841605D-2311-4838-B2DD-B06DA552270A}">
      <text>
        <r>
          <rPr>
            <sz val="8"/>
            <color indexed="81"/>
            <rFont val="Calibri"/>
            <family val="2"/>
          </rPr>
          <t>70 @ 84.97 al 08.09.25 17:01</t>
        </r>
      </text>
    </comment>
    <comment ref="CF100" authorId="0" shapeId="0" xr:uid="{AB8E20F7-8CEA-4A87-A026-2F5D451637F2}">
      <text>
        <r>
          <rPr>
            <sz val="8"/>
            <color indexed="81"/>
            <rFont val="Calibri"/>
            <family val="2"/>
          </rPr>
          <t>200 @ 84.97 al 08.09.25 17:01</t>
        </r>
      </text>
    </comment>
    <comment ref="CY100" authorId="0" shapeId="0" xr:uid="{05F12218-97C0-4F89-8533-617682D4A9E6}">
      <text>
        <r>
          <rPr>
            <sz val="8"/>
            <color indexed="81"/>
            <rFont val="Calibri"/>
            <family val="2"/>
          </rPr>
          <t>880 @ 84.97 al 08.09.25 17:01</t>
        </r>
      </text>
    </comment>
    <comment ref="DR100" authorId="0" shapeId="0" xr:uid="{85BA6655-F676-4974-B6B2-D5A1B720618C}">
      <text>
        <r>
          <rPr>
            <sz val="8"/>
            <color indexed="81"/>
            <rFont val="Calibri"/>
            <family val="2"/>
          </rPr>
          <t>180 @ 84.97 al 08.09.25 17:01</t>
        </r>
      </text>
    </comment>
    <comment ref="CY101" authorId="0" shapeId="0" xr:uid="{2AAE2E64-8671-4D0A-895D-00390CCA9924}">
      <text>
        <r>
          <rPr>
            <sz val="8"/>
            <color indexed="81"/>
            <rFont val="Calibri"/>
            <family val="2"/>
          </rPr>
          <t>1470 @ 99.80 al 29.01.25 16:18
-720 @ 116.09 al 23.06.25 19:56</t>
        </r>
      </text>
    </comment>
    <comment ref="AA102" authorId="0" shapeId="0" xr:uid="{E833DBB7-1DE4-4170-A389-D09C0B847C99}">
      <text>
        <r>
          <rPr>
            <sz val="8"/>
            <color indexed="81"/>
            <rFont val="Calibri"/>
            <family val="2"/>
          </rPr>
          <t>110 @ 104.96 al 04.12.25 17:46</t>
        </r>
      </text>
    </comment>
    <comment ref="AT102" authorId="0" shapeId="0" xr:uid="{D777D86A-CD6A-460A-9CB2-714672988C53}">
      <text>
        <r>
          <rPr>
            <sz val="8"/>
            <color indexed="81"/>
            <rFont val="Calibri"/>
            <family val="2"/>
          </rPr>
          <t>340 @ 104.96 al 04.12.25 17:46</t>
        </r>
      </text>
    </comment>
    <comment ref="BM102" authorId="0" shapeId="0" xr:uid="{818919DD-087F-4F11-9FB8-AFAE71FD7903}">
      <text>
        <r>
          <rPr>
            <sz val="8"/>
            <color indexed="81"/>
            <rFont val="Calibri"/>
            <family val="2"/>
          </rPr>
          <t>55 @ 104.96 al 04.12.25 17:46</t>
        </r>
      </text>
    </comment>
    <comment ref="CF102" authorId="0" shapeId="0" xr:uid="{628A9119-AF43-45B2-BD24-D61E78AF6E41}">
      <text>
        <r>
          <rPr>
            <sz val="8"/>
            <color indexed="81"/>
            <rFont val="Calibri"/>
            <family val="2"/>
          </rPr>
          <t>160 @ 104.96 al 04.12.25 17:46</t>
        </r>
      </text>
    </comment>
    <comment ref="CY102" authorId="0" shapeId="0" xr:uid="{91058C93-7B99-4751-AB83-B185AB740B43}">
      <text>
        <r>
          <rPr>
            <sz val="8"/>
            <color indexed="81"/>
            <rFont val="Calibri"/>
            <family val="2"/>
          </rPr>
          <t>715 @ 104.90 al 04.12.25 17:04</t>
        </r>
      </text>
    </comment>
    <comment ref="DR102" authorId="0" shapeId="0" xr:uid="{566B08C2-62D0-4D07-BF17-AB52DB6728F5}">
      <text>
        <r>
          <rPr>
            <sz val="8"/>
            <color indexed="81"/>
            <rFont val="Calibri"/>
            <family val="2"/>
          </rPr>
          <t>140 @ 104.90 al 04.12.25 17:04</t>
        </r>
      </text>
    </comment>
    <comment ref="AA103" authorId="0" shapeId="0" xr:uid="{808A9F59-09C6-4C3B-9668-00DAD71DE209}">
      <text>
        <r>
          <rPr>
            <sz val="8"/>
            <color indexed="81"/>
            <rFont val="Calibri"/>
            <family val="2"/>
          </rPr>
          <t>230 @ 47.39 al 24.04.25 09:45</t>
        </r>
      </text>
    </comment>
    <comment ref="AT103" authorId="0" shapeId="0" xr:uid="{D0911EE2-45DD-442B-8052-F43F463CB16E}">
      <text>
        <r>
          <rPr>
            <sz val="8"/>
            <color indexed="81"/>
            <rFont val="Calibri"/>
            <family val="2"/>
          </rPr>
          <t>715 @ 47.39 al 24.04.25 09:45</t>
        </r>
      </text>
    </comment>
    <comment ref="BM103" authorId="0" shapeId="0" xr:uid="{19A08506-BBF2-4404-8FBD-A4FEC1BCD113}">
      <text>
        <r>
          <rPr>
            <sz val="8"/>
            <color indexed="81"/>
            <rFont val="Calibri"/>
            <family val="2"/>
          </rPr>
          <t>125 @ 47.39 al 24.04.25 09:45</t>
        </r>
      </text>
    </comment>
    <comment ref="CF103" authorId="0" shapeId="0" xr:uid="{FD860FCF-D0EE-4292-8637-CCE9078C951A}">
      <text>
        <r>
          <rPr>
            <sz val="8"/>
            <color indexed="81"/>
            <rFont val="Calibri"/>
            <family val="2"/>
          </rPr>
          <t>360 @ 47.39 al 24.04.25 09:45</t>
        </r>
      </text>
    </comment>
    <comment ref="AA104" authorId="0" shapeId="0" xr:uid="{7897BD1F-C30F-4403-B201-B8EBEA14AA37}">
      <text>
        <r>
          <rPr>
            <sz val="8"/>
            <color indexed="81"/>
            <rFont val="Calibri"/>
            <family val="2"/>
          </rPr>
          <t>275 @ 44.24 al 29.01.26 17:31</t>
        </r>
      </text>
    </comment>
    <comment ref="AT104" authorId="0" shapeId="0" xr:uid="{EC02CB64-429D-4B73-8055-424EBBEDE296}">
      <text>
        <r>
          <rPr>
            <sz val="8"/>
            <color indexed="81"/>
            <rFont val="Calibri"/>
            <family val="2"/>
          </rPr>
          <t>850 @ 44.24 al 29.01.26 17:31</t>
        </r>
      </text>
    </comment>
    <comment ref="BM104" authorId="0" shapeId="0" xr:uid="{7CFD0453-7BBD-449E-86F7-469B77775F84}">
      <text>
        <r>
          <rPr>
            <sz val="8"/>
            <color indexed="81"/>
            <rFont val="Calibri"/>
            <family val="2"/>
          </rPr>
          <t>140 @ 44.24 al 29.01.26 17:31</t>
        </r>
      </text>
    </comment>
    <comment ref="CF104" authorId="0" shapeId="0" xr:uid="{3845C6EE-0608-4F97-8C39-68E1823CB02C}">
      <text>
        <r>
          <rPr>
            <sz val="8"/>
            <color indexed="81"/>
            <rFont val="Calibri"/>
            <family val="2"/>
          </rPr>
          <t>300 @ 44.24 al 29.01.26 17:31</t>
        </r>
      </text>
    </comment>
    <comment ref="CY104" authorId="0" shapeId="0" xr:uid="{0C41445B-7A4B-4AF0-B56F-D8796DD22A5C}">
      <text>
        <r>
          <rPr>
            <sz val="8"/>
            <color indexed="81"/>
            <rFont val="Calibri"/>
            <family val="2"/>
          </rPr>
          <t>1750 @ 44.24 al 29.01.26 17:31</t>
        </r>
      </text>
    </comment>
    <comment ref="DR104" authorId="0" shapeId="0" xr:uid="{91859574-6FF3-4260-BEF7-490FFD304C4D}">
      <text>
        <r>
          <rPr>
            <sz val="8"/>
            <color indexed="81"/>
            <rFont val="Calibri"/>
            <family val="2"/>
          </rPr>
          <t>210 @ 44.24 al 29.01.26 17:31</t>
        </r>
      </text>
    </comment>
    <comment ref="AA105" authorId="0" shapeId="0" xr:uid="{7ECD609E-19EE-47DF-8D6D-8F31E5AE9D09}">
      <text>
        <r>
          <rPr>
            <sz val="8"/>
            <color indexed="81"/>
            <rFont val="Calibri"/>
            <family val="2"/>
          </rPr>
          <t>245 @ 43.52 al 24.04.25 09:49</t>
        </r>
      </text>
    </comment>
    <comment ref="AT105" authorId="0" shapeId="0" xr:uid="{E9CBE74C-6EEC-42C8-8255-D638D6C4FCEF}">
      <text>
        <r>
          <rPr>
            <sz val="8"/>
            <color indexed="81"/>
            <rFont val="Calibri"/>
            <family val="2"/>
          </rPr>
          <t>760 @ 43.52 al 24.04.25 09:49</t>
        </r>
      </text>
    </comment>
    <comment ref="BM105" authorId="0" shapeId="0" xr:uid="{ABB027EE-2E64-4223-B454-5BC5B95A8B14}">
      <text>
        <r>
          <rPr>
            <sz val="8"/>
            <color indexed="81"/>
            <rFont val="Calibri"/>
            <family val="2"/>
          </rPr>
          <t>130 @ 43.52 al 24.04.25 09:49</t>
        </r>
      </text>
    </comment>
    <comment ref="CF105" authorId="0" shapeId="0" xr:uid="{FED6B20A-D419-417F-8667-F806C67E0E0C}">
      <text>
        <r>
          <rPr>
            <sz val="8"/>
            <color indexed="81"/>
            <rFont val="Calibri"/>
            <family val="2"/>
          </rPr>
          <t>380 @ 43.52 al 24.04.25 09:49</t>
        </r>
      </text>
    </comment>
    <comment ref="CY120" authorId="0" shapeId="0" xr:uid="{00D8EE63-BBDF-45AA-9DE1-F8C88CCEA3D0}">
      <text>
        <r>
          <rPr>
            <sz val="8"/>
            <color indexed="81"/>
            <rFont val="Calibri"/>
            <family val="2"/>
          </rPr>
          <t>400 @ 103.18 al 04.02.25 18:51
-600 @ 90.39 al 23.04.25 10:08</t>
        </r>
      </text>
    </comment>
    <comment ref="DR120" authorId="0" shapeId="0" xr:uid="{DA01A6BE-7D71-434E-BBE2-5B0228CEE788}">
      <text>
        <r>
          <rPr>
            <sz val="8"/>
            <color indexed="81"/>
            <rFont val="Calibri"/>
            <family val="2"/>
          </rPr>
          <t>120 @ 118.53 al 03.02.26 18:01</t>
        </r>
      </text>
    </comment>
    <comment ref="AA122" authorId="0" shapeId="0" xr:uid="{B2C6851F-9075-4E36-9244-54FB25085786}">
      <text>
        <r>
          <rPr>
            <sz val="8"/>
            <color indexed="81"/>
            <rFont val="Calibri"/>
            <family val="2"/>
          </rPr>
          <t>65 @ 168.89 al 03.02.26 17:59</t>
        </r>
      </text>
    </comment>
    <comment ref="AT122" authorId="0" shapeId="0" xr:uid="{481DB1A9-B2BD-4806-940F-60B01F0A8D63}">
      <text>
        <r>
          <rPr>
            <sz val="8"/>
            <color indexed="81"/>
            <rFont val="Calibri"/>
            <family val="2"/>
          </rPr>
          <t>195 @ 168.89 al 03.02.26 17:59</t>
        </r>
      </text>
    </comment>
    <comment ref="BM122" authorId="0" shapeId="0" xr:uid="{08D53EBC-4096-4D73-9BE4-31793E78C079}">
      <text>
        <r>
          <rPr>
            <sz val="8"/>
            <color indexed="81"/>
            <rFont val="Calibri"/>
            <family val="2"/>
          </rPr>
          <t>35 @ 168.89 al 03.02.26 17:59</t>
        </r>
      </text>
    </comment>
    <comment ref="CF122" authorId="0" shapeId="0" xr:uid="{497EB8E9-296E-4F91-9065-A211C97EDABD}">
      <text>
        <r>
          <rPr>
            <sz val="8"/>
            <color indexed="81"/>
            <rFont val="Calibri"/>
            <family val="2"/>
          </rPr>
          <t>100 @ 168.89 al 03.02.26 17:59</t>
        </r>
      </text>
    </comment>
    <comment ref="CY122" authorId="0" shapeId="0" xr:uid="{B7EF3D14-AA8C-40C6-84C4-C6FEED80522B}">
      <text>
        <r>
          <rPr>
            <sz val="8"/>
            <color indexed="81"/>
            <rFont val="Calibri"/>
            <family val="2"/>
          </rPr>
          <t>400 @ 168.58475 al 03.02.26 17:59</t>
        </r>
      </text>
    </comment>
    <comment ref="DR122" authorId="0" shapeId="0" xr:uid="{42DE74AF-300A-4C15-85E3-40ADF3AB0E89}">
      <text>
        <r>
          <rPr>
            <sz val="8"/>
            <color indexed="81"/>
            <rFont val="Calibri"/>
            <family val="2"/>
          </rPr>
          <t>80 @ 168.89 al 03.02.26 17:59</t>
        </r>
      </text>
    </comment>
    <comment ref="EJ123" authorId="0" shapeId="0" xr:uid="{956F177B-FB9A-4985-9BAD-1E6E0DF25810}">
      <text>
        <r>
          <rPr>
            <sz val="9"/>
            <color indexed="81"/>
            <rFont val="Tahoma"/>
            <family val="2"/>
          </rPr>
          <t>-80 @ 204.66 al 10.04.24 17:24</t>
        </r>
      </text>
    </comment>
    <comment ref="AA124" authorId="0" shapeId="0" xr:uid="{F9E2C245-B2E7-47BD-9981-DD736661CD83}">
      <text>
        <r>
          <rPr>
            <sz val="8"/>
            <color indexed="81"/>
            <rFont val="Calibri"/>
            <family val="2"/>
          </rPr>
          <t>240 @ 45.55 al 12.02.26 17:38</t>
        </r>
      </text>
    </comment>
    <comment ref="AT124" authorId="0" shapeId="0" xr:uid="{C9F5F4F1-1433-458F-BFA6-A0575B29874E}">
      <text>
        <r>
          <rPr>
            <sz val="8"/>
            <color indexed="81"/>
            <rFont val="Calibri"/>
            <family val="2"/>
          </rPr>
          <t>745 @ 45.55 al 12.02.26 17:38</t>
        </r>
      </text>
    </comment>
    <comment ref="BM124" authorId="0" shapeId="0" xr:uid="{46392A72-855F-4918-BCDB-08F800E43B1F}">
      <text>
        <r>
          <rPr>
            <sz val="8"/>
            <color indexed="81"/>
            <rFont val="Calibri"/>
            <family val="2"/>
          </rPr>
          <t>120 @ 45.55 al 12.02.26 17:38</t>
        </r>
      </text>
    </comment>
    <comment ref="CF124" authorId="0" shapeId="0" xr:uid="{FF450CDC-8BF3-4C40-B7C1-CAA3C803D6D5}">
      <text>
        <r>
          <rPr>
            <sz val="8"/>
            <color indexed="81"/>
            <rFont val="Calibri"/>
            <family val="2"/>
          </rPr>
          <t>340 @ 45.55 al 12.02.26 17:38</t>
        </r>
      </text>
    </comment>
    <comment ref="CY124" authorId="0" shapeId="0" xr:uid="{5C344C26-FF8B-4C1B-8718-967E6231F053}">
      <text>
        <r>
          <rPr>
            <sz val="8"/>
            <color indexed="81"/>
            <rFont val="Calibri"/>
            <family val="2"/>
          </rPr>
          <t>1550 @ 45.62 al 12.02.26 17:18</t>
        </r>
      </text>
    </comment>
    <comment ref="DR124" authorId="0" shapeId="0" xr:uid="{60EBF64D-817D-495F-B4C3-13113CB88163}">
      <text>
        <r>
          <rPr>
            <sz val="8"/>
            <color indexed="81"/>
            <rFont val="Calibri"/>
            <family val="2"/>
          </rPr>
          <t>310 @ 45.66 al 12.02.26 17:23</t>
        </r>
      </text>
    </comment>
    <comment ref="AA125" authorId="0" shapeId="0" xr:uid="{E0BB85B3-47E1-4E0E-BC9B-359DE91EA121}">
      <text>
        <r>
          <rPr>
            <sz val="8"/>
            <color indexed="81"/>
            <rFont val="Calibri"/>
            <family val="2"/>
          </rPr>
          <t>-75 @ 53.12 al 12.02.26 16:30</t>
        </r>
      </text>
    </comment>
    <comment ref="AT125" authorId="0" shapeId="0" xr:uid="{3EC1A8C6-FB4A-4D6F-9157-560C294CB223}">
      <text>
        <r>
          <rPr>
            <sz val="8"/>
            <color indexed="81"/>
            <rFont val="Calibri"/>
            <family val="2"/>
          </rPr>
          <t>-225 @ 53.12 al 12.02.26 16:30</t>
        </r>
      </text>
    </comment>
    <comment ref="BM125" authorId="0" shapeId="0" xr:uid="{26CD2D08-F472-410A-AB95-57CFAC9FF167}">
      <text>
        <r>
          <rPr>
            <sz val="8"/>
            <color indexed="81"/>
            <rFont val="Calibri"/>
            <family val="2"/>
          </rPr>
          <t>-45 @ 53.12 al 12.02.26 16:30</t>
        </r>
      </text>
    </comment>
    <comment ref="CF125" authorId="0" shapeId="0" xr:uid="{BE5EF1D4-E1B5-4A4A-9DA7-6681270F49FC}">
      <text>
        <r>
          <rPr>
            <sz val="8"/>
            <color indexed="81"/>
            <rFont val="Calibri"/>
            <family val="2"/>
          </rPr>
          <t>-100 @ 53.12 al 12.02.26 16:30</t>
        </r>
      </text>
    </comment>
    <comment ref="DR129" authorId="0" shapeId="0" xr:uid="{5D3FC173-367B-429A-A852-9200DEC47F79}">
      <text>
        <r>
          <rPr>
            <sz val="8"/>
            <color indexed="81"/>
            <rFont val="Calibri"/>
            <family val="2"/>
          </rPr>
          <t>200 @ 51.57 al 10.02.26 17:05</t>
        </r>
      </text>
    </comment>
    <comment ref="AA134" authorId="0" shapeId="0" xr:uid="{5D4E9BB0-5B9E-4861-B370-57579E289D5F}">
      <text>
        <r>
          <rPr>
            <sz val="8"/>
            <color indexed="81"/>
            <rFont val="Calibri"/>
            <family val="2"/>
          </rPr>
          <t>1800 @ 9.41 al 12.02.26 17:29</t>
        </r>
      </text>
    </comment>
    <comment ref="AT134" authorId="0" shapeId="0" xr:uid="{5D38B0C1-C794-4315-90CF-76675437069B}">
      <text>
        <r>
          <rPr>
            <sz val="8"/>
            <color indexed="81"/>
            <rFont val="Calibri"/>
            <family val="2"/>
          </rPr>
          <t>5500 @ 9.41 al 12.02.26 17:29</t>
        </r>
      </text>
    </comment>
    <comment ref="BM134" authorId="0" shapeId="0" xr:uid="{7F0A3DF4-579F-4C73-B3D5-2B42D1187E85}">
      <text>
        <r>
          <rPr>
            <sz val="8"/>
            <color indexed="81"/>
            <rFont val="Calibri"/>
            <family val="2"/>
          </rPr>
          <t>900 @ 9.41 al 12.02.26 17:29</t>
        </r>
      </text>
    </comment>
    <comment ref="CF134" authorId="0" shapeId="0" xr:uid="{C43BF0BD-BD71-499B-9AD5-B97D01F26F38}">
      <text>
        <r>
          <rPr>
            <sz val="8"/>
            <color indexed="81"/>
            <rFont val="Calibri"/>
            <family val="2"/>
          </rPr>
          <t>2800 @ 9.41 al 12.02.26 17:29</t>
        </r>
      </text>
    </comment>
    <comment ref="CY134" authorId="0" shapeId="0" xr:uid="{A119F963-1404-4776-8C42-196068ADA6CA}">
      <text>
        <r>
          <rPr>
            <sz val="8"/>
            <color indexed="81"/>
            <rFont val="Calibri"/>
            <family val="2"/>
          </rPr>
          <t>7700 @ 9.24 al 03.02.26 18:07
3800 @ 9.45 al 12.02.26 16:23</t>
        </r>
      </text>
    </comment>
    <comment ref="DR134" authorId="0" shapeId="0" xr:uid="{A6419190-CDEB-4709-A5A0-BDD90B616059}">
      <text>
        <r>
          <rPr>
            <sz val="8"/>
            <color indexed="81"/>
            <rFont val="Calibri"/>
            <family val="2"/>
          </rPr>
          <t>1570 @ 9.23 al 12.02.26 16:16
750 @ 9.45 al 12.02.26 17:24</t>
        </r>
      </text>
    </comment>
    <comment ref="AW136" authorId="0" shapeId="0" xr:uid="{E5795E2E-D590-4615-9EF5-3AF8629EDDBA}">
      <text>
        <r>
          <rPr>
            <b/>
            <sz val="9"/>
            <color indexed="81"/>
            <rFont val="Tahoma"/>
            <family val="2"/>
          </rPr>
          <t>Stefano Morniroli:</t>
        </r>
        <r>
          <rPr>
            <sz val="9"/>
            <color indexed="81"/>
            <rFont val="Tahoma"/>
            <family val="2"/>
          </rPr>
          <t xml:space="preserve">
O trasmesso telefonicmante a Milo 21.09.21 - 1727</t>
        </r>
      </text>
    </comment>
    <comment ref="AA139" authorId="0" shapeId="0" xr:uid="{C7BE7936-533D-47C0-9032-4B8C3FF552DE}">
      <text>
        <r>
          <rPr>
            <sz val="8"/>
            <color indexed="81"/>
            <rFont val="Calibri"/>
            <family val="2"/>
          </rPr>
          <t>500 @ 18.34  al 25.06.21 16:45</t>
        </r>
      </text>
    </comment>
    <comment ref="BM139" authorId="1" shapeId="0" xr:uid="{EF7D7C4F-AD98-4A9B-ACB8-B988FD43D933}">
      <text>
        <r>
          <rPr>
            <sz val="8"/>
            <color indexed="81"/>
            <rFont val="Calibri"/>
            <family val="2"/>
          </rPr>
          <t>280 @ 23.16 al 14.09.23 12:21</t>
        </r>
      </text>
    </comment>
    <comment ref="CF139" authorId="0" shapeId="0" xr:uid="{CD8A8DB7-E921-4B35-8A1D-B0A2FC9E4D94}">
      <text>
        <r>
          <rPr>
            <sz val="8"/>
            <color indexed="81"/>
            <rFont val="Calibri"/>
            <family val="2"/>
          </rPr>
          <t>720 @ 27.09 al 04.10.24 12:06</t>
        </r>
      </text>
    </comment>
    <comment ref="AA143" authorId="0" shapeId="0" xr:uid="{C2D7FEC2-B5B1-41D8-8360-5BE3A8281E60}">
      <text>
        <r>
          <rPr>
            <sz val="8"/>
            <color indexed="81"/>
            <rFont val="Calibri"/>
            <family val="2"/>
          </rPr>
          <t>250 @ 52.19 al 02.09.25 16:51</t>
        </r>
      </text>
    </comment>
    <comment ref="AT143" authorId="0" shapeId="0" xr:uid="{12F759F8-53AA-4C3F-8A9B-5DE9962DA3AD}">
      <text>
        <r>
          <rPr>
            <sz val="8"/>
            <color indexed="81"/>
            <rFont val="Calibri"/>
            <family val="2"/>
          </rPr>
          <t>775 @ 52.19 al 02.09.25 16:51</t>
        </r>
      </text>
    </comment>
    <comment ref="CF143" authorId="0" shapeId="0" xr:uid="{E06EFA89-AFCE-4716-BCDD-325C1AD2A152}">
      <text>
        <r>
          <rPr>
            <sz val="8"/>
            <color indexed="81"/>
            <rFont val="Calibri"/>
            <family val="2"/>
          </rPr>
          <t>380 @ 52.19 al 02.09.25 16:51</t>
        </r>
      </text>
    </comment>
    <comment ref="CY143" authorId="0" shapeId="0" xr:uid="{FC3646B8-57DF-4DCF-BD05-5D5A28AAE77A}">
      <text>
        <r>
          <rPr>
            <sz val="8"/>
            <color indexed="81"/>
            <rFont val="Calibri"/>
            <family val="2"/>
          </rPr>
          <t>1650 @ 52.18 al 02.09.25 16:41</t>
        </r>
      </text>
    </comment>
    <comment ref="DR143" authorId="0" shapeId="0" xr:uid="{6E23426E-D9DD-4509-A4D5-3B9BBB13A6B9}">
      <text>
        <r>
          <rPr>
            <sz val="8"/>
            <color indexed="81"/>
            <rFont val="Calibri"/>
            <family val="2"/>
          </rPr>
          <t>350 @ 54.18 al 10.02.26 17:06</t>
        </r>
      </text>
    </comment>
    <comment ref="AA144" authorId="0" shapeId="0" xr:uid="{348F389A-5CA2-4415-B5CC-67B65A2B2F55}">
      <text>
        <r>
          <rPr>
            <sz val="8"/>
            <color indexed="81"/>
            <rFont val="Calibri"/>
            <family val="2"/>
          </rPr>
          <t>140 @ 68.38 al 25.09.24 16:20</t>
        </r>
      </text>
    </comment>
    <comment ref="BM144" authorId="0" shapeId="0" xr:uid="{F8C69A96-0E22-4BBC-B545-F0D2A415AF2B}">
      <text>
        <r>
          <rPr>
            <sz val="8"/>
            <color indexed="81"/>
            <rFont val="Calibri"/>
            <family val="2"/>
          </rPr>
          <t>145 @ 68.38 al 25.09.24 16:20</t>
        </r>
      </text>
    </comment>
    <comment ref="CF144" authorId="0" shapeId="0" xr:uid="{8532EF69-64FF-4F45-96B6-9E314D4CBEB2}">
      <text>
        <r>
          <rPr>
            <sz val="8"/>
            <color indexed="81"/>
            <rFont val="Calibri"/>
            <family val="2"/>
          </rPr>
          <t>400 @ 68.38 al 25.09.24 16:20</t>
        </r>
      </text>
    </comment>
    <comment ref="CY144" authorId="0" shapeId="0" xr:uid="{100386D0-BFE4-474E-B7DD-5DDC4829F42A}">
      <text>
        <r>
          <rPr>
            <sz val="8"/>
            <color indexed="81"/>
            <rFont val="Calibri"/>
            <family val="2"/>
          </rPr>
          <t>1080 @ 68.38 al 25.09.24 16:20
-900 @ 60.96 al 25.06.25 10:38</t>
        </r>
      </text>
    </comment>
    <comment ref="AT145" authorId="0" shapeId="0" xr:uid="{B5CB5FCE-4E3B-474D-AFDD-BC7204C139DB}">
      <text>
        <r>
          <rPr>
            <sz val="8"/>
            <color indexed="81"/>
            <rFont val="Calibri"/>
            <family val="2"/>
          </rPr>
          <t>100 @ 80.72 al 25.09.24 16:19
-90 @ 82.56 al 01.07.25 15:56</t>
        </r>
      </text>
    </comment>
    <comment ref="F151" authorId="0" shapeId="0" xr:uid="{9ED197DC-CF68-4E04-A132-212CD2B5CFF3}">
      <text>
        <r>
          <rPr>
            <sz val="9"/>
            <color indexed="81"/>
            <rFont val="Tahoma"/>
            <family val="2"/>
          </rPr>
          <t xml:space="preserve">Cut-Off Time: 14:45
Valuta: T+3 (lavorativi)
</t>
        </r>
      </text>
    </comment>
    <comment ref="AT153" authorId="0" shapeId="0" xr:uid="{FD10F763-B9A3-4BD6-84DB-A6A94AFD2E6F}">
      <text>
        <r>
          <rPr>
            <sz val="8"/>
            <color indexed="81"/>
            <rFont val="Calibri"/>
            <family val="2"/>
          </rPr>
          <t>-965 @ 27.48 al 01.07.25 15:51</t>
        </r>
      </text>
    </comment>
    <comment ref="BM153" authorId="1" shapeId="0" xr:uid="{AEA3BD4C-8442-417D-86F7-BDFF8B5A7093}">
      <text>
        <r>
          <rPr>
            <sz val="8"/>
            <color indexed="81"/>
            <rFont val="Calibri"/>
            <family val="2"/>
          </rPr>
          <t>-340 @ 19.99 al 14.09.23 12:20</t>
        </r>
      </text>
    </comment>
    <comment ref="CF153" authorId="0" shapeId="0" xr:uid="{584B3FB0-9489-40A3-9398-98430A3244C4}">
      <text>
        <r>
          <rPr>
            <sz val="8"/>
            <color indexed="81"/>
            <rFont val="Calibri"/>
            <family val="2"/>
          </rPr>
          <t>-490 @ 27.48 al 01.07.25 15:51</t>
        </r>
      </text>
    </comment>
    <comment ref="EJ156" authorId="0" shapeId="0" xr:uid="{8D778EE4-18F2-4974-87D3-EB92BBD7B9C9}">
      <text>
        <r>
          <rPr>
            <sz val="8"/>
            <color indexed="81"/>
            <rFont val="Calibri"/>
            <family val="2"/>
          </rPr>
          <t>-200 @ 41.23 al 05.11.24 20:59</t>
        </r>
      </text>
    </comment>
    <comment ref="EJ157" authorId="0" shapeId="0" xr:uid="{5B0A0B46-BBDF-48F7-B298-24D93A6C2AAB}">
      <text>
        <r>
          <rPr>
            <sz val="8"/>
            <color indexed="81"/>
            <rFont val="Calibri"/>
            <family val="2"/>
          </rPr>
          <t>1500 @ 8.93  al 07.06.21 16:07
1000 @ 6.68 al 04.09.23 16:13</t>
        </r>
      </text>
    </comment>
    <comment ref="EJ158" authorId="1" shapeId="0" xr:uid="{3841D1E3-3152-4BB2-A251-4788B98ED4C5}">
      <text>
        <r>
          <rPr>
            <sz val="9"/>
            <color indexed="81"/>
            <rFont val="Calibri"/>
            <family val="2"/>
            <scheme val="minor"/>
          </rPr>
          <t xml:space="preserve">500 @ 7.96 al 12.04.22 17:50
</t>
        </r>
      </text>
    </comment>
    <comment ref="AA159" authorId="0" shapeId="0" xr:uid="{E1777CC8-D962-4673-AB0F-99C4AA893C53}">
      <text>
        <r>
          <rPr>
            <sz val="8"/>
            <color indexed="81"/>
            <rFont val="Calibri"/>
            <family val="2"/>
          </rPr>
          <t>200 @ 71.47 al 20.02.26 13:44</t>
        </r>
      </text>
    </comment>
    <comment ref="AT159" authorId="0" shapeId="0" xr:uid="{EF500F68-A963-40AA-9543-B86AF3CDBAFA}">
      <text>
        <r>
          <rPr>
            <sz val="8"/>
            <color indexed="81"/>
            <rFont val="Calibri"/>
            <family val="2"/>
          </rPr>
          <t>625 @ 71.47 al 20.02.26 13:44</t>
        </r>
      </text>
    </comment>
    <comment ref="BM159" authorId="0" shapeId="0" xr:uid="{2AA10106-8E3B-44B7-A269-F32268E7F9AE}">
      <text>
        <r>
          <rPr>
            <sz val="8"/>
            <color indexed="81"/>
            <rFont val="Calibri"/>
            <family val="2"/>
          </rPr>
          <t>90 @ 71.47 al 20.02.26 13:44</t>
        </r>
      </text>
    </comment>
    <comment ref="CF159" authorId="0" shapeId="0" xr:uid="{6922EF81-4C91-4635-B210-C32B6810317B}">
      <text>
        <r>
          <rPr>
            <sz val="8"/>
            <color indexed="81"/>
            <rFont val="Calibri"/>
            <family val="2"/>
          </rPr>
          <t>320 @ 71.47 al 20.02.26 13:44</t>
        </r>
      </text>
    </comment>
    <comment ref="CY159" authorId="0" shapeId="0" xr:uid="{FD5A2229-06C8-4793-A9CB-9A57E79E1532}">
      <text>
        <r>
          <rPr>
            <sz val="8"/>
            <color indexed="81"/>
            <rFont val="Calibri"/>
            <family val="2"/>
          </rPr>
          <t>1300 @ 71.44 al 20.02.26 13:38</t>
        </r>
      </text>
    </comment>
    <comment ref="DR159" authorId="0" shapeId="0" xr:uid="{4E3CB7D7-8EE4-4DF2-9CF9-F3321BAF2E68}">
      <text>
        <r>
          <rPr>
            <sz val="8"/>
            <color indexed="81"/>
            <rFont val="Calibri"/>
            <family val="2"/>
          </rPr>
          <t>260 @ 71.57 al 20.02.26 13:43</t>
        </r>
      </text>
    </comment>
    <comment ref="AA171" authorId="1" shapeId="0" xr:uid="{1E1856E2-70B4-4705-A4B0-D4D0BC8D96AA}">
      <text>
        <r>
          <rPr>
            <sz val="8"/>
            <color indexed="81"/>
            <rFont val="Calibri"/>
            <family val="2"/>
          </rPr>
          <t>125 @ 71.49 al 08.09.23 16:22</t>
        </r>
      </text>
    </comment>
    <comment ref="CF171" authorId="1" shapeId="0" xr:uid="{9FE0F0E2-8B8A-49A4-B67B-7C2FA9C511E2}">
      <text>
        <r>
          <rPr>
            <sz val="8"/>
            <color indexed="81"/>
            <rFont val="Calibri"/>
            <family val="2"/>
          </rPr>
          <t>175 @ 71.49 al 08.09.23 16:22</t>
        </r>
      </text>
    </comment>
    <comment ref="CY171" authorId="0" shapeId="0" xr:uid="{7313C1A7-A46D-42D2-A0B7-000A0CA709FB}">
      <text>
        <r>
          <rPr>
            <sz val="8"/>
            <color indexed="81"/>
            <rFont val="Calibri"/>
            <family val="2"/>
          </rPr>
          <t>500 @ 113.08 al 30.07.25 14:25
500 @ 165.66 al 20.02.26 10:54</t>
        </r>
      </text>
    </comment>
    <comment ref="DR171" authorId="0" shapeId="0" xr:uid="{C23542D7-0BB3-48E0-91AB-E9102E26DADF}">
      <text>
        <r>
          <rPr>
            <sz val="8"/>
            <color indexed="81"/>
            <rFont val="Calibri"/>
            <family val="2"/>
          </rPr>
          <t>300 @ 114.18 al 01.07.25 16:12</t>
        </r>
      </text>
    </comment>
    <comment ref="AA173" authorId="0" shapeId="0" xr:uid="{6CEDC7C8-75C0-4F44-A186-89353FDD8A1D}">
      <text>
        <r>
          <rPr>
            <sz val="8"/>
            <color indexed="81"/>
            <rFont val="Calibri"/>
            <family val="2"/>
          </rPr>
          <t>60 @  al 21.06.21 10:32</t>
        </r>
      </text>
    </comment>
    <comment ref="DR174" authorId="0" shapeId="0" xr:uid="{1DC6B59F-E760-48D1-BD48-BB95289BBF3B}">
      <text>
        <r>
          <rPr>
            <sz val="8"/>
            <color indexed="81"/>
            <rFont val="Calibri"/>
            <family val="2"/>
          </rPr>
          <t>70 @ 306.70 al 30.07.25 15:02
40 @ 464.18 al 20.02.26 17:27</t>
        </r>
      </text>
    </comment>
    <comment ref="FC176" authorId="0" shapeId="0" xr:uid="{C23F65C1-AFAC-49A6-8194-1743F4D5240A}">
      <text>
        <r>
          <rPr>
            <sz val="8"/>
            <color indexed="81"/>
            <rFont val="Calibri"/>
            <family val="2"/>
          </rPr>
          <t>-777 @ 840.00 al 14.10.25 09:22</t>
        </r>
      </text>
    </comment>
    <comment ref="AT177" authorId="0" shapeId="0" xr:uid="{B8E0EB58-C56E-4107-BF7E-46441342E61A}">
      <text>
        <r>
          <rPr>
            <sz val="8"/>
            <color indexed="81"/>
            <rFont val="Calibri"/>
            <family val="2"/>
          </rPr>
          <t>5 @  al 21.06.21 10:31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A10" authorId="0" shapeId="0" xr:uid="{74E732D7-E7C1-40B7-8DF2-23337A42154C}">
      <text>
        <r>
          <rPr>
            <sz val="9"/>
            <color indexed="81"/>
            <rFont val="Tahoma"/>
            <family val="2"/>
          </rPr>
          <t>2025 + 12.71%
2024 + 11.61%
2023 +  4.10% (?)
2022 - 11.20%
2021 +  6.86%
2020 +  4.79%
2019 +  6.73%
2018 - 11.59%
2017 +  6.67%
2016 +  2.62%</t>
        </r>
      </text>
    </comment>
    <comment ref="AA17" authorId="0" shapeId="0" xr:uid="{609400B5-A4FC-402A-985F-C83A6C97ED94}">
      <text>
        <r>
          <rPr>
            <sz val="8"/>
            <color indexed="81"/>
            <rFont val="Calibri"/>
            <family val="2"/>
          </rPr>
          <t>-5000 @ 1.00 al 27.01.25 16:38
17000 @ 1.00 al 26.06.25 16:50</t>
        </r>
      </text>
    </comment>
    <comment ref="AA18" authorId="0" shapeId="0" xr:uid="{0EE657EF-BCF1-440A-998F-3EE773D2F089}">
      <text>
        <r>
          <rPr>
            <sz val="8"/>
            <color indexed="81"/>
            <rFont val="Calibri"/>
            <family val="2"/>
          </rPr>
          <t>27000 @ 1.00 al 20.02.26 11:48</t>
        </r>
      </text>
    </comment>
    <comment ref="AA24" authorId="0" shapeId="0" xr:uid="{A5A8F465-C735-40C1-A7B0-3EBC54FE2C1E}">
      <text>
        <r>
          <rPr>
            <sz val="8"/>
            <color indexed="81"/>
            <rFont val="Calibri"/>
            <family val="2"/>
          </rPr>
          <t>10000 @ 98.75% al 04.12.25 11:56</t>
        </r>
      </text>
    </comment>
    <comment ref="AA39" authorId="0" shapeId="0" xr:uid="{A9B23DD1-BD44-4E08-9543-1ED6EE734CD0}">
      <text>
        <r>
          <rPr>
            <sz val="8"/>
            <color indexed="81"/>
            <rFont val="Calibri"/>
            <family val="2"/>
          </rPr>
          <t>225 @ 70.44 al 02.03.26 10:39</t>
        </r>
      </text>
    </comment>
    <comment ref="AA40" authorId="0" shapeId="0" xr:uid="{FB73A043-AA1F-4177-87D8-F74625E09E14}">
      <text>
        <r>
          <rPr>
            <sz val="8"/>
            <color indexed="81"/>
            <rFont val="Calibri"/>
            <family val="2"/>
          </rPr>
          <t>220 @ 72.72 al 29.01.26 16:35</t>
        </r>
      </text>
    </comment>
    <comment ref="AA41" authorId="0" shapeId="0" xr:uid="{8DB6EE21-6D03-4181-A0A9-B9A99EA76EB6}">
      <text>
        <r>
          <rPr>
            <sz val="8"/>
            <color indexed="81"/>
            <rFont val="Calibri"/>
            <family val="2"/>
          </rPr>
          <t>10 @ 1’336.40 al 29.01.26 16:43</t>
        </r>
      </text>
    </comment>
    <comment ref="AA42" authorId="0" shapeId="0" xr:uid="{3838098A-638C-4CCF-89D3-DC34A65CB6E1}">
      <text>
        <r>
          <rPr>
            <sz val="8"/>
            <color indexed="81"/>
            <rFont val="Calibri"/>
            <family val="2"/>
          </rPr>
          <t>100 @ 152.36 al 17.02.26 11:37</t>
        </r>
      </text>
    </comment>
    <comment ref="AA43" authorId="0" shapeId="0" xr:uid="{B64EA2F4-C5F7-4A55-BCCD-39192BC8A3BF}">
      <text>
        <r>
          <rPr>
            <sz val="8"/>
            <color indexed="81"/>
            <rFont val="Calibri"/>
            <family val="2"/>
          </rPr>
          <t>170 @ 95.91 al 02.03.26 10:42</t>
        </r>
      </text>
    </comment>
    <comment ref="AA44" authorId="0" shapeId="0" xr:uid="{35E5E6A3-FFD4-44D4-84E5-E38358046D8E}">
      <text>
        <r>
          <rPr>
            <sz val="8"/>
            <color indexed="81"/>
            <rFont val="Calibri"/>
            <family val="2"/>
          </rPr>
          <t>250 @ 46.11 al 28.09.21 16:33</t>
        </r>
      </text>
    </comment>
    <comment ref="AA45" authorId="0" shapeId="0" xr:uid="{10CA18BC-2B06-48F8-BC01-A53B4E562DF0}">
      <text>
        <r>
          <rPr>
            <sz val="8"/>
            <color indexed="81"/>
            <rFont val="Calibri"/>
            <family val="2"/>
          </rPr>
          <t>100 @ 155.79 al 29.01.26 16:38</t>
        </r>
      </text>
    </comment>
    <comment ref="AA46" authorId="0" shapeId="0" xr:uid="{B5DB9608-6AAF-4FFD-94B2-FDF066DF3728}">
      <text>
        <r>
          <rPr>
            <sz val="8"/>
            <color indexed="81"/>
            <rFont val="Calibri"/>
            <family val="2"/>
          </rPr>
          <t>15 @ 591.00 al 27.01.25 16:16
15 @ 538.00 al 29.01.26 16:47</t>
        </r>
      </text>
    </comment>
    <comment ref="AA47" authorId="0" shapeId="0" xr:uid="{3814B75D-3F37-41ED-A9A1-4FCB13A68F48}">
      <text>
        <r>
          <rPr>
            <sz val="8"/>
            <color indexed="81"/>
            <rFont val="Calibri"/>
            <family val="2"/>
          </rPr>
          <t>45 @ 244.89 al 13.06.24 14:49</t>
        </r>
      </text>
    </comment>
    <comment ref="AA48" authorId="1" shapeId="0" xr:uid="{3EB6F1EE-7280-4040-B074-F35C42B0538C}">
      <text>
        <r>
          <rPr>
            <sz val="8"/>
            <color indexed="81"/>
            <rFont val="Calibri"/>
            <family val="2"/>
          </rPr>
          <t>357 @ 25.15 al 02.11.23 15:40
-130 @ 39.69 al 18.11.24 16:22</t>
        </r>
      </text>
    </comment>
    <comment ref="AA50" authorId="0" shapeId="0" xr:uid="{8DD7B578-870A-48E7-9004-11EE8206EA67}">
      <text>
        <r>
          <rPr>
            <sz val="8"/>
            <color indexed="81"/>
            <rFont val="Calibri"/>
            <family val="2"/>
          </rPr>
          <t>360 @ 43.77 al 29.01.26 16:51</t>
        </r>
      </text>
    </comment>
    <comment ref="AA51" authorId="0" shapeId="0" xr:uid="{B36B4335-0BFA-4366-80F7-68DA3B37EA0B}">
      <text>
        <r>
          <rPr>
            <sz val="8"/>
            <color indexed="81"/>
            <rFont val="Calibri"/>
            <family val="2"/>
          </rPr>
          <t>15 @ 537.50 al 24.04.25 19:07</t>
        </r>
      </text>
    </comment>
    <comment ref="AA52" authorId="0" shapeId="0" xr:uid="{95E8B2FE-BB67-4BFE-9FE0-61FDA2974619}">
      <text>
        <r>
          <rPr>
            <sz val="8"/>
            <color indexed="81"/>
            <rFont val="Calibri"/>
            <family val="2"/>
          </rPr>
          <t>70 @ 113.00 al 24.04.25 09:57
50 @ 131.50 al 29.01.26 16:42</t>
        </r>
      </text>
    </comment>
    <comment ref="AA57" authorId="0" shapeId="0" xr:uid="{518DE655-6B6F-486C-9DCD-4642D42C0739}">
      <text>
        <r>
          <rPr>
            <sz val="8"/>
            <color indexed="81"/>
            <rFont val="Calibri"/>
            <family val="2"/>
          </rPr>
          <t>90 @ 123.05  al 26.06.25 16:49</t>
        </r>
      </text>
    </comment>
    <comment ref="AA58" authorId="0" shapeId="0" xr:uid="{0EC0D76D-E21C-4763-BEF7-A0FB7CF86F06}">
      <text>
        <r>
          <rPr>
            <sz val="8"/>
            <color indexed="81"/>
            <rFont val="Calibri"/>
            <family val="2"/>
          </rPr>
          <t>230 @ 47.39  al 24.04.25 09:46</t>
        </r>
      </text>
    </comment>
    <comment ref="AA59" authorId="0" shapeId="0" xr:uid="{71CFE96B-A8F9-46BD-A51F-D4226A158E44}">
      <text>
        <r>
          <rPr>
            <sz val="8"/>
            <color indexed="81"/>
            <rFont val="Calibri"/>
            <family val="2"/>
          </rPr>
          <t>135 @ 84.97  al 08.09.25 17:03</t>
        </r>
      </text>
    </comment>
    <comment ref="AA60" authorId="0" shapeId="0" xr:uid="{643DC0E0-A01A-43A0-8C4F-533EFAA6DBAA}">
      <text>
        <r>
          <rPr>
            <sz val="8"/>
            <color indexed="81"/>
            <rFont val="Calibri"/>
            <family val="2"/>
          </rPr>
          <t>115 @ 104.96  al 04.12.25 18:22</t>
        </r>
      </text>
    </comment>
    <comment ref="AA61" authorId="0" shapeId="0" xr:uid="{0ED4FB5B-A1A8-4F2D-94D1-90A6049F7D8B}">
      <text>
        <r>
          <rPr>
            <sz val="8"/>
            <color indexed="81"/>
            <rFont val="Calibri"/>
            <family val="2"/>
          </rPr>
          <t>310 @ 44.24  al 29.01.26 17:30</t>
        </r>
      </text>
    </comment>
    <comment ref="AA62" authorId="0" shapeId="0" xr:uid="{6A38E8BC-859F-4744-A843-8EB460617BCD}">
      <text>
        <r>
          <rPr>
            <sz val="8"/>
            <color indexed="81"/>
            <rFont val="Calibri"/>
            <family val="2"/>
          </rPr>
          <t>250 @ 43.52  al 24.04.25 09:51</t>
        </r>
      </text>
    </comment>
    <comment ref="AA71" authorId="0" shapeId="0" xr:uid="{B59A7570-DDCF-4141-927C-A6B74972BB9D}">
      <text>
        <r>
          <rPr>
            <sz val="8"/>
            <color indexed="81"/>
            <rFont val="Calibri"/>
            <family val="2"/>
          </rPr>
          <t>340 @ 41.57  al 14.11.24 17:43</t>
        </r>
      </text>
    </comment>
    <comment ref="AA73" authorId="0" shapeId="0" xr:uid="{FD91405B-657A-467E-90C4-BACA2084F7C8}">
      <text>
        <r>
          <rPr>
            <sz val="8"/>
            <color indexed="81"/>
            <rFont val="Calibri"/>
            <family val="2"/>
          </rPr>
          <t>120 @ 168.89  al 03.02.26 17:59</t>
        </r>
      </text>
    </comment>
    <comment ref="AA75" authorId="0" shapeId="0" xr:uid="{FED06CA5-67F9-428C-B527-60CB5B3FB142}">
      <text>
        <r>
          <rPr>
            <sz val="8"/>
            <color indexed="81"/>
            <rFont val="Calibri"/>
            <family val="2"/>
          </rPr>
          <t>450 @ 45.55  al 12.02.26 17:39</t>
        </r>
      </text>
    </comment>
    <comment ref="AA81" authorId="0" shapeId="0" xr:uid="{66754806-B3E4-45FC-8DA1-AF9B2F7539D5}">
      <text>
        <r>
          <rPr>
            <sz val="8"/>
            <color indexed="81"/>
            <rFont val="Calibri"/>
            <family val="2"/>
          </rPr>
          <t>3400 @ 9.41  al 12.02.26 17:30</t>
        </r>
      </text>
    </comment>
    <comment ref="AA87" authorId="0" shapeId="0" xr:uid="{A1611E53-ADF5-4281-9AD1-017F41D2CB88}">
      <text>
        <r>
          <rPr>
            <sz val="8"/>
            <color indexed="81"/>
            <rFont val="Calibri"/>
            <family val="2"/>
          </rPr>
          <t>320 @ 52.17  al 02.09.25 16:51</t>
        </r>
      </text>
    </comment>
    <comment ref="AA88" authorId="0" shapeId="0" xr:uid="{8E18E70D-8B1B-493C-9EFD-FDD937C6F6F3}">
      <text>
        <r>
          <rPr>
            <sz val="8"/>
            <color indexed="81"/>
            <rFont val="Calibri"/>
            <family val="2"/>
          </rPr>
          <t>135 @ 68.38  al 25.09.24 16:21
-115 @ 69.39  al 01.07.25 15:54</t>
        </r>
      </text>
    </comment>
    <comment ref="AA94" authorId="0" shapeId="0" xr:uid="{48DFC01B-1F12-40BB-B024-9381336247EA}">
      <text>
        <r>
          <rPr>
            <sz val="8"/>
            <color indexed="81"/>
            <rFont val="Calibri"/>
            <family val="2"/>
          </rPr>
          <t>-280 @ 27.48  al 01.07.25 15:52</t>
        </r>
      </text>
    </comment>
    <comment ref="AA98" authorId="0" shapeId="0" xr:uid="{D39A6035-4222-4927-A13E-A418A1806178}">
      <text>
        <r>
          <rPr>
            <sz val="8"/>
            <color indexed="81"/>
            <rFont val="Calibri"/>
            <family val="2"/>
          </rPr>
          <t>350 @ 71.47  al 20.02.26 13:44</t>
        </r>
      </text>
    </comment>
    <comment ref="AA110" authorId="0" shapeId="0" xr:uid="{D2281A4A-B153-4253-9AD9-610AB5F89296}">
      <text>
        <r>
          <rPr>
            <sz val="8"/>
            <color indexed="81"/>
            <rFont val="Calibri"/>
            <family val="2"/>
          </rPr>
          <t>165 @ 114.11  al 01.07.25 16:13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AA5" authorId="0" shapeId="0" xr:uid="{3082AF70-7EE1-43B6-9886-C17F610E11FF}">
      <text>
        <r>
          <rPr>
            <b/>
            <sz val="9"/>
            <color indexed="81"/>
            <rFont val="Tahoma"/>
            <family val="2"/>
          </rPr>
          <t>Iniziale 03.03.23: EUR 120K</t>
        </r>
        <r>
          <rPr>
            <sz val="9"/>
            <color indexed="81"/>
            <rFont val="Tahoma"/>
            <family val="2"/>
          </rPr>
          <t xml:space="preserve">
</t>
        </r>
      </text>
    </comment>
    <comment ref="AA10" authorId="1" shapeId="0" xr:uid="{5CD4A799-63E3-402B-B926-93AE189690E3}">
      <text>
        <r>
          <rPr>
            <sz val="9"/>
            <color indexed="81"/>
            <rFont val="Tahoma"/>
            <family val="2"/>
          </rPr>
          <t xml:space="preserve">2025 +  8.72%
2024 +  3.36%
2023 +  1.35%
</t>
        </r>
      </text>
    </comment>
    <comment ref="AA23" authorId="1" shapeId="0" xr:uid="{E1D85D07-6A34-478A-9186-2068B88D2910}">
      <text>
        <r>
          <rPr>
            <sz val="8"/>
            <color indexed="81"/>
            <rFont val="Calibri"/>
            <family val="2"/>
          </rPr>
          <t>10000 @ 95.11% al 27.09.24 13:06</t>
        </r>
      </text>
    </comment>
    <comment ref="AA24" authorId="1" shapeId="0" xr:uid="{F3220625-7F50-4177-8826-886346A535D1}">
      <text>
        <r>
          <rPr>
            <sz val="8"/>
            <color indexed="81"/>
            <rFont val="Calibri"/>
            <family val="2"/>
          </rPr>
          <t>10000 @ 98.50% al 26.09.24 16:57</t>
        </r>
      </text>
    </comment>
    <comment ref="AA25" authorId="1" shapeId="0" xr:uid="{1833F087-E442-406D-B7A3-FD238FBA51EC}">
      <text>
        <r>
          <rPr>
            <sz val="8"/>
            <color indexed="81"/>
            <rFont val="Calibri"/>
            <family val="2"/>
          </rPr>
          <t>10000 @ 95.77% al 27.09.24 16:02</t>
        </r>
      </text>
    </comment>
    <comment ref="AA26" authorId="1" shapeId="0" xr:uid="{3DA46FF0-D5C1-4CB6-976F-180076DADC5D}">
      <text>
        <r>
          <rPr>
            <sz val="8"/>
            <color indexed="81"/>
            <rFont val="Calibri"/>
            <family val="2"/>
          </rPr>
          <t>10000 @ 91.46% al 27.09.24 16:02</t>
        </r>
      </text>
    </comment>
    <comment ref="AA27" authorId="1" shapeId="0" xr:uid="{9A86146E-9D14-4397-917A-FC3FC9B464D3}">
      <text>
        <r>
          <rPr>
            <sz val="8"/>
            <color indexed="81"/>
            <rFont val="Calibri"/>
            <family val="2"/>
          </rPr>
          <t>10000 @ 88.99% al 27.09.24 16:02</t>
        </r>
      </text>
    </comment>
    <comment ref="AA28" authorId="1" shapeId="0" xr:uid="{0460F6FD-56EB-4AA9-8CDE-33EAB527CBD9}">
      <text>
        <r>
          <rPr>
            <sz val="8"/>
            <color indexed="81"/>
            <rFont val="Calibri"/>
            <family val="2"/>
          </rPr>
          <t>10000 @ 85.41% al 29.01.25 10:53</t>
        </r>
      </text>
    </comment>
    <comment ref="AA29" authorId="1" shapeId="0" xr:uid="{D0828567-11CC-4AB3-A72C-B7D28B860310}">
      <text>
        <r>
          <rPr>
            <sz val="8"/>
            <color indexed="81"/>
            <rFont val="Calibri"/>
            <family val="2"/>
          </rPr>
          <t>5000 @ 86.60% al 30.07.25 13:59</t>
        </r>
      </text>
    </comment>
    <comment ref="AA30" authorId="1" shapeId="0" xr:uid="{43A25739-4CC0-425C-B1ED-40AA83272315}">
      <text>
        <r>
          <rPr>
            <sz val="8"/>
            <color indexed="81"/>
            <rFont val="Calibri"/>
            <family val="2"/>
          </rPr>
          <t>5000 @ 86.25% al 30.07.25 13:59</t>
        </r>
      </text>
    </comment>
    <comment ref="AA47" authorId="0" shapeId="0" xr:uid="{39D5E1E8-82BF-4712-AFF7-8808172CD774}">
      <text>
        <r>
          <rPr>
            <sz val="8"/>
            <color indexed="81"/>
            <rFont val="Calibri"/>
            <family val="2"/>
          </rPr>
          <t>350 @ 14.11 al 14.09.23 14:38
500 @ 16.04 al 11.06.24 18:07
-430 @ 17.06 al 31.03.25 10:49</t>
        </r>
      </text>
    </comment>
    <comment ref="AA50" authorId="1" shapeId="0" xr:uid="{16416E53-F948-4FAD-B717-9626AE23DEF1}">
      <text>
        <r>
          <rPr>
            <sz val="8"/>
            <color indexed="81"/>
            <rFont val="Calibri"/>
            <family val="2"/>
          </rPr>
          <t>55 @ 104.90  al 04.12.25 18:55</t>
        </r>
      </text>
    </comment>
    <comment ref="AA51" authorId="1" shapeId="0" xr:uid="{8F39B19D-01F7-47F1-8683-F1A5747E2D09}">
      <text>
        <r>
          <rPr>
            <sz val="8"/>
            <color indexed="81"/>
            <rFont val="Calibri"/>
            <family val="2"/>
          </rPr>
          <t>90 @ 47.31  al 24.04.25 10:14</t>
        </r>
      </text>
    </comment>
    <comment ref="AA62" authorId="0" shapeId="0" xr:uid="{5442DDBA-EB92-435C-81DB-1C93E6D62603}">
      <text>
        <r>
          <rPr>
            <sz val="8"/>
            <color indexed="81"/>
            <rFont val="Calibri"/>
            <family val="2"/>
          </rPr>
          <t>50 @ 95.02  al 14.09.23 14:40
100 @ 94.54  al 14.11.23 15:41
-60 @ 114.78  al 06.09.24 16:38
-35 @ 112.08  al 24.04.25 10:14</t>
        </r>
      </text>
    </comment>
    <comment ref="AA66" authorId="1" shapeId="0" xr:uid="{55C53AAC-DD7D-45B1-B12C-03EDF8134687}">
      <text>
        <r>
          <rPr>
            <sz val="8"/>
            <color indexed="81"/>
            <rFont val="Calibri"/>
            <family val="2"/>
          </rPr>
          <t>600 @ 11.59  al 12.02.26 17:30</t>
        </r>
      </text>
    </comment>
    <comment ref="AA87" authorId="1" shapeId="0" xr:uid="{3E2075DD-C96E-4EDE-A191-059FC29FFF2F}">
      <text>
        <r>
          <rPr>
            <sz val="8"/>
            <color indexed="81"/>
            <rFont val="Calibri"/>
            <family val="2"/>
          </rPr>
          <t>230 @ 27.25  al 19.11.24 11:25</t>
        </r>
      </text>
    </comment>
    <comment ref="AA94" authorId="0" shapeId="0" xr:uid="{27F0CC2F-5DFB-43DD-AFC8-771DF00DAA17}">
      <text>
        <r>
          <rPr>
            <sz val="8"/>
            <color indexed="81"/>
            <rFont val="Calibri"/>
            <family val="2"/>
          </rPr>
          <t>140 @ 51.62  al 08.09.23 16:25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BM2" authorId="0" shapeId="0" xr:uid="{1A4D26BD-7048-4EC4-9A06-03065E055A87}">
      <text>
        <r>
          <rPr>
            <b/>
            <sz val="9"/>
            <color indexed="81"/>
            <rFont val="Tahoma"/>
            <family val="2"/>
          </rPr>
          <t>UBS: 247-158069-01</t>
        </r>
        <r>
          <rPr>
            <sz val="9"/>
            <color indexed="81"/>
            <rFont val="Tahoma"/>
            <family val="2"/>
          </rPr>
          <t xml:space="preserve">
</t>
        </r>
      </text>
    </comment>
    <comment ref="AA10" authorId="1" shapeId="0" xr:uid="{FF875101-9B13-4B1D-995E-7A97704B4B93}">
      <text>
        <r>
          <rPr>
            <sz val="10"/>
            <color indexed="81"/>
            <rFont val="Calibri"/>
            <family val="2"/>
            <scheme val="minor"/>
          </rPr>
          <t xml:space="preserve">2025 + 10.98%
2024 + 10.13%
2023 +    5.04%
2022 -  11.46%
2021 +   6.97%
2020 +   1.64%
2019 + 11.13%
2018 +   4.99%
</t>
        </r>
        <r>
          <rPr>
            <sz val="9"/>
            <color indexed="81"/>
            <rFont val="Tahoma"/>
            <family val="2"/>
          </rPr>
          <t xml:space="preserve">
</t>
        </r>
      </text>
    </comment>
    <comment ref="AT10" authorId="1" shapeId="0" xr:uid="{99D385C1-3FBD-4538-AD57-DE1CBD1863E4}">
      <text>
        <r>
          <rPr>
            <sz val="9"/>
            <color indexed="81"/>
            <rFont val="Tahoma"/>
            <family val="2"/>
          </rPr>
          <t>2025 + 11.39%
2024 + 10.70%
2023 +  5.13%
2022 - 12.58%
2021 +  7.77%
2020 +  3.18%
2019 +  8.13%
2018 +  0.00%</t>
        </r>
      </text>
    </comment>
    <comment ref="BM10" authorId="1" shapeId="0" xr:uid="{51D073E7-9CFE-4CBC-B98B-16144E5829F3}">
      <text>
        <r>
          <rPr>
            <sz val="9"/>
            <color indexed="81"/>
            <rFont val="Tahoma"/>
            <family val="2"/>
          </rPr>
          <t>2025 + 11.01%
2024 + 10.46%
2023 +  5.24%
2022 - 13.00%
2021 +  8.37%
2020 +  3.12%
2019 + 11.80%
2018 -   7.50%
2017 +  1.19%
2016 +  5.94%</t>
        </r>
      </text>
    </comment>
    <comment ref="CF10" authorId="1" shapeId="0" xr:uid="{E4D9CD18-EB7D-408C-8AD6-CE234E0D3F41}">
      <text>
        <r>
          <rPr>
            <sz val="10"/>
            <color theme="1"/>
            <rFont val="Calibri"/>
            <family val="2"/>
            <scheme val="minor"/>
          </rPr>
          <t xml:space="preserve">2025 + 12.83%
2024 + 10.01%
2023  +  4.43%
2022  - 10.20%
2021  +  6.83%
2020  -   0.01% </t>
        </r>
      </text>
    </comment>
    <comment ref="AA19" authorId="1" shapeId="0" xr:uid="{B29013C5-842C-4981-9C07-255AEF35A205}">
      <text>
        <r>
          <rPr>
            <sz val="8"/>
            <color indexed="81"/>
            <rFont val="Calibri"/>
            <family val="2"/>
          </rPr>
          <t>25000 @ 1 al 13.03.18 10:43
10000 @ 1 al 25.06.21 16:50
12407.64 @ 1 al 14.06.24 15:45</t>
        </r>
      </text>
    </comment>
    <comment ref="AT19" authorId="1" shapeId="0" xr:uid="{95D61657-3814-4DCF-BD83-E037808EE97D}">
      <text>
        <r>
          <rPr>
            <sz val="8"/>
            <color indexed="81"/>
            <rFont val="Calibri"/>
            <family val="2"/>
          </rPr>
          <t>-47428 @ 1 al 12.04.18 18:33</t>
        </r>
      </text>
    </comment>
    <comment ref="BM19" authorId="1" shapeId="0" xr:uid="{79D94EA8-1E53-44A7-B7D7-7D0A7552450F}">
      <text>
        <r>
          <rPr>
            <sz val="8"/>
            <color indexed="81"/>
            <rFont val="Calibri"/>
            <family val="2"/>
          </rPr>
          <t>5000 @ 1 al 25.06.21 16:15
-15000 @ 1.00 al 02.02.26 10:36</t>
        </r>
      </text>
    </comment>
    <comment ref="CF19" authorId="1" shapeId="0" xr:uid="{0DBB165A-3EFA-43ED-86B7-9E463206759E}">
      <text>
        <r>
          <rPr>
            <sz val="8"/>
            <color indexed="81"/>
            <rFont val="Calibri"/>
            <family val="2"/>
          </rPr>
          <t>10000 @ 1 al 15.03.21 12:03
8707 @ 1 al 11.06.24 17:13
-10000 @ 1.00 al 29.07.25 16:08</t>
        </r>
      </text>
    </comment>
    <comment ref="AA20" authorId="1" shapeId="0" xr:uid="{EBA1D588-F8BF-46E2-A921-1E4D680E43EE}">
      <text>
        <r>
          <rPr>
            <sz val="8"/>
            <color indexed="81"/>
            <rFont val="Calibri"/>
            <family val="2"/>
          </rPr>
          <t>-25000 @ 1.00 al 30.01.25 15:12</t>
        </r>
      </text>
    </comment>
    <comment ref="AT20" authorId="1" shapeId="0" xr:uid="{3685CBB9-A906-445A-A6E4-84FFB58E87B0}">
      <text>
        <r>
          <rPr>
            <sz val="8"/>
            <color indexed="81"/>
            <rFont val="Calibri"/>
            <family val="2"/>
          </rPr>
          <t>-70000 @ 1.00 al 30.01.25 15:12</t>
        </r>
      </text>
    </comment>
    <comment ref="BM20" authorId="1" shapeId="0" xr:uid="{91D47413-726F-491F-89C8-6C01230E198B}">
      <text>
        <r>
          <rPr>
            <sz val="8"/>
            <color indexed="81"/>
            <rFont val="Calibri"/>
            <family val="2"/>
          </rPr>
          <t>-45000 @ 1.00 al 30.01.25 15:12</t>
        </r>
      </text>
    </comment>
    <comment ref="CF20" authorId="1" shapeId="0" xr:uid="{F4236D44-A0C1-441B-B22D-FE07BFE0B416}">
      <text>
        <r>
          <rPr>
            <sz val="8"/>
            <color indexed="81"/>
            <rFont val="Calibri"/>
            <family val="2"/>
          </rPr>
          <t>-14000 @ 1.00 al 30.01.25 15:12</t>
        </r>
      </text>
    </comment>
    <comment ref="AA23" authorId="1" shapeId="0" xr:uid="{903D719C-ED4C-46F8-B975-EE1FCD37DED3}">
      <text>
        <r>
          <rPr>
            <sz val="8"/>
            <color indexed="81"/>
            <rFont val="Calibri"/>
            <family val="2"/>
          </rPr>
          <t>190 @ 228.92 al 10.06.21 12:39</t>
        </r>
      </text>
    </comment>
    <comment ref="AT23" authorId="1" shapeId="0" xr:uid="{B9C889B1-7070-4375-89B5-79AD3C6FF530}">
      <text>
        <r>
          <rPr>
            <sz val="8"/>
            <color indexed="81"/>
            <rFont val="Calibri"/>
            <family val="2"/>
          </rPr>
          <t>370 @ 228.92 al 10.06.21 12:39</t>
        </r>
      </text>
    </comment>
    <comment ref="BM23" authorId="1" shapeId="0" xr:uid="{EB3ACA3F-E0B6-48B8-A005-2689FBC4FD95}">
      <text>
        <r>
          <rPr>
            <sz val="8"/>
            <color indexed="81"/>
            <rFont val="Calibri"/>
            <family val="2"/>
          </rPr>
          <t>185 @  al 09.06.21 16:40</t>
        </r>
      </text>
    </comment>
    <comment ref="CF23" authorId="1" shapeId="0" xr:uid="{FA8B85CA-34EF-45FF-8CA9-FB16DDD38445}">
      <text>
        <r>
          <rPr>
            <sz val="8"/>
            <color indexed="81"/>
            <rFont val="Calibri"/>
            <family val="2"/>
          </rPr>
          <t>35 @ 228.92 al 10.06.21 12:39</t>
        </r>
      </text>
    </comment>
    <comment ref="AA24" authorId="0" shapeId="0" xr:uid="{BFC915BC-1393-4352-8B58-E7B95EBAD8A9}">
      <text>
        <r>
          <rPr>
            <sz val="8"/>
            <color indexed="81"/>
            <rFont val="Calibri"/>
            <family val="2"/>
          </rPr>
          <t>25000 @ 0.89 al 09.03.23 14:39</t>
        </r>
      </text>
    </comment>
    <comment ref="AT24" authorId="0" shapeId="0" xr:uid="{EC1BA9F8-49B3-4A7F-AE11-6E038768B444}">
      <text>
        <r>
          <rPr>
            <sz val="8"/>
            <color indexed="81"/>
            <rFont val="Calibri"/>
            <family val="2"/>
          </rPr>
          <t>40000 @ 0.89 al 09.03.23 14:39</t>
        </r>
      </text>
    </comment>
    <comment ref="BM24" authorId="0" shapeId="0" xr:uid="{1D05D249-C60A-4E14-8BAD-75C33EE6C80D}">
      <text>
        <r>
          <rPr>
            <sz val="8"/>
            <color indexed="81"/>
            <rFont val="Calibri"/>
            <family val="2"/>
          </rPr>
          <t>20000 @ 0.89 al 09.03.23 14:39</t>
        </r>
      </text>
    </comment>
    <comment ref="CF24" authorId="0" shapeId="0" xr:uid="{A66B82A6-AA8F-4D90-A413-883B0FA7399F}">
      <text>
        <r>
          <rPr>
            <sz val="8"/>
            <color indexed="81"/>
            <rFont val="Calibri"/>
            <family val="2"/>
          </rPr>
          <t>5000 @ 0.89 al 09.03.23 14:39</t>
        </r>
      </text>
    </comment>
    <comment ref="AA25" authorId="1" shapeId="0" xr:uid="{BA07F818-223F-44B8-9AC5-ED60AD9094AC}">
      <text>
        <r>
          <rPr>
            <sz val="8"/>
            <color indexed="81"/>
            <rFont val="Calibri"/>
            <family val="2"/>
          </rPr>
          <t>25000 @ 98.50% al 26.09.24 16:50</t>
        </r>
      </text>
    </comment>
    <comment ref="AT25" authorId="1" shapeId="0" xr:uid="{56F9658C-0C06-436A-931C-E7098C88CE35}">
      <text>
        <r>
          <rPr>
            <sz val="8"/>
            <color indexed="81"/>
            <rFont val="Calibri"/>
            <family val="2"/>
          </rPr>
          <t>40000 @ 98.50% al 26.09.24 16:50</t>
        </r>
      </text>
    </comment>
    <comment ref="BM25" authorId="1" shapeId="0" xr:uid="{CA66BF35-177B-46B0-AED5-4DB3EFB6A36A}">
      <text>
        <r>
          <rPr>
            <sz val="8"/>
            <color indexed="81"/>
            <rFont val="Calibri"/>
            <family val="2"/>
          </rPr>
          <t>25000 @ 98.50% al 26.09.24 16:50</t>
        </r>
      </text>
    </comment>
    <comment ref="CF25" authorId="1" shapeId="0" xr:uid="{8AF77DF5-F3B0-4A29-87A2-732B410048F4}">
      <text>
        <r>
          <rPr>
            <sz val="8"/>
            <color indexed="81"/>
            <rFont val="Calibri"/>
            <family val="2"/>
          </rPr>
          <t>5000 @ 98.50% al 26.09.24 16:50</t>
        </r>
      </text>
    </comment>
    <comment ref="AA27" authorId="1" shapeId="0" xr:uid="{DCA9134B-4BE5-4D63-A032-5D488F26ABA5}">
      <text>
        <r>
          <rPr>
            <sz val="8"/>
            <color indexed="81"/>
            <rFont val="Calibri"/>
            <family val="2"/>
          </rPr>
          <t>30000 @ 85.41% al 29.01.25 10:53</t>
        </r>
      </text>
    </comment>
    <comment ref="AT27" authorId="1" shapeId="0" xr:uid="{43BDC732-0909-42A3-867C-8CB7F0EE4C4C}">
      <text>
        <r>
          <rPr>
            <sz val="8"/>
            <color indexed="81"/>
            <rFont val="Calibri"/>
            <family val="2"/>
          </rPr>
          <t>45000 @ 85.41% al 29.01.25 10:53</t>
        </r>
      </text>
    </comment>
    <comment ref="BM27" authorId="1" shapeId="0" xr:uid="{EB532D39-8683-4257-8876-E15B4C03F1DB}">
      <text>
        <r>
          <rPr>
            <sz val="8"/>
            <color indexed="81"/>
            <rFont val="Calibri"/>
            <family val="2"/>
          </rPr>
          <t>30000 @ 85.41% al 29.01.25 10:53</t>
        </r>
      </text>
    </comment>
    <comment ref="CF27" authorId="1" shapeId="0" xr:uid="{6A01A2FB-B92C-4221-8B4D-A8060E451D01}">
      <text>
        <r>
          <rPr>
            <sz val="8"/>
            <color indexed="81"/>
            <rFont val="Calibri"/>
            <family val="2"/>
          </rPr>
          <t>5000 @ 85.41% al 29.01.25 10:53</t>
        </r>
      </text>
    </comment>
    <comment ref="AA28" authorId="1" shapeId="0" xr:uid="{F4EDD467-C128-470B-884B-9851FD5D4E40}">
      <text>
        <r>
          <rPr>
            <sz val="8"/>
            <color indexed="81"/>
            <rFont val="Calibri"/>
            <family val="2"/>
          </rPr>
          <t>20000 @ 86.60% al 30.07.25 14:00</t>
        </r>
      </text>
    </comment>
    <comment ref="AT28" authorId="1" shapeId="0" xr:uid="{A6AFBC2D-31F4-4ADA-88CF-E3D0232C7806}">
      <text>
        <r>
          <rPr>
            <sz val="8"/>
            <color indexed="81"/>
            <rFont val="Calibri"/>
            <family val="2"/>
          </rPr>
          <t>25000 @ 86.60% al 30.07.25 14:00</t>
        </r>
      </text>
    </comment>
    <comment ref="BM28" authorId="1" shapeId="0" xr:uid="{3065364F-1F04-4BE9-B24B-2A9751E77F79}">
      <text>
        <r>
          <rPr>
            <sz val="8"/>
            <color indexed="81"/>
            <rFont val="Calibri"/>
            <family val="2"/>
          </rPr>
          <t>15000 @ 86.60% al 30.07.25 14:00</t>
        </r>
      </text>
    </comment>
    <comment ref="AA29" authorId="1" shapeId="0" xr:uid="{788432D6-1D44-4D9A-8863-68B7E1B52B30}">
      <text>
        <r>
          <rPr>
            <sz val="8"/>
            <color indexed="81"/>
            <rFont val="Calibri"/>
            <family val="2"/>
          </rPr>
          <t>20000 @ 86.25% al 30.07.25 14:00</t>
        </r>
      </text>
    </comment>
    <comment ref="AT29" authorId="1" shapeId="0" xr:uid="{2549E661-BD17-4618-98A0-D64A24B9656E}">
      <text>
        <r>
          <rPr>
            <sz val="8"/>
            <color indexed="81"/>
            <rFont val="Calibri"/>
            <family val="2"/>
          </rPr>
          <t>25000 @ 86.25% al 30.07.25 14:00</t>
        </r>
      </text>
    </comment>
    <comment ref="BM29" authorId="1" shapeId="0" xr:uid="{5FA7403D-A9FE-4FA4-BC97-9B48200B77AD}">
      <text>
        <r>
          <rPr>
            <sz val="8"/>
            <color indexed="81"/>
            <rFont val="Calibri"/>
            <family val="2"/>
          </rPr>
          <t>15000 @ 86.25% al 30.07.25 14:00</t>
        </r>
      </text>
    </comment>
    <comment ref="CF29" authorId="1" shapeId="0" xr:uid="{FE7F017D-BFEC-4F03-A29E-5C07CAF60B84}">
      <text>
        <r>
          <rPr>
            <sz val="8"/>
            <color indexed="81"/>
            <rFont val="Calibri"/>
            <family val="2"/>
          </rPr>
          <t>5000 @ 86.25% al 30.07.25 14:00</t>
        </r>
      </text>
    </comment>
    <comment ref="AA30" authorId="1" shapeId="0" xr:uid="{B5681B58-F6CE-43FC-8EA5-2AA023C4D298}">
      <text>
        <r>
          <rPr>
            <sz val="8"/>
            <color indexed="81"/>
            <rFont val="Calibri"/>
            <family val="2"/>
          </rPr>
          <t>20000 @ 82.24% al 30.07.25 12:00</t>
        </r>
      </text>
    </comment>
    <comment ref="AT30" authorId="1" shapeId="0" xr:uid="{043B9BE9-CA55-465D-AC09-31CB5DE34B42}">
      <text>
        <r>
          <rPr>
            <sz val="8"/>
            <color indexed="81"/>
            <rFont val="Calibri"/>
            <family val="2"/>
          </rPr>
          <t>25000 @ 82.24% al 30.07.25 12:00</t>
        </r>
      </text>
    </comment>
    <comment ref="BM30" authorId="1" shapeId="0" xr:uid="{30284D2B-3D1F-43BB-9B55-CEA6DD2DE884}">
      <text>
        <r>
          <rPr>
            <sz val="8"/>
            <color indexed="81"/>
            <rFont val="Calibri"/>
            <family val="2"/>
          </rPr>
          <t>15000 @ 82.24% al 30.07.25 12:00</t>
        </r>
      </text>
    </comment>
    <comment ref="CF30" authorId="1" shapeId="0" xr:uid="{8C086271-AA29-4DED-A5C1-43314A113250}">
      <text>
        <r>
          <rPr>
            <sz val="8"/>
            <color indexed="81"/>
            <rFont val="Calibri"/>
            <family val="2"/>
          </rPr>
          <t>5000 @ 82.24% al 30.07.25 12:00</t>
        </r>
      </text>
    </comment>
    <comment ref="AT35" authorId="1" shapeId="0" xr:uid="{3739510E-4F47-4453-8E56-DD5A72420C82}">
      <text>
        <r>
          <rPr>
            <sz val="8"/>
            <color indexed="81"/>
            <rFont val="Calibri"/>
            <family val="2"/>
          </rPr>
          <t>2240 @ 12.28 al 10.06.21 12:59</t>
        </r>
      </text>
    </comment>
    <comment ref="BM35" authorId="1" shapeId="0" xr:uid="{C0B482D8-30C2-4CFB-95FE-37AA6B708868}">
      <text>
        <r>
          <rPr>
            <sz val="8"/>
            <color indexed="81"/>
            <rFont val="Calibri"/>
            <family val="2"/>
          </rPr>
          <t>2300 @  al 09.06.21 16:41</t>
        </r>
      </text>
    </comment>
    <comment ref="CF35" authorId="1" shapeId="0" xr:uid="{D896C1C7-F6BE-4446-A9D4-552BB7E8A9AF}">
      <text>
        <r>
          <rPr>
            <sz val="8"/>
            <color indexed="81"/>
            <rFont val="Calibri"/>
            <family val="2"/>
          </rPr>
          <t>415 @ 12.28 al 10.06.21 12:59</t>
        </r>
      </text>
    </comment>
    <comment ref="AA45" authorId="1" shapeId="0" xr:uid="{F33306A0-97FF-4633-9B6B-889CEDDE30D1}">
      <text>
        <r>
          <rPr>
            <sz val="8"/>
            <color indexed="81"/>
            <rFont val="Calibri"/>
            <family val="2"/>
          </rPr>
          <t>45 @ 244.89 al 13.06.24 14:50</t>
        </r>
      </text>
    </comment>
    <comment ref="AT45" authorId="1" shapeId="0" xr:uid="{BE51C3B0-E4C1-4E84-B487-D5C3B15A933A}">
      <text>
        <r>
          <rPr>
            <sz val="8"/>
            <color indexed="81"/>
            <rFont val="Calibri"/>
            <family val="2"/>
          </rPr>
          <t>80 @ 244.89 al 13.06.24 14:50</t>
        </r>
      </text>
    </comment>
    <comment ref="BM45" authorId="1" shapeId="0" xr:uid="{9EB16D6E-963E-488C-9449-2E55D8ACBF4E}">
      <text>
        <r>
          <rPr>
            <sz val="8"/>
            <color indexed="81"/>
            <rFont val="Calibri"/>
            <family val="2"/>
          </rPr>
          <t>45 @ 244.89 al 13.06.24 14:50</t>
        </r>
      </text>
    </comment>
    <comment ref="AA51" authorId="1" shapeId="0" xr:uid="{88D4C1DF-5823-4045-8744-34ECC3D6FDF2}">
      <text>
        <r>
          <rPr>
            <sz val="8"/>
            <color indexed="81"/>
            <rFont val="Calibri"/>
            <family val="2"/>
          </rPr>
          <t>80 @ 124.62  al 27.06.25 17:52</t>
        </r>
      </text>
    </comment>
    <comment ref="AT51" authorId="1" shapeId="0" xr:uid="{49DA95EA-0E6E-4E76-B176-5C15DA8D4A96}">
      <text>
        <r>
          <rPr>
            <sz val="8"/>
            <color indexed="81"/>
            <rFont val="Calibri"/>
            <family val="2"/>
          </rPr>
          <t>90 @ 124.62  al 27.06.25 17:52</t>
        </r>
      </text>
    </comment>
    <comment ref="BM51" authorId="1" shapeId="0" xr:uid="{91A2692F-0F8E-4CDA-8832-5FB24A991C6D}">
      <text>
        <r>
          <rPr>
            <sz val="8"/>
            <color indexed="81"/>
            <rFont val="Calibri"/>
            <family val="2"/>
          </rPr>
          <t>110 @ 124.62  al 27.06.25 17:52</t>
        </r>
      </text>
    </comment>
    <comment ref="CF51" authorId="1" shapeId="0" xr:uid="{C087DA3F-CCA4-41A7-9D62-885A8195495A}">
      <text>
        <r>
          <rPr>
            <sz val="8"/>
            <color indexed="81"/>
            <rFont val="Calibri"/>
            <family val="2"/>
          </rPr>
          <t>35 @ 124.62  al 27.06.25 17:52</t>
        </r>
      </text>
    </comment>
    <comment ref="AA52" authorId="1" shapeId="0" xr:uid="{CBB05597-18A6-4D72-8341-371207E7467A}">
      <text>
        <r>
          <rPr>
            <sz val="8"/>
            <color indexed="81"/>
            <rFont val="Calibri"/>
            <family val="2"/>
          </rPr>
          <t>190 @ 84.97  al 08.09.25 17:03</t>
        </r>
      </text>
    </comment>
    <comment ref="AT52" authorId="1" shapeId="0" xr:uid="{1FB685FA-6DEB-45F6-8569-083136E4A194}">
      <text>
        <r>
          <rPr>
            <sz val="8"/>
            <color indexed="81"/>
            <rFont val="Calibri"/>
            <family val="2"/>
          </rPr>
          <t>315 @ 84.97  al 08.09.25 17:03</t>
        </r>
      </text>
    </comment>
    <comment ref="BM52" authorId="1" shapeId="0" xr:uid="{67E2CB04-DAF1-4EA6-AFB8-86246BBAED58}">
      <text>
        <r>
          <rPr>
            <sz val="8"/>
            <color indexed="81"/>
            <rFont val="Calibri"/>
            <family val="2"/>
          </rPr>
          <t>175 @ 84.97  al 08.09.25 17:03</t>
        </r>
      </text>
    </comment>
    <comment ref="CF52" authorId="1" shapeId="0" xr:uid="{D0A9354F-A5CB-4A73-A1BF-68FDE33E19FC}">
      <text>
        <r>
          <rPr>
            <sz val="8"/>
            <color indexed="81"/>
            <rFont val="Calibri"/>
            <family val="2"/>
          </rPr>
          <t>50 @ 84.97  al 08.09.25 17:03</t>
        </r>
      </text>
    </comment>
    <comment ref="AA53" authorId="1" shapeId="0" xr:uid="{4527F73A-ACE3-47E3-A118-40A10447551C}">
      <text>
        <r>
          <rPr>
            <sz val="8"/>
            <color indexed="81"/>
            <rFont val="Calibri"/>
            <family val="2"/>
          </rPr>
          <t>160 @ 104.96  al 04.12.25 18:55</t>
        </r>
      </text>
    </comment>
    <comment ref="AT53" authorId="1" shapeId="0" xr:uid="{23AE66F7-143E-4F7B-BEAA-2EBBDFB57E9E}">
      <text>
        <r>
          <rPr>
            <sz val="8"/>
            <color indexed="81"/>
            <rFont val="Calibri"/>
            <family val="2"/>
          </rPr>
          <t>260 @ 104.96  al 04.12.25 18:55</t>
        </r>
      </text>
    </comment>
    <comment ref="BM53" authorId="1" shapeId="0" xr:uid="{0A36C026-3E4E-4EB8-9B27-8C68FDA721F6}">
      <text>
        <r>
          <rPr>
            <sz val="8"/>
            <color indexed="81"/>
            <rFont val="Calibri"/>
            <family val="2"/>
          </rPr>
          <t>145 @ 104.96  al 04.12.25 18:55</t>
        </r>
      </text>
    </comment>
    <comment ref="CF53" authorId="1" shapeId="0" xr:uid="{F19554A5-27DF-40CE-99FE-38AB042E942B}">
      <text>
        <r>
          <rPr>
            <sz val="8"/>
            <color indexed="81"/>
            <rFont val="Calibri"/>
            <family val="2"/>
          </rPr>
          <t>50 @ 104.96  al 04.12.25 18:55</t>
        </r>
      </text>
    </comment>
    <comment ref="AA54" authorId="1" shapeId="0" xr:uid="{2FA565D0-0D41-44D6-BF85-0D451ECF4047}">
      <text>
        <r>
          <rPr>
            <sz val="8"/>
            <color indexed="81"/>
            <rFont val="Calibri"/>
            <family val="2"/>
          </rPr>
          <t>330 @ 47.39  al 24.04.25 09:46</t>
        </r>
      </text>
    </comment>
    <comment ref="AT54" authorId="1" shapeId="0" xr:uid="{9B7250B2-C177-4FB4-BE16-7F8EC0225961}">
      <text>
        <r>
          <rPr>
            <sz val="8"/>
            <color indexed="81"/>
            <rFont val="Calibri"/>
            <family val="2"/>
          </rPr>
          <t>550 @ 47.39  al 24.04.25 09:46</t>
        </r>
      </text>
    </comment>
    <comment ref="BM54" authorId="1" shapeId="0" xr:uid="{F0BF855D-8243-4C51-AFB1-AAD87FD60936}">
      <text>
        <r>
          <rPr>
            <sz val="8"/>
            <color indexed="81"/>
            <rFont val="Calibri"/>
            <family val="2"/>
          </rPr>
          <t>300 @ 47.39  al 24.04.25 09:47</t>
        </r>
      </text>
    </comment>
    <comment ref="CF54" authorId="1" shapeId="0" xr:uid="{92FDE3DE-CA40-415D-8627-1EFF5A6F9418}">
      <text>
        <r>
          <rPr>
            <sz val="8"/>
            <color indexed="81"/>
            <rFont val="Calibri"/>
            <family val="2"/>
          </rPr>
          <t>145 @ 47.39  al 24.04.25 09:47</t>
        </r>
      </text>
    </comment>
    <comment ref="AA55" authorId="1" shapeId="0" xr:uid="{DEC7F23F-DF1A-4EE8-ACAC-D89DF1B13E6A}">
      <text>
        <r>
          <rPr>
            <sz val="8"/>
            <color indexed="81"/>
            <rFont val="Calibri"/>
            <family val="2"/>
          </rPr>
          <t>390 @ 44.24  al 29.01.26 17:29</t>
        </r>
      </text>
    </comment>
    <comment ref="AT55" authorId="1" shapeId="0" xr:uid="{1CDBD430-89CA-40D4-96A7-65B2A8F2711A}">
      <text>
        <r>
          <rPr>
            <sz val="8"/>
            <color indexed="81"/>
            <rFont val="Calibri"/>
            <family val="2"/>
          </rPr>
          <t>640 @ 44.24  al 29.01.26 17:29</t>
        </r>
      </text>
    </comment>
    <comment ref="BM55" authorId="1" shapeId="0" xr:uid="{93AE4D83-D3B7-4CF8-98C2-FFD20F03023C}">
      <text>
        <r>
          <rPr>
            <sz val="8"/>
            <color indexed="81"/>
            <rFont val="Calibri"/>
            <family val="2"/>
          </rPr>
          <t>350 @ 44.24  al 29.01.26 17:29</t>
        </r>
      </text>
    </comment>
    <comment ref="CF55" authorId="1" shapeId="0" xr:uid="{DF4089D1-9179-449A-BFAF-BADF8166A6FF}">
      <text>
        <r>
          <rPr>
            <sz val="8"/>
            <color indexed="81"/>
            <rFont val="Calibri"/>
            <family val="2"/>
          </rPr>
          <t>120 @ 44.29  al 29.01.26 17:28</t>
        </r>
      </text>
    </comment>
    <comment ref="AA56" authorId="1" shapeId="0" xr:uid="{46FB732F-9959-4E09-A677-7BFD99A5ADC4}">
      <text>
        <r>
          <rPr>
            <sz val="8"/>
            <color indexed="81"/>
            <rFont val="Calibri"/>
            <family val="2"/>
          </rPr>
          <t>680 @ 25.21  al 29.01.26 17:34</t>
        </r>
      </text>
    </comment>
    <comment ref="AT56" authorId="1" shapeId="0" xr:uid="{77905868-4422-4867-A643-726CCDDBE0F1}">
      <text>
        <r>
          <rPr>
            <sz val="8"/>
            <color indexed="81"/>
            <rFont val="Calibri"/>
            <family val="2"/>
          </rPr>
          <t>1125 @ 25.21  al 29.01.26 17:34</t>
        </r>
      </text>
    </comment>
    <comment ref="BM56" authorId="1" shapeId="0" xr:uid="{DF287871-EA55-492C-AA2B-D657E6E9284B}">
      <text>
        <r>
          <rPr>
            <sz val="8"/>
            <color indexed="81"/>
            <rFont val="Calibri"/>
            <family val="2"/>
          </rPr>
          <t>610 @ 25.21  al 29.01.26 17:34</t>
        </r>
      </text>
    </comment>
    <comment ref="AA57" authorId="0" shapeId="0" xr:uid="{77F40AB1-D0B9-415F-844D-CD026B482312}">
      <text>
        <r>
          <rPr>
            <sz val="8"/>
            <color indexed="81"/>
            <rFont val="Calibri"/>
            <family val="2"/>
          </rPr>
          <t>110 @ 180.64  al 10.09.24 12:06</t>
        </r>
      </text>
    </comment>
    <comment ref="AT57" authorId="0" shapeId="0" xr:uid="{1365CD1A-8193-497C-A09C-8D825574D5CC}">
      <text>
        <r>
          <rPr>
            <sz val="8"/>
            <color indexed="81"/>
            <rFont val="Calibri"/>
            <family val="2"/>
          </rPr>
          <t>190 @ 180.64  al 10.09.24 12:06</t>
        </r>
      </text>
    </comment>
    <comment ref="BM57" authorId="0" shapeId="0" xr:uid="{78F031AB-CE6A-4CFD-AF1A-4A34BDEDA074}">
      <text>
        <r>
          <rPr>
            <sz val="8"/>
            <color indexed="81"/>
            <rFont val="Calibri"/>
            <family val="2"/>
          </rPr>
          <t>100 @ 180.64  al 10.09.24 12:06</t>
        </r>
      </text>
    </comment>
    <comment ref="CF57" authorId="0" shapeId="0" xr:uid="{77F29A03-2D65-4990-AA84-1A1FE27D24A9}">
      <text>
        <r>
          <rPr>
            <sz val="8"/>
            <color indexed="81"/>
            <rFont val="Calibri"/>
            <family val="2"/>
          </rPr>
          <t>50 @ 180.64  al 10.09.24 12:07
-25 @ 196.66  al 08.09.25 16:45</t>
        </r>
      </text>
    </comment>
    <comment ref="AA66" authorId="1" shapeId="0" xr:uid="{A3A4668D-6D40-4645-A5EF-775635355176}">
      <text>
        <r>
          <rPr>
            <sz val="8"/>
            <color indexed="81"/>
            <rFont val="Calibri"/>
            <family val="2"/>
          </rPr>
          <t>390 @ 41.57  al 14.11.24 17:44</t>
        </r>
      </text>
    </comment>
    <comment ref="AT66" authorId="1" shapeId="0" xr:uid="{E7C34F98-9385-4383-B57C-0A4D45B29147}">
      <text>
        <r>
          <rPr>
            <sz val="8"/>
            <color indexed="81"/>
            <rFont val="Calibri"/>
            <family val="2"/>
          </rPr>
          <t>650 @ 41.57  al 14.11.24 17:44</t>
        </r>
      </text>
    </comment>
    <comment ref="BM66" authorId="1" shapeId="0" xr:uid="{B4A7EAFD-4CB4-46AF-AE24-0E3F19BE20EC}">
      <text>
        <r>
          <rPr>
            <sz val="8"/>
            <color indexed="81"/>
            <rFont val="Calibri"/>
            <family val="2"/>
          </rPr>
          <t>360 @ 41.57  al 14.11.24 17:44</t>
        </r>
      </text>
    </comment>
    <comment ref="AA70" authorId="1" shapeId="0" xr:uid="{ACD565B9-F5EA-4E78-A8C2-E4C6385FD299}">
      <text>
        <r>
          <rPr>
            <sz val="8"/>
            <color indexed="81"/>
            <rFont val="Calibri"/>
            <family val="2"/>
          </rPr>
          <t>440 @ 45.55  al 12.02.26 17:39</t>
        </r>
      </text>
    </comment>
    <comment ref="AT70" authorId="1" shapeId="0" xr:uid="{60CF01EE-FD9B-4D01-8CB3-49188A478669}">
      <text>
        <r>
          <rPr>
            <sz val="8"/>
            <color indexed="81"/>
            <rFont val="Calibri"/>
            <family val="2"/>
          </rPr>
          <t>650 @ 45.55  al 12.02.26 17:39</t>
        </r>
      </text>
    </comment>
    <comment ref="BM70" authorId="1" shapeId="0" xr:uid="{A1094B90-72ED-439A-AEAD-932EA6958E9C}">
      <text>
        <r>
          <rPr>
            <sz val="8"/>
            <color indexed="81"/>
            <rFont val="Calibri"/>
            <family val="2"/>
          </rPr>
          <t>390 @ 45.55  al 12.02.26 17:39</t>
        </r>
      </text>
    </comment>
    <comment ref="CF71" authorId="1" shapeId="0" xr:uid="{E9B7E773-3B2F-483A-A7EC-5FC157E61D56}">
      <text>
        <r>
          <rPr>
            <sz val="8"/>
            <color indexed="81"/>
            <rFont val="Calibri"/>
            <family val="2"/>
          </rPr>
          <t>25 @ 622.31  al 15.11.24 16:58
-10 @ 742.45  al 12.02.26 17:41</t>
        </r>
      </text>
    </comment>
    <comment ref="AA78" authorId="1" shapeId="0" xr:uid="{CE41C980-5BD7-4F57-BC10-40DE10C73057}">
      <text>
        <r>
          <rPr>
            <sz val="8"/>
            <color indexed="81"/>
            <rFont val="Calibri"/>
            <family val="2"/>
          </rPr>
          <t>1500 @ 11.59  al 12.02.26 17:30</t>
        </r>
      </text>
    </comment>
    <comment ref="AT78" authorId="1" shapeId="0" xr:uid="{AC413C8B-8093-401C-907A-471E6A77FD8F}">
      <text>
        <r>
          <rPr>
            <sz val="8"/>
            <color indexed="81"/>
            <rFont val="Calibri"/>
            <family val="2"/>
          </rPr>
          <t>2500 @ 11.59  al 12.02.26 17:30</t>
        </r>
      </text>
    </comment>
    <comment ref="BM78" authorId="1" shapeId="0" xr:uid="{8DD5F5E0-C95B-4970-A108-E9F2A073A15F}">
      <text>
        <r>
          <rPr>
            <sz val="8"/>
            <color indexed="81"/>
            <rFont val="Calibri"/>
            <family val="2"/>
          </rPr>
          <t>1350 @ 11.59  al 12.02.26 17:30</t>
        </r>
      </text>
    </comment>
    <comment ref="CF78" authorId="1" shapeId="0" xr:uid="{6141103C-DDC0-4E74-8D6E-9EDF054A3167}">
      <text>
        <r>
          <rPr>
            <sz val="8"/>
            <color indexed="81"/>
            <rFont val="Calibri"/>
            <family val="2"/>
          </rPr>
          <t>690 @ 11.59  al 12.02.26 17:30</t>
        </r>
      </text>
    </comment>
    <comment ref="AA81" authorId="1" shapeId="0" xr:uid="{0B404A58-5E18-4224-BA97-C55652AB2B8F}">
      <text>
        <r>
          <rPr>
            <sz val="8"/>
            <color indexed="81"/>
            <rFont val="Calibri"/>
            <family val="2"/>
          </rPr>
          <t>295 @ 21.23 al 13.03.18 10:47</t>
        </r>
      </text>
    </comment>
    <comment ref="AT81" authorId="1" shapeId="0" xr:uid="{DDB94673-69B8-4E72-8C11-0AE18C1C2B0A}">
      <text>
        <r>
          <rPr>
            <sz val="8"/>
            <color indexed="81"/>
            <rFont val="Calibri"/>
            <family val="2"/>
          </rPr>
          <t>1200 @ 20.76  al 22.03.18 12:46</t>
        </r>
      </text>
    </comment>
    <comment ref="BM81" authorId="1" shapeId="0" xr:uid="{F3FA190C-1DC9-43D7-9CA8-E2E1EFE5E84E}">
      <text>
        <r>
          <rPr>
            <sz val="8"/>
            <color indexed="81"/>
            <rFont val="Calibri"/>
            <family val="2"/>
          </rPr>
          <t>-1100 @ 20.76  al 22.03.18 12:09
-211 @ 17.52  al 25.06.21 16:05</t>
        </r>
      </text>
    </comment>
    <comment ref="CF81" authorId="1" shapeId="0" xr:uid="{D848FBDB-C7D1-4DA3-9B87-389B0F4F5955}">
      <text>
        <r>
          <rPr>
            <sz val="8"/>
            <color indexed="81"/>
            <rFont val="Calibri"/>
            <family val="2"/>
          </rPr>
          <t>195 @ 27.09  al 15.11.24 16:56</t>
        </r>
      </text>
    </comment>
    <comment ref="AA83" authorId="1" shapeId="0" xr:uid="{EDBD0FA4-D13A-4268-89D0-23CFAD0166F8}">
      <text>
        <r>
          <rPr>
            <sz val="8"/>
            <color indexed="81"/>
            <rFont val="Calibri"/>
            <family val="2"/>
          </rPr>
          <t>360 @ 52.17  al 02.09.25 16:51</t>
        </r>
      </text>
    </comment>
    <comment ref="AT83" authorId="1" shapeId="0" xr:uid="{34A85A75-13C8-453A-976B-6CD14DE3A232}">
      <text>
        <r>
          <rPr>
            <sz val="8"/>
            <color indexed="81"/>
            <rFont val="Calibri"/>
            <family val="2"/>
          </rPr>
          <t>585 @ 52.17  al 02.09.25 16:51</t>
        </r>
      </text>
    </comment>
    <comment ref="BM83" authorId="1" shapeId="0" xr:uid="{7674B473-B7FA-4DBC-9DAD-5ABB9512BC79}">
      <text>
        <r>
          <rPr>
            <sz val="8"/>
            <color indexed="81"/>
            <rFont val="Calibri"/>
            <family val="2"/>
          </rPr>
          <t>300 @ 52.17  al 02.09.25 16:51</t>
        </r>
      </text>
    </comment>
    <comment ref="CF83" authorId="1" shapeId="0" xr:uid="{8C522A66-0797-410C-AAC9-95F30A5BF33E}">
      <text>
        <r>
          <rPr>
            <sz val="8"/>
            <color indexed="81"/>
            <rFont val="Calibri"/>
            <family val="2"/>
          </rPr>
          <t>100 @ 52.17  al 02.09.25 16:51</t>
        </r>
      </text>
    </comment>
    <comment ref="AA86" authorId="1" shapeId="0" xr:uid="{53F12371-A2CD-4519-99FF-BB8B8B01699E}">
      <text>
        <r>
          <rPr>
            <sz val="8"/>
            <color indexed="81"/>
            <rFont val="Calibri"/>
            <family val="2"/>
          </rPr>
          <t>150 @ 51.34 al 13.03.18 10:47
150 @ 63.22  al 19.08.21 17:25</t>
        </r>
      </text>
    </comment>
    <comment ref="AT86" authorId="1" shapeId="0" xr:uid="{B3BFC7E4-2126-4875-A6BF-92E924E8CBB7}">
      <text>
        <r>
          <rPr>
            <sz val="8"/>
            <color indexed="81"/>
            <rFont val="Calibri"/>
            <family val="2"/>
          </rPr>
          <t>-140 @ 62.37  al 31.01.25 11:16
-60 @ 69.39  al 01.07.25 15:54</t>
        </r>
      </text>
    </comment>
    <comment ref="BM86" authorId="1" shapeId="0" xr:uid="{3A5AF61B-8612-4A35-83D4-96493F36AE14}">
      <text>
        <r>
          <rPr>
            <sz val="8"/>
            <color indexed="81"/>
            <rFont val="Calibri"/>
            <family val="2"/>
          </rPr>
          <t>400 @ 51.27  al 22.03.18 12:02
-130 @ 63.11  al 25.06.21 16:06</t>
        </r>
      </text>
    </comment>
    <comment ref="CF86" authorId="1" shapeId="0" xr:uid="{DD7A1993-72B6-4D6C-9C53-1F010EECF70B}">
      <text>
        <r>
          <rPr>
            <sz val="8"/>
            <color indexed="81"/>
            <rFont val="Calibri"/>
            <family val="2"/>
          </rPr>
          <t>100 @ 63.22  al 19.08.21 17:18</t>
        </r>
      </text>
    </comment>
    <comment ref="AA91" authorId="1" shapeId="0" xr:uid="{40C9E9FE-2EF3-4C91-97BE-9518B9CAFB7B}">
      <text>
        <r>
          <rPr>
            <sz val="8"/>
            <color indexed="81"/>
            <rFont val="Calibri"/>
            <family val="2"/>
          </rPr>
          <t>65 @ 97.87 al 12.03.2018</t>
        </r>
      </text>
    </comment>
    <comment ref="AA93" authorId="1" shapeId="0" xr:uid="{16787AF4-6BD9-48C3-9A99-487CCD6DE79C}">
      <text>
        <r>
          <rPr>
            <sz val="8"/>
            <color indexed="81"/>
            <rFont val="Calibri"/>
            <family val="2"/>
          </rPr>
          <t>725 @ 20.86  al 22.03.18 11:29
535 @ 17.97  al 11.06.19 17:13
530 @ 15.26  al 04.09.20 15:51
-960 @ 25.34  al 22.08.24 12:01
-590 @ 27.48  al 01.07.25 15:52</t>
        </r>
      </text>
    </comment>
    <comment ref="AT93" authorId="1" shapeId="0" xr:uid="{009A4DC7-21F3-4893-93EB-DB5B121691E1}">
      <text>
        <r>
          <rPr>
            <sz val="8"/>
            <color indexed="81"/>
            <rFont val="Calibri"/>
            <family val="2"/>
          </rPr>
          <t>840 @ 15.26  al 04.09.20 16:16
-1825 @ 25.34  al 22.08.24 12:01
-1050 @ 27.48  al 01.07.25 15:52</t>
        </r>
      </text>
    </comment>
    <comment ref="BM93" authorId="1" shapeId="0" xr:uid="{5A4B8BC5-0707-46D2-AB5A-ED8DBD9CFCA1}">
      <text>
        <r>
          <rPr>
            <sz val="8"/>
            <color indexed="81"/>
            <rFont val="Calibri"/>
            <family val="2"/>
          </rPr>
          <t>2000 @ 20.86  al 22.03.18 12:03
-350 @ 20.33  al 25.06.21 16:07
-480 @ 25.34  al 22.08.24 12:01
-570 @ 27.48  al 01.07.25 15:52</t>
        </r>
      </text>
    </comment>
    <comment ref="AA97" authorId="1" shapeId="0" xr:uid="{5AA1B87E-0233-4207-8FEC-068C2F726085}">
      <text>
        <r>
          <rPr>
            <sz val="8"/>
            <color indexed="81"/>
            <rFont val="Calibri"/>
            <family val="2"/>
          </rPr>
          <t>290 @ 71.47  al 20.02.26 13:45</t>
        </r>
      </text>
    </comment>
    <comment ref="AT97" authorId="1" shapeId="0" xr:uid="{09808C08-52BE-480E-8BC6-04423707AD59}">
      <text>
        <r>
          <rPr>
            <sz val="8"/>
            <color indexed="81"/>
            <rFont val="Calibri"/>
            <family val="2"/>
          </rPr>
          <t>425 @ 71.47  al 20.02.26 13:45</t>
        </r>
      </text>
    </comment>
    <comment ref="BM97" authorId="1" shapeId="0" xr:uid="{C5243EB5-2428-4BF4-BA88-BEA3462B0F7F}">
      <text>
        <r>
          <rPr>
            <sz val="8"/>
            <color indexed="81"/>
            <rFont val="Calibri"/>
            <family val="2"/>
          </rPr>
          <t>260 @ 71.47  al 20.02.26 13:45</t>
        </r>
      </text>
    </comment>
    <comment ref="CF97" authorId="1" shapeId="0" xr:uid="{4E7C69AB-782B-4E06-8576-4A142C98F52A}">
      <text>
        <r>
          <rPr>
            <sz val="8"/>
            <color indexed="81"/>
            <rFont val="Calibri"/>
            <family val="2"/>
          </rPr>
          <t>65 @ 71.47  al 20.02.26 13:45</t>
        </r>
      </text>
    </comment>
    <comment ref="AA109" authorId="1" shapeId="0" xr:uid="{39BBF651-0EA5-4A19-9FF2-81E3B769F752}">
      <text>
        <r>
          <rPr>
            <sz val="8"/>
            <color indexed="81"/>
            <rFont val="Calibri"/>
            <family val="2"/>
          </rPr>
          <t>75 @ 82.82 al 12.03.2018
120 @ 51.62  al 08.09.23 16:25</t>
        </r>
      </text>
    </comment>
    <comment ref="AT109" authorId="1" shapeId="0" xr:uid="{17B6F94D-9B0F-4C4E-80B4-0440FA561133}">
      <text>
        <r>
          <rPr>
            <sz val="8"/>
            <color indexed="81"/>
            <rFont val="Calibri"/>
            <family val="2"/>
          </rPr>
          <t>310 @ 83.75  al 22.03.18 12:46</t>
        </r>
      </text>
    </comment>
    <comment ref="BM109" authorId="1" shapeId="0" xr:uid="{33E3C9B3-9FB3-465A-BD79-44C3527DD1E5}">
      <text>
        <r>
          <rPr>
            <sz val="8"/>
            <color indexed="81"/>
            <rFont val="Calibri"/>
            <family val="2"/>
          </rPr>
          <t>135 @ 129.90  al 20.02.26 12:22</t>
        </r>
      </text>
    </comment>
    <comment ref="CF109" authorId="0" shapeId="0" xr:uid="{FF71DE73-57B3-464F-B8A7-9759E69E4E26}">
      <text>
        <r>
          <rPr>
            <sz val="8"/>
            <color indexed="81"/>
            <rFont val="Calibri"/>
            <family val="2"/>
          </rPr>
          <t>100 @ 51.62  al 08.09.23 16:25</t>
        </r>
      </text>
    </comment>
    <comment ref="BM110" authorId="1" shapeId="0" xr:uid="{24D4CFB6-965D-46A7-A679-1F8F2F3CDCAD}">
      <text>
        <r>
          <rPr>
            <sz val="8"/>
            <color indexed="81"/>
            <rFont val="Calibri"/>
            <family val="2"/>
          </rPr>
          <t>-45 @ 467.65  al 20.02.26 12:12</t>
        </r>
      </text>
    </comment>
    <comment ref="AA111" authorId="1" shapeId="0" xr:uid="{A6D2C678-93B0-4392-AE9A-F47D2913668D}">
      <text>
        <r>
          <rPr>
            <sz val="8"/>
            <color indexed="81"/>
            <rFont val="Calibri"/>
            <family val="2"/>
          </rPr>
          <t>60 @ 128.8 al 13.03.18 10:48
170 @  al 15.03.21 14:02</t>
        </r>
      </text>
    </comment>
    <comment ref="AT111" authorId="1" shapeId="0" xr:uid="{3A56EC68-187C-4C22-8566-919FE17434E4}">
      <text>
        <r>
          <rPr>
            <sz val="8"/>
            <color indexed="81"/>
            <rFont val="Calibri"/>
            <family val="2"/>
          </rPr>
          <t>245 @ 130.06  al 22.03.18 12:46</t>
        </r>
      </text>
    </comment>
    <comment ref="CF111" authorId="1" shapeId="0" xr:uid="{1D60C322-DEC6-47CF-BDDF-894B8A9600B3}">
      <text>
        <r>
          <rPr>
            <sz val="8"/>
            <color indexed="81"/>
            <rFont val="Calibri"/>
            <family val="2"/>
          </rPr>
          <t>125 @ 54.83  al 15.03.21 12:03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P10" authorId="0" shapeId="0" xr:uid="{8E895A31-DDE1-4646-ADC8-9680A0A85182}">
      <text>
        <r>
          <rPr>
            <sz val="9"/>
            <color indexed="81"/>
            <rFont val="Tahoma"/>
            <family val="2"/>
          </rPr>
          <t>2020 +7.75%
2019 +7.16%
2018 - 9.10%
2017 +2.71%</t>
        </r>
      </text>
    </comment>
    <comment ref="AF10" authorId="0" shapeId="0" xr:uid="{362DF20A-D255-4351-95F6-9D7D9209ADEE}">
      <text>
        <r>
          <rPr>
            <sz val="9"/>
            <color indexed="81"/>
            <rFont val="Tahoma"/>
            <family val="2"/>
          </rPr>
          <t>2025 + 19.21%
2024 + 16.00%
2023 +  1.26%
2022 -   4.22%
2021 +  7.57%
2020 +  3.24%
2019 +  9.27%
2018  -  5.34%
2017 +  8.47%</t>
        </r>
      </text>
    </comment>
    <comment ref="AY10" authorId="1" shapeId="0" xr:uid="{C0282D8D-E6A2-4254-B206-CB72600CC38A}">
      <text>
        <r>
          <rPr>
            <sz val="9"/>
            <color indexed="81"/>
            <rFont val="Tahoma"/>
            <family val="2"/>
          </rPr>
          <t>Media:    1.37%
2022: - 11.36%
2021: +  7.22%
2020  -   2.43%
2019: + 14.79%
2018  -    5.53%
2017  +   7.93%</t>
        </r>
      </text>
    </comment>
    <comment ref="AF17" authorId="1" shapeId="0" xr:uid="{12C0CAF3-FD6C-48BD-9D53-95D6EFC5B11D}">
      <text>
        <r>
          <rPr>
            <sz val="8"/>
            <color indexed="81"/>
            <rFont val="Calibri"/>
            <family val="2"/>
          </rPr>
          <t>100000 @ 1.00 al 06.09.23 16:46</t>
        </r>
      </text>
    </comment>
    <comment ref="AY17" authorId="1" shapeId="0" xr:uid="{9F26DF68-80E1-48B0-9179-1DEFEFF8C3B9}">
      <text>
        <r>
          <rPr>
            <sz val="8"/>
            <color indexed="81"/>
            <rFont val="Calibri"/>
            <family val="2"/>
          </rPr>
          <t>21000 @ 1.00 al 02.07.24 16:11</t>
        </r>
      </text>
    </comment>
    <comment ref="AF18" authorId="0" shapeId="0" xr:uid="{252D80DC-D3CD-4587-999F-7CC826BF1EF4}">
      <text>
        <r>
          <rPr>
            <sz val="8"/>
            <color indexed="81"/>
            <rFont val="Calibri"/>
            <family val="2"/>
          </rPr>
          <t>14000 @ 1.00 al 04.09.25 17:46</t>
        </r>
      </text>
    </comment>
    <comment ref="AY18" authorId="0" shapeId="0" xr:uid="{3BF88904-ACC3-45BF-A326-40FD1F9A391B}">
      <text>
        <r>
          <rPr>
            <sz val="8"/>
            <color indexed="81"/>
            <rFont val="Calibri"/>
            <family val="2"/>
          </rPr>
          <t>-30000 @ 1.00 al 12.02.25 14:52</t>
        </r>
      </text>
    </comment>
    <comment ref="AF20" authorId="0" shapeId="0" xr:uid="{D4485870-D6E9-4829-A600-B431544FD8BB}">
      <text>
        <r>
          <rPr>
            <sz val="8"/>
            <color indexed="81"/>
            <rFont val="Calibri"/>
            <family val="2"/>
          </rPr>
          <t>-50000 @ 1.00 al 13.01.25 11:02
-21621.62 @ 1.00 al 04.09.25 17:46</t>
        </r>
      </text>
    </comment>
    <comment ref="AF25" authorId="0" shapeId="0" xr:uid="{9F908C47-290E-4EB2-9847-6FCFD94D15E8}">
      <text>
        <r>
          <rPr>
            <sz val="8"/>
            <color indexed="81"/>
            <rFont val="Calibri"/>
            <family val="2"/>
          </rPr>
          <t>100000 @ 97.728% al 11.07.24 10:54</t>
        </r>
      </text>
    </comment>
    <comment ref="AF26" authorId="0" shapeId="0" xr:uid="{BE0C8DA5-A28A-473A-8290-C49FF0207F79}">
      <text>
        <r>
          <rPr>
            <sz val="8"/>
            <color indexed="81"/>
            <rFont val="Calibri"/>
            <family val="2"/>
          </rPr>
          <t>50000 @ 97.452% al 11.07.24 10:55</t>
        </r>
      </text>
    </comment>
    <comment ref="AY27" authorId="1" shapeId="0" xr:uid="{DEEF7BAC-5041-4E0E-BF48-3177633671D0}">
      <text>
        <r>
          <rPr>
            <sz val="8"/>
            <color indexed="81"/>
            <rFont val="Calibri"/>
            <family val="2"/>
          </rPr>
          <t>30000 @ 93.764% al 11.04.23 14:57</t>
        </r>
      </text>
    </comment>
    <comment ref="AF29" authorId="1" shapeId="0" xr:uid="{46BEF050-24E1-4E9C-A325-623A3D8C0ACE}">
      <text>
        <r>
          <rPr>
            <sz val="8"/>
            <color indexed="81"/>
            <rFont val="Calibri"/>
            <family val="2"/>
          </rPr>
          <t>100000 @ 92.228% al 11.04.23 15:22</t>
        </r>
      </text>
    </comment>
    <comment ref="AY29" authorId="1" shapeId="0" xr:uid="{1974503B-12FF-45AF-A82E-637840A155FF}">
      <text>
        <r>
          <rPr>
            <sz val="8"/>
            <color indexed="81"/>
            <rFont val="Calibri"/>
            <family val="2"/>
          </rPr>
          <t>30000 @ 92.228% al 11.04.23 15:04</t>
        </r>
      </text>
    </comment>
    <comment ref="AF30" authorId="1" shapeId="0" xr:uid="{D68DEE78-2787-49AF-85E5-E1FB7C08081E}">
      <text>
        <r>
          <rPr>
            <sz val="8"/>
            <color indexed="81"/>
            <rFont val="Calibri"/>
            <family val="2"/>
          </rPr>
          <t>100000 @ 90.15% al 07.02.23 17:53</t>
        </r>
      </text>
    </comment>
    <comment ref="AF31" authorId="0" shapeId="0" xr:uid="{25CB46CD-1C1A-447D-85DD-4843384C25FE}">
      <text>
        <r>
          <rPr>
            <sz val="8"/>
            <color indexed="81"/>
            <rFont val="Calibri"/>
            <family val="2"/>
          </rPr>
          <t>50000 @ 96.284% al 11.07.24 10:56</t>
        </r>
      </text>
    </comment>
    <comment ref="AF34" authorId="0" shapeId="0" xr:uid="{D17EF7F5-55D4-40F3-96E1-1C69F7E4100B}">
      <text>
        <r>
          <rPr>
            <sz val="8"/>
            <color indexed="81"/>
            <rFont val="Calibri"/>
            <family val="2"/>
          </rPr>
          <t>50000 @ 94.054% al 11.07.24 10:56</t>
        </r>
      </text>
    </comment>
    <comment ref="AF35" authorId="1" shapeId="0" xr:uid="{42020EF2-3AB0-4A70-BF84-0660653797F2}">
      <text>
        <r>
          <rPr>
            <sz val="8"/>
            <color indexed="81"/>
            <rFont val="Calibri"/>
            <family val="2"/>
          </rPr>
          <t>100000 @ 87.53% al 07.02.23 17:53</t>
        </r>
      </text>
    </comment>
    <comment ref="AF40" authorId="0" shapeId="0" xr:uid="{0AD10E0B-4757-4AC5-A671-F1AE29E644E7}">
      <text>
        <r>
          <rPr>
            <sz val="8"/>
            <color indexed="81"/>
            <rFont val="Calibri"/>
            <family val="2"/>
          </rPr>
          <t>40000 @ 85.405% al 29.01.25 10:54</t>
        </r>
      </text>
    </comment>
    <comment ref="AY43" authorId="1" shapeId="0" xr:uid="{9FCDC05B-0584-4462-9DE5-C715E371D3ED}">
      <text>
        <r>
          <rPr>
            <sz val="8"/>
            <color indexed="81"/>
            <rFont val="Calibri"/>
            <family val="2"/>
          </rPr>
          <t>30000 @ 96.767% al 11.04.23 15:17</t>
        </r>
      </text>
    </comment>
    <comment ref="AF45" authorId="0" shapeId="0" xr:uid="{8FFE6A92-474B-4071-AB0F-EA29634E1AFB}">
      <text>
        <r>
          <rPr>
            <sz val="8"/>
            <color indexed="81"/>
            <rFont val="Calibri"/>
            <family val="2"/>
          </rPr>
          <t>560 @         97.21  al 05.10.20 09:27</t>
        </r>
      </text>
    </comment>
    <comment ref="AY53" authorId="1" shapeId="0" xr:uid="{1719ADF9-DA84-477C-A6B5-DEF5729CFE19}">
      <text>
        <r>
          <rPr>
            <sz val="8"/>
            <color indexed="81"/>
            <rFont val="Calibri"/>
            <family val="2"/>
          </rPr>
          <t>-300 @ 66.15 al 20.03.23 09:16
-300 @ 71.13 al 11.04.23 15:26</t>
        </r>
      </text>
    </comment>
    <comment ref="AY56" authorId="1" shapeId="0" xr:uid="{BD025A65-B3EE-4E0D-B7FD-866FC8C76160}">
      <text>
        <r>
          <rPr>
            <sz val="8"/>
            <color indexed="81"/>
            <rFont val="Calibri"/>
            <family val="2"/>
          </rPr>
          <t>175 @ 108.77 al 21.03.23 09:30</t>
        </r>
      </text>
    </comment>
    <comment ref="AY57" authorId="1" shapeId="0" xr:uid="{98EA03F3-2782-431D-9949-43A97AD88DD0}">
      <text>
        <r>
          <rPr>
            <sz val="8"/>
            <color indexed="81"/>
            <rFont val="Calibri"/>
            <family val="2"/>
          </rPr>
          <t>100 @ 101.18 al 03.09.24 16:09</t>
        </r>
      </text>
    </comment>
    <comment ref="AF58" authorId="0" shapeId="0" xr:uid="{7F4C5196-205A-46CE-A1D4-C73CC5E275A5}">
      <text>
        <r>
          <rPr>
            <sz val="8"/>
            <color indexed="81"/>
            <rFont val="Calibri"/>
            <family val="2"/>
          </rPr>
          <t>130 @ 248.18 al 04.07.24 11:55</t>
        </r>
      </text>
    </comment>
    <comment ref="AF61" authorId="0" shapeId="0" xr:uid="{6A801B89-47CB-4DCD-BCA6-7E39DA3C928D}">
      <text>
        <r>
          <rPr>
            <sz val="8"/>
            <color indexed="81"/>
            <rFont val="Calibri"/>
            <family val="2"/>
          </rPr>
          <t>3000 @ 29.54 al 07.01.25 16:42</t>
        </r>
      </text>
    </comment>
    <comment ref="AF63" authorId="0" shapeId="0" xr:uid="{C87B3898-F027-4860-A0C5-1DAD96E2DCA3}">
      <text>
        <r>
          <rPr>
            <sz val="8"/>
            <color indexed="81"/>
            <rFont val="Calibri"/>
            <family val="2"/>
          </rPr>
          <t>1000 @ 122.92 al 04.07.24 11:54</t>
        </r>
      </text>
    </comment>
    <comment ref="AF72" authorId="1" shapeId="0" xr:uid="{82E08429-8233-4068-8F34-3FE96C8EBE60}">
      <text>
        <r>
          <rPr>
            <sz val="8"/>
            <color indexed="81"/>
            <rFont val="Calibri"/>
            <family val="2"/>
          </rPr>
          <t>1400 @ 35.32 al 06.09.23 16:50</t>
        </r>
      </text>
    </comment>
    <comment ref="AF74" authorId="0" shapeId="0" xr:uid="{EFF7558B-03BD-471F-A06F-E659D192FD47}">
      <text>
        <r>
          <rPr>
            <sz val="8"/>
            <color indexed="81"/>
            <rFont val="Calibri"/>
            <family val="2"/>
          </rPr>
          <t>-250 @ 269.55 al 05.02.25 16:30</t>
        </r>
      </text>
    </comment>
    <comment ref="AF78" authorId="1" shapeId="0" xr:uid="{1FCE090F-0F0B-4D7D-AB1F-6B7C2541A14F}">
      <text>
        <r>
          <rPr>
            <sz val="8"/>
            <color indexed="81"/>
            <rFont val="Calibri"/>
            <family val="2"/>
          </rPr>
          <t>750 @ 67.15 al 06.09.23 16:50
650 @ 100.08 al 05.02.25 16:31
650 @ 100.08 al 05.02.25 16:31
650 @ 100.08 al 05.02.25 16:31
650 @ 100.08 al 05.02.25 16:32
650 @ 100.08 al 05.02.25 16:32
650 @ 100.08 al 05.02.25 16:36
-650 @ 100.08 al 05.02.25 17:12</t>
        </r>
      </text>
    </comment>
    <comment ref="AF80" authorId="0" shapeId="0" xr:uid="{7FF21CC1-8D2E-4214-9C38-FE06A8E9CDEC}">
      <text>
        <r>
          <rPr>
            <sz val="8"/>
            <color indexed="81"/>
            <rFont val="Calibri"/>
            <family val="2"/>
          </rPr>
          <t>2000 @ 46.66 al 07.07.25 14:22</t>
        </r>
      </text>
    </comment>
    <comment ref="AF84" authorId="0" shapeId="0" xr:uid="{003EA918-A950-432E-A137-EAF947327DA4}">
      <text>
        <r>
          <rPr>
            <sz val="8"/>
            <color indexed="81"/>
            <rFont val="Calibri"/>
            <family val="2"/>
          </rPr>
          <t>10000 @ 9.6332al 04.02.26 17:12</t>
        </r>
      </text>
    </comment>
    <comment ref="AF97" authorId="0" shapeId="0" xr:uid="{0079D1A7-A439-4368-92B3-FE7F17F50A78}">
      <text>
        <r>
          <rPr>
            <sz val="8"/>
            <color indexed="81"/>
            <rFont val="Calibri"/>
            <family val="2"/>
          </rPr>
          <t xml:space="preserve">1600 @ 37.09  al 05.10.21 </t>
        </r>
      </text>
    </comment>
    <comment ref="AF99" authorId="0" shapeId="0" xr:uid="{B6750F74-3034-4587-93CF-C46E9AFF1232}">
      <text>
        <r>
          <rPr>
            <sz val="8"/>
            <color indexed="81"/>
            <rFont val="Calibri"/>
            <family val="2"/>
          </rPr>
          <t>400 @ 107.48 al 07.07.25 17:11
200 @ 117.144375 al 04.02.26 17:10</t>
        </r>
      </text>
    </comment>
    <comment ref="AF100" authorId="0" shapeId="0" xr:uid="{8FB56B6C-EC8A-4E47-BECC-60C80AACCBD2}">
      <text>
        <r>
          <rPr>
            <sz val="8"/>
            <color indexed="81"/>
            <rFont val="Calibri"/>
            <family val="2"/>
          </rPr>
          <t>2265 @ 52.95 al 07.07.25 17:11
-1000 @ 52.94 al 02.12.25 17:35</t>
        </r>
      </text>
    </comment>
    <comment ref="AF101" authorId="0" shapeId="0" xr:uid="{47CB4651-30A3-43DA-AC75-EDEDFE9458A9}">
      <text>
        <r>
          <rPr>
            <sz val="8"/>
            <color indexed="81"/>
            <rFont val="Calibri"/>
            <family val="2"/>
          </rPr>
          <t>800 @ 88.04 al 02.12.25 17:44
420 @ 168.96 al 04.02.26 17:11</t>
        </r>
      </text>
    </comment>
    <comment ref="AF102" authorId="0" shapeId="0" xr:uid="{33740A86-021C-4D75-B4C3-269C5A173C6A}">
      <text>
        <r>
          <rPr>
            <sz val="8"/>
            <color indexed="81"/>
            <rFont val="Calibri"/>
            <family val="2"/>
          </rPr>
          <t>800 @ 88.04 al 02.12.25 17:44</t>
        </r>
      </text>
    </comment>
    <comment ref="AY104" authorId="1" shapeId="0" xr:uid="{6C430927-7B73-42DB-A592-C456E6DD67B8}">
      <text>
        <r>
          <rPr>
            <sz val="8"/>
            <color indexed="81"/>
            <rFont val="Calibri"/>
            <family val="2"/>
          </rPr>
          <t>3800 @ 6.18 al 03.09.24 16:13</t>
        </r>
      </text>
    </comment>
    <comment ref="AF106" authorId="0" shapeId="0" xr:uid="{FB4DD0C3-0FE1-4C65-B36B-631DC91E9DD6}">
      <text>
        <r>
          <rPr>
            <sz val="8"/>
            <color indexed="81"/>
            <rFont val="Calibri"/>
            <family val="2"/>
          </rPr>
          <t>1500 @ 48.94 al 04.09.25 15:52</t>
        </r>
      </text>
    </comment>
    <comment ref="AF110" authorId="1" shapeId="0" xr:uid="{63C579A0-C5E6-4518-9008-21BB4E968437}">
      <text>
        <r>
          <rPr>
            <sz val="8"/>
            <color indexed="81"/>
            <rFont val="Calibri"/>
            <family val="2"/>
          </rPr>
          <t>1700 @44.40 al 07.09.23 12:43</t>
        </r>
      </text>
    </comment>
    <comment ref="AF111" authorId="0" shapeId="0" xr:uid="{B0EC33C7-238C-44BE-B3D9-736369F94A71}">
      <text>
        <r>
          <rPr>
            <sz val="8"/>
            <color indexed="81"/>
            <rFont val="Calibri"/>
            <family val="2"/>
          </rPr>
          <t>500 @ 97.30  al  06.10.21</t>
        </r>
      </text>
    </comment>
    <comment ref="AF117" authorId="0" shapeId="0" xr:uid="{E5C2324A-1E36-41BD-96D8-37A540423FA9}">
      <text>
        <r>
          <rPr>
            <sz val="8"/>
            <color indexed="81"/>
            <rFont val="Calibri"/>
            <family val="2"/>
          </rPr>
          <t>400 @ 123.62 al 04.02.26 17:13</t>
        </r>
      </text>
    </comment>
    <comment ref="AF124" authorId="0" shapeId="0" xr:uid="{068CDB6E-57A6-48F1-B03C-58F27345E9C9}">
      <text>
        <r>
          <rPr>
            <sz val="8"/>
            <color indexed="81"/>
            <rFont val="Calibri"/>
            <family val="2"/>
          </rPr>
          <t>1500 @ 50.07 al 04.09.25 15:52</t>
        </r>
      </text>
    </comment>
    <comment ref="AF131" authorId="0" shapeId="0" xr:uid="{44697F5D-A902-49B7-8B85-D42C5A2B8288}">
      <text>
        <r>
          <rPr>
            <sz val="8"/>
            <color indexed="81"/>
            <rFont val="Calibri"/>
            <family val="2"/>
          </rPr>
          <t>3500 @ 13.48  al 06.07.2021 16:00</t>
        </r>
      </text>
    </comment>
    <comment ref="AF150" authorId="0" shapeId="0" xr:uid="{62B91AEE-E800-4C70-84AA-FDE5E62C44C3}">
      <text>
        <r>
          <rPr>
            <sz val="8"/>
            <color indexed="81"/>
            <rFont val="Calibri"/>
            <family val="2"/>
          </rPr>
          <t>-45 @ 3’144.00 al 09.10.25 10:21</t>
        </r>
      </text>
    </comment>
    <comment ref="AF160" authorId="1" shapeId="0" xr:uid="{965E8DE6-ADE9-48C0-A7A4-8F86ECD1B4A5}">
      <text>
        <r>
          <rPr>
            <sz val="8"/>
            <color indexed="81"/>
            <rFont val="Calibri"/>
            <family val="2"/>
          </rPr>
          <t>1250 @ 51.29 al 07.01.26 17:01</t>
        </r>
      </text>
    </comment>
    <comment ref="AF161" authorId="1" shapeId="0" xr:uid="{9B9583FE-AAFB-4834-9C54-D0829EE419E2}">
      <text>
        <r>
          <rPr>
            <sz val="8"/>
            <color indexed="81"/>
            <rFont val="Calibri"/>
            <family val="2"/>
          </rPr>
          <t>3500 @ 18.41 al 07.01.26 17:02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Stefano Morniroli</author>
  </authors>
  <commentList>
    <comment ref="M271" authorId="0" shapeId="0" xr:uid="{C33F10BD-3EAC-4DE5-BAEE-E9608CBF10C6}">
      <text>
        <r>
          <rPr>
            <b/>
            <sz val="9"/>
            <color indexed="81"/>
            <rFont val="Tahoma"/>
            <family val="2"/>
          </rPr>
          <t>Stefano Morniroli:</t>
        </r>
        <r>
          <rPr>
            <sz val="9"/>
            <color indexed="81"/>
            <rFont val="Tahoma"/>
            <family val="2"/>
          </rPr>
          <t xml:space="preserve">
Consumer Cyclical 17.7% 1
Communications 15.4% 1
Capital Goods 15.2% 1
Consumer Non Cyclical 12.3% 1
Basic Industry 10.6% 1
Energy 6.9% 1
Technology 3.6% 1
Transportation 2.9% 1
Banking 2.2% 1
Industrial Other 1.1% 1
Owned No Guarantee 1.0% 1
Other 4.2% 1
Cash and other instruments 7.0% 1
Rating:
A 0.6%
BAA 12.7%
BA 52.7%
B 23.2%
CAA 3.7%
CA 0.1%
C 0.0%
NR 0.1%
Cash and other instruments 7.0%
Countries:
United States 61.5% 1
France 4.8% 1
United Kingdom 4.7% 1
Germany 4.0% 1
Netherlands 2.6% 1
Canada 2.0% 1
Ireland 1.8% 1
Italy 1.7% 1
Spain 1.6% 1
Australia 1.3% 1
Mexico 1.0% 1
Other 6.1% 1
Cash and other instruments 7.0% 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56CB16-00CD-49A7-88E5-AD0805934D4C}" keepAlive="1" name="Query - 'AGCO'col_ID" description="Connessione alla query ''AGCO'col_ID' nella cartella di lavoro." type="5" refreshedVersion="0" background="1" saveData="1">
    <dbPr connection="Provider=Microsoft.Mashup.OleDb.1;Data Source=$Workbook$;Location=&quot;'AGCO'col_ID&quot;;Extended Properties=&quot;&quot;" command="SELECT * FROM ['AGCO'col_ID]"/>
  </connection>
  <connection id="2" xr16:uid="{778947F8-7C0D-4997-B8B0-EF05DBF5561F}" odcFile="C:\Users\Stefano\Desktop\Query - Alerts.odc" keepAlive="1" name="Query - Alerts" description="Connection to the 'Alerts' query in the workbook." type="5" refreshedVersion="0" new="1" background="1">
    <dbPr connection="Provider=Microsoft.Mashup.OleDb.1;Data Source=$Workbook$;Location=Alerts;Extended Properties=&quot;&quot;" command="SELECT * FROM [Alerts]"/>
  </connection>
  <connection id="3" xr16:uid="{FE413859-43EB-4752-B998-C8FF7F75165D}" keepAlive="1" name="Query - 'CHF M'!col_ID" description="Connessione alla query ''CHF M'!col_ID' nella cartella di lavoro." type="5" refreshedVersion="0" background="1" saveData="1">
    <dbPr connection="Provider=Microsoft.Mashup.OleDb.1;Data Source=$Workbook$;Location=&quot;'CHF M'!col_ID&quot;;Extended Properties=&quot;&quot;" command="SELECT * FROM ['CHF M'!col_ID]"/>
  </connection>
  <connection id="4" xr16:uid="{939CA17D-2747-4F14-89C4-708CA8B82BE4}" keepAlive="1" name="Query - 'CHF MA'!col_ID" description="Connessione alla query ''CHF MA'!col_ID' nella cartella di lavoro." type="5" refreshedVersion="0" background="1" saveData="1">
    <dbPr connection="Provider=Microsoft.Mashup.OleDb.1;Data Source=$Workbook$;Location=&quot;'CHF MA'!col_ID&quot;;Extended Properties=&quot;&quot;" command="SELECT * FROM ['CHF MA'!col_ID]"/>
  </connection>
  <connection id="5" xr16:uid="{B706BD62-3B83-4B32-A8FA-1433EE6E6580}" keepAlive="1" name="Query - 'EUR M'!col_ID" description="Connessione alla query ''EUR M'!col_ID' nella cartella di lavoro." type="5" refreshedVersion="0" background="1" saveData="1">
    <dbPr connection="Provider=Microsoft.Mashup.OleDb.1;Data Source=$Workbook$;Location=&quot;'EUR M'!col_ID&quot;;Extended Properties=&quot;&quot;" command="SELECT * FROM ['EUR M'!col_ID]"/>
  </connection>
  <connection id="6" xr16:uid="{F1223F1C-990E-45A2-B4F5-33C02D2194F1}" keepAlive="1" name="Query - 'EUR MB'!col_ID" description="Connessione alla query ''EUR MB'!col_ID' nella cartella di lavoro." type="5" refreshedVersion="0" background="1" saveData="1">
    <dbPr connection="Provider=Microsoft.Mashup.OleDb.1;Data Source=$Workbook$;Location=&quot;'EUR MB'!col_ID&quot;;Extended Properties=&quot;&quot;" command="SELECT * FROM ['EUR MB'!col_ID]"/>
  </connection>
  <connection id="7" xr16:uid="{F69D5569-0C75-4C54-9D3A-02034DF18A14}" odcFile="C:\Users\Stefano\Desktop\Query - ConvertColumnTypes.odc" keepAlive="1" name="Query - fn_convert_column_types" description="Connection to the 'fn_convert_column_types' query in the workbook." type="5" refreshedVersion="0" new="1" background="1">
    <dbPr connection="Provider=Microsoft.Mashup.OleDb.1;Data Source=$Workbook$;Location=fn_convert_column_types;Extended Properties=&quot;&quot;" command="SELECT * FROM [fn_convert_column_types]"/>
  </connection>
  <connection id="8" xr16:uid="{DECD9528-D6F2-4A2C-81D6-E5FA5CA34EB3}" keepAlive="1" name="Query - fn_expand_all_records" description="Connection to the 'fn_expand_all_records' query in the workbook." type="5" refreshedVersion="0" background="1">
    <dbPr connection="Provider=Microsoft.Mashup.OleDb.1;Data Source=$Workbook$;Location=fn_expand_all_records;Extended Properties=&quot;&quot;" command="SELECT * FROM [fn_expand_all_records]"/>
  </connection>
  <connection id="9" xr16:uid="{7F1481FD-2B67-4141-AADE-DE62CAC26BE4}" odcFile="C:\Users\Stefano\Desktop\Query - ExpandAllTables.odc" keepAlive="1" name="Query - fn_expand_all_tables" description="Connection to the 'fn_expand_all_tables' query in the workbook." type="5" refreshedVersion="0" new="1" background="1">
    <dbPr connection="Provider=Microsoft.Mashup.OleDb.1;Data Source=$Workbook$;Location=fn_expand_all_tables;Extended Properties=&quot;&quot;" command="SELECT * FROM [fn_expand_all_tables]"/>
  </connection>
  <connection id="10" xr16:uid="{C7A7A5E9-AB18-4FB1-869C-2C4050B53D36}" keepAlive="1" name="Query - fn_range_to_list" description="Connection to the 'fn_range_to_list' query in the workbook." type="5" refreshedVersion="0" background="1">
    <dbPr connection="Provider=Microsoft.Mashup.OleDb.1;Data Source=$Workbook$;Location=fn_range_to_list;Extended Properties=&quot;&quot;" command="SELECT * FROM [fn_range_to_list]"/>
  </connection>
  <connection id="11" xr16:uid="{DA16191B-0BAF-4FEA-85FF-7877BF0BFB8D}" odcFile="C:\Users\Stefano\Desktop\Query - fnRenameColumnsFromRefTable.odc" keepAlive="1" name="Query - fn_rename_columns_from_reftable" description="Connection to the 'fn_rename_columns_from_reftable' query in the workbook." type="5" refreshedVersion="0" new="1" background="1">
    <dbPr connection="Provider=Microsoft.Mashup.OleDb.1;Data Source=$Workbook$;Location=fn_rename_columns_from_reftable;Extended Properties=&quot;&quot;" command="SELECT * FROM [fn_rename_columns_from_reftable]"/>
  </connection>
  <connection id="12" xr16:uid="{195BB7D3-588C-4E90-92AF-A4A5CB0D5485}" keepAlive="1" name="Query - fn_transform_excel_sheet" description="Connection to the 'fn_transform_excel_sheet' query in the workbook." type="5" refreshedVersion="0" background="1">
    <dbPr connection="Provider=Microsoft.Mashup.OleDb.1;Data Source=$Workbook$;Location=fn_transform_excel_sheet;Extended Properties=&quot;&quot;" command="SELECT * FROM [fn_transform_excel_sheet]"/>
  </connection>
  <connection id="13" xr16:uid="{9217A54B-8759-477C-9D39-320E39944C09}" keepAlive="1" name="Query - get_id_test" description="Connection to the 'get_id_test' query in the workbook." type="5" refreshedVersion="0" background="1">
    <dbPr connection="Provider=Microsoft.Mashup.OleDb.1;Data Source=$Workbook$;Location=get_id_test;Extended Properties=&quot;&quot;" command="SELECT * FROM [get_id_test]"/>
  </connection>
  <connection id="14" xr16:uid="{F97AEA3F-8399-48CC-BA30-E0C06A2C92D9}" keepAlive="1" name="Query - get_LUKB_data" description="Connessione alla query 'get_LUKB_data' nella cartella di lavoro." type="5" refreshedVersion="0" background="1">
    <dbPr connection="Provider=Microsoft.Mashup.OleDb.1;Data Source=$Workbook$;Location=get_LUKB_data;Extended Properties=&quot;&quot;" command="SELECT * FROM [get_LUKB_data]"/>
  </connection>
  <connection id="15" xr16:uid="{45D207C5-3B10-4BF2-9358-CF6CEAB3B4E7}" keepAlive="1" name="Query - get_LUKB_list_data" description="Connection to the 'get_LUKB_list_data' query in the workbook." type="5" refreshedVersion="0" background="1">
    <dbPr connection="Provider=Microsoft.Mashup.OleDb.1;Data Source=$Workbook$;Location=get_LUKB_list_data;Extended Properties=&quot;&quot;" command="SELECT * FROM [get_LUKB_list_data]"/>
  </connection>
  <connection id="16" xr16:uid="{ACD181F4-9A37-4AB7-A8A8-2ADC67043D3B}" keepAlive="1" name="Query - get_LUKB_PullID" description="Connection to the 'get_LUKB_PullID' query in the workbook." type="5" refreshedVersion="0" background="1">
    <dbPr connection="Provider=Microsoft.Mashup.OleDb.1;Data Source=$Workbook$;Location=get_LUKB_PullID;Extended Properties=&quot;&quot;" command="SELECT * FROM [get_LUKB_PullID]"/>
  </connection>
  <connection id="17" xr16:uid="{5F69E397-ADAC-4325-9CCA-D42221B4F29B}" keepAlive="1" name="Query - lukb_currencies_tbl" description="Connection to the 'lukb_currencies_tbl' query in the workbook." type="5" refreshedVersion="0" background="1" saveData="1">
    <dbPr connection="Provider=Microsoft.Mashup.OleDb.1;Data Source=$Workbook$;Location=lukb_currencies_tbl;Extended Properties=&quot;&quot;" command="SELECT * FROM [lukb_currencies_tbl]"/>
  </connection>
  <connection id="18" xr16:uid="{A7778BD7-4023-45E6-A561-A9FA6D35BD41}" keepAlive="1" name="Query - lukb_exchanges_tbl" description="Connection to the 'lukb_exchanges_tbl' query in the workbook." type="5" refreshedVersion="8" background="1" saveData="1">
    <dbPr connection="Provider=Microsoft.Mashup.OleDb.1;Data Source=$Workbook$;Location=lukb_exchanges_tbl;Extended Properties=&quot;&quot;" command="SELECT * FROM [lukb_exchanges_tbl]"/>
  </connection>
  <connection id="19" xr16:uid="{493DDF60-CAF1-4C53-9762-7768FA9ED182}" keepAlive="1" name="Query - lukb_get_id" description="Connection to the 'lukb_get_id' query in the workbook." type="5" refreshedVersion="0" background="1">
    <dbPr connection="Provider=Microsoft.Mashup.OleDb.1;Data Source=$Workbook$;Location=lukb_get_id;Extended Properties=&quot;&quot;" command="SELECT * FROM [lukb_get_id]"/>
  </connection>
  <connection id="20" xr16:uid="{09D65325-54A6-4274-86A6-3C02A6CF5E6B}" keepAlive="1" name="Query - lukb_get_json_data" description="Connection to the 'lukb_get_json_data' query in the workbook." type="5" refreshedVersion="0" background="1">
    <dbPr connection="Provider=Microsoft.Mashup.OleDb.1;Data Source=$Workbook$;Location=lukb_get_json_data;Extended Properties=&quot;&quot;" command="SELECT * FROM [lukb_get_json_data]"/>
  </connection>
  <connection id="21" xr16:uid="{FD2294AC-65A8-408E-B40B-2CF9D4F6BEF8}" keepAlive="1" name="Query - lukb_get_pull_id" description="Connection to the 'lukb_get_pull_id' query in the workbook." type="5" refreshedVersion="0" background="1">
    <dbPr connection="Provider=Microsoft.Mashup.OleDb.1;Data Source=$Workbook$;Location=lukb_get_pull_id;Extended Properties=&quot;&quot;" command="SELECT * FROM [lukb_get_pull_id]"/>
  </connection>
  <connection id="22" xr16:uid="{ECD8B24D-71FE-47C9-ADF5-F39E8D150C84}" keepAlive="1" name="Query - lukb_get_smo_ids_data" description="Connection to the 'lukb_get_smo_ids_data' query in the workbook." type="5" refreshedVersion="0" background="1">
    <dbPr connection="Provider=Microsoft.Mashup.OleDb.1;Data Source=$Workbook$;Location=lukb_get_smo_ids_data;Extended Properties=&quot;&quot;" command="SELECT * FROM [lukb_get_smo_ids_data]"/>
  </connection>
  <connection id="23" xr16:uid="{1ECB9B1E-CB36-46A0-9F68-94B630241360}" keepAlive="1" name="Query - lukb_json_to_table" description="Connection to the 'lukb_json_to_table' query in the workbook." type="5" refreshedVersion="0" background="1">
    <dbPr connection="Provider=Microsoft.Mashup.OleDb.1;Data Source=$Workbook$;Location=lukb_json_to_table;Extended Properties=&quot;&quot;" command="SELECT * FROM [lukb_json_to_table]"/>
  </connection>
  <connection id="24" xr16:uid="{E8DFA115-4CFF-41A6-806E-C814163B4853}" keepAlive="1" name="Query - lukb_validate_listing_id" description="Connection to the 'lukb_validate_listing_id' query in the workbook." type="5" refreshedVersion="0" background="1">
    <dbPr connection="Provider=Microsoft.Mashup.OleDb.1;Data Source=$Workbook$;Location=lukb_validate_listing_id;Extended Properties=&quot;&quot;" command="SELECT * FROM [lukb_validate_listing_id]"/>
  </connection>
  <connection id="25" xr16:uid="{08DEDD9E-FAD1-4BF4-B4C5-F110E654013D}" keepAlive="1" name="Query - new_ids_tbl" description="Connection to the 'new_ids_tbl' query in the workbook." type="5" refreshedVersion="0" background="1" saveData="1">
    <dbPr connection="Provider=Microsoft.Mashup.OleDb.1;Data Source=$Workbook$;Location=new_ids_tbl;Extended Properties=&quot;&quot;" command="SELECT * FROM [new_ids_tbl]"/>
    <extLst>
      <ext xmlns:x15="http://schemas.microsoft.com/office/spreadsheetml/2010/11/main" uri="{DE250136-89BD-433C-8126-D09CA5730AF9}">
        <x15:connection id="" excludeFromRefreshAll="1"/>
      </ext>
    </extLst>
  </connection>
  <connection id="26" xr16:uid="{7015670D-DEC7-41F6-BBC7-D8186E2F1180}" keepAlive="1" name="Query - Porfolio_Positions" description="Connessione alla query 'Porfolio_Positions' nella cartella di lavoro." type="5" refreshedVersion="8" background="1" saveData="1">
    <dbPr connection="Provider=Microsoft.Mashup.OleDb.1;Data Source=$Workbook$;Location=Porfolio_Positions;Extended Properties=&quot;&quot;" command="SELECT * FROM [Porfolio_Positions]"/>
  </connection>
  <connection id="27" xr16:uid="{5EFF208E-7702-4A5D-87AE-8DA46E3110F9}" keepAlive="1" interval="2" name="Query - Posizioni" description="Connection to the 'Posizioni' query in the workbook." type="5" refreshedVersion="8" background="1" saveData="1">
    <dbPr connection="Provider=Microsoft.Mashup.OleDb.1;Data Source=$Workbook$;Location=Posizioni;Extended Properties=&quot;&quot;" command="SELECT * FROM [Posizioni]"/>
    <extLst>
      <ext xmlns:x15="http://schemas.microsoft.com/office/spreadsheetml/2010/11/main" uri="{DE250136-89BD-433C-8126-D09CA5730AF9}">
        <x15:connection id="" excludeFromRefreshAll="1"/>
      </ext>
    </extLst>
  </connection>
  <connection id="28" xr16:uid="{14D3B760-55E6-4091-BC79-FF10F0ACFFB2}" keepAlive="1" name="Query - smo_lukb_ids_tbl" description="Connection to the 'smo_lukb_ids_tbl' query in the workbook." type="5" refreshedVersion="8" background="1" saveData="1">
    <dbPr connection="Provider=Microsoft.Mashup.OleDb.1;Data Source=$Workbook$;Location=smo_lukb_ids_tbl;Extended Properties=&quot;&quot;" command="SELECT * FROM [smo_lukb_ids_tbl]"/>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<sst xmlns="http://schemas.openxmlformats.org/spreadsheetml/2006/main" count="19812" uniqueCount="4476">
  <si>
    <t>Relazione</t>
  </si>
  <si>
    <t>Data</t>
  </si>
  <si>
    <t>Inizio</t>
  </si>
  <si>
    <t>Fine</t>
  </si>
  <si>
    <t>Canale</t>
  </si>
  <si>
    <t>Controvalore</t>
  </si>
  <si>
    <t>Perf. YtD%</t>
  </si>
  <si>
    <t>TAA</t>
  </si>
  <si>
    <t>TCA</t>
  </si>
  <si>
    <t>Descrizione</t>
  </si>
  <si>
    <t>Decisioni / Feed-Back</t>
  </si>
  <si>
    <t>Prossimo</t>
  </si>
  <si>
    <t>Cattaneo</t>
  </si>
  <si>
    <t>Telefonata</t>
  </si>
  <si>
    <t>Tel. da aggiornamento a seguito delle correzione dei mercati.
-Retrospettiva quota azionaria
-Informazione si recente aumento quota
-Tattica /Strategia per prossime settimane
-Obbiettivo a medio termine: riportare quota azionaria a 40-50%</t>
  </si>
  <si>
    <t>Orlando</t>
  </si>
  <si>
    <t>Peter</t>
  </si>
  <si>
    <t>-La cliente vede di buon occhio l'aumento della componente azionaria
-Sarebbe anche propensa ad aumentare l'esposizione in oro. SM O sottolinea come la quota attuale sia già piuttosto importante.</t>
  </si>
  <si>
    <t>Solari</t>
  </si>
  <si>
    <t>Tel. da aggiornamento a seguito delle correzione dei mercati.
-Retrospettiva quota azionaria
-Proposto eventuale amento quota azionaria, no appena il VIX dovesse scendere a livelli storicamente più normali (&lt; 40)</t>
  </si>
  <si>
    <t>Il cliente preferisce "stare alla finestra" e on reagire per il momento in nessuna direzione</t>
  </si>
  <si>
    <t>Corna</t>
  </si>
  <si>
    <t>Tel. da aggiornamento a seguito delle correzione dei mercati.
-Discussione vari temi di risposta al problema Coronavirus in Italia (cassa integrazione, piano di sostegno ecc.)
-SMO indica di aver per il momento acq. per 1/2 del margine azionari disponibile e di intendere attendere per un eventuale 2. parte
-Discusso se sia il caos o meno di rivedere il profilo d'investimento per consentire un aumento significativo delle quota azionaria</t>
  </si>
  <si>
    <t>-Il cliente preferisce mantenere il profilo attuale</t>
  </si>
  <si>
    <t>Rezzonico</t>
  </si>
  <si>
    <t>9/35/45/11%</t>
  </si>
  <si>
    <t>&gt; Comunicato performance
&gt; Offerto incontro prima di Natale</t>
  </si>
  <si>
    <t>&gt; Concordato appuntmanto per il 10.12.24 alle 14:00</t>
  </si>
  <si>
    <t>&gt; Avvisato dell'aumento della commissione di gestione dal 0.80'% al 1.00% a partire dal 01.01.2024 e contempranbea riduzione della flat-feee bancaria da 0.3% a 0.2% a partire del 01.02.2024.
&lt; Le nuove condizioni saranno formalizzate in occasione della prossima visita a domicilio</t>
  </si>
  <si>
    <t xml:space="preserve">&gt; Capisce le motivazioni dell'aumento anche se non ne è certamente felice. Apprezza che abbiamo ottenuto uno sconto dalla banche che riduce il costo per lei dell'aumento. Non desidera l'invio dei nuovi contratti che controfirmerà in occasione della prossima visita.
</t>
  </si>
  <si>
    <t>Praloran</t>
  </si>
  <si>
    <t>Tel del procuratore E. Praloran</t>
  </si>
  <si>
    <t>O di vendita 20K Guala Cosure Wrts @ 0.45 Vt 31.05.2020</t>
  </si>
  <si>
    <t>Tel. Procuratore E. Praloran</t>
  </si>
  <si>
    <t>O trasmesso tel. da Smo a Tabet; Eseguito: Vte 400 SCHN @ 213.67</t>
  </si>
  <si>
    <t>Tel Alessandra; desidera prendere profitto su Schindler (corso 220 ma riferito a PS; Nominativa a ca. 214)</t>
  </si>
  <si>
    <t>O Vte Schindler al meglio.
O trasmesso tel. Da SMO a Tabet che conferma: Vte 400 SCHN @ 213.67</t>
  </si>
  <si>
    <t>Tel. Proc. E. Praloran</t>
  </si>
  <si>
    <t>O Vte:
- 70 Schindler
-185 Sunrise
- 25 Swisscom
-3'000 MPS
O Vte. Limitato Gala Clsure WTS @ 0.40 Vte: 31.07.20</t>
  </si>
  <si>
    <t>Ser-Fid</t>
  </si>
  <si>
    <t>Tel. Alla signora Bolivar in quanto, contrariamente a quanto preavvisatomi da Wendall, non ho ricevuto una telefonata di aggiornamento relativa alla nuova procura amministrativa per UBS. La signora si scusa, chiede l’indirizzo di spedizione e conferma che invierà oggi per DHL a MM Società Holding.
SMO preavvisa pta, chiedendo di poi gestire il documento una volta ricevuto.</t>
  </si>
  <si>
    <t>e-mail</t>
  </si>
  <si>
    <t>Inviato E-mail con comunicazione CA delle depositaria (offerta di acquisto Guala Closure)</t>
  </si>
  <si>
    <t>Attraverse e-mail del 14.06.20 12:15 il procuratore comnica di non voler fare nulla.</t>
  </si>
  <si>
    <t>Duisin</t>
  </si>
  <si>
    <t>Tel. di Anton per aggiornamento su performance e strategia.
MOT infica performance e controvalore.
Aspettative: I mercati scontano con delle valutazioni molto generose una V-recovery:
Secondo noi la ripresa sarà piÙ graduale e le valutazioni sono ottimistiche.</t>
  </si>
  <si>
    <t>La quota azionaria è attualmente a 35% e non prevedo di aumentarla oltre a breve date le valutazini attuali.  Il porssimo passo in termin di TAA sarà probabilmente al ribasso e non al rialzo.</t>
  </si>
  <si>
    <t>Baroni</t>
  </si>
  <si>
    <t xml:space="preserve">Inviato si richiesta del cliente estratti fiscale 2019 e estratto patrimoniale al 30.06.20 </t>
  </si>
  <si>
    <t>Invio posizione aggiornata per e-mail a procuratore (gazzesi) come da sua richiesta per WhatApp del 27.07.20 - ore 1331</t>
  </si>
  <si>
    <t>Istr. procuratore</t>
  </si>
  <si>
    <t>- Vte USD 20'000 su CHF   
-Vte EUR 20'000 su CHF</t>
  </si>
  <si>
    <t>- O vte 1/2 posizione argento (55 parti ZKB Silver ETF) limitato a 270 Vt. 30.09.20).
Confermato trasmissone ordine per WhatsApp.</t>
  </si>
  <si>
    <t>-Proposta di acquisto di PSP a seguito dei buoni risultati annunciati per il 2. trime 2020. 
Prezzo attuale: 106</t>
  </si>
  <si>
    <t>- Ha venduto l'esposizione in questo settore e non se la sente per il momento di rientrare. Non acquistare.</t>
  </si>
  <si>
    <t>WhatApp</t>
  </si>
  <si>
    <t>- Conferma eseguito O vte 55 ETF argento @ 270 e comunicazione posizione residua di 55 parti</t>
  </si>
  <si>
    <t>- Richiesta invio posizione a fine settmabre</t>
  </si>
  <si>
    <t>-Inviato posizione per E-mail come da richiesta</t>
  </si>
  <si>
    <t>Appuntmanto per il 20.10.20 - 1430 a domicilio</t>
  </si>
  <si>
    <t>- Il 1. novemebre parte in vacanza</t>
  </si>
  <si>
    <t>- Proposto incontro
- Ventilato opportunità investimento sviluppo infrastruttura verde
- Discusso brevemente allocazione attuale</t>
  </si>
  <si>
    <t>-Preferisce limitare i contatti al minimo necessario e non ritiente necessario un incontro  a breve.
- Anche di salute non stà molto bene in quanto affetto da un gotta molto dolorosa.
- Siamo rimasti che si farà vivo lui prima di Natale.</t>
  </si>
  <si>
    <t>Auguri di Natale e nuovo anno.
Nessuna discusione (/ indicazione relativa a mercati e portafoglio.
Hanno vuovamente annuallato il suo viaggio non può neppure andare in Germaina a trovare il fratello. Il fratello è a sua volta molto malato e non può viaggiare.
è molto preoccupata per il Covid e non pensa che passerà così rapidmante.</t>
  </si>
  <si>
    <t>Visita</t>
  </si>
  <si>
    <t>9/40/40/11%</t>
  </si>
  <si>
    <t>&gt; Visita di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</si>
  <si>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 xml:space="preserve">&gt; Nel periodo a cavallo dell'anno andrà in ferie con il fratello e la famigli in Guadalupe.
&gt; Discusso danni grandine alla casa
</t>
  </si>
  <si>
    <t>Auguri di Natale
Per Natale si incontrara con le nipoti.
Resta molot preoccupato per il Corona a preferisce limitare i contatti sociali allo stretto necessario.
Mnesionato solo a margine e rpaidmante la performcne del portafolgio</t>
  </si>
  <si>
    <t>Auguri di Natale.
Non disucco mercati /portafoglio</t>
  </si>
  <si>
    <t>Wendall</t>
  </si>
  <si>
    <t>12/29/49/10%</t>
  </si>
  <si>
    <t>&gt; Chaicchierata generale.</t>
  </si>
  <si>
    <t>&gt; Concordato appuntamento telefonico per il 06.12.24 alle ore 10:00 in modo che sia presenta anche Paola</t>
  </si>
  <si>
    <t>Auguri di Natale
Lui ha richiesto se ritenevo opportuno incrementare la quota azionari: la sisposta è stata che ritengo che le valutazion attuali dei mercati sinao molto ottimistiche. Sebbene a livelo di stock picking ci sono e saranno interessanti opportunità, a livello di indici mi attendo una correzione.
Indicato performance: +2.36%</t>
  </si>
  <si>
    <t>In febbraio era molto preoccupato, ma il risultato attuale lo soddisfa.
Dice di affidarsi a SMO per quanto riguarda l'allocazione.</t>
  </si>
  <si>
    <t>Auguri di Natale.
Non trovato… inviato messaggio WhatsApp</t>
  </si>
  <si>
    <t>Auguri di Natale
È un po' stufa del Covid, per il fatto che si sente un o isolata dai suoi cari.
Divesamente dagli anni scorsi, questo Natale non potranno fare la cena della vigilia… le farano visita a scaglioni.
Poco fa è scivolata in balcone ed ha picchiato la testa. Hanno dovuto farle 8 punti ma non ha avuto conseguenze gravi, se non un doloroso ematoma sul colla e scapole.
La figlia è potuta venie subito ad assisterla.
Mensionato performance: +3.66%</t>
  </si>
  <si>
    <t>Brenni Mattia</t>
  </si>
  <si>
    <t>- Richiesta aggiornamento performence da parte del cliente. Comunicato controvalore, andamento mensile e performance.
- Approfitto dell'occasione per comunicare cambiamento periodicità addebito commissione di gestione da semestrale a trimestrale.</t>
  </si>
  <si>
    <t>- Aggiornamento ctrvl.e e performance
- CG: infomato modifica frequenza fatturazione da sem. a trim.
- Proposto visita se auspicata
- Vaccinazione: seconda prevista per il 23.04.21</t>
  </si>
  <si>
    <t>- Visita non necessaria; tutto OK.</t>
  </si>
  <si>
    <t>7/40/38/0/15%</t>
  </si>
  <si>
    <t>&gt;  Firma nuovo contratto e profilo di rischio
&gt;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</si>
  <si>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soddifsatta
&gt; Nulla da segnalare
&gt; Privato: perdita olio motore lift (preoccupata)</t>
  </si>
  <si>
    <t>- Aggiornamento ctrvl.e e performance
- CG: infomato modifica frequenza fatturazione da sem. a trim.
- Proposto visita se auspicata</t>
  </si>
  <si>
    <t>- Aggiornamento ctrvl.e e performance
- CG: infomato modifica frequenza fatturazione da sem. a trim.
- Richiesto previsione prossimo incontro</t>
  </si>
  <si>
    <t>- Visita prevista per giugno /luglio a secnda dello sviluppo situazione covid</t>
  </si>
  <si>
    <t>14/31/45/10%</t>
  </si>
  <si>
    <t>&gt; Il signor Wendall ha avuto un infarto il 1.11.2022. Prontamente oprato (stent) si sente ora meglio che mai, anche perchà cammina 4-5 Km ogni giorno.
&gt; Attività professionale va bene, dovrebe tenere diversi seminari l'anno prossimo per l'azionada petrolifera statale in Kuwait.
&gt; Non preavvisato alcun affluso /deflusso.
&gt; Relativamente soddisfatti delle performance che è molto migliorata dal posizione scansionata ricevuta da Ser-Fid a fine ottobre.</t>
  </si>
  <si>
    <t>Brenni Eliane</t>
  </si>
  <si>
    <t>- Aggiornamento ctrvl.e e performance
- CG: infomato modifica frequenza fatturazione da sem. a trim.
- Aggiornamento gravidanza Anna Cristina: parto previsot per il 21 giugno; felice della gravidanza, spera comuque di terminare gli studi in fashion managment</t>
  </si>
  <si>
    <t>- Visita: SMO ha comunicato di essere raramente a Zurigo. Eliane si farà viva per un incontro la prima volta che scende in Ticino nell'appartamento di Paradiso.</t>
  </si>
  <si>
    <t>- Proposto vendita obbligazione in scadenza in aprile e vendita USD a favore di CHF (USD/CHF = 0.9292) per realizzare apprezzamento USD e risparmiare imposta sul reddito della cedola.
- Prewavvisato cambiamento frequenza di addebito commissione di gestione da semestrale a trimestrale</t>
  </si>
  <si>
    <t>Il cliente preferisce restare in USD e richiede piuttosto di valutare / proporre un rinnovo dell'obbligazione in scadenza in obbligazione AAA (+) e scadenza 2025</t>
  </si>
  <si>
    <t>- Invio posizione aggiornata a fine marzzo
- Comunicato nuva periodicità addebito CG trimestrale</t>
  </si>
  <si>
    <t>Posta</t>
  </si>
  <si>
    <t>- Ricevuto "Estratto" (Proposta d'investimento) del conto presso Raiffeisen per integrazione nell'analisi del patrimonio complessivo</t>
  </si>
  <si>
    <t>Il cliente richiede l'invio di un estratto patrimoniale aggiornato in quanto deve produrlo nel contesto di un soggiorno negli USA della figlia.</t>
  </si>
  <si>
    <t>Inviato per mail un estrattto aggionato.</t>
  </si>
  <si>
    <t>Invio estratto fiscale 2020 su richiesta telefonica del cliente</t>
  </si>
  <si>
    <t>-Proposta acquisto 3% di ISHares IT e iShares Consumer Staples</t>
  </si>
  <si>
    <t>-Il procuratre approva l'acquisto di 2% di iShares IT ma, invece di 3% di iShares CS, richiede l'acquisto di 2% del fondo HAN-GINS Indxx Healthcare Megatrend Equal Weight UCITS ETF - Accumulating (WELL)  in EUR.</t>
  </si>
  <si>
    <t>Incontro</t>
  </si>
  <si>
    <t>- Presentazione SAA e discussione razionale singoli investimenti (presenti titolare due proc.)
- Discussione apettative sviluppo mercati
- Copia passaporto rinnovato dalla titolare
- Opportunità revisione inoltro corripondenza in forma digitale</t>
  </si>
  <si>
    <t>- Siddusfatti dell'andmanto dell'anno in corso e delgi ultimi anni
- Prelevamento EUR 30K
- Sottiscrizione formulari per attivazione corrispondenza Online</t>
  </si>
  <si>
    <t>Morgana</t>
  </si>
  <si>
    <t>-Aggiornamento su grado investimento, TAA e performance</t>
  </si>
  <si>
    <t>-Cliente condivide e supporto l'approccio di un investimento graduale.
- Il cliente deisdera che venga prodotto un estratto fisclae ITA per il suo portafolgio a partire dal 2021 (incluso)
--&gt; SMO invia e-mail a Zatta con richiesta corrispondente (20.07.2021)</t>
  </si>
  <si>
    <t>- Il cliente invia un WhatsApp per informarmi che, ha sua sorpresa, ha ricevuto una lettera dalla banca con la password per l'online. Come concordato, ribadisce di non essere interessato e di non voler ricevere corrispondenza.
'- I dati per l'accesso Online sono da inviare a MM Gestione Ptrimoniale che, su sua richiesta, glieli consegnarà eventualmente in occasioen della prossima visita</t>
  </si>
  <si>
    <t xml:space="preserve"> SMO chiama Zatta (che è in vacanza) ed informa il collega dell'accaduto. Ricorda come gli accordi fossero di inviare il tutto a MM e richiede di sospendere /reindirizzare a MM eventuali ulteriori invii.
- SMO approfiztta dell'occasione per informare telefonicmante il cliente sull'evoluzione volatile dei mercati delle ultime settimane e aggiornarlo sulla performance.</t>
  </si>
  <si>
    <t>-La cliente richiama in quanto ha visto le telefonate si SMO. 
- SMO l'aveva cercata per comunicare che, per errore, aveva incluso la sua posizione di 700 Alsto (acq. @ 42.50) nella vendita globale effetuata. SMO chiede quindi se la cliente intende riacquistalre (prezzo attuale leggermente al di sotto del prezzo di vendita di EUR 35.66 - Perdito = ca. 16% / EUR 4'788).</t>
  </si>
  <si>
    <t>- No, la cliente dice che no c'è alcun problema. Va bene che siano state vendute e non desidera riacquistarle</t>
  </si>
  <si>
    <t xml:space="preserve">- Trasmesso eseguito vte Mineral Resource @ 6.50 (chiuso a 6.14) e
- Confermato che avevamo in precedenza già mediato Telefonica (come alla cliente sembrava di rcordare) con Acq. 5000 az. @ 3.9060 il 4.5. 2021 </t>
  </si>
  <si>
    <t>24/24/41/11%</t>
  </si>
  <si>
    <t>70/17/11</t>
  </si>
  <si>
    <t>_ La signora Peter conferma di voler trasferire degli AUD al rinetro dalla vacanze (9.9.21) e richiede pertanto l'apertura di un  cto. AUD
_ MOT approfitta dell'occasione per ridiscutere le istruzoni  di corrisponenza: modificheremon alla porssima visita in modo che noi riceviamo l'orginale in forma digitale e lei la copia in forma cartacea, senza aprire un nuovo utente Online</t>
  </si>
  <si>
    <t>_ MOT invia E-Mail a Zatta richiedendo l'apertura di un cto AUD e l'invio di una lettera con il numero IBAN per il trasferimento</t>
  </si>
  <si>
    <t>-Non discusso ctrlv e performance
-Proposto incontro di aggiornamento
- Richiesto copi adel nuovo documento ID in sostituzone del passaporto scaduto. La singora non ha rinnovato il passaporto</t>
  </si>
  <si>
    <t>- Inviato fotografie carta d'identità (fronte /retro)
- Sarà assente la prossima settimana ma grdisce una telefonata /incotnro nel mese di ottobe/novembre</t>
  </si>
  <si>
    <t>9/39/36/15%</t>
  </si>
  <si>
    <t>&gt; Condoglianze per decesso madre
&gt; Ha letto del processo Notenhandel Lugano</t>
  </si>
  <si>
    <t>&gt; Prospettato incontro nel mese di aprile</t>
  </si>
  <si>
    <t>-Proposto acquisto di ca. 14K EUR BMW</t>
  </si>
  <si>
    <t>-Acquisto approvato</t>
  </si>
  <si>
    <t>- Auguri di buone feste (molto socievole e contenta della telefonata)
- La signora dice di essere riuscitaad organizzare un incontro di tutta la familgia per natale (fra cui una pronipote che fa la quinta elementare). È un pO preoccupata perché, icnlusi compagni/compagne sono probabilmente in 19 (restrizion covid?)
- La signora è una fervente fautrice delel vacinazzione covid. Ha già fatto la terza e così hanno fatto le figlie.
- Portafoglio: MOT sottolinea come l'allocazioen si apiuttosto prudenziale e la performcne di conseguenza abbastanza modesta (+ca. 3%). La signora non si dice insoddisfata e ribadisce che il suo obbiettivo principale è la preservazioen del capitale.
- MOT onidca che ritiene che il 2022 potrà essere un anno difficiele con potenziale di correzione importante (venuta meno dello stimolo monetario e riduzione dello stimolo fiscale).</t>
  </si>
  <si>
    <t>- Ribadisce che l'obbiettivo principale delle'investimento è la preservazione del capitale ed è pertanto ptornta a prendere in conto delle performcne relativamente ridotte.</t>
  </si>
  <si>
    <t>18/24/45/11%</t>
  </si>
  <si>
    <t>72/16/11%</t>
  </si>
  <si>
    <t>-Fissato appuntmanto per il 10.01.22
-Dal 23 al 7.122 è in vista dal fratello. Viaggio in treno di 12h.
-Nessuna discussione del portfoglio / performance</t>
  </si>
  <si>
    <t>- Auguri di buone feste
-Proposta incontro ad inizio anno prossimo</t>
  </si>
  <si>
    <t>- Dice di seguire con ansietà l'evoluzione dei mercati.
- Sta valutando se non ridurre la componente azionari in cosiderazione dello scenario dei tassi / inflazione, secondo lui forse sottovalutato dai mercati.
- SMO riponde proponendo switch SPI -&gt; SMI, più difenisvo come allocazione settoriale.
- Il cliente da ordine di vendere SMI e restare per il momento liquido. Valuteremo con calma in gennaio per un reinvestimento.</t>
  </si>
  <si>
    <t>E-mail</t>
  </si>
  <si>
    <t>&gt; Inviato retrospettiva mercati
&gt; Comunicato performance 2022 molto negativa</t>
  </si>
  <si>
    <t>&gt; La cliente richiama piuttosto "delusa" dell'andamento: SMO ribadisce e evidenzia l'andmanto eccezionalmente negativo di tutte le classi d'attivo con rifererimento alla retrospettiva inviata.</t>
  </si>
  <si>
    <t>WhatsApp</t>
  </si>
  <si>
    <t>37/32/26/5%</t>
  </si>
  <si>
    <t>65/28/7%</t>
  </si>
  <si>
    <t>- Auguri buone feste
- Indicazione performance
- Prospettive: 2022 anno difficile
- Interesse nuova apertura avv. Suo amico (EUR 50K)?</t>
  </si>
  <si>
    <t>- SMO comunica he 50K sono troppo pochi. Interessato da CHF 100K +</t>
  </si>
  <si>
    <t>24/53/20/3%</t>
  </si>
  <si>
    <t>74/17/9%</t>
  </si>
  <si>
    <t>- Auguri di buone feste
- Comunicazione Ctrlv e performance</t>
  </si>
  <si>
    <t>- Il cliente auspica un incontro l'ultima settiman dell'anno. Desidera vedere dove è la banca (non si ricorda) e consocere il suo consulente di riferimento.
- Fissato appuntamento  per il 28.12.21 alle 1030 in fiduciaria ed alle 1045 in banca. Zatta è purroppo assente tutta la settimana, l'incontro avrà quindi luogo con il sig. MIlo(rad) Starcevic.</t>
  </si>
  <si>
    <t>10/37/41/6%</t>
  </si>
  <si>
    <t>62/29/9%</t>
  </si>
  <si>
    <t xml:space="preserve"> - Auguri
- Comnicazione Cotnrovalore, Performance, TAA, CAA
- Espresso apsettativa prudente /negativa per il 2022</t>
  </si>
  <si>
    <t>14/30/40/14%</t>
  </si>
  <si>
    <t>_Riassunto brevemente andmanto mercati da inizio anno
_Comunicato controvalore e perfomrmance a fine giungo (cfr. dato registrato)
_Proposto incontro di aggiornamento
_Preavvisato esigenza di cambiamento banca a seguito decisione UBS</t>
  </si>
  <si>
    <t>_Incontro fissato per il 18.07.2022 alle ore 1300 a domicilio.</t>
  </si>
  <si>
    <t>13/71/7/8%</t>
  </si>
  <si>
    <t>51/30/19%</t>
  </si>
  <si>
    <t>- Auguri
- Famiglia: 
   Moglie vive con i gemelli, figlia Chiara vive con il moroso e lavora al CS nel team clientela Russa (parla correntmente russo). Ha terminato il Bachelor in diritto ma non il Master.
   La filgia Anna Cristina, lavora come assistente in una società di Pparela l 50%; il compagno e  padre del figlio (nato in giungo 2021) lavora presso l'uffico tecnico di Zurigo.
   Mattia vive un appartmanto enlle vicinanze. La copia è prossoma alla definizione di un accordo di separazione. La metà del portafolgio di Mattia sarà probabilmente da trasferire alla moglie.</t>
  </si>
  <si>
    <t>- La liquidità attuale è da lascire stare fino a qunao ha definito la suddivisione con la moglie.
- Porspettato vendita midium Caps CH a favore di ETF su SMI</t>
  </si>
  <si>
    <t>20/25/42/5/8</t>
  </si>
  <si>
    <t>70/19/11%</t>
  </si>
  <si>
    <t>Sembenico</t>
  </si>
  <si>
    <t>43/15/30/12%</t>
  </si>
  <si>
    <t>45/18/32%</t>
  </si>
  <si>
    <t>Proposto acquisto Logitec.</t>
  </si>
  <si>
    <t>Il procuratore approva l'acquisto</t>
  </si>
  <si>
    <t>A. approva l'acquisto riducendo l'importo proporto a ca. CHF 50K</t>
  </si>
  <si>
    <t>19/24/49/9%</t>
  </si>
  <si>
    <t>70/17/11%</t>
  </si>
  <si>
    <t>_ Retrospettiva evoluzione mercati 2021
_Prospettive 2022: sarà un anno difficile con poteenziale di correzione importnate; i mercati azionari, nei settori sottovlautati, restano la classe di attivo probabilmente più attrattiva
_Le obbligazioni a lungo termine potrebbero ritornare atttrattive nel caso che i rilazi dei tassi riducano le aspettative di crescita a medio / mulno terine (forse nella seconda metà dell'anno).
_ Le materie prime dovrebbero approfittare dello sbilancio domanda offerta casuato dell'approccio dilagante ESG
_L'oro dovrebbe beneficiare del fatto che i rialzi dei tassi nominali non etrrano probabilmente il passo con l'inflazione  e del suo carattere di diversificazione in caso di forte correzioen dei mercati azionari</t>
  </si>
  <si>
    <t>_ Soddisfatta; niente di particolare da segnalare
_Firmato fogli per corrispondenza E-banking che per dimaneticnza non avevamo firmato in agosto
_ Il 10 aprile, dovrebbe finalmente poter fare una ccrociera su Danubio, più volte rinviata
_Prospettato prosssima visita per fine marzo</t>
  </si>
  <si>
    <t>_Discussione performcne e Asset Allocation
_SMO esprime l'aspettativa di un recupero (anche importante) dei mercati per la prossime 2 settimane e poi un nuovo storno importante; possibilmente in occasione della pubblicazione del verbale dell'unltima riunione della FED</t>
  </si>
  <si>
    <t>_Nessuna modifica.</t>
  </si>
  <si>
    <t>_Proposto vendita fondo High Yiled Robeco</t>
  </si>
  <si>
    <t>_A. (proc.) approva la vendita al meglio.
_SMO impartisce l'ordine Online</t>
  </si>
  <si>
    <t>27/22/42/7%</t>
  </si>
  <si>
    <t>_Retrosepttiva: Riduzione azionario USA, HY Bonds, Azionario.
_Prospettiva: (ST) incremento Materie prime (3x3%), Spostamento vs. USA e (2) China</t>
  </si>
  <si>
    <t>_Non sorpresa
_Apprezzato aggiornamento
_Cancellazione crociera sul Danubio</t>
  </si>
  <si>
    <t>_Riassunto modifica TAA da ultimo contatto; in partiolare, incremento esposizione materie prime
_Aggiornamento performance
_Indicato come ritengo che non  abbiamo ancora visto il peggio della correzione azionaria
_Auguri di buona Pasqua</t>
  </si>
  <si>
    <t>_La figlia compie oggi 35 anni; per la prima volta dopo diversi anni escono finalmente e cena. Lui piuttosto sollevato in quanto ha meno lavoro.
_Conferma di aver ricevuto la posizione di fine marzo da Ser-Fid ed essere qundi abbastanza aggiornato sull andamenteo.
_Rinnova la sua fiducia nella gestione</t>
  </si>
  <si>
    <t>_Non trovata, lasciato messaggio</t>
  </si>
  <si>
    <t>36/23/34/6%</t>
  </si>
  <si>
    <t>_Un po' logorata dall'andmanto altalenante. Si chiede se non valga la pena tenere tutto in cash.
_Apprezzato aggiornamento
_Tutta la famiglia si è ammalata di Covid dopo Natale, ma lei fortunatamente no.
_Nel marasma generale, apprezza particolarmente di ver ricevuto 2 pronipoti nel 2021; queste sono le ocse importanti.
_La figlia Roberta, vede regolarmente lo stato del conto quando effettua i suoi pagamenti in quanto ha la procura.</t>
  </si>
  <si>
    <t>14/30/48/7.5%</t>
  </si>
  <si>
    <t>_Non sorpreso (penso che si aspettava peggio)
_Apprezzato aggiornamento
_Prospetta visita con sorella in giugno</t>
  </si>
  <si>
    <t>44/17/15/22%</t>
  </si>
  <si>
    <t>_Con riferimento a quanto discusso in dicmebre, prospettato inontro per decidere che impostazione dare agli investimenti
_Rimpiange di non vaer reinvestiro o venduto gli AUD scaduti in gennaio. Per il momento li lascia sul cto.
_MOT infomr adi aver investito in obbligazioni cinesi in CNY e ne spiega la motivazione.</t>
  </si>
  <si>
    <t>_Ritiene che al momento sia meglio stare alla finestra e non ha le idee in chiaro per decidere cosa fare.
_Se ritiene che sia arrivato il momento d'investire si fa vivo lui; se ho delle proposte io, farmi vivo io.
_Per una questione di principio non vole effetuare alcun investimento in Cina. Off-Limits per lui.</t>
  </si>
  <si>
    <t>_Telefonata in quanto non avevo potuto rispondere alla sua chiamata delle 16:39. Non trovata, lasciato messaggioe riprovato in diverse occasion lo stesso giorno (senza successo)</t>
  </si>
  <si>
    <t>_Auguri di pasqua e pettegolezzi generali
_Divorzio:la copia dovrebbe divorziare nella seconda metà dell'anno e successivament lu trasferirà il domicilio e Stans, dove vive la sua amica (con un filgio di 11 anni).</t>
  </si>
  <si>
    <t>_Tel. Per discutere eventuale ordine di vendita AUD/CHF in quanto salito di 5%+ dal rimborso (19.01.22) ma sta dando segnidi "cedmento".
Al tempo dell'acquisto (8.6.2018) l'AUD/CHF era sopra i livelli attuali (ca. 0.75) ma gli AUD venivanbo dal rimborso di un altra obbligazione, probabilmente con livelli di cambio più alta dato che il massimo presedente era nell'agosto del 2012</t>
  </si>
  <si>
    <t>20/22/43/15%</t>
  </si>
  <si>
    <t>_Ringrazia per aggiornamento
_Preoccupata per la situazione e sviluppo in Ucraina. Vede Putin come un seconod Hitler</t>
  </si>
  <si>
    <t>&gt; Retrospettiva e prospettive mercati
&gt; Presentazione performcne e TAA</t>
  </si>
  <si>
    <t>O acquisto ca. EUR 20'000 di VOW3 GR da eseguire il gioro seguente</t>
  </si>
  <si>
    <t>7/30/49/15%</t>
  </si>
  <si>
    <t>_Fa uno strano commento sul fatto che con l'inflazione la performcne è quindi fortmente negativa
_Chiede se ritengo che la decisione di avere un portafogli bilanciato inceve che obbligazionari sia stata una buona decisione. Confermo di si, soprattutto se si includono anche le commodities nelle classi di attivo.</t>
  </si>
  <si>
    <t>25/42/23/10%</t>
  </si>
  <si>
    <t>_Non sembrava particolamente ben disposto. Forse perché era in scuderia con la figlia che fa equitazione.Ringrazia però per l'aggiornmento.</t>
  </si>
  <si>
    <t>28/23/35/13%</t>
  </si>
  <si>
    <t>_Apprezzato la telefonata
_Non sorpresa dell'andamanto in quanto ha nel frattempo ricevuto la posizione di fine trimestre. Come sempre, non ha guardato i  dettagli ma solo il totale.
_Autorizza retroattivmante una quota CHF inferiore al 80% a seguito dell'acquisto fondi materie prime in USD.</t>
  </si>
  <si>
    <t>21/30/43/7%</t>
  </si>
  <si>
    <t>_Non sorpreso
_Apprezzato aggiornamento
_Ripreso attività lavorativa con mandato in Quwait (a breve 3. viaggio)</t>
  </si>
  <si>
    <t>_Chiede se sia possibile avere una carta di credito / tessera Bancomat a debit del conto BdS.
SMO si infoermerà e gli farà sapere.</t>
  </si>
  <si>
    <t>_Informato delle decisone di UBS di chiudere la collaborazione con MM
_Prospettato Banca dello Stato quale alternativa
_Comunicato rapidamante performance</t>
  </si>
  <si>
    <t>_Il procuratore sembra favorevole a BdS e non vede motivi per i quali la titolare non dovrebbe esserlo. Gliene parlerà lui alla prima occasioene e poi mi fa sapere.
_Chiede di essere richiamato il 21/22.06.22 per discutere le prosettive di mercato e l'allocazione del portafoglio.</t>
  </si>
  <si>
    <t>_Richiamato come da lui richiesto</t>
  </si>
  <si>
    <t>_Oggi non ha tempo; chiede di essere richiamato domai intorno alle 10:00.</t>
  </si>
  <si>
    <t>_Richiamato per fissare incontro; visto che la cliente non auspica un incontro nei mesi di giugno /luglio, procedo ad un aggiornamento telefonico relativmante a performance, evoluzione e prospetive die mercati.
_Restimao d’accordo di aggiornarci a fine settmbre o prima se del caso.</t>
  </si>
  <si>
    <t>_Esposizione dettagliata della struttura del portafoglio
_Comunicato decisione UBS di interrompere rapporto con fiduciari e conseguente raccomandazione di trasferire il conto a (a) BdS o (b) Vontobel</t>
  </si>
  <si>
    <t>_La cliente dice di trovarsi bene presso UBS (soprattutto a ZH, dove sono molto gentili)
_Banca dello Stato non le dice nulla e non le piace molto. Manifestando un certa malfidenza, mi richiede di inviarle per iscritto la conferma che non ci sarebbero peggiorment in termini di costo (SMO le ha inviato un corrispettivo Mail riassuntivo incl. Tariffari la mattina successiva).
_La cliente dice che ci penserà e i farà sapere.</t>
  </si>
  <si>
    <t>_Esposizione struttura del portafoglio, e performance
_Espresso valutazioen secomdo la quale non abbiamo ancora visto i minimi sul mercato; prospettato vendita /riduzione immobiliare CH e fondo Fronier Markets
_Comunicato decisione UBS di interrompere rapporto con fiduciari e conseguente raccomandazione di trasferire il conto a (a) BdS o (b) Vontobel</t>
  </si>
  <si>
    <t>_Il cliente non vede problemi particolari nel trasferire la parte di rispamio del portafolgio a BdS; manterrà probabilmente il cto.UBS per accredito stipendio e pagamenti.
_Ci pernserà e mi farà sapere</t>
  </si>
  <si>
    <t>19/35/39/6%</t>
  </si>
  <si>
    <t>63/26/10%</t>
  </si>
  <si>
    <t>- Auguri
- Diversi lutti in familgia (1 suocero e due nipoti; la nipote aveva 21 anni e per Wendal era come una figlia)
- Il nipote dalla figlia italiana (Valerio) ha un ottimo rapporto. Il nipote ha 8 anni.
- Purtroppo non ha potuto partecipare ai funerali (in Sud Africa)
- Anche i due nipoti (figli del martio della sorella deceduto) non hanno potuto partecipare
- I primi tre mesi del 2022 dovrebbe svolgere 3x consulenze di 1 settimana ognuna in Kuwait e spera che la nuova ondata di Covid non blocchi nuovamente il tutto.
- Lui e la moglie sono entrambi vacinati 3x e fautori delle vaccinazione a tappeto</t>
  </si>
  <si>
    <t>De Maria</t>
  </si>
  <si>
    <t>_Visita di apertura della signora ccompagnata dalla figlia, dal dott. Morgana e dall'avvocato Fontana. La signora ha firmato dapprima la documentazione presso la fiduciaria e poi SMO l'ah accopagnata in banca per l'apertura della relazione.
_In banca la singora non ha voluto firmare il formualri di autorizzazione comunicazione investitor ad autorità estere, cosa che potrebbe porre dei problmei operativi in futuro.</t>
  </si>
  <si>
    <t>_Il mandato conferito è un mandato 0% azionari /EUR
_L'afflusso complessivo previsto, in varie tranche non meglio definite, è di ca. EUR 400K</t>
  </si>
  <si>
    <t>Negri</t>
  </si>
  <si>
    <t>_Il mandato conferito è un mandato 0% azionari /EUR
_L'afflusso complessivo previsto, in varie tranche non meglio definite, è di ca. EUR 300K</t>
  </si>
  <si>
    <t>_Aggiornamento su performance, AuM, TAA e vendite recenti.</t>
  </si>
  <si>
    <t>_Nulla di particolare
_Sta organizzando un visita per le prossime settimane</t>
  </si>
  <si>
    <t>_Aggiornamento su performance, AuM, TAA</t>
  </si>
  <si>
    <t>_Comunicato che stà valutando se vendere tutto, far rinetrare in italia e mettere il capitale a garanzia per l'acquisto di immobili a reddito.
_Dal 2.11-11.11.22 andrà in vacanza in Sud Africa per immersione con gli squali.
_Al rientro dalle feria ha una visita di controllo per il tumore. Dopo 5 anni, il 70% ha delle recidive, motivo per il quale è piuttosto preoccupato.</t>
  </si>
  <si>
    <t>_Proposto e concordato vista di aggiornamento per gio, 10.11.22 alle ore 14:30</t>
  </si>
  <si>
    <t>_La signora si dice deleusa del fatto che la BdS di Brissago non consente più di prelevare.
  MOT comunica che verifica, ma che quasi certamente a Locarno è ancora possibile.</t>
  </si>
  <si>
    <t>_Proposto incontro di aggiornamento</t>
  </si>
  <si>
    <t>_ La signora è interessata ad un incontro ma desidera che sia presente anche la figlia.
_ SMO conferma la propria disponibilità ed attende un indicazione di data /ora / luogo dala signora, che richiamerà. 
_ Non soddisfatta dell'evoluzione, vuole dicediere in presenza della figlia "come andare avanti".</t>
  </si>
  <si>
    <t>_Concordato incontro alle 14:30 di ve, 11.11.2022</t>
  </si>
  <si>
    <t>_In un messagio vocale comunica di
(1) aver deciso di NON far rientrare il capitale in ITA
(2) Si chiede se non sia però ilcaso di liquidare,, aspettado tempi migliori</t>
  </si>
  <si>
    <t>_MOT richiama comnicando che
(1) la performcne nel mese di ottobre è migliorata
(2) Questa sera ci sarà la conferewnza stampa della FED, che potrebbe dare ulteriore fiato al recuprero
Oss. Verificato in seguito: perf. 30.09.22= -6.66% / 31.10.22 -4.62%
_Il cliente sdi affida alöa valutazione di SMO.
_Stava partendo per le vacanze proprio allora...era in aeroprorto</t>
  </si>
  <si>
    <t>_ Lu, 21.11.22 la signora e la figlia Roberta si sono reecate in banca con l'idea di disdire il mandato di gestione. Promotrice della decision era ssoprattutto la figlia, insoddisfatta delle performance e dei costi. La signora non mi aveva dato alcun segnnale o preavviso in tal senso. Non ha comunicato nemmeo succesivmante questo suo passo.
_Con riferimento alla nostra ultima telefonata, SMO cheide se ci sono aggiornamenti per un dato d'incontro in presenza delle figlia.</t>
  </si>
  <si>
    <t>_ In occasione delle telefonata ha detto che da un lato è felice che la figlia la supporti nella gestione del patrimonio, dallaltro, le da un ppo’ fastidio che volgia mettere troppo il naso.
_La signora mi comunica che la filgia è molto occupata e quini non è interessata ad un incontro ancora quest'anno.
_Restiamo d'accordo che le invierò una retrospettiva dei mercati a fine novembre. Mi comunica a tal fine l'indirizo email: marialuisa.cattaneo@bluewin.ch</t>
  </si>
  <si>
    <t>&gt; Obbligazione in scadenza marzo 2023
&gt; Investimento in Giappone da Hedged CHF a Unhedged dopo decision BoJ
&gt; Ev. incremento quota azionaria (2. semestre)?</t>
  </si>
  <si>
    <t>28/23/33/2/15%</t>
  </si>
  <si>
    <t>&gt;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</si>
  <si>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soddisfatta
&gt; Nulla da segnalare
&gt; Prossima vista introno a settmbre /ottobre
&gt; Privato:
 &gt;&gt; Fratello in visita durtanbte l'estate; lei non ha previsto assenze
 &gt;&gt; Ginocchio: stabile
  &gt;&gt; Problemi con riscaldamnto piscina (bolle d'aria)</t>
  </si>
  <si>
    <t>_Non trovata;
&gt; Visto che nel frattempo ioeri, 21.12.22 aveva risposto la mio messaggio con retrospettiva mercati ringraziando e dicendo che "Ci sentiamo il prossimo anno".
&gt; SMO scrive mail di risposta ringrazinado per la fiducia a prospettanto incotnro in gennaio del 2023.</t>
  </si>
  <si>
    <t>&gt; Non trovato</t>
  </si>
  <si>
    <t>&gt; Vacanze in Sud africa
&gt; Esame medico
&gt; Qunado ho abbordato il tema della performcne edegli investimenti, mi ha risposto che ne parliamo poi l'ano prossimo…ornai non cambia nulla.
&gt; Comunque indicato in modo vago, che per Natale non ci sono doni; lato popsitivo è che le obbligazioni sono tornate ad avere rendimento nominali positivi.</t>
  </si>
  <si>
    <t>&gt; Esame medico positivo: tutto bene. Ottima notizia.
&gt; Il 28 parte in vacanza a Sharmel Sheik per 6 giorni
&gt; Apprezzato auguri; non voleva discutere del portafolgio</t>
  </si>
  <si>
    <t>&gt; Chiesto aspettative per l'anno prossimo. SMO: non penso che abbiamo ancora visto i minimi sui mercati azionari e la posizioone in comodities cicliche appare sempre piu a rischio per il rallentmanto economico ma sostenuta dal perdurtare delle incertezza geopolitche. La nmota peositiva è che finalmente siamo uscit dal monmdo perverso dei tassi negatie e l'obbligazionario, almeno da un punto di vista nominale, è tornato a rendimenti positivi. 
Previsioen revisione TAA: manentenimeo di una quoota importante di liquidità, incremento graduale epsosizione obbligazionaria, preservazione sottoponderazione quaota azionaria, riduzione commodities cicliche (energia / metalli industriali) e manteniento agricolutra.</t>
  </si>
  <si>
    <t>&gt; Preannunciato vista in gennaio / febbraio.
&gt; Come sempre, molto scontento in quanto a suo dire qualsiasi investimento immobiliare nella sua zona avrebbe prodotto risultati molto superiori.
&gt; Neppure molto consolato dal fatto che la performcne cumulata, dal inizio (2018) resta comunque positiva.</t>
  </si>
  <si>
    <t>&gt; Stato di salute? L'ultima volkta che ci siamo sentiti aveva una brutta polmonite e stava per andare al Sant'Anna per un controllo visto che ormai la cosa durava da più di una settimana.</t>
  </si>
  <si>
    <t>&gt; Auguri di Natale e Buon anno</t>
  </si>
  <si>
    <t>&gt; La salute è peggiorata ulterirmente. Ha contratto un virus polomonare molto aggressivo che hanno nel frattempo preso anche i genitori. Le hanno prescritto del cortisone, che a suo modom di vedere non stà aiutando. Si è procurata degli antibiotici in italia su prescrizione di unmedico di fiducia italiano. Per il momento li stanno prendendo i genitori; lei aspeta in quanto troppo imbottita di cortisone.
&gt; Ci risentimao dopo Natale per aggiornamento.</t>
  </si>
  <si>
    <t>26.5/28.2/31.9/13.36%</t>
  </si>
  <si>
    <t>&gt; Tel coma da appuntmanto telefonico da lui proprosto dopo ricezione performance fine anno il 01.01.2023
&gt; Aggiornamenot situazione personale per profilo:
   - Attivo quale infomartico per la Atlantic Technologies. System integratore che propone diversi sistemi gestionali (non SAP ma Infor e Salesforce). 
  - Atlantic informatic segue quasi solo clienti in Italia. Lui si occuppa di progetti di System Integration (Proposta,  Installazione, Messa in produzione e manutenzione). Prima (fino a tree anni fa) lavorava per una società con clientela molto più internationale ed eras pesso all'estero (India, Dubai, Egitto ecc.).
  - Atlantic Technologies è stata recentemente acquisita da Engeenering (Colosso interrnationale con oltre 10K dipendenti)
  - Sit. familgiare: sposato con un insegnante di origini lIguri; Non hanno figli.
&gt; Discussione alloaczione attuale in relazione alla performcne dei mercati del 2022 (presentazione inviata per e-mail)
&gt; Propenso ad acquistare alcuni titoli che hanno corretto moloto (Amazon) resta però prudente sui mercati. Ritiene che l'acq. di U(SD a questi livelli possa essere interessante</t>
  </si>
  <si>
    <t>&gt; Prospettato visita con la moglie in primavera
&gt; Non ha osservazioni particolari su quando discusso</t>
  </si>
  <si>
    <t>&gt; Performance non mezionata /discussa;
&gt; Proposto nuovamente incontro per rivalutare l'allocazione attuale e il reinvestimento delle obbligazione USD 200K in scadenza il 13.02.23.
&gt; SMO consiglia di rivalutare /investire una parte della componenteliquida in CHF in obbligazioni. Sebbene lo scenario a breve resti incerto e non è dato sapere se i rendimenti attuali copriranno l'inlazione nei prossimi 1-3 anni, anche restando su buona quaslità debitore si possono attumente ottnere rendimenti intorno al 2%.</t>
  </si>
  <si>
    <t>&gt; Le prossime due settimane non ha tempo. Si farà vivo lui per un incontro dopo le vacanze di carnevale intorno a fine mese.</t>
  </si>
  <si>
    <t>&gt; Invio delle fatture di gestione per la familgia richieste dal cliente (con procura su entrambe le relazioni) per esporle come deduzione fiscale.</t>
  </si>
  <si>
    <t>E-Mail</t>
  </si>
  <si>
    <t>&gt; Invio restrospettiva mercati 2022 con commenti relativi a TAA portafolgio e indicazione della performcne 2022</t>
  </si>
  <si>
    <t>&gt; Richiesto vendita posizione Muzinich su pft suocera per esigenza liquidità.
&gt; Auspicato telefonata per discutere opportunità o meno di mantene il mandato per la suocerta data l'erosione e imposto del capitale</t>
  </si>
  <si>
    <t>Cellulare</t>
  </si>
  <si>
    <t>&gt; Mandato suocera: Attualmente si si tratta in pratica di una gestione in fondi. I costi di una simile gestione presso uina banca sarebbero probabilmente superiori.
&gt; Aggiornamento separazione
&gt; Aggiornamento restrizioni investimento liquidità</t>
  </si>
  <si>
    <t>&gt; Fin che investe e non vuole avere solo liquidità, manterremo il mandato.
&gt; La separazione dovrebbe concludersi a breve (al più tradi entro giugno). Una volta fatto resta propenso a separare il patrimonio da investire dal conto pagmanti /liquidità comea suo tempo discusso.
Sebbene sia stato comunicato da SMO che la relazioine con UBS sembri essere meno a rischio, il cliente sembra comunques propenso ad aprire una nuova relazione con BdS.
&gt; Per intanto, non toccare la liquidità in CHF. Può essere investita la liquidità in FX o la liquidità in CHF risultante dalla vendita di posizioni in essere.</t>
  </si>
  <si>
    <t>19/24/40/16%</t>
  </si>
  <si>
    <t>_Orientato su modifiche TAA , allocazione attuale e performance.</t>
  </si>
  <si>
    <t>_La cliente ringrazia per l'aggiornamento. Conferm adi aver ricevuto al posizone di fien marza ma dice di non averla ancra guardata.
_Segnala di non aver ricevuto al posizione di fine marzo 2021; pur non comprendendone i motivi, non ritiene necessario indagare oltre.</t>
  </si>
  <si>
    <t>11/40/36/13%</t>
  </si>
  <si>
    <t>&gt; Non trovata</t>
  </si>
  <si>
    <t>&gt; La signora Lanzetti (+41 79 379 36 17) risponde alla richiamata di SMO sul numero di cellulare della mamma; mi comunica che la mamma è purtroppo deceduta ieri dopo un periodo di malttia (polminite e cancro ail polmoni).
&gt; MI prega di informare la banca in merito e chiede quali saino le coseguenze: SMO informa che tipicamante il mandato di gestione rimane in vigore, il conto viene intestato a Titolare - ora eredi e la procure in vigore decadono.
&gt; Pagamenti di fatture emesse anome della defunta e/o comunione degli eredi, vengono normalmente eseguiti previa presentazione/verifica della fattura alla banca.</t>
  </si>
  <si>
    <t>&gt; Alle 14:44 SMO richiama la signora Lanzetti per confemrarle di aver avvisato a banca e, su richiesat di quest'ultima. Chiedendola di farmi pervenire con tutta calma: (a) certificato di morte e (b) copia del libretto di famiglia.
&gt; SMO chiede se sanno già quando avrà luogo il funarelae; la sig.ra Lanzetti risponde che secondo desiderio della mamma, lo stesso si svolgerà in forma privata.</t>
  </si>
  <si>
    <t>_Auguri di buone feste
_Domani parte per visitare il fratello nei pressi di Ambirgo</t>
  </si>
  <si>
    <t>_Posizione e performcne non discusse; idicato solamente che la situazione e più o meno invariata dall 'ultimo incontro in novembre.
_Prospettato telefonata /visita di aggiornamento in Gennaio</t>
  </si>
  <si>
    <t>14/29/47/10%</t>
  </si>
  <si>
    <t>&gt; Il sig. Anton chiama chiedendo un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</si>
  <si>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&gt; Il cliente mi chiede se sono soddisfatto della performance: MOT risponde che some sempre , guardando indietro si sarebbero potute fare delle scelte di allocazione migliori.
&gt; Il cliente dice di aver guardato la performance di diversi fondi bilanciati e che questa si attesta introno al 6-7%. Riconosce però che il loro portafoglio ha un profilo di rischio più basso e quindi non si dice insoddisfatto.</t>
  </si>
  <si>
    <t>28/25/29/7%</t>
  </si>
  <si>
    <t>65/23/11%</t>
  </si>
  <si>
    <t>- Auguri di buone feste
-Proposta d'incontro</t>
  </si>
  <si>
    <t>-Richiamare la prima settimana dell'anno per fissare incontro</t>
  </si>
  <si>
    <t>- Telefonata della signora Rezzonico che aveva appensa sentito mia madre.
- MI fa notare che è motlo tempo che non ci vediamo e quindi concordiamo una visita per il 4.10.21.  Domani, 22.09.21 rendera vista alla madre di SMO e la prossima settimana sarà in Svizzera francese per il compleanno di sua mamma (Giovedì, 30.09.21) dove si fermerà fino a domenica</t>
  </si>
  <si>
    <t>&gt; Invio estratto patrimoniale al 28.04 e estratto fiscale 2022</t>
  </si>
  <si>
    <t>949.511.72</t>
  </si>
  <si>
    <t>14/36/36/14%</t>
  </si>
  <si>
    <t>&gt; Primo incontro dopo 2 anni causa covid.
&gt; La mamma stà bene ma ha preferito non viaggiare con questo caldo. Presenti Anton e Ilona (procuratori anche in banca e secondo contratto allegato 3)
&gt; Retropettiva  mercati e performance da inizio 2022 ad oggi.
&gt; MOT evidenzia come la performcne sia stata in termin relativi molto soddisfaciente nel 2022 ed un po’ deludente nel 2023. A tal fine fa riferimento al fondo bilanciato CS indicato in occasioen della precedente telfonata da Anton quel base di "malcontento" per lka performance 2023.
INmodo riassuntivo, MOT evidenzia come il portafolgio abbai avuto un profilo di rischio più basso a aprtire da febbraio 2033 (positivo) e come tale profilo di rischio sia stato mantenuto anche nel 2023 (negativo) in considerazione del fatto che i mercatio azionari stanno sottovalutando la determinazione ele conseguenze delle politiche montarie restirittive in vigore.</t>
  </si>
  <si>
    <t>&gt; Prospettato, aumento delle componente azionaria nei settori materie prime ed energia a discapito dei fondi in commodities;
&gt; Aumento (con poco convinzione e a breve termine) dell'esposizione al mercato azionario americano, in particolare tecnologia e AI/Roboticsa
&gt; (MT) Incremento dele componente obblighazionaria e allungmanto delle duration al memento dell'entrata in recessione.
&gt; Clienti soddisfatti dell'esposizione. Ringrazinao e lasciano una bottigli di vino.</t>
  </si>
  <si>
    <t>14.42/36.2/35.75/13.64%</t>
  </si>
  <si>
    <t>&gt; Preavviso visita a metà luglio
&gt; Richiesto e ottenuto aggiornamento performance e allocazione (descritta in dettaglio con relative motivazioni delle scelte prudenziali effetuate)</t>
  </si>
  <si>
    <t>&gt; Osservato sottoperformcne rispetto ad un fondo bilancito di CS. MOT ha già "ammesso" e spiegato la sottoperformance imputasbile ssoprattutto alla sottoponderazione azionaria (in particolare in Europa), già evidenziata e motivata.
&gt; Chiede se penso che quest'anno e nei prossimi avremo una performance che supera l'inflazione. SMO: Si, dato l'incremento dei rendimento obbligazuionari ed il rallentamento, seppur lento, dell'inflazione.</t>
  </si>
  <si>
    <t>18/41/29/12%</t>
  </si>
  <si>
    <t>&gt; Presenti la titolare e la figlia Roberta
&gt; La figli aè particolamenre insoddisfatta della quota di liquidità, in quanot ritiene che la mamma non ne abbia bisogno. MOT spieg la liquidità sia ancheun elemento importante epr gestire la volatiltià ed il profilo di rischio del portafolgio. L'importante quota di liquidità ha per esempio permesso di attutirte la performcne negativa del 2022. Attualmente, sulla base del rialzo dei rendimenti di mercato, tale quota è stata riidotta a favore di obbligazioni a breve termine che sarano presumibilmente mantenute fino a scadenza. Tale decisione non aveva senso fino a quando avevamo rendimenti negativi.
&gt; Sottoposto e spiegato nuovi contratti a seguito dei requisiti dele nuova reolamentazione. Anche qui, in fase dia llestimento ed aggiornamento del profilo, su domande relative all'origne dle patrimonio, la figliaha reagito con una certa insofferenza.
&gt; Nella fase finale del'incontro,la figlia è pertita e la titolare mi ha confidato che, se da un lato apprezza il supporto ed interessamenot della filgia, dall'altro vorrebe che non si impicci troppo.
&gt; Successivamente è apprso il figlio con sua figlia. La signora sembrava piuttosto imbarazzata: in precedenzta non mi aveva mai menzionato questo figlio che descrive come quasi "ritardato".</t>
  </si>
  <si>
    <t>&gt; Incrementare, se si presenta l'occasione, l'esposizione alla tecnologia americana.
&gt; Aggiornamenot del profiloo conm informazioni aggiuntive relative all'origine del patrimonio (soprattutto invetistimenti azionari in USA e meno l'attività commerciale successiva) e la situazione patrimoniale della cliente (che ha donato praticamente già la palazzina alle figlie e l'appartam,ento cin cui abita al filgio; le ha preservato un usufrutto nell'appartmanto in cui abita.</t>
  </si>
  <si>
    <t>&gt; Avvisato dell'aumento della commissione di gestione dal 0.80'% al 1.00% a partire dal 01.01.2024 e contempranbea riduzione della flat-feee bancaria da 0.3% a 0.2% a partire del 01.02.2024.
&lt; Le nuove condizioni saranno formalizzate intorno a fine marzo in occasione della firma dei nuovim contratti (non appena disponibili in tedesco).</t>
  </si>
  <si>
    <t>&gt; La signora a preso atto delle modifiche, ringrazia per l'informazione e non ha nulla in contrariuo ("per questo non andò cerrto inbancarotta" ha affermato).</t>
  </si>
  <si>
    <t>&gt; SMO chiama per proporre ridiscussione dell'allocazione del portafolgio in condsiderazione delle ripresa dei mercati. Il portafolgio è liquido al 50% a seguito della drastica liquidazione istruita da E.P. nel cosro del 2022.</t>
  </si>
  <si>
    <t>&gt; E.P: rispodne di essere in teressato ad incrmentare il grado d'investimento. Richiede l'invio della posizionee una proüposta per discuterne poi lunedì. Attualmente è all'estero.</t>
  </si>
  <si>
    <t>&gt; SMO invia posizione aggironata e proposta di rialölocazione (tabellina Excel)</t>
  </si>
  <si>
    <t>Parlo</t>
  </si>
  <si>
    <t>&gt; E.P: ha preso visione della posizione ed intende aumentare il grado d'investimento.
&gt; Non ha visionato e non sembra molto interessato alla proposta di SMO
&gt; Al termin della conversazione, non contento delle obbligazioni proposte, chiede l'invio di una lista di obbligazioni CHF non bancarie am anche subordinate / lunghe</t>
  </si>
  <si>
    <t>&gt; Di sua iniziativa e senza consulenza /cosniglio di SMO impartisce i seguenti ordini:
+ 150 Alibaba ADR
+ 160 SPDR Technology
+ 1000 HAN-GINS Healthcare Megatrend Eq.Wgt. UCITS ETF (Acc - EUR)
+ CHF 25K ca. UBS SPI ETF
MOT ricorda come l'america sia chisua e quindi i primi due ordini saranno trasmessi domani
&gt; In serata mot invia per Mail la lista obbligazionaria richiesta</t>
  </si>
  <si>
    <t>17.8 /41.4 / 29.0/0/11.78%</t>
  </si>
  <si>
    <t>&gt; Tel SMO per proporre più volte mensionato inconmtro anche con figlia.
&gt; Discusso e menzionato valore, performance e allocazione e sottolineato incremento obbligazioni a debito delle liquidità</t>
  </si>
  <si>
    <t>&gt; L'incontro con la figli non è più impellente: Hanno deciso per il omento di "lasciare tutto come è".
&gt; La singora ha recentmente avuto un infortunio,: è caduta per terra nel sonno picchiando gravemente al fronte. Nessun dano grave se non un grande / brutto ematoma. Ciò nen le ha impedito di andare in vacanza in Lapponia con la figlia.
&gt; Chiamerà lei dopo Pasqua per un incontro.</t>
  </si>
  <si>
    <t>&gt; Richiesto aggiornemento sulla sotoscrizione e riinvio dei nuovi contratti inviati ad inizio novemebre come da accordi telefonici.</t>
  </si>
  <si>
    <t>&gt; Si era purtroppo dimenticato della pend
enza. Si scusa e chiede il reinvio dei documenti; cosa che SMO fa immediatamente.
&gt; A cavallo delle fine anno, a partire dal 21.12.23 sarà in vacanza in Tailandia e Vitnam fino agli inizi di gennaio.</t>
  </si>
  <si>
    <t>- Aggiornamento ctrvl.e e performance
- CG: infomato modifica frequenza fatturazione da sem. a trim.
- Mandato a Bellinzona: per il momento sospeso</t>
  </si>
  <si>
    <t>- Visita a domicilio non appena rientra la situazione covid</t>
  </si>
  <si>
    <t>Auguri di Natale e nuovo anno.
Nessuna discusione / indicazione relativa a mercati e portafoglio.
La mamma è ancora in clinica in riabilitazione fino a fine gennaio. Dopo decideranno se rientra a casa o rimane in ricovero.
è molto preoccupata per il Covid e non pensa che passerà così rapidmante.</t>
  </si>
  <si>
    <t>&gt; MOT chiam per evidenziare come l'allocazione attuale, completato il trasferimento titolimda UBS, presenta una quota azionartia del 64+% al disopra di quantzo consentito dal nuivo profilo (50%).
Il nuovo profilo era stato definito sulla base di un aspettativa di afflussi ulteriori ed investimento di una parte delgi stessi in obbligazioni CHF.</t>
  </si>
  <si>
    <t>&gt; Il cliente conferma l'intenzione di inviare aultriori ca. 100K CHF nel corso delle pressime settimane. 
&gt; In attesa di tale afflusso, non desidera che venga ridotta la componente azionaria attuale al 50%.</t>
  </si>
  <si>
    <t>-Review Mercati
-Review Transazioni
-Prospettato riduzione rischio azionario fino a elezioni USA/fine anno
-Prospettato maggiore esposizione ad investimenti "verdi" sopratuto nell'infrastruttura. Menzionato Alstom e Snam quali esempi.
- Espresso visione a MT positiva su oro
-Review Performance</t>
  </si>
  <si>
    <t>- Apprezzato Review Charts &amp; Spechietto riassuntivo Excel</t>
  </si>
  <si>
    <t>Non menzionato</t>
  </si>
  <si>
    <t>12.4/16.7/35.4/1.8/13.6%</t>
  </si>
  <si>
    <t>&gt; Proposto incontro
&gt; Discusso performance, allocazione e modifiche, sottolinaendo incremento obbligazionario.
&gt; Copnfermato nessuna esposizione a CS</t>
  </si>
  <si>
    <t>&gt; La sig.ra di dice in chiaro; non necessita un visita.
&gt; Viaggi? Ha guardato diversi cataloghi e ci stava pensando, ma il ginocchio le da parecchi problemi e non si senta sufficentemente mobile. Ha rinuciato.
&gt; Comunicato infortunio e stato madre SMO</t>
  </si>
  <si>
    <t>Moro</t>
  </si>
  <si>
    <t>&gt; La signora lascia un messaggio vocale WhatsApp comunicando che, per far fronte alla spese di cura di a una malattia imprevista, necessita di trasferire dei fondi a favore del suo conto postale in Italia e chiede indicazioni su come procedere,</t>
  </si>
  <si>
    <t>&gt; MOT richiama proponendo l'invio di una bozza di istruzione di trasferimento che riprende i dati ed il destinatario della relazione presso BdS da completare con importo e dati della relazione beneficiaria in Italia.
&gt; La signora apprezza molto l'aiuto e richiede l'invio della bozza. Il trasferimento sarà di EUR 15'000.</t>
  </si>
  <si>
    <t>Auguri di Natale.
Era in un negozio e quinid abbiamo tagliato molto corto.</t>
  </si>
  <si>
    <t>13.5/36.9/35.3/14.2%</t>
  </si>
  <si>
    <t>&gt; Tel. di aggiornamento per iniziativa SMO
&gt; Informato su allocazione, performcne e controvalore (errato-detto fine anno ma solo veloce)
&gt; Discusso prospettive (più favorevoli all'obbligazionario che all'azionario).
&gt; Discusso commodities, evoidenziando come sia l'investimento che al memento mi vede più esitante..probabilmente lo ridurro.</t>
  </si>
  <si>
    <t>&gt; Apprezzato aggiornamento
&gt; Solita tiratera sulla superiorità dell'investimento in immobili nella sua zona, il cui valore e quadruplicato in pochi anni.</t>
  </si>
  <si>
    <t>11/39/41/9%</t>
  </si>
  <si>
    <t>&gt; Per Natale si recherà brevemente in visita dal fratello, che supporta finaziarimente con ca. 10-15K EUR all'anno.
&gt; Mi mostra una calcolazione fiscale redatta dal fisclaista della Fiduciria Multi, che indica come abbia un eccesso di entrate di ca. 150K all'anno, ovvero ca. 12K CHF al amese. Il fiscalista è preoccupato che il fisco richieda spiegazioni in merito presumendo delle donazioni non dichiarate.</t>
  </si>
  <si>
    <t>-La cliente preavvisa che preleverà ca. 15-20K CHF nei prossimi giorni.
-Condivide la decisone di aumentare la componete azionaria</t>
  </si>
  <si>
    <t>&gt; Mi aveva cercato dopo aver richiesto la posizione di Anna. L'ho richiamato.
&gt; Duscussione sul suo stato di salute: 3 inteventi alla caviglia che lo hanno costretto in carozzella. Adesso va meglio.
&gt; E affetto da Parkinson. Da tre anni la cosa è ferma/stabile. Non ha problemio di tremore ma di presa con le mani. Il fratello Marco era invece deceduto di cancro.</t>
  </si>
  <si>
    <t>&gt; Vendere entrami le posizioni Telecom Italia
&gt; Vendere la posizione Banca Ifis
&gt; Acq. 50 Alibaba in aggiunta all posizione attuale
&gt; Acq. Ca. USD 10K di Geely ADR in USA
&gt; Acq. Ca. USD 10K BYD ADR in USA
&gt; Inv.Fiduciario a 3M per CHF 100K
&gt; Richiedere il formaulrio di rinuncia per la Synergy Pharma ed inoltrarlo</t>
  </si>
  <si>
    <t>Oralndo Alessandra</t>
  </si>
  <si>
    <t>Rinnovo fiduciario CHF 200K in scadenza 08.04.24</t>
  </si>
  <si>
    <t>Rinnovare con SGA a 1 Mese CHF 200'000 tasso 1.25%</t>
  </si>
  <si>
    <t>Proposto investimento liquidità in fiduciario CHF p.es. a 6 Mesi su SGS 1.35%</t>
  </si>
  <si>
    <t>Non è interessato. Prefgerirebbe che la sua banca svizzera paghi delgi interessi sul conto.
Preferisce restare liquido.
È invece piuttosto preoccupato dell'andmanto dei mercati azioni, in quanto non vede una giustificazione per tutto questro ottimismo ed eurforia.
Stava valutando se non vendere l'Asian Smaller Companies. SMO consiglia di tenerlo (prezzo attuale:  USD 60.51)</t>
  </si>
  <si>
    <t>&gt; Retrospettiva:
   - Imperturbabili di fronte alle incertezze e rischi geopolitici
  - concentrazione performcne su tema tecnologia-AI con congeenze a livello della performance relativa "geografica"
  - valutazioni molto generose e apparntemente irrilevanti per gli investitori
&gt; Propsettiva: 
  - l'euroria può continuare molto più a lungo di quanto si creda ragionaevole. Momentum rimane il fattire più rilevante.
  - prima o poi, girerà:  i tengo pronto ad intervenire
&gt; Piano d'azione:
  - aumento esposizione mercato svizzero
 - eventuale ripristino quota neutrale USA
- aumento delle componete obbligazionari; duration da definire</t>
  </si>
  <si>
    <t>&gt; Situazione persoanle: 
  -  La filgia di Anton stà valutando di iscriversi per un master al ETH o UNI Basel.   
     Attualmtente è a Utrech.
-  La sorella ha appena acquistato una nuova auto ibrida che hanno testato in questa visita.
-  La sorella cambierà /depositera vecchi CHF 7'000 in banca.
&gt; Performance: soddisfatti</t>
  </si>
  <si>
    <t>11/33/46/10%</t>
  </si>
  <si>
    <t>&gt; Propsta incontro prima di Natale
&gt; Comunicato che la cara d'identità nel nostro dossier è scaduta</t>
  </si>
  <si>
    <t>&gt; Confermato incontro 09.12.24 - 1430</t>
  </si>
  <si>
    <t>10/36/45/9%</t>
  </si>
  <si>
    <t xml:space="preserve">&gt; Tel. alla signora Lanzetti per aggiornamento e offerta incontro.
</t>
  </si>
  <si>
    <t>&gt; Gli eredi non hanno ancora decidere se / come dividere questi averi
&gt; Allo stato attuale, gli eredi non hanno fatto alcun passo nei confronti della banca (neppure depositato le firme).
&gt; Contestualmente ad un (tentato) ordine di pagamento da parte della signora Lanzetti, la banca le ha comunicato che non è possibile.
&gt; La singora Lanzetti intende chiedere ai coeredi di depositare le firme a dare a lei una procura. SMO sottolinea come probabilemente, in aoccasione di una simile richiesta, la banca chiederà di chudere la relazione dato che è ormai trascorso 1.5 ani dal decesso della titolare.
&gt; La singor Lanzetti comunica che è comunque previsto che nel 2025 da questo conto escano CHF 100K a favore del fratello. SMO ne tiene conto in prospettiva, la la signora Lanzetti mi preavviserà dell'uscia imminente con congruoa anticipo.
&gt; Per il momento non desidera un incontro. SMO comunica performcne e conferma sua disponibilità se desidarato.</t>
  </si>
  <si>
    <t>33/24/18/25%</t>
  </si>
  <si>
    <t>&gt; Proposto un incontro prima della fine dell'anno per una discussione proispettiva sull'allocazione del portafoglio.
&gt; Apoprofittato per indicare brevemente performance, ponderazion liquidità e azionario, esposizione geografica azionario.</t>
  </si>
  <si>
    <t>&gt; Risponde che preferisce incontrarci all'inizio del nuovo anno, dove, sula base di entrambi gli estratti di fine ano, potremo fare delle valutazioni globali su eventuali aggiustamenti di allocazione da intraprendere.
&gt; In generale sta bene, anche se gli accicchi dell'età si moltiplicano.</t>
  </si>
  <si>
    <t>Chiama lui a inizio 2025</t>
  </si>
  <si>
    <t>13/35/42/9%</t>
  </si>
  <si>
    <t>&gt; Tel. Delle signoira Lanzeti per informare che, comea suo tempo prevvisato, hanno preso un appuntomanto per il 10.02.25 in banca per depositare le firme delgi eredi.
&gt; In atel occasioene, la comunione degli eredi dovrebbe rilasciare una procura alle sorelle  Roberta Lanzetti (22.02.1963) e Monica Gianinazzi-Cattaneo (09.01.1958) che, come in passato, curano le finanze della mamma e che già beneficiavano di una procura individuale sul conto sin dalla sua apertura il 22.02.2016.</t>
  </si>
  <si>
    <t>&gt; Proposta e sottoposto artto di pegno per firma, visto che senza questo documento non è possibile affetuare cambi atermine (hedging valutario).</t>
  </si>
  <si>
    <t>&gt; La signora A. ribadisce che nonintende rilasciare alcun atto di pegno in quanto non lo ritiene necessario.
&gt; SMO iniva mail con relativa informazione a sig. Schlunke per aggiornamento</t>
  </si>
  <si>
    <t>&gt; Tel. Da parte del signor Schlunke di BdS per confermare che, come preannunciato dalla signora Lanzetti, oggi pomeriggio gli eredi (4) hanno depositato le fieme in banca e rilasicato procura alla signora Lanzetti Roberta.</t>
  </si>
  <si>
    <t>Regis</t>
  </si>
  <si>
    <t xml:space="preserve">&gt; La signora Orlando ha visto la reazione del USD al dato sul CPI ed intende vender gli USD 30'000 derivanti dal rimborso dell'obbligazione per valuta oggi. </t>
  </si>
  <si>
    <t>&gt; Vendere USD vs. CHF al meglio valuta spot</t>
  </si>
  <si>
    <t>Ora</t>
  </si>
  <si>
    <t>Cliente</t>
  </si>
  <si>
    <t>Classe</t>
  </si>
  <si>
    <t>Regione</t>
  </si>
  <si>
    <t>Titolo</t>
  </si>
  <si>
    <t>Tipo</t>
  </si>
  <si>
    <t>Numero</t>
  </si>
  <si>
    <t>Prezzo</t>
  </si>
  <si>
    <t>Valuta</t>
  </si>
  <si>
    <t>Importo</t>
  </si>
  <si>
    <t>Cambio</t>
  </si>
  <si>
    <t>% Pft</t>
  </si>
  <si>
    <t>% Liq</t>
  </si>
  <si>
    <t>% Bnd</t>
  </si>
  <si>
    <t>% Equ</t>
  </si>
  <si>
    <t>% Imm</t>
  </si>
  <si>
    <t>% Com</t>
  </si>
  <si>
    <t xml:space="preserve"> % HF</t>
  </si>
  <si>
    <t>Osservazioni</t>
  </si>
  <si>
    <t>Liquidità</t>
  </si>
  <si>
    <t>SC</t>
  </si>
  <si>
    <t>CC USD</t>
  </si>
  <si>
    <t>Sell</t>
  </si>
  <si>
    <t>USD</t>
  </si>
  <si>
    <t>Test</t>
  </si>
  <si>
    <t>Obbligazioni</t>
  </si>
  <si>
    <t>CHF</t>
  </si>
  <si>
    <t>2.100 % Barry Callebaut AG 22.01.35</t>
  </si>
  <si>
    <t>Buy</t>
  </si>
  <si>
    <t>0.800 % OC Oerlikon  27.11.28</t>
  </si>
  <si>
    <t>CSM</t>
  </si>
  <si>
    <t>0.850 % Berner Kantonalbank  21.01.2032</t>
  </si>
  <si>
    <t>Cattaneo M.L.</t>
  </si>
  <si>
    <t>Rezzonico Francine</t>
  </si>
  <si>
    <t>Peter Gisela</t>
  </si>
  <si>
    <t>Moreschi A.</t>
  </si>
  <si>
    <t>Ser_Fid</t>
  </si>
  <si>
    <t>0.010 % Berlin Hyp AG 27.01.31</t>
  </si>
  <si>
    <t>EUR</t>
  </si>
  <si>
    <t>Duisinova L.</t>
  </si>
  <si>
    <t>Baroni Stefano</t>
  </si>
  <si>
    <t>0.750 % Goldman Sachs Group Inc 23.03.32</t>
  </si>
  <si>
    <t>Moro Angela</t>
  </si>
  <si>
    <t>1.125 % Mercedes-Benz Group AG 08.08.34</t>
  </si>
  <si>
    <t>1.000 % Glarner Kantonalbank 28.07.31</t>
  </si>
  <si>
    <t>Azioni</t>
  </si>
  <si>
    <t>Nord America</t>
  </si>
  <si>
    <t>Invesco EQQQ NASDAQ-100 UCITS ETF (EUR Hedged)</t>
  </si>
  <si>
    <t>CC CHF</t>
  </si>
  <si>
    <t>Muzinich Enhancedyield Short-Term Fund - A - CHF Hedged - Acc</t>
  </si>
  <si>
    <t>Materia Prime</t>
  </si>
  <si>
    <t>Metalli Preziosi</t>
  </si>
  <si>
    <t>SPDR Gold Trust</t>
  </si>
  <si>
    <t>UBS ETF (CH) - Gold (CHF) hedged - (CHF) A-dis</t>
  </si>
  <si>
    <t>Svizzera</t>
  </si>
  <si>
    <t>Zurich Insurance Group AG</t>
  </si>
  <si>
    <t>iShares Core S&amp;P 500 UCITS ETF (Acc)</t>
  </si>
  <si>
    <t>SPDR US Consumer Staples Select Sector (XLP)</t>
  </si>
  <si>
    <t>Galenica N</t>
  </si>
  <si>
    <t>Invesco EQQQ NASDAQ-100 UCITS ETF (CHF Hedged)</t>
  </si>
  <si>
    <t>Europa</t>
  </si>
  <si>
    <t>SAP SE</t>
  </si>
  <si>
    <t>Dassault Aviation</t>
  </si>
  <si>
    <t>UBS ETF (CH) – SMI (CHF) A-dis</t>
  </si>
  <si>
    <t>CD 23.02.24 - 03.08.24</t>
  </si>
  <si>
    <t>CD 06.05.25 - 25.07.25</t>
  </si>
  <si>
    <t>iShares U.S. Aerospace &amp; Defense ETF</t>
  </si>
  <si>
    <t>iShares U.S. Digital Infrastructure and Real Estate ETF</t>
  </si>
  <si>
    <t>SPDR US Financial Select Sector (XLF)</t>
  </si>
  <si>
    <t>Publicis Grp</t>
  </si>
  <si>
    <t>OGAB</t>
  </si>
  <si>
    <t>SPDR US Technology Select Sector (XLK)</t>
  </si>
  <si>
    <t>SPDR US Communication Services Select Sector (XLC)</t>
  </si>
  <si>
    <t>iShares STOXX Europe 600 Utilities UCITS ETF (DE)</t>
  </si>
  <si>
    <t>Sanofi</t>
  </si>
  <si>
    <t>Henkel &amp; Co KGaA AG Pref</t>
  </si>
  <si>
    <t>Nestle</t>
  </si>
  <si>
    <t>Mercati Emergenti</t>
  </si>
  <si>
    <t>Templeton Asian Smaller Companies Fund - I</t>
  </si>
  <si>
    <t>Templeton Asian Smaller Companies Fund - A (Acc)</t>
  </si>
  <si>
    <t>Mercati Frontiera</t>
  </si>
  <si>
    <t>Templeton Frontier Markets Fund - A (Acc)</t>
  </si>
  <si>
    <t>Airbus Br Rg</t>
  </si>
  <si>
    <t>Vinci</t>
  </si>
  <si>
    <t>CC EUR</t>
  </si>
  <si>
    <t>Sika AG</t>
  </si>
  <si>
    <t>Inditex</t>
  </si>
  <si>
    <t>SPDR US Utilities Select Sector (XLU)</t>
  </si>
  <si>
    <t>Ypsomed Hldg N</t>
  </si>
  <si>
    <t>Comet Hldg N</t>
  </si>
  <si>
    <t>SPDR MSCI Europe Financials UCITS ETF (Acc)</t>
  </si>
  <si>
    <t>iShares STOXX Europe 600 Real Estate UCITS ETF (DE)</t>
  </si>
  <si>
    <t>Swisscom AG</t>
  </si>
  <si>
    <t>Swissquote N</t>
  </si>
  <si>
    <t>VZ Holding N</t>
  </si>
  <si>
    <t>iShares STOXX Europe 600 Insurance UCITS ETF (DE)</t>
  </si>
  <si>
    <t>iShares S&amp;P 500 EUR Hedged UCITS</t>
  </si>
  <si>
    <t>Swiss Prime Site</t>
  </si>
  <si>
    <t>SPDR S&amp;P US Financials UCITS ETF (Acc)</t>
  </si>
  <si>
    <t>ABB Nom.</t>
  </si>
  <si>
    <t>Novartis</t>
  </si>
  <si>
    <t>SPDR S&amp;P US Health Care UCITS ETF (Acc)</t>
  </si>
  <si>
    <t>SPDR US Health Care Select Sector (XLV)</t>
  </si>
  <si>
    <t>0.940% The Korea Development Bank 28.04.2027</t>
  </si>
  <si>
    <t>Air Liquide</t>
  </si>
  <si>
    <t>SPDR S&amp;P US Technology UCITS ETF (Acc-EUR)</t>
  </si>
  <si>
    <t>UBS ETF - MSCI Switzerland 20/35 hdg. to EUR UCITS ETF</t>
  </si>
  <si>
    <t>Futures</t>
  </si>
  <si>
    <t>CHF/USD - June 2025</t>
  </si>
  <si>
    <t>iShares III PLC - iShares S&amp;P 500 Equal Weight UCITS ETF</t>
  </si>
  <si>
    <t>Procter &amp; Gamble Company</t>
  </si>
  <si>
    <t>Colgate-Palmolive Company</t>
  </si>
  <si>
    <t>CHF/USD - March 2025</t>
  </si>
  <si>
    <t>RCU</t>
  </si>
  <si>
    <t>O telefonico Alessandra 14:46 (intervancario 0.9140)</t>
  </si>
  <si>
    <t>Givaudan SA</t>
  </si>
  <si>
    <t>SPDR S&amp;P US Consumer Discretionary UCITS ETF (Acc)</t>
  </si>
  <si>
    <t>SPDR US Consumer Discretionary Select Sector (XLY)</t>
  </si>
  <si>
    <t>CD 23.02.24 - 05.02.25</t>
  </si>
  <si>
    <t>SPDR S&amp;P US Communication Services UCITS ETF (Acc)</t>
  </si>
  <si>
    <t>Pacifico</t>
  </si>
  <si>
    <t>Aberdeen Global - Asia Pacific Equ. - A Hedged Acc EUR</t>
  </si>
  <si>
    <t>db x-trackers MSCI EM Asia UCITS 1C</t>
  </si>
  <si>
    <t>0.250 % Volkswagen Financial Services AG 31.01.25</t>
  </si>
  <si>
    <t>Rimborso</t>
  </si>
  <si>
    <t>GEA Group I</t>
  </si>
  <si>
    <t>SPDR S&amp;P US Industrials UCITS ETF (Acc)</t>
  </si>
  <si>
    <t>EUR/CHF - March 25</t>
  </si>
  <si>
    <t>0.375 % Volkswagen Financial Services AG 12.02.30</t>
  </si>
  <si>
    <t>SPDR US Industrial Select Sector (XLI)</t>
  </si>
  <si>
    <t>Telefonico a Schlunke: 16:37</t>
  </si>
  <si>
    <t xml:space="preserve">Swiss Re AG </t>
  </si>
  <si>
    <t>Lonza Grp N</t>
  </si>
  <si>
    <t>Barry Callebaut N</t>
  </si>
  <si>
    <t>CC AUD</t>
  </si>
  <si>
    <t>AUD</t>
  </si>
  <si>
    <t>O telefonico cliente del 15.01.25 - Val. 16.01.25 - Scadenza Obbligazione AUD</t>
  </si>
  <si>
    <t>O telefonico cliente - Scadenza obbligazione Pemex</t>
  </si>
  <si>
    <t>Energia</t>
  </si>
  <si>
    <t>KFA Global Carbon ETF</t>
  </si>
  <si>
    <t>O firmato durante visita e trasmesso telefonicamente in presenza cliente</t>
  </si>
  <si>
    <t>UBS Group</t>
  </si>
  <si>
    <t>Holcim Ltd</t>
  </si>
  <si>
    <t>Sandoz Group N</t>
  </si>
  <si>
    <t>UBS ETF - MSCI Japan 100% hedged to EUR UCITS EUR A-acc</t>
  </si>
  <si>
    <t>iShare S&amp;P 500 Min. Vola. UCITS ETF - USD (Acc)</t>
  </si>
  <si>
    <t>iShares US Property Yield UCITS ETF USD (dist)</t>
  </si>
  <si>
    <t>SPDR US Real Estate Select Sector (XLRE)</t>
  </si>
  <si>
    <t>Settori Globali</t>
  </si>
  <si>
    <t>BlackRock Global Funds - World Gold Fund A2RF - EUR</t>
  </si>
  <si>
    <t>BYD Unsp ADR-H</t>
  </si>
  <si>
    <t>Geely Unsp ADR</t>
  </si>
  <si>
    <t>Volkswagen AG VZO O.N.</t>
  </si>
  <si>
    <t>UBS ETF - MSCI Japan hdg. to CHF UCITS ETF - (CHF) A-acc</t>
  </si>
  <si>
    <t>0.000 % Kreditanstalt fuer Wiederaufbau KFW 15.09.28</t>
  </si>
  <si>
    <t>0.050 % European Financial Stability Facility 17.10.29</t>
  </si>
  <si>
    <t>1.125 % BMW Finance NV 10.01.28</t>
  </si>
  <si>
    <t>0.010% DZ Hyp 26.10.2026</t>
  </si>
  <si>
    <t>Hermes Intl</t>
  </si>
  <si>
    <t>O WhatApp Alessandra 09:26</t>
  </si>
  <si>
    <t>1.750 % Deutsche Pfandbriefbank AG 01.03.27</t>
  </si>
  <si>
    <t>0.010% Deutsche Kreditbank AG 23.02.2026</t>
  </si>
  <si>
    <t>Total SA</t>
  </si>
  <si>
    <t>SPDR MSCI Europe Utilities UCITS ETF (Acc)</t>
  </si>
  <si>
    <t>SPDR MSCI Europe Energy UCITS ETF (Acc)</t>
  </si>
  <si>
    <t>Eni SpA</t>
  </si>
  <si>
    <t>iShares S&amp;P 500 Information Technology Sector UCITS ETF USD (Acc)</t>
  </si>
  <si>
    <t>iShares NASDAQ 100 UCITS ETF USD (Acc)</t>
  </si>
  <si>
    <t>SPDR S&amp;P US Technology UCITS ETF (Acc)</t>
  </si>
  <si>
    <t>SPDR US Materials Select Sector (XLB)</t>
  </si>
  <si>
    <t>Avolta N</t>
  </si>
  <si>
    <t>Agricoltura</t>
  </si>
  <si>
    <t>WisdomTree Agriculture (AIGA)</t>
  </si>
  <si>
    <t>UBS ETF (CH) – SMIM (CHF) A-dis</t>
  </si>
  <si>
    <t>ALSO Holding N</t>
  </si>
  <si>
    <t>Solari Guelfo</t>
  </si>
  <si>
    <t>USD/CHF</t>
  </si>
  <si>
    <t>0.213 % Credit Agricole SA 21.06.29</t>
  </si>
  <si>
    <t>0.395 % Macquarie Group Ltd 20.07.28</t>
  </si>
  <si>
    <t>0.556 % FONPLATA 03.09.26</t>
  </si>
  <si>
    <t>0.200 % Banque Federative du Credit Mutuel 12.06.26</t>
  </si>
  <si>
    <t>UBS (Irl) ETF plc - MSCI USA hedged to CHF UCITS ETF - (CHF) A-acc</t>
  </si>
  <si>
    <t>Roche Holding AG (PS)</t>
  </si>
  <si>
    <t>UBS Euro Countries Income Sust EUR - CHF hedged - QL (Acc)</t>
  </si>
  <si>
    <t>Lindt &amp; Sp Ps</t>
  </si>
  <si>
    <t>Part Grp Hldg N</t>
  </si>
  <si>
    <t>EFG Intl N</t>
  </si>
  <si>
    <t>iShares Dow Jones Industrial Average UCITS ETF (Acc)</t>
  </si>
  <si>
    <t>iShares S&amp;P 500 Consumer Staples Sector (acc)</t>
  </si>
  <si>
    <t>Helvetia Hldg N</t>
  </si>
  <si>
    <t>0.500 % Corporacion Andina De Fomento 26.02.26</t>
  </si>
  <si>
    <t>0.875 % Luzerner Kantonalbank AG 14.05.31</t>
  </si>
  <si>
    <t>1.000 % St.Galler Kantonalbank AG 30.11.27</t>
  </si>
  <si>
    <t>FD EUR</t>
  </si>
  <si>
    <t>FD CHF</t>
  </si>
  <si>
    <t>Alcon AG</t>
  </si>
  <si>
    <t>Diverse (BCOM)</t>
  </si>
  <si>
    <t>iShares Diversified Commodity Swap UCITS ETF</t>
  </si>
  <si>
    <t>WisdomTree Energy (AIGE)</t>
  </si>
  <si>
    <t>Metalli industriali</t>
  </si>
  <si>
    <t>WisdomTree Industrial Metals (AIGI)</t>
  </si>
  <si>
    <t>Equinix REIT Rg</t>
  </si>
  <si>
    <t>Rioduzione quota azionaria USA su iniziativa A.O.
Vendita proposta da SMO in alternativa alla vendita ETFs Settoriali</t>
  </si>
  <si>
    <t>AbbVie Rg</t>
  </si>
  <si>
    <t>A.M.</t>
  </si>
  <si>
    <t>ArcelorMittal SA</t>
  </si>
  <si>
    <t>L.M</t>
  </si>
  <si>
    <t>0.625% Japan Bank for International Cooperation 15.07.2025 (A+)</t>
  </si>
  <si>
    <t>0.750% Asian Development Bank 08.10.2030 (AAA)</t>
  </si>
  <si>
    <t>1.050% Ontario 21.05.2027 (AA-)</t>
  </si>
  <si>
    <t>1.250 % EIB 14.02.31 (AAA)</t>
  </si>
  <si>
    <t>1.375% IBRD 20.04.2028 (AAA)</t>
  </si>
  <si>
    <t>1.375% Inter-American Investment Corp. 10.02.2026 (AA+)</t>
  </si>
  <si>
    <t>1.500% Manitoba 25.10.2028 (AA)</t>
  </si>
  <si>
    <t>2.271% Honda Motor Co. Ltd. 10.03.2025 (A-)</t>
  </si>
  <si>
    <t>2.760% Toyota Motor Corp. 02.07.2029 (A+)</t>
  </si>
  <si>
    <t>3.000% Equinor ASA 06.04.2027 (AA)</t>
  </si>
  <si>
    <t>4.750% Corporatión Andina de Fomento 01.04.2026 (AA-)</t>
  </si>
  <si>
    <t>1.375% International Finance Corp. 16.10.2024 (AAA)</t>
  </si>
  <si>
    <t>2.000% Shell Internationalm Finance 07.11.2024 (AA)</t>
  </si>
  <si>
    <t>CC MXN</t>
  </si>
  <si>
    <t>MXN</t>
  </si>
  <si>
    <t>JPMorgan Investment Funds SICAV - Global Macro Fund</t>
  </si>
  <si>
    <t>Lumyna-Marshall Wace UCITS SICAV - Lumyna - MW TOPS (Market Neutral) UCITS Fund</t>
  </si>
  <si>
    <t>BlackRock Strategic Funds SICAV - Global Event Driven Fund</t>
  </si>
  <si>
    <t>EM Varie</t>
  </si>
  <si>
    <t>JPMorgan Funds SICAV - Emerging Markets Corporate Bond Fund</t>
  </si>
  <si>
    <t>0.300 % Chocoladefabriken Lindt &amp; Spruengli AG 06.10.27</t>
  </si>
  <si>
    <t>0.375 % Givaudan AG 09.04.25</t>
  </si>
  <si>
    <t>1.965 % ABB AG 22.09.26</t>
  </si>
  <si>
    <t>Schindler Holding AG</t>
  </si>
  <si>
    <t>iShares China CNY Bond UCITS ETF (Acc) - USD</t>
  </si>
  <si>
    <t>Baloise Hldg N</t>
  </si>
  <si>
    <t>0.500 % Glencore Capital Finance DAC 07.09.28</t>
  </si>
  <si>
    <t>Immobiliare</t>
  </si>
  <si>
    <t>UBS (CH) Prop. Fund - Swiss Residential Anfos</t>
  </si>
  <si>
    <t>iShares Emerging Asia Local Govt Bond UCITS ETF (Dist) - CHF</t>
  </si>
  <si>
    <t>iShares Emerging Asia Local Govt Bond UCITS ETF (Dist) - EUR</t>
  </si>
  <si>
    <t>BlackRock BGF - Emerging Markets Local Currency Bond Fund - BGF A (hedged CHF)</t>
  </si>
  <si>
    <t>UBS ETF (CH) - Gold (EUR) hedged - (EUR) A-dis</t>
  </si>
  <si>
    <t>Templeton Frontier Markets Fund - A</t>
  </si>
  <si>
    <t>Asia e Pacifico</t>
  </si>
  <si>
    <t>BHP Grp Rg</t>
  </si>
  <si>
    <t>0.150 % PSP Swiss Property AG 02.02.29</t>
  </si>
  <si>
    <t>0.125 % Holcim Helvetia Finance AG 26.08.27</t>
  </si>
  <si>
    <t>0.300 % Electricite de France SA 14.10.24</t>
  </si>
  <si>
    <t>Alibaba ADR</t>
  </si>
  <si>
    <t>SPDR Technology Select Sector (XLK)</t>
  </si>
  <si>
    <t>Lyxor MSCI Emerging Markets UCITS ETF C-USD</t>
  </si>
  <si>
    <t>HAN-GINS Healthcare Megatrend Eq.Wgt. UCITS ETF (Acc - EUR)</t>
  </si>
  <si>
    <t>UBS ETF (CH) – SPI® (CHF) A-dis</t>
  </si>
  <si>
    <t>Morniroli A.</t>
  </si>
  <si>
    <t>Gold 100 Gr 999.9</t>
  </si>
  <si>
    <t>iShares VII plc - Core MSCI Pacific ex-Japan UCITS ETF</t>
  </si>
  <si>
    <t>Templeton Asian Smaller Companies Fund - A</t>
  </si>
  <si>
    <t>0.000 % Valiant Bank AG 31.10.25</t>
  </si>
  <si>
    <t>0.205 % First Abu Dhabi Bank P.J.S.C. 04.12.25</t>
  </si>
  <si>
    <t>0.750% Berner Kantonalbank AG 14.07.2025</t>
  </si>
  <si>
    <t>0.625% Credit Agricole SA 12.07.2024</t>
  </si>
  <si>
    <t>Philip Morris International Inc.</t>
  </si>
  <si>
    <t>Paesi Nordici</t>
  </si>
  <si>
    <t>Ericsson</t>
  </si>
  <si>
    <t>SEK</t>
  </si>
  <si>
    <t>MOT</t>
  </si>
  <si>
    <t>0.300% Raiffeisen Schweiz Genossenschaft 22.04.2025</t>
  </si>
  <si>
    <t>LandisGyr Gr N</t>
  </si>
  <si>
    <t>3.375 % GlaxoSmithKline Capital PLC 01.06.29</t>
  </si>
  <si>
    <t>3.250 % Shell International Finance BV 11.05.25</t>
  </si>
  <si>
    <t>1.500 % Oesterreichische Kontrollbank AG OEKB 12.02.25</t>
  </si>
  <si>
    <t>5.125 % Howmet Aerospace Inc 01.10.24</t>
  </si>
  <si>
    <t>3.200 % Province of Ontario 16.05.24</t>
  </si>
  <si>
    <t>0.200 % LGT Bank AG 12.10.26</t>
  </si>
  <si>
    <t>1.000 % TotalEnergies Capital International 29.08.24</t>
  </si>
  <si>
    <t>Bucher Industries AG</t>
  </si>
  <si>
    <t>GE Hltc Tech Rg</t>
  </si>
  <si>
    <t>CS (Lux) Digital Health Equity Fund - X1BH CHF (Acc)</t>
  </si>
  <si>
    <t xml:space="preserve">ams-OSRAM I </t>
  </si>
  <si>
    <t>LandisGyr Gr N (Lim. 69.00 Vt: 24.03.23)</t>
  </si>
  <si>
    <t>UBS (CH) Equity Fund - Swiss Income (CHF) QL</t>
  </si>
  <si>
    <t>UBS (CH) Equity Fund - Swiss Income (CHF) P</t>
  </si>
  <si>
    <t>UBS (Lux) Equity SICAV - Swiss Opportunity (CHF)</t>
  </si>
  <si>
    <t>Altro</t>
  </si>
  <si>
    <t>Hedge Funds</t>
  </si>
  <si>
    <t>UBS - Multi Strategy Alternatives (EUR)  - CHF hedged - Q (Acc)</t>
  </si>
  <si>
    <t>JPMIF - Income Opportunity Fund - C -CHF Hedged (Acc)</t>
  </si>
  <si>
    <t>Schroder GAIA - CAT Bond - IF  -CHF-Hedged (Acc)</t>
  </si>
  <si>
    <t>UBS Floating Rate Income - Q- CHF hedged (Acc)</t>
  </si>
  <si>
    <t>UBS Short Dur High Yield Sust - Q (Acc)</t>
  </si>
  <si>
    <t>AXA World Funds - Global Inflation Short Duration Bonds - A Capitalisation EUR (Hedged)</t>
  </si>
  <si>
    <t>0.250% Crédit Agricole Public Sector SCF 31.10.26</t>
  </si>
  <si>
    <t>De Maria Mariamaddalena</t>
  </si>
  <si>
    <t>Negri Francesca</t>
  </si>
  <si>
    <t>0.000 % Europaeische Union 04.03.26</t>
  </si>
  <si>
    <t>0.375 % Landesbank Baden-Wuerttemberg 27.02.25</t>
  </si>
  <si>
    <t>0.000 % Kreditanstalt fuer Wiederaufbau KFW 04.07.24</t>
  </si>
  <si>
    <t>0.125 % Goldman Sachs Group Inc 19.08.24</t>
  </si>
  <si>
    <t>Bollier Heidi</t>
  </si>
  <si>
    <t>O WhatAop Mattia Brenni - 07.03.23</t>
  </si>
  <si>
    <t>AXA World Funds - Global Inflation Short Duration Bonds - A Capitalisation CHF (Hedged)</t>
  </si>
  <si>
    <t>0.240 % Banco Del Estado De Chile 06.06.25</t>
  </si>
  <si>
    <t>0.000 % Valiant Bank AG 20.01.26</t>
  </si>
  <si>
    <t xml:space="preserve">AXA World Funds - Global Inflation Short Duration Bonds - I Capitalisation CHF (Hedged) </t>
  </si>
  <si>
    <t>Corna  Giuliano</t>
  </si>
  <si>
    <t>Amundi ETF Govt Bd Lowest Rated EuroMTS Inv. Grade UCITS ETF</t>
  </si>
  <si>
    <t>iShares plc - EUR Inflation Link. Govt. Bd. UCITS ETF (acc)</t>
  </si>
  <si>
    <t xml:space="preserve">Lyxor (LU) EuroMTS Hi. Rtd. M.-W. Gov. Bd. DR UCITS ETF - C-EUR </t>
  </si>
  <si>
    <t>PIMCO Funds GIS plc - Global Bond - R EUR Hedged Accumulation</t>
  </si>
  <si>
    <t>UBS ETF (CH) - Gold - (USD) A-dis</t>
  </si>
  <si>
    <t>Intestato a</t>
  </si>
  <si>
    <t>%</t>
  </si>
  <si>
    <t>Portafoglio no.</t>
  </si>
  <si>
    <t>Mandati</t>
  </si>
  <si>
    <t>14612003</t>
  </si>
  <si>
    <t>13677306</t>
  </si>
  <si>
    <t>13762231</t>
  </si>
  <si>
    <t>13771019</t>
  </si>
  <si>
    <t>22771633</t>
  </si>
  <si>
    <t>15525082.1001</t>
  </si>
  <si>
    <t>MRif</t>
  </si>
  <si>
    <t>Restrizioni</t>
  </si>
  <si>
    <t>Consulenza</t>
  </si>
  <si>
    <t>Valore inizio anno</t>
  </si>
  <si>
    <t>Totale</t>
  </si>
  <si>
    <t>Commissione gestione [+]</t>
  </si>
  <si>
    <t>Prelevamenti (ex CG) [-]</t>
  </si>
  <si>
    <t>Versamenti [+]</t>
  </si>
  <si>
    <t>Variazione assoluta lorda (Banca)</t>
  </si>
  <si>
    <t>Prerformance lorda (Banca)</t>
  </si>
  <si>
    <t>Variazione assoluta (ex. CG)</t>
  </si>
  <si>
    <t>Performance netto CG</t>
  </si>
  <si>
    <t>Attuale</t>
  </si>
  <si>
    <t>Proposta</t>
  </si>
  <si>
    <t>Ordine</t>
  </si>
  <si>
    <t>Nuovo</t>
  </si>
  <si>
    <t>AC</t>
  </si>
  <si>
    <t>smo_id</t>
  </si>
  <si>
    <t>ISIN</t>
  </si>
  <si>
    <t>Valoren</t>
  </si>
  <si>
    <t>Maturity</t>
  </si>
  <si>
    <t>P_Source</t>
  </si>
  <si>
    <t>Info_W</t>
  </si>
  <si>
    <t>FN_W</t>
  </si>
  <si>
    <t>MS_Link</t>
  </si>
  <si>
    <t>MS_Code</t>
  </si>
  <si>
    <t>P_Type</t>
  </si>
  <si>
    <t>Pct.</t>
  </si>
  <si>
    <t>SML</t>
  </si>
  <si>
    <t>Med.</t>
  </si>
  <si>
    <t>Posizione</t>
  </si>
  <si>
    <t>Scenario</t>
  </si>
  <si>
    <t>1D %</t>
  </si>
  <si>
    <t>Orders</t>
  </si>
  <si>
    <t>Crncy</t>
  </si>
  <si>
    <t>Price</t>
  </si>
  <si>
    <t>Yield</t>
  </si>
  <si>
    <t>FxR</t>
  </si>
  <si>
    <t>I_Pos</t>
  </si>
  <si>
    <t>Var.%</t>
  </si>
  <si>
    <t>I_Price</t>
  </si>
  <si>
    <t>I_Amnt</t>
  </si>
  <si>
    <t>I_Ctrlv</t>
  </si>
  <si>
    <t>I_Pct</t>
  </si>
  <si>
    <t>P_Pos</t>
  </si>
  <si>
    <t>P_Amnt</t>
  </si>
  <si>
    <t>P_Ctrlv</t>
  </si>
  <si>
    <t>P_Pct</t>
  </si>
  <si>
    <t>O_Pos</t>
  </si>
  <si>
    <t>O_Amnt</t>
  </si>
  <si>
    <t>O_Ctrlv</t>
  </si>
  <si>
    <t>O_Pct</t>
  </si>
  <si>
    <t>S_Pos</t>
  </si>
  <si>
    <t>S_Amnt</t>
  </si>
  <si>
    <t>S_Ctrlv</t>
  </si>
  <si>
    <t>S_Pct</t>
  </si>
  <si>
    <t>Visible</t>
  </si>
  <si>
    <t>V</t>
  </si>
  <si>
    <t>35487400:CHF</t>
  </si>
  <si>
    <t>EU0009654078:CHF</t>
  </si>
  <si>
    <t>XC0009652816:CHF</t>
  </si>
  <si>
    <t>GB0009534727:CHF</t>
  </si>
  <si>
    <t>CC GBP</t>
  </si>
  <si>
    <t>XC0001458410:CHF</t>
  </si>
  <si>
    <t>FD 29.02.24 - 31.05.24</t>
  </si>
  <si>
    <t>FD USD</t>
  </si>
  <si>
    <t>0.750 % Mobimo Holding AG 20.03.26</t>
  </si>
  <si>
    <t>1.800 % Barry Callebaut AG 15.05.26</t>
  </si>
  <si>
    <t>0.010 % Basellandschaftliche Kantonalbank 28.07.26</t>
  </si>
  <si>
    <t>0.375 % Holcim Helvetia Finance AG 19.10.26</t>
  </si>
  <si>
    <t>0.200% Union Bancaire Privée 15.12.2026</t>
  </si>
  <si>
    <t>3.000 % Gategroup Finance Luxembourg S.A. 28.02.27</t>
  </si>
  <si>
    <t>1.250 % Swiss Prime Site Finance AG 02.04.27</t>
  </si>
  <si>
    <t>0.400 % Partners Group Holding AG 21.06.27</t>
  </si>
  <si>
    <t>0.000 % Luzerner Kantonalbank AG 07.08.28</t>
  </si>
  <si>
    <t>0.500 % Raiffeisen Schweiz Genossenschaft 11.11.28</t>
  </si>
  <si>
    <t>0.125 % Hypo Vorarlberg Bank AG 03.09.29</t>
  </si>
  <si>
    <t>0.000 % Glarner Kantonalbank 16.10.29</t>
  </si>
  <si>
    <t>iShares Core CHF Corporate Bd. ETF (CH)</t>
  </si>
  <si>
    <t xml:space="preserve">3.50% VW Intl Finance VRN Perpetual </t>
  </si>
  <si>
    <t>Rep Greca 42 GDP</t>
  </si>
  <si>
    <t>Amundi ETF - EUR Highest Rated Macro-Weighted Govt Bd</t>
  </si>
  <si>
    <t>BlueBay Investment Grade Euro Government Bond Fund R - EUR</t>
  </si>
  <si>
    <t>0.375% EIB 15.12.25</t>
  </si>
  <si>
    <t>0.750 % Canada Government 19.05.26</t>
  </si>
  <si>
    <t>iShares USD Treasury Bond 7-10yr UCITS ETF CHF Hedged (Acc)</t>
  </si>
  <si>
    <t>DM Varie</t>
  </si>
  <si>
    <t>UBS (Lux) Bond Fund - Global - (CHF) P-acc</t>
  </si>
  <si>
    <t xml:space="preserve">db x-trackers II - Barclays Global Aggregate Bd. UCITS ETF - 4C </t>
  </si>
  <si>
    <t>iShares Global High Yield Corp Bond CHF Hedged UCITS ETF (Dist)</t>
  </si>
  <si>
    <t>iShares J.P. Morgan Emerging Market USD Bond UCITS</t>
  </si>
  <si>
    <t>iShares Emerging Asia Local Govt Bond UCITS ETF (Dist) - USD</t>
  </si>
  <si>
    <t>Amrize N</t>
  </si>
  <si>
    <t>Reduit</t>
  </si>
  <si>
    <t>UBS ETF - MSCI Europe UCITS EUR A-dis</t>
  </si>
  <si>
    <t>iShares STOXX Europe 50 UCITS ETF EUR</t>
  </si>
  <si>
    <t>iShares VII plc - MSCI EMU CHF Hdg. UCITS ETF (Acc)</t>
  </si>
  <si>
    <t>Equinor</t>
  </si>
  <si>
    <t>Amundi ETF MSCI Nordic UCITS ETF</t>
  </si>
  <si>
    <t>Fidelity Funds - Nordic Fund A-Acc-EUR</t>
  </si>
  <si>
    <t>Fidelity Funds - Nordic Fund Y-Acc-EUR (hedged)</t>
  </si>
  <si>
    <t>Regno Unito</t>
  </si>
  <si>
    <t>UBS ETF - MSCI United Kingdom UCITS ETF (GBP) A-acc</t>
  </si>
  <si>
    <t>iShares MSCI United Kingdom ETF</t>
  </si>
  <si>
    <t>UBS ETF - MSCI United Kingdom hedged to CHF UCITS ETF (CHF) A-acc</t>
  </si>
  <si>
    <t>Nymox Pharmaceutical</t>
  </si>
  <si>
    <t>US4642887602</t>
  </si>
  <si>
    <t>US4642875318</t>
  </si>
  <si>
    <t>Rio Tinto Ltd</t>
  </si>
  <si>
    <t>iShares Core MSCI Pacific ex Japan UCITS ETF (Acc)</t>
  </si>
  <si>
    <t>Amundi MSCI Japan</t>
  </si>
  <si>
    <t>iShares MSCI Japan CHF Hedged UCITS</t>
  </si>
  <si>
    <t>Amundi MSCI Eastern Europe Ex Russia UCITS</t>
  </si>
  <si>
    <t>iShares II plc - MSCI EM Latin America UCITS ETF</t>
  </si>
  <si>
    <t>SSGA Emerging Markets Opportunities Equity Fund P (EUR)</t>
  </si>
  <si>
    <t>UBS (Lux)  Global Emerging Markets Opportunity  (USD) - (CHF hedged) P-acc</t>
  </si>
  <si>
    <t>Redwheel Next Generation Emerging Markets Equity Fund</t>
  </si>
  <si>
    <t>HAN-GINS Healthcare Megatrend Eq.Wgt. UCITS ETF (Acc - USD)</t>
  </si>
  <si>
    <t>HANetf ICAV - Future of Defence UCITS ETF</t>
  </si>
  <si>
    <t>Global X Robotics &amp; Artificial Intelligence ETF</t>
  </si>
  <si>
    <t>iShares Global Clean Energy UCITS (USD -Dist)</t>
  </si>
  <si>
    <t>Europea</t>
  </si>
  <si>
    <t>SPDR FTSE EPRA Europe ex UK Real Estate UCITS</t>
  </si>
  <si>
    <t>Commodities</t>
  </si>
  <si>
    <t>IE00B53H0131</t>
  </si>
  <si>
    <t>UBS (Irl) CMCI Composite SF UCITS ETF</t>
  </si>
  <si>
    <t>L&amp;G Multi-Strategy Enhanced Commodities UCITS ETF (ENCO)</t>
  </si>
  <si>
    <t>Raiffeisen Solid Gold Ounces CHF Hedged</t>
  </si>
  <si>
    <t>iShares Gold ETF (CH) Anteile -A</t>
  </si>
  <si>
    <t>ZKB Gold ETF - AA (USD)</t>
  </si>
  <si>
    <t>ZKB Gold ETF - AAH (CHF)</t>
  </si>
  <si>
    <t>Gold 1 Uz 999.9</t>
  </si>
  <si>
    <t>Gold 1 Kg. 999.9</t>
  </si>
  <si>
    <t>Krugerrand 0.1 Once</t>
  </si>
  <si>
    <t>Krugerrand 1 Once</t>
  </si>
  <si>
    <t>ZKB Silver ETF AA</t>
  </si>
  <si>
    <t>ZKB Platinum ETF - AA (CHF)</t>
  </si>
  <si>
    <t>Maple Leaf CAD 50 1 Once</t>
  </si>
  <si>
    <t>Vreneli 20 CHF</t>
  </si>
  <si>
    <t>CHF/USD - Sept 2025</t>
  </si>
  <si>
    <t>S6Z23</t>
  </si>
  <si>
    <t>USD Down</t>
  </si>
  <si>
    <t>EUR/CHF - Sept 25</t>
  </si>
  <si>
    <t>RFZ23</t>
  </si>
  <si>
    <t>Allocazione valutaria</t>
  </si>
  <si>
    <t>GBP</t>
  </si>
  <si>
    <t>Percentuale</t>
  </si>
  <si>
    <t>Assoluta in MRif</t>
  </si>
  <si>
    <t>Assoluta in FX</t>
  </si>
  <si>
    <t>21861108</t>
  </si>
  <si>
    <t>Commissione gestione</t>
  </si>
  <si>
    <t>Prelevamenti</t>
  </si>
  <si>
    <t>Versamenti</t>
  </si>
  <si>
    <t>MS_W</t>
  </si>
  <si>
    <t>Mediana</t>
  </si>
  <si>
    <t>1.100 % Helvetia 31.01.33</t>
  </si>
  <si>
    <t>Robeco CGF - High Yield Bonds - IH CHF Hedged (Acc)</t>
  </si>
  <si>
    <t>SPDR Barclays Euro High Yield Bond UCITS ETF</t>
  </si>
  <si>
    <t>BKW N</t>
  </si>
  <si>
    <t>Cembra Money Bk N</t>
  </si>
  <si>
    <t>Cicor Technologie N</t>
  </si>
  <si>
    <t>Implenia N</t>
  </si>
  <si>
    <t xml:space="preserve">Logitech International SA </t>
  </si>
  <si>
    <t>iShares STOXX Europe 600 Telecommunications UCITS ETF (DE)</t>
  </si>
  <si>
    <t>VanEck UCITS ETFs PLC - VanEck Semiconductor UCITS ETF</t>
  </si>
  <si>
    <t>iShares S&amp;P 500 CHF Hedged UCITS</t>
  </si>
  <si>
    <t>iShares MSCI Brazil UCITS ETF (acc) - USD</t>
  </si>
  <si>
    <t>21296702</t>
  </si>
  <si>
    <t>Prelevamenti (-)</t>
  </si>
  <si>
    <t>Versamenti (+)</t>
  </si>
  <si>
    <t>Var. %</t>
  </si>
  <si>
    <t>990879:EUR</t>
  </si>
  <si>
    <t>CH0009688802:EUR</t>
  </si>
  <si>
    <t>XD0009689841:EUR</t>
  </si>
  <si>
    <t>GB0008283987:EUR</t>
  </si>
  <si>
    <t>LU1287023342</t>
  </si>
  <si>
    <t xml:space="preserve">Amundi ETF - EUR Lowest Rated Govt Bd </t>
  </si>
  <si>
    <t>Xtrackers II US Treasuries UCITS ETF 2D - EUR Hedged</t>
  </si>
  <si>
    <t>iShares EUR Aggregate Bond UCITS</t>
  </si>
  <si>
    <t xml:space="preserve">db x-trackers II Barclays Global Aggregate Bond UCITS 5C </t>
  </si>
  <si>
    <t>iShares Emerging Markets Local Currency Bond</t>
  </si>
  <si>
    <t>Source plc - MSCI Europe UCITS ETF - A</t>
  </si>
  <si>
    <t>UBS ETF - MSCI United Kingdom hedged to EUR UCITS ETF (EUR) A-acc</t>
  </si>
  <si>
    <t>11834662</t>
  </si>
  <si>
    <t>Risk-Off</t>
  </si>
  <si>
    <t>Lyxor UCITS MSCI AC Asia-Pacific Ex Japan C-EUR</t>
  </si>
  <si>
    <t>=SCARTO(Origine;CONFRONTA($C71;Descrizioni;0);CONFRONTA(N$14;Intestazioni;0)-1;1;1)</t>
  </si>
  <si>
    <t>Pictet - Emerging Markets High Dividend - HP EUR</t>
  </si>
  <si>
    <t>Templeton Asian Smaller Companies Fund (EUR)</t>
  </si>
  <si>
    <t>iShares MSCI China UCITS ETF (acc) - USD</t>
  </si>
  <si>
    <t>Diverse(BCOM)</t>
  </si>
  <si>
    <t>16162447</t>
  </si>
  <si>
    <t>17116767</t>
  </si>
  <si>
    <t>20748090</t>
  </si>
  <si>
    <t>19070101</t>
  </si>
  <si>
    <t xml:space="preserve"> </t>
  </si>
  <si>
    <t>Robeco QI Global Dynamic Duration FH EUR Hedged</t>
  </si>
  <si>
    <t>UBS (Irl) ETF plc – MSCI USA 100% hedged to EUR UCITS EUR A-acc</t>
  </si>
  <si>
    <t>CSIF (Lux) Equity Pacific ex Japan (EUR)</t>
  </si>
  <si>
    <t>Fidelity Funds - Emerging Markets Fund Y-Acc-USD</t>
  </si>
  <si>
    <t>BlackRock BGF - World Bond Fund - X2 H EUR Hdgd</t>
  </si>
  <si>
    <t>WisdomTree Physical Gold (PHAU)</t>
  </si>
  <si>
    <t>13667351</t>
  </si>
  <si>
    <t>247-100582-01</t>
  </si>
  <si>
    <t>Commissione gestione (assoluta)</t>
  </si>
  <si>
    <t>Entry Fee</t>
  </si>
  <si>
    <t>Exit Fee</t>
  </si>
  <si>
    <t>TER</t>
  </si>
  <si>
    <t>Perf. Fee</t>
  </si>
  <si>
    <t>FD 10.05.24 - 10.07.24</t>
  </si>
  <si>
    <t>FD</t>
  </si>
  <si>
    <t>0.150% UBS AG 29.06.2028</t>
  </si>
  <si>
    <t>0.250% Royal Bank of Canada 15.10.2029</t>
  </si>
  <si>
    <t>0.200 % PSP Swiss Property AG 04.02.31</t>
  </si>
  <si>
    <t>CH0385518086:CHF</t>
  </si>
  <si>
    <t>2.875% Alfa Hld 09.11.2022 (default)</t>
  </si>
  <si>
    <t/>
  </si>
  <si>
    <t>i</t>
  </si>
  <si>
    <t></t>
  </si>
  <si>
    <t></t>
  </si>
  <si>
    <t>Unit</t>
  </si>
  <si>
    <t>1.050 % Province of Ontario 14.04.26</t>
  </si>
  <si>
    <t>1.200 % The Toronto-Dominion Bank 03.06.26</t>
  </si>
  <si>
    <t>3.375 % GlaxoSmithKline Capital PLC 01.06.29 (A)</t>
  </si>
  <si>
    <t>Pct</t>
  </si>
  <si>
    <t>3.800 % Kreditanstalt fuer Wiederaufbau KFW 24.05.28</t>
  </si>
  <si>
    <t>Emmi AG</t>
  </si>
  <si>
    <t>Luzerner KB N</t>
  </si>
  <si>
    <t>UBS Mid Caps Switzerland -  QL (Dist)</t>
  </si>
  <si>
    <t>UBS Swiss High Dividend  - QL (Dist)</t>
  </si>
  <si>
    <t>Telefonica SA</t>
  </si>
  <si>
    <t>UBS European High Dividend Sust EUR -CHF hedged - QL (Dist)</t>
  </si>
  <si>
    <t>EOG Resources Rg</t>
  </si>
  <si>
    <t>GE Aerospace Rg</t>
  </si>
  <si>
    <t>GE Vernova Rg</t>
  </si>
  <si>
    <t>The Kraft Heinz Company</t>
  </si>
  <si>
    <t>US81369Y6059</t>
  </si>
  <si>
    <t>UBS US Income Sustainable USD - CHF hedged - QL (dist)</t>
  </si>
  <si>
    <t>iShares MSCI North America UCITS ETF USD (Dist)</t>
  </si>
  <si>
    <t>JPMorgan Funds SICAV -  China A-Share Opportunities Fund</t>
  </si>
  <si>
    <t>Metalli Preziosi (Grassetto: in cassetta di sicurezza)</t>
  </si>
  <si>
    <t>Schroder GAIA - US Equity - C - CHF hedged (Acc)</t>
  </si>
  <si>
    <t>Alma Platinum IV - Systematic Alpha -  R1C-C (Acc)</t>
  </si>
  <si>
    <t>Private Debt</t>
  </si>
  <si>
    <t>Private Equity</t>
  </si>
  <si>
    <t>Costi % ponderati per il capitale (excl. Safe):</t>
  </si>
  <si>
    <t>Flat Fee</t>
  </si>
  <si>
    <t>LUKB_id</t>
  </si>
  <si>
    <t>Link</t>
  </si>
  <si>
    <t>Pr.Amt</t>
  </si>
  <si>
    <t>LUKB Name</t>
  </si>
  <si>
    <t>Des_Override</t>
  </si>
  <si>
    <t>Tema</t>
  </si>
  <si>
    <t>SMO</t>
  </si>
  <si>
    <t>Model</t>
  </si>
  <si>
    <t>Position</t>
  </si>
  <si>
    <t>Price_Link</t>
  </si>
  <si>
    <t>Info</t>
  </si>
  <si>
    <t>FN_Link</t>
  </si>
  <si>
    <t>Chart</t>
  </si>
  <si>
    <t>Last</t>
  </si>
  <si>
    <t>Update</t>
  </si>
  <si>
    <t>Bid-Size</t>
  </si>
  <si>
    <t>Bid</t>
  </si>
  <si>
    <t>Ask</t>
  </si>
  <si>
    <t>Ask-Size</t>
  </si>
  <si>
    <t>Spd %</t>
  </si>
  <si>
    <t>Acc. Int</t>
  </si>
  <si>
    <t>Denom.</t>
  </si>
  <si>
    <t>Div.</t>
  </si>
  <si>
    <t>Div. Pmt</t>
  </si>
  <si>
    <t>Int.</t>
  </si>
  <si>
    <t>4W %</t>
  </si>
  <si>
    <t>12W %</t>
  </si>
  <si>
    <t>YTD %</t>
  </si>
  <si>
    <t>C_source</t>
  </si>
  <si>
    <t>XC0001458402:EUR</t>
  </si>
  <si>
    <t>968876,176,814</t>
  </si>
  <si>
    <t>499048,176,1</t>
  </si>
  <si>
    <t>https://www.investing.com/currencies/aud-chf</t>
  </si>
  <si>
    <t>XD0002750038:CHF</t>
  </si>
  <si>
    <t>CC CAD</t>
  </si>
  <si>
    <t>https://www.investing.com/currencies/cad-chf</t>
  </si>
  <si>
    <t>XD0009688793:EUR</t>
  </si>
  <si>
    <t>968879,149,814</t>
  </si>
  <si>
    <t>968880,149,814</t>
  </si>
  <si>
    <t>XD0005060401:CHF</t>
  </si>
  <si>
    <t>CC CNY</t>
  </si>
  <si>
    <t>https://www.investing.com/currencies/cny-chf</t>
  </si>
  <si>
    <t>990879,13,814</t>
  </si>
  <si>
    <t>897789,176,1</t>
  </si>
  <si>
    <t>https://www.finanzen.ch/devisen/eurokurs</t>
  </si>
  <si>
    <t>https://www.investing.com/currencies/eur-chf</t>
  </si>
  <si>
    <t>947552,149,814</t>
  </si>
  <si>
    <t>275001,176,1</t>
  </si>
  <si>
    <t>https://www.investing.com/currencies/gbp-chf</t>
  </si>
  <si>
    <t>QT0009282127:CHF</t>
  </si>
  <si>
    <t>https://www.investing.com/currencies/mxn-chf</t>
  </si>
  <si>
    <t>NO0010037500:CHF</t>
  </si>
  <si>
    <t>CC NOK</t>
  </si>
  <si>
    <t>https://www.investing.com/currencies/nok-chf</t>
  </si>
  <si>
    <t>XC0001458436:CHF</t>
  </si>
  <si>
    <t>CC NZD</t>
  </si>
  <si>
    <t>https://www.investing.com/currencies/nzd-chf</t>
  </si>
  <si>
    <t>XD0010492169:CHF</t>
  </si>
  <si>
    <t>CC RUB</t>
  </si>
  <si>
    <t>https://www.investing.com/currencies/rub-chf</t>
  </si>
  <si>
    <t>XC0001717336:CHF</t>
  </si>
  <si>
    <t>CC SEK</t>
  </si>
  <si>
    <t>https://www.investing.com/currencies/sek-chf</t>
  </si>
  <si>
    <t>QT0019924098:CHF</t>
  </si>
  <si>
    <t>CC TRY</t>
  </si>
  <si>
    <t>https://www.investing.com/currencies/try-chf</t>
  </si>
  <si>
    <t>275000,176,1</t>
  </si>
  <si>
    <t>https://www.investing.com/currencies/usd-chf</t>
  </si>
  <si>
    <t>968984,149,814</t>
  </si>
  <si>
    <t>CH0572326988:CHF</t>
  </si>
  <si>
    <t>CH0419041675:CHF</t>
  </si>
  <si>
    <t>CH0474977714:CHF</t>
  </si>
  <si>
    <t>CH0474977755:CHF</t>
  </si>
  <si>
    <t>US298785JG20:USD</t>
  </si>
  <si>
    <t>https://www.finanzen.ch/obligationen/european_investment_bankdl-notes_202025-obligation-2025-us298785jg20</t>
  </si>
  <si>
    <t>https://www.marketscreener.com/quote/bond/EURO-INV0-37525-112401398/</t>
  </si>
  <si>
    <t>112401398</t>
  </si>
  <si>
    <t>CH0506071387:CHF</t>
  </si>
  <si>
    <t>DE000GRN0024:EUR</t>
  </si>
  <si>
    <t>CH0270382093:CHF</t>
  </si>
  <si>
    <t>CH0354836113:CHF</t>
  </si>
  <si>
    <t>US683234AT57:USD</t>
  </si>
  <si>
    <t>111006659,16,333</t>
  </si>
  <si>
    <t>CH1348614046:CHF</t>
  </si>
  <si>
    <t>US427028AB18:USD</t>
  </si>
  <si>
    <t>US89114TZD70:USD:STU</t>
  </si>
  <si>
    <t>CH0479514264:CHF</t>
  </si>
  <si>
    <t>CH0522158994:CHF</t>
  </si>
  <si>
    <t>CH0593893933:CHF</t>
  </si>
  <si>
    <t>CH0338330431:CHF</t>
  </si>
  <si>
    <t>CH1154887132:CHF</t>
  </si>
  <si>
    <t>DE000A3E5UY4:EUR</t>
  </si>
  <si>
    <t>FR0013215688:EUR</t>
  </si>
  <si>
    <t>CH1141700547:CHF</t>
  </si>
  <si>
    <t>CH0553331817:CHF</t>
  </si>
  <si>
    <t>CH0353945394:CHF</t>
  </si>
  <si>
    <t>DE000A30WFU3:EUR</t>
  </si>
  <si>
    <t>CH0419040990:CHF</t>
  </si>
  <si>
    <t>CH1179184424:CHF</t>
  </si>
  <si>
    <t>CH0419041287:CHF</t>
  </si>
  <si>
    <t>CH1127263973:CHF</t>
  </si>
  <si>
    <t>CH0373476123:CHF</t>
  </si>
  <si>
    <t>XS1747444831:EUR</t>
  </si>
  <si>
    <t>AU3CB0299477:AUD:STU</t>
  </si>
  <si>
    <t>CH1120085670:CHF</t>
  </si>
  <si>
    <t>CH1118483747:CHF</t>
  </si>
  <si>
    <t>CH0506071130:CHF</t>
  </si>
  <si>
    <t>CH1132966263:CHF</t>
  </si>
  <si>
    <t>XS2209794408:EUR</t>
  </si>
  <si>
    <t>CH0572899257:CHF</t>
  </si>
  <si>
    <t>CH1112455808:CHF:P</t>
  </si>
  <si>
    <t>CH1142754287:CHF:P</t>
  </si>
  <si>
    <t>0.795 % Fonplata 01.12.28</t>
  </si>
  <si>
    <t>CH0461239060:CHF</t>
  </si>
  <si>
    <t>US377373AH85:USD</t>
  </si>
  <si>
    <t>CH1118460984:CHF</t>
  </si>
  <si>
    <t>CH0487087337:CHF</t>
  </si>
  <si>
    <t>CH1137122771:CHF</t>
  </si>
  <si>
    <t>CH0485260837:CHF</t>
  </si>
  <si>
    <t>EU000A1G0EE0:EUR</t>
  </si>
  <si>
    <t>XS2374594823:EUR</t>
  </si>
  <si>
    <t>CH0525158462:CHF:P</t>
  </si>
  <si>
    <t>CH1454185948:CHF:P</t>
  </si>
  <si>
    <t>1.040 % Uruguay 23.07.30</t>
  </si>
  <si>
    <t>DE000BHY0C47:EUR:P</t>
  </si>
  <si>
    <t>CH0506071361:CHF:P</t>
  </si>
  <si>
    <t>CH1112246744:CHF</t>
  </si>
  <si>
    <t>CH1118223382:CHF:P</t>
  </si>
  <si>
    <t>CH1148728129:CHF</t>
  </si>
  <si>
    <t>https://www.marketscreener.com/quote/bond/BERR-KANT0-8532-132121392/</t>
  </si>
  <si>
    <t>132121392</t>
  </si>
  <si>
    <t>XS2389353264:EUR:P</t>
  </si>
  <si>
    <t>CH1400064502:CHF:P</t>
  </si>
  <si>
    <t>CH1457738016:CHF:P</t>
  </si>
  <si>
    <t>DE000A2YNZY4:EUR:P</t>
  </si>
  <si>
    <t>CH1400064577:CHF:P</t>
  </si>
  <si>
    <t>DE000NWB0AK3:EUR:P</t>
  </si>
  <si>
    <t>GRR000000010:EUR</t>
  </si>
  <si>
    <t>https://www.marketscreener.com/quote/bond/GREECEREP-IN42-111976325/</t>
  </si>
  <si>
    <t>111976325</t>
  </si>
  <si>
    <t>https://www.finanzen.ch/obligationen/griechenland-republik-obligation-grr000000010</t>
  </si>
  <si>
    <t>XS1206541366:EUR:STU</t>
  </si>
  <si>
    <t>https://www.marketscreener.com/quote/bond/VOLN-FINA3-5B30-51601751/</t>
  </si>
  <si>
    <t>51601751</t>
  </si>
  <si>
    <t>FR0003999010:CHF</t>
  </si>
  <si>
    <t>274701,176,1</t>
  </si>
  <si>
    <t>https://www.cash.ch/rohstoffe-edelmetalle/gold--1-kg-274701/ubs/chf</t>
  </si>
  <si>
    <t>XD0002811491:CHF</t>
  </si>
  <si>
    <t>CH0002811245:CHF</t>
  </si>
  <si>
    <t>281124,176,1</t>
  </si>
  <si>
    <t>https://www.cash.ch/rohstoffe-edelmetalle/gold-100-gr-999-281111/ubs/chf</t>
  </si>
  <si>
    <t>ZAE000003992:CHF</t>
  </si>
  <si>
    <t>281626,176,1</t>
  </si>
  <si>
    <t>https://www.marketscreener.com/quote/stock/KRUGERRAND-6582718/</t>
  </si>
  <si>
    <t>6582718</t>
  </si>
  <si>
    <t>https://www.finanzen.ch/rohstoffe/kruegerrand-zehntel-unze</t>
  </si>
  <si>
    <t>ZAE000003950:CHF</t>
  </si>
  <si>
    <t>https://www.marketscreener.com/quote/stock/KRUGERRAND-119962487/</t>
  </si>
  <si>
    <t>119962487</t>
  </si>
  <si>
    <t>http://www.finanzen.ch/rohstoffe/kruegerrand-unze/chf</t>
  </si>
  <si>
    <t>XD0002818892:USD</t>
  </si>
  <si>
    <t>https://www.finanzen.ch/rohstoffe/maple-leaf-unze</t>
  </si>
  <si>
    <t>CH0002813837:CHF</t>
  </si>
  <si>
    <t>281383,176,1</t>
  </si>
  <si>
    <t>https://www.finanzen.ch/rohstoffe/goldvreneli-20-franken</t>
  </si>
  <si>
    <t>LU1287023342:EUR</t>
  </si>
  <si>
    <t>LU1681046774:EUR</t>
  </si>
  <si>
    <t>https://www.finanzen.ch/Fonds/LU1681046774</t>
  </si>
  <si>
    <t>https://www.marketscreener.com/quote/etf/AMUNDI-GOVT-BOND-LOWEST-R-42643513/</t>
  </si>
  <si>
    <t>42643513</t>
  </si>
  <si>
    <t>https://markets.ft.com/data/etfs/tearsheet/summary?s=X1G:PAR:EUR</t>
  </si>
  <si>
    <t>LU1681044647:EUR</t>
  </si>
  <si>
    <t>https://www.finanzen.ch/etf/amundi-index-solutions-amundi-msci-nordic-etf-c-lu1681044647</t>
  </si>
  <si>
    <t>https://www.marketscreener.com/quote/etf/AMUNDI-MSCI-NORDIC-UCITS-42470357/</t>
  </si>
  <si>
    <t>42470357</t>
  </si>
  <si>
    <t>https://markets.ft.com/data/etfs/tearsheet/summary?s=CN1:PAR:EUR</t>
  </si>
  <si>
    <t>LU0908500753:EUR</t>
  </si>
  <si>
    <t>Amundi ETF STOXX Europe 600</t>
  </si>
  <si>
    <t>LU1812090543:EUR</t>
  </si>
  <si>
    <t>Amundi EUR High Yield Corporate Bond ESG</t>
  </si>
  <si>
    <t>https://www.finanzen.ch/Fonds/LU1812090543</t>
  </si>
  <si>
    <t>https://www.marketscreener.com/quote/etf/LYXOR-BOFAML-HIGH-YIELD-46843337/</t>
  </si>
  <si>
    <t>46843337</t>
  </si>
  <si>
    <t>https://markets.ft.com/data/etfs/tearsheet/summary?s=YIEL:PAR:EUR</t>
  </si>
  <si>
    <t>LU1900066462:EUR</t>
  </si>
  <si>
    <t>https://www.finanzen.ch/Fonds/LU1681043755</t>
  </si>
  <si>
    <t>https://www.marketscreener.com/quote/etf/AMUNDI-MSCI-EASTERN-EUROP-42809810/</t>
  </si>
  <si>
    <t>42809810</t>
  </si>
  <si>
    <t>https://markets.ft.com/data/etfs/tearsheet/summary?s=CE9:PAR:EUR</t>
  </si>
  <si>
    <t>LU1781541252:CHF</t>
  </si>
  <si>
    <t>https://www.finanzen.ch/etf/amundi-msci-japan-dr-etf-lu1781541252/brn</t>
  </si>
  <si>
    <t>LU0942970442:CHF</t>
  </si>
  <si>
    <t>23971272,4,1</t>
  </si>
  <si>
    <t>https://www.finanzen.ch/Fonds/LU0942970442</t>
  </si>
  <si>
    <t>https://www.marketscreener.com/quote/etf/XTRACKERS-II-GLOBAL-AGGRE-16545984/</t>
  </si>
  <si>
    <t>16545984</t>
  </si>
  <si>
    <t>https://markets.ft.com/data/etfs/tearsheet/summary?s=XBAC:SWX:CHF</t>
  </si>
  <si>
    <t>LU0942970798:EUR</t>
  </si>
  <si>
    <t>https://www.finanzen.ch/Fonds/LU0942970798</t>
  </si>
  <si>
    <t>https://www.marketscreener.com/quote/etf/XTRACKERS-II-GLOBAL-AGGRE-41713296/</t>
  </si>
  <si>
    <t>41713296</t>
  </si>
  <si>
    <t>https://markets.ft.com/data/etfs/tearsheet/summary?s=XBAE:GER:EUR</t>
  </si>
  <si>
    <t>US33734X8469:USD</t>
  </si>
  <si>
    <t>First Trust NASDAQ Cybersecurity ETF</t>
  </si>
  <si>
    <t>https://www.marketscreener.com/quote/etf/FIRST-TRUST-NASDAQ-CYBERS-22881125/</t>
  </si>
  <si>
    <t>22881125</t>
  </si>
  <si>
    <t>https://www.investing.com/etfs/first-trust-nasdaq-cea-cybersecurit</t>
  </si>
  <si>
    <t>US37954Y7159:USD</t>
  </si>
  <si>
    <t>https://www.cash.ch/fonds/materials-select-sector-spdr-fund-985677/usc/usd</t>
  </si>
  <si>
    <t>https://ch.marketscreener.com/kurs/etf/MATERIALS-SELECT-SECTOR-S-29424450/</t>
  </si>
  <si>
    <t>29424450</t>
  </si>
  <si>
    <t>https://www.ssga.com/us/en/intermediary/etfs/funds/the-materials-select-sector-spdr-fund-xlb</t>
  </si>
  <si>
    <t>IE000OJ5TQP4:USD</t>
  </si>
  <si>
    <t>IE00BJQTJ848:EUR</t>
  </si>
  <si>
    <t>https://www.finanzen.ch/Fonds/IE00BJQTJ848</t>
  </si>
  <si>
    <t>https://www.marketscreener.com/quote/etf/HAN-GINS-INDXX-HEALTHCARE-57022671/</t>
  </si>
  <si>
    <t>57022671</t>
  </si>
  <si>
    <t>https://www.finanzen.ch/etf/han-gins-indxx-healthcare-megatrend-equal-weight-etf-ie00bjqtj848</t>
  </si>
  <si>
    <t>IE00BJQTJ848:USD</t>
  </si>
  <si>
    <t>IE00BYVTMT69:CHF:P</t>
  </si>
  <si>
    <t>US46137V5306:USD</t>
  </si>
  <si>
    <t>Invesco NASDAQ Internet ETF</t>
  </si>
  <si>
    <t>https://www.marketscreener.com/quote/etf/INVESCO-NASDAQ-INTERNET-E-43873936/</t>
  </si>
  <si>
    <t>43873936</t>
  </si>
  <si>
    <t>https://markets.ft.com/data/etfs/tearsheet/summary?s=PNQI:NMQ:USD</t>
  </si>
  <si>
    <t>US46137V3574:USD</t>
  </si>
  <si>
    <t>IE00B6SPMN59:USD</t>
  </si>
  <si>
    <t>https://www.finanzen.ch/Fonds/IE00B6SPMN59</t>
  </si>
  <si>
    <t>https://www.marketscreener.com/quote/etf/ISHARES-EDGE-S-P-500-MINI-41590036/</t>
  </si>
  <si>
    <t>41590036</t>
  </si>
  <si>
    <t>https://markets.ft.com/data/etfs/tearsheet/summary?s=SPMV:LSE:USD</t>
  </si>
  <si>
    <t>IE00BKPSFD61:USD</t>
  </si>
  <si>
    <t>https://www.marketscreener.com/quote/etf/ISHARES-CHINA-CNY-BOND-UC-105996577/</t>
  </si>
  <si>
    <t>105996577</t>
  </si>
  <si>
    <t>https://www.ishares.com/ch/professionals/en/products/313868/ishares-china-cny-bond-ucits-etf</t>
  </si>
  <si>
    <t>CH0226976816:CHF</t>
  </si>
  <si>
    <t>https://www.finanzen.ch/Fonds/CH0226976816</t>
  </si>
  <si>
    <t>https://www.marketscreener.com/quote/etf/ISHARES-CORE-CHF-CORPORAT-41712130/</t>
  </si>
  <si>
    <t>41712130</t>
  </si>
  <si>
    <t>https://markets.ft.com/data/etfs/tearsheet/summary?s=CHCORP:SWX:CHF</t>
  </si>
  <si>
    <t>IE00B52MJY50:USD</t>
  </si>
  <si>
    <t>https://www.finanzen.ch/etf/ishares-vii-plc-ishares-core-msci-pac-ex-jpn-etf-ie00b52mjy50</t>
  </si>
  <si>
    <t>https://www.marketscreener.com/quote/etf/ISHARES-CORE-MSCI-PACIFIC-5861322/</t>
  </si>
  <si>
    <t>5861322</t>
  </si>
  <si>
    <t>https://www.blackrock.com/americas-offshore/en/products/253735/</t>
  </si>
  <si>
    <t>IE00B5BMR087:USD</t>
  </si>
  <si>
    <t>https://www.finanzen.ch/etf/ishares-core-sp-500-etf-ie00b5bmr087</t>
  </si>
  <si>
    <t>https://www.marketscreener.com/quote/etf/ISHARES-CORE-S-P-500-UCIT-9276710/</t>
  </si>
  <si>
    <t>9276710</t>
  </si>
  <si>
    <t>https://www.blackrock.com/americas-offshore/en/products/253743/</t>
  </si>
  <si>
    <t>IE00BDFL4P12:USD</t>
  </si>
  <si>
    <t>https://www.finanzen.ch/Fonds/IE00BWK1SP74</t>
  </si>
  <si>
    <t>https://www.marketscreener.com/quote/etf/ISHARES-DIVERSIFIED-COMMO-37199564/</t>
  </si>
  <si>
    <t>37199564</t>
  </si>
  <si>
    <t>https://www.blackrock.com/americas-offshore/en/products/287254/ishares-diversified-commodity-swap-ucits-etf</t>
  </si>
  <si>
    <t>IE00B6QGFW01:CHF</t>
  </si>
  <si>
    <t>https://www.blackrock.com/americas-offshore/en/products/251723/?referrer=tickerSearch</t>
  </si>
  <si>
    <t>https://www.marketscreener.com/quote/etf/ISHARES-EMERGING-ASIA-LOC-13112027/</t>
  </si>
  <si>
    <t>13112027</t>
  </si>
  <si>
    <t>https://markets.ft.com/data/etfs/tearsheet/summary?s=IGEA:SWX:CHF</t>
  </si>
  <si>
    <t>IE00B6QGFW01:EUR</t>
  </si>
  <si>
    <t>https://www.justetf.com/it/etf-profile.html?isin=IE00B6QGFW01</t>
  </si>
  <si>
    <t>IE00B6QGFW01:USD</t>
  </si>
  <si>
    <t>https://www.finanzen.ch/etf/ishares-emerging-asia-local-govt-bond-etf-ie00b6qgfw01/LSE</t>
  </si>
  <si>
    <t>US4642865178:USD</t>
  </si>
  <si>
    <t>https://www.marketscreener.com/quote/etf/ISHARES-EMERGING-MARKETS-29426350/</t>
  </si>
  <si>
    <t>29426350</t>
  </si>
  <si>
    <t>https://markets.ft.com/data/etfs/tearsheet/summary?s=LEMB:PCQ:USD</t>
  </si>
  <si>
    <t>IE00B3DKXQ41:EUR:STU</t>
  </si>
  <si>
    <t>https://www.finanzen.ch/Fonds/IE00B3DKXQ41</t>
  </si>
  <si>
    <t>https://www.marketscreener.com/quote/etf/ISHARES-AGGREGATE-BOND-5132888/</t>
  </si>
  <si>
    <t>5132888</t>
  </si>
  <si>
    <t>https://markets.ft.com/data/etfs/tearsheet/summary?s=IEAG:MIL:EUR</t>
  </si>
  <si>
    <t>IE00B1XNHC34:USD</t>
  </si>
  <si>
    <t>https://www.finanzen.ch/Fonds/IE00B1XNHC34</t>
  </si>
  <si>
    <t>https://www.marketscreener.com/quote/etf/ISHARES-GLOBAL-CLEAN-ENER-44657886/</t>
  </si>
  <si>
    <t>44657886</t>
  </si>
  <si>
    <t>https://markets.ft.com/data/etfs/tearsheet/summary?s=INRG:SWX:USD</t>
  </si>
  <si>
    <t>IE00B988C465:CHF</t>
  </si>
  <si>
    <t>https://www.finanzen.ch/Fonds/IE00B988C465</t>
  </si>
  <si>
    <t>https://www.marketscreener.com/quote/etf/ISHARES-GLOBAL-HIGH-YIELD-41713635/</t>
  </si>
  <si>
    <t>41713635</t>
  </si>
  <si>
    <t>https://markets.ft.com/data/etfs/tearsheet/summary?s=GHYC:SWX:CHF</t>
  </si>
  <si>
    <t>CH0104136236:USD</t>
  </si>
  <si>
    <t>https://www.finanzen.ch/Fonds/CH0104136236</t>
  </si>
  <si>
    <t>https://www.marketscreener.com/quote/etf/ISHARES-GOLD-CH-USD-5634102/</t>
  </si>
  <si>
    <t>5634102</t>
  </si>
  <si>
    <t>https://markets.ft.com/data/etfs/tearsheet/summary?s=CSGOLD:SWX:USD</t>
  </si>
  <si>
    <t>IE00B4L5ZG21:EUR</t>
  </si>
  <si>
    <t>iShares III plc - EUR Corp Bd. ex-Financials UCITS ETF</t>
  </si>
  <si>
    <t>https://www.finanzen.ch/Fonds/IE00B4L5ZG21</t>
  </si>
  <si>
    <t>https://www.marketscreener.com/quote/etf/ISHARES-CORP-BOND-EX-FI-50425025/</t>
  </si>
  <si>
    <t>50425025</t>
  </si>
  <si>
    <t>https://markets.ft.com/data/etfs/tearsheet/summary?s=IEXF:LSE:EUR</t>
  </si>
  <si>
    <t>IE00B4L5YX21:USD</t>
  </si>
  <si>
    <t>IE00B4L5YC18:USD</t>
  </si>
  <si>
    <t>IE000MLMNYS0:USD</t>
  </si>
  <si>
    <t>https://www.finanzen.ch/etf/ishares-sp-500-equal-weight-etf-ie000mlmnys0</t>
  </si>
  <si>
    <t>https://www.marketscreener.com/quote/etf/ISHARES-S-P-500-EQUAL-WEI-148203282/</t>
  </si>
  <si>
    <t>148203282</t>
  </si>
  <si>
    <t>https://www.blackrock.com/americas-offshore/en/products/328658/</t>
  </si>
  <si>
    <t>IE00BZCQB185:USD</t>
  </si>
  <si>
    <t>IE00B2NPKV68:EUR</t>
  </si>
  <si>
    <t>https://www.finanzen.ch/Fonds/IE00B2NPKV68</t>
  </si>
  <si>
    <t>https://www.marketscreener.com/quote/etf/ISHARES-J-P-MORGAN-EM-BON-6845316/</t>
  </si>
  <si>
    <t>6845316</t>
  </si>
  <si>
    <t>https://www.investing.com/etfs/ishares-jp-usd-emerging-mkts-bond?cid=46910</t>
  </si>
  <si>
    <t>DE000A0Q4R85:USD</t>
  </si>
  <si>
    <t>https://www.finanzen.ch/etf/ishares-msci-brazil-etf-de000a0q4r85</t>
  </si>
  <si>
    <t>https://www.marketscreener.com/quote/etf/ISHARES-MSCI-BRAZIL-UCITS-46843322/</t>
  </si>
  <si>
    <t>46843322</t>
  </si>
  <si>
    <t>https://www.blackrock.com/americas-offshore/en/products/304304/</t>
  </si>
  <si>
    <t>IE00BJ5JPG56:USD</t>
  </si>
  <si>
    <t>IE00B8J37J31:CHF</t>
  </si>
  <si>
    <t>https://www.finanzen.ch/Fonds/IE00B8J37J31</t>
  </si>
  <si>
    <t>https://www.marketscreener.com/quote/etf/ISHARES-MSCI-JAPAN-CHF-HE-12069013/</t>
  </si>
  <si>
    <t>12069013</t>
  </si>
  <si>
    <t>https://www.investing.com/etfs/ishares-msci-japan-hedged-chf</t>
  </si>
  <si>
    <t>US46434G7806:USD</t>
  </si>
  <si>
    <t>US46435G3341:USD</t>
  </si>
  <si>
    <t>IE00B53SZB19:USD:LSS</t>
  </si>
  <si>
    <t>https://www.finanzen.ch/Fonds/IE00B53SZB19</t>
  </si>
  <si>
    <t>https://www.marketscreener.com/quote/etf/ISHARES-NASDAQ-100-UCITS--5915785/</t>
  </si>
  <si>
    <t>5915785</t>
  </si>
  <si>
    <t>https://markets.ft.com/data/etfs/tearsheet/summary?s=CSNDX:SWX:USD</t>
  </si>
  <si>
    <t>IE00B0M62X26:EUR</t>
  </si>
  <si>
    <t>https://www.finanzen.ch/Fonds/IE00B0M62X26</t>
  </si>
  <si>
    <t>https://www.marketscreener.com/quote/etf/ISHARES-INFLATION-LINKE-27235/</t>
  </si>
  <si>
    <t>27235</t>
  </si>
  <si>
    <t>https://markets.ft.com/data/etfs/tearsheet/summary?s=IBCI:FRA:EUR</t>
  </si>
  <si>
    <t>IE00B88DZ566:CHF:P</t>
  </si>
  <si>
    <t>https://www.finanzen.ch/Fonds/IE00B88DZ566</t>
  </si>
  <si>
    <t>https://www.marketscreener.com/quote/etf/ISHARES-S-P-500-CHF-HEDGE-12069015/</t>
  </si>
  <si>
    <t>12069015</t>
  </si>
  <si>
    <t>https://markets.ft.com/data/etfs/tearsheet/summary?s=IUSC:SWX:CHF</t>
  </si>
  <si>
    <t>IE00B40B8R38:USD</t>
  </si>
  <si>
    <t>https://www.finanzen.ch/Fonds/IE00B40B8R38</t>
  </si>
  <si>
    <t>https://www.marketscreener.com/quote/etf/ISHARES-S-P-500-CONSUMER-34385006/</t>
  </si>
  <si>
    <t>34385006</t>
  </si>
  <si>
    <t>IE00B3ZW0K18:EUR</t>
  </si>
  <si>
    <t>https://www.finanzen.ch/Fonds/IE00B3ZW0K18</t>
  </si>
  <si>
    <t>https://www.marketscreener.com/quote/etf/ISHARES-S-P-500-EUR-HEDGE-6685460/</t>
  </si>
  <si>
    <t>6685460</t>
  </si>
  <si>
    <t>https://markets.ft.com/data/etfs/tearsheet/summary?s=IUSE:LSE:EUR</t>
  </si>
  <si>
    <t>IE00B4JNQZ49:USD</t>
  </si>
  <si>
    <t>iShares S&amp;P 500 Financials Sector (acc)</t>
  </si>
  <si>
    <t>https://www.finanzen.ch/Fonds/IE00B4JNQZ49</t>
  </si>
  <si>
    <t>https://www.marketscreener.com/quote/etf/ISHARES-S-P-500-FINANCIAL-25012628/</t>
  </si>
  <si>
    <t>25012628</t>
  </si>
  <si>
    <t>IE00B43HR379:USD</t>
  </si>
  <si>
    <t>iShares S&amp;P 500 Health Care Sector (acc)</t>
  </si>
  <si>
    <t>https://www.finanzen.ch/Fonds/IE00B43HR379</t>
  </si>
  <si>
    <t>https://www.marketscreener.com/quote/etf/ISHARES-S-P-500-HEALTH-CA-25012629/</t>
  </si>
  <si>
    <t>25012629</t>
  </si>
  <si>
    <t>IE00B4LN9N13:USD</t>
  </si>
  <si>
    <t>iShares S&amp;P 500 Industrials Sector (acc)</t>
  </si>
  <si>
    <t>https://www.finanzen.ch/Fonds/IE00B4LN9N13</t>
  </si>
  <si>
    <t>35867922</t>
  </si>
  <si>
    <t>IE00B3WJKG14:USD</t>
  </si>
  <si>
    <t>https://www.finanzen.ch/etf/ishares-sp-500-information-technology-sector-etf-ie00b3wjkg14</t>
  </si>
  <si>
    <t>https://www.marketscreener.com/quote/etf/ISHARES-S-P-500-INFORMATI-25012625/</t>
  </si>
  <si>
    <t>25012625</t>
  </si>
  <si>
    <t>https://etf.ft.com/funds/7167/</t>
  </si>
  <si>
    <t>IE00B4MKCJ84:USD</t>
  </si>
  <si>
    <t xml:space="preserve">iShares S&amp;P 500 Materials Sector UCITS ETF USD (Acc) </t>
  </si>
  <si>
    <t>https://www.finanzen.ch/Fonds/IE00B4MKCJ84</t>
  </si>
  <si>
    <t>https://www.marketscreener.com/quote/etf/ISHARES-S-P-500-MATERIALS-35867923/</t>
  </si>
  <si>
    <t>35867923</t>
  </si>
  <si>
    <t>https://etf.ft.com/funds/9124/</t>
  </si>
  <si>
    <t>IE00B4KBBD01:USD</t>
  </si>
  <si>
    <t>iShares S&amp;P 500 Utilities Sector UCITS ETF USD (acc)</t>
  </si>
  <si>
    <t>https://www.finanzen.ch/Fonds/IE00B4KBBD01</t>
  </si>
  <si>
    <t>65337836</t>
  </si>
  <si>
    <t>https://etf.ft.com/funds/9126/</t>
  </si>
  <si>
    <t>IE0008470928:EUR</t>
  </si>
  <si>
    <t>https://www.finanzen.ch/Fonds/IE0008470928</t>
  </si>
  <si>
    <t>https://www.marketscreener.com/quote/etf/ISHARES-STOXX-EUROPE-50-U-27236/</t>
  </si>
  <si>
    <t>27236</t>
  </si>
  <si>
    <t>https://www.investing.com/etfs/ishares-dj-stoxx-50?cid=47072</t>
  </si>
  <si>
    <t>US4642887602:USD</t>
  </si>
  <si>
    <t>US4642875318:USD</t>
  </si>
  <si>
    <t>IE00BK7XZ629:CHF</t>
  </si>
  <si>
    <t>iShares USD Treasury Bond 1-3yr UCITS ETF CHF Hedged (Acc)</t>
  </si>
  <si>
    <t>https://www.marketscreener.com/quote/etf/ISHARES-TREASURY-BOND-1-61838265/</t>
  </si>
  <si>
    <t>61838265</t>
  </si>
  <si>
    <t>https://markets.ft.com/data/etfs/tearsheet/summary?s=IBTC:SWX:CHF</t>
  </si>
  <si>
    <t>IE00B3VWN393:USD:LSS</t>
  </si>
  <si>
    <t>iShares USD Treasury Bond 3-7yr UCITS ETF USD (Acc)</t>
  </si>
  <si>
    <t>https://www.finanzen.ch/Fonds/IE00B3VWN393</t>
  </si>
  <si>
    <t>https://www.marketscreener.com/quote/etf/ISHARES-TREASURY-BOND-3-18126456/</t>
  </si>
  <si>
    <t>18126456</t>
  </si>
  <si>
    <t>https://markets.ft.com/data/etfs/tearsheet/summary?s=CBU7:LSE:USD</t>
  </si>
  <si>
    <t>IE00BK7Y2R57:CHF</t>
  </si>
  <si>
    <t>https://www.marketscreener.com/quote/etf/ISHARES-TREASURY-BOND-7-61838267/</t>
  </si>
  <si>
    <t>61838267</t>
  </si>
  <si>
    <t>https://markets.ft.com/data/etfs/tearsheet/holdings?s=IDTC:SWX:CHF</t>
  </si>
  <si>
    <t>IE00B5L8K969:USD</t>
  </si>
  <si>
    <t>IE00BWK1SP74:CHF</t>
  </si>
  <si>
    <t>https://www.marketscreener.com/quote/etf/ISHARES-MSCI-EMU-CHF-HEDG-23332189/</t>
  </si>
  <si>
    <t>23332189</t>
  </si>
  <si>
    <t>https://markets.ft.com/data/etfs/tearsheet/summary?s=EMUC:SWX:CHF</t>
  </si>
  <si>
    <t>US5007676787:USD</t>
  </si>
  <si>
    <t>https://www.marketscreener.com/quote/etf/KFA-GLOBAL-CARBON-ETF-U-110325209/</t>
  </si>
  <si>
    <t>110325209</t>
  </si>
  <si>
    <t>https://markets.ft.com/data/etfs/tearsheet/summary?s=KRBN:PCQ:USD</t>
  </si>
  <si>
    <t>US5007673065:USD</t>
  </si>
  <si>
    <t>IE00BFXR7892:USD</t>
  </si>
  <si>
    <t>IE00B4WPHX27:USD</t>
  </si>
  <si>
    <t>L&amp;G Longer Dated All Commodities UCITS ETF (COMF)</t>
  </si>
  <si>
    <t>https://www.finanzen.ch/etf/lg-longer-dated-all-commodities-etf-ie00b4wphx27</t>
  </si>
  <si>
    <t>https://www.marketscreener.com/quote/index/ETFS-COMF-INAV-27367197/</t>
  </si>
  <si>
    <t>27367197</t>
  </si>
  <si>
    <t>https://fundcentres.lgim.com/uk/en/fund-centre/ETF/Longer-Dated-All-Commodities/</t>
  </si>
  <si>
    <t>IE00BFXR6159:USD</t>
  </si>
  <si>
    <t>https://www.finanzen.ch/etf/lg-multi-strategy-enhanced-commodities-etf-ie00bfxr6159</t>
  </si>
  <si>
    <t>https://www.marketscreener.com/quote/etf/L-G-MULTI-STRATEGY-ENHANC-124628839/</t>
  </si>
  <si>
    <t>124628839</t>
  </si>
  <si>
    <t>https://fundcentres.lgim.com/uk/en/fund-centre/ETF/Multi-Strategy-Enhanced-Commodities/</t>
  </si>
  <si>
    <t>FR0010435297:USD</t>
  </si>
  <si>
    <t>https://www.finanzen.ch/Fonds/FR0010435297</t>
  </si>
  <si>
    <t>https://www.marketscreener.com/quote/etf/LYXOR-MSCI-EMERGING-MARKE-11931710/</t>
  </si>
  <si>
    <t>11931710</t>
  </si>
  <si>
    <t>https://markets.ft.com/data/etfs/tearsheet/summary?s=LEMD:LSE:USD</t>
  </si>
  <si>
    <t>LU1900068328:EUR</t>
  </si>
  <si>
    <t>https://www.finanzen.ch/Fonds/LU1900068328</t>
  </si>
  <si>
    <t>https://www.marketscreener.com/quote/etf/LYXOR-MSCI-AC-ASIA-PACIFI-55177931/</t>
  </si>
  <si>
    <t>55177931</t>
  </si>
  <si>
    <t>https://markets.ft.com/data/etfs/tearsheet/summary?s=AEJ:PAR:EUR</t>
  </si>
  <si>
    <t>CH0134034864:CHF</t>
  </si>
  <si>
    <t>https://www.finanzen.ch/Fonds/CH0134034864</t>
  </si>
  <si>
    <t>https://www.marketscreener.com/quote/certificate/MULTI-BARRIER-REVERSE-CON-44658214/</t>
  </si>
  <si>
    <t>44658214</t>
  </si>
  <si>
    <t>https://markets.ft.com/data/etfs/tearsheet/summary?s=RGLDOH:SWX:CHF</t>
  </si>
  <si>
    <t>IE00B60SWY32:EUR</t>
  </si>
  <si>
    <t>https://www.finanzen.ch/Fonds/IE00B60SWY32</t>
  </si>
  <si>
    <t>https://www.marketscreener.com/quote/etf/INVESCO-MSCI-EUROPE-UCITS-16816537/</t>
  </si>
  <si>
    <t>16816537</t>
  </si>
  <si>
    <t>https://markets.ft.com/data/etfs/tearsheet/summary?s=SMSEUR:MIL:EUR</t>
  </si>
  <si>
    <t>IE00B6YX5M31:EUR:STU</t>
  </si>
  <si>
    <t>https://www.finanzen.ch/Fonds/IE00B6YX5M31</t>
  </si>
  <si>
    <t>https://www.marketscreener.com/quote/etf/SPDR-BARCLAYS-EURO-HIGH-Y-18750060/</t>
  </si>
  <si>
    <t>18750060</t>
  </si>
  <si>
    <t>https://markets.ft.com/data/etfs/tearsheet/summary?s=JNKE:MIL:EUR</t>
  </si>
  <si>
    <t>IE00BSJCQV56:EUR</t>
  </si>
  <si>
    <t>https://www.finanzen.ch/Fonds/IE00BSJCQV56</t>
  </si>
  <si>
    <t>https://www.marketscreener.com/quote/etf/SPDR-FTSE-EPRA-EUROPE-EX-23332188/</t>
  </si>
  <si>
    <t>23332188</t>
  </si>
  <si>
    <t>https://markets.ft.com/data/etfs/tearsheet/summary?s=ZPRP:GER:EUR</t>
  </si>
  <si>
    <t>US78463V1070:USD:P</t>
  </si>
  <si>
    <t>IE00BKWQ0N82:EUR</t>
  </si>
  <si>
    <t>SPDR MSCI Europe Communication Services UCITS ETF (Acc)</t>
  </si>
  <si>
    <t>https://www.finanzen.ch/etf/spdr-msci-europe-communication-services-etf-ie00bkwq0n82</t>
  </si>
  <si>
    <t>https://www.marketscreener.com/quote/etf/SPDR-MSCI-EUROPE-COMMUNIC-19116477/</t>
  </si>
  <si>
    <t>19116477</t>
  </si>
  <si>
    <t>https://www.ssga.com/ch/en_gb/intermediary/etfs/funds/spdr-msci-europe-communication-services-ucits-etf-stt-fp</t>
  </si>
  <si>
    <t>IE00BKWQ0C77:EUR</t>
  </si>
  <si>
    <t>SPDR MSCI Europe Consumer Discretionary UCITS ETF (Acc)</t>
  </si>
  <si>
    <t>https://www.finanzen.ch/etf/spdr-msci-europe-consumer-discretionary-etf-ie00bkwq0c77</t>
  </si>
  <si>
    <t>https://www.marketscreener.com/quote/etf/SPDR-MSCI-EUROPE-CONSUMER-19116468/</t>
  </si>
  <si>
    <t>19116468</t>
  </si>
  <si>
    <t>https://www.ssga.com/ch/en_gb/intermediary/etfs/funds/spdr-msci-europe-consumer-discretionary-ucits-etf-str-fp</t>
  </si>
  <si>
    <t>IE00BKWQ0D84:EUR</t>
  </si>
  <si>
    <t>SPDR MSCI Europe Consumer Staples UCITS ETF (Acc)</t>
  </si>
  <si>
    <t>https://www.finanzen.ch/etf/spdr-msci-europe-consumer-staples-etf-ie00bkwq0d84</t>
  </si>
  <si>
    <t>https://www.marketscreener.com/quote/etf/SPDR-MSCI-EUROPE-CONSUMER-19116469/</t>
  </si>
  <si>
    <t>19116469</t>
  </si>
  <si>
    <t>https://www.ssga.com/ch/en_gb/intermediary/etfs/funds/spdr-msci-europe-consumer-staples-ucits-etf-sts-fp</t>
  </si>
  <si>
    <t>IE00BKWQ0F09:EUR</t>
  </si>
  <si>
    <t>https://www.finanzen.ch/etf/spdr-msci-europe-energy-etf-ie00bkwq0f09</t>
  </si>
  <si>
    <t>https://www.marketscreener.com/quote/etf/SPDR-MSCI-EUROPE-ENERGY-U-19116470/</t>
  </si>
  <si>
    <t>19116470</t>
  </si>
  <si>
    <t>https://www.ssga.com/ch/en_gb/intermediary/etfs/funds/spdr-msci-europe-energy-ucits-etf-stn-fp</t>
  </si>
  <si>
    <t>IE00BKWQ0G16:EUR</t>
  </si>
  <si>
    <t>https://www.finanzen.ch/etf/spdr-msci-europe-financials-etf-ie00bkwq0g16</t>
  </si>
  <si>
    <t>https://www.marketscreener.com/quote/etf/SPDR-MSCI-EUROPE-FINANCIA-19116471/</t>
  </si>
  <si>
    <t>19116471</t>
  </si>
  <si>
    <t>https://www.ssga.com/ch/en_gb/intermediary/etfs/funds/spdr-msci-europe-financials-ucits-etf-stz-fp</t>
  </si>
  <si>
    <t>IE00BKWQ0H23:EUR</t>
  </si>
  <si>
    <t>SPDR MSCI Europe Health Care UCITS ETF (Acc)</t>
  </si>
  <si>
    <t>https://www.finanzen.ch/etf/spdr-msci-europe-health-care-etf-ie00bkwq0h23</t>
  </si>
  <si>
    <t>https://www.marketscreener.com/quote/etf/SPDR-MSCI-EUROPE-HEALTH-C-19116472/</t>
  </si>
  <si>
    <t>19116472</t>
  </si>
  <si>
    <t>https://www.ssga.com/ch/en_gb/intermediary/etfs/funds/spdr-msci-europe-health-care-ucits-etf-stw-fp</t>
  </si>
  <si>
    <t>IE00BKWQ0J47:EUR</t>
  </si>
  <si>
    <t>SPDR MSCI Europe Industrials UCITS ETF (Acc)</t>
  </si>
  <si>
    <t>https://www.finanzen.ch/etf/spdr-msci-europe-industrials-etf-ie00bkwq0j47</t>
  </si>
  <si>
    <t>https://www.marketscreener.com/quote/etf/SPDR-MSCI-EUROPE-INDUSTRI-19116473/</t>
  </si>
  <si>
    <t>19116473</t>
  </si>
  <si>
    <t>https://www.ssga.com/ch/en_gb/intermediary/etfs/funds/spdr-msci-europe-industrials-ucits-etf-stq-fp</t>
  </si>
  <si>
    <t>IE00BKWQ0L68:EUR</t>
  </si>
  <si>
    <t>SPDR MSCI Europe Materials UCITS ETF (Acc)</t>
  </si>
  <si>
    <t>https://www.finanzen.ch/etf/spdr-msci-europe-materials-etf-ie00bkwq0l68</t>
  </si>
  <si>
    <t>https://www.marketscreener.com/quote/etf/SPDR-MSCI-EUROPE-MATERIAL-19116475/</t>
  </si>
  <si>
    <t>19116475</t>
  </si>
  <si>
    <t>https://www.ssga.com/ch/en_gb/intermediary/etfs/funds/spdr-msci-europe-materials-ucits-etf-stp-fp</t>
  </si>
  <si>
    <t>IE00BKWQ0K51:EUR</t>
  </si>
  <si>
    <t>SPDR MSCI Europe Technology UCITS ETF (Acc)</t>
  </si>
  <si>
    <t>https://www.finanzen.ch/etf/spdr-msci-europe-technology-etf-ie00bkwq0k51</t>
  </si>
  <si>
    <t>https://www.marketscreener.com/quote/etf/SPDR-MSCI-EUROPE-TECHNOLO-19116474/</t>
  </si>
  <si>
    <t>19116474</t>
  </si>
  <si>
    <t>https://www.ssga.com/ch/en_gb/intermediary/etfs/funds/spdr-msci-europe-technology-ucits-etf-stk-fp</t>
  </si>
  <si>
    <t>IE00BKWQ0P07:EUR</t>
  </si>
  <si>
    <t>https://www.finanzen.ch/etf/spdr-msci-europe-utilities-etf-ie00bkwq0p07</t>
  </si>
  <si>
    <t>https://www.marketscreener.com/quote/etf/SPDR-MSCI-EUROPE-UTILITIE-19116478/</t>
  </si>
  <si>
    <t>19116478</t>
  </si>
  <si>
    <t>https://www.ssga.com/ch/en_gb/intermediary/etfs/funds/spdr-msci-europe-utilities-ucits-etf-stu-fp</t>
  </si>
  <si>
    <t>US78462F1030:USD</t>
  </si>
  <si>
    <t>SPDR S&amp;P 500 (SPY)</t>
  </si>
  <si>
    <t>https://www.finanzen.ch/index/s&amp;p_500</t>
  </si>
  <si>
    <t>https://www.marketscreener.com/quote/etf/SPDR-S-P-500-ETF-USD-29424441/</t>
  </si>
  <si>
    <t>29424441</t>
  </si>
  <si>
    <t>https://markets.ft.com/data/etfs/tearsheet/summary?s=SPY:PCQ:USD</t>
  </si>
  <si>
    <t>IE00BFWFPX50:USD</t>
  </si>
  <si>
    <t>https://www.finanzen.ch/Fonds/IE00B4MCHD36</t>
  </si>
  <si>
    <t>https://www.marketscreener.com/quote/etf/THE-COMMUNICATION-SERVICE-44335994/</t>
  </si>
  <si>
    <t>44335994</t>
  </si>
  <si>
    <t>US81369Y8527</t>
  </si>
  <si>
    <t>IE00BWBXM278:USD</t>
  </si>
  <si>
    <t>https://www.finanzen.ch/etf/spdr-sp-us-consumer-discretionary-select-sector-etf-ie00bwbxm278</t>
  </si>
  <si>
    <t>https://www.marketscreener.com/quote/etf/THE-CONSUMER-DISCRETIONAR-29424452/</t>
  </si>
  <si>
    <t>29424452</t>
  </si>
  <si>
    <t>https://www.ssga.com/ch/en_gb/intermediary/etfs/funds/spdr-sp-us-consumer-discretionary-select-sector-ucits-etf-acc-zpdd-gy</t>
  </si>
  <si>
    <t>IE00BWBXM385:USD</t>
  </si>
  <si>
    <t>SPDR S&amp;P US Consumer Staples UCITS ETF (Acc)</t>
  </si>
  <si>
    <t>https://www.finanzen.ch/etf/spdr-sp-us-consumer-staples-select-sector-etf-ie00bwbxm385</t>
  </si>
  <si>
    <t>https://www.marketscreener.com/quote/etf/THE-CONSUMER-STAPLES-SELE-29424451/</t>
  </si>
  <si>
    <t>29424451</t>
  </si>
  <si>
    <t>https://www.ssga.com/ch/en_gb/intermediary/etfs/funds/spdr-sp-us-consumer-staples-select-sector-ucits-etf-acc-zpds-gy</t>
  </si>
  <si>
    <t>IE00BWBXM492:USD</t>
  </si>
  <si>
    <t>SPDR S&amp;P US Energy UCITS ETF (Acc)</t>
  </si>
  <si>
    <t>https://www.finanzen.ch/etf/spdr-sp-us-energy-select-sector-etf-ie00bwbxm492</t>
  </si>
  <si>
    <t>https://www.marketscreener.com/quote/etf/THE-ENERGY-SELECT-SECTOR--29424453/</t>
  </si>
  <si>
    <t>29424453</t>
  </si>
  <si>
    <t>https://www.ssga.com/ch/en_gb/intermediary/etfs/funds/spdr-sp-us-energy-select-sector-ucits-etf-acc-zpde-gy</t>
  </si>
  <si>
    <t>IE00BWBXM500:USD</t>
  </si>
  <si>
    <t>https://www.finanzen.ch/etf/spdr-sp-us-financials-select-sector-etf-ie00bwbxm500</t>
  </si>
  <si>
    <t>https://www.marketscreener.com/quote/etf/THE-FINANCIAL-SELECT-SECT-29424447/</t>
  </si>
  <si>
    <t>29424447</t>
  </si>
  <si>
    <t>https://www.ssga.com/ch/en_gb/intermediary/etfs/funds/spdr-sp-us-financials-select-sector-ucits-etf-acc-zpdf-gy</t>
  </si>
  <si>
    <t>IE00BWBXM617:USD</t>
  </si>
  <si>
    <t>https://www.finanzen.ch/etf/spdr-sp-us-health-care-select-sector-etf-ie00bwbxm617</t>
  </si>
  <si>
    <t>https://www.marketscreener.com/quote/etf/THE-HEALTH-CARE-SELECT-SE-29424449/</t>
  </si>
  <si>
    <t>29424449</t>
  </si>
  <si>
    <t>https://www.ssga.com/ch/en_gb/intermediary/etfs/funds/spdr-sp-us-health-care-select-sector-ucits-etf-acc-zpdh-gy</t>
  </si>
  <si>
    <t>IE00BWBXM724:USD</t>
  </si>
  <si>
    <t>https://www.finanzen.ch/etf/spdr-sp-us-industrials-select-sector-etf-ie00bwbxm724</t>
  </si>
  <si>
    <t>https://www.marketscreener.com/quote/etf/THE-INDUSTRIAL-SELECT-SEC-29424454/</t>
  </si>
  <si>
    <t>29424454</t>
  </si>
  <si>
    <t>https://www.ssga.com/ch/en_gb/intermediary/etfs/funds/spdr-sp-us-industrials-select-sector-ucits-etf-acc-zpdi-gy</t>
  </si>
  <si>
    <t>IE00BWBXM831:USD</t>
  </si>
  <si>
    <t>SPDR S&amp;P US Materials UCITS ETF (Acc)</t>
  </si>
  <si>
    <t>https://www.finanzen.ch/etf/spdr-sp-us-materials-select-sector-etf-ie00bwbxm831</t>
  </si>
  <si>
    <t>https://www.marketscreener.com/quote/etf/THE-MATERIALS-SELECT-SECT-29424450/</t>
  </si>
  <si>
    <t>https://www.ssga.com/ch/en_gb/intermediary/etfs/funds/spdr-sp-us-materials-select-sector-ucits-etf-acc-zpdm-gy</t>
  </si>
  <si>
    <t>IE00BWBXM948:USD</t>
  </si>
  <si>
    <t>https://www.finanzen.ch/etf/spdr-sp-us-technology-select-sector-etf-ie00bwbxm948</t>
  </si>
  <si>
    <t>https://www.marketscreener.com/quote/etf/THE-TECHNOLOGY-SELECT-SEC-29424448/</t>
  </si>
  <si>
    <t>29424448</t>
  </si>
  <si>
    <t>https://www.ssga.com/ch/en_gb/intermediary/etfs/funds/spdr-sp-us-technology-select-sector-ucits-etf-acc-zpdt-gy</t>
  </si>
  <si>
    <t>IE00BWBXM948:EUR</t>
  </si>
  <si>
    <t>IE00BWBXMB69:USD</t>
  </si>
  <si>
    <t>SPDR S&amp;P US Utilities UCITS ETF (Acc)</t>
  </si>
  <si>
    <t>https://www.finanzen.ch/etf/spdr-sp-us-utilities-select-sector-etf-ie00bwbxmb69</t>
  </si>
  <si>
    <t>https://www.marketscreener.com/quote/etf/THE-UTILITIES-SELECT-SECT-29424455/</t>
  </si>
  <si>
    <t>29424455</t>
  </si>
  <si>
    <t>https://www.ssga.com/ch/en_gb/intermediary/etfs/funds/spdr-sp-us-utilities-select-sector-ucits-etf-acc-zpdu-gy</t>
  </si>
  <si>
    <t>US81369Y8527:USD:P</t>
  </si>
  <si>
    <t>https://www.ssga.com/us/en/intermediary/etfs/funds/the-communication-services-select-sector-spdr-fund-xlc</t>
  </si>
  <si>
    <t>US81369Y4070:USD</t>
  </si>
  <si>
    <t>https://www.ssga.com/us/en/intermediary/etfs/funds/the-consumer-discretionary-select-sector-spdr-fund-xly</t>
  </si>
  <si>
    <t>US81369Y3080:USD</t>
  </si>
  <si>
    <t>https://www.ssga.com/us/en/intermediary/etfs/funds/the-consumer-staples-select-sector-spdr-fund-xlp</t>
  </si>
  <si>
    <t>US81369Y5069:USD</t>
  </si>
  <si>
    <t>SPDR US Energy Select Sector (XLE)</t>
  </si>
  <si>
    <t>https://www.ssga.com/us/en/intermediary/etfs/funds/the-energy-select-sector-spdr-fund-xle</t>
  </si>
  <si>
    <t>US81369Y6059:USD</t>
  </si>
  <si>
    <t>https://www.ssga.com/us/en/intermediary/etfs/funds/the-financial-select-sector-spdr-fund-xlf</t>
  </si>
  <si>
    <t>US81369Y2090:USD</t>
  </si>
  <si>
    <t>https://www.ssga.com/us/en/intermediary/etfs/funds/the-health-care-select-sector-spdr-fund-xlv</t>
  </si>
  <si>
    <t>US81369Y7040:USD</t>
  </si>
  <si>
    <t>https://www.ssga.com/us/en/intermediary/etfs/funds/the-industrial-select-sector-spdr-fund-xli</t>
  </si>
  <si>
    <t>US81369Y1001:USD</t>
  </si>
  <si>
    <t>US81369Y8600:USD</t>
  </si>
  <si>
    <t>29427416</t>
  </si>
  <si>
    <t>https://www.ssga.com/us/en/intermediary/etfs/funds/the-real-estate-select-sector-spdr-fund-xlre</t>
  </si>
  <si>
    <t>US81369Y8030:USD</t>
  </si>
  <si>
    <t>https://www.ssga.com/us/en/intermediary/etfs/funds/the-technology-select-sector-spdr-fund-xlk</t>
  </si>
  <si>
    <t>US81369Y8865:USD</t>
  </si>
  <si>
    <t>https://www.ssga.com/us/en/intermediary/etfs/funds/the-utilities-select-sector-spdr-fund-xlu</t>
  </si>
  <si>
    <t>IE00B53H0131:USD</t>
  </si>
  <si>
    <t>IE00BD4TYG73:EUR</t>
  </si>
  <si>
    <t>https://www.finanzen.ch/Fonds/IE00BD4TYG73</t>
  </si>
  <si>
    <t>https://www.marketscreener.com/quote/etf/UBS-IRL-ETF-PLC-MSCI-41713598/</t>
  </si>
  <si>
    <t>41713598</t>
  </si>
  <si>
    <t>https://markets.ft.com/data/etfs/tearsheet/summary?s=USEUWH/EU:SWX:EUR</t>
  </si>
  <si>
    <t>IE00BD4TYL27:CHF</t>
  </si>
  <si>
    <t>https://www.finanzen.ch/Fonds/IE00BD4TYL27</t>
  </si>
  <si>
    <t>https://www.marketscreener.com/quote/etf/UBS-IRL-ETF-PLC-MSCI-15061740/</t>
  </si>
  <si>
    <t>15061740</t>
  </si>
  <si>
    <t>https://markets.ft.com/data/etfs/tearsheet/summary?s=USCHWH:SWX:CHF</t>
  </si>
  <si>
    <t>LU1589327680:CHF</t>
  </si>
  <si>
    <t>36494209,4,1</t>
  </si>
  <si>
    <t>UBS ETF - MSCI Europe UCITS ETF - (hedged to CHF) A-acc</t>
  </si>
  <si>
    <t>https://www.finanzen.ch/Fonds/LU1589327680</t>
  </si>
  <si>
    <t>https://www.marketscreener.com/quote/etf/UBS-ETF-LU-MSCI-EUROPE-35961059/</t>
  </si>
  <si>
    <t>35961059</t>
  </si>
  <si>
    <t>https://markets.ft.com/data/etfs/tearsheet/summary?s=EURCHA:SWX:CHF</t>
  </si>
  <si>
    <t>LU1600334798:EUR:P</t>
  </si>
  <si>
    <t>UBS ETF - MSCI Europe UCITS ETF - (hedged to EUR) A-acc</t>
  </si>
  <si>
    <t>https://www.finanzen.ch/Fonds/LU1600334798</t>
  </si>
  <si>
    <t>https://www.marketscreener.com/quote/etf/UBS-ETF-LU-MSCI-EUROPE-112013635/</t>
  </si>
  <si>
    <t>112013635</t>
  </si>
  <si>
    <t>https://markets.ft.com/data/etfs/tearsheet/summary?s=EUEUA:MIL:EUR</t>
  </si>
  <si>
    <t>LU0446734104:EUR</t>
  </si>
  <si>
    <t>https://www.finanzen.ch/Fonds/LU0446734104</t>
  </si>
  <si>
    <t>https://www.marketscreener.com/quote/etf/UBS-ETF-MSCI-EUROPE-UCI-25983818/</t>
  </si>
  <si>
    <t>25983818</t>
  </si>
  <si>
    <t>https://www.investing.com/etfs/ubs-etf-msci-europe-de?cid=47231</t>
  </si>
  <si>
    <t>LU1169822266:EUR</t>
  </si>
  <si>
    <t>https://www.finanzen.ch/Fonds/LU1169822266</t>
  </si>
  <si>
    <t>121652239</t>
  </si>
  <si>
    <t>https://markets.ft.com/data/etfs/tearsheet/summary?s=JPNE:MIL:EUR</t>
  </si>
  <si>
    <t>LU1169821888:CHF</t>
  </si>
  <si>
    <t>26751433,4,1</t>
  </si>
  <si>
    <t>https://www.finanzen.ch/Fonds/LU1169821888</t>
  </si>
  <si>
    <t>https://www.marketscreener.com/quote/etf/UBS-ETF-MSCI-JAPAN-UCIT-109048102/</t>
  </si>
  <si>
    <t>109048102</t>
  </si>
  <si>
    <t>https://markets.ft.com/data/etfs/tearsheet/historical?s=JPNCHF:SWX:CHF</t>
  </si>
  <si>
    <t>LU1169830103:EUR</t>
  </si>
  <si>
    <t>26688077,351,814</t>
  </si>
  <si>
    <t>https://www.finanzen.ch/Fonds/LU1169830103</t>
  </si>
  <si>
    <t>https://www.marketscreener.com/quote/etf/UBS-ETF-MSCI-SWITZERLAN-109048107/</t>
  </si>
  <si>
    <t>109048107</t>
  </si>
  <si>
    <t>https://markets.ft.com/data/etfs/tearsheet/summary?s=CHEUR/EU:SWX:EUR</t>
  </si>
  <si>
    <t>LU1169820997:CHF:P</t>
  </si>
  <si>
    <t>26749332,4,1</t>
  </si>
  <si>
    <t>https://www.finanzen.ch/Fonds/LU1169820997</t>
  </si>
  <si>
    <t>https://www.marketscreener.com/quote/etf/UBS-ETF-MSCI-UNITED-KIN-109048110/</t>
  </si>
  <si>
    <t>109048110</t>
  </si>
  <si>
    <t>https://markets.ft.com/data/etfs/tearsheet/summary?s=UKCHF:SWX:CHF</t>
  </si>
  <si>
    <t>IE00BYNQMK61:EUR</t>
  </si>
  <si>
    <t>https://www.finanzen.ch/Fonds/LU0950671239</t>
  </si>
  <si>
    <t>https://www.marketscreener.com/quote/etf/UBS-ETF-MSCI-UNITED-KINGD-113036945/</t>
  </si>
  <si>
    <t>113036945</t>
  </si>
  <si>
    <t>https://markets.ft.com/data/etfs/tearsheet/summary?s=UKEUBH/EU:SWX:EUR</t>
  </si>
  <si>
    <t>LU0950670850:GBP</t>
  </si>
  <si>
    <t>https://www.finanzen.ch/Fonds/LU0950670850</t>
  </si>
  <si>
    <t>https://www.marketscreener.com/quote/etf/UBS-ETF-MSCI-UNITED-KIN-41713411/</t>
  </si>
  <si>
    <t>41713411</t>
  </si>
  <si>
    <t>https://markets.ft.com/data/etfs/tearsheet/summary?s=UC64:LSE:GBX</t>
  </si>
  <si>
    <t>CH0106027193:USD</t>
  </si>
  <si>
    <t>https://www.finanzen.ch/Fonds/CH0106027193</t>
  </si>
  <si>
    <t>https://www.marketscreener.com/quote/etf/UBS-ETF-CH-GOLD-A-DIS-30339648/</t>
  </si>
  <si>
    <t>30339648</t>
  </si>
  <si>
    <t>https://markets.ft.com/data/etfs/tearsheet/summary?s=AUUSI/US:SWX:USD</t>
  </si>
  <si>
    <t>CH0106027128:CHF</t>
  </si>
  <si>
    <t>https://www.finanzen.ch/Fonds/CH0106027128</t>
  </si>
  <si>
    <t>https://www.marketscreener.com/quote/etf/UBS-ETF-CH-GOLD-CHF-5833416/</t>
  </si>
  <si>
    <t>5833416</t>
  </si>
  <si>
    <t>https://markets.ft.com/data/etfs/tearsheet/summary?s=AUCHAH:SWX:CHF</t>
  </si>
  <si>
    <t>CH0106027144:EUR</t>
  </si>
  <si>
    <t>https://www.finanzen.ch/Fonds/CH0106027144</t>
  </si>
  <si>
    <t>https://www.marketscreener.com/quote/etf/UBS-ETF-CH-GOLD-EUR-H-5924211/</t>
  </si>
  <si>
    <t>5924211</t>
  </si>
  <si>
    <t>https://markets.ft.com/data/etfs/tearsheet/summary?s=AUEUAH:SWX:EUR</t>
  </si>
  <si>
    <t>CH0017142719:CHF</t>
  </si>
  <si>
    <t>https://www.finanzen.ch/Fonds/CH0017142719</t>
  </si>
  <si>
    <t>https://www.marketscreener.com/quote/etf/UBS-ETF-CH-SMI-A-DIS-33295921/</t>
  </si>
  <si>
    <t>33295921</t>
  </si>
  <si>
    <t>https://markets.ft.com/data/etfs/tearsheet/summary?s=SMICHA:SWX:CHF</t>
  </si>
  <si>
    <t>CH0111762537:CHF</t>
  </si>
  <si>
    <t>https://www.finanzen.ch/etf/ubs-etf-ch-smim-a-ch0111762537</t>
  </si>
  <si>
    <t>https://www.marketscreener.com/quote/etf/UBS-ETF-CH-SMIM-A-DIS-6123644/</t>
  </si>
  <si>
    <t>6123644</t>
  </si>
  <si>
    <t>https://markets.ft.com/data/etfs/tearsheet/summary?s=SMMCHA:SWX:CHF</t>
  </si>
  <si>
    <t>CH0131872431:CHF:P</t>
  </si>
  <si>
    <t>https://www.finanzen.ch/Fonds/CH0131872431</t>
  </si>
  <si>
    <t>https://www.marketscreener.com/quote/etf/UBS-ETF-CH-SPI-A-DIS-8445012/</t>
  </si>
  <si>
    <t>8445012</t>
  </si>
  <si>
    <t>https://markets.ft.com/data/etfs/tearsheet/summary?s=SPICHA:SWX:CHF</t>
  </si>
  <si>
    <t>US92189F6768:USD</t>
  </si>
  <si>
    <t>IE00BMC38736:USD</t>
  </si>
  <si>
    <t>US9229085538:USD</t>
  </si>
  <si>
    <t>LU1399300455:EUR</t>
  </si>
  <si>
    <t>https://www.finanzen.ch/Fonds/LU1399300455</t>
  </si>
  <si>
    <t>https://www.marketscreener.com/quote/etf/XTRACKERS-II-US-TREASURIE-40495252/</t>
  </si>
  <si>
    <t>40495252</t>
  </si>
  <si>
    <t>https://markets.ft.com/data/etfs/tearsheet/summary?s=XUTE:GER:EUR</t>
  </si>
  <si>
    <t>CH0047533549:USD</t>
  </si>
  <si>
    <t>CH0139101601:CHF</t>
  </si>
  <si>
    <t>https://www.finanzen.ch/Fonds/CH0044781232</t>
  </si>
  <si>
    <t>https://www.marketscreener.com/quote/etf/SWISSCANTO-PRECIOUS-METAL-4206181/</t>
  </si>
  <si>
    <t>4206181</t>
  </si>
  <si>
    <t>https://www.investing.com/etfs/julius-baer-physical-gold-chf</t>
  </si>
  <si>
    <t>CH0183136057:CHF</t>
  </si>
  <si>
    <t>https://www.finanzen.ch/Fonds/CH0183136057</t>
  </si>
  <si>
    <t>https://www.marketscreener.com/quote/etf/ZKB-PLATINUM-ETF-AA-CHF-10532113/</t>
  </si>
  <si>
    <t>10532113</t>
  </si>
  <si>
    <t>https://www.investing.com/etfs/zkb-platinum-aa-chf</t>
  </si>
  <si>
    <t>CH0183136008:USD</t>
  </si>
  <si>
    <t>https://www.finanzen.ch/Fonds/CH0183136008</t>
  </si>
  <si>
    <t>https://www.marketscreener.com/quote/fund/ZKB-SILVER-ETF-USD-DIS-10547423/</t>
  </si>
  <si>
    <t>10547423</t>
  </si>
  <si>
    <t>https://www.investing.com/etfs/zkb-silver-aa-usd</t>
  </si>
  <si>
    <t>LU0566486402:EUR</t>
  </si>
  <si>
    <t>https://www.finanzen.ch/etp/aberdeen-standard-i-asia-pacific-sustainable-equity-fund-a-lu0566486402</t>
  </si>
  <si>
    <t>https://www.marketscreener.com/quote/fund/AS-SICAV-I-ASIA-PAC-EQ-A-103243395/</t>
  </si>
  <si>
    <t>103243395</t>
  </si>
  <si>
    <t>https://markets.ft.com/data/funds/tearsheet/summary?s=LU0566486402:EUR</t>
  </si>
  <si>
    <t>LU0627757692:CHF</t>
  </si>
  <si>
    <t>LU0623004180:CHF</t>
  </si>
  <si>
    <t>13040599,3233,1</t>
  </si>
  <si>
    <t>https://www.finanzen.ch/fonds/blackrock-global-funds-emerging-markets-local-currency-bond-fund-lu0623004180</t>
  </si>
  <si>
    <t>103244034</t>
  </si>
  <si>
    <t>https://markets.ft.com/data/funds/tearsheet/summary?s=LU0623004180:CHF</t>
  </si>
  <si>
    <t>LU0359002093:EUR</t>
  </si>
  <si>
    <t>4234028,3230,814</t>
  </si>
  <si>
    <t>BlackRock BGF - Emerging Markets Local Currency Bond Fund - BGF A (hedged EUR)</t>
  </si>
  <si>
    <t>https://www.finanzen.ch/Fonds/LU0359002093</t>
  </si>
  <si>
    <t>https://www.marketscreener.com/quote/fund/BGF-EMERGING-MARKETS-LCL-103239762/</t>
  </si>
  <si>
    <t>103239762</t>
  </si>
  <si>
    <t>https://markets.ft.com/data/funds/tearsheet/summary?s=LU0359002093:EUR</t>
  </si>
  <si>
    <t>LU0692855462:EUR</t>
  </si>
  <si>
    <t>https://www.finanzen.ch/Fonds/LU0692855462</t>
  </si>
  <si>
    <t>https://www.marketscreener.com/quote/fund/BGF-WORLD-BOND-X2-EUR-HED-103245465/</t>
  </si>
  <si>
    <t>103245465</t>
  </si>
  <si>
    <t>https://markets.ft.com/data/funds/tearsheet/summary?s=LU0692855462:EUR</t>
  </si>
  <si>
    <t>LU0549537040:EUR</t>
  </si>
  <si>
    <t>https://www.finanzen.ch/Fonds/LU0549537040</t>
  </si>
  <si>
    <t>https://www.marketscreener.com/quote/fund/BLUEBAY-INV-GRD-EURO-GOVT-103250133/</t>
  </si>
  <si>
    <t>103250133</t>
  </si>
  <si>
    <t>https://markets.ft.com/data/funds/tearsheet/summary?s=LU0549537040:EUR</t>
  </si>
  <si>
    <t>LU0985871440:EUR</t>
  </si>
  <si>
    <t>https://www.onvista.de/fonds/CREDIT-SUISSE-INDEX-FUND-LUX-EQUITIES-PACIFIC-EX-JAPAN-DB-EUR-Fonds-LU0985871440</t>
  </si>
  <si>
    <t>https://www.marketscreener.com/quote/fund/CSIF-LUX-EQUITY-PACIFIC-32672313/</t>
  </si>
  <si>
    <t>32672313</t>
  </si>
  <si>
    <t>LU0346390940:USD</t>
  </si>
  <si>
    <t>https://www.finanzen.ch/Fonds/LU0346390940</t>
  </si>
  <si>
    <t>https://www.marketscreener.com/quote/fund/FIDELITY-EM-MKTS-Y-ACC-US-41561930/</t>
  </si>
  <si>
    <t>41561930</t>
  </si>
  <si>
    <t>https://markets.ft.com/data/funds/tearsheet/summary?s=LU0346390940:USD</t>
  </si>
  <si>
    <t>LU0922334643:EUR</t>
  </si>
  <si>
    <t>21363489,3230,814</t>
  </si>
  <si>
    <t>https://www.finanzen.ch/Fonds/LU0922334643</t>
  </si>
  <si>
    <t>https://www.marketscreener.com/quote/fund/FIDELITY-NORDIC-A-ACC-EUR-103248635/</t>
  </si>
  <si>
    <t>103248635</t>
  </si>
  <si>
    <t>https://markets.ft.com/data/funds/tearsheet/summary?s=LU0922334643:EUR</t>
  </si>
  <si>
    <t>LU1711971983:EUR</t>
  </si>
  <si>
    <t>https://www.finanzen.ch/Fonds/LU1711971983</t>
  </si>
  <si>
    <t>https://www.marketscreener.com/quote/fund/FIDELITY-NORDIC-Y-ACC-EUR-41583110/</t>
  </si>
  <si>
    <t>41583110</t>
  </si>
  <si>
    <t>https://markets.ft.com/data/funds/tearsheet/summary?s=LU1711971983:EUR</t>
  </si>
  <si>
    <t>LU0972649379:CHF</t>
  </si>
  <si>
    <t>22352865,3233,1</t>
  </si>
  <si>
    <t>GS - Global High Yield Bonds - R CHF-Hedged (Acc)</t>
  </si>
  <si>
    <t>LU1255011410:EUR</t>
  </si>
  <si>
    <t>LU0512127977:USD</t>
  </si>
  <si>
    <t>LI0025109658:USD</t>
  </si>
  <si>
    <t>Mistral Value Fund P - USD</t>
  </si>
  <si>
    <t>IE00BJ847509:CHF</t>
  </si>
  <si>
    <t>51316555,3233,1</t>
  </si>
  <si>
    <t>Muzinich - Enhancedyield Short-Term Fund - A1 - CHF Hedged (Acc)</t>
  </si>
  <si>
    <t>IE00B92LSQ52:CHF</t>
  </si>
  <si>
    <t>21348322,3233,1</t>
  </si>
  <si>
    <t>https://www.finanzen.ch/fonds/muzinich-enhancedyield-short-term-fund-a-units-ie00b92lsq52</t>
  </si>
  <si>
    <t>https://www.marketscreener.com/quote/fund/MUZINICH-ENHANCEDYIELD-S-41572165/</t>
  </si>
  <si>
    <t>41572165</t>
  </si>
  <si>
    <t>https://markets.ft.com/data/funds/tearsheet/summary?s=IE00B92LSQ52:CHF</t>
  </si>
  <si>
    <t>LU0407233740:EUR</t>
  </si>
  <si>
    <t>https://www.finanzen.ch/Fonds/LU0407233740</t>
  </si>
  <si>
    <t>https://www.marketscreener.com/quote/fund/PICTET-EMERGING-MARKETS-H-103241100/</t>
  </si>
  <si>
    <t>103241100</t>
  </si>
  <si>
    <t>https://markets.ft.com/data/funds/tearsheet/summary?s=LU0407233740:EUR</t>
  </si>
  <si>
    <t>IE00B88G6526:EUR</t>
  </si>
  <si>
    <t>20031577,3230,814</t>
  </si>
  <si>
    <t>https://www.finanzen.ch/Fonds/IE00B88G6526</t>
  </si>
  <si>
    <t>https://www.marketscreener.com/quote/fund/PIMCO-GIS-GLB-BD-R-EUR-HE-12635301/</t>
  </si>
  <si>
    <t>12635301</t>
  </si>
  <si>
    <t>https://markets.ft.com/data/funds/tearsheet/summary?s=IE00B88G6526:EUR</t>
  </si>
  <si>
    <t>IE00BKPWG137:CHF</t>
  </si>
  <si>
    <t>49473281,3233,1</t>
  </si>
  <si>
    <t>Polar Capital Japan Value Fund - S - CHF (Dist)</t>
  </si>
  <si>
    <t>LU2128486979:USD</t>
  </si>
  <si>
    <t>https://www.teletrader.com/redwheel-next-gen-em-equity-fd-ja/funds/profile/FU_100095675</t>
  </si>
  <si>
    <t>LU0821169405:CHF</t>
  </si>
  <si>
    <t>19336939,3233,1</t>
  </si>
  <si>
    <t>https://www.finanzen.ch/Fonds/LU0821169405</t>
  </si>
  <si>
    <t>https://www.fundinfo.com/it/CH-prof/Fund#OFST020000=LU0821169405</t>
  </si>
  <si>
    <t>LU2819789186:CHF:P</t>
  </si>
  <si>
    <t>Robeco QI Global Dynamic Duration FH CHF Hedged</t>
  </si>
  <si>
    <t>LU2819788709:EUR:P</t>
  </si>
  <si>
    <t>LU1309082177:CHF</t>
  </si>
  <si>
    <t>30229186,3233,1</t>
  </si>
  <si>
    <t>LU2373031488:EUR</t>
  </si>
  <si>
    <t>https://markets.ft.com/data/funds/tearsheet/summary?s=LU2373031488:EUR</t>
  </si>
  <si>
    <t>LU0390135332:USD</t>
  </si>
  <si>
    <t>https://www.finanzen.ch/fonds/templeton-asian-smaller-companies-fund-a-lu0390135332</t>
  </si>
  <si>
    <t>https://www.marketscreener.com/quote/fund/TEMPLETON-ASIAN-SMLR-COMS-41562610/</t>
  </si>
  <si>
    <t>41562610</t>
  </si>
  <si>
    <t>https://www.franklintempleton.lu/our-funds/price-and-performance/products/12898/Z/templeton-asian-smaller-companies-fund/LU0390135332</t>
  </si>
  <si>
    <t>LU0390136223:USD</t>
  </si>
  <si>
    <t>https://www.finanzen.ch/Fonds/LU0390136223</t>
  </si>
  <si>
    <t>https://markets.ft.com/data/funds/tearsheet/summary?s=LU0390136223:USD</t>
  </si>
  <si>
    <t>CH0502155648:CHF</t>
  </si>
  <si>
    <t>50215564,3233,1</t>
  </si>
  <si>
    <t>LU1953056766:CHF</t>
  </si>
  <si>
    <t>46424244,3233,1</t>
  </si>
  <si>
    <t>https://www.finanzen.ch/Fonds/LU1953056766</t>
  </si>
  <si>
    <t>https://markets.ft.com/data/funds/tearsheet/summary?s=LU1953056766:CHF</t>
  </si>
  <si>
    <t>LU0071006638:CHF</t>
  </si>
  <si>
    <t>529250,3233,1</t>
  </si>
  <si>
    <t>https://www.finanzen.ch/Fonds/LU0071006638</t>
  </si>
  <si>
    <t>https://markets.ft.com/data/funds/tearsheet/summary?s=LU0071006638:CHF</t>
  </si>
  <si>
    <t>LU1240788148:CHF</t>
  </si>
  <si>
    <t>28364651,3233,1</t>
  </si>
  <si>
    <t>LU1240780590:CHF</t>
  </si>
  <si>
    <t>UBS Equity Greater China - CHF hedged - Q (Acc)</t>
  </si>
  <si>
    <t>LU2049072007:CHF</t>
  </si>
  <si>
    <t>49729495,3233,1</t>
  </si>
  <si>
    <t>CH0560899525:CHF</t>
  </si>
  <si>
    <t>56089952,3233,1</t>
  </si>
  <si>
    <t>CH0500707168:CHF</t>
  </si>
  <si>
    <t>50070716,3233,1</t>
  </si>
  <si>
    <t>LU2049086726:CHF</t>
  </si>
  <si>
    <t>49729577,3233,1</t>
  </si>
  <si>
    <t>GB00B15KYH63:USD:LSS</t>
  </si>
  <si>
    <t>https://www.finanzen.ch/Fonds/GB00B15KYH63</t>
  </si>
  <si>
    <t>https://www.marketscreener.com/quote/etf/WISDOMTREE-AGRICULTURE-193118/</t>
  </si>
  <si>
    <t>193118</t>
  </si>
  <si>
    <t>https://www.investing.com/etfs/etfs-agriculture-dj-aigci</t>
  </si>
  <si>
    <t>GB00B15KYB02:USD:LSS</t>
  </si>
  <si>
    <t>https://www.finanzen.ch/Fonds/GB00B15KYB02</t>
  </si>
  <si>
    <t>https://www.marketscreener.com/quote/etf/WISDOMTREE-ENERGY-USD-4006389/</t>
  </si>
  <si>
    <t>4006389</t>
  </si>
  <si>
    <t>https://www.etfsecurities.com/institutional/it/it-it/prodotti/product/etfs-energy-aige-borsa-italiana</t>
  </si>
  <si>
    <t>GB00B15KYG56:USD:LSS</t>
  </si>
  <si>
    <t>https://www.finanzen.ch/Fonds/GB00B15KYG56</t>
  </si>
  <si>
    <t>https://www.marketscreener.com/quote/etf/WISDOMTREE-INDUSTRIAL-MET-4006391/</t>
  </si>
  <si>
    <t>4006391</t>
  </si>
  <si>
    <t>https://www.etfsecurities.com/institutional/it/it-it/prodotti/product/etfs-industrial-metals-aigi-borsa-italiana</t>
  </si>
  <si>
    <t>JE00B1VS3770:USD:LSS</t>
  </si>
  <si>
    <t>https://www.finanzen.ch/Fonds/JE00B1VS3770</t>
  </si>
  <si>
    <t>https://www.marketscreener.com/quote/etf/WISDOMTREE-PHYSICAL-GOLD-40023345/</t>
  </si>
  <si>
    <t>40023345</t>
  </si>
  <si>
    <t>https://markets.ft.com/data/etfs/tearsheet/summary?s=PHAU:LSE:USD</t>
  </si>
  <si>
    <t>US822582BD31:USD</t>
  </si>
  <si>
    <t>CH0479222066:CHF</t>
  </si>
  <si>
    <t>US56167N7205:USD</t>
  </si>
  <si>
    <t>CH0043238366:CHF</t>
  </si>
  <si>
    <t>ES0105046009:EUR</t>
  </si>
  <si>
    <t>https://www.marketscreener.com/quote/stock/AENA-S-M-E-S-A-20798509/</t>
  </si>
  <si>
    <t>20798509</t>
  </si>
  <si>
    <t>CH0320712596:CHF</t>
  </si>
  <si>
    <t>CH0286138877:CHF</t>
  </si>
  <si>
    <t>DE000C7PK7Y8:CHF</t>
  </si>
  <si>
    <t>EUR/CHF Futures 17.03.2025 (100K EUR)</t>
  </si>
  <si>
    <t>DE000C7PK745:CHF</t>
  </si>
  <si>
    <t>USD/CHF Futures 17.03.2025 (100K USD)</t>
  </si>
  <si>
    <t>CH0012221716:CHF</t>
  </si>
  <si>
    <t>https://www.finanzen.ch/aktien/abb-aktie</t>
  </si>
  <si>
    <t>https://www.marketscreener.com/quote/stock/ABB-LTD-9365000/</t>
  </si>
  <si>
    <t>9365000</t>
  </si>
  <si>
    <t>US00287Y1091:USD</t>
  </si>
  <si>
    <t>https://www.finanzen.ch/aktien/abbvie-aktie</t>
  </si>
  <si>
    <t>https://www.marketscreener.com/quote/stock/ABBVIE-INC-12136589/</t>
  </si>
  <si>
    <t>12136589</t>
  </si>
  <si>
    <t>FR0000120073:EUR</t>
  </si>
  <si>
    <t>https://www.finanzen.ch/aktien/air_liquide-aktie</t>
  </si>
  <si>
    <t>https://www.marketscreener.com/quote/stock/AIR-LIQUIDE-4605/</t>
  </si>
  <si>
    <t>4605</t>
  </si>
  <si>
    <t>NL0000235190:EUR:CBUA</t>
  </si>
  <si>
    <t>US01609W1027:USD</t>
  </si>
  <si>
    <t>https://www.finanzen.ch/aktien/alibaba-aktie</t>
  </si>
  <si>
    <t>https://www.marketscreener.com/quote/stock/ALIBABA-GROUP-HOLDING-LIM-17916677/</t>
  </si>
  <si>
    <t>17916677</t>
  </si>
  <si>
    <t>https://www.marketscreener.com/quote/stock/ALIBABA-GROUP-HOLDING-LIM-17916677/company/</t>
  </si>
  <si>
    <t>CH0023405456:CHF</t>
  </si>
  <si>
    <t>https://www.finanzen.ch/aktien/dufry-aktie</t>
  </si>
  <si>
    <t>https://www.marketscreener.com/quote/stock/DUFRY-AG-165654/</t>
  </si>
  <si>
    <t>165654</t>
  </si>
  <si>
    <t>FR0000120628:EUR</t>
  </si>
  <si>
    <t>https://www.finanzen.ch/aktien/axa-aktie</t>
  </si>
  <si>
    <t>https://www.marketscreener.com/quote/stock/AXA-4615/</t>
  </si>
  <si>
    <t>4615</t>
  </si>
  <si>
    <t>NL0012866412:EUR</t>
  </si>
  <si>
    <t>BE Semiconductor Industries</t>
  </si>
  <si>
    <t>https://www.finanzen.ch/aktien/be_semiconductor_industries_2-aktie</t>
  </si>
  <si>
    <t>https://www.marketscreener.com/quote/stock/BE-SEMICONDUCTOR-INDUSTRI-6318/</t>
  </si>
  <si>
    <t>6318</t>
  </si>
  <si>
    <t>CH0315966322:CHF</t>
  </si>
  <si>
    <t>AU000000BHP4:AUD</t>
  </si>
  <si>
    <t>https://www.marketscreener.com/quote/stock/BHP-GROUP-LIMITED-6492795/</t>
  </si>
  <si>
    <t>6492795</t>
  </si>
  <si>
    <t>CH0130293662:CHF</t>
  </si>
  <si>
    <t>FR0000120503:EUR</t>
  </si>
  <si>
    <t>CH0002432174:CHF</t>
  </si>
  <si>
    <t>https://www.finanzen.ch/aktien/bucher_industries-aktie</t>
  </si>
  <si>
    <t>https://www.marketscreener.com/quote/stock/BUCHER-INDUSTRIES-AG-159124/</t>
  </si>
  <si>
    <t>159124</t>
  </si>
  <si>
    <t>IT0001347308:EUR</t>
  </si>
  <si>
    <t>US05606L1008:USD:OTN</t>
  </si>
  <si>
    <t>CH0225173167:CHF</t>
  </si>
  <si>
    <t>CH0008702190:CHF:P</t>
  </si>
  <si>
    <t>US1941621039:USD</t>
  </si>
  <si>
    <t>https://www.finanzen.ch/aktien/colgate-palmolive-aktie</t>
  </si>
  <si>
    <t>https://www.marketscreener.com/quote/stock/COLGATE-PALMOLIVE-COMPANY-12089/</t>
  </si>
  <si>
    <t>12089</t>
  </si>
  <si>
    <t>CH0360826991:CHF</t>
  </si>
  <si>
    <t>DE0005439004:EUR</t>
  </si>
  <si>
    <t>FR0014004L86:EUR</t>
  </si>
  <si>
    <t>112611164,1573,814</t>
  </si>
  <si>
    <t>CH0022268228:CHF</t>
  </si>
  <si>
    <t>https://www.marketscreener.com/quote/stock/EFG-INTERNATIONAL-AG-163919/</t>
  </si>
  <si>
    <t>163919</t>
  </si>
  <si>
    <t>CH0012829898:CHF</t>
  </si>
  <si>
    <t>https://www.finanzen.ch/aktien/emmi-aktie</t>
  </si>
  <si>
    <t>https://www.marketscreener.com/quote/stock/EMMI-AG-97604/</t>
  </si>
  <si>
    <t>97604</t>
  </si>
  <si>
    <t>IT0003132476:EUR</t>
  </si>
  <si>
    <t>https://www.finanzen.ch/aktien/eni-aktie</t>
  </si>
  <si>
    <t>https://www.marketscreener.com/quote/stock/ENI-S-P-A-413403/</t>
  </si>
  <si>
    <t>413403</t>
  </si>
  <si>
    <t>US26875P1012:USD</t>
  </si>
  <si>
    <t>https://www.marketscreener.com/quote/stock/EOG-RESOURCES-INC-12468/</t>
  </si>
  <si>
    <t>12468</t>
  </si>
  <si>
    <t>US29444U7000:USD</t>
  </si>
  <si>
    <t>https://www.marketscreener.com/quote/stock/EQUINIX-INC-20565916/</t>
  </si>
  <si>
    <t>20565916</t>
  </si>
  <si>
    <t>NO0010096985:NOK</t>
  </si>
  <si>
    <t>Oil, Gas</t>
  </si>
  <si>
    <t>https://www.finanzen.ch/aktien/ericsson-aktie</t>
  </si>
  <si>
    <t>https://www.marketscreener.com/quote/stock/EQUINOR-ASA-1413290/</t>
  </si>
  <si>
    <t>1413290</t>
  </si>
  <si>
    <t>SE0000108656:SEK</t>
  </si>
  <si>
    <t>https://www.marketscreener.com/quote/stock/ERICSSON-AB-6494918/</t>
  </si>
  <si>
    <t>6494918</t>
  </si>
  <si>
    <t>CH0360674466:CHF</t>
  </si>
  <si>
    <t>US3696043013:USD</t>
  </si>
  <si>
    <t>https://www.marketscreener.com/quote/stock/GENERAL-ELECTRIC-COMPANY-4823/</t>
  </si>
  <si>
    <t>4823</t>
  </si>
  <si>
    <t>US36828A1016:USD</t>
  </si>
  <si>
    <t>DE0006602006:EUR</t>
  </si>
  <si>
    <t>US36847Q1031:USD:OTN</t>
  </si>
  <si>
    <t>CH0010645932:CHF</t>
  </si>
  <si>
    <t>https://www.finanzen.ch/aktien/givaudan-aktie</t>
  </si>
  <si>
    <t>https://www.marketscreener.com/quote/stock/GIVAUDAN-SA-2956033/</t>
  </si>
  <si>
    <t>2956033</t>
  </si>
  <si>
    <t>CH0466642201:CHF</t>
  </si>
  <si>
    <t>https://www.finanzen.ch/aktien/helvetia-aktie</t>
  </si>
  <si>
    <t>https://www.marketscreener.com/quote/stock/HELVETIA-HOLDING-AG-58256052/</t>
  </si>
  <si>
    <t>58256052</t>
  </si>
  <si>
    <t>DE0006048432:EUR</t>
  </si>
  <si>
    <t>https://www.finanzen.ch/aktien/henkel_vz-aktie</t>
  </si>
  <si>
    <t>https://www.marketscreener.com/quote/stock/HENKEL-AG-CO-KGAA-436185/</t>
  </si>
  <si>
    <t>436185</t>
  </si>
  <si>
    <t>FR0000052292:EUR</t>
  </si>
  <si>
    <t>CH0012214059:CHF</t>
  </si>
  <si>
    <t>https://www.finanzen.ch/aktien/lafargeholcim-aktie</t>
  </si>
  <si>
    <t>https://www.marketscreener.com/quote/stock/HOLCIM-LTD-2956274/</t>
  </si>
  <si>
    <t>2956274</t>
  </si>
  <si>
    <t>CH0023868554:CHF</t>
  </si>
  <si>
    <t>ES0148396007:EUR:CBUA</t>
  </si>
  <si>
    <t>https://www.finanzen.ch/aktien/inditex-aktie</t>
  </si>
  <si>
    <t>https://www.marketscreener.com/quote/stock/INDITEX-16943135/</t>
  </si>
  <si>
    <t>16943135</t>
  </si>
  <si>
    <t>CH0006372897:CHF:P</t>
  </si>
  <si>
    <t>CH0371153492:CHF:P</t>
  </si>
  <si>
    <t>https://www.marketscreener.com/quote/stock/LANDIS-GYR-GROUP-AG-37186614/</t>
  </si>
  <si>
    <t>37186614</t>
  </si>
  <si>
    <t>CH0010570767:CHF</t>
  </si>
  <si>
    <t>https://www.finanzen.ch/aktien/lindt_spruengli_ps-aktie</t>
  </si>
  <si>
    <t>https://www.marketscreener.com/quote/stock/LINDT-73889/</t>
  </si>
  <si>
    <t>73889</t>
  </si>
  <si>
    <t>CH0025751329:CHF</t>
  </si>
  <si>
    <t>https://www.finanzen.ch/aktien/logitech-aktie</t>
  </si>
  <si>
    <t>https://www.marketscreener.com/quote/stock/LOGITECH-INTERNATIONAL-S-186712/</t>
  </si>
  <si>
    <t>186712</t>
  </si>
  <si>
    <t>CH0013841017:CHF</t>
  </si>
  <si>
    <t>https://www.marketscreener.com/quote/stock/LONZA-GROUP-AG-2956013/</t>
  </si>
  <si>
    <t>2956013</t>
  </si>
  <si>
    <t>CH1252930610:CHF</t>
  </si>
  <si>
    <t>AU000000MIN4:AUD</t>
  </si>
  <si>
    <t>Mineral Resources Ltd</t>
  </si>
  <si>
    <t>https://www.finanzen.ch/aktien/mineral_resources-aktie</t>
  </si>
  <si>
    <t>https://www.marketscreener.com/quote/stock/MINERAL-RESOURCES-LIMITED-6498955/</t>
  </si>
  <si>
    <t>6498955</t>
  </si>
  <si>
    <t>CH0038863350:CHF</t>
  </si>
  <si>
    <t>https://www.finanzen.ch/aktien/nestle-aktie</t>
  </si>
  <si>
    <t>https://www.marketscreener.com/quote/stock/NESTLE-S-A-9365334/</t>
  </si>
  <si>
    <t>9365334</t>
  </si>
  <si>
    <t>NO0005052605:NOK</t>
  </si>
  <si>
    <t>Norsk Hydro</t>
  </si>
  <si>
    <t>https://www.finanzen.ch/aktien/norsk_hydro_asa-aktie</t>
  </si>
  <si>
    <t>https://www.marketscreener.com/quote/stock/NORSK-HYDRO-ASA-1413211/</t>
  </si>
  <si>
    <t>1413211</t>
  </si>
  <si>
    <t>CH0012005267:CHF</t>
  </si>
  <si>
    <t>https://www.finanzen.ch/aktien/novartis-aktie</t>
  </si>
  <si>
    <t>https://www.marketscreener.com/quote/stock/NOVARTIS-AG-9364983/</t>
  </si>
  <si>
    <t>9364983</t>
  </si>
  <si>
    <t>BSP733981026:USD</t>
  </si>
  <si>
    <t>https://www.finanzen.ch/aktien/nymox_pharmaceutical-aktie</t>
  </si>
  <si>
    <t>https://www.marketscreener.com/quote/stock/NYMOX-PHARMACEUTICAL-CORP-25054783/</t>
  </si>
  <si>
    <t>25054783</t>
  </si>
  <si>
    <t>US7427181091:USD</t>
  </si>
  <si>
    <t>https://www.finanzen.ch/aktien/procter_gamble-aktie</t>
  </si>
  <si>
    <t>https://www.marketscreener.com/quote/stock/THE-PROCTER-GAMBLE-COMP-4838/</t>
  </si>
  <si>
    <t>4838</t>
  </si>
  <si>
    <t>FR0000130577:EUR</t>
  </si>
  <si>
    <t>AU000000RIO1:AUD</t>
  </si>
  <si>
    <t>https://www.finanzen.ch/aktien/rio_tinto_3-aktie</t>
  </si>
  <si>
    <t>https://www.marketscreener.com/quote/stock/RIO-TINTO-GROUP-6492854/</t>
  </si>
  <si>
    <t>6492854</t>
  </si>
  <si>
    <t>CH0012032048:CHF</t>
  </si>
  <si>
    <t>https://www.finanzen.ch/aktien/roche-aktie</t>
  </si>
  <si>
    <t>https://www.marketscreener.com/quote/stock/ROCHE-HOLDING-AG-9364975/</t>
  </si>
  <si>
    <t>9364975</t>
  </si>
  <si>
    <t>CH1243598427:CHF</t>
  </si>
  <si>
    <t>FR0000120578:EUR</t>
  </si>
  <si>
    <t>https://www.finanzen.ch/aktien/sanofi-aktie</t>
  </si>
  <si>
    <t>https://www.marketscreener.com/quote/stock/SANOFI-4698/</t>
  </si>
  <si>
    <t>4698</t>
  </si>
  <si>
    <t>DE0007164600:EUR:CBUA</t>
  </si>
  <si>
    <t>https://www.finanzen.ch/aktien/sap-aktie</t>
  </si>
  <si>
    <t>https://www.marketscreener.com/quote/stock/SAP-SE-436555/</t>
  </si>
  <si>
    <t>436555</t>
  </si>
  <si>
    <t>CH0024638212:CHF</t>
  </si>
  <si>
    <t>https://www.finanzen.ch/aktien/schindler_na-aktie</t>
  </si>
  <si>
    <t>https://www.marketscreener.com/quote/stock/SCHINDLER-HOLDING-AG-175296/</t>
  </si>
  <si>
    <t>175296</t>
  </si>
  <si>
    <t>FR0000121972:EUR</t>
  </si>
  <si>
    <t>https://www.finanzen.ch/aktien/schneider_electric-aktie</t>
  </si>
  <si>
    <t>https://www.marketscreener.com/quote/stock/SCHNEIDER-ELECTRIC-SE-4699/</t>
  </si>
  <si>
    <t>4699</t>
  </si>
  <si>
    <t>CH0418792922:CHF</t>
  </si>
  <si>
    <t>https://www.finanzen.ch/aktien/sika-aktie</t>
  </si>
  <si>
    <t>https://www.marketscreener.com/quote/stock/SIKA-AG-44231526/</t>
  </si>
  <si>
    <t>44231526</t>
  </si>
  <si>
    <t>CH0014852781:CHF</t>
  </si>
  <si>
    <t>https://www.marketscreener.com/quote/stock/ADECCO-GROUP-AG-9365001/</t>
  </si>
  <si>
    <t>142734</t>
  </si>
  <si>
    <t>CH0008038389:CHF</t>
  </si>
  <si>
    <t>CH0126881561:CHF</t>
  </si>
  <si>
    <t>https://www.finanzen.ch/aktien/swiss_re-aktie</t>
  </si>
  <si>
    <t>https://www.marketscreener.com/quote/stock/SWISS-RE-LTD-9365870/</t>
  </si>
  <si>
    <t>9365870</t>
  </si>
  <si>
    <t>CH0008742519:CHF:P</t>
  </si>
  <si>
    <t>https://www.finanzen.ch/aktien/swisscom-aktie</t>
  </si>
  <si>
    <t>https://www.marketscreener.com/quote/stock/SWISSCOM-AG-2955930/</t>
  </si>
  <si>
    <t>2955930</t>
  </si>
  <si>
    <t>CH0010675863:CHF</t>
  </si>
  <si>
    <t>https://www.finanzen.ch/aktien/swissquote-aktie</t>
  </si>
  <si>
    <t>https://www.marketscreener.com/quote/stock/SWISSQUOTE-GROUP-HOLDING--71211/ratings/</t>
  </si>
  <si>
    <t>71211</t>
  </si>
  <si>
    <t>ES0178430E18:EUR</t>
  </si>
  <si>
    <t>https://www.finanzen.ch/aktien/telefonica-aktie</t>
  </si>
  <si>
    <t>https://www.marketscreener.com/quote/stock/TELEF-NICA-S-A-68962/</t>
  </si>
  <si>
    <t>68962</t>
  </si>
  <si>
    <t>US5007541064:USD</t>
  </si>
  <si>
    <t>https://www.finanzen.ch/aktien/kraft_heinz-aktie</t>
  </si>
  <si>
    <t>https://www.marketscreener.com/quote/stock/THE-KRAFT-HEINZ-COMPANY-22816979/</t>
  </si>
  <si>
    <t>22816979</t>
  </si>
  <si>
    <t>CH0244767585:CHF</t>
  </si>
  <si>
    <t>https://www.finanzen.ch/aktien/ubs-aktie</t>
  </si>
  <si>
    <t>https://www.marketscreener.com/quote/stock/UBS-GROUP-AG-19156942/</t>
  </si>
  <si>
    <t>19156942</t>
  </si>
  <si>
    <t>CH0244767585:CHF:P</t>
  </si>
  <si>
    <t>CH0311864901:CHF</t>
  </si>
  <si>
    <t>https://www.marketscreener.com/quote/stock/VAT-GROUP-AG-27114104/</t>
  </si>
  <si>
    <t>27114104</t>
  </si>
  <si>
    <t>FR0000125486:EUR:CBUA</t>
  </si>
  <si>
    <t>CH0528751586:CHF</t>
  </si>
  <si>
    <t>https://www.finanzen.ch/aktien/vz-aktie</t>
  </si>
  <si>
    <t>https://www.marketscreener.com/quote/stock/VZ-HOLDING-AG-237887/</t>
  </si>
  <si>
    <t>237887</t>
  </si>
  <si>
    <t>CH0019396990:CHF</t>
  </si>
  <si>
    <t>CH0276534614:CHF</t>
  </si>
  <si>
    <t>CH0011075394:CHF</t>
  </si>
  <si>
    <t>https://www.finanzen.ch/aktien/zurich-aktie</t>
  </si>
  <si>
    <t>https://www.marketscreener.com/quote/stock/ZURICH-INSURANCE-GROUP-LT-2955923/</t>
  </si>
  <si>
    <t>2955923</t>
  </si>
  <si>
    <t>LU0171305526:EUR</t>
  </si>
  <si>
    <t>https://www.finanzen.ch/Fonds/LU0171305526</t>
  </si>
  <si>
    <t>https://www.marketscreener.com/quote/fund/BGF-WORLD-GOLD-FUND-A2-EU-52080955/</t>
  </si>
  <si>
    <t>52080955</t>
  </si>
  <si>
    <t>https://www.investing.com/funds/world-gold-fund-a2rfe</t>
  </si>
  <si>
    <t>LU0292107991:USD</t>
  </si>
  <si>
    <t>https://www.finanzen.ch/Fonds/LU0292107991</t>
  </si>
  <si>
    <t>https://www.marketscreener.com/quote/etf/XTRACKERS-MSCI-EM-ASIA-SW-44657871/</t>
  </si>
  <si>
    <t>44657871</t>
  </si>
  <si>
    <t>https://www.investing.com/etfs/db-x-trackers-msci-em-asia-trn?cid=996929</t>
  </si>
  <si>
    <t>IE00B27YCK28:USD</t>
  </si>
  <si>
    <t>https://www.finanzen.ch/Fonds/IE00B27YCK28</t>
  </si>
  <si>
    <t>https://www.marketscreener.com/quote/etf/ISHARES-MSCI-EM-LATIN-AME-8217112/</t>
  </si>
  <si>
    <t>8217112</t>
  </si>
  <si>
    <t>https://markets.ft.com/data/etfs/tearsheet/summary?s=DLTM:LSE:USD</t>
  </si>
  <si>
    <t>IE00B14X4M10:USD</t>
  </si>
  <si>
    <t>https://www.finanzen.ch/Fonds/IE00B14X4M10</t>
  </si>
  <si>
    <t>https://www.marketscreener.com/quote/etf/ISHARES-MSCI-NORTH-AMERIC-182141/</t>
  </si>
  <si>
    <t>182141</t>
  </si>
  <si>
    <t>https://www.investing.com/etfs/ishares-msci-north-america-gbp?cid=995532</t>
  </si>
  <si>
    <t>US4642875235:USD</t>
  </si>
  <si>
    <t>iShares PHLX Semiconductor</t>
  </si>
  <si>
    <t>https://www.marketscreener.com/quote/etf/ISHARES-PHLX-SEMICONDUCTO-39119120/</t>
  </si>
  <si>
    <t>39119120</t>
  </si>
  <si>
    <t>https://markets.ft.com/data/etfs/tearsheet/ratings?s=SOXX:NMQ:USD</t>
  </si>
  <si>
    <t>IE00B1FZSF77:USD</t>
  </si>
  <si>
    <t>https://www.finanzen.ch/Fonds/IE00B1FZSF77</t>
  </si>
  <si>
    <t>https://www.marketscreener.com/quote/etf/ISHARES-US-PROPERTY-YIELD-50424633/</t>
  </si>
  <si>
    <t>50424633</t>
  </si>
  <si>
    <t>https://etf.ft.com/funds/2774/</t>
  </si>
  <si>
    <t>LU0390135332:EUR</t>
  </si>
  <si>
    <t>LU0390136736:USD</t>
  </si>
  <si>
    <t>https://www.finanzen.ch/Fonds/LU0390136736</t>
  </si>
  <si>
    <t>https://www.marketscreener.com/quote/fund/TEMPLETON-FRONTIER-MARKET-41562602/</t>
  </si>
  <si>
    <t>41562602</t>
  </si>
  <si>
    <t>https://www.franklintempleton.lu/our-funds/price-and-performance/products/12904/Z/Templeton-Frontier-Markets-Fund/LU0390136736</t>
  </si>
  <si>
    <t>CH0017043958:CHF</t>
  </si>
  <si>
    <t>CH0014420829:CHF</t>
  </si>
  <si>
    <t>https://www.finanzen.ch/Fonds/CH0014420829</t>
  </si>
  <si>
    <t>https://www.marketscreener.com/quote/fund/UBS-CH-PROPERTY-SWISS-RES-9427889/</t>
  </si>
  <si>
    <t>9427889</t>
  </si>
  <si>
    <t>https://markets.ft.com/data/equities/tearsheet/summary?s=ANFO:SWX</t>
  </si>
  <si>
    <t>Data Fields_Types_Dimensions_Format</t>
  </si>
  <si>
    <t>ISIN:value:2:r</t>
  </si>
  <si>
    <t>SC_GROUPED:value:2:r</t>
  </si>
  <si>
    <t>DOMICILE:value:2:r</t>
  </si>
  <si>
    <t>M_CUR:value:2:r</t>
  </si>
  <si>
    <t>M_NAME:value:2:r</t>
  </si>
  <si>
    <t>NSIN_CH:value:2:r</t>
  </si>
  <si>
    <t>INTEREST:value:2:r</t>
  </si>
  <si>
    <t>COMPFULLNAME:value:2:r</t>
  </si>
  <si>
    <t>MATURITY:value:4</t>
  </si>
  <si>
    <t>YIELD:value:2:r</t>
  </si>
  <si>
    <t>BID:volume:2:r</t>
  </si>
  <si>
    <t>BID:value:2:r</t>
  </si>
  <si>
    <t>ASK:value:2:r</t>
  </si>
  <si>
    <t>ASK:volume:2:r</t>
  </si>
  <si>
    <t>LVAL:datetime:4</t>
  </si>
  <si>
    <t>LVAL:value:2:r</t>
  </si>
  <si>
    <t>ACCINT:value:2:r</t>
  </si>
  <si>
    <t>NC2_PR:value:2:r</t>
  </si>
  <si>
    <t>4W_PERF_PR:value:2:r</t>
  </si>
  <si>
    <t>12W_PERF_PR:value:2:r</t>
  </si>
  <si>
    <t>YTD_PERF_PR:value:2:r</t>
  </si>
  <si>
    <t>NAME:value:2:r</t>
  </si>
  <si>
    <t>SEC:value:2:r</t>
  </si>
  <si>
    <t>YLDEQ:value:2:r</t>
  </si>
  <si>
    <t>1STPAYMENTYEAR:value:4:z</t>
  </si>
  <si>
    <t>DIVIDEND:value:2:r</t>
  </si>
  <si>
    <t>DIVIDEND:datetime:4</t>
  </si>
  <si>
    <t>PRICINGAMT:value:2:r</t>
  </si>
  <si>
    <t>INSTRUNIT:value:2:r</t>
  </si>
  <si>
    <t>DENOM:value:2:r</t>
  </si>
  <si>
    <t>SC_GROUPED</t>
  </si>
  <si>
    <t>DOMICILE</t>
  </si>
  <si>
    <t>M_CUR</t>
  </si>
  <si>
    <t>M_NAME</t>
  </si>
  <si>
    <t>NSIN_CH</t>
  </si>
  <si>
    <t>INTEREST</t>
  </si>
  <si>
    <t>COMPFULLNAME</t>
  </si>
  <si>
    <t>MATURITY</t>
  </si>
  <si>
    <t>YIELD</t>
  </si>
  <si>
    <t>BID:volume</t>
  </si>
  <si>
    <t>BID</t>
  </si>
  <si>
    <t>ASK</t>
  </si>
  <si>
    <t>ASK:volume</t>
  </si>
  <si>
    <t>LVAL:datetime</t>
  </si>
  <si>
    <t>LVAL</t>
  </si>
  <si>
    <t>ACCINT</t>
  </si>
  <si>
    <t>NC2_PR</t>
  </si>
  <si>
    <t>4W_PERF_PR</t>
  </si>
  <si>
    <t>12W_PERF_PR</t>
  </si>
  <si>
    <t>YTD_PERF_PR</t>
  </si>
  <si>
    <t>NAME</t>
  </si>
  <si>
    <t>SEC</t>
  </si>
  <si>
    <t>YLDEQ</t>
  </si>
  <si>
    <t>1STPAYMENTYEAR</t>
  </si>
  <si>
    <t>DIVIDEND</t>
  </si>
  <si>
    <t>DIVIDEND:datetime</t>
  </si>
  <si>
    <t>PRICINGAMT</t>
  </si>
  <si>
    <t>INSTRUNIT</t>
  </si>
  <si>
    <t>DENOM</t>
  </si>
  <si>
    <t>Bid-Ask Spread %</t>
  </si>
  <si>
    <t>XC0001458402</t>
  </si>
  <si>
    <t>CUR</t>
  </si>
  <si>
    <t>AUD/EUR</t>
  </si>
  <si>
    <t>968876</t>
  </si>
  <si>
    <t>120579731,16,814</t>
  </si>
  <si>
    <t>DE000A30WFU3</t>
  </si>
  <si>
    <t>BON</t>
  </si>
  <si>
    <t>DE</t>
  </si>
  <si>
    <t>1.75 DPBB 27 15322</t>
  </si>
  <si>
    <t>120579731</t>
  </si>
  <si>
    <t>Deutsche Pfandbriefbank AG</t>
  </si>
  <si>
    <t>Banken &amp; andere Kreditinstitute</t>
  </si>
  <si>
    <t>Nominal</t>
  </si>
  <si>
    <t>XC0001458410</t>
  </si>
  <si>
    <t>AUD/CHF</t>
  </si>
  <si>
    <t>499048</t>
  </si>
  <si>
    <t>113296626,4,1</t>
  </si>
  <si>
    <t>CH1132966263</t>
  </si>
  <si>
    <t>IE</t>
  </si>
  <si>
    <t>0.5 GlenC 28 1</t>
  </si>
  <si>
    <t>113296626</t>
  </si>
  <si>
    <t>Glencore Capital Finance DAC</t>
  </si>
  <si>
    <t>Finanz-, Beteiligungs- &amp;  andere diversif. Ges.</t>
  </si>
  <si>
    <t>275003,176,1</t>
  </si>
  <si>
    <t>XD0002750038</t>
  </si>
  <si>
    <t>CAD/CHF</t>
  </si>
  <si>
    <t>275003</t>
  </si>
  <si>
    <t>26875198,537,333</t>
  </si>
  <si>
    <t>US29444U7000</t>
  </si>
  <si>
    <t>EQU</t>
  </si>
  <si>
    <t>26875198</t>
  </si>
  <si>
    <t>Equinix Inc</t>
  </si>
  <si>
    <t>Immobilien</t>
  </si>
  <si>
    <t>XD0009688793</t>
  </si>
  <si>
    <t>CAD/EUR</t>
  </si>
  <si>
    <t>968879</t>
  </si>
  <si>
    <t>1781011,2779,814</t>
  </si>
  <si>
    <t>LU0171305526</t>
  </si>
  <si>
    <t>TFO</t>
  </si>
  <si>
    <t>LU</t>
  </si>
  <si>
    <t>BlackRock Global Funds SICAV - World Gold Fund</t>
  </si>
  <si>
    <t>1781011</t>
  </si>
  <si>
    <t>Anlagefonds &amp; Vorsorgestiftungen</t>
  </si>
  <si>
    <t>35487400,149,1</t>
  </si>
  <si>
    <t>CHF/CHF</t>
  </si>
  <si>
    <t>35487400</t>
  </si>
  <si>
    <t>28805623,361,333</t>
  </si>
  <si>
    <t>IE00BWBXM724</t>
  </si>
  <si>
    <t>ETF</t>
  </si>
  <si>
    <t>28805623</t>
  </si>
  <si>
    <t>CH0009688802</t>
  </si>
  <si>
    <t>CHF/EUR</t>
  </si>
  <si>
    <t>968880</t>
  </si>
  <si>
    <t>10128187,1703,814</t>
  </si>
  <si>
    <t>IE00B60SWY32</t>
  </si>
  <si>
    <t>Invesco Markets PLC - Invesco MSCI Europe UCITS ETF</t>
  </si>
  <si>
    <t>10128187</t>
  </si>
  <si>
    <t>506040,149,1</t>
  </si>
  <si>
    <t>XD0005060401</t>
  </si>
  <si>
    <t>CNY/CHF</t>
  </si>
  <si>
    <t>506040</t>
  </si>
  <si>
    <t>24770468,361,814</t>
  </si>
  <si>
    <t>IE00BKWQ0P07</t>
  </si>
  <si>
    <t>24770468</t>
  </si>
  <si>
    <t>EUR/EUR</t>
  </si>
  <si>
    <t>990879</t>
  </si>
  <si>
    <t>CH0560899525</t>
  </si>
  <si>
    <t>FON</t>
  </si>
  <si>
    <t>CH</t>
  </si>
  <si>
    <t>UBS (CH) Equity Fund - Mid Caps Switzerland (CHF)</t>
  </si>
  <si>
    <t>56089952</t>
  </si>
  <si>
    <t>EU0009654078</t>
  </si>
  <si>
    <t>EUR/CHF</t>
  </si>
  <si>
    <t>897789</t>
  </si>
  <si>
    <t>46664220,4,1</t>
  </si>
  <si>
    <t>CH0466642201</t>
  </si>
  <si>
    <t>46664220</t>
  </si>
  <si>
    <t>Versicherungen</t>
  </si>
  <si>
    <t>GB0008283987</t>
  </si>
  <si>
    <t>GBP/EUR</t>
  </si>
  <si>
    <t>947552</t>
  </si>
  <si>
    <t>IE00BYVTMS52</t>
  </si>
  <si>
    <t>Invesco Markets III PLC - Invesco EQQQ NASDAQ-100 UCITS ETF</t>
  </si>
  <si>
    <t>37407902</t>
  </si>
  <si>
    <t>GB0009534727</t>
  </si>
  <si>
    <t>GBP/CHF</t>
  </si>
  <si>
    <t>275001</t>
  </si>
  <si>
    <t>31879455,351,814</t>
  </si>
  <si>
    <t>Multi Units Luxembourg SICAV - Amundi Euro Highest Rated Macro-Weighted Government Bond</t>
  </si>
  <si>
    <t>31879455</t>
  </si>
  <si>
    <t>928212,149,1</t>
  </si>
  <si>
    <t>QT0009282127</t>
  </si>
  <si>
    <t>MXN/CHF</t>
  </si>
  <si>
    <t>928212</t>
  </si>
  <si>
    <t>DE000A0H08K7</t>
  </si>
  <si>
    <t>12980686</t>
  </si>
  <si>
    <t>275014,178,1</t>
  </si>
  <si>
    <t>NO0010037500</t>
  </si>
  <si>
    <t>NOK/CHF</t>
  </si>
  <si>
    <t>275014</t>
  </si>
  <si>
    <t>59577377,16,814</t>
  </si>
  <si>
    <t>DE000BHY0C47</t>
  </si>
  <si>
    <t>59577377</t>
  </si>
  <si>
    <t>506012,178,1</t>
  </si>
  <si>
    <t>XC0001458436</t>
  </si>
  <si>
    <t>NZD/CHF</t>
  </si>
  <si>
    <t>506012</t>
  </si>
  <si>
    <t>111245580,4,1</t>
  </si>
  <si>
    <t>CH1112455808</t>
  </si>
  <si>
    <t>0.8 OERL 28 Obl -S</t>
  </si>
  <si>
    <t>111245580</t>
  </si>
  <si>
    <t>OC Oerlikon Corporation AG, Pfaeffikon</t>
  </si>
  <si>
    <t>Maschinen &amp; Apparate</t>
  </si>
  <si>
    <t>1049216,149,1</t>
  </si>
  <si>
    <t>XD0010492169</t>
  </si>
  <si>
    <t>RUB/CHF</t>
  </si>
  <si>
    <t>1049216</t>
  </si>
  <si>
    <t>86689,25,814</t>
  </si>
  <si>
    <t>FR0000052292</t>
  </si>
  <si>
    <t>86689</t>
  </si>
  <si>
    <t>Hermes International SA</t>
  </si>
  <si>
    <t>Textilien, Bekleidung &amp; Lederwaren</t>
  </si>
  <si>
    <t>275013,178,1</t>
  </si>
  <si>
    <t>XC0001717336</t>
  </si>
  <si>
    <t>SEK/CHF</t>
  </si>
  <si>
    <t>275013</t>
  </si>
  <si>
    <t>1992409,149,1</t>
  </si>
  <si>
    <t>QT0019924098</t>
  </si>
  <si>
    <t>TRY/CHF</t>
  </si>
  <si>
    <t>1992409</t>
  </si>
  <si>
    <t>119553349,719,333</t>
  </si>
  <si>
    <t>IE000MLMNYS0</t>
  </si>
  <si>
    <t>119553349</t>
  </si>
  <si>
    <t>XC0009652816</t>
  </si>
  <si>
    <t>275000</t>
  </si>
  <si>
    <t>2778490,719,333</t>
  </si>
  <si>
    <t>IE00B1FZSF77</t>
  </si>
  <si>
    <t>iShares II PLC - iShares US Property Yield UCITS ETF</t>
  </si>
  <si>
    <t>2778490</t>
  </si>
  <si>
    <t>XD0009689841</t>
  </si>
  <si>
    <t>USD/EUR</t>
  </si>
  <si>
    <t>968984</t>
  </si>
  <si>
    <t>10608402,361,333</t>
  </si>
  <si>
    <t>IE00B4L5YC18</t>
  </si>
  <si>
    <t>iShares III PLC - iShares MSCI EM UCITS ETF USD (Acc)</t>
  </si>
  <si>
    <t>10608402</t>
  </si>
  <si>
    <t>57232698,4,1</t>
  </si>
  <si>
    <t>Pfandbr.-institute &amp; Refinanz.-Ges.</t>
  </si>
  <si>
    <t>43398616,1703,333</t>
  </si>
  <si>
    <t>DE000A0Q4R85</t>
  </si>
  <si>
    <t>iShares MSCI Brazil UCITS ETF (DE)</t>
  </si>
  <si>
    <t>43398616</t>
  </si>
  <si>
    <t>41904167,4,1</t>
  </si>
  <si>
    <t>CH0419041675</t>
  </si>
  <si>
    <t>38956329,3230,814</t>
  </si>
  <si>
    <t>LU1711971983</t>
  </si>
  <si>
    <t>Fidelity Funds SICAV - Nordic Fund</t>
  </si>
  <si>
    <t>38956329</t>
  </si>
  <si>
    <t>47497771,4,1</t>
  </si>
  <si>
    <t>CH0474977714</t>
  </si>
  <si>
    <t>335910,44,814</t>
  </si>
  <si>
    <t>DE0006048432</t>
  </si>
  <si>
    <t>Henkel Vz I</t>
  </si>
  <si>
    <t>335910</t>
  </si>
  <si>
    <t>Henkel AG &amp; Co. KGaA</t>
  </si>
  <si>
    <t>Diverse Konsumgüter</t>
  </si>
  <si>
    <t>47497775,4,1</t>
  </si>
  <si>
    <t>71078281,21,1</t>
  </si>
  <si>
    <t>DIV</t>
  </si>
  <si>
    <t>57069813,7372,333</t>
  </si>
  <si>
    <t>Supranationale Organisationen</t>
  </si>
  <si>
    <t>14207583,3230,814</t>
  </si>
  <si>
    <t>LU0692855462</t>
  </si>
  <si>
    <t>BlackRock Global Funds SICAV - World Bond Fund</t>
  </si>
  <si>
    <t>14207583</t>
  </si>
  <si>
    <t>50607138,4,1</t>
  </si>
  <si>
    <t>24476758,4,1</t>
  </si>
  <si>
    <t>CH0244767585</t>
  </si>
  <si>
    <t>UBS Group N</t>
  </si>
  <si>
    <t>24476758</t>
  </si>
  <si>
    <t>UBS Group AG</t>
  </si>
  <si>
    <t>110048532,16,814</t>
  </si>
  <si>
    <t>DE000GRN0024</t>
  </si>
  <si>
    <t>0.01 DeutscheKr 26</t>
  </si>
  <si>
    <t>110048532</t>
  </si>
  <si>
    <t>Deutsche Kreditbank AG</t>
  </si>
  <si>
    <t>22375108,4,1</t>
  </si>
  <si>
    <t>IE00BD4TYL27</t>
  </si>
  <si>
    <t>UBS (Irl) ETF plc - UBS Core MSCI USA hCHF UCITS ETF</t>
  </si>
  <si>
    <t>22375108</t>
  </si>
  <si>
    <t>27038209,4,1</t>
  </si>
  <si>
    <t>CH0270382093</t>
  </si>
  <si>
    <t>35483611,4,1</t>
  </si>
  <si>
    <t>CH0354836113</t>
  </si>
  <si>
    <t>0.75 Mobimo 26 Obl</t>
  </si>
  <si>
    <t>35483611</t>
  </si>
  <si>
    <t>Mobimo Holding AG</t>
  </si>
  <si>
    <t>LU1589327680</t>
  </si>
  <si>
    <t>UBS (Lux) Fund Solutions SICAV - UBS Core MSCI Europe UCITS ETF</t>
  </si>
  <si>
    <t>36494209</t>
  </si>
  <si>
    <t>US683234AT57</t>
  </si>
  <si>
    <t>CA</t>
  </si>
  <si>
    <t>1.05 Ontari26 B Nts</t>
  </si>
  <si>
    <t>111006659</t>
  </si>
  <si>
    <t>Province of Ontario</t>
  </si>
  <si>
    <t>Kantone, Bundesstaaten, Bezirke usw.</t>
  </si>
  <si>
    <t>486352,25,814</t>
  </si>
  <si>
    <t>FR0000120628</t>
  </si>
  <si>
    <t>AXA</t>
  </si>
  <si>
    <t>486352</t>
  </si>
  <si>
    <t>AXA SA</t>
  </si>
  <si>
    <t>134861404,4,1</t>
  </si>
  <si>
    <t>CH1348614046</t>
  </si>
  <si>
    <t>1.8 Barry Cal26 Obl</t>
  </si>
  <si>
    <t>134861404</t>
  </si>
  <si>
    <t>Barry Callebaut AG</t>
  </si>
  <si>
    <t>Nahrungsmittel &amp; Softdrinks</t>
  </si>
  <si>
    <t>4673643,365,333</t>
  </si>
  <si>
    <t>US05606L1008</t>
  </si>
  <si>
    <t>4673643</t>
  </si>
  <si>
    <t>BYD Company Ltd</t>
  </si>
  <si>
    <t>Elektronik &amp; Halbleiter</t>
  </si>
  <si>
    <t>111598395,16,333</t>
  </si>
  <si>
    <t>US427028AB18</t>
  </si>
  <si>
    <t>0.75 CAN 26 B Bds</t>
  </si>
  <si>
    <t>111598395</t>
  </si>
  <si>
    <t>Canada Government</t>
  </si>
  <si>
    <t>Länder &amp; Zentralregierungen</t>
  </si>
  <si>
    <t>640390,111,88</t>
  </si>
  <si>
    <t>AU000000BHP4</t>
  </si>
  <si>
    <t>640390</t>
  </si>
  <si>
    <t>BHP Group Ltd</t>
  </si>
  <si>
    <t>Bergbau, Kohle &amp; Stahl</t>
  </si>
  <si>
    <t>111948647,16,333</t>
  </si>
  <si>
    <t>US89114TZD70</t>
  </si>
  <si>
    <t>1.2 TD 26 C MTN</t>
  </si>
  <si>
    <t>111948647</t>
  </si>
  <si>
    <t>The Toronto-Dominion Bank</t>
  </si>
  <si>
    <t>47951426,4,1</t>
  </si>
  <si>
    <t>CH0479514264</t>
  </si>
  <si>
    <t>FR</t>
  </si>
  <si>
    <t>0.2 BFCM 26 Nts</t>
  </si>
  <si>
    <t>47951426</t>
  </si>
  <si>
    <t>Banque Federative du Credit Mutuel</t>
  </si>
  <si>
    <t>LU2049086726</t>
  </si>
  <si>
    <t>UBS (Lux) Equity SICAV - US Income (USD)</t>
  </si>
  <si>
    <t>49729577</t>
  </si>
  <si>
    <t>52215899,4,1</t>
  </si>
  <si>
    <t>CH0522158994</t>
  </si>
  <si>
    <t>0.01 BLKB 26 Anl</t>
  </si>
  <si>
    <t>52215899</t>
  </si>
  <si>
    <t>Basellandschaftliche Kantonalbank</t>
  </si>
  <si>
    <t>CH0002813837</t>
  </si>
  <si>
    <t>COM</t>
  </si>
  <si>
    <t>Gold Muenzen 20 CHF</t>
  </si>
  <si>
    <t>281383</t>
  </si>
  <si>
    <t>59389393,4,1</t>
  </si>
  <si>
    <t>CH0593893933</t>
  </si>
  <si>
    <t>BO</t>
  </si>
  <si>
    <t>0.556 FONPLATA26Obl</t>
  </si>
  <si>
    <t>59389393</t>
  </si>
  <si>
    <t>FONPLATA</t>
  </si>
  <si>
    <t>41906744,537,333</t>
  </si>
  <si>
    <t>US46137V5306</t>
  </si>
  <si>
    <t>US</t>
  </si>
  <si>
    <t>41906744</t>
  </si>
  <si>
    <t>33833043,4,1</t>
  </si>
  <si>
    <t>CH0338330431</t>
  </si>
  <si>
    <t>LI</t>
  </si>
  <si>
    <t>0.2 LGTB 26 Obl</t>
  </si>
  <si>
    <t>33833043</t>
  </si>
  <si>
    <t>LGT Bank AG</t>
  </si>
  <si>
    <t>986058,66,333</t>
  </si>
  <si>
    <t>US81369Y7040</t>
  </si>
  <si>
    <t>Industrial Select Sector SPDR Fund</t>
  </si>
  <si>
    <t>986058</t>
  </si>
  <si>
    <t>115488713,4,1</t>
  </si>
  <si>
    <t>CH1154887132</t>
  </si>
  <si>
    <t>0.375 HoHeF 26 EMTN</t>
  </si>
  <si>
    <t>115488713</t>
  </si>
  <si>
    <t>Holcim Helvetia Finance AG</t>
  </si>
  <si>
    <t>113422565,3230,814</t>
  </si>
  <si>
    <t>LU2373031488</t>
  </si>
  <si>
    <t>State Street Global Advisors Luxembourg SICAV- State Street Emerging Markets Opportunities Equity Fund</t>
  </si>
  <si>
    <t>113422565</t>
  </si>
  <si>
    <t>114425619,16,814</t>
  </si>
  <si>
    <t>DE000A3E5UY4</t>
  </si>
  <si>
    <t>0.01 DZHP26 1239 Pf</t>
  </si>
  <si>
    <t>114425619</t>
  </si>
  <si>
    <t>DZ HYP AG</t>
  </si>
  <si>
    <t>41904128,4,1</t>
  </si>
  <si>
    <t>CH0419041287</t>
  </si>
  <si>
    <t>0.4 PartGrH 27 -S</t>
  </si>
  <si>
    <t>41904128</t>
  </si>
  <si>
    <t>Partners Group Holding AG</t>
  </si>
  <si>
    <t>34380702,16,814</t>
  </si>
  <si>
    <t>FR0013215688</t>
  </si>
  <si>
    <t>0.25 CA PUB SCF 26</t>
  </si>
  <si>
    <t>34380702</t>
  </si>
  <si>
    <t>CREDIT AGRICOLE PUBLIC SECTOR SCF</t>
  </si>
  <si>
    <t>DE000A0H08L5</t>
  </si>
  <si>
    <t>iShares STOXX Europe 600 Media UCITS ETF (DE)</t>
  </si>
  <si>
    <t>12980803</t>
  </si>
  <si>
    <t>114170054,4,1</t>
  </si>
  <si>
    <t>CH1141700547</t>
  </si>
  <si>
    <t>0.2 UPB 26 -S</t>
  </si>
  <si>
    <t>114170054</t>
  </si>
  <si>
    <t>112726397,4,1</t>
  </si>
  <si>
    <t>CH1127263973</t>
  </si>
  <si>
    <t>0.125 HolHlv 27EMTN</t>
  </si>
  <si>
    <t>112726397</t>
  </si>
  <si>
    <t>55333181,4,1</t>
  </si>
  <si>
    <t>CH0553331817</t>
  </si>
  <si>
    <t>55333181</t>
  </si>
  <si>
    <t>28805617,361,333</t>
  </si>
  <si>
    <t>IE00BWBXM385</t>
  </si>
  <si>
    <t>28805617</t>
  </si>
  <si>
    <t>35394539,4,1</t>
  </si>
  <si>
    <t>CH0353945394</t>
  </si>
  <si>
    <t>3 GATESW 27 Bds</t>
  </si>
  <si>
    <t>35394539</t>
  </si>
  <si>
    <t>Gategroup Finance Luxembourg S.A.</t>
  </si>
  <si>
    <t>10012758,16,814</t>
  </si>
  <si>
    <t>IE00B3DKXQ41</t>
  </si>
  <si>
    <t>iShares III PLC - iShares Euro Aggregate Bond ESG SRI UCITS ETF</t>
  </si>
  <si>
    <t>10012758</t>
  </si>
  <si>
    <t>24767393,1703,814</t>
  </si>
  <si>
    <t>IE00BKWQ0J47</t>
  </si>
  <si>
    <t>24767393</t>
  </si>
  <si>
    <t>41904099,4,1</t>
  </si>
  <si>
    <t>CH0419040990</t>
  </si>
  <si>
    <t>1.25 SPS 27 Obl -S</t>
  </si>
  <si>
    <t>41904099</t>
  </si>
  <si>
    <t>Swiss Prime Site Finance AG</t>
  </si>
  <si>
    <t>1266340,537,333</t>
  </si>
  <si>
    <t>US4642875235</t>
  </si>
  <si>
    <t>iShares Semiconductor ETF</t>
  </si>
  <si>
    <t>1266340</t>
  </si>
  <si>
    <t>117918442,4,1</t>
  </si>
  <si>
    <t>CH1179184424</t>
  </si>
  <si>
    <t>KR</t>
  </si>
  <si>
    <t>0.94 KDB 27 MTN</t>
  </si>
  <si>
    <t>117918442</t>
  </si>
  <si>
    <t>The Korea Development Bank</t>
  </si>
  <si>
    <t>IE00BJ5JPG56</t>
  </si>
  <si>
    <t>iShares IV PLC - iShares MSCI China UCITS ETF</t>
  </si>
  <si>
    <t>47256616</t>
  </si>
  <si>
    <t>DE000A0F5UK5</t>
  </si>
  <si>
    <t>iShares STOXX Europe 600 Basic Resources UCITS ETF (DE)</t>
  </si>
  <si>
    <t>12980519</t>
  </si>
  <si>
    <t>IE00BKPSFD61</t>
  </si>
  <si>
    <t>iShares IV PLC - iShares China CNY Bond UCITS ETF</t>
  </si>
  <si>
    <t>54540945</t>
  </si>
  <si>
    <t>37347612,4,1</t>
  </si>
  <si>
    <t>CH0373476123</t>
  </si>
  <si>
    <t>1 SGKB 27-S</t>
  </si>
  <si>
    <t>37347612</t>
  </si>
  <si>
    <t>St.Galler Kantonalbank AG</t>
  </si>
  <si>
    <t>39756353,16,814</t>
  </si>
  <si>
    <t>XS1747444831</t>
  </si>
  <si>
    <t>NL</t>
  </si>
  <si>
    <t>1.125 BMW 28 Bds</t>
  </si>
  <si>
    <t>39756353</t>
  </si>
  <si>
    <t>BMW Finance NV</t>
  </si>
  <si>
    <t>1065255,1703,814</t>
  </si>
  <si>
    <t>IE0008470928</t>
  </si>
  <si>
    <t>iShares II PLC - iShares STOXX Europe 50 UCITS ETF</t>
  </si>
  <si>
    <t>1065255</t>
  </si>
  <si>
    <t>126683261,16,88</t>
  </si>
  <si>
    <t>AU3CB0299477</t>
  </si>
  <si>
    <t>3.8 Kreditan 28 Nts</t>
  </si>
  <si>
    <t>126683261</t>
  </si>
  <si>
    <t>Kreditanstalt fuer Wiederaufbau KFW</t>
  </si>
  <si>
    <t>41887057,321,333</t>
  </si>
  <si>
    <t>US46137V3574</t>
  </si>
  <si>
    <t>Invesco S&amp;P 500 Equal Weight ETF</t>
  </si>
  <si>
    <t>41887057</t>
  </si>
  <si>
    <t>112008567,4,1</t>
  </si>
  <si>
    <t>CH1120085670</t>
  </si>
  <si>
    <t>GB</t>
  </si>
  <si>
    <t>0.15 UBSL 28 Obl -S</t>
  </si>
  <si>
    <t>112008567</t>
  </si>
  <si>
    <t>UBS AG, London Branch</t>
  </si>
  <si>
    <t>LU1169830103</t>
  </si>
  <si>
    <t>UBS (Lux) Fund Solutions SICAV - UBS MSCI Switzerland 20/35 UCITS ETF</t>
  </si>
  <si>
    <t>26688077</t>
  </si>
  <si>
    <t>111848374,4,1</t>
  </si>
  <si>
    <t>CH1118483747</t>
  </si>
  <si>
    <t>AU</t>
  </si>
  <si>
    <t>0.395 MQG 28 Obl -S</t>
  </si>
  <si>
    <t>111848374</t>
  </si>
  <si>
    <t>Macquarie Group Ltd</t>
  </si>
  <si>
    <t>50607113,4,1</t>
  </si>
  <si>
    <t>CH0506071130</t>
  </si>
  <si>
    <t>0 LUKB 28</t>
  </si>
  <si>
    <t>50607113</t>
  </si>
  <si>
    <t>Luzerner Kantonalbank AG</t>
  </si>
  <si>
    <t>4613240,3231,333</t>
  </si>
  <si>
    <t>LU0390135332</t>
  </si>
  <si>
    <t>Franklin Templeton Investment Funds SICAV - Templeton Asian Smaller Companies Fund</t>
  </si>
  <si>
    <t>4613240</t>
  </si>
  <si>
    <t>36082722,321,333</t>
  </si>
  <si>
    <t>56174075,2779,814</t>
  </si>
  <si>
    <t>XS2209794408</t>
  </si>
  <si>
    <t>0 KFW 28 Bds</t>
  </si>
  <si>
    <t>56174075</t>
  </si>
  <si>
    <t>10608422,1703,814</t>
  </si>
  <si>
    <t>IE00B4L5ZG21</t>
  </si>
  <si>
    <t>iShares III PLC - iShares EUR Corp Bond ex-Financials UCITS ETF</t>
  </si>
  <si>
    <t>10608422</t>
  </si>
  <si>
    <t>57289925,4,1</t>
  </si>
  <si>
    <t>CH0572899257</t>
  </si>
  <si>
    <t>0.5 RAIF 28 Obl -S</t>
  </si>
  <si>
    <t>57289925</t>
  </si>
  <si>
    <t>Raiffeisen Schweiz Genossenschaft</t>
  </si>
  <si>
    <t>LU1240788148</t>
  </si>
  <si>
    <t>28364651</t>
  </si>
  <si>
    <t>1064593,4,1</t>
  </si>
  <si>
    <t>CH0010645932</t>
  </si>
  <si>
    <t>Givaudan N</t>
  </si>
  <si>
    <t>1064593</t>
  </si>
  <si>
    <t>Givaudan AG</t>
  </si>
  <si>
    <t>Chemie</t>
  </si>
  <si>
    <t>114275428,4,1</t>
  </si>
  <si>
    <t>CH1142754287</t>
  </si>
  <si>
    <t>0.795 FONPLATA 28</t>
  </si>
  <si>
    <t>114275428</t>
  </si>
  <si>
    <t>DE000A0Q4R36</t>
  </si>
  <si>
    <t>iShares STOXX Europe 600 Health Care UCITS ETF (DE)</t>
  </si>
  <si>
    <t>12974725</t>
  </si>
  <si>
    <t>46123906,4,1</t>
  </si>
  <si>
    <t>CH0461239060</t>
  </si>
  <si>
    <t>0.15 PSP 29 Obl</t>
  </si>
  <si>
    <t>46123906</t>
  </si>
  <si>
    <t>PSP Swiss Property AG</t>
  </si>
  <si>
    <t>24767694,1703,814</t>
  </si>
  <si>
    <t>IE00BKWQ0K51</t>
  </si>
  <si>
    <t>24767694</t>
  </si>
  <si>
    <t>46983345,16,333</t>
  </si>
  <si>
    <t>US377373AH85</t>
  </si>
  <si>
    <t>3.375 GSK 29 Nts</t>
  </si>
  <si>
    <t>46983345</t>
  </si>
  <si>
    <t>GlaxoSmithKline Capital PLC</t>
  </si>
  <si>
    <t>50607136,4,1</t>
  </si>
  <si>
    <t>CH0506071361</t>
  </si>
  <si>
    <t>0.2 PSP 31 Anl -S</t>
  </si>
  <si>
    <t>50607136</t>
  </si>
  <si>
    <t>111846098,4,1</t>
  </si>
  <si>
    <t>CH1118460984</t>
  </si>
  <si>
    <t>0.2125 AGRI29 604 1</t>
  </si>
  <si>
    <t>111846098</t>
  </si>
  <si>
    <t>Credit Agricole SA</t>
  </si>
  <si>
    <t>243217,4,1</t>
  </si>
  <si>
    <t>CH0002432174</t>
  </si>
  <si>
    <t>Bucher Industries N</t>
  </si>
  <si>
    <t>243217</t>
  </si>
  <si>
    <t>Fahrzeuge</t>
  </si>
  <si>
    <t>48708733,4,1</t>
  </si>
  <si>
    <t>CH0487087337</t>
  </si>
  <si>
    <t>AT</t>
  </si>
  <si>
    <t>0.125 HYVB 29 Obl</t>
  </si>
  <si>
    <t>48708733</t>
  </si>
  <si>
    <t>Hypo Vorarlberg Bank AG</t>
  </si>
  <si>
    <t>NRW.BANK</t>
  </si>
  <si>
    <t>3477137,719,333</t>
  </si>
  <si>
    <t>IE00B27YCK28</t>
  </si>
  <si>
    <t>iShares II PLC - iShares MSCI EM Latin America UCITS ETF</t>
  </si>
  <si>
    <t>3477137</t>
  </si>
  <si>
    <t>113712277,4,1</t>
  </si>
  <si>
    <t>CH1137122771</t>
  </si>
  <si>
    <t>0.25 RBCM 29 EMTN</t>
  </si>
  <si>
    <t>113712277</t>
  </si>
  <si>
    <t>Royal Bank of Canada</t>
  </si>
  <si>
    <t>10413623,349,333</t>
  </si>
  <si>
    <t>CH0104136236</t>
  </si>
  <si>
    <t>iShares ETF II (CH) - iShares Gold ETF (CH)</t>
  </si>
  <si>
    <t>10413623</t>
  </si>
  <si>
    <t>48526083,4,1</t>
  </si>
  <si>
    <t>CH0485260837</t>
  </si>
  <si>
    <t>0 Glarner KB 29 Obl</t>
  </si>
  <si>
    <t>48526083</t>
  </si>
  <si>
    <t>Glarner Kantonalbank</t>
  </si>
  <si>
    <t>42480705,361,333</t>
  </si>
  <si>
    <t>IE00BFWFPX50</t>
  </si>
  <si>
    <t>42480705</t>
  </si>
  <si>
    <t>48940521,16,814</t>
  </si>
  <si>
    <t>EU000A1G0EE0</t>
  </si>
  <si>
    <t>0.05 EFSF 29 Anl</t>
  </si>
  <si>
    <t>48940521</t>
  </si>
  <si>
    <t>European Financial Stability Facility</t>
  </si>
  <si>
    <t>1939699,4,1</t>
  </si>
  <si>
    <t>CH0019396990</t>
  </si>
  <si>
    <t>1939699</t>
  </si>
  <si>
    <t>Ypsomed Holding AG</t>
  </si>
  <si>
    <t>Pharmazeutik, Kosmetik &amp; med. Produkte</t>
  </si>
  <si>
    <t>113081936,2779,814</t>
  </si>
  <si>
    <t>XS2374594823</t>
  </si>
  <si>
    <t>0.375 Volks 30 Bds</t>
  </si>
  <si>
    <t>113081936</t>
  </si>
  <si>
    <t>11926603,349,333</t>
  </si>
  <si>
    <t>UBS (Irl) Fund Solutions PLC - UBS CMCI Composite SF UCITS ETF</t>
  </si>
  <si>
    <t>11926603</t>
  </si>
  <si>
    <t>52515846,4,1</t>
  </si>
  <si>
    <t>CH0525158462</t>
  </si>
  <si>
    <t>0.125 HYVB 30</t>
  </si>
  <si>
    <t>52515846</t>
  </si>
  <si>
    <t>4753354,349,333</t>
  </si>
  <si>
    <t>CH0047533549</t>
  </si>
  <si>
    <t>Swisscanto (CH) Gold ETF</t>
  </si>
  <si>
    <t>4753354</t>
  </si>
  <si>
    <t>145418594,4,1</t>
  </si>
  <si>
    <t>CH1454185948</t>
  </si>
  <si>
    <t>UY</t>
  </si>
  <si>
    <t>1.04 URY 30 Bds</t>
  </si>
  <si>
    <t>145418594</t>
  </si>
  <si>
    <t>Republik Oestlich des Uruguay</t>
  </si>
  <si>
    <t>38785045,6920,814</t>
  </si>
  <si>
    <t>LU1681046774</t>
  </si>
  <si>
    <t>38785045</t>
  </si>
  <si>
    <t>38784749,1703,814</t>
  </si>
  <si>
    <t>LU1681044647</t>
  </si>
  <si>
    <t>Amundi Index Solutions SICAV - Amundi MSCI Nordic</t>
  </si>
  <si>
    <t>38784749</t>
  </si>
  <si>
    <t>111224674,4,1</t>
  </si>
  <si>
    <t>CH1112246744</t>
  </si>
  <si>
    <t>0.875 LUKB 31 -Unty</t>
  </si>
  <si>
    <t>111224674</t>
  </si>
  <si>
    <t>111822338,4,1</t>
  </si>
  <si>
    <t>CH1118223382</t>
  </si>
  <si>
    <t>1 GLKB 31 Obl</t>
  </si>
  <si>
    <t>111822338</t>
  </si>
  <si>
    <t>18313605,4,1</t>
  </si>
  <si>
    <t>CH0183136057</t>
  </si>
  <si>
    <t>Swisscanto (CH) Platinum ETF</t>
  </si>
  <si>
    <t>18313605</t>
  </si>
  <si>
    <t>114872812,4,1</t>
  </si>
  <si>
    <t>CH1148728129</t>
  </si>
  <si>
    <t>0.85 BEKB 32 Anl-S</t>
  </si>
  <si>
    <t>114872812</t>
  </si>
  <si>
    <t>Berner Kantonalbank AG</t>
  </si>
  <si>
    <t>1704395,4,1</t>
  </si>
  <si>
    <t>CH0017043958</t>
  </si>
  <si>
    <t>UBS (CH) Equity Fund - Swiss Income (CHF)</t>
  </si>
  <si>
    <t>1704395</t>
  </si>
  <si>
    <t>113789568,15,814</t>
  </si>
  <si>
    <t>XS2389353264</t>
  </si>
  <si>
    <t>0.75 GS 32 EMTN</t>
  </si>
  <si>
    <t>113789568</t>
  </si>
  <si>
    <t>Goldman Sachs Group Inc</t>
  </si>
  <si>
    <t>140006450,4,1</t>
  </si>
  <si>
    <t>CH1400064502</t>
  </si>
  <si>
    <t>1.1 Helvetia 33 Bds</t>
  </si>
  <si>
    <t>140006450</t>
  </si>
  <si>
    <t>Helvetia Schweizerische Versicherungsgesellschaft AG</t>
  </si>
  <si>
    <t>145773801,4,1</t>
  </si>
  <si>
    <t>CH1457738016</t>
  </si>
  <si>
    <t>0.92 SNCF 34 EMTN</t>
  </si>
  <si>
    <t>145773801</t>
  </si>
  <si>
    <t>Societe Nationale SNCF SA</t>
  </si>
  <si>
    <t>Verkehr &amp; Transport</t>
  </si>
  <si>
    <t>36082699,4,1</t>
  </si>
  <si>
    <t>CH0360826991</t>
  </si>
  <si>
    <t>36082699</t>
  </si>
  <si>
    <t>Comet Holding AG</t>
  </si>
  <si>
    <t>Elektrische Geräte &amp; Komponenten</t>
  </si>
  <si>
    <t>49315636,16,814</t>
  </si>
  <si>
    <t>DE000A2YNZY4</t>
  </si>
  <si>
    <t>1.125 Mercedes34 86</t>
  </si>
  <si>
    <t>49315636</t>
  </si>
  <si>
    <t>Mercedes-Benz Group AG</t>
  </si>
  <si>
    <t>986013,66,333</t>
  </si>
  <si>
    <t>US81369Y4070</t>
  </si>
  <si>
    <t>Consumer Discretionary Select Sector SPDR Fund</t>
  </si>
  <si>
    <t>986013</t>
  </si>
  <si>
    <t>140006457,4,1</t>
  </si>
  <si>
    <t>CH1400064577</t>
  </si>
  <si>
    <t>2.1 Barry Cal35 Bds</t>
  </si>
  <si>
    <t>140006457</t>
  </si>
  <si>
    <t>1384101,4,1</t>
  </si>
  <si>
    <t>CH0013841017</t>
  </si>
  <si>
    <t>1384101</t>
  </si>
  <si>
    <t>Lonza Group AG</t>
  </si>
  <si>
    <t>55823624,13,814</t>
  </si>
  <si>
    <t>DE000NWB0AK3</t>
  </si>
  <si>
    <t>0.1 NRWB 35 810 1</t>
  </si>
  <si>
    <t>55823624</t>
  </si>
  <si>
    <t>18082393,13,814</t>
  </si>
  <si>
    <t>GRR000000010</t>
  </si>
  <si>
    <t>GR</t>
  </si>
  <si>
    <t>Hellen Rep 42 GDP</t>
  </si>
  <si>
    <t>18082393</t>
  </si>
  <si>
    <t>Hellenische Republik</t>
  </si>
  <si>
    <t>27574862,16,814</t>
  </si>
  <si>
    <t>XS1206541366</t>
  </si>
  <si>
    <t>VW Intl -S FTVN</t>
  </si>
  <si>
    <t>27574862</t>
  </si>
  <si>
    <t>Volkswagen International Finance NV</t>
  </si>
  <si>
    <t>24767874,6920,814</t>
  </si>
  <si>
    <t>IE00BKWQ0L68</t>
  </si>
  <si>
    <t>24767874</t>
  </si>
  <si>
    <t>FR0003999010</t>
  </si>
  <si>
    <t>Gold  1 Kg</t>
  </si>
  <si>
    <t>274701</t>
  </si>
  <si>
    <t>Edelmetalle &amp; Edelsteine</t>
  </si>
  <si>
    <t>281149,176,1</t>
  </si>
  <si>
    <t>XD0002811491</t>
  </si>
  <si>
    <t>281149</t>
  </si>
  <si>
    <t>CH0002811245</t>
  </si>
  <si>
    <t>281124</t>
  </si>
  <si>
    <t>1485278,4,1</t>
  </si>
  <si>
    <t>CH0014852781</t>
  </si>
  <si>
    <t>Swiss Life Hldg N</t>
  </si>
  <si>
    <t>1485278</t>
  </si>
  <si>
    <t>Swiss Life Holding AG</t>
  </si>
  <si>
    <t>ZAE000003992</t>
  </si>
  <si>
    <t>Gold Muenzen</t>
  </si>
  <si>
    <t>281626</t>
  </si>
  <si>
    <t>IE00BKWQ0G16</t>
  </si>
  <si>
    <t>24767127</t>
  </si>
  <si>
    <t>281624,190,1</t>
  </si>
  <si>
    <t>ZAE000003950</t>
  </si>
  <si>
    <t>S. Afr. Goldm. Krue</t>
  </si>
  <si>
    <t>281624</t>
  </si>
  <si>
    <t>2914124,719,333</t>
  </si>
  <si>
    <t>FR0010435297</t>
  </si>
  <si>
    <t>2914124</t>
  </si>
  <si>
    <t>281889,178,333</t>
  </si>
  <si>
    <t>XD0002818892</t>
  </si>
  <si>
    <t>Goldm CAD50 MapleL</t>
  </si>
  <si>
    <t>281889</t>
  </si>
  <si>
    <t>985677,66,333</t>
  </si>
  <si>
    <t>US81369Y1001</t>
  </si>
  <si>
    <t>Materials Select Sector SPDR Fund</t>
  </si>
  <si>
    <t>985677</t>
  </si>
  <si>
    <t>31609599,719,333</t>
  </si>
  <si>
    <t>IE00BZCQB185</t>
  </si>
  <si>
    <t>iShares IV PLC - iShares MSCI India UCITS ETF</t>
  </si>
  <si>
    <t>31609599</t>
  </si>
  <si>
    <t>10737120,361,333</t>
  </si>
  <si>
    <t>IE00B52MJY50</t>
  </si>
  <si>
    <t>iShares VII PLC - iShares Core MSCI Pacific ex Japan UCITS ETF</t>
  </si>
  <si>
    <t>10737120</t>
  </si>
  <si>
    <t>21182580,1703,814</t>
  </si>
  <si>
    <t>LU0908500753</t>
  </si>
  <si>
    <t>21182580</t>
  </si>
  <si>
    <t>36067446,4,1</t>
  </si>
  <si>
    <t>CH0360674466</t>
  </si>
  <si>
    <t>36067446</t>
  </si>
  <si>
    <t>Galenica AG</t>
  </si>
  <si>
    <t>42745975,6920,814</t>
  </si>
  <si>
    <t>LU1812090543</t>
  </si>
  <si>
    <t>Amundi Index Solutions SICAV - Amundi EUR High Yield Corporate Bond ESG</t>
  </si>
  <si>
    <t>42745975</t>
  </si>
  <si>
    <t>20023273,719,333</t>
  </si>
  <si>
    <t>IE00B6SPMN59</t>
  </si>
  <si>
    <t>iShares VI PLC - iShares Edge S&amp;P 500 Minimum Volatility UCITS ETF</t>
  </si>
  <si>
    <t>20023273</t>
  </si>
  <si>
    <t>45209801,1703,814</t>
  </si>
  <si>
    <t>LU1900066462</t>
  </si>
  <si>
    <t>Multi Units Luxembourg SICAV - Amundi MSCI Eastern Europe Ex Russia</t>
  </si>
  <si>
    <t>45209801</t>
  </si>
  <si>
    <t>CH0500707168</t>
  </si>
  <si>
    <t>UBS (CH) Equity Fund - Swiss High Dividend (CHF)</t>
  </si>
  <si>
    <t>50070716</t>
  </si>
  <si>
    <t>40916345,5,1</t>
  </si>
  <si>
    <t>LU1781541252</t>
  </si>
  <si>
    <t>40916345</t>
  </si>
  <si>
    <t>48369993,4,1</t>
  </si>
  <si>
    <t>IE00BK7XZ629</t>
  </si>
  <si>
    <t>iShares PLC - iShares USD Treasury Bond 1-3yr UCITS ETF</t>
  </si>
  <si>
    <t>48369993</t>
  </si>
  <si>
    <t>LU0942970442</t>
  </si>
  <si>
    <t>Xtrackers II SICAV - Xtrackers II ESG Global Aggregate Bond UCITS ETF</t>
  </si>
  <si>
    <t>23971272</t>
  </si>
  <si>
    <t>327800,44,814</t>
  </si>
  <si>
    <t>DE0005439004</t>
  </si>
  <si>
    <t>Continental I</t>
  </si>
  <si>
    <t>327800</t>
  </si>
  <si>
    <t>Continental AG</t>
  </si>
  <si>
    <t>Gummi &amp; Reifen</t>
  </si>
  <si>
    <t>23793847,1703,814</t>
  </si>
  <si>
    <t>LU0942970798</t>
  </si>
  <si>
    <t>23793847</t>
  </si>
  <si>
    <t>28549941,537,333</t>
  </si>
  <si>
    <t>US33734X8469</t>
  </si>
  <si>
    <t>28549941</t>
  </si>
  <si>
    <t>14149598,321,333</t>
  </si>
  <si>
    <t>US4642865178</t>
  </si>
  <si>
    <t>iShares J.P. Morgan EM Local Currency Bond ETF</t>
  </si>
  <si>
    <t>14149598</t>
  </si>
  <si>
    <t>33923402,537,333</t>
  </si>
  <si>
    <t>US37954Y7159</t>
  </si>
  <si>
    <t>33923402</t>
  </si>
  <si>
    <t>IE00BJ847509</t>
  </si>
  <si>
    <t>Muzinich Funds - Muzinich Enhancedyield Short-Term Fund</t>
  </si>
  <si>
    <t>51316555</t>
  </si>
  <si>
    <t>127984260,361,333</t>
  </si>
  <si>
    <t>IE000OJ5TQP4</t>
  </si>
  <si>
    <t>127984260</t>
  </si>
  <si>
    <t>LU0972649379</t>
  </si>
  <si>
    <t>Goldman Sachs Funds SICAV - Goldman Sachs Global High Yield Portfolio</t>
  </si>
  <si>
    <t>22352865</t>
  </si>
  <si>
    <t>47284465,1703,814</t>
  </si>
  <si>
    <t>IE00BJQTJ848</t>
  </si>
  <si>
    <t>HANetf ICAV - Harbor Health Care UCITS ETF</t>
  </si>
  <si>
    <t>47284465</t>
  </si>
  <si>
    <t>4613654,3231,333</t>
  </si>
  <si>
    <t>LU0390136223</t>
  </si>
  <si>
    <t>4613654</t>
  </si>
  <si>
    <t>47284465,361,333</t>
  </si>
  <si>
    <t>DE000A0H08F7</t>
  </si>
  <si>
    <t>iShares STOXX Europe 600 Construction &amp; Materials UCITS ETF (DE)</t>
  </si>
  <si>
    <t>12980561</t>
  </si>
  <si>
    <t>37364244,4,1</t>
  </si>
  <si>
    <t>IE00BYVTMT69</t>
  </si>
  <si>
    <t>37364244</t>
  </si>
  <si>
    <t>27653461,4,1</t>
  </si>
  <si>
    <t>CH0276534614</t>
  </si>
  <si>
    <t>Zehnder Grp -A- N</t>
  </si>
  <si>
    <t>27653461</t>
  </si>
  <si>
    <t>Zehnder Group AG</t>
  </si>
  <si>
    <t>45203768,1703,814</t>
  </si>
  <si>
    <t>LU1900068328</t>
  </si>
  <si>
    <t>Multi Units Luxembourg SICAV - Amundi MSCI AC Asia Pacific Ex Japan</t>
  </si>
  <si>
    <t>45203768</t>
  </si>
  <si>
    <t>55988416,321,333</t>
  </si>
  <si>
    <t>US5007676787</t>
  </si>
  <si>
    <t>KraneShares Global Carbon Strategy ETF</t>
  </si>
  <si>
    <t>55988416</t>
  </si>
  <si>
    <t>31596632,4,1</t>
  </si>
  <si>
    <t>CH0315966322</t>
  </si>
  <si>
    <t>Bell Food Gr N</t>
  </si>
  <si>
    <t>31596632</t>
  </si>
  <si>
    <t>Bell Food Group AG</t>
  </si>
  <si>
    <t>52875158,4,1</t>
  </si>
  <si>
    <t>CH0528751586</t>
  </si>
  <si>
    <t>52875158</t>
  </si>
  <si>
    <t>VZ Holding AG</t>
  </si>
  <si>
    <t>35722327,361,333</t>
  </si>
  <si>
    <t>IE00B4LN9N13</t>
  </si>
  <si>
    <t>iShares V PLC - iShares S&amp;P 500 Industrials Sector UCITS ETF</t>
  </si>
  <si>
    <t>35722327</t>
  </si>
  <si>
    <t>22697681,4,1</t>
  </si>
  <si>
    <t>CH0226976816</t>
  </si>
  <si>
    <t>iShares ETF (CH) - iShares Core CHF Corporate   Bond ETF (CH)</t>
  </si>
  <si>
    <t>22697681</t>
  </si>
  <si>
    <t>37115349,4,1</t>
  </si>
  <si>
    <t>CH0371153492</t>
  </si>
  <si>
    <t>37115349</t>
  </si>
  <si>
    <t>Landis+Gyr Group AG</t>
  </si>
  <si>
    <t>10737041,361,333</t>
  </si>
  <si>
    <t>IE00B5BMR087</t>
  </si>
  <si>
    <t>iShares VII PLC - iShares Core S&amp;P 500 UCITS ETF</t>
  </si>
  <si>
    <t>10737041</t>
  </si>
  <si>
    <t>36082553,361,333</t>
  </si>
  <si>
    <t>IE00BDFL4P12</t>
  </si>
  <si>
    <t>iShares VI PLC - iShares Diversified Commodity  Swap UCITS ETF</t>
  </si>
  <si>
    <t>36082553</t>
  </si>
  <si>
    <t>18127378,4,1</t>
  </si>
  <si>
    <t>IE00B6QGFW01</t>
  </si>
  <si>
    <t>iShares III PLC - iShares Emerging Asia Local Govt Bond UCITS ETF</t>
  </si>
  <si>
    <t>18127378</t>
  </si>
  <si>
    <t>10602714,351,814</t>
  </si>
  <si>
    <t>CH0106027144</t>
  </si>
  <si>
    <t>UBS ETF (CH) - UBS Gold hEUR ETF</t>
  </si>
  <si>
    <t>10602714</t>
  </si>
  <si>
    <t>18127378,1703,814</t>
  </si>
  <si>
    <t>18127378,361,333</t>
  </si>
  <si>
    <t>12281706,3230,814</t>
  </si>
  <si>
    <t>LU0566486402</t>
  </si>
  <si>
    <t>abrdn SICAV I SICAV - Asia Pacific Sustainable Equity Fund</t>
  </si>
  <si>
    <t>12281706</t>
  </si>
  <si>
    <t>19328353,4,1</t>
  </si>
  <si>
    <t>IE00B88DZ566</t>
  </si>
  <si>
    <t>iShares VI PLC - iShares S&amp;P 500 CHF Hedged UCITS ETF (Acc)</t>
  </si>
  <si>
    <t>19328353</t>
  </si>
  <si>
    <t>28805648,361,333</t>
  </si>
  <si>
    <t>IE00BWBXM831</t>
  </si>
  <si>
    <t>28805648</t>
  </si>
  <si>
    <t>3246465,349,333</t>
  </si>
  <si>
    <t>IE00B1XNHC34</t>
  </si>
  <si>
    <t>iShares II PLC - iShares Global Clean Energy Transition UCITS ETF</t>
  </si>
  <si>
    <t>3246465</t>
  </si>
  <si>
    <t>18313600,349,333</t>
  </si>
  <si>
    <t>CH0183136008</t>
  </si>
  <si>
    <t>Swisscanto (CH) Silver ETF</t>
  </si>
  <si>
    <t>18313600</t>
  </si>
  <si>
    <t>22134231,4,1</t>
  </si>
  <si>
    <t>IE00B988C465</t>
  </si>
  <si>
    <t>iShares VI PLC - iShares Global High Yield Corp Bond CHF Hedged UCITS ETF (Dist)</t>
  </si>
  <si>
    <t>22134231</t>
  </si>
  <si>
    <t>1266335,321,333</t>
  </si>
  <si>
    <t>1266335</t>
  </si>
  <si>
    <t>22374957,594,814</t>
  </si>
  <si>
    <t>IE00BD4TYG73</t>
  </si>
  <si>
    <t>UBS (Irl) ETF PLC - UBS Core MSCI USA hEUR UCITS ETF</t>
  </si>
  <si>
    <t>22374957</t>
  </si>
  <si>
    <t>36465638,1703,814</t>
  </si>
  <si>
    <t>LU1600334798</t>
  </si>
  <si>
    <t>36465638</t>
  </si>
  <si>
    <t>10608419,361,333</t>
  </si>
  <si>
    <t>IE00B4L5YX21</t>
  </si>
  <si>
    <t>iShares III PLC - iShares Core MSCI Japan IMI UCITS ETF</t>
  </si>
  <si>
    <t>10608419</t>
  </si>
  <si>
    <t>2340545,4,1</t>
  </si>
  <si>
    <t>CH0023405456</t>
  </si>
  <si>
    <t>2340545</t>
  </si>
  <si>
    <t>Avolta AG</t>
  </si>
  <si>
    <t>Einzelhandel, Warenhäuser</t>
  </si>
  <si>
    <t>DE000A0F5UJ7</t>
  </si>
  <si>
    <t>iShares STOXX Europe 600 Banks UCITS ETF (DE)</t>
  </si>
  <si>
    <t>12980110</t>
  </si>
  <si>
    <t>3801845,6920,814</t>
  </si>
  <si>
    <t>IE00B2NPKV68</t>
  </si>
  <si>
    <t>iShares II PLC - iShares J.P. Morgan USD EM Bond UCITS ETF</t>
  </si>
  <si>
    <t>3801845</t>
  </si>
  <si>
    <t>LU1953056766</t>
  </si>
  <si>
    <t>UBS (Lux) Equity SICAV - Global Emerging Markets Opportunity (USD)</t>
  </si>
  <si>
    <t>46424244</t>
  </si>
  <si>
    <t>FR0014004L86</t>
  </si>
  <si>
    <t>Dassault Avia</t>
  </si>
  <si>
    <t>112611164</t>
  </si>
  <si>
    <t>Dassault Aviation SA</t>
  </si>
  <si>
    <t>Flugzeug- &amp; Raumfahrtindustrie</t>
  </si>
  <si>
    <t>11834662,361,814</t>
  </si>
  <si>
    <t>IE00B3ZW0K18</t>
  </si>
  <si>
    <t>iShares V PLC - iShares S&amp;P 500 EUR Hedged UCITS ETF (Acc)</t>
  </si>
  <si>
    <t>19328344,4,1</t>
  </si>
  <si>
    <t>IE00B8J37J31</t>
  </si>
  <si>
    <t>iShares VI PLC - iShares MSCI Japan CHF Hedged UCITS ETF (Acc)</t>
  </si>
  <si>
    <t>19328344</t>
  </si>
  <si>
    <t>DE000A0H08Q4</t>
  </si>
  <si>
    <t>iShares STOXX Europe 600 Technology UCITS ETF (DE)</t>
  </si>
  <si>
    <t>12980945</t>
  </si>
  <si>
    <t>34389247,321,333</t>
  </si>
  <si>
    <t>US46434G7806</t>
  </si>
  <si>
    <t>iShares MSCI Singapore ETF</t>
  </si>
  <si>
    <t>34389247</t>
  </si>
  <si>
    <t>34389251,321,333</t>
  </si>
  <si>
    <t>US46435G3341</t>
  </si>
  <si>
    <t>34389251</t>
  </si>
  <si>
    <t>CH0502155648</t>
  </si>
  <si>
    <t>50215564</t>
  </si>
  <si>
    <t>10737617,361,333</t>
  </si>
  <si>
    <t>IE00B53SZB19</t>
  </si>
  <si>
    <t>iShares VII PLC - iShares NASDAQ 100 UCITS ETF</t>
  </si>
  <si>
    <t>10737617</t>
  </si>
  <si>
    <t>2308827,1703,814</t>
  </si>
  <si>
    <t>IE00B0M62X26</t>
  </si>
  <si>
    <t>iShares PLC - iShares EUR Inflation Linked Govt Bond UCITS ETF</t>
  </si>
  <si>
    <t>2308827</t>
  </si>
  <si>
    <t>DE000A0H08J9</t>
  </si>
  <si>
    <t>iShares STOXX Europe 600 Industrial Goods &amp; Services UCITS ETF (DE)</t>
  </si>
  <si>
    <t>12980675</t>
  </si>
  <si>
    <t>35722479,361,333</t>
  </si>
  <si>
    <t>IE00B40B8R38</t>
  </si>
  <si>
    <t>iShares V PLC - iShares S&amp;P 500 Consumer Staples Sector UCITS ETF</t>
  </si>
  <si>
    <t>35722479</t>
  </si>
  <si>
    <t>28805652,361,333</t>
  </si>
  <si>
    <t>IE00BWBXM948</t>
  </si>
  <si>
    <t>28805652</t>
  </si>
  <si>
    <t>30453019,361,333</t>
  </si>
  <si>
    <t>IE00B4JNQZ49</t>
  </si>
  <si>
    <t>iShares V PLC - iShares S&amp;P 500 Financials Sector UCITS ETF</t>
  </si>
  <si>
    <t>30453019</t>
  </si>
  <si>
    <t>28805622,361,333</t>
  </si>
  <si>
    <t>IE00BWBXM617</t>
  </si>
  <si>
    <t>28805622</t>
  </si>
  <si>
    <t>30452906,361,333</t>
  </si>
  <si>
    <t>IE00B43HR379</t>
  </si>
  <si>
    <t>iShares V PLC - iShares S&amp;P 500 Health Care     Sector UCITS ETF</t>
  </si>
  <si>
    <t>30452906</t>
  </si>
  <si>
    <t>24767119,361,814</t>
  </si>
  <si>
    <t>IE00BKWQ0F09</t>
  </si>
  <si>
    <t>24767119</t>
  </si>
  <si>
    <t>30453015,361,333</t>
  </si>
  <si>
    <t>IE00B3WJKG14</t>
  </si>
  <si>
    <t>iShares V PLC - iShares S&amp;P 500 Information     Technology Sector UCITS ETF</t>
  </si>
  <si>
    <t>30453015</t>
  </si>
  <si>
    <t>22031846,321,333</t>
  </si>
  <si>
    <t>US5007673065</t>
  </si>
  <si>
    <t>KraneShares CSI China Internet ETF</t>
  </si>
  <si>
    <t>22031846</t>
  </si>
  <si>
    <t>35722518,361,333</t>
  </si>
  <si>
    <t>IE00B4MKCJ84</t>
  </si>
  <si>
    <t>iShares V PLC - iShares S&amp;P 500 Materials Sector UCITS ETF</t>
  </si>
  <si>
    <t>35722518</t>
  </si>
  <si>
    <t>35722455,361,333</t>
  </si>
  <si>
    <t>IE00B4KBBD01</t>
  </si>
  <si>
    <t>iShares V PLC - iShares S&amp;P 500 Utilities Sector UCITS ETF</t>
  </si>
  <si>
    <t>35722455</t>
  </si>
  <si>
    <t>DE000A0Q4R28</t>
  </si>
  <si>
    <t>iShares STOXX Europe 600 Automobiles &amp; Parts UCITS ETF (DE)</t>
  </si>
  <si>
    <t>12981034</t>
  </si>
  <si>
    <t>1282989,4,1</t>
  </si>
  <si>
    <t>CH0012829898</t>
  </si>
  <si>
    <t>Emmi N</t>
  </si>
  <si>
    <t>1282989</t>
  </si>
  <si>
    <t>LU1169821888</t>
  </si>
  <si>
    <t>UBS (Lux) Fund Solutions SICAV - UBS Core MSCI Japan UCITS ETF</t>
  </si>
  <si>
    <t>26751433</t>
  </si>
  <si>
    <t>DE000A0H08E0</t>
  </si>
  <si>
    <t>iShares STOXX Europe 600 Chemicals UCITS ETF (DE)</t>
  </si>
  <si>
    <t>12980549</t>
  </si>
  <si>
    <t>DE000A0H08G5</t>
  </si>
  <si>
    <t>iShares STOXX Europe 600 Financial Services UCITS ETF (DE)</t>
  </si>
  <si>
    <t>12980644</t>
  </si>
  <si>
    <t>3067298,719,333</t>
  </si>
  <si>
    <t>LU0292107991</t>
  </si>
  <si>
    <t>Xtrackers SICAV - Xtrackers MSCI EM Asia Screened Swap UCITS ETF</t>
  </si>
  <si>
    <t>3067298</t>
  </si>
  <si>
    <t>DE000A0H08H3</t>
  </si>
  <si>
    <t>iShares STOXX Europe 600 Food &amp; Beverage UCITS ETF (DE)</t>
  </si>
  <si>
    <t>12980579</t>
  </si>
  <si>
    <t>1245893,1573,662</t>
  </si>
  <si>
    <t>NO0010096985</t>
  </si>
  <si>
    <t>NOK</t>
  </si>
  <si>
    <t>Equinor N</t>
  </si>
  <si>
    <t>1245893</t>
  </si>
  <si>
    <t>Equinor ASA</t>
  </si>
  <si>
    <t>Erdöl/-gas</t>
  </si>
  <si>
    <t>LU1309082177</t>
  </si>
  <si>
    <t>Schroder GAIA SICAV - Schroder GAIA Sirios US Equity</t>
  </si>
  <si>
    <t>30229186</t>
  </si>
  <si>
    <t>DE000A0H08M3</t>
  </si>
  <si>
    <t>iShares STOXX Europe 600 Oil &amp; Gas UCITS ETF (DE)</t>
  </si>
  <si>
    <t>12980919</t>
  </si>
  <si>
    <t>1095306,1573,814</t>
  </si>
  <si>
    <t>NL0000235190</t>
  </si>
  <si>
    <t>1095306</t>
  </si>
  <si>
    <t>Airbus SE</t>
  </si>
  <si>
    <t>DE000A0H08N1</t>
  </si>
  <si>
    <t>iShares STOXX Europe 600 Personal &amp; Household Goods UCITS ETF (DE)</t>
  </si>
  <si>
    <t>12980928</t>
  </si>
  <si>
    <t>DE000A0Q4R44</t>
  </si>
  <si>
    <t>12981044</t>
  </si>
  <si>
    <t>2552726,321,333</t>
  </si>
  <si>
    <t>2552726</t>
  </si>
  <si>
    <t>DE000A0H08R2</t>
  </si>
  <si>
    <t>12980951</t>
  </si>
  <si>
    <t>2226822,4,1</t>
  </si>
  <si>
    <t>CH0022268228</t>
  </si>
  <si>
    <t>2226822</t>
  </si>
  <si>
    <t>EFG International AG</t>
  </si>
  <si>
    <t>DE000A0H08S0</t>
  </si>
  <si>
    <t>iShares STOXX Europe 600 Travel &amp; Leisure UCITS ETF (DE)</t>
  </si>
  <si>
    <t>12981002</t>
  </si>
  <si>
    <t>CH1430134226</t>
  </si>
  <si>
    <t>143013422</t>
  </si>
  <si>
    <t>Amrize AG</t>
  </si>
  <si>
    <t>Baugewerbe &amp; Baumaterial</t>
  </si>
  <si>
    <t>DE000A0Q4R02</t>
  </si>
  <si>
    <t>12981018</t>
  </si>
  <si>
    <t>1221405,4,1</t>
  </si>
  <si>
    <t>CH0012214059</t>
  </si>
  <si>
    <t>Holcim N</t>
  </si>
  <si>
    <t>1221405</t>
  </si>
  <si>
    <t>Holcim AG</t>
  </si>
  <si>
    <t>963896,321,333</t>
  </si>
  <si>
    <t>US7427181091</t>
  </si>
  <si>
    <t>Procter&amp;Gamble Rg</t>
  </si>
  <si>
    <t>963896</t>
  </si>
  <si>
    <t>Procter &amp; Gamble Co</t>
  </si>
  <si>
    <t>10200795,361,333</t>
  </si>
  <si>
    <t>IE00B3VWN393</t>
  </si>
  <si>
    <t>iShares VII PLC - iShares USD Treasury Bond 3-7yr UCITS ETF</t>
  </si>
  <si>
    <t>10200795</t>
  </si>
  <si>
    <t>28185175,2779,333</t>
  </si>
  <si>
    <t>48370001,4,1</t>
  </si>
  <si>
    <t>IE00BK7Y2R57</t>
  </si>
  <si>
    <t>iShares II PLC - iShares USD Treasury Bond 7-10yr UCITS ETF</t>
  </si>
  <si>
    <t>48370001</t>
  </si>
  <si>
    <t>13029366,4,1</t>
  </si>
  <si>
    <t>CH0130293662</t>
  </si>
  <si>
    <t>13029366</t>
  </si>
  <si>
    <t>BKW AG</t>
  </si>
  <si>
    <t>Energie &amp; Wasserversorgung</t>
  </si>
  <si>
    <t>11476346,349,333</t>
  </si>
  <si>
    <t>IE00B5L8K969</t>
  </si>
  <si>
    <t>iShares VII PLC - iShares MSCI EM Asia UCITS ETF</t>
  </si>
  <si>
    <t>11476346</t>
  </si>
  <si>
    <t>2510965,3231,333</t>
  </si>
  <si>
    <t>LI0025109658</t>
  </si>
  <si>
    <t>Mistral Value Fund</t>
  </si>
  <si>
    <t>2510965</t>
  </si>
  <si>
    <t>27741453,4,1</t>
  </si>
  <si>
    <t>IE00BWK1SP74</t>
  </si>
  <si>
    <t>iShares VII PLC - iShares MSCI EMU CHF Hedged UCITS ETF (Acc)</t>
  </si>
  <si>
    <t>27741453</t>
  </si>
  <si>
    <t>41879292,4,1</t>
  </si>
  <si>
    <t>CH0418792922</t>
  </si>
  <si>
    <t>Sika N</t>
  </si>
  <si>
    <t>41879292</t>
  </si>
  <si>
    <t>10712481,365,333</t>
  </si>
  <si>
    <t>2463821,4,1</t>
  </si>
  <si>
    <t>CH0024638212</t>
  </si>
  <si>
    <t>Schindler Hldg N</t>
  </si>
  <si>
    <t>2463821</t>
  </si>
  <si>
    <t>44978533,361,333</t>
  </si>
  <si>
    <t>IE00BFXR7892</t>
  </si>
  <si>
    <t>KraneShares ICAV - KraneShares CSI China Internet UCITS ETF</t>
  </si>
  <si>
    <t>44978533</t>
  </si>
  <si>
    <t>28805618,361,333</t>
  </si>
  <si>
    <t>IE00BWBXM492</t>
  </si>
  <si>
    <t>28805618</t>
  </si>
  <si>
    <t>11167373,361,333</t>
  </si>
  <si>
    <t>IE00B4WPHX27</t>
  </si>
  <si>
    <t>Legal &amp; General UCITS ETF Plc - L&amp;G Longer Dated All Commodities UCITS ETF</t>
  </si>
  <si>
    <t>11167373</t>
  </si>
  <si>
    <t>10461006,351,814</t>
  </si>
  <si>
    <t>LU0446734104</t>
  </si>
  <si>
    <t>10461006</t>
  </si>
  <si>
    <t>112547249,361,333</t>
  </si>
  <si>
    <t>IE00BFXR6159</t>
  </si>
  <si>
    <t>Legal &amp; General UCITS ETF PLC - L&amp;G Multi-Strategy Enhanced Commodities UCITS ETF</t>
  </si>
  <si>
    <t>112547249</t>
  </si>
  <si>
    <t>508670,1573,814</t>
  </si>
  <si>
    <t>FR0000125486</t>
  </si>
  <si>
    <t>508670</t>
  </si>
  <si>
    <t>Vinci SA</t>
  </si>
  <si>
    <t>32071836,537,333</t>
  </si>
  <si>
    <t>US92189F6768</t>
  </si>
  <si>
    <t>VanEck Semiconductor ETF</t>
  </si>
  <si>
    <t>32071836</t>
  </si>
  <si>
    <t>13403486,4,1</t>
  </si>
  <si>
    <t>CH0134034864</t>
  </si>
  <si>
    <t>Raiffeisen ETF - Solid Gold Ounces</t>
  </si>
  <si>
    <t>13403486</t>
  </si>
  <si>
    <t>13975758,16,814</t>
  </si>
  <si>
    <t>IE00B6YX5M31</t>
  </si>
  <si>
    <t>13975758</t>
  </si>
  <si>
    <t>13187243,4,1</t>
  </si>
  <si>
    <t>CH0131872431</t>
  </si>
  <si>
    <t>UBS ETF (CHF) - UBS Core SPI(R) ETF</t>
  </si>
  <si>
    <t>13187243</t>
  </si>
  <si>
    <t>29091268,1703,814</t>
  </si>
  <si>
    <t>IE00BSJCQV56</t>
  </si>
  <si>
    <t>29091268</t>
  </si>
  <si>
    <t>22517316,4,1</t>
  </si>
  <si>
    <t>CH0225173167</t>
  </si>
  <si>
    <t>22517316</t>
  </si>
  <si>
    <t>Cembra Money Bank AG</t>
  </si>
  <si>
    <t>4258191,321,333</t>
  </si>
  <si>
    <t>US78463V1070</t>
  </si>
  <si>
    <t>4258191</t>
  </si>
  <si>
    <t>24770428,25,814</t>
  </si>
  <si>
    <t>24767054,361,814</t>
  </si>
  <si>
    <t>IE00BKWQ0C77</t>
  </si>
  <si>
    <t>24767054</t>
  </si>
  <si>
    <t>24767099,6920,814</t>
  </si>
  <si>
    <t>IE00BKWQ0D84</t>
  </si>
  <si>
    <t>24767099</t>
  </si>
  <si>
    <t>826858,1058,814</t>
  </si>
  <si>
    <t>ES0178430E18</t>
  </si>
  <si>
    <t>Telefonica Br</t>
  </si>
  <si>
    <t>826858</t>
  </si>
  <si>
    <t>Telekommunikation</t>
  </si>
  <si>
    <t>24767202,361,814</t>
  </si>
  <si>
    <t>IE00BKWQ0H23</t>
  </si>
  <si>
    <t>24767202</t>
  </si>
  <si>
    <t>13047810,3233,1</t>
  </si>
  <si>
    <t>LU0627757692</t>
  </si>
  <si>
    <t>Alma Platinum IV SICAV - Winton Alma Diversified Macro Fund</t>
  </si>
  <si>
    <t>13047810</t>
  </si>
  <si>
    <t>28369104,190,1</t>
  </si>
  <si>
    <t>LU1240780590</t>
  </si>
  <si>
    <t>UBS (Lux) Equity Fund FCP - Greater China (USD)</t>
  </si>
  <si>
    <t>28369104</t>
  </si>
  <si>
    <t>614663,53,864</t>
  </si>
  <si>
    <t>SE0000108656</t>
  </si>
  <si>
    <t>Ericsson-B N</t>
  </si>
  <si>
    <t>614663</t>
  </si>
  <si>
    <t>Telefon AB L.M.Ericsson</t>
  </si>
  <si>
    <t>45088,321,333</t>
  </si>
  <si>
    <t>US78462F1030</t>
  </si>
  <si>
    <t>SPDR S&amp;P 500 ETF Trust</t>
  </si>
  <si>
    <t>45088</t>
  </si>
  <si>
    <t>1107539,4,1</t>
  </si>
  <si>
    <t>CH0011075394</t>
  </si>
  <si>
    <t>Zurich Insur Gr N</t>
  </si>
  <si>
    <t>1107539</t>
  </si>
  <si>
    <t>874251,4,1</t>
  </si>
  <si>
    <t>CH0008742519</t>
  </si>
  <si>
    <t>Swisscom N</t>
  </si>
  <si>
    <t>874251</t>
  </si>
  <si>
    <t>28805616,361,333</t>
  </si>
  <si>
    <t>IE00BWBXM278</t>
  </si>
  <si>
    <t>28805616</t>
  </si>
  <si>
    <t>180622,25,814</t>
  </si>
  <si>
    <t>FR0000130577</t>
  </si>
  <si>
    <t>180622</t>
  </si>
  <si>
    <t>Publicis Groupe SA</t>
  </si>
  <si>
    <t>Graphisches Gewerbe, Verlage &amp; Medien</t>
  </si>
  <si>
    <t>28805621,361,333</t>
  </si>
  <si>
    <t>IE00BWBXM500</t>
  </si>
  <si>
    <t>28805621</t>
  </si>
  <si>
    <t>919477,321,333</t>
  </si>
  <si>
    <t>US1941621039</t>
  </si>
  <si>
    <t>Colgate-Palmoliv Rg</t>
  </si>
  <si>
    <t>919477</t>
  </si>
  <si>
    <t>Colgate-Palmolive Co</t>
  </si>
  <si>
    <t>20145667,321,333</t>
  </si>
  <si>
    <t>US00287Y1091</t>
  </si>
  <si>
    <t>20145667</t>
  </si>
  <si>
    <t>AbbVie Inc</t>
  </si>
  <si>
    <t>3886335,4,1</t>
  </si>
  <si>
    <t>CH0038863350</t>
  </si>
  <si>
    <t>Nestle N</t>
  </si>
  <si>
    <t>3886335</t>
  </si>
  <si>
    <t>Nestle AG</t>
  </si>
  <si>
    <t>28805652,1703,814</t>
  </si>
  <si>
    <t>28805656,361,333</t>
  </si>
  <si>
    <t>IE00BWBXMB69</t>
  </si>
  <si>
    <t>28805656</t>
  </si>
  <si>
    <t>112258433,321,333</t>
  </si>
  <si>
    <t>US3696043013</t>
  </si>
  <si>
    <t>112258433</t>
  </si>
  <si>
    <t>GE Aerospace</t>
  </si>
  <si>
    <t>42302430,66,333</t>
  </si>
  <si>
    <t>The Communication Services Select Sector SPDR   Fund</t>
  </si>
  <si>
    <t>42302430</t>
  </si>
  <si>
    <t>124359842,4,1</t>
  </si>
  <si>
    <t>CH1243598427</t>
  </si>
  <si>
    <t>124359842</t>
  </si>
  <si>
    <t>Sandoz Group AG</t>
  </si>
  <si>
    <t>986010,66,333</t>
  </si>
  <si>
    <t>US81369Y3080</t>
  </si>
  <si>
    <t>Consumer Staples Select Sector SPDR Fund</t>
  </si>
  <si>
    <t>986010</t>
  </si>
  <si>
    <t>LU0922334643</t>
  </si>
  <si>
    <t>21363489</t>
  </si>
  <si>
    <t>986016,66,333</t>
  </si>
  <si>
    <t>US81369Y5069</t>
  </si>
  <si>
    <t>Energy Select Sector SPDR Fund</t>
  </si>
  <si>
    <t>986016</t>
  </si>
  <si>
    <t>2726111,361,333</t>
  </si>
  <si>
    <t>GB00B15KYG56</t>
  </si>
  <si>
    <t>DER</t>
  </si>
  <si>
    <t>JE</t>
  </si>
  <si>
    <t>AIGI/WTCS</t>
  </si>
  <si>
    <t>2726111</t>
  </si>
  <si>
    <t>WisdomTree Commodity Securities Limited</t>
  </si>
  <si>
    <t>Stück</t>
  </si>
  <si>
    <t>986018,66,333</t>
  </si>
  <si>
    <t>Financial Select Sector SPDR Fund</t>
  </si>
  <si>
    <t>986018</t>
  </si>
  <si>
    <t>986012,66,333</t>
  </si>
  <si>
    <t>US81369Y2090</t>
  </si>
  <si>
    <t>Health Care Select Sector SPDR Fund</t>
  </si>
  <si>
    <t>986012</t>
  </si>
  <si>
    <t>71078280,21,1</t>
  </si>
  <si>
    <t>502455,25,814</t>
  </si>
  <si>
    <t>FR0000120073</t>
  </si>
  <si>
    <t>502455</t>
  </si>
  <si>
    <t>Air Liquide SA</t>
  </si>
  <si>
    <t>29879898,66,333</t>
  </si>
  <si>
    <t>US81369Y8600</t>
  </si>
  <si>
    <t>Real Estate Select Sector SPDR Fund</t>
  </si>
  <si>
    <t>29879898</t>
  </si>
  <si>
    <t>986053,66,333</t>
  </si>
  <si>
    <t>US81369Y8030</t>
  </si>
  <si>
    <t>Technology Select Sector SPDR Fund</t>
  </si>
  <si>
    <t>986053</t>
  </si>
  <si>
    <t>10602719,349,333</t>
  </si>
  <si>
    <t>CH0106027193</t>
  </si>
  <si>
    <t>UBS ETF (CH) - UBS Gold ETF</t>
  </si>
  <si>
    <t>10602719</t>
  </si>
  <si>
    <t>986060,66,333</t>
  </si>
  <si>
    <t>US81369Y8865</t>
  </si>
  <si>
    <t>Utilities Select Sector SPDR Fund</t>
  </si>
  <si>
    <t>986060</t>
  </si>
  <si>
    <t>487662,25,814</t>
  </si>
  <si>
    <t>FR0000120503</t>
  </si>
  <si>
    <t>Bouygues</t>
  </si>
  <si>
    <t>487662</t>
  </si>
  <si>
    <t>1252314,6921,814</t>
  </si>
  <si>
    <t>IT0003132476</t>
  </si>
  <si>
    <t>Eni N</t>
  </si>
  <si>
    <t>1252314</t>
  </si>
  <si>
    <t>ENI S.p.A.</t>
  </si>
  <si>
    <t>26751446,1703,814</t>
  </si>
  <si>
    <t>LU1169822266</t>
  </si>
  <si>
    <t>26751446</t>
  </si>
  <si>
    <t>1222171,4,1</t>
  </si>
  <si>
    <t>CH0012221716</t>
  </si>
  <si>
    <t>ABB N</t>
  </si>
  <si>
    <t>1222171</t>
  </si>
  <si>
    <t>ABB AG</t>
  </si>
  <si>
    <t>2621968,111,88</t>
  </si>
  <si>
    <t>AU000000MIN4</t>
  </si>
  <si>
    <t>Mineral Res Rg</t>
  </si>
  <si>
    <t>2621968</t>
  </si>
  <si>
    <t>LU1169820997</t>
  </si>
  <si>
    <t>UBS (Lux) Fund Solutions SICAV - UBS MSCI United Kingdom UCITS ETF</t>
  </si>
  <si>
    <t>26749332</t>
  </si>
  <si>
    <t>30186748,351,814</t>
  </si>
  <si>
    <t>IE00BYNQMK61</t>
  </si>
  <si>
    <t>UBS (Irl) ETF plc - UBS MSCI United Kingdom IMI Socially Responsible UCITS ETF</t>
  </si>
  <si>
    <t>30186748</t>
  </si>
  <si>
    <t>21966875,361,402</t>
  </si>
  <si>
    <t>LU0950670850</t>
  </si>
  <si>
    <t>21966875</t>
  </si>
  <si>
    <t>3068233,361,333</t>
  </si>
  <si>
    <t>JE00B1VS3770</t>
  </si>
  <si>
    <t>GOLD/WTMS</t>
  </si>
  <si>
    <t>3068233</t>
  </si>
  <si>
    <t>WisdomTree Metal Securities Limited</t>
  </si>
  <si>
    <t>10602712,4,1</t>
  </si>
  <si>
    <t>CH0106027128</t>
  </si>
  <si>
    <t>UBS ETF (CH) - UBS Gold hCHF ETF</t>
  </si>
  <si>
    <t>10602712</t>
  </si>
  <si>
    <t>1714271,4,1</t>
  </si>
  <si>
    <t>CH0017142719</t>
  </si>
  <si>
    <t>UBS ETF (CH) - UBS SMI (R) ETF</t>
  </si>
  <si>
    <t>1714271</t>
  </si>
  <si>
    <t>11176253,4,1</t>
  </si>
  <si>
    <t>CH0111762537</t>
  </si>
  <si>
    <t>UBS ETF (CH) - UBS SMIM(R) ETF</t>
  </si>
  <si>
    <t>11176253</t>
  </si>
  <si>
    <t>57720860,361,333</t>
  </si>
  <si>
    <t>IE00BMC38736</t>
  </si>
  <si>
    <t>57720860</t>
  </si>
  <si>
    <t>1960404,321,333</t>
  </si>
  <si>
    <t>US9229085538</t>
  </si>
  <si>
    <t>Vanguard Real Estate ETF</t>
  </si>
  <si>
    <t>1960404</t>
  </si>
  <si>
    <t>24409862,321,333</t>
  </si>
  <si>
    <t>US01609W1027</t>
  </si>
  <si>
    <t>Alibaba Grp Sp ADR</t>
  </si>
  <si>
    <t>24409862</t>
  </si>
  <si>
    <t>Alibaba Group Holding Ltd</t>
  </si>
  <si>
    <t>Internet, Software &amp; IT-Dienstleistungen</t>
  </si>
  <si>
    <t>34645021,1703,814</t>
  </si>
  <si>
    <t>LU1399300455</t>
  </si>
  <si>
    <t>Xtrackers II SICAV - Xtrackers II US Treasuries UCITS ETF</t>
  </si>
  <si>
    <t>34645021</t>
  </si>
  <si>
    <t>2726117,361,333</t>
  </si>
  <si>
    <t>GB00B15KYH63</t>
  </si>
  <si>
    <t>AIGA/WTCS</t>
  </si>
  <si>
    <t>2726117</t>
  </si>
  <si>
    <t>13910160,4,1</t>
  </si>
  <si>
    <t>CH0139101601</t>
  </si>
  <si>
    <t>13910160</t>
  </si>
  <si>
    <t>1057076,4,1</t>
  </si>
  <si>
    <t>CH0010570767</t>
  </si>
  <si>
    <t>Lindt&amp;Spruengli PS</t>
  </si>
  <si>
    <t>1057076</t>
  </si>
  <si>
    <t>Chocoladefabriken Lindt &amp; Spruengli AG</t>
  </si>
  <si>
    <t>4613685,349,333</t>
  </si>
  <si>
    <t>LU0390136736</t>
  </si>
  <si>
    <t>Franklin Templeton Investment Funds SICAV - Templeton Frontier Markets Fund</t>
  </si>
  <si>
    <t>4613685</t>
  </si>
  <si>
    <t>LU0623004180</t>
  </si>
  <si>
    <t>BlackRock Global Funds SICAV - Emerging Markets Local Currency Bond Fund</t>
  </si>
  <si>
    <t>13040599</t>
  </si>
  <si>
    <t>LU0359002093</t>
  </si>
  <si>
    <t>4234028</t>
  </si>
  <si>
    <t>28688848,537,333</t>
  </si>
  <si>
    <t>US5007541064</t>
  </si>
  <si>
    <t>The Kraft Heinz Rg</t>
  </si>
  <si>
    <t>28688848</t>
  </si>
  <si>
    <t>18102269,3230,814</t>
  </si>
  <si>
    <t>LU0549537040</t>
  </si>
  <si>
    <t>BlueBay Funds SICAV - BlueBay Investment Grade Euro Government Bond Fund</t>
  </si>
  <si>
    <t>18102269</t>
  </si>
  <si>
    <t>22660985,3230,814</t>
  </si>
  <si>
    <t>LU0985871440</t>
  </si>
  <si>
    <t>UBS (Lux) Fund Solutions II SICAV - UBS MSCI Pacific ex Japan</t>
  </si>
  <si>
    <t>22660985</t>
  </si>
  <si>
    <t>3913456,3231,333</t>
  </si>
  <si>
    <t>LU0346390940</t>
  </si>
  <si>
    <t>Fidelity Funds SICAV - Emerging Markets Fund</t>
  </si>
  <si>
    <t>3913456</t>
  </si>
  <si>
    <t>28738500,3230,814</t>
  </si>
  <si>
    <t>LU1255011410</t>
  </si>
  <si>
    <t>28738500</t>
  </si>
  <si>
    <t>11358600,3231,333</t>
  </si>
  <si>
    <t>LU0512127977</t>
  </si>
  <si>
    <t>11358600</t>
  </si>
  <si>
    <t>1000194,321,333</t>
  </si>
  <si>
    <t>US26875P1012</t>
  </si>
  <si>
    <t>1000194</t>
  </si>
  <si>
    <t>EOG Resources Inc</t>
  </si>
  <si>
    <t>133262491,321,333</t>
  </si>
  <si>
    <t>US36828A1016</t>
  </si>
  <si>
    <t>133262491</t>
  </si>
  <si>
    <t>GE Vernova Inc</t>
  </si>
  <si>
    <t>IE00B92LSQ52</t>
  </si>
  <si>
    <t>21348322</t>
  </si>
  <si>
    <t>4937198,3230,814</t>
  </si>
  <si>
    <t>LU0407233740</t>
  </si>
  <si>
    <t>Pictet SICAV - Pictet-Emerging Markets</t>
  </si>
  <si>
    <t>4937198</t>
  </si>
  <si>
    <t>56356692,3231,333</t>
  </si>
  <si>
    <t>LU2128486979</t>
  </si>
  <si>
    <t>Redwheel Funds SICAV - Redwheel Next Generation Emerging Markets Equity Fund</t>
  </si>
  <si>
    <t>56356692</t>
  </si>
  <si>
    <t>IE00B88G6526</t>
  </si>
  <si>
    <t>PIMCO Funds Global Investors Series PLC - Global Bond Fund</t>
  </si>
  <si>
    <t>20031577</t>
  </si>
  <si>
    <t>IE00BKPWG137</t>
  </si>
  <si>
    <t>Polar Capital Funds PLC - Japan Value Fund</t>
  </si>
  <si>
    <t>49473281</t>
  </si>
  <si>
    <t>LU0821169405</t>
  </si>
  <si>
    <t>Robeco Capital Growth Funds SICAV - Robeco High Yield Bonds</t>
  </si>
  <si>
    <t>19336939</t>
  </si>
  <si>
    <t>137100293,430,1</t>
  </si>
  <si>
    <t>LU2819789186</t>
  </si>
  <si>
    <t>Robeco Capital Growth Funds SICAV - Robeco QI Global Dynamic Duration</t>
  </si>
  <si>
    <t>137100293</t>
  </si>
  <si>
    <t>137100271,430,814</t>
  </si>
  <si>
    <t>LU2819788709</t>
  </si>
  <si>
    <t>137100271</t>
  </si>
  <si>
    <t>2726105,361,333</t>
  </si>
  <si>
    <t>GB00B15KYB02</t>
  </si>
  <si>
    <t>AIGE/WTCS</t>
  </si>
  <si>
    <t>2726105</t>
  </si>
  <si>
    <t>LU0071006638</t>
  </si>
  <si>
    <t>UBS (Lux) Bond Fund FCP - Global Flexible</t>
  </si>
  <si>
    <t>529250</t>
  </si>
  <si>
    <t>599373,1573,662</t>
  </si>
  <si>
    <t>NO0005052605</t>
  </si>
  <si>
    <t>Norsk Hydro N</t>
  </si>
  <si>
    <t>599373</t>
  </si>
  <si>
    <t>Norsk Hydro Asa</t>
  </si>
  <si>
    <t>LU2049072007</t>
  </si>
  <si>
    <t>UBS (Lux) Equity SICAV - European High Dividend (EUR)</t>
  </si>
  <si>
    <t>49729495</t>
  </si>
  <si>
    <t>870219,4,1</t>
  </si>
  <si>
    <t>CH0008702190</t>
  </si>
  <si>
    <t>870219</t>
  </si>
  <si>
    <t>Cicor Technologies Ltd.</t>
  </si>
  <si>
    <t>30100506,365,333</t>
  </si>
  <si>
    <t>BSP733981026</t>
  </si>
  <si>
    <t>Nymox Pharma Rg</t>
  </si>
  <si>
    <t>30100506</t>
  </si>
  <si>
    <t>Nymox Pharmaceutical Corp</t>
  </si>
  <si>
    <t>Biotechnologie</t>
  </si>
  <si>
    <t>47922206,4,1</t>
  </si>
  <si>
    <t>26876733,1058,814</t>
  </si>
  <si>
    <t>4323836,4,1</t>
  </si>
  <si>
    <t>32071259,4,1</t>
  </si>
  <si>
    <t>28613887,4,1</t>
  </si>
  <si>
    <t>38551808,4,1</t>
  </si>
  <si>
    <t>31186490,4,1</t>
  </si>
  <si>
    <t>CH0311864901</t>
  </si>
  <si>
    <t>VAT Group N</t>
  </si>
  <si>
    <t>31186490</t>
  </si>
  <si>
    <t>VAT Group AG</t>
  </si>
  <si>
    <t>41641428,38,814</t>
  </si>
  <si>
    <t>NL0012866412</t>
  </si>
  <si>
    <t>Besi Br Rg</t>
  </si>
  <si>
    <t>41641428</t>
  </si>
  <si>
    <t>BE Semiconductor Industries NV BESI</t>
  </si>
  <si>
    <t>360133,44,814</t>
  </si>
  <si>
    <t>DE0006602006</t>
  </si>
  <si>
    <t>360133</t>
  </si>
  <si>
    <t>GEA Group AG</t>
  </si>
  <si>
    <t>2386855,4,1</t>
  </si>
  <si>
    <t>CH0023868554</t>
  </si>
  <si>
    <t>2386855</t>
  </si>
  <si>
    <t>Implenia AG</t>
  </si>
  <si>
    <t>1002678,6921,814</t>
  </si>
  <si>
    <t>IT0001347308</t>
  </si>
  <si>
    <t>Buzzi N</t>
  </si>
  <si>
    <t>1002678</t>
  </si>
  <si>
    <t>Buzzi Spa</t>
  </si>
  <si>
    <t>345952,1573,814</t>
  </si>
  <si>
    <t>DE0007164600</t>
  </si>
  <si>
    <t>SAP I</t>
  </si>
  <si>
    <t>345952</t>
  </si>
  <si>
    <t>699381,25,814</t>
  </si>
  <si>
    <t>FR0000120578</t>
  </si>
  <si>
    <t>699381</t>
  </si>
  <si>
    <t>Sanofi SA</t>
  </si>
  <si>
    <t>2585425,719,333</t>
  </si>
  <si>
    <t>IE00B14X4M10</t>
  </si>
  <si>
    <t>iShares PLC - iShares MSCI North America UCITS ETF</t>
  </si>
  <si>
    <t>2585425</t>
  </si>
  <si>
    <t>803838,4,1</t>
  </si>
  <si>
    <t>CH0008038389</t>
  </si>
  <si>
    <t>SPS N</t>
  </si>
  <si>
    <t>803838</t>
  </si>
  <si>
    <t>Swiss Prime Site AG</t>
  </si>
  <si>
    <t>1067586,4,1</t>
  </si>
  <si>
    <t>CH0010675863</t>
  </si>
  <si>
    <t>Swissquote Grp Hl N</t>
  </si>
  <si>
    <t>1067586</t>
  </si>
  <si>
    <t>Swissquote Group Holding SA</t>
  </si>
  <si>
    <t>2575132,4,1</t>
  </si>
  <si>
    <t>CH0025751329</t>
  </si>
  <si>
    <t>Logitech Intl N</t>
  </si>
  <si>
    <t>2575132</t>
  </si>
  <si>
    <t>Logitech International SA</t>
  </si>
  <si>
    <t>Computer &amp; Netzwerkausrüster</t>
  </si>
  <si>
    <t>24956043,1573,814</t>
  </si>
  <si>
    <t>ES0148396007</t>
  </si>
  <si>
    <t>24956043</t>
  </si>
  <si>
    <t>INDUSTRIA DE DISENO TEXTIL S.A.</t>
  </si>
  <si>
    <t>637289,4,1</t>
  </si>
  <si>
    <t>CH0006372897</t>
  </si>
  <si>
    <t>Interroll Hldg N</t>
  </si>
  <si>
    <t>637289</t>
  </si>
  <si>
    <t>INTERROLL HOLDING AG</t>
  </si>
  <si>
    <t>125293061,4,1</t>
  </si>
  <si>
    <t>CH1252930610</t>
  </si>
  <si>
    <t>125293061</t>
  </si>
  <si>
    <t>603520,111,88</t>
  </si>
  <si>
    <t>AU000000RIO1</t>
  </si>
  <si>
    <t>Rio Tinto Rg</t>
  </si>
  <si>
    <t>603520</t>
  </si>
  <si>
    <t>Nichteisenmetalle</t>
  </si>
  <si>
    <t>1200526,4,1</t>
  </si>
  <si>
    <t>CH0012005267</t>
  </si>
  <si>
    <t>Novartis N</t>
  </si>
  <si>
    <t>1200526</t>
  </si>
  <si>
    <t>Novartis AG</t>
  </si>
  <si>
    <t>1203204,4,1</t>
  </si>
  <si>
    <t>CH0012032048</t>
  </si>
  <si>
    <t>Roche Hldg G</t>
  </si>
  <si>
    <t>1203204</t>
  </si>
  <si>
    <t>Roche Holding AG</t>
  </si>
  <si>
    <t>509120,25,814</t>
  </si>
  <si>
    <t>FR0000121972</t>
  </si>
  <si>
    <t>Schneider El</t>
  </si>
  <si>
    <t>509120</t>
  </si>
  <si>
    <t>Schneider Electric SE</t>
  </si>
  <si>
    <t>12688156,4,1</t>
  </si>
  <si>
    <t>CH0126881561</t>
  </si>
  <si>
    <t>Swiss Re N</t>
  </si>
  <si>
    <t>12688156</t>
  </si>
  <si>
    <t>Swiss Re AG</t>
  </si>
  <si>
    <t>4613240,13,814</t>
  </si>
  <si>
    <t>1442082,4,1</t>
  </si>
  <si>
    <t>CH0014420829</t>
  </si>
  <si>
    <t>UBS (CH) Property Fund - Swiss Residential 'Anfos'</t>
  </si>
  <si>
    <t>1442082</t>
  </si>
  <si>
    <t>Stato</t>
  </si>
  <si>
    <t>ID dell'ordine</t>
  </si>
  <si>
    <t>Riferimento del gruppo</t>
  </si>
  <si>
    <t>Strumento</t>
  </si>
  <si>
    <t>Tipo di ordine</t>
  </si>
  <si>
    <t>Tipo di esecuzione</t>
  </si>
  <si>
    <t>Sede di negoziazione</t>
  </si>
  <si>
    <t>Quantità originale</t>
  </si>
  <si>
    <t>Quantità eseguita</t>
  </si>
  <si>
    <t>Limite</t>
  </si>
  <si>
    <t>Prezzo di esecuzione</t>
  </si>
  <si>
    <t>Valuta2</t>
  </si>
  <si>
    <t>Data di scadenza</t>
  </si>
  <si>
    <t>Data di esecuzione</t>
  </si>
  <si>
    <t>Eseguito</t>
  </si>
  <si>
    <t>Rezzonico Francine (13762231)</t>
  </si>
  <si>
    <t>Az Nom Telefon AB L.M.Ericsson (614663)</t>
  </si>
  <si>
    <t>Acquisto</t>
  </si>
  <si>
    <t>Al meglio</t>
  </si>
  <si>
    <t>Nasdaq Stockholm Derivatives</t>
  </si>
  <si>
    <t>Az SSgA SPDR Tech Acc.Ptg.Shs EUR (24767694)</t>
  </si>
  <si>
    <t>Vendita</t>
  </si>
  <si>
    <t>Limitato</t>
  </si>
  <si>
    <t>Euronext - Euronext Paris</t>
  </si>
  <si>
    <t>Az iShs Glb HY Bd Shs Hedged CHF ETF (22134231)</t>
  </si>
  <si>
    <t>SIX Swiss Exchange</t>
  </si>
  <si>
    <t>Az iShs CN CNY Bd Accum Shs USD (54540945)</t>
  </si>
  <si>
    <t>Euronext - Euronext Amsterdam</t>
  </si>
  <si>
    <t>Az Nom ENI S.p.A. (1252314)</t>
  </si>
  <si>
    <t>Borsa Italiana Spa, Mercato Continuo Italiano</t>
  </si>
  <si>
    <t>Az TotalEnergies SE EUR 2.5 (524773)</t>
  </si>
  <si>
    <t>FR0000120271</t>
  </si>
  <si>
    <t>Par UBS SMI R Anteile -(CHF) A-dis- (1714271)</t>
  </si>
  <si>
    <t>Cert WisdomTree Com on BCOMAGTR (2726117)</t>
  </si>
  <si>
    <t>London Stock Exchange Domestic/UK Market 1st Currency</t>
  </si>
  <si>
    <t>Cert WisdomTree Com 06-Without Fixed Maturity Blmbrg Indtr Met Ix Sec (2726111)</t>
  </si>
  <si>
    <t>Cert WisdomTree Com on FCEN (2726105)</t>
  </si>
  <si>
    <t>Az Nom Rieter Holding AG CHF 5 (367144)</t>
  </si>
  <si>
    <t>CH0003671440</t>
  </si>
  <si>
    <t>Az Bayerische Motoren Werke AG EUR 1 (324410)</t>
  </si>
  <si>
    <t>DE0005190003</t>
  </si>
  <si>
    <t>Xetra</t>
  </si>
  <si>
    <t>5/8% EMTN Credit Agricole S.A. Ldn Br 2017-12.07.24 (37063466)</t>
  </si>
  <si>
    <t>CH0370634666</t>
  </si>
  <si>
    <t>3/4% NTS Berner Kantonalbank AG 2015-14.07.25 (28613887)</t>
  </si>
  <si>
    <t>CH0286138877</t>
  </si>
  <si>
    <t>0.205% NTS First Abu Dhabi Bank P.J.S.C. 2019-04.12.25 (47497771)</t>
  </si>
  <si>
    <t>Az AWF GI SD Bd Shs -I CHF hedged (95%)- Cap (31289375)</t>
  </si>
  <si>
    <t>LU1353952341</t>
  </si>
  <si>
    <t>Fondi Fundsettle</t>
  </si>
  <si>
    <t>0.94% NTS The Korea Development Bank 2022-28.04.27 (117918442)</t>
  </si>
  <si>
    <t>NTS Valiant Bank AG 2019-31.10.25 Guaranteed (41904167)</t>
  </si>
  <si>
    <t>1/2% EMTN Andean Develop Corp 2015-26.02.26 (27038209)</t>
  </si>
  <si>
    <t>CH0367206718:CHF</t>
  </si>
  <si>
    <t>DE0007164600:EUR</t>
  </si>
  <si>
    <t>FR0000125486:EUR</t>
  </si>
  <si>
    <t>ES0148396007:EUR</t>
  </si>
  <si>
    <t>Relazione
Profilo</t>
  </si>
  <si>
    <t>Ticker</t>
  </si>
  <si>
    <t>Corso</t>
  </si>
  <si>
    <t>Motivazione</t>
  </si>
  <si>
    <t>PSP Swiss Property</t>
  </si>
  <si>
    <t>PSPN</t>
  </si>
  <si>
    <t>https://markets.ft.com/data/equities/tearsheet/forecasts?s=PSPN:SWX</t>
  </si>
  <si>
    <t>1H20-Ergebnisse unerwartet hoch - Im Vergleich zur Konkurrenz relativ wenig von COVID-19 betroffen - Stabile Bewertungen für Spitzenimmobilien - GJ20-Prognose erhöht - Buy Rating bestätigt
FACTS &amp; COMMENT
Mieteinnahmen +1.2%: (über VontE: -1.3% und Konsens: -0.7%) im 1H20 oder flächenbereinigt -0.9%. Dies impliziert ein Wachstum von 0.1% im 2Q oder -2.2% flächenbereinigt. Es gab im 2Q Mietnachlässe in Höhe von CHF 2.3 Mio. (VontE CHF 4.8 Mio.) und ausstehende Forderungen von CHF 5.2 Mio. (den Erwartungen entsprechend). Die Leerstandsrate erhöhte sich leicht um 20 Bp. (VontE: +30 Bp.) auf einen noch immer sehr niedrigen Stand von 3.4% (ggü. 1Q20).
Wachstum des bereinigten EBITDA um 3.7%: (VontE -2.1%), unterstützt durch tiefere immobilienbezogene Betriebskosten (-140 Bp. auf 8.3% der Mieteinnahmen). Zudem hat PSP keine Anlageimmobilien verkauft (VontE: null), jedoch CHF 1.3 Mio. (VontE: CHF 1.7 Mio.) Immobilienverkäufe aus dem Bestand ausgewiesen (beides unter den Rekordhochs von CHF 15.0 Mio. bzw. CHF 2.8 Mio. im 1H19). Interessant sind die Neubewertungsgewinne in Höhe von CHF 31.1 Mio. (VontE: null), die auf stabile Bewertungen für erstklassige Objekte hindeuten. Der Diskontierungssatz sank um 4 Bp. Dazu trugen  eigene Entwicklungsprojekte (Atmos) CHF 5 Mio. bei. Das EPRA EPS (bereinigt um Sondereffekte und Steuergewinne aus dem 1H19) erhöhte sich um 7.1% auf CHF 2.12 (positiv für die Dividende).
Anstieg des NAV (netto) um -1.0%: auf CHF 96.1 pro Aktie (ggü. GJ19) (VontE -1.6%).
Ausblick für GJ20 angehoben: EBITDA (oh. Immobilienverkäufe) CHF ~260 Mio., Leerstandsrate ~3% (bisher: 3.5%).
OUR CONCLUSION 
Der Mieteinnahmenausfall durch COVID-19 wurde mehr als ausgeglichen, auch durch niedrigere Betriebsausgaben für die Immobilien. Die Bewertungen von Spitzenimmobilien stiegen an und lagen über den Angaben der Bewertungsstelle. PSP besitzt eine stärkere Eigenkapitalquote von 54% und eine höhere Portfolioqualität als der Durchschnitt der Mitbewerber. Qualität bleibt der Schlüssel. Dank hoher Cashflow-Visibilität, niedrigem Fälligkeitsprofil und begrenzten Covid-19-Folgen erwarten wir eine solide EPS-bereinigte GJ20E-Performance. Bei relativ geringen Kursaufschlag von 6% auf den NAV für das GJ20E (&lt;Sektor 10%) bestätigen wir unser Buy Rating.</t>
  </si>
  <si>
    <t>CHF
EUR</t>
  </si>
  <si>
    <t>Diversi fondi High Yiled</t>
  </si>
  <si>
    <t>_Rispetto alla correzione dei mercati azionari, che denotavano i primi segni di panico, gli spread obbligazionari sono rimast piuttosto modesti.
_Considerata la correlazione con mercati azionari ed il fatto che le obbligazini goernative hanno ormai raggiunto dei rendimenti marginalmente positivi, il comparto high Yiled presenta ormai un prfilo di rischio/rendimento  poco attrattivo.
-Ridotto l'esposzione High Yiled a 2.5&amp; dal 7.5-10%</t>
  </si>
  <si>
    <t>Tutte</t>
  </si>
  <si>
    <t xml:space="preserve">iShares S&amp;P 500 Consumer Discretionary Sector (acc) </t>
  </si>
  <si>
    <t>IUCD</t>
  </si>
  <si>
    <t xml:space="preserve">_Dimezzato esposizione  USA prima di Minutes delle FED </t>
  </si>
  <si>
    <t>IUCT</t>
  </si>
  <si>
    <t>Market</t>
  </si>
  <si>
    <t>Instrument</t>
  </si>
  <si>
    <t>Type</t>
  </si>
  <si>
    <t>Condition</t>
  </si>
  <si>
    <t>Value</t>
  </si>
  <si>
    <t>Repeat</t>
  </si>
  <si>
    <t>Active</t>
  </si>
  <si>
    <t>Comment</t>
  </si>
  <si>
    <t>Current Value</t>
  </si>
  <si>
    <t>Distance to Market</t>
  </si>
  <si>
    <t>Pct Distance</t>
  </si>
  <si>
    <t>Forex</t>
  </si>
  <si>
    <t>CHFCNH</t>
  </si>
  <si>
    <t>Bid Price</t>
  </si>
  <si>
    <t>&lt;=</t>
  </si>
  <si>
    <t>False</t>
  </si>
  <si>
    <t>True</t>
  </si>
  <si>
    <t>EURCNH</t>
  </si>
  <si>
    <t>&gt;=</t>
  </si>
  <si>
    <t>EURUSD</t>
  </si>
  <si>
    <t>GBPCHF</t>
  </si>
  <si>
    <t>USDCHF</t>
  </si>
  <si>
    <t>XAUEUR</t>
  </si>
  <si>
    <t>1’150.00</t>
  </si>
  <si>
    <t>1’074.77</t>
  </si>
  <si>
    <t>XPDUSD</t>
  </si>
  <si>
    <t>1’149.70</t>
  </si>
  <si>
    <t>CFDs</t>
  </si>
  <si>
    <t>iShares MSCI Frontier 100 Index Fund</t>
  </si>
  <si>
    <t>iShares MSCI Thailand ETF</t>
  </si>
  <si>
    <t>Japan 225</t>
  </si>
  <si>
    <t>20’350.0</t>
  </si>
  <si>
    <t>22’025.1</t>
  </si>
  <si>
    <t>-1’675.1</t>
  </si>
  <si>
    <t>Live Cattle, continuous</t>
  </si>
  <si>
    <t>Sodexo</t>
  </si>
  <si>
    <t>US Copper, continuous</t>
  </si>
  <si>
    <t>Vivendi</t>
  </si>
  <si>
    <t>Stocks</t>
  </si>
  <si>
    <t>21st Century Fox Inc. - Class A</t>
  </si>
  <si>
    <t>Traded Price</t>
  </si>
  <si>
    <t>3M Co.</t>
  </si>
  <si>
    <t>A.P. Møller - Mærsk B A/S</t>
  </si>
  <si>
    <t>7’250.00</t>
  </si>
  <si>
    <t>9’502.00</t>
  </si>
  <si>
    <t>-2’252.00</t>
  </si>
  <si>
    <t>7’500.00</t>
  </si>
  <si>
    <t>-2’002.00</t>
  </si>
  <si>
    <t>A2A SpA</t>
  </si>
  <si>
    <t>Aalberts Industries NV</t>
  </si>
  <si>
    <t>ABB Ltd</t>
  </si>
  <si>
    <t>Acciona SA</t>
  </si>
  <si>
    <t>Accor</t>
  </si>
  <si>
    <t>ACS Actividades de Const. y Servicios SA</t>
  </si>
  <si>
    <t>Adecco Group Inc.</t>
  </si>
  <si>
    <t>Adobe Inc.</t>
  </si>
  <si>
    <t>Advanced Micro Devices Inc.</t>
  </si>
  <si>
    <t>Aegon NV</t>
  </si>
  <si>
    <t>Aker ASA</t>
  </si>
  <si>
    <t>Akzo Nobel NV</t>
  </si>
  <si>
    <t>Alfa Laval AB</t>
  </si>
  <si>
    <t>Alphabet Inc. - A Share</t>
  </si>
  <si>
    <t>1’000.00</t>
  </si>
  <si>
    <t>1’056.44</t>
  </si>
  <si>
    <t>Also Holding AG</t>
  </si>
  <si>
    <t>Altria Group, Inc.</t>
  </si>
  <si>
    <t>Amadeus IT Group SA</t>
  </si>
  <si>
    <t>Amazon.com Inc.</t>
  </si>
  <si>
    <t>1’350.00</t>
  </si>
  <si>
    <t>Amgen Inc.</t>
  </si>
  <si>
    <t>Amundi ETF MSCI Europe Consumer UCITS ETF</t>
  </si>
  <si>
    <t>Buy 75</t>
  </si>
  <si>
    <t>Amundi ETF MSCI Europe Utilities UCITS ETF</t>
  </si>
  <si>
    <t>Analog Devices Inc.</t>
  </si>
  <si>
    <t>Apple Inc.</t>
  </si>
  <si>
    <t>Applied Materials Inc.</t>
  </si>
  <si>
    <t>Arcadis NV</t>
  </si>
  <si>
    <t>ASML Holding NV</t>
  </si>
  <si>
    <t>ASSA Abloy AB Ser. B</t>
  </si>
  <si>
    <t>Assicurazioni Generali SpA</t>
  </si>
  <si>
    <t>AT&amp;T Inc.</t>
  </si>
  <si>
    <t>ATEA</t>
  </si>
  <si>
    <t>Atlas Copco AB ser. B</t>
  </si>
  <si>
    <t>Austevoll Seafood ASA</t>
  </si>
  <si>
    <t>Autodesk Inc.</t>
  </si>
  <si>
    <t>Automatic Data Processing Inc.</t>
  </si>
  <si>
    <t>Autoneum Holding AG</t>
  </si>
  <si>
    <t>Aviva Plc</t>
  </si>
  <si>
    <t>Azimut Holding SpA</t>
  </si>
  <si>
    <t>Bakkafrost</t>
  </si>
  <si>
    <t>Banca Mediolanum</t>
  </si>
  <si>
    <t>Bank of America</t>
  </si>
  <si>
    <t>Bank of China Ltd</t>
  </si>
  <si>
    <t>Bankinter</t>
  </si>
  <si>
    <t>BASF N</t>
  </si>
  <si>
    <t>Bayer AG</t>
  </si>
  <si>
    <t>Bayer AG ADR</t>
  </si>
  <si>
    <t>Beiersdorf AG</t>
  </si>
  <si>
    <t>Berkshire Hathaway Inc. B</t>
  </si>
  <si>
    <t>Biogen Inc.</t>
  </si>
  <si>
    <t>Bobst SA</t>
  </si>
  <si>
    <t>Boeing Co.</t>
  </si>
  <si>
    <t>Borregaard ASA</t>
  </si>
  <si>
    <t>Bossard Holding AG</t>
  </si>
  <si>
    <t>BPER Banca</t>
  </si>
  <si>
    <t>British American Tobacco Plc</t>
  </si>
  <si>
    <t>2’000.00</t>
  </si>
  <si>
    <t>Broadcom Inc.</t>
  </si>
  <si>
    <t>Burkhalter Holding AG</t>
  </si>
  <si>
    <t>Buzzi Unicem</t>
  </si>
  <si>
    <t>BW Offshore Ltd</t>
  </si>
  <si>
    <t>Campari</t>
  </si>
  <si>
    <t>Campbell Soup Co.</t>
  </si>
  <si>
    <t>Canon Inc.</t>
  </si>
  <si>
    <t>3’000.00</t>
  </si>
  <si>
    <t>Cap One Finance</t>
  </si>
  <si>
    <t>Capgemini</t>
  </si>
  <si>
    <t>Caterpillar Inc.</t>
  </si>
  <si>
    <t>Celgene Corp.</t>
  </si>
  <si>
    <t>Chevron Corp.</t>
  </si>
  <si>
    <t>Cisco Systems Inc.</t>
  </si>
  <si>
    <t>Citigroup Inc.</t>
  </si>
  <si>
    <t>Clariant AG</t>
  </si>
  <si>
    <t>Coca-Cola Amatil Ltd</t>
  </si>
  <si>
    <t>Coca-Cola Co.</t>
  </si>
  <si>
    <t>Colgate Palmolive</t>
  </si>
  <si>
    <t>Commerzbank</t>
  </si>
  <si>
    <t>Compagnie Financiere Richemont AG</t>
  </si>
  <si>
    <t>ConocoPhillips</t>
  </si>
  <si>
    <t>Corning Inc.</t>
  </si>
  <si>
    <t>Cree Inc.</t>
  </si>
  <si>
    <t>CVS Health Corp.</t>
  </si>
  <si>
    <t>Daetwyler Holding AG</t>
  </si>
  <si>
    <t>Daimler AG</t>
  </si>
  <si>
    <t>Danaher Corp.</t>
  </si>
  <si>
    <t>Danone</t>
  </si>
  <si>
    <t>Deere &amp; Co.</t>
  </si>
  <si>
    <t>Deutsche Boerse AG</t>
  </si>
  <si>
    <t>Deutsche Lufthansa AG</t>
  </si>
  <si>
    <t>DNB ASA</t>
  </si>
  <si>
    <t>DNO ASA</t>
  </si>
  <si>
    <t>DormaKaba Holding AG</t>
  </si>
  <si>
    <t>Dufry AG</t>
  </si>
  <si>
    <t>eBay Inc.</t>
  </si>
  <si>
    <t>EDP - Energias de Portugal SA</t>
  </si>
  <si>
    <t>Electrolux, AB ser. B</t>
  </si>
  <si>
    <t>Eli Lilly</t>
  </si>
  <si>
    <t>Enagas SA</t>
  </si>
  <si>
    <t>Endesa</t>
  </si>
  <si>
    <t>Engie SA</t>
  </si>
  <si>
    <t>ENI</t>
  </si>
  <si>
    <t>Ericsson, Telefonab. L M ser. A</t>
  </si>
  <si>
    <t>ETFS Zinc ETC</t>
  </si>
  <si>
    <t>Exelon Corp.</t>
  </si>
  <si>
    <t>EXOR NV</t>
  </si>
  <si>
    <t>Express Scripts Inc.</t>
  </si>
  <si>
    <t>FedEx Corp.</t>
  </si>
  <si>
    <t>Feintool International Holding AG</t>
  </si>
  <si>
    <t>Ferrovial SA</t>
  </si>
  <si>
    <t>Fiat Chrysler Automobiles NV</t>
  </si>
  <si>
    <t>FinecoBank SpA</t>
  </si>
  <si>
    <t>Fomento De Constr. y Contratas SA</t>
  </si>
  <si>
    <t>Geberit N</t>
  </si>
  <si>
    <t>General Dynamics</t>
  </si>
  <si>
    <t>Georg Fischer AG</t>
  </si>
  <si>
    <t>Gilead Sciences Inc.</t>
  </si>
  <si>
    <t>Givaudan</t>
  </si>
  <si>
    <t>2’100.00</t>
  </si>
  <si>
    <t>Gjensidige Forsikring ASA</t>
  </si>
  <si>
    <t>Glencore Plc</t>
  </si>
  <si>
    <t>Goldman Sachs</t>
  </si>
  <si>
    <t>Grifols SA</t>
  </si>
  <si>
    <t>Gurit Holding AG</t>
  </si>
  <si>
    <t>Halliburton Co.</t>
  </si>
  <si>
    <t>Harley-Davidson</t>
  </si>
  <si>
    <t>Heineken</t>
  </si>
  <si>
    <t>Hennes &amp; Mauritz AB, H &amp; M ser. B</t>
  </si>
  <si>
    <t>Hexagon AB Ser. B</t>
  </si>
  <si>
    <t>Home Depot Inc.</t>
  </si>
  <si>
    <t>Honeywell International</t>
  </si>
  <si>
    <t>Iberdrola SA</t>
  </si>
  <si>
    <t>ICA Gruppen AB</t>
  </si>
  <si>
    <t>Iliad SA</t>
  </si>
  <si>
    <t>Indra Sistemas SA, Serie A</t>
  </si>
  <si>
    <t>Industria De Diseno Textil SA</t>
  </si>
  <si>
    <t>Industrivärden, AB ser. C</t>
  </si>
  <si>
    <t>Inficon Holding AG</t>
  </si>
  <si>
    <t>Infineon Technologies</t>
  </si>
  <si>
    <t>ING Groep NV</t>
  </si>
  <si>
    <t>Intel Corp.</t>
  </si>
  <si>
    <t>Intesa SanPaolo SpA</t>
  </si>
  <si>
    <t>Investor AB ser. B</t>
  </si>
  <si>
    <t>iShares MSCI Taiwan ETF</t>
  </si>
  <si>
    <t>iShares S&amp;P Global Consumer Disc. Index ETF</t>
  </si>
  <si>
    <t>Buy 200</t>
  </si>
  <si>
    <t>iShares S&amp;P Global Financials Sector Index Fund</t>
  </si>
  <si>
    <t>Buy 300</t>
  </si>
  <si>
    <t>iShares S&amp;P Global M Sector Index Fund</t>
  </si>
  <si>
    <t>Japan Post Holdings Co. Ltd</t>
  </si>
  <si>
    <t>1’200</t>
  </si>
  <si>
    <t>Johnson &amp; Johnson</t>
  </si>
  <si>
    <t>JPMorgan Chase &amp; Co.</t>
  </si>
  <si>
    <t>Kellogg Co.</t>
  </si>
  <si>
    <t>Kering SA</t>
  </si>
  <si>
    <t>Kimberly-Clark</t>
  </si>
  <si>
    <t>Kinnevik AB ser. B</t>
  </si>
  <si>
    <t>Klepierre SA</t>
  </si>
  <si>
    <t>Komax Holding AG</t>
  </si>
  <si>
    <t>Konecranes Oyj</t>
  </si>
  <si>
    <t>Koninklijke Ahold NV</t>
  </si>
  <si>
    <t>Koninklijke Boskalis Westminster NV</t>
  </si>
  <si>
    <t>Koninklijke DSM NV</t>
  </si>
  <si>
    <t>Koninklijke Vopak NV</t>
  </si>
  <si>
    <t>Korea Electric Power Corporation</t>
  </si>
  <si>
    <t>KPN (Koninklijke)</t>
  </si>
  <si>
    <t>Kuehne &amp; Nagel International AG</t>
  </si>
  <si>
    <t>Laboratorios Farmaceuticos Rovi, SA</t>
  </si>
  <si>
    <t>Lam Research Corporation</t>
  </si>
  <si>
    <t>Legrand</t>
  </si>
  <si>
    <t>Leonardo SpA</t>
  </si>
  <si>
    <t>Leroy Seafood Group ASA</t>
  </si>
  <si>
    <t>Lockheed Martin Corp.</t>
  </si>
  <si>
    <t>L'Oreal SA</t>
  </si>
  <si>
    <t>Lowes Companies</t>
  </si>
  <si>
    <t>Lundin Petroleum AB</t>
  </si>
  <si>
    <t>LVMH Moet Hennessy Louis Vuitton</t>
  </si>
  <si>
    <t>Mapfre SA</t>
  </si>
  <si>
    <t>Marine Harvest ASA</t>
  </si>
  <si>
    <t>Mastercard Inc.</t>
  </si>
  <si>
    <t>McDonald's Corp.</t>
  </si>
  <si>
    <t>Mediaset</t>
  </si>
  <si>
    <t>MedioBanca</t>
  </si>
  <si>
    <t>Medtronic Plc</t>
  </si>
  <si>
    <t>Merck &amp; Co. Inc.</t>
  </si>
  <si>
    <t>Merck KGaA</t>
  </si>
  <si>
    <t>Merlin Properties SOCIMI SA</t>
  </si>
  <si>
    <t>Metlife Inc.</t>
  </si>
  <si>
    <t>Michelin</t>
  </si>
  <si>
    <t>Microsoft Corp.</t>
  </si>
  <si>
    <t>Millicom International Cellular S.A. SDB</t>
  </si>
  <si>
    <t>Mitsui &amp; Co. Ltd</t>
  </si>
  <si>
    <t>1’440.00</t>
  </si>
  <si>
    <t>Mobilezone Holding AG</t>
  </si>
  <si>
    <t>Moncler SpA</t>
  </si>
  <si>
    <t>Mondelez Intl Inc.</t>
  </si>
  <si>
    <t>Morgan Stanley</t>
  </si>
  <si>
    <t>Muenchener Rueck</t>
  </si>
  <si>
    <t>Nestle SA</t>
  </si>
  <si>
    <t>Netflix Inc.</t>
  </si>
  <si>
    <t>Next Plc</t>
  </si>
  <si>
    <t>4’460.00</t>
  </si>
  <si>
    <t>NextEra Energy Inc.</t>
  </si>
  <si>
    <t>Nike Inc.</t>
  </si>
  <si>
    <t>NN Group NV</t>
  </si>
  <si>
    <t>Nordic Semiconductor ASA</t>
  </si>
  <si>
    <t>Norway Royal Salmon ASA</t>
  </si>
  <si>
    <t>Novo Nordisk B A/S</t>
  </si>
  <si>
    <t>Occidental Petroleum Corp.</t>
  </si>
  <si>
    <t>Ocean Yield</t>
  </si>
  <si>
    <t>Oracle Corp.</t>
  </si>
  <si>
    <t>ORANGE</t>
  </si>
  <si>
    <t>Orior AG</t>
  </si>
  <si>
    <t>Orkla A</t>
  </si>
  <si>
    <t>Osram Licht AG</t>
  </si>
  <si>
    <t>PayPal Holdings Inc.</t>
  </si>
  <si>
    <t>Peugeot</t>
  </si>
  <si>
    <t>Pfizer Inc.</t>
  </si>
  <si>
    <t>Phillips 66</t>
  </si>
  <si>
    <t>Poste Italiane SpA</t>
  </si>
  <si>
    <t>Praxair Inc.</t>
  </si>
  <si>
    <t>Procter &amp; Gamble Co.</t>
  </si>
  <si>
    <t>Qualcomm Inc.</t>
  </si>
  <si>
    <t>Ramsay Health Care Ltd</t>
  </si>
  <si>
    <t>Randstad Holding NV</t>
  </si>
  <si>
    <t>Raytheon Co.</t>
  </si>
  <si>
    <t>Red Electrica de Espana</t>
  </si>
  <si>
    <t>Renault</t>
  </si>
  <si>
    <t>Repsol SA</t>
  </si>
  <si>
    <t>Rieter N</t>
  </si>
  <si>
    <t>Rio Tinto Plc</t>
  </si>
  <si>
    <t>2’800.00</t>
  </si>
  <si>
    <t>Royal Dutch Shell Plc A</t>
  </si>
  <si>
    <t>Royal Dutch Shell Plc B</t>
  </si>
  <si>
    <t>Royal Philips Electronics NV</t>
  </si>
  <si>
    <t>Safran</t>
  </si>
  <si>
    <t>Saint Gobain</t>
  </si>
  <si>
    <t>Saipem SpA - Ordinary</t>
  </si>
  <si>
    <t>SalMar ASA</t>
  </si>
  <si>
    <t>Sandvik AB</t>
  </si>
  <si>
    <t>Schaffner Holdings AG</t>
  </si>
  <si>
    <t>Schlumberger Limited</t>
  </si>
  <si>
    <t>Schneider Electric</t>
  </si>
  <si>
    <t>Seagate Technology</t>
  </si>
  <si>
    <t>SFS Group AG</t>
  </si>
  <si>
    <t>Simon Property Group Inc.</t>
  </si>
  <si>
    <t>Skandinaviska Enskilda Banken ser. A</t>
  </si>
  <si>
    <t>SKF, AB ser. B</t>
  </si>
  <si>
    <t>Snam SpA</t>
  </si>
  <si>
    <t>Societe Generale</t>
  </si>
  <si>
    <t>Solvay</t>
  </si>
  <si>
    <t>SPDR MSCI Europe Technology UCITS ETF</t>
  </si>
  <si>
    <t>Starbucks Corp.</t>
  </si>
  <si>
    <t>STMicroelectronics</t>
  </si>
  <si>
    <t>Storebrand</t>
  </si>
  <si>
    <t>Subsea 7 SA</t>
  </si>
  <si>
    <t>Suez SA</t>
  </si>
  <si>
    <t>Sulzer AG</t>
  </si>
  <si>
    <t>Sunrise Communications Group Ltd</t>
  </si>
  <si>
    <t>Svenska Handelsbanken ser. A</t>
  </si>
  <si>
    <t>Swatch Group AG</t>
  </si>
  <si>
    <t>Swedbank AB ser A</t>
  </si>
  <si>
    <t>Swedish Match AB</t>
  </si>
  <si>
    <t>Symantec Corporation</t>
  </si>
  <si>
    <t>Takeda Pharmaceutical Co. Ltd</t>
  </si>
  <si>
    <t>4’000.00</t>
  </si>
  <si>
    <t>Target Corp.</t>
  </si>
  <si>
    <t>Tecnicas Reunidas SA</t>
  </si>
  <si>
    <t>Telenor</t>
  </si>
  <si>
    <t>Terna</t>
  </si>
  <si>
    <t>Texas Instruments Inc.</t>
  </si>
  <si>
    <t>TGS-NOPEC Geophysical Company</t>
  </si>
  <si>
    <t>The Walt Disney Company</t>
  </si>
  <si>
    <t>Thermo Fisher Scientific Inc.</t>
  </si>
  <si>
    <t>Total</t>
  </si>
  <si>
    <t>UBS Group Inc.</t>
  </si>
  <si>
    <t>Unilever NV</t>
  </si>
  <si>
    <t>Union Pacific Cp</t>
  </si>
  <si>
    <t>Unipol Gruppo Finanziario SpA - Ordinary</t>
  </si>
  <si>
    <t>United Parcel Service</t>
  </si>
  <si>
    <t>United Technologies</t>
  </si>
  <si>
    <t>UnitedHealth Group Inc.</t>
  </si>
  <si>
    <t>US Bancorp</t>
  </si>
  <si>
    <t>Valeo</t>
  </si>
  <si>
    <t>Valero Energy</t>
  </si>
  <si>
    <t>Veolia Environnement</t>
  </si>
  <si>
    <t>Verisign Inc.</t>
  </si>
  <si>
    <t>Verizon Comms</t>
  </si>
  <si>
    <t>VF Corp.</t>
  </si>
  <si>
    <t>Visa Inc.</t>
  </si>
  <si>
    <t>Walmart Inc.</t>
  </si>
  <si>
    <t>Waste Management Inc.</t>
  </si>
  <si>
    <t>Wells Fargo &amp; Co.</t>
  </si>
  <si>
    <t>Whirlpool Corp.</t>
  </si>
  <si>
    <t>Yara International</t>
  </si>
  <si>
    <t>Cotton No. 2  - continuous</t>
  </si>
  <si>
    <t>Lean Hogs - continuous</t>
  </si>
  <si>
    <t>exch_code</t>
  </si>
  <si>
    <t>exch_des</t>
  </si>
  <si>
    <t>exch_id</t>
  </si>
  <si>
    <t>ALXP</t>
  </si>
  <si>
    <t>Euronext - Growth Paris</t>
  </si>
  <si>
    <t>6808</t>
  </si>
  <si>
    <t>ASX</t>
  </si>
  <si>
    <t>ASX - All Markets</t>
  </si>
  <si>
    <t>111</t>
  </si>
  <si>
    <t>BDM</t>
  </si>
  <si>
    <t>The Montreal Exchange / Bourse de Montreal</t>
  </si>
  <si>
    <t>92</t>
  </si>
  <si>
    <t>BNQ</t>
  </si>
  <si>
    <t>NASDAQ-UTP Cboe BYX U.S. Equities Exchange Inc.</t>
  </si>
  <si>
    <t>1047</t>
  </si>
  <si>
    <t>BOS</t>
  </si>
  <si>
    <t>CTA NASDAQ OMX BX</t>
  </si>
  <si>
    <t>98</t>
  </si>
  <si>
    <t>BRN</t>
  </si>
  <si>
    <t>BX Swiss AG, BX Listed</t>
  </si>
  <si>
    <t>5</t>
  </si>
  <si>
    <t>BRX</t>
  </si>
  <si>
    <t>BX Swiss AG, BX Sponsored</t>
  </si>
  <si>
    <t>1174</t>
  </si>
  <si>
    <t>BTA</t>
  </si>
  <si>
    <t>NYSE-CTA Cboe BZX U.S. Equities Exchange</t>
  </si>
  <si>
    <t>896</t>
  </si>
  <si>
    <t>BTY</t>
  </si>
  <si>
    <t>NYSE-CTA Cboe BYX U.S. Equities Exchange</t>
  </si>
  <si>
    <t>1046</t>
  </si>
  <si>
    <t>BUT</t>
  </si>
  <si>
    <t>NASDAQ-UTP Cboe BZX U.S. Equities Exchange</t>
  </si>
  <si>
    <t>897</t>
  </si>
  <si>
    <t>CBUA</t>
  </si>
  <si>
    <t>Cboe Europe Equities DXE 1st Listing - MTF</t>
  </si>
  <si>
    <t>1573</t>
  </si>
  <si>
    <t>CBUB</t>
  </si>
  <si>
    <t>Cboe Europe Equities DXE 2nd Listing - MTF</t>
  </si>
  <si>
    <t>1574</t>
  </si>
  <si>
    <t>CBUD</t>
  </si>
  <si>
    <t>Cboe Europe Equities DXE 4th Listing - MTF</t>
  </si>
  <si>
    <t>1576</t>
  </si>
  <si>
    <t>CBUE</t>
  </si>
  <si>
    <t>Cboe Europe Equities DXE 1st Listing - Regulated Market</t>
  </si>
  <si>
    <t>1577</t>
  </si>
  <si>
    <t>CHI</t>
  </si>
  <si>
    <t>CTA NYSE Chicago, Inc.</t>
  </si>
  <si>
    <t>70</t>
  </si>
  <si>
    <t>CHN</t>
  </si>
  <si>
    <t>Cboe Europe Equities CXE 2nd Listing - MTF</t>
  </si>
  <si>
    <t>894</t>
  </si>
  <si>
    <t>CHX</t>
  </si>
  <si>
    <t>Cboe Europe Equities CXE 1st Listing - MTF</t>
  </si>
  <si>
    <t>847</t>
  </si>
  <si>
    <t>CIN</t>
  </si>
  <si>
    <t>CTA NYSE National, Inc</t>
  </si>
  <si>
    <t>94</t>
  </si>
  <si>
    <t>CPH</t>
  </si>
  <si>
    <t>Nasdaq Copenhagen Equities</t>
  </si>
  <si>
    <t>12</t>
  </si>
  <si>
    <t>CVE</t>
  </si>
  <si>
    <t>TSX Venture Exchange</t>
  </si>
  <si>
    <t>63</t>
  </si>
  <si>
    <t>CXE3</t>
  </si>
  <si>
    <t>Cboe Europe Equities CXE 3rd Listing - MTF</t>
  </si>
  <si>
    <t>1543</t>
  </si>
  <si>
    <t>DBEF</t>
  </si>
  <si>
    <t>Deutsche Boerse Xetra ETF</t>
  </si>
  <si>
    <t>1703</t>
  </si>
  <si>
    <t>DBPP</t>
  </si>
  <si>
    <t>Deutsche Boerse Xetra ETP</t>
  </si>
  <si>
    <t>1708</t>
  </si>
  <si>
    <t>DCA</t>
  </si>
  <si>
    <t>NYSE-CTA Cboe EDGA U.S. Equities Exchange</t>
  </si>
  <si>
    <t>1051</t>
  </si>
  <si>
    <t>DCT</t>
  </si>
  <si>
    <t>NYSE-CTA Cboe EDGX U.S. Equities Exchange</t>
  </si>
  <si>
    <t>1050</t>
  </si>
  <si>
    <t>DEG</t>
  </si>
  <si>
    <t>NASDAQ-UTP Cboe EDGA U.S. Equities Exchange</t>
  </si>
  <si>
    <t>1048</t>
  </si>
  <si>
    <t>DIX</t>
  </si>
  <si>
    <t>NASDAQ-UTP Cboe EDGX U.S. Equities Exchange</t>
  </si>
  <si>
    <t>1049</t>
  </si>
  <si>
    <t>ENC</t>
  </si>
  <si>
    <t>Euronext Paris MATIF, Commodity Derivatives</t>
  </si>
  <si>
    <t>396</t>
  </si>
  <si>
    <t>EPD</t>
  </si>
  <si>
    <t>Euronext Paris MONEP, Equity and Index Derivatives</t>
  </si>
  <si>
    <t>26</t>
  </si>
  <si>
    <t>EPRL</t>
  </si>
  <si>
    <t>NYSE-CTA MIAX Pearl Exchange, LLC</t>
  </si>
  <si>
    <t>5330</t>
  </si>
  <si>
    <t>EUX</t>
  </si>
  <si>
    <t>Eurex Deutschland</t>
  </si>
  <si>
    <t>21</t>
  </si>
  <si>
    <t>FRA</t>
  </si>
  <si>
    <t>13</t>
  </si>
  <si>
    <t>GROW</t>
  </si>
  <si>
    <t>BME - Bolsas y Mercardos Espanoles</t>
  </si>
  <si>
    <t>5386</t>
  </si>
  <si>
    <t>HEL</t>
  </si>
  <si>
    <t>NASDAQ Helsinki Ltd, Equities</t>
  </si>
  <si>
    <t>40</t>
  </si>
  <si>
    <t>ICE</t>
  </si>
  <si>
    <t>NASDAQ Iceland, Equities</t>
  </si>
  <si>
    <t>370</t>
  </si>
  <si>
    <t>IET</t>
  </si>
  <si>
    <t>ICE Futures Europe</t>
  </si>
  <si>
    <t>801</t>
  </si>
  <si>
    <t>IFF</t>
  </si>
  <si>
    <t>ICE Futures Europe - LIFFE, Financial Products</t>
  </si>
  <si>
    <t>1331</t>
  </si>
  <si>
    <t>ITF</t>
  </si>
  <si>
    <t>Deutsche Boersen-Indices</t>
  </si>
  <si>
    <t>830</t>
  </si>
  <si>
    <t>LES</t>
  </si>
  <si>
    <t>London Stock Exchange, European Markets</t>
  </si>
  <si>
    <t>594</t>
  </si>
  <si>
    <t>LIB</t>
  </si>
  <si>
    <t>IOB London International Order Book</t>
  </si>
  <si>
    <t>507</t>
  </si>
  <si>
    <t>LSS</t>
  </si>
  <si>
    <t>361</t>
  </si>
  <si>
    <t>LTF</t>
  </si>
  <si>
    <t>London Stock Exchange Domestic-UK Market 2nd Currency</t>
  </si>
  <si>
    <t>719</t>
  </si>
  <si>
    <t>MAH</t>
  </si>
  <si>
    <t>Borsa Italiana Equity MTF</t>
  </si>
  <si>
    <t>800</t>
  </si>
  <si>
    <t>MCI</t>
  </si>
  <si>
    <t>46</t>
  </si>
  <si>
    <t>MEMX</t>
  </si>
  <si>
    <t>NYSE-CTA Members Exchange, LLC</t>
  </si>
  <si>
    <t>5329</t>
  </si>
  <si>
    <t>MIE</t>
  </si>
  <si>
    <t>Borsa Italiana Equity MTF, Global Equity Market</t>
  </si>
  <si>
    <t>1348</t>
  </si>
  <si>
    <t>MUC</t>
  </si>
  <si>
    <t>Boerse Muenchen</t>
  </si>
  <si>
    <t>15</t>
  </si>
  <si>
    <t>NAR</t>
  </si>
  <si>
    <t>NYSE Arca</t>
  </si>
  <si>
    <t>69</t>
  </si>
  <si>
    <t>NCI</t>
  </si>
  <si>
    <t>NYSE-CTA Investors Exchange LLC</t>
  </si>
  <si>
    <t>1343</t>
  </si>
  <si>
    <t>NEU</t>
  </si>
  <si>
    <t>ICE Futures Europe - Agricultural Products Division</t>
  </si>
  <si>
    <t>810</t>
  </si>
  <si>
    <t>NMK</t>
  </si>
  <si>
    <t>NYSE American</t>
  </si>
  <si>
    <t>66</t>
  </si>
  <si>
    <t>NMS</t>
  </si>
  <si>
    <t>NASDAQ</t>
  </si>
  <si>
    <t>67</t>
  </si>
  <si>
    <t>NTA</t>
  </si>
  <si>
    <t>NYSE-CTA FINRA Alternative Display Facility (ADF)</t>
  </si>
  <si>
    <t>737</t>
  </si>
  <si>
    <t>NUI</t>
  </si>
  <si>
    <t>NASDAQ-UTP Investors Exchange LLC</t>
  </si>
  <si>
    <t>1344</t>
  </si>
  <si>
    <t>NYX</t>
  </si>
  <si>
    <t>New York Stock Exchange, Inc</t>
  </si>
  <si>
    <t>65</t>
  </si>
  <si>
    <t>OTN</t>
  </si>
  <si>
    <t>Other OTC Market</t>
  </si>
  <si>
    <t>365</t>
  </si>
  <si>
    <t>PBW</t>
  </si>
  <si>
    <t>CTA NASDAQ OMX PSX</t>
  </si>
  <si>
    <t>77</t>
  </si>
  <si>
    <t>QODU</t>
  </si>
  <si>
    <t>Six Swiss Exchange - ETF QOD USD</t>
  </si>
  <si>
    <t>1624</t>
  </si>
  <si>
    <t>STN</t>
  </si>
  <si>
    <t>BME Bolsas y Mercados Espanoles - Renta Variable</t>
  </si>
  <si>
    <t>1058</t>
  </si>
  <si>
    <t>STO</t>
  </si>
  <si>
    <t>NASDAQ Nordic Exchange Stockholm, Equities</t>
  </si>
  <si>
    <t>53</t>
  </si>
  <si>
    <t>STU</t>
  </si>
  <si>
    <t>Boerse Stuttgart GmbH</t>
  </si>
  <si>
    <t>16</t>
  </si>
  <si>
    <t>SWE</t>
  </si>
  <si>
    <t>SIX Swiss Exchange EUR</t>
  </si>
  <si>
    <t>351</t>
  </si>
  <si>
    <t>SWJ</t>
  </si>
  <si>
    <t>SIX Swiss Exchange Other Currencies</t>
  </si>
  <si>
    <t>352</t>
  </si>
  <si>
    <t>SWU</t>
  </si>
  <si>
    <t>SIX Swiss Exchange USD</t>
  </si>
  <si>
    <t>349</t>
  </si>
  <si>
    <t>SWX</t>
  </si>
  <si>
    <t>4</t>
  </si>
  <si>
    <t>TGT</t>
  </si>
  <si>
    <t>Tradegate Exchange GmbH</t>
  </si>
  <si>
    <t>2779</t>
  </si>
  <si>
    <t>THM</t>
  </si>
  <si>
    <t>CTA NASDAQ OMX Stock Exchange</t>
  </si>
  <si>
    <t>318</t>
  </si>
  <si>
    <t>TLV</t>
  </si>
  <si>
    <t>Tel Aviv Stock Exchange</t>
  </si>
  <si>
    <t>105</t>
  </si>
  <si>
    <t>TOR</t>
  </si>
  <si>
    <t>Toronto Stock Exchange</t>
  </si>
  <si>
    <t>61</t>
  </si>
  <si>
    <t>TQE</t>
  </si>
  <si>
    <t>Turquoise, 2nd Listing</t>
  </si>
  <si>
    <t>258</t>
  </si>
  <si>
    <t>TQU</t>
  </si>
  <si>
    <t>Turquoise, 1st Listing</t>
  </si>
  <si>
    <t>257</t>
  </si>
  <si>
    <t>TREB</t>
  </si>
  <si>
    <t>Turquoise Europe, 1st Listing</t>
  </si>
  <si>
    <t>1565</t>
  </si>
  <si>
    <t>TREC</t>
  </si>
  <si>
    <t>Turquoise Europe, 2nd Listing</t>
  </si>
  <si>
    <t>1566</t>
  </si>
  <si>
    <t>TREF</t>
  </si>
  <si>
    <t>Turquoise Plato Europe, 1st Listing</t>
  </si>
  <si>
    <t>1568</t>
  </si>
  <si>
    <t>TREG</t>
  </si>
  <si>
    <t>Turquoise Plato Europe, 2nd Listing</t>
  </si>
  <si>
    <t>1569</t>
  </si>
  <si>
    <t>TRPO</t>
  </si>
  <si>
    <t>Turquoise Plato, 2nd Listing</t>
  </si>
  <si>
    <t>1529</t>
  </si>
  <si>
    <t>TSU</t>
  </si>
  <si>
    <t>TMX Group Ltd, Toronto Stock Exchange USD</t>
  </si>
  <si>
    <t>584</t>
  </si>
  <si>
    <t>TXCA</t>
  </si>
  <si>
    <t>Toronto Stock Exchange, Indices CAD</t>
  </si>
  <si>
    <t>1371</t>
  </si>
  <si>
    <t>TXUS</t>
  </si>
  <si>
    <t>Toronto Stock Exchange, Indices USD</t>
  </si>
  <si>
    <t>1372</t>
  </si>
  <si>
    <t>UEMX</t>
  </si>
  <si>
    <t>Nasdaq-UTP Members Exchange, LLC</t>
  </si>
  <si>
    <t>1595</t>
  </si>
  <si>
    <t>UIAX</t>
  </si>
  <si>
    <t>Nasdaq-UTP MIAX Pearl Exchange, LLC</t>
  </si>
  <si>
    <t>1596</t>
  </si>
  <si>
    <t>UNM</t>
  </si>
  <si>
    <t>UTP NYSE American</t>
  </si>
  <si>
    <t>531</t>
  </si>
  <si>
    <t>USC</t>
  </si>
  <si>
    <t>NYSE US Composite</t>
  </si>
  <si>
    <t>321</t>
  </si>
  <si>
    <t>UTB</t>
  </si>
  <si>
    <t>UTP NASDAQ OMX BX</t>
  </si>
  <si>
    <t>532</t>
  </si>
  <si>
    <t>UTC</t>
  </si>
  <si>
    <t>UTP Consolidated</t>
  </si>
  <si>
    <t>537</t>
  </si>
  <si>
    <t>UTD</t>
  </si>
  <si>
    <t>Finra Alternative Display Facility (ADF)</t>
  </si>
  <si>
    <t>538</t>
  </si>
  <si>
    <t>UTG</t>
  </si>
  <si>
    <t>UTP NYSE Chicago, Inc.</t>
  </si>
  <si>
    <t>534</t>
  </si>
  <si>
    <t>UTH</t>
  </si>
  <si>
    <t>UTP NASDAQ OMX PSX</t>
  </si>
  <si>
    <t>536</t>
  </si>
  <si>
    <t>UTN</t>
  </si>
  <si>
    <t>UTP NYSE National Inc</t>
  </si>
  <si>
    <t>533</t>
  </si>
  <si>
    <t>UTP</t>
  </si>
  <si>
    <t>UTP NYSE Arca</t>
  </si>
  <si>
    <t>535</t>
  </si>
  <si>
    <t>UTS</t>
  </si>
  <si>
    <t>UTP NYSE</t>
  </si>
  <si>
    <t>544</t>
  </si>
  <si>
    <t>XESM</t>
  </si>
  <si>
    <t>Euronext - Irish Enterprise Securities Market</t>
  </si>
  <si>
    <t>6900</t>
  </si>
  <si>
    <t>XMLI</t>
  </si>
  <si>
    <t>Euronext - Access Paris</t>
  </si>
  <si>
    <t>6809</t>
  </si>
  <si>
    <t>XMSM</t>
  </si>
  <si>
    <t>Euronext - Irish Main Securities Market</t>
  </si>
  <si>
    <t>6902</t>
  </si>
  <si>
    <t>XSMX</t>
  </si>
  <si>
    <t>Six Swiss Exchange, SwissAtMid</t>
  </si>
  <si>
    <t>1355</t>
  </si>
  <si>
    <t>0.01 LBBW 31 1 Pf</t>
  </si>
  <si>
    <t>Landesbank Baden-Wuerttemberg</t>
  </si>
  <si>
    <t>0.010 % Landesbank Baden-Wuerttemberg 27.01.31</t>
  </si>
  <si>
    <t>FR0000124141</t>
  </si>
  <si>
    <t>Veolia Environnem</t>
  </si>
  <si>
    <t>1098758</t>
  </si>
  <si>
    <t>Veolia Environnement SA</t>
  </si>
  <si>
    <t>FR0000124141:EUR:CBUA</t>
  </si>
  <si>
    <t>1098758,1573,814</t>
  </si>
  <si>
    <t>UNION BANCAIRE PRIVEE UBP (Union Bancaire Privee CBI-TDB)</t>
  </si>
  <si>
    <t>US92189F8178:USD</t>
  </si>
  <si>
    <t>32071842,321,333</t>
  </si>
  <si>
    <t>US92189F8178</t>
  </si>
  <si>
    <t>VanEck Vietnam ETF</t>
  </si>
  <si>
    <t>32071842</t>
  </si>
  <si>
    <t>US4642862027:USD</t>
  </si>
  <si>
    <t>1087248,321,333</t>
  </si>
  <si>
    <t>US4642862027</t>
  </si>
  <si>
    <t>iShares MSCI Austria ETF</t>
  </si>
  <si>
    <t>1087248</t>
  </si>
  <si>
    <t>US46138E8003:USD:P</t>
  </si>
  <si>
    <t>41970675,321,333</t>
  </si>
  <si>
    <t>US46138E8003</t>
  </si>
  <si>
    <t>Invesco China Technology ETF</t>
  </si>
  <si>
    <t>41970675</t>
  </si>
  <si>
    <t>US4642865095:USD:P</t>
  </si>
  <si>
    <t>1087201,321,333</t>
  </si>
  <si>
    <t>US4642865095</t>
  </si>
  <si>
    <t>iShares MSCI Canada ETF</t>
  </si>
  <si>
    <t>1087201</t>
  </si>
  <si>
    <t>Utile/Perdita</t>
  </si>
  <si>
    <t>CH0210483332:CHF:P</t>
  </si>
  <si>
    <t>21048333,4,1</t>
  </si>
  <si>
    <t>CH0210483332</t>
  </si>
  <si>
    <t>CieFinRichemont N</t>
  </si>
  <si>
    <t>21048333</t>
  </si>
  <si>
    <t>COMPAGNIE FINANCIERE RICHEMONT SA</t>
  </si>
  <si>
    <t>Uhren &amp; Schmuck</t>
  </si>
  <si>
    <t>CH1335392721:CHF:P</t>
  </si>
  <si>
    <t>133539272,4,1</t>
  </si>
  <si>
    <t>CH1335392721</t>
  </si>
  <si>
    <t>Galderma Group N</t>
  </si>
  <si>
    <t>133539272</t>
  </si>
  <si>
    <t>Galderma Group AG</t>
  </si>
  <si>
    <t>CH0009002962:CHF:P</t>
  </si>
  <si>
    <t>900296,4,1</t>
  </si>
  <si>
    <t>CH0009002962</t>
  </si>
  <si>
    <t>900296</t>
  </si>
  <si>
    <t>Richemont N</t>
  </si>
  <si>
    <t>NL0010832176</t>
  </si>
  <si>
    <t>argenx Br</t>
  </si>
  <si>
    <t>24766616</t>
  </si>
  <si>
    <t>argenx SE</t>
  </si>
  <si>
    <t>NL0010832176:EUR:CBUA</t>
  </si>
  <si>
    <t>24766616,1573,814</t>
  </si>
  <si>
    <t>IE0008470928:EUR:P</t>
  </si>
  <si>
    <t>US78463X1524:USD:P</t>
  </si>
  <si>
    <t>30798996,321,333</t>
  </si>
  <si>
    <t>US78463X1524</t>
  </si>
  <si>
    <t>30798996</t>
  </si>
  <si>
    <t>Amundi Index Solutions SICAV - Amundi Core Stoxx Europe 600</t>
  </si>
  <si>
    <t>Amundi Index Solutions SICAV - Amundi Euro Lowest Rated IG Government Bond</t>
  </si>
  <si>
    <t>Multi Units Luxembourg SICAV - Amundi Core MSCI Japan</t>
  </si>
  <si>
    <t>Multi Units France Sicav - Amundi MSCI Emerging Markets Swap II UCITS ETF</t>
  </si>
  <si>
    <t>IE0002GFATQ6</t>
  </si>
  <si>
    <t>IE0002GFATQ6:CHF:P</t>
  </si>
  <si>
    <t>134865972,4,1</t>
  </si>
  <si>
    <t>Xtrackers (IE) PLC - Xtrackers S&amp;P 500 Equal Weight UCITS ETF</t>
  </si>
  <si>
    <t>134865972</t>
  </si>
  <si>
    <t>Xtrackers S&amp;P 500 Equal Weight CHF Hedged (Acc)</t>
  </si>
  <si>
    <t>DE0007030009:EUR:P</t>
  </si>
  <si>
    <t>345850,44,814</t>
  </si>
  <si>
    <t>DE0007030009</t>
  </si>
  <si>
    <t>Rheinmetall I</t>
  </si>
  <si>
    <t>345850</t>
  </si>
  <si>
    <t>Rheinmetall AG</t>
  </si>
  <si>
    <t>Volkswagen Financial Services AG</t>
  </si>
  <si>
    <t>IE00BKPSFD61:USD:P</t>
  </si>
  <si>
    <t>54540945,1801,333</t>
  </si>
  <si>
    <t>IE00BJ5JPG56:USD:P</t>
  </si>
  <si>
    <t>47256616,349,333</t>
  </si>
  <si>
    <t>IE00BKWQ0G16:EUR:P</t>
  </si>
  <si>
    <t>24767127,1807,814</t>
  </si>
  <si>
    <t>&gt; Secondo quanto inidcato dalla signora Lanzetti, il conto sarà poi suddiviso entro la fine dell'anno. In tale occasione sarà probalimente anche versato il CHF 100'00= precedentmente mensionato. 
&gt; La signora preavvisarà dell'uscita con congruo anticipo. La liquisdità può essere utilizzata fino a nuovo ordine.</t>
  </si>
  <si>
    <t>&gt; Tel. di SMO a sig.ra Lanzetti per proporre incontro di fine anno. La signora dice che, come tutti gli anni per lei il mese di dicmenre è molto impegnativo.
&gt; Ribadisce che questo conto sarà di chudere e divider in 4. Lei e 1 sorella hanno già il cto. presso BdS, l'altra sorella ha il cto. gestiot presso EFG e la nipote, non si sà.</t>
  </si>
  <si>
    <t>&gt; Si farà viva lei in gennaio per riaffrontare il tema. Pe ril memento, continuare come sepre a mantenere il pft. Divisibile per 4.</t>
  </si>
  <si>
    <t>CH1154887116:CHF:P</t>
  </si>
  <si>
    <t>115488711,4,1</t>
  </si>
  <si>
    <t>CH1154887116</t>
  </si>
  <si>
    <t>0.41 AGRI 30 EMTN</t>
  </si>
  <si>
    <t>115488711</t>
  </si>
  <si>
    <t>0.410 % Credit Agricole SA 18.01.30</t>
  </si>
  <si>
    <t>US46435U8532:USD:P</t>
  </si>
  <si>
    <t>38858192,321,333</t>
  </si>
  <si>
    <t>US46435U8532</t>
  </si>
  <si>
    <t>iSh USD High Yield Corporate Bond ETF</t>
  </si>
  <si>
    <t>38858192</t>
  </si>
  <si>
    <t>IShares Broad USD High Yield Corporate Bond ETF</t>
  </si>
  <si>
    <t>DE000A0Q4R28:EUR:STU</t>
  </si>
  <si>
    <t>12981034,16,814</t>
  </si>
  <si>
    <t>DE000A0F5UJ7:EUR:STU</t>
  </si>
  <si>
    <t>DE000A0F5UK5:EUR:STU</t>
  </si>
  <si>
    <t>DE000A0H08E0:EUR:STU</t>
  </si>
  <si>
    <t>DE000A0H08F7:EUR:STU</t>
  </si>
  <si>
    <t>DE000A0H08G5:EUR:STU</t>
  </si>
  <si>
    <t>DE000A0H08H3:EUR:STU</t>
  </si>
  <si>
    <t>DE000A0Q4R36:EUR:STU</t>
  </si>
  <si>
    <t>DE000A0H08J9:EUR:STU</t>
  </si>
  <si>
    <t>12980561,16,814</t>
  </si>
  <si>
    <t>12974725,16,814</t>
  </si>
  <si>
    <t>12980110,16,814</t>
  </si>
  <si>
    <t>12980519,16,814</t>
  </si>
  <si>
    <t>12980549,16,814</t>
  </si>
  <si>
    <t>12980644,16,814</t>
  </si>
  <si>
    <t>12980579,16,814</t>
  </si>
  <si>
    <t>12980675,16,814</t>
  </si>
  <si>
    <t>DE000A0H08K7:EUR:STU</t>
  </si>
  <si>
    <t>DE000A0H08L5:EUR:STU</t>
  </si>
  <si>
    <t>DE000A0H08M3:EUR:STU</t>
  </si>
  <si>
    <t>DE000A0H08N1:EUR:STU</t>
  </si>
  <si>
    <t>DE000A0Q4R44:EUR:STU</t>
  </si>
  <si>
    <t>DE000A0H08Q4:EUR:STU</t>
  </si>
  <si>
    <t>DE000A0H08R2:EUR:STU</t>
  </si>
  <si>
    <t>DE000A0H08S0:EUR:STU</t>
  </si>
  <si>
    <t>DE000A0Q4R02:EUR:STU</t>
  </si>
  <si>
    <t>12980803,16,814</t>
  </si>
  <si>
    <t>12980951,16,814</t>
  </si>
  <si>
    <t>12981044,16,814</t>
  </si>
  <si>
    <t>12980686,16,814</t>
  </si>
  <si>
    <t>12980919,16,814</t>
  </si>
  <si>
    <t>12980928,16,814</t>
  </si>
  <si>
    <t>12980945,16,814</t>
  </si>
  <si>
    <t>12981002,16,814</t>
  </si>
  <si>
    <t>12981018,16,814</t>
  </si>
  <si>
    <t>0.25 Helvetia Ba 26</t>
  </si>
  <si>
    <t>Helvetia Baloise Holding AG</t>
  </si>
  <si>
    <t>Helvetia Bal Hl N</t>
  </si>
  <si>
    <t>&gt; Il cliente comunica che, dato il livello attuale dell'oro sopra I 4'000 e considerato come la sua esposizione complessiva sia secondo I suoi clacol il 24%, desidera ridurre l'esposizione. Se l'oro il giorno succesivo è sopra I 4'000 e il USD(CHF è inotrno ai livelli attuali, desidera vendere 777 parti del fonso sull'oro.</t>
  </si>
  <si>
    <t>&gt; Le parti restano d'accordo di sentirsi la mattina seguente alle 0930 per un aggiornamenot sui prezzi ed un eventuale conferm adel'ordine di vendita.</t>
  </si>
  <si>
    <t>&gt; SMO chiama il cliente come concordato. Comunica che il USD/CHF è vicino ai massimi delgi ultimi due giorni: 80.28; il fondo sull oro 840.80 (vicino ai massimo). 
&gt; SMO richiede un prezzo eseguibile (dato il size dell'ordine). Il cliente decide invece di trasmettere un ordine limitato a 840 VT oggi con accredito diretto al cto. CHF</t>
  </si>
  <si>
    <t>Invito a concordare incontro anche per eventualmente reinvestire la liquidtià.</t>
  </si>
  <si>
    <t>&gt; Alle 09:51 SMO conferma l'esecuzione della vendita di 777 @ 840.00 per un accredito netto 650'676.58.
&gt; Cliente soddisfatto in quanto ritiene che un eventuale pace in Ucraina potrebbe causare un ristorno.
&gt; SMO evidenza l'importante liquidità e propone incontro per valutare opportunità d'investimento. Il cliente preferisce rimanere liquido.</t>
  </si>
  <si>
    <t>0.250 % Helvetia Baloise Holding AG 16.12.26</t>
  </si>
  <si>
    <t>46/18/18/18%</t>
  </si>
  <si>
    <t>&gt; Come già più volte menzionato, è molto scettico degli sviluppi geopolitici ed economici attuali e preferisce pertanto ridurre fortemente al sua espsizione a rischio. Oltre alla vendita di oro già effetuata in ottobre imaprtisce quindi I seguenti ordini:
1. Vendere tutta la posizioone del fono Eurostoxx 50 e convertire i proventi in CHF
2. Vendere tutt la posizione in Asian Smaller Companies e convertire i proventi in CHF (trasmesso  09.12.25 - 18:08)
3. Lasciare scadere l'obbligazione in USD della BEI il 15.12.25 e convertire USD risultati in CHF
&gt; Il cleinte firma l'attestazione impartizione ordini telefonici per il periodo 01.01.2025-09.12.2025
&gt; Firma attestazione notifica e consapevolezza concetrazioni rischio isu Oro ed elevato rischio controparte BdS</t>
  </si>
  <si>
    <t>Email</t>
  </si>
  <si>
    <t>57.55/18.13/6.57/17.76%</t>
  </si>
  <si>
    <t>&gt;Inviato estratto e ricapitolazione ordini eseguiti</t>
  </si>
  <si>
    <t>12.58/30.5/43.9/13.0%</t>
  </si>
  <si>
    <t>&gt; Aggiornamenti privati: la signora ha avuto un anno turbolento. In accoasione di aun visita a sua fratello in Germania, è imporvvismante svenuta sul treno nei pressi delle stazione. Subito rientrata in treno, si è fatta visitare ma non hanno trovato nulla. Seccussivamente, in occasioen della mammografia annuale di controllo (a seguot del cancro al seno avuto ca. 10 ann fà) hanno poi risocntrato du macchioline. Sulla base della biopsia, una delle due era un metastasi, motivo per il quale la signora si è sottoposta ad un intervento per asportare. Intervento conclusosi con sucesso. Non è particolarmente preoccupata e sembra in forma come sempre.
&gt; Retrospettiva annuale evoluzioni geopolitiche e mercati e ricapitolazione misure adoittate a livello di portafooglio.</t>
  </si>
  <si>
    <t>&gt; Nell'ambito della discussione su probabili riallocazione nei prossimi mesi, la signora ha chiaramente manifestato la volontà di tenere l'oro sulle quote attuali.
&gt; Soddisfatta della pereformcne. Nulla di particolare da segnalare.</t>
  </si>
  <si>
    <t>&gt; Richiesto inivo di una posizione aggiortnata il giorno successivo.</t>
  </si>
  <si>
    <t>&gt; Confermato esecuzione ordini impartiti con relativi prezzi
&gt; In tale occasione il cliente ha chiesto conferma della modifica del consulente BdS e della relativa sede</t>
  </si>
  <si>
    <t>&gt; Primo incontro dopo più di un anno. L'ho visto parecchio invecchiato ma sempre molto lucido. Ha un malattiua degenerativa dei nervi e zoppicha visibilmente dopo l'intervento all'anca che gli ha accordiato un gamba.
&gt; Mi ha prevvisato a breve l'uscita di 1 Mio. CHF a favore delle figlie (500K a testa; verso al figlia residene a mestre, la donazione deve essere formalizzata da un notaio per evitare l'imposizione fiscale in Italia; questa la cause dell'attesa)
&gt; Delle due nipoti, ddop un semestre in Canada, una delle due si è iscritta alle facoltà di architettura in Spagna; l'altra a conseguito un  laura in linghgue e intende insegnare l'italiano in Canada
&gt; Mostra e rilascia copia delle posizione Corner Banca (tot. 2'250'336 al 04.06.2025) e preavvisa di voler ridurre /vender la posizione nel fondo Water</t>
  </si>
  <si>
    <t>7.7/27.2/48.3/16.7%</t>
  </si>
  <si>
    <t>&gt; Personale: la signora sta per partire verso la Tanzania per un viaggio con il Fratello. 
&gt; Al rientro, il 06.01.26, dovrebbe nascere un  nipotino e resterà quinid in svizzera romanda per un pò.
&gt; Retropettiva annuale sevoiluzioni geopolotieche e finaziarie, misure adfottate in termini di TAA del portafolgio e propsettive a medio termine.
&gt; Cliente soddisfatta; nulla di particolare da segnalare</t>
  </si>
  <si>
    <t>&gt; Auguri di Natale e Buon anno
&gt; Breve restrospettiva e prospettiva
&gt; Comunicato TAA e performance YtD</t>
  </si>
  <si>
    <t>&gt; Clinete sofddisfatto delle performance</t>
  </si>
  <si>
    <t>&gt; Era al compleanno del nipote (2003) che, come suo fratello che è anto il 25.12, è nato in prossimità del natale.
&gt; Soddisfatto della performance, auspica comunque una discussione più approfondita nel nuovo anno</t>
  </si>
  <si>
    <t>9.40 / 33.68 / 42.84 / 14.08%</t>
  </si>
  <si>
    <t>Messaggio WhatApp</t>
  </si>
  <si>
    <t>Brenni</t>
  </si>
  <si>
    <t>&gt; Non ha voluto esprimere ne apprezzamento né insoddisfazione per la performance attuale.
&gt; A comunque accreditato CHF 50K entrati il 23.12.25</t>
  </si>
  <si>
    <t>18.14 / 12.97 / 57.73 / 11.16%</t>
  </si>
  <si>
    <t>1.33 / 57.03 / 24.56 / 4.96 / 12.12%</t>
  </si>
  <si>
    <t>&gt; Auguri di Natale e Buon anno
&gt; Comunicato Performance YtD</t>
  </si>
  <si>
    <t>RezzonIco</t>
  </si>
  <si>
    <t>2723229,361,333</t>
  </si>
  <si>
    <t>GB00B15KXQ89</t>
  </si>
  <si>
    <t>COPA/WTCS</t>
  </si>
  <si>
    <t>2723229</t>
  </si>
  <si>
    <t>WisdomTree Copper (USD)</t>
  </si>
  <si>
    <t>GB00B15KXQ89:USD</t>
  </si>
  <si>
    <t>CH1430134226:CHF:P</t>
  </si>
  <si>
    <t>143013422,4,1</t>
  </si>
  <si>
    <t>LU0171305526:EUR:P</t>
  </si>
  <si>
    <t>Solo Fondi Investimento</t>
  </si>
  <si>
    <t>CH1169360919:CHF</t>
  </si>
  <si>
    <t>116936091,4,1</t>
  </si>
  <si>
    <t>CH1169360919</t>
  </si>
  <si>
    <t>Accelleron Ind N</t>
  </si>
  <si>
    <t>116936091</t>
  </si>
  <si>
    <t>Accelleron Industries AG</t>
  </si>
  <si>
    <t>CH0030380734:CHF</t>
  </si>
  <si>
    <t>3038073,4,1</t>
  </si>
  <si>
    <t>CH0030380734</t>
  </si>
  <si>
    <t>Huber + Suhner N</t>
  </si>
  <si>
    <t>3038073</t>
  </si>
  <si>
    <t>Huber + Suhner AG</t>
  </si>
  <si>
    <t>CH1386220409:CHF</t>
  </si>
  <si>
    <t>138622040,4,1</t>
  </si>
  <si>
    <t>CH1386220409</t>
  </si>
  <si>
    <t>Sunrise Commun N-A</t>
  </si>
  <si>
    <t>138622040</t>
  </si>
  <si>
    <t>Sunrise Communications AG</t>
  </si>
  <si>
    <t>Sunrise Communications</t>
  </si>
  <si>
    <t>State Street SPDR S&amp;P North American Natural Resources ETF</t>
  </si>
  <si>
    <t>IE00BLNMYC90:USD:P</t>
  </si>
  <si>
    <t>24514626,361,333</t>
  </si>
  <si>
    <t>IE00BLNMYC90</t>
  </si>
  <si>
    <t>24514626</t>
  </si>
  <si>
    <t>Xtrackers S&amp;P 500 Equal Weight UCITS ETF (USD-Acc)</t>
  </si>
  <si>
    <t>IE00BYVTMS52:EUR:TGT</t>
  </si>
  <si>
    <t>37407902,2779,814</t>
  </si>
  <si>
    <t>IE0002EI5AG0:EUR</t>
  </si>
  <si>
    <t>114399815,1703,814</t>
  </si>
  <si>
    <t>IE0002EI5AG0</t>
  </si>
  <si>
    <t>114399815</t>
  </si>
  <si>
    <t>Xtrackers S&amp;P 500 Equal Weight UCITS - EUR Hedged (Acc)</t>
  </si>
  <si>
    <t>US78468R8530:USD</t>
  </si>
  <si>
    <t>21851365,737,333</t>
  </si>
  <si>
    <t>US78468R8530</t>
  </si>
  <si>
    <t>State Street SPDR Portfolio S&amp;P 600 Small Cap ETF</t>
  </si>
  <si>
    <t>21851365</t>
  </si>
  <si>
    <t>Off</t>
  </si>
  <si>
    <t>Hold</t>
  </si>
  <si>
    <t>SSGA SPDR ETFs Europe I PLC - State Street SPDR Bloomberg Euro High Yield Bond UCITS ETF</t>
  </si>
  <si>
    <t>SSGA SPDR ETFs Europe I PLC - State Street FTSE EPRA Nareit Developed Europe ex UK Index UCITS ETF.</t>
  </si>
  <si>
    <t>SSgA SPDR ETFs EUROPE II PLC - State Street SPDR MSCI Europe Utilities UCITS ETF</t>
  </si>
  <si>
    <t>SSgA SPDR ETFs Europe II PLC - State Street SPDR S&amp;P U.S. Consumer Staples Select Sector UCITS ETF</t>
  </si>
  <si>
    <t>SSgA SPDR ETFs EUROPE II PLC - State Street SPDR MSCI Europe Industrials UCITS ETF</t>
  </si>
  <si>
    <t>SSgA SPDR ETFs Europe II PLC - State Street SPDR S&amp;P U.S. Health Care Select Sector UCITS ETF</t>
  </si>
  <si>
    <t>SSgA SPDR ETFs EUROPE II PLC - State Street SPDR MSCI Europe Energy UCITS ETF</t>
  </si>
  <si>
    <t>SSgA SPDR ETFs Europe II PLC - State Street SPDR S&amp;P U.S. Financials Select Sector UCITS ETF</t>
  </si>
  <si>
    <t>SSgA SPDR ETFs EUROPE II PLC - State Street SPDR MSCI Europe Health Care UCITS ETF</t>
  </si>
  <si>
    <t>SSgA SPDR ETFs Europe II PLC - State Street SPDR S&amp;P U.S. Utilities Select Sector UCITS ETF</t>
  </si>
  <si>
    <t>SSgA SPDR ETFs EUROPE II PLC - State Street SPDR MSCI Europe Consumer Discretionary UCITS ETF</t>
  </si>
  <si>
    <t>SSgA SPDR ETFs EUROPE II PLC - State Street SPDR MSCI Europe Consumer Staples UCITS ETF</t>
  </si>
  <si>
    <t>SSgA SPDR ETFs EUROPE II PLC - State Street SPDR MSCI Europe Financials UCITS ETF</t>
  </si>
  <si>
    <t>SSgA SPDR ETFs Europe II PLC - State Street SPDR S&amp;P U.S. Technology Select Sector UCITS ETF</t>
  </si>
  <si>
    <t>SSgA SPDR ETFs EUROPE II PLC - State Street SPDR MSCI Europe Materials UCITS ETF</t>
  </si>
  <si>
    <t>SSgA SPDR ETFs EUROPE II PLC - State Street SPDR MSCI Europe Technology UCITS ETF</t>
  </si>
  <si>
    <t>SSgA SPDR ETFs Europe II PLC - State Street SPDR S&amp;P U.S. Communication Services Select Sector UCITS ETF</t>
  </si>
  <si>
    <t>SSgA SPDR ETFs Europe II PLC - State Street SPDR S&amp;P U.S. Consumer Discretionary Select Sector UCITS ETF</t>
  </si>
  <si>
    <t>SSgA SPDR ETFs Europe II PLC - State Street SPDR S&amp;P U.S. Energy Select Sector UCITS ETF</t>
  </si>
  <si>
    <t>SSgA SPDR ETFs Europe II PLC - State Street SPDR S&amp;P U.S. Industrials Select Sector UCITS ETF</t>
  </si>
  <si>
    <t>SSgA SPDR ETFs Europe II PLC - State Street SPDR S&amp;P U.S. Materials Select Sector UCITS ETF</t>
  </si>
  <si>
    <t>IE000YYE6WK5:USD</t>
  </si>
  <si>
    <t>125816101,361,333</t>
  </si>
  <si>
    <t>IE000YYE6WK5</t>
  </si>
  <si>
    <t>VanEck Vectors UCITS ETFs Plc - VanEck Defense UCITS ETF</t>
  </si>
  <si>
    <t>125816101</t>
  </si>
  <si>
    <t>VanEck Defense UCITS ETF (USD)</t>
  </si>
  <si>
    <t>Red</t>
  </si>
  <si>
    <t>CD 28.07.25 - 03.03.26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</si>
</sst>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3">
    <numFmt numFmtId="41" formatCode="_ * #,##0_ ;_ * \-#,##0_ ;_ * &quot;-&quot;_ ;_ @_ "/>
    <numFmt numFmtId="43" formatCode="_ * #,##0.00_ ;_ * \-#,##0.00_ ;_ * &quot;-&quot;??_ ;_ @_ "/>
    <numFmt numFmtId="164" formatCode="_(* #,##0_);_(* \(#,##0\);_(* &quot;-&quot;_);_(@_)"/>
    <numFmt numFmtId="165" formatCode="_(* #,##0.00_);_(* \(#,##0.00\);_(* &quot;-&quot;??_);_(@_)"/>
    <numFmt numFmtId="166" formatCode="_(* #,##0_);_(* \(#,##0\);_(* &quot;-&quot;??_);_(@_)"/>
    <numFmt numFmtId="167" formatCode="00\:00"/>
    <numFmt numFmtId="168" formatCode="#,##0.000"/>
    <numFmt numFmtId="169" formatCode="dd/mm/yy\ hh:mm"/>
    <numFmt numFmtId="170" formatCode="#,##0;;\-"/>
    <numFmt numFmtId="171" formatCode="#,##0.000;;\-"/>
    <numFmt numFmtId="172" formatCode="0.000;;\-"/>
    <numFmt numFmtId="173" formatCode="0.00%;;\-"/>
    <numFmt numFmtId="174" formatCode="#,##0.00;;\-"/>
    <numFmt numFmtId="175" formatCode="dd/mm/yy;;\-"/>
    <numFmt numFmtId="176" formatCode="_ * #,##0_ ;_ * \-#,##0_ ;_ * &quot;-&quot;??_ ;_ @_ "/>
    <numFmt numFmtId="177" formatCode="#,##0.00_ ;\-#,##0.00\ "/>
    <numFmt numFmtId="178" formatCode="0.00%;;0.00%"/>
    <numFmt numFmtId="179" formatCode="#,##0_ ;\-#,##0\ "/>
    <numFmt numFmtId="180" formatCode="0.0%"/>
    <numFmt numFmtId="181" formatCode="#,##0.0000"/>
    <numFmt numFmtId="182" formatCode="0.00%;\-0.00%"/>
    <numFmt numFmtId="183" formatCode="0.00%;[Red]\ \-0.00%;&quot;&quot;"/>
    <numFmt numFmtId="184" formatCode="_-* #,##0.000_-;\-* #,##0.000_-;_-* &quot;-&quot;??_-;_-@_-"/>
    <numFmt numFmtId="185" formatCode="0.00%;\-0.00%;_ * &quot;-&quot;??_ ;_ @_ "/>
    <numFmt numFmtId="186" formatCode="0.00%;\-0.00%;\-"/>
    <numFmt numFmtId="187" formatCode="0.00%;[Red]\ \-0.00%"/>
    <numFmt numFmtId="188" formatCode="_ * #,##0.000_ ;_ * \-#,##0.000_ ;_ * &quot;-&quot;??_ ;_ @_ "/>
    <numFmt numFmtId="189" formatCode="#,##0.###"/>
    <numFmt numFmtId="190" formatCode="#,##0.####;\-#,##0.####"/>
    <numFmt numFmtId="191" formatCode="0.000;;&quot;&quot;"/>
    <numFmt numFmtId="192" formatCode="#,##0.000000"/>
    <numFmt numFmtId="193" formatCode="#,##0.0"/>
    <numFmt numFmtId="194" formatCode="0.00%;;"/>
    <numFmt numFmtId="195" formatCode="&quot;&quot;;&quot;&quot;;&quot;&quot;"/>
    <numFmt numFmtId="196" formatCode="0.00%;;;"/>
    <numFmt numFmtId="197" formatCode="#,##0;\-#,##0;&quot;-&quot;"/>
    <numFmt numFmtId="198" formatCode="0.00%;\-0.00%;"/>
    <numFmt numFmtId="199" formatCode="0.00%;\-0.00%;_ * &quot;&quot;??_ ;_ @_ "/>
    <numFmt numFmtId="200" formatCode="#,##0.00##"/>
    <numFmt numFmtId="201" formatCode="#,##0.00##;\-#,##0.00##"/>
    <numFmt numFmtId="202" formatCode="#,##0.00;\-#,##0.00;&quot;-&quot;"/>
    <numFmt numFmtId="203" formatCode="#,##0.000;\-#,##0.000;&quot;-&quot;"/>
    <numFmt numFmtId="204" formatCode="_(* #,##0_);_(* \(#,##0\);_(* &quot; &quot;??_);_(@_)"/>
    <numFmt numFmtId="205" formatCode="0.00%;\-0.00%;&quot;&quot;"/>
    <numFmt numFmtId="206" formatCode="#,##0;\-#,##0;&quot;&quot;"/>
    <numFmt numFmtId="207" formatCode="0.000%"/>
    <numFmt numFmtId="208" formatCode="_-* #,##0_-;\-* #,##0_-;_-* &quot;-&quot;??_-;_-@_-"/>
    <numFmt numFmtId="209" formatCode="[$-F400]h:mm:ss\ AM/PM"/>
    <numFmt numFmtId="210" formatCode="0.00%;[Red]\-0.00%;&quot; &quot;"/>
    <numFmt numFmtId="211" formatCode="#,##0;[Red]\-#,##0;&quot; &quot;"/>
    <numFmt numFmtId="212" formatCode="0.00%;\-0.00%;&quot;-&quot;"/>
    <numFmt numFmtId="213" formatCode="#,##0.###;\-#,##0.###;&quot;-&quot;"/>
    <numFmt numFmtId="214" formatCode="0;\-0;&quot; &quot;"/>
  </numFmts>
  <fonts count="73"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u/>
      <sz val="9"/>
      <color theme="10"/>
      <name val="Calibri"/>
      <family val="2"/>
      <scheme val="minor"/>
    </font>
    <font>
      <sz val="9"/>
      <color theme="10"/>
      <name val="smo-icons"/>
    </font>
    <font>
      <b/>
      <sz val="9"/>
      <color indexed="81"/>
      <name val="Tahoma"/>
      <family val="2"/>
    </font>
    <font>
      <sz val="9"/>
      <color indexed="81"/>
      <name val="Tahoma"/>
      <family val="2"/>
    </font>
    <font>
      <sz val="10"/>
      <color indexed="81"/>
      <name val="Calibri"/>
      <family val="2"/>
      <scheme val="minor"/>
    </font>
    <font>
      <sz val="8"/>
      <color indexed="81"/>
      <name val="Calibri"/>
      <family val="2"/>
    </font>
    <font>
      <sz val="9"/>
      <color indexed="81"/>
      <name val="Calibri"/>
      <family val="2"/>
      <scheme val="minor"/>
    </font>
    <font>
      <sz val="10"/>
      <color theme="0"/>
      <name val="Calibri"/>
      <family val="2"/>
      <scheme val="minor"/>
    </font>
    <font>
      <u/>
      <sz val="10"/>
      <color theme="10"/>
      <name val="Calibri"/>
      <family val="2"/>
      <scheme val="minor"/>
    </font>
    <font>
      <sz val="8"/>
      <name val="Calibri"/>
      <family val="2"/>
      <scheme val="minor"/>
    </font>
    <font>
      <sz val="9"/>
      <color theme="10"/>
      <name val="Webdings"/>
      <family val="1"/>
      <charset val="2"/>
    </font>
    <font>
      <sz val="11"/>
      <color indexed="8"/>
      <name val="Calibri"/>
      <family val="2"/>
      <scheme val="minor"/>
    </font>
    <font>
      <u/>
      <sz val="11"/>
      <color theme="10"/>
      <name val="Webdings"/>
      <family val="1"/>
      <charset val="2"/>
    </font>
    <font>
      <b/>
      <sz val="9"/>
      <color indexed="8"/>
      <name val="Aptos"/>
      <family val="2"/>
    </font>
    <font>
      <sz val="9"/>
      <color theme="1"/>
      <name val="Aptos"/>
      <family val="2"/>
    </font>
    <font>
      <sz val="9"/>
      <color indexed="8"/>
      <name val="Aptos"/>
      <family val="2"/>
    </font>
    <font>
      <b/>
      <sz val="9"/>
      <color theme="1"/>
      <name val="Aptos"/>
      <family val="2"/>
    </font>
    <font>
      <b/>
      <sz val="9"/>
      <name val="Aptos"/>
      <family val="2"/>
    </font>
    <font>
      <b/>
      <u/>
      <sz val="9"/>
      <color theme="1"/>
      <name val="Aptos"/>
      <family val="2"/>
    </font>
    <font>
      <b/>
      <sz val="9"/>
      <color theme="0"/>
      <name val="Aptos"/>
      <family val="2"/>
    </font>
    <font>
      <b/>
      <sz val="9"/>
      <color theme="1" tint="0.249977111117893"/>
      <name val="Aptos"/>
      <family val="2"/>
    </font>
    <font>
      <sz val="9"/>
      <color theme="0"/>
      <name val="Aptos"/>
      <family val="2"/>
    </font>
    <font>
      <sz val="9"/>
      <name val="Aptos"/>
      <family val="2"/>
    </font>
    <font>
      <sz val="9"/>
      <color theme="4" tint="-0.24994659260841701"/>
      <name val="Aptos"/>
      <family val="2"/>
    </font>
    <font>
      <sz val="9"/>
      <color theme="4" tint="0.79998168889431442"/>
      <name val="Aptos"/>
      <family val="2"/>
    </font>
    <font>
      <i/>
      <sz val="9"/>
      <name val="Aptos"/>
      <family val="2"/>
    </font>
    <font>
      <i/>
      <sz val="9"/>
      <color theme="5" tint="0.59999389629810485"/>
      <name val="Aptos"/>
      <family val="2"/>
    </font>
    <font>
      <b/>
      <sz val="9"/>
      <color theme="10"/>
      <name val="Aptos"/>
      <family val="2"/>
    </font>
    <font>
      <sz val="9"/>
      <color theme="10"/>
      <name val="Aptos"/>
      <family val="2"/>
    </font>
    <font>
      <u/>
      <sz val="9"/>
      <color theme="10"/>
      <name val="Aptos"/>
      <family val="2"/>
    </font>
    <font>
      <i/>
      <sz val="9"/>
      <color theme="1"/>
      <name val="Aptos"/>
      <family val="2"/>
    </font>
    <font>
      <sz val="9"/>
      <color rgb="FFFF0000"/>
      <name val="Aptos"/>
      <family val="2"/>
    </font>
    <font>
      <i/>
      <sz val="9"/>
      <color theme="6" tint="0.59999389629810485"/>
      <name val="Aptos"/>
      <family val="2"/>
    </font>
    <font>
      <sz val="9"/>
      <color theme="5"/>
      <name val="Aptos"/>
      <family val="2"/>
    </font>
    <font>
      <sz val="9"/>
      <color theme="5" tint="-0.249977111117893"/>
      <name val="Aptos"/>
      <family val="2"/>
    </font>
    <font>
      <b/>
      <sz val="9"/>
      <color theme="5" tint="0.39997558519241921"/>
      <name val="Aptos"/>
      <family val="2"/>
    </font>
    <font>
      <b/>
      <sz val="9"/>
      <color theme="5" tint="-0.249977111117893"/>
      <name val="Aptos"/>
      <family val="2"/>
    </font>
    <font>
      <i/>
      <sz val="9"/>
      <color theme="3" tint="0.59999389629810485"/>
      <name val="Aptos"/>
      <family val="2"/>
    </font>
    <font>
      <i/>
      <sz val="9"/>
      <color theme="7" tint="0.59999389629810485"/>
      <name val="Aptos"/>
      <family val="2"/>
    </font>
    <font>
      <u/>
      <sz val="9"/>
      <color theme="1"/>
      <name val="Aptos"/>
      <family val="2"/>
    </font>
    <font>
      <u/>
      <sz val="9"/>
      <color theme="4" tint="-0.24994659260841701"/>
      <name val="Aptos"/>
      <family val="2"/>
    </font>
    <font>
      <u val="singleAccounting"/>
      <sz val="9"/>
      <name val="Aptos"/>
      <family val="2"/>
    </font>
    <font>
      <sz val="9"/>
      <color rgb="FF000000"/>
      <name val="Aptos"/>
      <family val="2"/>
    </font>
    <font>
      <b/>
      <i/>
      <sz val="9"/>
      <color theme="1"/>
      <name val="Aptos"/>
      <family val="2"/>
    </font>
    <font>
      <i/>
      <sz val="9"/>
      <color theme="0"/>
      <name val="Aptos"/>
      <family val="2"/>
    </font>
    <font>
      <sz val="9"/>
      <color theme="4"/>
      <name val="Aptos"/>
      <family val="2"/>
    </font>
    <font>
      <sz val="9"/>
      <color theme="1"/>
      <name val="smo-icons"/>
    </font>
    <font>
      <b/>
      <sz val="9"/>
      <color theme="0"/>
      <name val="smo-icons"/>
    </font>
    <font>
      <u/>
      <sz val="9"/>
      <color theme="10"/>
      <name val="smo-icons"/>
    </font>
    <font>
      <b/>
      <sz val="9"/>
      <color indexed="8"/>
      <name val="smo-icons"/>
    </font>
    <font>
      <sz val="9"/>
      <color theme="4" tint="-0.24994659260841701"/>
      <name val="smo-icons"/>
    </font>
    <font>
      <i/>
      <sz val="9"/>
      <name val="smo-icons"/>
    </font>
    <font>
      <b/>
      <sz val="9"/>
      <color theme="10"/>
      <name val="smo-icons"/>
    </font>
    <font>
      <b/>
      <sz val="9"/>
      <color theme="1"/>
      <name val="smo-icons"/>
    </font>
    <font>
      <i/>
      <sz val="9"/>
      <color theme="1"/>
      <name val="smo-icons"/>
    </font>
    <font>
      <b/>
      <sz val="9"/>
      <name val="smo-icons"/>
    </font>
    <font>
      <sz val="9"/>
      <color theme="0"/>
      <name val="smo-icons"/>
    </font>
    <font>
      <sz val="8"/>
      <color theme="1"/>
      <name val="Calibri"/>
      <family val="2"/>
      <scheme val="minor"/>
    </font>
    <font>
      <sz val="9"/>
      <color indexed="8"/>
      <name val="smo-icons"/>
    </font>
    <font>
      <sz val="9"/>
      <name val="smo-icons"/>
    </font>
    <font>
      <u/>
      <sz val="9"/>
      <name val="smo-icons"/>
    </font>
    <font>
      <u/>
      <sz val="9"/>
      <color theme="4" tint="-0.24994659260841701"/>
      <name val="smo-icons"/>
    </font>
    <font>
      <sz val="10"/>
      <color theme="10"/>
      <name val="Webdings"/>
      <family val="1"/>
      <charset val="2"/>
    </font>
    <font>
      <sz val="10"/>
      <color theme="10"/>
      <name val="smo-icons"/>
    </font>
    <font>
      <sz val="9"/>
      <color theme="1"/>
      <name val="Aptos"/>
    </font>
    <font>
      <sz val="9"/>
      <name val="Aptos"/>
    </font>
    <font>
      <sz val="9"/>
      <color indexed="81"/>
      <name val="Tahoma"/>
      <charset val="1"/>
    </font>
    <font>
      <b/>
      <sz val="9"/>
      <color indexed="81"/>
      <name val="Tahoma"/>
      <charset val="1"/>
    </font>
  </fonts>
  <fills count="37">
    <fill>
      <patternFill patternType="none"/>
    </fill>
    <fill>
      <patternFill patternType="gray125"/>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99FF99"/>
        <bgColor indexed="64"/>
      </patternFill>
    </fill>
    <fill>
      <patternFill patternType="solid">
        <fgColor rgb="FFFFCCFF"/>
        <bgColor indexed="64"/>
      </patternFill>
    </fill>
    <fill>
      <patternFill patternType="solid">
        <fgColor theme="1" tint="0.3499862666707357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00B050"/>
        <bgColor indexed="64"/>
      </patternFill>
    </fill>
    <fill>
      <patternFill patternType="solid">
        <fgColor theme="5"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8" tint="-0.499984740745262"/>
        <bgColor indexed="64"/>
      </patternFill>
    </fill>
    <fill>
      <patternFill patternType="solid">
        <fgColor theme="9"/>
        <bgColor indexed="64"/>
      </patternFill>
    </fill>
    <fill>
      <patternFill patternType="solid">
        <fgColor theme="9" tint="0.79998168889431442"/>
        <bgColor indexed="64"/>
      </patternFill>
    </fill>
    <fill>
      <patternFill patternType="solid">
        <fgColor rgb="FFFFDDFF"/>
        <bgColor indexed="64"/>
      </patternFill>
    </fill>
    <fill>
      <patternFill patternType="solid">
        <fgColor theme="7" tint="-0.499984740745262"/>
        <bgColor indexed="64"/>
      </patternFill>
    </fill>
    <fill>
      <patternFill patternType="solid">
        <fgColor theme="8"/>
      </patternFill>
    </fill>
    <fill>
      <patternFill patternType="solid">
        <fgColor theme="5" tint="0.59999389629810485"/>
        <bgColor indexed="64"/>
      </patternFill>
    </fill>
    <fill>
      <patternFill patternType="solid">
        <fgColor theme="0" tint="-0.499984740745262"/>
        <bgColor indexed="64"/>
      </patternFill>
    </fill>
    <fill>
      <patternFill patternType="solid">
        <fgColor theme="0" tint="-0.34998626667073579"/>
        <bgColor indexed="64"/>
      </patternFill>
    </fill>
  </fills>
  <borders count="25">
    <border>
      <left/>
      <right/>
      <top/>
      <bottom/>
      <diagonal/>
    </border>
    <border>
      <left style="thin">
        <color auto="1"/>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auto="1"/>
      </left>
      <right/>
      <top/>
      <bottom/>
      <diagonal/>
    </border>
    <border>
      <left/>
      <right style="hair">
        <color auto="1"/>
      </right>
      <top/>
      <bottom/>
      <diagonal/>
    </border>
    <border>
      <left style="thin">
        <color indexed="64"/>
      </left>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style="thin">
        <color indexed="64"/>
      </bottom>
      <diagonal/>
    </border>
    <border>
      <left/>
      <right style="hair">
        <color indexed="64"/>
      </right>
      <top/>
      <bottom style="thin">
        <color indexed="64"/>
      </bottom>
      <diagonal/>
    </border>
    <border>
      <left/>
      <right/>
      <top/>
      <bottom style="medium">
        <color indexed="64"/>
      </bottom>
      <diagonal/>
    </border>
    <border>
      <left style="thin">
        <color indexed="64"/>
      </left>
      <right/>
      <top/>
      <bottom style="medium">
        <color indexed="64"/>
      </bottom>
      <diagonal/>
    </border>
    <border>
      <left style="hair">
        <color indexed="64"/>
      </left>
      <right/>
      <top/>
      <bottom style="medium">
        <color indexed="64"/>
      </bottom>
      <diagonal/>
    </border>
    <border>
      <left/>
      <right style="hair">
        <color indexed="64"/>
      </right>
      <top/>
      <bottom style="medium">
        <color indexed="64"/>
      </bottom>
      <diagonal/>
    </border>
    <border>
      <left/>
      <right style="thin">
        <color indexed="64"/>
      </right>
      <top/>
      <bottom style="medium">
        <color indexed="64"/>
      </bottom>
      <diagonal/>
    </border>
    <border>
      <left/>
      <right/>
      <top style="medium">
        <color auto="1"/>
      </top>
      <bottom/>
      <diagonal/>
    </border>
    <border>
      <left/>
      <right style="thin">
        <color indexed="64"/>
      </right>
      <top style="medium">
        <color auto="1"/>
      </top>
      <bottom/>
      <diagonal/>
    </border>
    <border>
      <left style="thin">
        <color auto="1"/>
      </left>
      <right/>
      <top style="medium">
        <color auto="1"/>
      </top>
      <bottom/>
      <diagonal/>
    </border>
    <border>
      <left style="hair">
        <color auto="1"/>
      </left>
      <right/>
      <top style="medium">
        <color auto="1"/>
      </top>
      <bottom/>
      <diagonal/>
    </border>
    <border>
      <left/>
      <right style="hair">
        <color auto="1"/>
      </right>
      <top style="medium">
        <color auto="1"/>
      </top>
      <bottom/>
      <diagonal/>
    </border>
  </borders>
  <cellStyleXfs count="17">
    <xf numFmtId="0" fontId="0" fillId="0" borderId="0"/>
    <xf numFmtId="165"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12" fillId="33"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13" fillId="0" borderId="0" applyNumberFormat="0" applyFill="0" applyBorder="0" applyAlignment="0" applyProtection="0"/>
    <xf numFmtId="0" fontId="16" fillId="0" borderId="0"/>
    <xf numFmtId="0" fontId="3" fillId="0" borderId="0"/>
    <xf numFmtId="43" fontId="4" fillId="0" borderId="0" applyFont="0" applyFill="0" applyBorder="0" applyAlignment="0" applyProtection="0"/>
    <xf numFmtId="43" fontId="4" fillId="0" borderId="0" applyFont="0" applyFill="0" applyBorder="0" applyAlignment="0" applyProtection="0"/>
    <xf numFmtId="0" fontId="2"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7" fillId="0" borderId="0" applyNumberFormat="0" applyFill="0" applyBorder="0" applyAlignment="0" applyProtection="0"/>
  </cellStyleXfs>
  <cellXfs count="2026">
    <xf numFmtId="0" fontId="0" fillId="0" borderId="0" xfId="0"/>
    <xf numFmtId="0" fontId="0" fillId="0" borderId="0" xfId="0" applyAlignment="1">
      <alignment vertical="center"/>
    </xf>
    <xf numFmtId="3" fontId="0" fillId="0" borderId="0" xfId="1" applyNumberFormat="1" applyFont="1" applyFill="1" applyBorder="1" applyAlignment="1">
      <alignment vertical="center"/>
    </xf>
    <xf numFmtId="9" fontId="0" fillId="0" borderId="0" xfId="2" applyFont="1" applyFill="1" applyBorder="1" applyAlignment="1">
      <alignment horizontal="center" vertical="center"/>
    </xf>
    <xf numFmtId="9" fontId="0" fillId="0" borderId="0" xfId="2" applyFont="1" applyFill="1" applyBorder="1" applyAlignment="1">
      <alignment vertical="center"/>
    </xf>
    <xf numFmtId="9" fontId="0" fillId="0" borderId="0" xfId="2" applyFont="1" applyFill="1" applyBorder="1" applyAlignment="1">
      <alignment vertical="center" wrapText="1"/>
    </xf>
    <xf numFmtId="3" fontId="0" fillId="0" borderId="0" xfId="0" applyNumberFormat="1" applyAlignment="1">
      <alignment vertical="center"/>
    </xf>
    <xf numFmtId="209" fontId="0" fillId="0" borderId="0" xfId="0" applyNumberFormat="1" applyAlignment="1">
      <alignment horizontal="left" vertical="center"/>
    </xf>
    <xf numFmtId="14" fontId="0" fillId="0" borderId="0" xfId="0" applyNumberFormat="1" applyAlignment="1">
      <alignment horizontal="left" vertical="center"/>
    </xf>
    <xf numFmtId="14" fontId="0" fillId="0" borderId="0" xfId="0" applyNumberFormat="1" applyAlignment="1">
      <alignment vertical="center"/>
    </xf>
    <xf numFmtId="184" fontId="0" fillId="0" borderId="0" xfId="0" applyNumberFormat="1" applyAlignment="1">
      <alignment vertical="center"/>
    </xf>
    <xf numFmtId="14" fontId="0" fillId="0" borderId="20" xfId="0" applyNumberFormat="1" applyBorder="1" applyAlignment="1">
      <alignment horizontal="left" vertical="center"/>
    </xf>
    <xf numFmtId="3" fontId="0" fillId="0" borderId="0" xfId="1" applyNumberFormat="1" applyFont="1" applyAlignment="1">
      <alignment vertical="center"/>
    </xf>
    <xf numFmtId="9" fontId="0" fillId="0" borderId="0" xfId="2" applyFont="1" applyAlignment="1">
      <alignment horizontal="center" vertical="center"/>
    </xf>
    <xf numFmtId="180" fontId="0" fillId="0" borderId="0" xfId="2" applyNumberFormat="1" applyFont="1" applyAlignment="1">
      <alignment vertical="center"/>
    </xf>
    <xf numFmtId="180" fontId="0" fillId="0" borderId="0" xfId="2" applyNumberFormat="1" applyFont="1" applyFill="1" applyBorder="1" applyAlignment="1">
      <alignment vertical="center"/>
    </xf>
    <xf numFmtId="200" fontId="0" fillId="0" borderId="0" xfId="2" applyNumberFormat="1" applyFont="1" applyAlignment="1">
      <alignment vertical="center"/>
    </xf>
    <xf numFmtId="200" fontId="0" fillId="0" borderId="0" xfId="0" applyNumberFormat="1" applyAlignment="1">
      <alignment vertical="center"/>
    </xf>
    <xf numFmtId="210" fontId="0" fillId="0" borderId="0" xfId="2" applyNumberFormat="1" applyFont="1" applyAlignment="1">
      <alignment vertical="center"/>
    </xf>
    <xf numFmtId="0" fontId="0" fillId="0" borderId="0" xfId="0" applyAlignment="1">
      <alignment vertical="center" wrapText="1"/>
    </xf>
    <xf numFmtId="49" fontId="18" fillId="0" borderId="0" xfId="0" applyNumberFormat="1" applyFont="1" applyAlignment="1">
      <alignment vertical="center"/>
    </xf>
    <xf numFmtId="0" fontId="18" fillId="4" borderId="0" xfId="0" applyFont="1" applyFill="1" applyAlignment="1">
      <alignment vertical="center"/>
    </xf>
    <xf numFmtId="0" fontId="19" fillId="4" borderId="0" xfId="0" applyFont="1" applyFill="1" applyAlignment="1">
      <alignment horizontal="right" vertical="center"/>
    </xf>
    <xf numFmtId="14" fontId="18" fillId="4" borderId="0" xfId="0" applyNumberFormat="1" applyFont="1" applyFill="1" applyAlignment="1">
      <alignment vertical="center"/>
    </xf>
    <xf numFmtId="0" fontId="18" fillId="4" borderId="0" xfId="0" applyFont="1" applyFill="1" applyAlignment="1">
      <alignment horizontal="center" vertical="center"/>
    </xf>
    <xf numFmtId="185" fontId="19" fillId="4" borderId="0" xfId="0" applyNumberFormat="1" applyFont="1" applyFill="1" applyAlignment="1">
      <alignment horizontal="right" vertical="center"/>
    </xf>
    <xf numFmtId="0" fontId="21" fillId="4" borderId="0" xfId="1" applyNumberFormat="1" applyFont="1" applyFill="1" applyBorder="1" applyAlignment="1">
      <alignment horizontal="right" vertical="center"/>
    </xf>
    <xf numFmtId="10" fontId="19" fillId="4" borderId="0" xfId="2" applyNumberFormat="1" applyFont="1" applyFill="1" applyAlignment="1">
      <alignment horizontal="right" vertical="center"/>
    </xf>
    <xf numFmtId="4" fontId="18" fillId="4" borderId="0" xfId="0" applyNumberFormat="1" applyFont="1" applyFill="1" applyAlignment="1">
      <alignment horizontal="right" vertical="center"/>
    </xf>
    <xf numFmtId="0" fontId="21" fillId="4" borderId="0" xfId="0" applyFont="1" applyFill="1" applyAlignment="1">
      <alignment horizontal="left" vertical="center"/>
    </xf>
    <xf numFmtId="0" fontId="21" fillId="5" borderId="0" xfId="0" applyFont="1" applyFill="1" applyAlignment="1">
      <alignment horizontal="center" vertical="center"/>
    </xf>
    <xf numFmtId="0" fontId="22" fillId="4" borderId="0" xfId="0" applyFont="1" applyFill="1" applyAlignment="1">
      <alignment horizontal="left" vertical="center"/>
    </xf>
    <xf numFmtId="0" fontId="22" fillId="0" borderId="0" xfId="0" applyFont="1" applyAlignment="1">
      <alignment horizontal="center" vertical="center"/>
    </xf>
    <xf numFmtId="0" fontId="21" fillId="0" borderId="0" xfId="0" applyFont="1" applyAlignment="1">
      <alignment horizontal="center" vertical="center"/>
    </xf>
    <xf numFmtId="0" fontId="19" fillId="0" borderId="0" xfId="0" applyFont="1" applyAlignment="1">
      <alignment horizontal="right" vertical="center"/>
    </xf>
    <xf numFmtId="49" fontId="19" fillId="0" borderId="0" xfId="0" applyNumberFormat="1" applyFont="1" applyAlignment="1">
      <alignment vertical="center"/>
    </xf>
    <xf numFmtId="0" fontId="19" fillId="4" borderId="0" xfId="0" applyFont="1" applyFill="1" applyAlignment="1">
      <alignment vertical="center"/>
    </xf>
    <xf numFmtId="14" fontId="19" fillId="4" borderId="0" xfId="0" applyNumberFormat="1" applyFont="1" applyFill="1" applyAlignment="1">
      <alignment vertical="center"/>
    </xf>
    <xf numFmtId="0" fontId="19" fillId="4" borderId="0" xfId="0" applyFont="1" applyFill="1" applyAlignment="1">
      <alignment horizontal="center" vertical="center"/>
    </xf>
    <xf numFmtId="185" fontId="20" fillId="4" borderId="0" xfId="0" applyNumberFormat="1" applyFont="1" applyFill="1" applyAlignment="1">
      <alignment vertical="center"/>
    </xf>
    <xf numFmtId="166" fontId="19" fillId="4" borderId="0" xfId="1" applyNumberFormat="1" applyFont="1" applyFill="1" applyBorder="1" applyAlignment="1">
      <alignment horizontal="center" vertical="center"/>
    </xf>
    <xf numFmtId="10" fontId="19" fillId="0" borderId="0" xfId="2" applyNumberFormat="1" applyFont="1" applyAlignment="1">
      <alignment horizontal="right" vertical="center"/>
    </xf>
    <xf numFmtId="9" fontId="19" fillId="4" borderId="0" xfId="2" applyFont="1" applyFill="1" applyBorder="1" applyAlignment="1">
      <alignment vertical="center"/>
    </xf>
    <xf numFmtId="49" fontId="21" fillId="5" borderId="0" xfId="0" applyNumberFormat="1" applyFont="1" applyFill="1" applyAlignment="1">
      <alignment horizontal="center" vertical="center"/>
    </xf>
    <xf numFmtId="49" fontId="22" fillId="0" borderId="0" xfId="0" applyNumberFormat="1" applyFont="1" applyAlignment="1">
      <alignment horizontal="center" vertical="center"/>
    </xf>
    <xf numFmtId="49" fontId="21" fillId="0" borderId="0" xfId="0" applyNumberFormat="1" applyFont="1" applyAlignment="1">
      <alignment horizontal="center" vertical="center"/>
    </xf>
    <xf numFmtId="49" fontId="19" fillId="4" borderId="0" xfId="0" applyNumberFormat="1" applyFont="1" applyFill="1" applyAlignment="1">
      <alignment vertical="center"/>
    </xf>
    <xf numFmtId="166" fontId="21" fillId="4" borderId="0" xfId="1" applyNumberFormat="1" applyFont="1" applyFill="1" applyBorder="1" applyAlignment="1">
      <alignment horizontal="right" vertical="center"/>
    </xf>
    <xf numFmtId="10" fontId="19" fillId="4" borderId="0" xfId="2" applyNumberFormat="1" applyFont="1" applyFill="1" applyAlignment="1">
      <alignment vertical="center"/>
    </xf>
    <xf numFmtId="3" fontId="21" fillId="4" borderId="0" xfId="1" applyNumberFormat="1" applyFont="1" applyFill="1" applyBorder="1" applyAlignment="1">
      <alignment vertical="center"/>
    </xf>
    <xf numFmtId="10" fontId="21" fillId="4" borderId="1" xfId="2" applyNumberFormat="1" applyFont="1" applyFill="1" applyBorder="1" applyAlignment="1">
      <alignment horizontal="left" vertical="center"/>
    </xf>
    <xf numFmtId="10" fontId="21" fillId="4" borderId="0" xfId="2" applyNumberFormat="1" applyFont="1" applyFill="1" applyBorder="1" applyAlignment="1">
      <alignment horizontal="left" vertical="center"/>
    </xf>
    <xf numFmtId="10" fontId="21" fillId="5" borderId="0" xfId="2" applyNumberFormat="1" applyFont="1" applyFill="1" applyBorder="1" applyAlignment="1">
      <alignment horizontal="center" vertical="center"/>
    </xf>
    <xf numFmtId="10" fontId="22" fillId="0" borderId="0" xfId="2" applyNumberFormat="1" applyFont="1" applyFill="1" applyBorder="1" applyAlignment="1">
      <alignment horizontal="center" vertical="center"/>
    </xf>
    <xf numFmtId="10" fontId="21" fillId="0" borderId="0" xfId="2" applyNumberFormat="1" applyFont="1" applyFill="1" applyBorder="1" applyAlignment="1">
      <alignment horizontal="center" vertical="center"/>
    </xf>
    <xf numFmtId="10" fontId="21" fillId="6" borderId="1" xfId="2" applyNumberFormat="1" applyFont="1" applyFill="1" applyBorder="1" applyAlignment="1">
      <alignment horizontal="left" vertical="center"/>
    </xf>
    <xf numFmtId="10" fontId="21" fillId="7" borderId="1" xfId="2" applyNumberFormat="1" applyFont="1" applyFill="1" applyBorder="1" applyAlignment="1">
      <alignment horizontal="left" vertical="center"/>
    </xf>
    <xf numFmtId="10" fontId="21" fillId="7" borderId="0" xfId="2" applyNumberFormat="1" applyFont="1" applyFill="1" applyBorder="1" applyAlignment="1">
      <alignment horizontal="left" vertical="center"/>
    </xf>
    <xf numFmtId="49" fontId="19" fillId="4" borderId="0" xfId="0" applyNumberFormat="1" applyFont="1" applyFill="1" applyAlignment="1">
      <alignment horizontal="right" vertical="center"/>
    </xf>
    <xf numFmtId="3" fontId="21" fillId="4" borderId="1" xfId="0" applyNumberFormat="1" applyFont="1" applyFill="1" applyBorder="1" applyAlignment="1">
      <alignment horizontal="left" vertical="center"/>
    </xf>
    <xf numFmtId="3" fontId="21" fillId="4" borderId="0" xfId="0" applyNumberFormat="1" applyFont="1" applyFill="1" applyAlignment="1">
      <alignment horizontal="left" vertical="center"/>
    </xf>
    <xf numFmtId="3" fontId="21" fillId="5" borderId="0" xfId="0" applyNumberFormat="1" applyFont="1" applyFill="1" applyAlignment="1">
      <alignment horizontal="center" vertical="center"/>
    </xf>
    <xf numFmtId="3" fontId="22" fillId="0" borderId="0" xfId="0" applyNumberFormat="1" applyFont="1" applyAlignment="1">
      <alignment horizontal="center" vertical="center"/>
    </xf>
    <xf numFmtId="3" fontId="21" fillId="0" borderId="0" xfId="0" applyNumberFormat="1" applyFont="1" applyAlignment="1">
      <alignment horizontal="center" vertical="center"/>
    </xf>
    <xf numFmtId="10" fontId="22" fillId="4" borderId="0" xfId="0" applyNumberFormat="1" applyFont="1" applyFill="1" applyAlignment="1">
      <alignment horizontal="left" vertical="center"/>
    </xf>
    <xf numFmtId="10" fontId="22" fillId="4" borderId="0" xfId="0" applyNumberFormat="1" applyFont="1" applyFill="1" applyAlignment="1">
      <alignment horizontal="right" vertical="center"/>
    </xf>
    <xf numFmtId="185" fontId="21" fillId="4" borderId="0" xfId="0" applyNumberFormat="1" applyFont="1" applyFill="1" applyAlignment="1">
      <alignment vertical="center"/>
    </xf>
    <xf numFmtId="178" fontId="19" fillId="4" borderId="0" xfId="0" applyNumberFormat="1" applyFont="1" applyFill="1" applyAlignment="1">
      <alignment vertical="center"/>
    </xf>
    <xf numFmtId="166" fontId="21" fillId="4" borderId="0" xfId="0" applyNumberFormat="1" applyFont="1" applyFill="1" applyAlignment="1">
      <alignment horizontal="center" vertical="center"/>
    </xf>
    <xf numFmtId="3" fontId="19" fillId="4" borderId="0" xfId="0" applyNumberFormat="1" applyFont="1" applyFill="1" applyAlignment="1">
      <alignment vertical="center"/>
    </xf>
    <xf numFmtId="179" fontId="21" fillId="4" borderId="1" xfId="1" applyNumberFormat="1" applyFont="1" applyFill="1" applyBorder="1" applyAlignment="1">
      <alignment horizontal="left" vertical="center"/>
    </xf>
    <xf numFmtId="200" fontId="21" fillId="4" borderId="0" xfId="1" applyNumberFormat="1" applyFont="1" applyFill="1" applyBorder="1" applyAlignment="1">
      <alignment horizontal="left" vertical="center"/>
    </xf>
    <xf numFmtId="179" fontId="21" fillId="4" borderId="0" xfId="1" applyNumberFormat="1" applyFont="1" applyFill="1" applyBorder="1" applyAlignment="1">
      <alignment vertical="center"/>
    </xf>
    <xf numFmtId="185" fontId="21" fillId="4" borderId="0" xfId="1" applyNumberFormat="1" applyFont="1" applyFill="1" applyBorder="1" applyAlignment="1">
      <alignment vertical="center"/>
    </xf>
    <xf numFmtId="179" fontId="21" fillId="5" borderId="0" xfId="1" applyNumberFormat="1" applyFont="1" applyFill="1" applyBorder="1" applyAlignment="1">
      <alignment horizontal="center" vertical="center"/>
    </xf>
    <xf numFmtId="179" fontId="21" fillId="4" borderId="0" xfId="1" applyNumberFormat="1" applyFont="1" applyFill="1" applyBorder="1" applyAlignment="1">
      <alignment horizontal="left" vertical="center"/>
    </xf>
    <xf numFmtId="179" fontId="22" fillId="0" borderId="0" xfId="1" applyNumberFormat="1" applyFont="1" applyFill="1" applyBorder="1" applyAlignment="1">
      <alignment horizontal="center" vertical="center"/>
    </xf>
    <xf numFmtId="179" fontId="21" fillId="0" borderId="0" xfId="1" applyNumberFormat="1" applyFont="1" applyFill="1" applyBorder="1" applyAlignment="1">
      <alignment horizontal="center" vertical="center"/>
    </xf>
    <xf numFmtId="179" fontId="21" fillId="6" borderId="1" xfId="1" applyNumberFormat="1" applyFont="1" applyFill="1" applyBorder="1" applyAlignment="1">
      <alignment horizontal="left" vertical="center"/>
    </xf>
    <xf numFmtId="179" fontId="21" fillId="6" borderId="0" xfId="1" applyNumberFormat="1" applyFont="1" applyFill="1" applyBorder="1" applyAlignment="1">
      <alignment horizontal="left" vertical="center"/>
    </xf>
    <xf numFmtId="179" fontId="21" fillId="7" borderId="1" xfId="1" applyNumberFormat="1" applyFont="1" applyFill="1" applyBorder="1" applyAlignment="1">
      <alignment horizontal="left" vertical="center"/>
    </xf>
    <xf numFmtId="179" fontId="21" fillId="7" borderId="0" xfId="1" applyNumberFormat="1" applyFont="1" applyFill="1" applyBorder="1" applyAlignment="1">
      <alignment horizontal="left" vertical="center"/>
    </xf>
    <xf numFmtId="185" fontId="19" fillId="4" borderId="0" xfId="0" applyNumberFormat="1" applyFont="1" applyFill="1" applyAlignment="1">
      <alignment vertical="center"/>
    </xf>
    <xf numFmtId="10" fontId="19" fillId="4" borderId="0" xfId="0" applyNumberFormat="1" applyFont="1" applyFill="1" applyAlignment="1">
      <alignment vertical="center"/>
    </xf>
    <xf numFmtId="185" fontId="21" fillId="4" borderId="0" xfId="1" applyNumberFormat="1" applyFont="1" applyFill="1" applyBorder="1" applyAlignment="1">
      <alignment horizontal="left" vertical="center"/>
    </xf>
    <xf numFmtId="200" fontId="21" fillId="5" borderId="0" xfId="1" applyNumberFormat="1" applyFont="1" applyFill="1" applyBorder="1" applyAlignment="1">
      <alignment horizontal="left" vertical="center"/>
    </xf>
    <xf numFmtId="185" fontId="21" fillId="5" borderId="0" xfId="1" applyNumberFormat="1" applyFont="1" applyFill="1" applyBorder="1" applyAlignment="1">
      <alignment horizontal="left" vertical="center"/>
    </xf>
    <xf numFmtId="185" fontId="21" fillId="6" borderId="0" xfId="1" applyNumberFormat="1" applyFont="1" applyFill="1" applyBorder="1" applyAlignment="1">
      <alignment horizontal="left" vertical="center"/>
    </xf>
    <xf numFmtId="179" fontId="22" fillId="7" borderId="1" xfId="1" applyNumberFormat="1" applyFont="1" applyFill="1" applyBorder="1" applyAlignment="1">
      <alignment horizontal="left" vertical="center"/>
    </xf>
    <xf numFmtId="200" fontId="21" fillId="7" borderId="0" xfId="1" applyNumberFormat="1" applyFont="1" applyFill="1" applyBorder="1" applyAlignment="1">
      <alignment horizontal="left" vertical="center"/>
    </xf>
    <xf numFmtId="176" fontId="21" fillId="7" borderId="0" xfId="1" applyNumberFormat="1" applyFont="1" applyFill="1" applyBorder="1" applyAlignment="1">
      <alignment horizontal="left" vertical="center"/>
    </xf>
    <xf numFmtId="185" fontId="21" fillId="7" borderId="0" xfId="1" applyNumberFormat="1" applyFont="1" applyFill="1" applyBorder="1" applyAlignment="1">
      <alignment horizontal="left" vertical="center"/>
    </xf>
    <xf numFmtId="177" fontId="21" fillId="7" borderId="0" xfId="1" applyNumberFormat="1" applyFont="1" applyFill="1" applyBorder="1" applyAlignment="1">
      <alignment horizontal="left" vertical="center"/>
    </xf>
    <xf numFmtId="179" fontId="23" fillId="4" borderId="0" xfId="1" applyNumberFormat="1" applyFont="1" applyFill="1" applyBorder="1" applyAlignment="1">
      <alignment horizontal="left" vertical="center"/>
    </xf>
    <xf numFmtId="0" fontId="19" fillId="4" borderId="0" xfId="0" applyFont="1" applyFill="1" applyAlignment="1">
      <alignment horizontal="left" vertical="center"/>
    </xf>
    <xf numFmtId="0" fontId="19" fillId="0" borderId="0" xfId="0" applyFont="1" applyAlignment="1">
      <alignment horizontal="left" vertical="center"/>
    </xf>
    <xf numFmtId="49" fontId="18" fillId="0" borderId="0" xfId="2" applyNumberFormat="1" applyFont="1" applyBorder="1" applyAlignment="1">
      <alignment vertical="center"/>
    </xf>
    <xf numFmtId="49" fontId="19" fillId="0" borderId="0" xfId="2" applyNumberFormat="1" applyFont="1" applyBorder="1" applyAlignment="1">
      <alignment vertical="center"/>
    </xf>
    <xf numFmtId="180" fontId="19" fillId="4" borderId="0" xfId="2" applyNumberFormat="1" applyFont="1" applyFill="1" applyBorder="1" applyAlignment="1">
      <alignment vertical="center"/>
    </xf>
    <xf numFmtId="200" fontId="21" fillId="4" borderId="0" xfId="2" applyNumberFormat="1" applyFont="1" applyFill="1" applyBorder="1" applyAlignment="1">
      <alignment horizontal="left" vertical="center"/>
    </xf>
    <xf numFmtId="200" fontId="21" fillId="5" borderId="0" xfId="2" applyNumberFormat="1" applyFont="1" applyFill="1" applyBorder="1" applyAlignment="1">
      <alignment horizontal="left" vertical="center"/>
    </xf>
    <xf numFmtId="10" fontId="22" fillId="7" borderId="1" xfId="2" applyNumberFormat="1" applyFont="1" applyFill="1" applyBorder="1" applyAlignment="1">
      <alignment horizontal="left" vertical="center"/>
    </xf>
    <xf numFmtId="200" fontId="21" fillId="7" borderId="0" xfId="2" applyNumberFormat="1" applyFont="1" applyFill="1" applyBorder="1" applyAlignment="1">
      <alignment horizontal="left" vertical="center"/>
    </xf>
    <xf numFmtId="177" fontId="21" fillId="7" borderId="0" xfId="2" applyNumberFormat="1" applyFont="1" applyFill="1" applyBorder="1" applyAlignment="1">
      <alignment horizontal="left" vertical="center"/>
    </xf>
    <xf numFmtId="200" fontId="21" fillId="4" borderId="0" xfId="0" applyNumberFormat="1" applyFont="1" applyFill="1" applyAlignment="1">
      <alignment horizontal="left" vertical="center"/>
    </xf>
    <xf numFmtId="3" fontId="21" fillId="4" borderId="0" xfId="0" applyNumberFormat="1" applyFont="1" applyFill="1" applyAlignment="1">
      <alignment vertical="center"/>
    </xf>
    <xf numFmtId="0" fontId="19" fillId="4" borderId="0" xfId="2" applyNumberFormat="1" applyFont="1" applyFill="1" applyBorder="1" applyAlignment="1">
      <alignment horizontal="left" vertical="center"/>
    </xf>
    <xf numFmtId="180" fontId="19" fillId="4" borderId="0" xfId="2" applyNumberFormat="1" applyFont="1" applyFill="1" applyBorder="1" applyAlignment="1">
      <alignment horizontal="right" vertical="center"/>
    </xf>
    <xf numFmtId="14" fontId="19" fillId="4" borderId="0" xfId="2" applyNumberFormat="1" applyFont="1" applyFill="1" applyBorder="1" applyAlignment="1">
      <alignment vertical="center"/>
    </xf>
    <xf numFmtId="180" fontId="19" fillId="4" borderId="0" xfId="2" applyNumberFormat="1" applyFont="1" applyFill="1" applyBorder="1" applyAlignment="1">
      <alignment horizontal="center" vertical="center"/>
    </xf>
    <xf numFmtId="185" fontId="19" fillId="4" borderId="0" xfId="2" applyNumberFormat="1" applyFont="1" applyFill="1" applyBorder="1" applyAlignment="1">
      <alignment vertical="center"/>
    </xf>
    <xf numFmtId="178" fontId="19" fillId="4" borderId="0" xfId="2" applyNumberFormat="1" applyFont="1" applyFill="1" applyBorder="1" applyAlignment="1">
      <alignment vertical="center"/>
    </xf>
    <xf numFmtId="10" fontId="19" fillId="4" borderId="0" xfId="2" applyNumberFormat="1" applyFont="1" applyFill="1" applyBorder="1" applyAlignment="1">
      <alignment vertical="center"/>
    </xf>
    <xf numFmtId="3" fontId="19" fillId="4" borderId="0" xfId="2" applyNumberFormat="1" applyFont="1" applyFill="1" applyBorder="1" applyAlignment="1">
      <alignment vertical="center"/>
    </xf>
    <xf numFmtId="180" fontId="21" fillId="4" borderId="0" xfId="2" applyNumberFormat="1" applyFont="1" applyFill="1" applyBorder="1" applyAlignment="1">
      <alignment vertical="center"/>
    </xf>
    <xf numFmtId="10" fontId="21" fillId="4" borderId="0" xfId="2" applyNumberFormat="1" applyFont="1" applyFill="1" applyBorder="1" applyAlignment="1">
      <alignment vertical="center"/>
    </xf>
    <xf numFmtId="185" fontId="21" fillId="4" borderId="0" xfId="2" applyNumberFormat="1" applyFont="1" applyFill="1" applyBorder="1" applyAlignment="1">
      <alignment vertical="center"/>
    </xf>
    <xf numFmtId="180" fontId="19" fillId="0" borderId="0" xfId="2" applyNumberFormat="1" applyFont="1" applyFill="1" applyBorder="1" applyAlignment="1">
      <alignment horizontal="right" vertical="center"/>
    </xf>
    <xf numFmtId="49" fontId="19" fillId="3" borderId="20" xfId="0" applyNumberFormat="1" applyFont="1" applyFill="1" applyBorder="1" applyAlignment="1">
      <alignment vertical="center"/>
    </xf>
    <xf numFmtId="0" fontId="19" fillId="3" borderId="20" xfId="0" applyFont="1" applyFill="1" applyBorder="1" applyAlignment="1">
      <alignment vertical="center"/>
    </xf>
    <xf numFmtId="0" fontId="19" fillId="3" borderId="20" xfId="0" applyFont="1" applyFill="1" applyBorder="1" applyAlignment="1">
      <alignment horizontal="left" vertical="center"/>
    </xf>
    <xf numFmtId="49" fontId="19" fillId="3" borderId="20" xfId="0" applyNumberFormat="1" applyFont="1" applyFill="1" applyBorder="1" applyAlignment="1">
      <alignment horizontal="right" vertical="center"/>
    </xf>
    <xf numFmtId="14" fontId="19" fillId="3" borderId="20" xfId="0" applyNumberFormat="1" applyFont="1" applyFill="1" applyBorder="1" applyAlignment="1">
      <alignment vertical="center"/>
    </xf>
    <xf numFmtId="185" fontId="19" fillId="3" borderId="20" xfId="0" applyNumberFormat="1" applyFont="1" applyFill="1" applyBorder="1" applyAlignment="1">
      <alignment vertical="center"/>
    </xf>
    <xf numFmtId="178" fontId="19" fillId="3" borderId="20" xfId="0" applyNumberFormat="1" applyFont="1" applyFill="1" applyBorder="1" applyAlignment="1">
      <alignment vertical="center"/>
    </xf>
    <xf numFmtId="10" fontId="19" fillId="3" borderId="20" xfId="0" applyNumberFormat="1" applyFont="1" applyFill="1" applyBorder="1" applyAlignment="1">
      <alignment vertical="center"/>
    </xf>
    <xf numFmtId="10" fontId="19" fillId="3" borderId="20" xfId="2" applyNumberFormat="1" applyFont="1" applyFill="1" applyBorder="1" applyAlignment="1">
      <alignment vertical="center"/>
    </xf>
    <xf numFmtId="3" fontId="19" fillId="3" borderId="20" xfId="0" applyNumberFormat="1" applyFont="1" applyFill="1" applyBorder="1" applyAlignment="1">
      <alignment vertical="center"/>
    </xf>
    <xf numFmtId="181" fontId="19" fillId="3" borderId="21" xfId="0" applyNumberFormat="1" applyFont="1" applyFill="1" applyBorder="1" applyAlignment="1">
      <alignment vertical="center"/>
    </xf>
    <xf numFmtId="0" fontId="21" fillId="7" borderId="22" xfId="0" applyFont="1" applyFill="1" applyBorder="1" applyAlignment="1">
      <alignment vertical="center"/>
    </xf>
    <xf numFmtId="200" fontId="21" fillId="7" borderId="20" xfId="0" applyNumberFormat="1" applyFont="1" applyFill="1" applyBorder="1" applyAlignment="1">
      <alignment vertical="center"/>
    </xf>
    <xf numFmtId="0" fontId="21" fillId="7" borderId="20" xfId="0" applyFont="1" applyFill="1" applyBorder="1" applyAlignment="1">
      <alignment vertical="center"/>
    </xf>
    <xf numFmtId="185" fontId="21" fillId="7" borderId="20" xfId="0" applyNumberFormat="1" applyFont="1" applyFill="1" applyBorder="1" applyAlignment="1">
      <alignment vertical="center"/>
    </xf>
    <xf numFmtId="0" fontId="21" fillId="8" borderId="23" xfId="0" applyFont="1" applyFill="1" applyBorder="1" applyAlignment="1">
      <alignment vertical="center"/>
    </xf>
    <xf numFmtId="0" fontId="21" fillId="8" borderId="20" xfId="0" applyFont="1" applyFill="1" applyBorder="1" applyAlignment="1">
      <alignment vertical="center"/>
    </xf>
    <xf numFmtId="185" fontId="21" fillId="8" borderId="24" xfId="0" applyNumberFormat="1" applyFont="1" applyFill="1" applyBorder="1" applyAlignment="1">
      <alignment vertical="center"/>
    </xf>
    <xf numFmtId="0" fontId="24" fillId="3" borderId="20" xfId="0" applyFont="1" applyFill="1" applyBorder="1" applyAlignment="1">
      <alignment vertical="center"/>
    </xf>
    <xf numFmtId="185" fontId="24" fillId="3" borderId="20" xfId="0" applyNumberFormat="1" applyFont="1" applyFill="1" applyBorder="1" applyAlignment="1">
      <alignment vertical="center"/>
    </xf>
    <xf numFmtId="195" fontId="24" fillId="5" borderId="20" xfId="0" applyNumberFormat="1" applyFont="1" applyFill="1" applyBorder="1" applyAlignment="1">
      <alignment horizontal="center" vertical="center"/>
    </xf>
    <xf numFmtId="195" fontId="22" fillId="0" borderId="20" xfId="0" applyNumberFormat="1" applyFont="1" applyBorder="1" applyAlignment="1">
      <alignment horizontal="center" vertical="center"/>
    </xf>
    <xf numFmtId="195" fontId="24" fillId="0" borderId="20" xfId="0" applyNumberFormat="1" applyFont="1" applyBorder="1" applyAlignment="1">
      <alignment horizontal="center" vertical="center"/>
    </xf>
    <xf numFmtId="195" fontId="24" fillId="5" borderId="0" xfId="0" applyNumberFormat="1" applyFont="1" applyFill="1" applyAlignment="1">
      <alignment horizontal="center" vertical="center"/>
    </xf>
    <xf numFmtId="0" fontId="19" fillId="0" borderId="0" xfId="0" applyFont="1" applyAlignment="1">
      <alignment vertical="center"/>
    </xf>
    <xf numFmtId="49" fontId="25" fillId="3" borderId="0" xfId="0" applyNumberFormat="1" applyFont="1" applyFill="1" applyAlignment="1">
      <alignment vertical="center"/>
    </xf>
    <xf numFmtId="49" fontId="24" fillId="3" borderId="0" xfId="0" applyNumberFormat="1" applyFont="1" applyFill="1" applyAlignment="1">
      <alignment vertical="center"/>
    </xf>
    <xf numFmtId="49" fontId="24" fillId="3" borderId="0" xfId="0" applyNumberFormat="1" applyFont="1" applyFill="1" applyAlignment="1">
      <alignment horizontal="left" vertical="center"/>
    </xf>
    <xf numFmtId="14" fontId="24" fillId="3" borderId="0" xfId="0" applyNumberFormat="1" applyFont="1" applyFill="1" applyAlignment="1">
      <alignment vertical="center"/>
    </xf>
    <xf numFmtId="49" fontId="24" fillId="3" borderId="0" xfId="0" applyNumberFormat="1" applyFont="1" applyFill="1" applyAlignment="1">
      <alignment horizontal="center" vertical="center"/>
    </xf>
    <xf numFmtId="10" fontId="24" fillId="3" borderId="0" xfId="2" applyNumberFormat="1" applyFont="1" applyFill="1" applyAlignment="1">
      <alignment vertical="center"/>
    </xf>
    <xf numFmtId="49" fontId="24" fillId="3" borderId="4" xfId="0" applyNumberFormat="1" applyFont="1" applyFill="1" applyBorder="1" applyAlignment="1">
      <alignment vertical="center"/>
    </xf>
    <xf numFmtId="49" fontId="19" fillId="5" borderId="1" xfId="0" applyNumberFormat="1" applyFont="1" applyFill="1" applyBorder="1" applyAlignment="1">
      <alignment horizontal="left" vertical="center"/>
    </xf>
    <xf numFmtId="49" fontId="19" fillId="5" borderId="0" xfId="0" applyNumberFormat="1" applyFont="1" applyFill="1" applyAlignment="1">
      <alignment horizontal="left" vertical="center"/>
    </xf>
    <xf numFmtId="49" fontId="19" fillId="10" borderId="8" xfId="0" applyNumberFormat="1" applyFont="1" applyFill="1" applyBorder="1" applyAlignment="1">
      <alignment horizontal="left" vertical="center"/>
    </xf>
    <xf numFmtId="49" fontId="19" fillId="10" borderId="0" xfId="0" applyNumberFormat="1" applyFont="1" applyFill="1" applyAlignment="1">
      <alignment horizontal="left" vertical="center"/>
    </xf>
    <xf numFmtId="49" fontId="19" fillId="10" borderId="9" xfId="0" applyNumberFormat="1" applyFont="1" applyFill="1" applyBorder="1" applyAlignment="1">
      <alignment horizontal="left" vertical="center"/>
    </xf>
    <xf numFmtId="49" fontId="19" fillId="11" borderId="8" xfId="0" applyNumberFormat="1" applyFont="1" applyFill="1" applyBorder="1" applyAlignment="1">
      <alignment horizontal="left" vertical="center"/>
    </xf>
    <xf numFmtId="49" fontId="19" fillId="11" borderId="0" xfId="0" applyNumberFormat="1" applyFont="1" applyFill="1" applyAlignment="1">
      <alignment horizontal="left" vertical="center"/>
    </xf>
    <xf numFmtId="49" fontId="19" fillId="11" borderId="9" xfId="0" applyNumberFormat="1" applyFont="1" applyFill="1" applyBorder="1" applyAlignment="1">
      <alignment horizontal="left" vertical="center"/>
    </xf>
    <xf numFmtId="49" fontId="26" fillId="12" borderId="0" xfId="0" applyNumberFormat="1" applyFont="1" applyFill="1" applyAlignment="1">
      <alignment horizontal="left" vertical="center"/>
    </xf>
    <xf numFmtId="49" fontId="26" fillId="5" borderId="0" xfId="0" applyNumberFormat="1" applyFont="1" applyFill="1" applyAlignment="1">
      <alignment horizontal="left" vertical="center"/>
    </xf>
    <xf numFmtId="49" fontId="27" fillId="0" borderId="0" xfId="0" applyNumberFormat="1" applyFont="1" applyAlignment="1">
      <alignment horizontal="left" vertical="center"/>
    </xf>
    <xf numFmtId="49" fontId="26" fillId="0" borderId="0" xfId="0" applyNumberFormat="1" applyFont="1" applyAlignment="1">
      <alignment horizontal="left" vertical="center"/>
    </xf>
    <xf numFmtId="49" fontId="27" fillId="5" borderId="1" xfId="0" applyNumberFormat="1" applyFont="1" applyFill="1" applyBorder="1" applyAlignment="1">
      <alignment horizontal="left" vertical="center"/>
    </xf>
    <xf numFmtId="49" fontId="24" fillId="13" borderId="0" xfId="0" applyNumberFormat="1" applyFont="1" applyFill="1" applyAlignment="1">
      <alignment vertical="center"/>
    </xf>
    <xf numFmtId="0" fontId="24" fillId="13" borderId="0" xfId="0" applyFont="1" applyFill="1" applyAlignment="1">
      <alignment vertical="center"/>
    </xf>
    <xf numFmtId="0" fontId="24" fillId="13" borderId="0" xfId="0" applyFont="1" applyFill="1" applyAlignment="1">
      <alignment horizontal="left" vertical="center"/>
    </xf>
    <xf numFmtId="49" fontId="24" fillId="13" borderId="0" xfId="0" applyNumberFormat="1" applyFont="1" applyFill="1" applyAlignment="1">
      <alignment horizontal="right" vertical="center"/>
    </xf>
    <xf numFmtId="14" fontId="24" fillId="13" borderId="0" xfId="0" applyNumberFormat="1" applyFont="1" applyFill="1" applyAlignment="1">
      <alignment vertical="center"/>
    </xf>
    <xf numFmtId="0" fontId="24" fillId="13" borderId="0" xfId="0" applyFont="1" applyFill="1" applyAlignment="1">
      <alignment horizontal="center" vertical="center"/>
    </xf>
    <xf numFmtId="3" fontId="24" fillId="13" borderId="0" xfId="0" applyNumberFormat="1" applyFont="1" applyFill="1" applyAlignment="1">
      <alignment horizontal="center" vertical="center"/>
    </xf>
    <xf numFmtId="185" fontId="26" fillId="13" borderId="0" xfId="0" applyNumberFormat="1" applyFont="1" applyFill="1" applyAlignment="1">
      <alignment vertical="center"/>
    </xf>
    <xf numFmtId="183" fontId="26" fillId="13" borderId="0" xfId="0" applyNumberFormat="1" applyFont="1" applyFill="1" applyAlignment="1">
      <alignment vertical="center"/>
    </xf>
    <xf numFmtId="10" fontId="24" fillId="13" borderId="0" xfId="0" applyNumberFormat="1" applyFont="1" applyFill="1" applyAlignment="1">
      <alignment vertical="center"/>
    </xf>
    <xf numFmtId="10" fontId="24" fillId="13" borderId="0" xfId="2" applyNumberFormat="1" applyFont="1" applyFill="1" applyAlignment="1">
      <alignment vertical="center"/>
    </xf>
    <xf numFmtId="4" fontId="24" fillId="13" borderId="0" xfId="0" applyNumberFormat="1" applyFont="1" applyFill="1" applyAlignment="1">
      <alignment vertical="center"/>
    </xf>
    <xf numFmtId="181" fontId="24" fillId="13" borderId="4" xfId="0" applyNumberFormat="1" applyFont="1" applyFill="1" applyBorder="1" applyAlignment="1">
      <alignment vertical="center"/>
    </xf>
    <xf numFmtId="0" fontId="24" fillId="13" borderId="1" xfId="0" applyFont="1" applyFill="1" applyBorder="1" applyAlignment="1">
      <alignment vertical="center"/>
    </xf>
    <xf numFmtId="200" fontId="24" fillId="13" borderId="0" xfId="0" applyNumberFormat="1" applyFont="1" applyFill="1" applyAlignment="1">
      <alignment vertical="center"/>
    </xf>
    <xf numFmtId="176" fontId="24" fillId="13" borderId="0" xfId="0" applyNumberFormat="1" applyFont="1" applyFill="1" applyAlignment="1">
      <alignment vertical="center"/>
    </xf>
    <xf numFmtId="185" fontId="24" fillId="13" borderId="0" xfId="2" applyNumberFormat="1" applyFont="1" applyFill="1" applyBorder="1" applyAlignment="1">
      <alignment vertical="center"/>
    </xf>
    <xf numFmtId="0" fontId="26" fillId="13" borderId="8" xfId="0" applyFont="1" applyFill="1" applyBorder="1" applyAlignment="1">
      <alignment vertical="center"/>
    </xf>
    <xf numFmtId="0" fontId="26" fillId="13" borderId="0" xfId="0" applyFont="1" applyFill="1" applyAlignment="1">
      <alignment vertical="center"/>
    </xf>
    <xf numFmtId="185" fontId="24" fillId="13" borderId="9" xfId="2" applyNumberFormat="1" applyFont="1" applyFill="1" applyBorder="1" applyAlignment="1">
      <alignment vertical="center"/>
    </xf>
    <xf numFmtId="10" fontId="24" fillId="5" borderId="0" xfId="2" applyNumberFormat="1" applyFont="1" applyFill="1" applyBorder="1" applyAlignment="1">
      <alignment horizontal="center" vertical="center"/>
    </xf>
    <xf numFmtId="10" fontId="24" fillId="0" borderId="0" xfId="2" applyNumberFormat="1" applyFont="1" applyFill="1" applyBorder="1" applyAlignment="1">
      <alignment horizontal="center" vertical="center"/>
    </xf>
    <xf numFmtId="0" fontId="22" fillId="13" borderId="1" xfId="0" applyFont="1" applyFill="1" applyBorder="1" applyAlignment="1">
      <alignment vertical="center"/>
    </xf>
    <xf numFmtId="177" fontId="24" fillId="13" borderId="0" xfId="0" applyNumberFormat="1" applyFont="1" applyFill="1" applyAlignment="1">
      <alignment vertical="center"/>
    </xf>
    <xf numFmtId="49" fontId="19" fillId="14" borderId="0" xfId="0" applyNumberFormat="1" applyFont="1" applyFill="1" applyAlignment="1">
      <alignment vertical="center"/>
    </xf>
    <xf numFmtId="0" fontId="19" fillId="14" borderId="0" xfId="0" applyFont="1" applyFill="1" applyAlignment="1">
      <alignment vertical="center"/>
    </xf>
    <xf numFmtId="0" fontId="19" fillId="14" borderId="0" xfId="0" applyFont="1" applyFill="1" applyAlignment="1">
      <alignment horizontal="left" vertical="center"/>
    </xf>
    <xf numFmtId="14" fontId="19" fillId="14" borderId="0" xfId="0" applyNumberFormat="1" applyFont="1" applyFill="1" applyAlignment="1">
      <alignment vertical="center"/>
    </xf>
    <xf numFmtId="185" fontId="19" fillId="14" borderId="0" xfId="0" applyNumberFormat="1" applyFont="1" applyFill="1" applyAlignment="1">
      <alignment vertical="center"/>
    </xf>
    <xf numFmtId="183" fontId="19" fillId="14" borderId="0" xfId="0" applyNumberFormat="1" applyFont="1" applyFill="1" applyAlignment="1">
      <alignment vertical="center"/>
    </xf>
    <xf numFmtId="176" fontId="19" fillId="14" borderId="0" xfId="1" applyNumberFormat="1" applyFont="1" applyFill="1" applyBorder="1" applyAlignment="1">
      <alignment vertical="center"/>
    </xf>
    <xf numFmtId="10" fontId="19" fillId="14" borderId="0" xfId="2" applyNumberFormat="1" applyFont="1" applyFill="1" applyAlignment="1">
      <alignment vertical="center"/>
    </xf>
    <xf numFmtId="4" fontId="29" fillId="14" borderId="0" xfId="0" applyNumberFormat="1" applyFont="1" applyFill="1" applyAlignment="1">
      <alignment vertical="center"/>
    </xf>
    <xf numFmtId="181" fontId="19" fillId="14" borderId="4" xfId="0" applyNumberFormat="1" applyFont="1" applyFill="1" applyBorder="1" applyAlignment="1">
      <alignment vertical="center"/>
    </xf>
    <xf numFmtId="176" fontId="27" fillId="5" borderId="1" xfId="1" applyNumberFormat="1" applyFont="1" applyFill="1" applyBorder="1" applyAlignment="1">
      <alignment vertical="center"/>
    </xf>
    <xf numFmtId="200" fontId="27" fillId="5" borderId="0" xfId="1" applyNumberFormat="1" applyFont="1" applyFill="1" applyBorder="1" applyAlignment="1">
      <alignment vertical="center"/>
    </xf>
    <xf numFmtId="176" fontId="19" fillId="5" borderId="0" xfId="1" applyNumberFormat="1" applyFont="1" applyFill="1" applyBorder="1" applyAlignment="1">
      <alignment vertical="center"/>
    </xf>
    <xf numFmtId="176" fontId="27" fillId="5" borderId="0" xfId="1" applyNumberFormat="1" applyFont="1" applyFill="1" applyBorder="1" applyAlignment="1">
      <alignment vertical="center"/>
    </xf>
    <xf numFmtId="185" fontId="27" fillId="5" borderId="0" xfId="2" applyNumberFormat="1" applyFont="1" applyFill="1" applyBorder="1" applyAlignment="1">
      <alignment vertical="center"/>
    </xf>
    <xf numFmtId="176" fontId="19" fillId="10" borderId="8" xfId="1" applyNumberFormat="1" applyFont="1" applyFill="1" applyBorder="1" applyAlignment="1">
      <alignment vertical="center"/>
    </xf>
    <xf numFmtId="176" fontId="19" fillId="10" borderId="0" xfId="1" applyNumberFormat="1" applyFont="1" applyFill="1" applyBorder="1" applyAlignment="1">
      <alignment vertical="center"/>
    </xf>
    <xf numFmtId="185" fontId="19" fillId="10" borderId="9" xfId="2" applyNumberFormat="1" applyFont="1" applyFill="1" applyBorder="1" applyAlignment="1">
      <alignment vertical="center"/>
    </xf>
    <xf numFmtId="176" fontId="19" fillId="11" borderId="8" xfId="1" applyNumberFormat="1" applyFont="1" applyFill="1" applyBorder="1" applyAlignment="1">
      <alignment vertical="center"/>
    </xf>
    <xf numFmtId="176" fontId="19" fillId="11" borderId="0" xfId="1" applyNumberFormat="1" applyFont="1" applyFill="1" applyBorder="1" applyAlignment="1">
      <alignment vertical="center"/>
    </xf>
    <xf numFmtId="185" fontId="19" fillId="11" borderId="9" xfId="2" applyNumberFormat="1" applyFont="1" applyFill="1" applyBorder="1" applyAlignment="1">
      <alignment vertical="center"/>
    </xf>
    <xf numFmtId="185" fontId="19" fillId="14" borderId="0" xfId="2" applyNumberFormat="1" applyFont="1" applyFill="1" applyBorder="1" applyAlignment="1">
      <alignment vertical="center"/>
    </xf>
    <xf numFmtId="10" fontId="19" fillId="5" borderId="0" xfId="2" applyNumberFormat="1" applyFont="1" applyFill="1" applyBorder="1" applyAlignment="1">
      <alignment horizontal="center" vertical="center"/>
    </xf>
    <xf numFmtId="176" fontId="27" fillId="5" borderId="1" xfId="5" applyNumberFormat="1" applyFont="1" applyFill="1" applyBorder="1" applyAlignment="1">
      <alignment vertical="center"/>
    </xf>
    <xf numFmtId="10" fontId="27" fillId="0" borderId="0" xfId="2" applyNumberFormat="1" applyFont="1" applyFill="1" applyBorder="1" applyAlignment="1">
      <alignment horizontal="center" vertical="center"/>
    </xf>
    <xf numFmtId="10" fontId="19" fillId="0" borderId="0" xfId="2" applyNumberFormat="1" applyFont="1" applyFill="1" applyBorder="1" applyAlignment="1">
      <alignment horizontal="center" vertical="center"/>
    </xf>
    <xf numFmtId="177" fontId="27" fillId="5" borderId="0" xfId="5" applyNumberFormat="1" applyFont="1" applyFill="1" applyBorder="1" applyAlignment="1">
      <alignment vertical="center"/>
    </xf>
    <xf numFmtId="176" fontId="19" fillId="5" borderId="1" xfId="1" applyNumberFormat="1" applyFont="1" applyFill="1" applyBorder="1" applyAlignment="1">
      <alignment vertical="center"/>
    </xf>
    <xf numFmtId="200" fontId="19" fillId="5" borderId="0" xfId="1" applyNumberFormat="1" applyFont="1" applyFill="1" applyBorder="1" applyAlignment="1">
      <alignment vertical="center"/>
    </xf>
    <xf numFmtId="185" fontId="19" fillId="5" borderId="0" xfId="2" applyNumberFormat="1" applyFont="1" applyFill="1" applyBorder="1" applyAlignment="1">
      <alignment vertical="center"/>
    </xf>
    <xf numFmtId="195" fontId="19" fillId="5" borderId="0" xfId="2" applyNumberFormat="1" applyFont="1" applyFill="1" applyBorder="1" applyAlignment="1">
      <alignment horizontal="center" vertical="center"/>
    </xf>
    <xf numFmtId="176" fontId="19" fillId="5" borderId="1" xfId="5" applyNumberFormat="1" applyFont="1" applyFill="1" applyBorder="1" applyAlignment="1">
      <alignment vertical="center"/>
    </xf>
    <xf numFmtId="195" fontId="27" fillId="0" borderId="0" xfId="2" applyNumberFormat="1" applyFont="1" applyFill="1" applyBorder="1" applyAlignment="1">
      <alignment horizontal="center" vertical="center"/>
    </xf>
    <xf numFmtId="195" fontId="19" fillId="0" borderId="0" xfId="2" applyNumberFormat="1" applyFont="1" applyFill="1" applyBorder="1" applyAlignment="1">
      <alignment horizontal="center" vertical="center"/>
    </xf>
    <xf numFmtId="177" fontId="19" fillId="5" borderId="0" xfId="5" applyNumberFormat="1" applyFont="1" applyFill="1" applyBorder="1" applyAlignment="1">
      <alignment vertical="center"/>
    </xf>
    <xf numFmtId="177" fontId="19" fillId="5" borderId="0" xfId="1" applyNumberFormat="1" applyFont="1" applyFill="1" applyBorder="1" applyAlignment="1">
      <alignment vertical="center"/>
    </xf>
    <xf numFmtId="49" fontId="19" fillId="14" borderId="20" xfId="0" applyNumberFormat="1" applyFont="1" applyFill="1" applyBorder="1" applyAlignment="1">
      <alignment vertical="center"/>
    </xf>
    <xf numFmtId="0" fontId="19" fillId="14" borderId="20" xfId="0" applyFont="1" applyFill="1" applyBorder="1" applyAlignment="1">
      <alignment vertical="center"/>
    </xf>
    <xf numFmtId="0" fontId="19" fillId="14" borderId="20" xfId="0" applyFont="1" applyFill="1" applyBorder="1" applyAlignment="1">
      <alignment horizontal="left" vertical="center"/>
    </xf>
    <xf numFmtId="14" fontId="19" fillId="14" borderId="20" xfId="0" applyNumberFormat="1" applyFont="1" applyFill="1" applyBorder="1" applyAlignment="1">
      <alignment vertical="center"/>
    </xf>
    <xf numFmtId="185" fontId="19" fillId="14" borderId="20" xfId="0" applyNumberFormat="1" applyFont="1" applyFill="1" applyBorder="1" applyAlignment="1">
      <alignment vertical="center"/>
    </xf>
    <xf numFmtId="183" fontId="19" fillId="14" borderId="20" xfId="0" applyNumberFormat="1" applyFont="1" applyFill="1" applyBorder="1" applyAlignment="1">
      <alignment vertical="center"/>
    </xf>
    <xf numFmtId="176" fontId="19" fillId="14" borderId="20" xfId="1" applyNumberFormat="1" applyFont="1" applyFill="1" applyBorder="1" applyAlignment="1">
      <alignment vertical="center"/>
    </xf>
    <xf numFmtId="10" fontId="19" fillId="14" borderId="20" xfId="2" applyNumberFormat="1" applyFont="1" applyFill="1" applyBorder="1" applyAlignment="1">
      <alignment vertical="center"/>
    </xf>
    <xf numFmtId="10" fontId="27" fillId="14" borderId="20" xfId="2" applyNumberFormat="1" applyFont="1" applyFill="1" applyBorder="1" applyAlignment="1">
      <alignment vertical="center"/>
    </xf>
    <xf numFmtId="181" fontId="19" fillId="14" borderId="21" xfId="0" applyNumberFormat="1" applyFont="1" applyFill="1" applyBorder="1" applyAlignment="1">
      <alignment vertical="center"/>
    </xf>
    <xf numFmtId="176" fontId="19" fillId="5" borderId="22" xfId="1" applyNumberFormat="1" applyFont="1" applyFill="1" applyBorder="1" applyAlignment="1">
      <alignment vertical="center"/>
    </xf>
    <xf numFmtId="200" fontId="19" fillId="5" borderId="20" xfId="1" applyNumberFormat="1" applyFont="1" applyFill="1" applyBorder="1" applyAlignment="1">
      <alignment vertical="center"/>
    </xf>
    <xf numFmtId="176" fontId="19" fillId="5" borderId="20" xfId="1" applyNumberFormat="1" applyFont="1" applyFill="1" applyBorder="1" applyAlignment="1">
      <alignment vertical="center"/>
    </xf>
    <xf numFmtId="185" fontId="19" fillId="5" borderId="20" xfId="2" applyNumberFormat="1" applyFont="1" applyFill="1" applyBorder="1" applyAlignment="1">
      <alignment vertical="center"/>
    </xf>
    <xf numFmtId="176" fontId="19" fillId="10" borderId="23" xfId="1" applyNumberFormat="1" applyFont="1" applyFill="1" applyBorder="1" applyAlignment="1">
      <alignment vertical="center"/>
    </xf>
    <xf numFmtId="176" fontId="19" fillId="10" borderId="20" xfId="1" applyNumberFormat="1" applyFont="1" applyFill="1" applyBorder="1" applyAlignment="1">
      <alignment vertical="center"/>
    </xf>
    <xf numFmtId="185" fontId="19" fillId="10" borderId="24" xfId="2" applyNumberFormat="1" applyFont="1" applyFill="1" applyBorder="1" applyAlignment="1">
      <alignment vertical="center"/>
    </xf>
    <xf numFmtId="176" fontId="19" fillId="11" borderId="23" xfId="1" applyNumberFormat="1" applyFont="1" applyFill="1" applyBorder="1" applyAlignment="1">
      <alignment vertical="center"/>
    </xf>
    <xf numFmtId="176" fontId="19" fillId="11" borderId="20" xfId="1" applyNumberFormat="1" applyFont="1" applyFill="1" applyBorder="1" applyAlignment="1">
      <alignment vertical="center"/>
    </xf>
    <xf numFmtId="185" fontId="19" fillId="11" borderId="24" xfId="2" applyNumberFormat="1" applyFont="1" applyFill="1" applyBorder="1" applyAlignment="1">
      <alignment vertical="center"/>
    </xf>
    <xf numFmtId="185" fontId="19" fillId="14" borderId="20" xfId="2" applyNumberFormat="1" applyFont="1" applyFill="1" applyBorder="1" applyAlignment="1">
      <alignment vertical="center"/>
    </xf>
    <xf numFmtId="10" fontId="19" fillId="5" borderId="20" xfId="2" applyNumberFormat="1" applyFont="1" applyFill="1" applyBorder="1" applyAlignment="1">
      <alignment horizontal="center" vertical="center"/>
    </xf>
    <xf numFmtId="10" fontId="27" fillId="0" borderId="20" xfId="2" applyNumberFormat="1" applyFont="1" applyFill="1" applyBorder="1" applyAlignment="1">
      <alignment horizontal="center" vertical="center"/>
    </xf>
    <xf numFmtId="10" fontId="19" fillId="0" borderId="20" xfId="2" applyNumberFormat="1" applyFont="1" applyFill="1" applyBorder="1" applyAlignment="1">
      <alignment horizontal="center" vertical="center"/>
    </xf>
    <xf numFmtId="176" fontId="27" fillId="5" borderId="20" xfId="1" applyNumberFormat="1" applyFont="1" applyFill="1" applyBorder="1" applyAlignment="1">
      <alignment vertical="center"/>
    </xf>
    <xf numFmtId="176" fontId="27" fillId="5" borderId="22" xfId="1" applyNumberFormat="1" applyFont="1" applyFill="1" applyBorder="1" applyAlignment="1">
      <alignment vertical="center"/>
    </xf>
    <xf numFmtId="177" fontId="19" fillId="5" borderId="20" xfId="1" applyNumberFormat="1" applyFont="1" applyFill="1" applyBorder="1" applyAlignment="1">
      <alignment vertical="center"/>
    </xf>
    <xf numFmtId="176" fontId="19" fillId="5" borderId="22" xfId="5" applyNumberFormat="1" applyFont="1" applyFill="1" applyBorder="1" applyAlignment="1">
      <alignment vertical="center"/>
    </xf>
    <xf numFmtId="10" fontId="27" fillId="14" borderId="0" xfId="2" applyNumberFormat="1" applyFont="1" applyFill="1" applyAlignment="1">
      <alignment vertical="center"/>
    </xf>
    <xf numFmtId="10" fontId="19" fillId="5" borderId="0" xfId="2" applyNumberFormat="1" applyFont="1" applyFill="1" applyBorder="1" applyAlignment="1">
      <alignment vertical="center"/>
    </xf>
    <xf numFmtId="10" fontId="27" fillId="14" borderId="0" xfId="0" applyNumberFormat="1" applyFont="1" applyFill="1" applyAlignment="1">
      <alignment vertical="center"/>
    </xf>
    <xf numFmtId="49" fontId="24" fillId="15" borderId="0" xfId="0" applyNumberFormat="1" applyFont="1" applyFill="1" applyAlignment="1">
      <alignment vertical="center"/>
    </xf>
    <xf numFmtId="0" fontId="24" fillId="15" borderId="0" xfId="0" applyFont="1" applyFill="1" applyAlignment="1">
      <alignment vertical="center"/>
    </xf>
    <xf numFmtId="0" fontId="24" fillId="15" borderId="0" xfId="0" applyFont="1" applyFill="1" applyAlignment="1">
      <alignment horizontal="left" vertical="center"/>
    </xf>
    <xf numFmtId="49" fontId="24" fillId="15" borderId="0" xfId="0" applyNumberFormat="1" applyFont="1" applyFill="1" applyAlignment="1">
      <alignment horizontal="right" vertical="center"/>
    </xf>
    <xf numFmtId="14" fontId="24" fillId="15" borderId="0" xfId="0" applyNumberFormat="1" applyFont="1" applyFill="1" applyAlignment="1">
      <alignment vertical="center"/>
    </xf>
    <xf numFmtId="0" fontId="26" fillId="15" borderId="0" xfId="0" applyFont="1" applyFill="1" applyAlignment="1">
      <alignment vertical="center"/>
    </xf>
    <xf numFmtId="185" fontId="26" fillId="15" borderId="0" xfId="0" applyNumberFormat="1" applyFont="1" applyFill="1" applyAlignment="1">
      <alignment vertical="center"/>
    </xf>
    <xf numFmtId="183" fontId="26" fillId="15" borderId="0" xfId="0" applyNumberFormat="1" applyFont="1" applyFill="1" applyAlignment="1">
      <alignment vertical="center"/>
    </xf>
    <xf numFmtId="10" fontId="24" fillId="15" borderId="0" xfId="0" applyNumberFormat="1" applyFont="1" applyFill="1" applyAlignment="1">
      <alignment vertical="center"/>
    </xf>
    <xf numFmtId="10" fontId="24" fillId="15" borderId="0" xfId="2" applyNumberFormat="1" applyFont="1" applyFill="1" applyAlignment="1">
      <alignment vertical="center"/>
    </xf>
    <xf numFmtId="4" fontId="24" fillId="15" borderId="0" xfId="1" applyNumberFormat="1" applyFont="1" applyFill="1" applyBorder="1" applyAlignment="1">
      <alignment vertical="center"/>
    </xf>
    <xf numFmtId="181" fontId="24" fillId="15" borderId="4" xfId="1" applyNumberFormat="1" applyFont="1" applyFill="1" applyBorder="1" applyAlignment="1">
      <alignment vertical="center"/>
    </xf>
    <xf numFmtId="0" fontId="24" fillId="15" borderId="1" xfId="0" applyFont="1" applyFill="1" applyBorder="1" applyAlignment="1">
      <alignment vertical="center"/>
    </xf>
    <xf numFmtId="200" fontId="24" fillId="15" borderId="0" xfId="0" applyNumberFormat="1" applyFont="1" applyFill="1" applyAlignment="1">
      <alignment vertical="center"/>
    </xf>
    <xf numFmtId="176" fontId="24" fillId="15" borderId="0" xfId="0" applyNumberFormat="1" applyFont="1" applyFill="1" applyAlignment="1">
      <alignment vertical="center"/>
    </xf>
    <xf numFmtId="185" fontId="24" fillId="15" borderId="0" xfId="2" applyNumberFormat="1" applyFont="1" applyFill="1" applyBorder="1" applyAlignment="1">
      <alignment vertical="center"/>
    </xf>
    <xf numFmtId="0" fontId="26" fillId="15" borderId="8" xfId="0" applyFont="1" applyFill="1" applyBorder="1" applyAlignment="1">
      <alignment vertical="center"/>
    </xf>
    <xf numFmtId="185" fontId="24" fillId="15" borderId="9" xfId="2" applyNumberFormat="1" applyFont="1" applyFill="1" applyBorder="1" applyAlignment="1">
      <alignment vertical="center"/>
    </xf>
    <xf numFmtId="177" fontId="24" fillId="15" borderId="0" xfId="0" applyNumberFormat="1" applyFont="1" applyFill="1" applyAlignment="1">
      <alignment vertical="center"/>
    </xf>
    <xf numFmtId="49" fontId="24" fillId="34" borderId="0" xfId="0" applyNumberFormat="1" applyFont="1" applyFill="1" applyAlignment="1">
      <alignment vertical="center"/>
    </xf>
    <xf numFmtId="49" fontId="22" fillId="34" borderId="0" xfId="0" applyNumberFormat="1" applyFont="1" applyFill="1" applyAlignment="1">
      <alignment vertical="center"/>
    </xf>
    <xf numFmtId="0" fontId="30" fillId="34" borderId="0" xfId="0" applyFont="1" applyFill="1" applyAlignment="1">
      <alignment vertical="center"/>
    </xf>
    <xf numFmtId="0" fontId="30" fillId="34" borderId="0" xfId="0" applyFont="1" applyFill="1" applyAlignment="1">
      <alignment horizontal="left" vertical="center"/>
    </xf>
    <xf numFmtId="49" fontId="30" fillId="34" borderId="0" xfId="0" applyNumberFormat="1" applyFont="1" applyFill="1" applyAlignment="1">
      <alignment horizontal="right" vertical="center"/>
    </xf>
    <xf numFmtId="14" fontId="30" fillId="34" borderId="0" xfId="0" applyNumberFormat="1" applyFont="1" applyFill="1" applyAlignment="1">
      <alignment vertical="center"/>
    </xf>
    <xf numFmtId="0" fontId="27" fillId="34" borderId="0" xfId="0" applyFont="1" applyFill="1" applyAlignment="1">
      <alignment vertical="center"/>
    </xf>
    <xf numFmtId="49" fontId="30" fillId="34" borderId="0" xfId="0" applyNumberFormat="1" applyFont="1" applyFill="1" applyAlignment="1">
      <alignment vertical="center"/>
    </xf>
    <xf numFmtId="185" fontId="30" fillId="34" borderId="0" xfId="0" applyNumberFormat="1" applyFont="1" applyFill="1" applyAlignment="1">
      <alignment vertical="center"/>
    </xf>
    <xf numFmtId="183" fontId="30" fillId="34" borderId="0" xfId="0" applyNumberFormat="1" applyFont="1" applyFill="1" applyAlignment="1">
      <alignment vertical="center"/>
    </xf>
    <xf numFmtId="10" fontId="30" fillId="34" borderId="0" xfId="0" applyNumberFormat="1" applyFont="1" applyFill="1" applyAlignment="1">
      <alignment vertical="center"/>
    </xf>
    <xf numFmtId="10" fontId="30" fillId="34" borderId="0" xfId="2" applyNumberFormat="1" applyFont="1" applyFill="1" applyAlignment="1">
      <alignment vertical="center"/>
    </xf>
    <xf numFmtId="0" fontId="31" fillId="34" borderId="0" xfId="0" applyFont="1" applyFill="1" applyAlignment="1">
      <alignment vertical="center"/>
    </xf>
    <xf numFmtId="4" fontId="30" fillId="34" borderId="0" xfId="1" applyNumberFormat="1" applyFont="1" applyFill="1" applyBorder="1" applyAlignment="1">
      <alignment vertical="center"/>
    </xf>
    <xf numFmtId="181" fontId="30" fillId="34" borderId="4" xfId="1" applyNumberFormat="1" applyFont="1" applyFill="1" applyBorder="1" applyAlignment="1">
      <alignment vertical="center"/>
    </xf>
    <xf numFmtId="0" fontId="30" fillId="34" borderId="1" xfId="0" applyFont="1" applyFill="1" applyBorder="1" applyAlignment="1">
      <alignment vertical="center"/>
    </xf>
    <xf numFmtId="200" fontId="30" fillId="34" borderId="0" xfId="0" applyNumberFormat="1" applyFont="1" applyFill="1" applyAlignment="1">
      <alignment vertical="center"/>
    </xf>
    <xf numFmtId="176" fontId="30" fillId="34" borderId="0" xfId="0" applyNumberFormat="1" applyFont="1" applyFill="1" applyAlignment="1">
      <alignment vertical="center"/>
    </xf>
    <xf numFmtId="185" fontId="30" fillId="34" borderId="0" xfId="2" applyNumberFormat="1" applyFont="1" applyFill="1" applyBorder="1" applyAlignment="1">
      <alignment vertical="center"/>
    </xf>
    <xf numFmtId="0" fontId="30" fillId="34" borderId="8" xfId="0" applyFont="1" applyFill="1" applyBorder="1" applyAlignment="1">
      <alignment vertical="center"/>
    </xf>
    <xf numFmtId="185" fontId="30" fillId="34" borderId="9" xfId="2" applyNumberFormat="1" applyFont="1" applyFill="1" applyBorder="1" applyAlignment="1">
      <alignment vertical="center"/>
    </xf>
    <xf numFmtId="10" fontId="30" fillId="34" borderId="0" xfId="2" applyNumberFormat="1" applyFont="1" applyFill="1" applyBorder="1" applyAlignment="1">
      <alignment horizontal="center" vertical="center"/>
    </xf>
    <xf numFmtId="10" fontId="30" fillId="0" borderId="0" xfId="2" applyNumberFormat="1" applyFont="1" applyFill="1" applyBorder="1" applyAlignment="1">
      <alignment horizontal="center" vertical="center"/>
    </xf>
    <xf numFmtId="177" fontId="30" fillId="34" borderId="0" xfId="0" applyNumberFormat="1" applyFont="1" applyFill="1" applyAlignment="1">
      <alignment vertical="center"/>
    </xf>
    <xf numFmtId="10" fontId="24" fillId="34" borderId="0" xfId="2" applyNumberFormat="1" applyFont="1" applyFill="1" applyBorder="1" applyAlignment="1">
      <alignment horizontal="center" vertical="center"/>
    </xf>
    <xf numFmtId="49" fontId="19" fillId="16" borderId="0" xfId="0" applyNumberFormat="1" applyFont="1" applyFill="1" applyAlignment="1">
      <alignment vertical="center"/>
    </xf>
    <xf numFmtId="0" fontId="19" fillId="16" borderId="0" xfId="0" applyFont="1" applyFill="1" applyAlignment="1">
      <alignment vertical="center"/>
    </xf>
    <xf numFmtId="0" fontId="19" fillId="16" borderId="0" xfId="0" applyFont="1" applyFill="1" applyAlignment="1">
      <alignment horizontal="left" vertical="center"/>
    </xf>
    <xf numFmtId="49" fontId="19" fillId="16" borderId="0" xfId="0" applyNumberFormat="1" applyFont="1" applyFill="1" applyAlignment="1">
      <alignment horizontal="right" vertical="center"/>
    </xf>
    <xf numFmtId="0" fontId="27" fillId="16" borderId="0" xfId="0" applyFont="1" applyFill="1" applyAlignment="1">
      <alignment vertical="center"/>
    </xf>
    <xf numFmtId="14" fontId="19" fillId="16" borderId="0" xfId="0" applyNumberFormat="1" applyFont="1" applyFill="1" applyAlignment="1">
      <alignment horizontal="left" vertical="center"/>
    </xf>
    <xf numFmtId="0" fontId="32" fillId="16" borderId="0" xfId="3" applyFont="1" applyFill="1" applyAlignment="1">
      <alignment horizontal="center" vertical="center"/>
    </xf>
    <xf numFmtId="185" fontId="19" fillId="16" borderId="0" xfId="0" applyNumberFormat="1" applyFont="1" applyFill="1" applyAlignment="1">
      <alignment vertical="center"/>
    </xf>
    <xf numFmtId="183" fontId="19" fillId="16" borderId="0" xfId="0" applyNumberFormat="1" applyFont="1" applyFill="1" applyAlignment="1">
      <alignment vertical="center"/>
    </xf>
    <xf numFmtId="176" fontId="19" fillId="16" borderId="0" xfId="1" applyNumberFormat="1" applyFont="1" applyFill="1" applyBorder="1" applyAlignment="1">
      <alignment vertical="center"/>
    </xf>
    <xf numFmtId="10" fontId="19" fillId="16" borderId="0" xfId="2" applyNumberFormat="1" applyFont="1" applyFill="1" applyAlignment="1">
      <alignment vertical="center"/>
    </xf>
    <xf numFmtId="4" fontId="19" fillId="16" borderId="0" xfId="1" applyNumberFormat="1" applyFont="1" applyFill="1" applyBorder="1" applyAlignment="1">
      <alignment vertical="center"/>
    </xf>
    <xf numFmtId="194" fontId="19" fillId="16" borderId="0" xfId="1" applyNumberFormat="1" applyFont="1" applyFill="1" applyBorder="1" applyAlignment="1">
      <alignment vertical="center"/>
    </xf>
    <xf numFmtId="181" fontId="19" fillId="16" borderId="4" xfId="1" applyNumberFormat="1" applyFont="1" applyFill="1" applyBorder="1" applyAlignment="1">
      <alignment vertical="center"/>
    </xf>
    <xf numFmtId="180" fontId="19" fillId="5" borderId="0" xfId="2" applyNumberFormat="1" applyFont="1" applyFill="1" applyBorder="1" applyAlignment="1">
      <alignment vertical="center"/>
    </xf>
    <xf numFmtId="176" fontId="27" fillId="16" borderId="0" xfId="1" applyNumberFormat="1" applyFont="1" applyFill="1" applyBorder="1" applyAlignment="1">
      <alignment vertical="center"/>
    </xf>
    <xf numFmtId="185" fontId="27" fillId="16" borderId="0" xfId="2" applyNumberFormat="1" applyFont="1" applyFill="1" applyBorder="1" applyAlignment="1">
      <alignment vertical="center"/>
    </xf>
    <xf numFmtId="10" fontId="27" fillId="5" borderId="0" xfId="2" applyNumberFormat="1" applyFont="1" applyFill="1" applyBorder="1" applyAlignment="1">
      <alignment horizontal="center" vertical="center"/>
    </xf>
    <xf numFmtId="14" fontId="19" fillId="16" borderId="0" xfId="0" applyNumberFormat="1" applyFont="1" applyFill="1" applyAlignment="1">
      <alignment vertical="center"/>
    </xf>
    <xf numFmtId="176" fontId="22" fillId="16" borderId="0" xfId="1" applyNumberFormat="1" applyFont="1" applyFill="1" applyBorder="1" applyAlignment="1">
      <alignment vertical="center"/>
    </xf>
    <xf numFmtId="180" fontId="30" fillId="34" borderId="0" xfId="0" applyNumberFormat="1" applyFont="1" applyFill="1" applyAlignment="1">
      <alignment vertical="center"/>
    </xf>
    <xf numFmtId="0" fontId="35" fillId="16" borderId="0" xfId="0" applyFont="1" applyFill="1" applyAlignment="1">
      <alignment vertical="center"/>
    </xf>
    <xf numFmtId="14" fontId="35" fillId="16" borderId="0" xfId="0" applyNumberFormat="1" applyFont="1" applyFill="1" applyAlignment="1">
      <alignment vertical="center"/>
    </xf>
    <xf numFmtId="185" fontId="21" fillId="16" borderId="0" xfId="0" applyNumberFormat="1" applyFont="1" applyFill="1" applyAlignment="1">
      <alignment vertical="center"/>
    </xf>
    <xf numFmtId="183" fontId="21" fillId="16" borderId="0" xfId="0" applyNumberFormat="1" applyFont="1" applyFill="1" applyAlignment="1">
      <alignment vertical="center"/>
    </xf>
    <xf numFmtId="14" fontId="27" fillId="16" borderId="0" xfId="0" applyNumberFormat="1" applyFont="1" applyFill="1" applyAlignment="1">
      <alignment vertical="center"/>
    </xf>
    <xf numFmtId="0" fontId="36" fillId="16" borderId="0" xfId="0" applyFont="1" applyFill="1" applyAlignment="1">
      <alignment vertical="center"/>
    </xf>
    <xf numFmtId="14" fontId="36" fillId="16" borderId="0" xfId="0" applyNumberFormat="1" applyFont="1" applyFill="1" applyAlignment="1">
      <alignment vertical="center"/>
    </xf>
    <xf numFmtId="49" fontId="21" fillId="17" borderId="0" xfId="0" applyNumberFormat="1" applyFont="1" applyFill="1" applyAlignment="1">
      <alignment vertical="center"/>
    </xf>
    <xf numFmtId="0" fontId="21" fillId="17" borderId="0" xfId="0" applyFont="1" applyFill="1" applyAlignment="1">
      <alignment vertical="center"/>
    </xf>
    <xf numFmtId="0" fontId="21" fillId="17" borderId="0" xfId="0" applyFont="1" applyFill="1" applyAlignment="1">
      <alignment horizontal="left" vertical="center"/>
    </xf>
    <xf numFmtId="49" fontId="21" fillId="17" borderId="0" xfId="0" applyNumberFormat="1" applyFont="1" applyFill="1" applyAlignment="1">
      <alignment horizontal="right" vertical="center"/>
    </xf>
    <xf numFmtId="14" fontId="21" fillId="17" borderId="0" xfId="0" applyNumberFormat="1" applyFont="1" applyFill="1" applyAlignment="1">
      <alignment vertical="center"/>
    </xf>
    <xf numFmtId="0" fontId="19" fillId="17" borderId="0" xfId="0" applyFont="1" applyFill="1" applyAlignment="1">
      <alignment vertical="center"/>
    </xf>
    <xf numFmtId="185" fontId="19" fillId="17" borderId="0" xfId="0" applyNumberFormat="1" applyFont="1" applyFill="1" applyAlignment="1">
      <alignment vertical="center"/>
    </xf>
    <xf numFmtId="183" fontId="19" fillId="17" borderId="0" xfId="0" applyNumberFormat="1" applyFont="1" applyFill="1" applyAlignment="1">
      <alignment vertical="center"/>
    </xf>
    <xf numFmtId="10" fontId="21" fillId="17" borderId="0" xfId="0" applyNumberFormat="1" applyFont="1" applyFill="1" applyAlignment="1">
      <alignment vertical="center"/>
    </xf>
    <xf numFmtId="10" fontId="21" fillId="17" borderId="0" xfId="2" applyNumberFormat="1" applyFont="1" applyFill="1" applyAlignment="1">
      <alignment vertical="center"/>
    </xf>
    <xf numFmtId="4" fontId="21" fillId="17" borderId="0" xfId="1" applyNumberFormat="1" applyFont="1" applyFill="1" applyBorder="1" applyAlignment="1">
      <alignment vertical="center"/>
    </xf>
    <xf numFmtId="181" fontId="21" fillId="17" borderId="4" xfId="1" applyNumberFormat="1" applyFont="1" applyFill="1" applyBorder="1" applyAlignment="1">
      <alignment vertical="center"/>
    </xf>
    <xf numFmtId="0" fontId="21" fillId="17" borderId="1" xfId="0" applyFont="1" applyFill="1" applyBorder="1" applyAlignment="1">
      <alignment vertical="center"/>
    </xf>
    <xf numFmtId="200" fontId="21" fillId="17" borderId="0" xfId="0" applyNumberFormat="1" applyFont="1" applyFill="1" applyAlignment="1">
      <alignment vertical="center"/>
    </xf>
    <xf numFmtId="176" fontId="21" fillId="17" borderId="0" xfId="0" applyNumberFormat="1" applyFont="1" applyFill="1" applyAlignment="1">
      <alignment vertical="center"/>
    </xf>
    <xf numFmtId="185" fontId="21" fillId="17" borderId="0" xfId="2" applyNumberFormat="1" applyFont="1" applyFill="1" applyBorder="1" applyAlignment="1">
      <alignment vertical="center"/>
    </xf>
    <xf numFmtId="0" fontId="19" fillId="17" borderId="8" xfId="0" applyFont="1" applyFill="1" applyBorder="1" applyAlignment="1">
      <alignment vertical="center"/>
    </xf>
    <xf numFmtId="185" fontId="21" fillId="17" borderId="9" xfId="2" applyNumberFormat="1" applyFont="1" applyFill="1" applyBorder="1" applyAlignment="1">
      <alignment vertical="center"/>
    </xf>
    <xf numFmtId="0" fontId="22" fillId="17" borderId="1" xfId="0" applyFont="1" applyFill="1" applyBorder="1" applyAlignment="1">
      <alignment vertical="center"/>
    </xf>
    <xf numFmtId="49" fontId="35" fillId="18" borderId="0" xfId="0" applyNumberFormat="1" applyFont="1" applyFill="1" applyAlignment="1">
      <alignment vertical="center"/>
    </xf>
    <xf numFmtId="0" fontId="35" fillId="18" borderId="0" xfId="0" applyFont="1" applyFill="1" applyAlignment="1">
      <alignment vertical="center"/>
    </xf>
    <xf numFmtId="0" fontId="35" fillId="18" borderId="0" xfId="0" applyFont="1" applyFill="1" applyAlignment="1">
      <alignment horizontal="left" vertical="center"/>
    </xf>
    <xf numFmtId="49" fontId="35" fillId="18" borderId="0" xfId="0" applyNumberFormat="1" applyFont="1" applyFill="1" applyAlignment="1">
      <alignment horizontal="right" vertical="center"/>
    </xf>
    <xf numFmtId="14" fontId="35" fillId="18" borderId="0" xfId="0" applyNumberFormat="1" applyFont="1" applyFill="1" applyAlignment="1">
      <alignment vertical="center"/>
    </xf>
    <xf numFmtId="185" fontId="35" fillId="18" borderId="0" xfId="0" applyNumberFormat="1" applyFont="1" applyFill="1" applyAlignment="1">
      <alignment vertical="center"/>
    </xf>
    <xf numFmtId="183" fontId="35" fillId="18" borderId="0" xfId="0" applyNumberFormat="1" applyFont="1" applyFill="1" applyAlignment="1">
      <alignment vertical="center"/>
    </xf>
    <xf numFmtId="10" fontId="35" fillId="18" borderId="0" xfId="0" applyNumberFormat="1" applyFont="1" applyFill="1" applyAlignment="1">
      <alignment vertical="center"/>
    </xf>
    <xf numFmtId="10" fontId="35" fillId="18" borderId="0" xfId="2" applyNumberFormat="1" applyFont="1" applyFill="1" applyAlignment="1">
      <alignment vertical="center"/>
    </xf>
    <xf numFmtId="0" fontId="37" fillId="18" borderId="0" xfId="0" applyFont="1" applyFill="1" applyAlignment="1">
      <alignment vertical="center"/>
    </xf>
    <xf numFmtId="4" fontId="35" fillId="18" borderId="0" xfId="1" applyNumberFormat="1" applyFont="1" applyFill="1" applyBorder="1" applyAlignment="1">
      <alignment vertical="center"/>
    </xf>
    <xf numFmtId="181" fontId="35" fillId="18" borderId="4" xfId="1" applyNumberFormat="1" applyFont="1" applyFill="1" applyBorder="1" applyAlignment="1">
      <alignment vertical="center"/>
    </xf>
    <xf numFmtId="0" fontId="30" fillId="18" borderId="1" xfId="0" applyFont="1" applyFill="1" applyBorder="1" applyAlignment="1">
      <alignment vertical="center"/>
    </xf>
    <xf numFmtId="200" fontId="30" fillId="18" borderId="0" xfId="0" applyNumberFormat="1" applyFont="1" applyFill="1" applyAlignment="1">
      <alignment vertical="center"/>
    </xf>
    <xf numFmtId="0" fontId="30" fillId="18" borderId="0" xfId="0" applyFont="1" applyFill="1" applyAlignment="1">
      <alignment vertical="center"/>
    </xf>
    <xf numFmtId="176" fontId="30" fillId="18" borderId="0" xfId="0" applyNumberFormat="1" applyFont="1" applyFill="1" applyAlignment="1">
      <alignment vertical="center"/>
    </xf>
    <xf numFmtId="185" fontId="30" fillId="18" borderId="0" xfId="2" applyNumberFormat="1" applyFont="1" applyFill="1" applyBorder="1" applyAlignment="1">
      <alignment vertical="center"/>
    </xf>
    <xf numFmtId="0" fontId="30" fillId="18" borderId="8" xfId="0" applyFont="1" applyFill="1" applyBorder="1" applyAlignment="1">
      <alignment vertical="center"/>
    </xf>
    <xf numFmtId="185" fontId="30" fillId="18" borderId="9" xfId="2" applyNumberFormat="1" applyFont="1" applyFill="1" applyBorder="1" applyAlignment="1">
      <alignment vertical="center"/>
    </xf>
    <xf numFmtId="10" fontId="30" fillId="5" borderId="0" xfId="2" applyNumberFormat="1" applyFont="1" applyFill="1" applyBorder="1" applyAlignment="1">
      <alignment horizontal="center" vertical="center"/>
    </xf>
    <xf numFmtId="177" fontId="30" fillId="18" borderId="0" xfId="0" applyNumberFormat="1" applyFont="1" applyFill="1" applyAlignment="1">
      <alignment vertical="center"/>
    </xf>
    <xf numFmtId="49" fontId="19" fillId="19" borderId="0" xfId="0" applyNumberFormat="1" applyFont="1" applyFill="1" applyAlignment="1">
      <alignment vertical="center"/>
    </xf>
    <xf numFmtId="0" fontId="19" fillId="19" borderId="0" xfId="0" applyFont="1" applyFill="1" applyAlignment="1">
      <alignment vertical="center"/>
    </xf>
    <xf numFmtId="0" fontId="19" fillId="19" borderId="0" xfId="0" applyFont="1" applyFill="1" applyAlignment="1">
      <alignment horizontal="left" vertical="center"/>
    </xf>
    <xf numFmtId="49" fontId="19" fillId="19" borderId="0" xfId="0" applyNumberFormat="1" applyFont="1" applyFill="1" applyAlignment="1">
      <alignment horizontal="right" vertical="center"/>
    </xf>
    <xf numFmtId="0" fontId="38" fillId="19" borderId="0" xfId="0" applyFont="1" applyFill="1" applyAlignment="1">
      <alignment vertical="center"/>
    </xf>
    <xf numFmtId="14" fontId="27" fillId="19" borderId="0" xfId="0" applyNumberFormat="1" applyFont="1" applyFill="1" applyAlignment="1">
      <alignment vertical="center"/>
    </xf>
    <xf numFmtId="185" fontId="27" fillId="19" borderId="0" xfId="0" applyNumberFormat="1" applyFont="1" applyFill="1" applyAlignment="1">
      <alignment vertical="center"/>
    </xf>
    <xf numFmtId="183" fontId="27" fillId="19" borderId="0" xfId="0" applyNumberFormat="1" applyFont="1" applyFill="1" applyAlignment="1">
      <alignment vertical="center"/>
    </xf>
    <xf numFmtId="176" fontId="19" fillId="19" borderId="0" xfId="1" applyNumberFormat="1" applyFont="1" applyFill="1" applyAlignment="1">
      <alignment vertical="center"/>
    </xf>
    <xf numFmtId="10" fontId="19" fillId="19" borderId="0" xfId="2" applyNumberFormat="1" applyFont="1" applyFill="1" applyAlignment="1">
      <alignment vertical="center"/>
    </xf>
    <xf numFmtId="4" fontId="19" fillId="19" borderId="0" xfId="1" applyNumberFormat="1" applyFont="1" applyFill="1" applyAlignment="1">
      <alignment vertical="center"/>
    </xf>
    <xf numFmtId="194" fontId="19" fillId="19" borderId="0" xfId="1" applyNumberFormat="1" applyFont="1" applyFill="1" applyAlignment="1">
      <alignment vertical="center"/>
    </xf>
    <xf numFmtId="181" fontId="19" fillId="19" borderId="4" xfId="1" applyNumberFormat="1" applyFont="1" applyFill="1" applyBorder="1" applyAlignment="1">
      <alignment vertical="center"/>
    </xf>
    <xf numFmtId="180" fontId="19" fillId="5" borderId="0" xfId="2" applyNumberFormat="1" applyFont="1" applyFill="1" applyAlignment="1">
      <alignment vertical="center"/>
    </xf>
    <xf numFmtId="165" fontId="19" fillId="5" borderId="0" xfId="1" applyFont="1" applyFill="1" applyAlignment="1">
      <alignment vertical="center"/>
    </xf>
    <xf numFmtId="176" fontId="19" fillId="5" borderId="0" xfId="1" applyNumberFormat="1" applyFont="1" applyFill="1" applyAlignment="1">
      <alignment vertical="center"/>
    </xf>
    <xf numFmtId="185" fontId="19" fillId="5" borderId="0" xfId="2" applyNumberFormat="1" applyFont="1" applyFill="1" applyAlignment="1">
      <alignment vertical="center"/>
    </xf>
    <xf numFmtId="176" fontId="19" fillId="10" borderId="0" xfId="1" applyNumberFormat="1" applyFont="1" applyFill="1" applyAlignment="1">
      <alignment vertical="center"/>
    </xf>
    <xf numFmtId="176" fontId="19" fillId="11" borderId="0" xfId="1" applyNumberFormat="1" applyFont="1" applyFill="1" applyAlignment="1">
      <alignment vertical="center"/>
    </xf>
    <xf numFmtId="185" fontId="19" fillId="19" borderId="0" xfId="2" applyNumberFormat="1" applyFont="1" applyFill="1" applyAlignment="1">
      <alignment vertical="center"/>
    </xf>
    <xf numFmtId="10" fontId="19" fillId="5" borderId="0" xfId="2" applyNumberFormat="1" applyFont="1" applyFill="1" applyAlignment="1">
      <alignment horizontal="center" vertical="center"/>
    </xf>
    <xf numFmtId="10" fontId="27" fillId="0" borderId="0" xfId="2" applyNumberFormat="1" applyFont="1" applyFill="1" applyAlignment="1">
      <alignment horizontal="center" vertical="center"/>
    </xf>
    <xf numFmtId="10" fontId="19" fillId="0" borderId="0" xfId="2" applyNumberFormat="1" applyFont="1" applyFill="1" applyAlignment="1">
      <alignment horizontal="center" vertical="center"/>
    </xf>
    <xf numFmtId="200" fontId="19" fillId="5" borderId="0" xfId="1" applyNumberFormat="1" applyFont="1" applyFill="1" applyAlignment="1">
      <alignment vertical="center"/>
    </xf>
    <xf numFmtId="0" fontId="27" fillId="19" borderId="0" xfId="0" applyFont="1" applyFill="1" applyAlignment="1">
      <alignment vertical="center"/>
    </xf>
    <xf numFmtId="176" fontId="19" fillId="19" borderId="0" xfId="1" applyNumberFormat="1" applyFont="1" applyFill="1" applyBorder="1" applyAlignment="1">
      <alignment vertical="center"/>
    </xf>
    <xf numFmtId="4" fontId="19" fillId="19" borderId="0" xfId="1" applyNumberFormat="1" applyFont="1" applyFill="1" applyBorder="1" applyAlignment="1">
      <alignment vertical="center"/>
    </xf>
    <xf numFmtId="194" fontId="19" fillId="19" borderId="0" xfId="1" applyNumberFormat="1" applyFont="1" applyFill="1" applyBorder="1" applyAlignment="1">
      <alignment vertical="center"/>
    </xf>
    <xf numFmtId="185" fontId="19" fillId="19" borderId="0" xfId="2" applyNumberFormat="1" applyFont="1" applyFill="1" applyBorder="1" applyAlignment="1">
      <alignment vertical="center"/>
    </xf>
    <xf numFmtId="165" fontId="19" fillId="5" borderId="0" xfId="1" applyFont="1" applyFill="1" applyBorder="1" applyAlignment="1">
      <alignment vertical="center"/>
    </xf>
    <xf numFmtId="49" fontId="27" fillId="19" borderId="0" xfId="0" applyNumberFormat="1" applyFont="1" applyFill="1" applyAlignment="1">
      <alignment vertical="center"/>
    </xf>
    <xf numFmtId="0" fontId="27" fillId="19" borderId="0" xfId="0" applyFont="1" applyFill="1" applyAlignment="1">
      <alignment horizontal="left" vertical="center"/>
    </xf>
    <xf numFmtId="49" fontId="27" fillId="19" borderId="0" xfId="0" applyNumberFormat="1" applyFont="1" applyFill="1" applyAlignment="1">
      <alignment horizontal="right" vertical="center"/>
    </xf>
    <xf numFmtId="176" fontId="27" fillId="19" borderId="0" xfId="1" applyNumberFormat="1" applyFont="1" applyFill="1" applyBorder="1" applyAlignment="1">
      <alignment vertical="center"/>
    </xf>
    <xf numFmtId="10" fontId="27" fillId="19" borderId="0" xfId="2" applyNumberFormat="1" applyFont="1" applyFill="1" applyAlignment="1">
      <alignment vertical="center"/>
    </xf>
    <xf numFmtId="194" fontId="27" fillId="19" borderId="0" xfId="1" applyNumberFormat="1" applyFont="1" applyFill="1" applyBorder="1" applyAlignment="1">
      <alignment vertical="center"/>
    </xf>
    <xf numFmtId="181" fontId="27" fillId="19" borderId="4" xfId="1" applyNumberFormat="1" applyFont="1" applyFill="1" applyBorder="1" applyAlignment="1">
      <alignment vertical="center"/>
    </xf>
    <xf numFmtId="180" fontId="27" fillId="5" borderId="0" xfId="2" applyNumberFormat="1" applyFont="1" applyFill="1" applyBorder="1" applyAlignment="1">
      <alignment vertical="center"/>
    </xf>
    <xf numFmtId="176" fontId="27" fillId="10" borderId="8" xfId="1" applyNumberFormat="1" applyFont="1" applyFill="1" applyBorder="1" applyAlignment="1">
      <alignment vertical="center"/>
    </xf>
    <xf numFmtId="176" fontId="27" fillId="10" borderId="0" xfId="1" applyNumberFormat="1" applyFont="1" applyFill="1" applyBorder="1" applyAlignment="1">
      <alignment vertical="center"/>
    </xf>
    <xf numFmtId="185" fontId="27" fillId="10" borderId="9" xfId="2" applyNumberFormat="1" applyFont="1" applyFill="1" applyBorder="1" applyAlignment="1">
      <alignment vertical="center"/>
    </xf>
    <xf numFmtId="176" fontId="27" fillId="11" borderId="8" xfId="1" applyNumberFormat="1" applyFont="1" applyFill="1" applyBorder="1" applyAlignment="1">
      <alignment vertical="center"/>
    </xf>
    <xf numFmtId="176" fontId="27" fillId="11" borderId="0" xfId="1" applyNumberFormat="1" applyFont="1" applyFill="1" applyBorder="1" applyAlignment="1">
      <alignment vertical="center"/>
    </xf>
    <xf numFmtId="185" fontId="27" fillId="11" borderId="9" xfId="2" applyNumberFormat="1" applyFont="1" applyFill="1" applyBorder="1" applyAlignment="1">
      <alignment vertical="center"/>
    </xf>
    <xf numFmtId="185" fontId="27" fillId="19" borderId="0" xfId="2" applyNumberFormat="1" applyFont="1" applyFill="1" applyBorder="1" applyAlignment="1">
      <alignment vertical="center"/>
    </xf>
    <xf numFmtId="165" fontId="27" fillId="5" borderId="0" xfId="1" applyFont="1" applyFill="1" applyBorder="1" applyAlignment="1">
      <alignment vertical="center"/>
    </xf>
    <xf numFmtId="177" fontId="27" fillId="5" borderId="0" xfId="1" applyNumberFormat="1" applyFont="1" applyFill="1" applyBorder="1" applyAlignment="1">
      <alignment vertical="center"/>
    </xf>
    <xf numFmtId="0" fontId="27" fillId="0" borderId="0" xfId="0" applyFont="1" applyAlignment="1">
      <alignment vertical="center"/>
    </xf>
    <xf numFmtId="14" fontId="19" fillId="19" borderId="0" xfId="0" applyNumberFormat="1" applyFont="1" applyFill="1" applyAlignment="1">
      <alignment vertical="center"/>
    </xf>
    <xf numFmtId="0" fontId="39" fillId="19" borderId="0" xfId="0" applyFont="1" applyFill="1" applyAlignment="1">
      <alignment vertical="center"/>
    </xf>
    <xf numFmtId="165" fontId="30" fillId="18" borderId="0" xfId="1" applyFont="1" applyFill="1" applyAlignment="1">
      <alignment vertical="center"/>
    </xf>
    <xf numFmtId="185" fontId="19" fillId="19" borderId="0" xfId="0" applyNumberFormat="1" applyFont="1" applyFill="1" applyAlignment="1">
      <alignment vertical="center"/>
    </xf>
    <xf numFmtId="183" fontId="19" fillId="19" borderId="0" xfId="0" applyNumberFormat="1" applyFont="1" applyFill="1" applyAlignment="1">
      <alignment vertical="center"/>
    </xf>
    <xf numFmtId="185" fontId="38" fillId="19" borderId="0" xfId="0" applyNumberFormat="1" applyFont="1" applyFill="1" applyAlignment="1">
      <alignment vertical="center"/>
    </xf>
    <xf numFmtId="200" fontId="38" fillId="5" borderId="0" xfId="1" applyNumberFormat="1" applyFont="1" applyFill="1" applyBorder="1" applyAlignment="1">
      <alignment vertical="center"/>
    </xf>
    <xf numFmtId="176" fontId="35" fillId="18" borderId="0" xfId="1" applyNumberFormat="1" applyFont="1" applyFill="1" applyBorder="1" applyAlignment="1">
      <alignment vertical="center"/>
    </xf>
    <xf numFmtId="176" fontId="35" fillId="18" borderId="0" xfId="0" applyNumberFormat="1" applyFont="1" applyFill="1" applyAlignment="1">
      <alignment vertical="center"/>
    </xf>
    <xf numFmtId="176" fontId="19" fillId="18" borderId="0" xfId="1" applyNumberFormat="1" applyFont="1" applyFill="1" applyBorder="1" applyAlignment="1">
      <alignment vertical="center"/>
    </xf>
    <xf numFmtId="0" fontId="35" fillId="19" borderId="0" xfId="0" applyFont="1" applyFill="1" applyAlignment="1">
      <alignment vertical="center"/>
    </xf>
    <xf numFmtId="14" fontId="35" fillId="19" borderId="0" xfId="0" applyNumberFormat="1" applyFont="1" applyFill="1" applyAlignment="1">
      <alignment vertical="center"/>
    </xf>
    <xf numFmtId="176" fontId="21" fillId="11" borderId="8" xfId="1" applyNumberFormat="1" applyFont="1" applyFill="1" applyBorder="1" applyAlignment="1">
      <alignment vertical="center"/>
    </xf>
    <xf numFmtId="185" fontId="40" fillId="19" borderId="0" xfId="0" applyNumberFormat="1" applyFont="1" applyFill="1" applyAlignment="1">
      <alignment vertical="center"/>
    </xf>
    <xf numFmtId="183" fontId="21" fillId="19" borderId="0" xfId="0" applyNumberFormat="1" applyFont="1" applyFill="1" applyAlignment="1">
      <alignment vertical="center"/>
    </xf>
    <xf numFmtId="185" fontId="41" fillId="19" borderId="0" xfId="0" applyNumberFormat="1" applyFont="1" applyFill="1" applyAlignment="1">
      <alignment vertical="center"/>
    </xf>
    <xf numFmtId="208" fontId="19" fillId="5" borderId="1" xfId="1" applyNumberFormat="1" applyFont="1" applyFill="1" applyBorder="1" applyAlignment="1">
      <alignment vertical="center"/>
    </xf>
    <xf numFmtId="185" fontId="21" fillId="19" borderId="0" xfId="0" applyNumberFormat="1" applyFont="1" applyFill="1" applyAlignment="1">
      <alignment vertical="center"/>
    </xf>
    <xf numFmtId="183" fontId="40" fillId="19" borderId="0" xfId="0" applyNumberFormat="1" applyFont="1" applyFill="1" applyAlignment="1">
      <alignment vertical="center"/>
    </xf>
    <xf numFmtId="184" fontId="36" fillId="5" borderId="1" xfId="1" applyNumberFormat="1" applyFont="1" applyFill="1" applyBorder="1" applyAlignment="1">
      <alignment vertical="center"/>
    </xf>
    <xf numFmtId="49" fontId="24" fillId="20" borderId="0" xfId="0" applyNumberFormat="1" applyFont="1" applyFill="1" applyAlignment="1">
      <alignment vertical="center"/>
    </xf>
    <xf numFmtId="0" fontId="24" fillId="20" borderId="0" xfId="0" applyFont="1" applyFill="1" applyAlignment="1">
      <alignment vertical="center"/>
    </xf>
    <xf numFmtId="0" fontId="24" fillId="20" borderId="0" xfId="0" applyFont="1" applyFill="1" applyAlignment="1">
      <alignment horizontal="left" vertical="center"/>
    </xf>
    <xf numFmtId="49" fontId="24" fillId="20" borderId="0" xfId="0" applyNumberFormat="1" applyFont="1" applyFill="1" applyAlignment="1">
      <alignment horizontal="right" vertical="center"/>
    </xf>
    <xf numFmtId="14" fontId="24" fillId="20" borderId="0" xfId="0" applyNumberFormat="1" applyFont="1" applyFill="1" applyAlignment="1">
      <alignment vertical="center"/>
    </xf>
    <xf numFmtId="185" fontId="26" fillId="20" borderId="0" xfId="0" applyNumberFormat="1" applyFont="1" applyFill="1" applyAlignment="1">
      <alignment vertical="center"/>
    </xf>
    <xf numFmtId="183" fontId="26" fillId="20" borderId="0" xfId="0" applyNumberFormat="1" applyFont="1" applyFill="1" applyAlignment="1">
      <alignment vertical="center"/>
    </xf>
    <xf numFmtId="176" fontId="24" fillId="20" borderId="0" xfId="1" applyNumberFormat="1" applyFont="1" applyFill="1" applyBorder="1" applyAlignment="1">
      <alignment vertical="center"/>
    </xf>
    <xf numFmtId="10" fontId="24" fillId="20" borderId="0" xfId="2" applyNumberFormat="1" applyFont="1" applyFill="1" applyAlignment="1">
      <alignment vertical="center"/>
    </xf>
    <xf numFmtId="4" fontId="24" fillId="20" borderId="0" xfId="1" applyNumberFormat="1" applyFont="1" applyFill="1" applyBorder="1" applyAlignment="1">
      <alignment vertical="center"/>
    </xf>
    <xf numFmtId="181" fontId="24" fillId="20" borderId="4" xfId="1" applyNumberFormat="1" applyFont="1" applyFill="1" applyBorder="1" applyAlignment="1">
      <alignment vertical="center"/>
    </xf>
    <xf numFmtId="0" fontId="24" fillId="21" borderId="1" xfId="0" applyFont="1" applyFill="1" applyBorder="1" applyAlignment="1">
      <alignment vertical="center"/>
    </xf>
    <xf numFmtId="200" fontId="24" fillId="21" borderId="0" xfId="0" applyNumberFormat="1" applyFont="1" applyFill="1" applyAlignment="1">
      <alignment vertical="center"/>
    </xf>
    <xf numFmtId="0" fontId="24" fillId="21" borderId="0" xfId="0" applyFont="1" applyFill="1" applyAlignment="1">
      <alignment vertical="center"/>
    </xf>
    <xf numFmtId="176" fontId="24" fillId="21" borderId="0" xfId="0" applyNumberFormat="1" applyFont="1" applyFill="1" applyAlignment="1">
      <alignment vertical="center"/>
    </xf>
    <xf numFmtId="185" fontId="24" fillId="21" borderId="0" xfId="2" applyNumberFormat="1" applyFont="1" applyFill="1" applyBorder="1" applyAlignment="1">
      <alignment vertical="center"/>
    </xf>
    <xf numFmtId="0" fontId="26" fillId="21" borderId="8" xfId="0" applyFont="1" applyFill="1" applyBorder="1" applyAlignment="1">
      <alignment vertical="center"/>
    </xf>
    <xf numFmtId="0" fontId="26" fillId="21" borderId="0" xfId="0" applyFont="1" applyFill="1" applyAlignment="1">
      <alignment vertical="center"/>
    </xf>
    <xf numFmtId="185" fontId="24" fillId="21" borderId="9" xfId="2" applyNumberFormat="1" applyFont="1" applyFill="1" applyBorder="1" applyAlignment="1">
      <alignment vertical="center"/>
    </xf>
    <xf numFmtId="0" fontId="22" fillId="21" borderId="1" xfId="0" applyFont="1" applyFill="1" applyBorder="1" applyAlignment="1">
      <alignment vertical="center"/>
    </xf>
    <xf numFmtId="177" fontId="24" fillId="21" borderId="0" xfId="0" applyNumberFormat="1" applyFont="1" applyFill="1" applyAlignment="1">
      <alignment vertical="center"/>
    </xf>
    <xf numFmtId="49" fontId="35" fillId="22" borderId="0" xfId="0" applyNumberFormat="1" applyFont="1" applyFill="1" applyAlignment="1">
      <alignment vertical="center"/>
    </xf>
    <xf numFmtId="0" fontId="35" fillId="22" borderId="0" xfId="0" applyFont="1" applyFill="1" applyAlignment="1">
      <alignment vertical="center"/>
    </xf>
    <xf numFmtId="0" fontId="35" fillId="22" borderId="0" xfId="0" applyFont="1" applyFill="1" applyAlignment="1">
      <alignment horizontal="left" vertical="center"/>
    </xf>
    <xf numFmtId="49" fontId="35" fillId="22" borderId="0" xfId="0" applyNumberFormat="1" applyFont="1" applyFill="1" applyAlignment="1">
      <alignment horizontal="right" vertical="center"/>
    </xf>
    <xf numFmtId="14" fontId="35" fillId="22" borderId="0" xfId="0" applyNumberFormat="1" applyFont="1" applyFill="1" applyAlignment="1">
      <alignment vertical="center"/>
    </xf>
    <xf numFmtId="185" fontId="35" fillId="22" borderId="0" xfId="0" applyNumberFormat="1" applyFont="1" applyFill="1" applyAlignment="1">
      <alignment vertical="center"/>
    </xf>
    <xf numFmtId="183" fontId="35" fillId="22" borderId="0" xfId="0" applyNumberFormat="1" applyFont="1" applyFill="1" applyAlignment="1">
      <alignment vertical="center"/>
    </xf>
    <xf numFmtId="176" fontId="35" fillId="22" borderId="0" xfId="1" applyNumberFormat="1" applyFont="1" applyFill="1" applyBorder="1" applyAlignment="1">
      <alignment vertical="center"/>
    </xf>
    <xf numFmtId="10" fontId="35" fillId="22" borderId="0" xfId="2" applyNumberFormat="1" applyFont="1" applyFill="1" applyAlignment="1">
      <alignment vertical="center"/>
    </xf>
    <xf numFmtId="0" fontId="42" fillId="22" borderId="0" xfId="0" applyFont="1" applyFill="1" applyAlignment="1">
      <alignment vertical="center"/>
    </xf>
    <xf numFmtId="4" fontId="35" fillId="22" borderId="0" xfId="1" applyNumberFormat="1" applyFont="1" applyFill="1" applyBorder="1" applyAlignment="1">
      <alignment vertical="center"/>
    </xf>
    <xf numFmtId="181" fontId="35" fillId="22" borderId="4" xfId="1" applyNumberFormat="1" applyFont="1" applyFill="1" applyBorder="1" applyAlignment="1">
      <alignment vertical="center"/>
    </xf>
    <xf numFmtId="0" fontId="35" fillId="22" borderId="1" xfId="0" applyFont="1" applyFill="1" applyBorder="1" applyAlignment="1">
      <alignment vertical="center"/>
    </xf>
    <xf numFmtId="200" fontId="35" fillId="22" borderId="0" xfId="0" applyNumberFormat="1" applyFont="1" applyFill="1" applyAlignment="1">
      <alignment vertical="center"/>
    </xf>
    <xf numFmtId="176" fontId="35" fillId="22" borderId="0" xfId="0" applyNumberFormat="1" applyFont="1" applyFill="1" applyAlignment="1">
      <alignment vertical="center"/>
    </xf>
    <xf numFmtId="185" fontId="35" fillId="22" borderId="0" xfId="2" applyNumberFormat="1" applyFont="1" applyFill="1" applyBorder="1" applyAlignment="1">
      <alignment vertical="center"/>
    </xf>
    <xf numFmtId="0" fontId="35" fillId="22" borderId="8" xfId="0" applyFont="1" applyFill="1" applyBorder="1" applyAlignment="1">
      <alignment vertical="center"/>
    </xf>
    <xf numFmtId="185" fontId="35" fillId="22" borderId="9" xfId="2" applyNumberFormat="1" applyFont="1" applyFill="1" applyBorder="1" applyAlignment="1">
      <alignment vertical="center"/>
    </xf>
    <xf numFmtId="10" fontId="35" fillId="5" borderId="0" xfId="2" applyNumberFormat="1" applyFont="1" applyFill="1" applyBorder="1" applyAlignment="1">
      <alignment horizontal="center" vertical="center"/>
    </xf>
    <xf numFmtId="10" fontId="35" fillId="0" borderId="0" xfId="2" applyNumberFormat="1" applyFont="1" applyFill="1" applyBorder="1" applyAlignment="1">
      <alignment horizontal="center" vertical="center"/>
    </xf>
    <xf numFmtId="0" fontId="30" fillId="22" borderId="1" xfId="0" applyFont="1" applyFill="1" applyBorder="1" applyAlignment="1">
      <alignment vertical="center"/>
    </xf>
    <xf numFmtId="177" fontId="35" fillId="22" borderId="0" xfId="0" applyNumberFormat="1" applyFont="1" applyFill="1" applyAlignment="1">
      <alignment vertical="center"/>
    </xf>
    <xf numFmtId="49" fontId="19" fillId="23" borderId="0" xfId="0" applyNumberFormat="1" applyFont="1" applyFill="1" applyAlignment="1">
      <alignment vertical="center"/>
    </xf>
    <xf numFmtId="0" fontId="19" fillId="23" borderId="0" xfId="0" applyFont="1" applyFill="1" applyAlignment="1">
      <alignment vertical="center"/>
    </xf>
    <xf numFmtId="0" fontId="19" fillId="23" borderId="0" xfId="0" applyFont="1" applyFill="1" applyAlignment="1">
      <alignment horizontal="left" vertical="center"/>
    </xf>
    <xf numFmtId="49" fontId="19" fillId="23" borderId="0" xfId="0" applyNumberFormat="1" applyFont="1" applyFill="1" applyAlignment="1">
      <alignment horizontal="right" vertical="center"/>
    </xf>
    <xf numFmtId="14" fontId="19" fillId="23" borderId="0" xfId="0" applyNumberFormat="1" applyFont="1" applyFill="1" applyAlignment="1">
      <alignment vertical="center"/>
    </xf>
    <xf numFmtId="185" fontId="19" fillId="23" borderId="0" xfId="0" applyNumberFormat="1" applyFont="1" applyFill="1" applyAlignment="1">
      <alignment vertical="center"/>
    </xf>
    <xf numFmtId="183" fontId="19" fillId="23" borderId="0" xfId="0" applyNumberFormat="1" applyFont="1" applyFill="1" applyAlignment="1">
      <alignment vertical="center"/>
    </xf>
    <xf numFmtId="176" fontId="19" fillId="23" borderId="0" xfId="1" applyNumberFormat="1" applyFont="1" applyFill="1" applyBorder="1" applyAlignment="1">
      <alignment vertical="center"/>
    </xf>
    <xf numFmtId="10" fontId="19" fillId="23" borderId="0" xfId="2" applyNumberFormat="1" applyFont="1" applyFill="1" applyAlignment="1">
      <alignment vertical="center"/>
    </xf>
    <xf numFmtId="4" fontId="19" fillId="23" borderId="0" xfId="1" applyNumberFormat="1" applyFont="1" applyFill="1" applyBorder="1" applyAlignment="1">
      <alignment vertical="center"/>
    </xf>
    <xf numFmtId="194" fontId="19" fillId="23" borderId="0" xfId="1" applyNumberFormat="1" applyFont="1" applyFill="1" applyBorder="1" applyAlignment="1">
      <alignment vertical="center"/>
    </xf>
    <xf numFmtId="181" fontId="19" fillId="23" borderId="4" xfId="1" applyNumberFormat="1" applyFont="1" applyFill="1" applyBorder="1" applyAlignment="1">
      <alignment vertical="center"/>
    </xf>
    <xf numFmtId="180" fontId="19" fillId="5" borderId="0" xfId="1" applyNumberFormat="1" applyFont="1" applyFill="1" applyBorder="1" applyAlignment="1">
      <alignment vertical="center"/>
    </xf>
    <xf numFmtId="185" fontId="19" fillId="23" borderId="0" xfId="2" applyNumberFormat="1" applyFont="1" applyFill="1" applyBorder="1" applyAlignment="1">
      <alignment vertical="center"/>
    </xf>
    <xf numFmtId="49" fontId="24" fillId="25" borderId="0" xfId="0" applyNumberFormat="1" applyFont="1" applyFill="1" applyAlignment="1">
      <alignment vertical="center"/>
    </xf>
    <xf numFmtId="0" fontId="24" fillId="25" borderId="0" xfId="0" applyFont="1" applyFill="1" applyAlignment="1">
      <alignment vertical="center"/>
    </xf>
    <xf numFmtId="0" fontId="24" fillId="25" borderId="0" xfId="0" applyFont="1" applyFill="1" applyAlignment="1">
      <alignment horizontal="left" vertical="center"/>
    </xf>
    <xf numFmtId="49" fontId="24" fillId="25" borderId="0" xfId="0" applyNumberFormat="1" applyFont="1" applyFill="1" applyAlignment="1">
      <alignment horizontal="right" vertical="center"/>
    </xf>
    <xf numFmtId="14" fontId="24" fillId="25" borderId="0" xfId="0" applyNumberFormat="1" applyFont="1" applyFill="1" applyAlignment="1">
      <alignment vertical="center"/>
    </xf>
    <xf numFmtId="0" fontId="26" fillId="25" borderId="0" xfId="0" applyFont="1" applyFill="1" applyAlignment="1">
      <alignment vertical="center"/>
    </xf>
    <xf numFmtId="185" fontId="26" fillId="25" borderId="0" xfId="0" applyNumberFormat="1" applyFont="1" applyFill="1" applyAlignment="1">
      <alignment vertical="center"/>
    </xf>
    <xf numFmtId="183" fontId="26" fillId="25" borderId="0" xfId="0" applyNumberFormat="1" applyFont="1" applyFill="1" applyAlignment="1">
      <alignment vertical="center"/>
    </xf>
    <xf numFmtId="176" fontId="24" fillId="25" borderId="0" xfId="1" applyNumberFormat="1" applyFont="1" applyFill="1" applyBorder="1" applyAlignment="1">
      <alignment vertical="center"/>
    </xf>
    <xf numFmtId="10" fontId="24" fillId="25" borderId="0" xfId="2" applyNumberFormat="1" applyFont="1" applyFill="1" applyAlignment="1">
      <alignment vertical="center"/>
    </xf>
    <xf numFmtId="4" fontId="24" fillId="25" borderId="0" xfId="1" applyNumberFormat="1" applyFont="1" applyFill="1" applyBorder="1" applyAlignment="1">
      <alignment vertical="center"/>
    </xf>
    <xf numFmtId="181" fontId="24" fillId="25" borderId="4" xfId="1" applyNumberFormat="1" applyFont="1" applyFill="1" applyBorder="1" applyAlignment="1">
      <alignment vertical="center"/>
    </xf>
    <xf numFmtId="0" fontId="24" fillId="25" borderId="1" xfId="0" applyFont="1" applyFill="1" applyBorder="1" applyAlignment="1">
      <alignment vertical="center"/>
    </xf>
    <xf numFmtId="200" fontId="24" fillId="25" borderId="0" xfId="0" applyNumberFormat="1" applyFont="1" applyFill="1" applyAlignment="1">
      <alignment vertical="center"/>
    </xf>
    <xf numFmtId="185" fontId="24" fillId="25" borderId="0" xfId="2" applyNumberFormat="1" applyFont="1" applyFill="1" applyBorder="1" applyAlignment="1">
      <alignment vertical="center"/>
    </xf>
    <xf numFmtId="0" fontId="24" fillId="25" borderId="8" xfId="0" applyFont="1" applyFill="1" applyBorder="1" applyAlignment="1">
      <alignment vertical="center"/>
    </xf>
    <xf numFmtId="185" fontId="24" fillId="25" borderId="9" xfId="2" applyNumberFormat="1" applyFont="1" applyFill="1" applyBorder="1" applyAlignment="1">
      <alignment vertical="center"/>
    </xf>
    <xf numFmtId="0" fontId="26" fillId="25" borderId="8" xfId="0" applyFont="1" applyFill="1" applyBorder="1" applyAlignment="1">
      <alignment vertical="center"/>
    </xf>
    <xf numFmtId="0" fontId="22" fillId="25" borderId="1" xfId="0" applyFont="1" applyFill="1" applyBorder="1" applyAlignment="1">
      <alignment vertical="center"/>
    </xf>
    <xf numFmtId="165" fontId="24" fillId="25" borderId="0" xfId="1" applyFont="1" applyFill="1" applyAlignment="1">
      <alignment vertical="center"/>
    </xf>
    <xf numFmtId="176" fontId="24" fillId="25" borderId="0" xfId="0" applyNumberFormat="1" applyFont="1" applyFill="1" applyAlignment="1">
      <alignment vertical="center"/>
    </xf>
    <xf numFmtId="177" fontId="24" fillId="25" borderId="0" xfId="0" applyNumberFormat="1" applyFont="1" applyFill="1" applyAlignment="1">
      <alignment vertical="center"/>
    </xf>
    <xf numFmtId="49" fontId="35" fillId="26" borderId="0" xfId="0" applyNumberFormat="1" applyFont="1" applyFill="1" applyAlignment="1">
      <alignment vertical="center"/>
    </xf>
    <xf numFmtId="0" fontId="35" fillId="26" borderId="0" xfId="0" applyFont="1" applyFill="1" applyAlignment="1">
      <alignment vertical="center"/>
    </xf>
    <xf numFmtId="0" fontId="35" fillId="26" borderId="0" xfId="0" applyFont="1" applyFill="1" applyAlignment="1">
      <alignment horizontal="left" vertical="center"/>
    </xf>
    <xf numFmtId="49" fontId="35" fillId="26" borderId="0" xfId="0" applyNumberFormat="1" applyFont="1" applyFill="1" applyAlignment="1">
      <alignment horizontal="right" vertical="center"/>
    </xf>
    <xf numFmtId="14" fontId="35" fillId="26" borderId="0" xfId="0" applyNumberFormat="1" applyFont="1" applyFill="1" applyAlignment="1">
      <alignment vertical="center"/>
    </xf>
    <xf numFmtId="185" fontId="35" fillId="26" borderId="0" xfId="0" applyNumberFormat="1" applyFont="1" applyFill="1" applyAlignment="1">
      <alignment vertical="center"/>
    </xf>
    <xf numFmtId="183" fontId="35" fillId="26" borderId="0" xfId="0" applyNumberFormat="1" applyFont="1" applyFill="1" applyAlignment="1">
      <alignment vertical="center"/>
    </xf>
    <xf numFmtId="176" fontId="35" fillId="26" borderId="0" xfId="1" applyNumberFormat="1" applyFont="1" applyFill="1" applyBorder="1" applyAlignment="1">
      <alignment vertical="center"/>
    </xf>
    <xf numFmtId="10" fontId="35" fillId="26" borderId="0" xfId="2" applyNumberFormat="1" applyFont="1" applyFill="1" applyAlignment="1">
      <alignment vertical="center"/>
    </xf>
    <xf numFmtId="0" fontId="43" fillId="26" borderId="0" xfId="0" applyFont="1" applyFill="1" applyAlignment="1">
      <alignment vertical="center"/>
    </xf>
    <xf numFmtId="4" fontId="35" fillId="26" borderId="0" xfId="1" applyNumberFormat="1" applyFont="1" applyFill="1" applyBorder="1" applyAlignment="1">
      <alignment vertical="center"/>
    </xf>
    <xf numFmtId="181" fontId="35" fillId="26" borderId="4" xfId="1" applyNumberFormat="1" applyFont="1" applyFill="1" applyBorder="1" applyAlignment="1">
      <alignment vertical="center"/>
    </xf>
    <xf numFmtId="0" fontId="35" fillId="26" borderId="1" xfId="0" applyFont="1" applyFill="1" applyBorder="1" applyAlignment="1">
      <alignment vertical="center"/>
    </xf>
    <xf numFmtId="200" fontId="35" fillId="26" borderId="0" xfId="0" applyNumberFormat="1" applyFont="1" applyFill="1" applyAlignment="1">
      <alignment vertical="center"/>
    </xf>
    <xf numFmtId="176" fontId="35" fillId="26" borderId="0" xfId="0" applyNumberFormat="1" applyFont="1" applyFill="1" applyAlignment="1">
      <alignment vertical="center"/>
    </xf>
    <xf numFmtId="185" fontId="35" fillId="26" borderId="0" xfId="2" applyNumberFormat="1" applyFont="1" applyFill="1" applyBorder="1" applyAlignment="1">
      <alignment vertical="center"/>
    </xf>
    <xf numFmtId="0" fontId="35" fillId="26" borderId="8" xfId="0" applyFont="1" applyFill="1" applyBorder="1" applyAlignment="1">
      <alignment vertical="center"/>
    </xf>
    <xf numFmtId="185" fontId="35" fillId="26" borderId="9" xfId="2" applyNumberFormat="1" applyFont="1" applyFill="1" applyBorder="1" applyAlignment="1">
      <alignment vertical="center"/>
    </xf>
    <xf numFmtId="0" fontId="30" fillId="26" borderId="1" xfId="0" applyFont="1" applyFill="1" applyBorder="1" applyAlignment="1">
      <alignment vertical="center"/>
    </xf>
    <xf numFmtId="165" fontId="35" fillId="26" borderId="0" xfId="1" applyFont="1" applyFill="1" applyAlignment="1">
      <alignment vertical="center"/>
    </xf>
    <xf numFmtId="177" fontId="35" fillId="26" borderId="0" xfId="0" applyNumberFormat="1" applyFont="1" applyFill="1" applyAlignment="1">
      <alignment vertical="center"/>
    </xf>
    <xf numFmtId="49" fontId="19" fillId="27" borderId="0" xfId="0" applyNumberFormat="1" applyFont="1" applyFill="1" applyAlignment="1">
      <alignment vertical="center"/>
    </xf>
    <xf numFmtId="0" fontId="19" fillId="27" borderId="0" xfId="0" applyFont="1" applyFill="1" applyAlignment="1">
      <alignment vertical="center"/>
    </xf>
    <xf numFmtId="0" fontId="19" fillId="27" borderId="0" xfId="0" applyFont="1" applyFill="1" applyAlignment="1">
      <alignment horizontal="left" vertical="center"/>
    </xf>
    <xf numFmtId="49" fontId="19" fillId="27" borderId="0" xfId="0" applyNumberFormat="1" applyFont="1" applyFill="1" applyAlignment="1">
      <alignment horizontal="right" vertical="center"/>
    </xf>
    <xf numFmtId="14" fontId="19" fillId="27" borderId="0" xfId="0" applyNumberFormat="1" applyFont="1" applyFill="1" applyAlignment="1">
      <alignment vertical="center"/>
    </xf>
    <xf numFmtId="185" fontId="19" fillId="27" borderId="0" xfId="0" applyNumberFormat="1" applyFont="1" applyFill="1" applyAlignment="1">
      <alignment vertical="center"/>
    </xf>
    <xf numFmtId="183" fontId="19" fillId="27" borderId="0" xfId="0" applyNumberFormat="1" applyFont="1" applyFill="1" applyAlignment="1">
      <alignment vertical="center"/>
    </xf>
    <xf numFmtId="176" fontId="19" fillId="27" borderId="0" xfId="1" applyNumberFormat="1" applyFont="1" applyFill="1" applyBorder="1" applyAlignment="1">
      <alignment vertical="center"/>
    </xf>
    <xf numFmtId="10" fontId="19" fillId="27" borderId="0" xfId="2" applyNumberFormat="1" applyFont="1" applyFill="1" applyAlignment="1">
      <alignment vertical="center"/>
    </xf>
    <xf numFmtId="4" fontId="19" fillId="27" borderId="0" xfId="1" applyNumberFormat="1" applyFont="1" applyFill="1" applyBorder="1" applyAlignment="1">
      <alignment vertical="center"/>
    </xf>
    <xf numFmtId="194" fontId="19" fillId="27" borderId="0" xfId="1" applyNumberFormat="1" applyFont="1" applyFill="1" applyBorder="1" applyAlignment="1">
      <alignment vertical="center"/>
    </xf>
    <xf numFmtId="181" fontId="19" fillId="27" borderId="4" xfId="1" applyNumberFormat="1" applyFont="1" applyFill="1" applyBorder="1" applyAlignment="1">
      <alignment vertical="center"/>
    </xf>
    <xf numFmtId="185" fontId="19" fillId="27" borderId="0" xfId="2" applyNumberFormat="1" applyFont="1" applyFill="1" applyBorder="1" applyAlignment="1">
      <alignment vertical="center"/>
    </xf>
    <xf numFmtId="0" fontId="35" fillId="27" borderId="0" xfId="0" applyFont="1" applyFill="1" applyAlignment="1">
      <alignment vertical="center"/>
    </xf>
    <xf numFmtId="43" fontId="27" fillId="5" borderId="1" xfId="1" applyNumberFormat="1" applyFont="1" applyFill="1" applyBorder="1" applyAlignment="1">
      <alignment vertical="center"/>
    </xf>
    <xf numFmtId="14" fontId="35" fillId="27" borderId="0" xfId="0" applyNumberFormat="1" applyFont="1" applyFill="1" applyAlignment="1">
      <alignment vertical="center"/>
    </xf>
    <xf numFmtId="49" fontId="24" fillId="35" borderId="0" xfId="0" applyNumberFormat="1" applyFont="1" applyFill="1" applyAlignment="1">
      <alignment vertical="center"/>
    </xf>
    <xf numFmtId="0" fontId="24" fillId="35" borderId="0" xfId="0" applyFont="1" applyFill="1" applyAlignment="1">
      <alignment vertical="center"/>
    </xf>
    <xf numFmtId="0" fontId="24" fillId="35" borderId="0" xfId="0" applyFont="1" applyFill="1" applyAlignment="1">
      <alignment horizontal="left" vertical="center"/>
    </xf>
    <xf numFmtId="49" fontId="24" fillId="35" borderId="0" xfId="0" applyNumberFormat="1" applyFont="1" applyFill="1" applyAlignment="1">
      <alignment horizontal="right" vertical="center"/>
    </xf>
    <xf numFmtId="14" fontId="24" fillId="35" borderId="0" xfId="0" applyNumberFormat="1" applyFont="1" applyFill="1" applyAlignment="1">
      <alignment vertical="center"/>
    </xf>
    <xf numFmtId="0" fontId="26" fillId="35" borderId="0" xfId="0" applyFont="1" applyFill="1" applyAlignment="1">
      <alignment vertical="center"/>
    </xf>
    <xf numFmtId="185" fontId="26" fillId="35" borderId="0" xfId="0" applyNumberFormat="1" applyFont="1" applyFill="1" applyAlignment="1">
      <alignment vertical="center"/>
    </xf>
    <xf numFmtId="183" fontId="26" fillId="35" borderId="0" xfId="0" applyNumberFormat="1" applyFont="1" applyFill="1" applyAlignment="1">
      <alignment vertical="center"/>
    </xf>
    <xf numFmtId="176" fontId="24" fillId="35" borderId="0" xfId="1" applyNumberFormat="1" applyFont="1" applyFill="1" applyBorder="1" applyAlignment="1">
      <alignment vertical="center"/>
    </xf>
    <xf numFmtId="10" fontId="24" fillId="35" borderId="0" xfId="2" applyNumberFormat="1" applyFont="1" applyFill="1" applyAlignment="1">
      <alignment vertical="center"/>
    </xf>
    <xf numFmtId="4" fontId="24" fillId="35" borderId="0" xfId="1" applyNumberFormat="1" applyFont="1" applyFill="1" applyBorder="1" applyAlignment="1">
      <alignment vertical="center"/>
    </xf>
    <xf numFmtId="181" fontId="24" fillId="35" borderId="4" xfId="1" applyNumberFormat="1" applyFont="1" applyFill="1" applyBorder="1" applyAlignment="1">
      <alignment vertical="center"/>
    </xf>
    <xf numFmtId="0" fontId="24" fillId="35" borderId="1" xfId="0" applyFont="1" applyFill="1" applyBorder="1" applyAlignment="1">
      <alignment vertical="center"/>
    </xf>
    <xf numFmtId="200" fontId="24" fillId="35" borderId="0" xfId="0" applyNumberFormat="1" applyFont="1" applyFill="1" applyAlignment="1">
      <alignment vertical="center"/>
    </xf>
    <xf numFmtId="185" fontId="24" fillId="35" borderId="0" xfId="2" applyNumberFormat="1" applyFont="1" applyFill="1" applyBorder="1" applyAlignment="1">
      <alignment vertical="center"/>
    </xf>
    <xf numFmtId="0" fontId="24" fillId="35" borderId="8" xfId="0" applyFont="1" applyFill="1" applyBorder="1" applyAlignment="1">
      <alignment vertical="center"/>
    </xf>
    <xf numFmtId="185" fontId="24" fillId="35" borderId="9" xfId="2" applyNumberFormat="1" applyFont="1" applyFill="1" applyBorder="1" applyAlignment="1">
      <alignment vertical="center"/>
    </xf>
    <xf numFmtId="0" fontId="26" fillId="35" borderId="8" xfId="0" applyFont="1" applyFill="1" applyBorder="1" applyAlignment="1">
      <alignment vertical="center"/>
    </xf>
    <xf numFmtId="10" fontId="24" fillId="35" borderId="0" xfId="2" applyNumberFormat="1" applyFont="1" applyFill="1" applyBorder="1" applyAlignment="1">
      <alignment horizontal="center" vertical="center"/>
    </xf>
    <xf numFmtId="0" fontId="22" fillId="35" borderId="1" xfId="0" applyFont="1" applyFill="1" applyBorder="1" applyAlignment="1">
      <alignment vertical="center"/>
    </xf>
    <xf numFmtId="165" fontId="24" fillId="35" borderId="0" xfId="1" applyFont="1" applyFill="1" applyAlignment="1">
      <alignment vertical="center"/>
    </xf>
    <xf numFmtId="176" fontId="24" fillId="35" borderId="0" xfId="0" applyNumberFormat="1" applyFont="1" applyFill="1" applyAlignment="1">
      <alignment vertical="center"/>
    </xf>
    <xf numFmtId="177" fontId="24" fillId="35" borderId="0" xfId="0" applyNumberFormat="1" applyFont="1" applyFill="1" applyAlignment="1">
      <alignment vertical="center"/>
    </xf>
    <xf numFmtId="49" fontId="35" fillId="36" borderId="0" xfId="0" applyNumberFormat="1" applyFont="1" applyFill="1" applyAlignment="1">
      <alignment vertical="center"/>
    </xf>
    <xf numFmtId="0" fontId="35" fillId="36" borderId="0" xfId="0" applyFont="1" applyFill="1" applyAlignment="1">
      <alignment vertical="center"/>
    </xf>
    <xf numFmtId="0" fontId="35" fillId="36" borderId="0" xfId="0" applyFont="1" applyFill="1" applyAlignment="1">
      <alignment horizontal="left" vertical="center"/>
    </xf>
    <xf numFmtId="49" fontId="35" fillId="36" borderId="0" xfId="0" applyNumberFormat="1" applyFont="1" applyFill="1" applyAlignment="1">
      <alignment horizontal="right" vertical="center"/>
    </xf>
    <xf numFmtId="14" fontId="35" fillId="36" borderId="0" xfId="0" applyNumberFormat="1" applyFont="1" applyFill="1" applyAlignment="1">
      <alignment vertical="center"/>
    </xf>
    <xf numFmtId="185" fontId="35" fillId="36" borderId="0" xfId="0" applyNumberFormat="1" applyFont="1" applyFill="1" applyAlignment="1">
      <alignment vertical="center"/>
    </xf>
    <xf numFmtId="183" fontId="35" fillId="36" borderId="0" xfId="0" applyNumberFormat="1" applyFont="1" applyFill="1" applyAlignment="1">
      <alignment vertical="center"/>
    </xf>
    <xf numFmtId="176" fontId="35" fillId="36" borderId="0" xfId="1" applyNumberFormat="1" applyFont="1" applyFill="1" applyBorder="1" applyAlignment="1">
      <alignment vertical="center"/>
    </xf>
    <xf numFmtId="10" fontId="35" fillId="36" borderId="0" xfId="2" applyNumberFormat="1" applyFont="1" applyFill="1" applyAlignment="1">
      <alignment vertical="center"/>
    </xf>
    <xf numFmtId="4" fontId="35" fillId="36" borderId="0" xfId="1" applyNumberFormat="1" applyFont="1" applyFill="1" applyBorder="1" applyAlignment="1">
      <alignment vertical="center"/>
    </xf>
    <xf numFmtId="181" fontId="35" fillId="36" borderId="4" xfId="1" applyNumberFormat="1" applyFont="1" applyFill="1" applyBorder="1" applyAlignment="1">
      <alignment vertical="center"/>
    </xf>
    <xf numFmtId="0" fontId="35" fillId="36" borderId="1" xfId="0" applyFont="1" applyFill="1" applyBorder="1" applyAlignment="1">
      <alignment vertical="center"/>
    </xf>
    <xf numFmtId="200" fontId="35" fillId="36" borderId="0" xfId="0" applyNumberFormat="1" applyFont="1" applyFill="1" applyAlignment="1">
      <alignment vertical="center"/>
    </xf>
    <xf numFmtId="176" fontId="35" fillId="36" borderId="0" xfId="0" applyNumberFormat="1" applyFont="1" applyFill="1" applyAlignment="1">
      <alignment vertical="center"/>
    </xf>
    <xf numFmtId="185" fontId="35" fillId="36" borderId="0" xfId="2" applyNumberFormat="1" applyFont="1" applyFill="1" applyBorder="1" applyAlignment="1">
      <alignment vertical="center"/>
    </xf>
    <xf numFmtId="0" fontId="35" fillId="36" borderId="8" xfId="0" applyFont="1" applyFill="1" applyBorder="1" applyAlignment="1">
      <alignment vertical="center"/>
    </xf>
    <xf numFmtId="185" fontId="35" fillId="36" borderId="9" xfId="2" applyNumberFormat="1" applyFont="1" applyFill="1" applyBorder="1" applyAlignment="1">
      <alignment vertical="center"/>
    </xf>
    <xf numFmtId="10" fontId="35" fillId="36" borderId="0" xfId="2" applyNumberFormat="1" applyFont="1" applyFill="1" applyBorder="1" applyAlignment="1">
      <alignment horizontal="center" vertical="center"/>
    </xf>
    <xf numFmtId="0" fontId="30" fillId="36" borderId="1" xfId="0" applyFont="1" applyFill="1" applyBorder="1" applyAlignment="1">
      <alignment vertical="center"/>
    </xf>
    <xf numFmtId="165" fontId="35" fillId="36" borderId="0" xfId="1" applyFont="1" applyFill="1" applyAlignment="1">
      <alignment vertical="center"/>
    </xf>
    <xf numFmtId="177" fontId="35" fillId="36" borderId="0" xfId="0" applyNumberFormat="1" applyFont="1" applyFill="1" applyAlignment="1">
      <alignment vertical="center"/>
    </xf>
    <xf numFmtId="49" fontId="19" fillId="6" borderId="0" xfId="0" applyNumberFormat="1" applyFont="1" applyFill="1" applyAlignment="1">
      <alignment vertical="center"/>
    </xf>
    <xf numFmtId="0" fontId="19" fillId="6" borderId="0" xfId="0" applyFont="1" applyFill="1" applyAlignment="1">
      <alignment vertical="center"/>
    </xf>
    <xf numFmtId="0" fontId="19" fillId="6" borderId="0" xfId="0" applyFont="1" applyFill="1" applyAlignment="1">
      <alignment horizontal="left" vertical="center"/>
    </xf>
    <xf numFmtId="49" fontId="19" fillId="6" borderId="0" xfId="0" applyNumberFormat="1" applyFont="1" applyFill="1" applyAlignment="1">
      <alignment horizontal="right" vertical="center"/>
    </xf>
    <xf numFmtId="14" fontId="19" fillId="6" borderId="0" xfId="0" applyNumberFormat="1" applyFont="1" applyFill="1" applyAlignment="1">
      <alignment vertical="center"/>
    </xf>
    <xf numFmtId="185" fontId="19" fillId="6" borderId="0" xfId="0" applyNumberFormat="1" applyFont="1" applyFill="1" applyAlignment="1">
      <alignment vertical="center"/>
    </xf>
    <xf numFmtId="183" fontId="19" fillId="6" borderId="0" xfId="0" applyNumberFormat="1" applyFont="1" applyFill="1" applyAlignment="1">
      <alignment vertical="center"/>
    </xf>
    <xf numFmtId="176" fontId="19" fillId="6" borderId="0" xfId="1" applyNumberFormat="1" applyFont="1" applyFill="1" applyBorder="1" applyAlignment="1">
      <alignment vertical="center"/>
    </xf>
    <xf numFmtId="10" fontId="19" fillId="6" borderId="0" xfId="2" applyNumberFormat="1" applyFont="1" applyFill="1" applyAlignment="1">
      <alignment vertical="center"/>
    </xf>
    <xf numFmtId="4" fontId="19" fillId="6" borderId="0" xfId="1" applyNumberFormat="1" applyFont="1" applyFill="1" applyBorder="1" applyAlignment="1">
      <alignment vertical="center"/>
    </xf>
    <xf numFmtId="194" fontId="19" fillId="6" borderId="0" xfId="1" applyNumberFormat="1" applyFont="1" applyFill="1" applyBorder="1" applyAlignment="1">
      <alignment vertical="center"/>
    </xf>
    <xf numFmtId="181" fontId="19" fillId="6" borderId="4" xfId="1" applyNumberFormat="1" applyFont="1" applyFill="1" applyBorder="1" applyAlignment="1">
      <alignment vertical="center"/>
    </xf>
    <xf numFmtId="214" fontId="27" fillId="5" borderId="1" xfId="1" applyNumberFormat="1" applyFont="1" applyFill="1" applyBorder="1" applyAlignment="1">
      <alignment vertical="center"/>
    </xf>
    <xf numFmtId="214" fontId="27" fillId="0" borderId="1" xfId="0" applyNumberFormat="1" applyFont="1" applyBorder="1" applyAlignment="1">
      <alignment vertical="center"/>
    </xf>
    <xf numFmtId="214" fontId="30" fillId="36" borderId="1" xfId="0" applyNumberFormat="1" applyFont="1" applyFill="1" applyBorder="1" applyAlignment="1">
      <alignment vertical="center"/>
    </xf>
    <xf numFmtId="179" fontId="19" fillId="27" borderId="0" xfId="1" applyNumberFormat="1" applyFont="1" applyFill="1" applyBorder="1" applyAlignment="1">
      <alignment vertical="center"/>
    </xf>
    <xf numFmtId="49" fontId="19" fillId="0" borderId="0" xfId="0" applyNumberFormat="1" applyFont="1" applyAlignment="1">
      <alignment horizontal="right" vertical="center"/>
    </xf>
    <xf numFmtId="14" fontId="19" fillId="0" borderId="0" xfId="0" applyNumberFormat="1" applyFont="1" applyAlignment="1">
      <alignment vertical="center"/>
    </xf>
    <xf numFmtId="0" fontId="19" fillId="0" borderId="0" xfId="0" applyFont="1" applyAlignment="1">
      <alignment horizontal="center" vertical="center"/>
    </xf>
    <xf numFmtId="185" fontId="19" fillId="0" borderId="0" xfId="0" applyNumberFormat="1" applyFont="1" applyAlignment="1">
      <alignment vertical="center"/>
    </xf>
    <xf numFmtId="178" fontId="19" fillId="0" borderId="0" xfId="0" applyNumberFormat="1" applyFont="1" applyAlignment="1">
      <alignment vertical="center"/>
    </xf>
    <xf numFmtId="10" fontId="19" fillId="0" borderId="0" xfId="0" applyNumberFormat="1" applyFont="1" applyAlignment="1">
      <alignment vertical="center"/>
    </xf>
    <xf numFmtId="10" fontId="19" fillId="0" borderId="0" xfId="2" applyNumberFormat="1" applyFont="1" applyAlignment="1">
      <alignment vertical="center"/>
    </xf>
    <xf numFmtId="3" fontId="19" fillId="0" borderId="0" xfId="0" applyNumberFormat="1" applyFont="1" applyAlignment="1">
      <alignment vertical="center"/>
    </xf>
    <xf numFmtId="181" fontId="19" fillId="0" borderId="0" xfId="0" applyNumberFormat="1" applyFont="1" applyAlignment="1">
      <alignment vertical="center"/>
    </xf>
    <xf numFmtId="176" fontId="19" fillId="0" borderId="0" xfId="1" applyNumberFormat="1" applyFont="1" applyAlignment="1">
      <alignment vertical="center"/>
    </xf>
    <xf numFmtId="200" fontId="19" fillId="0" borderId="0" xfId="1" applyNumberFormat="1" applyFont="1" applyAlignment="1">
      <alignment vertical="center"/>
    </xf>
    <xf numFmtId="185" fontId="19" fillId="0" borderId="0" xfId="2" applyNumberFormat="1" applyFont="1" applyAlignment="1">
      <alignment vertical="center"/>
    </xf>
    <xf numFmtId="176" fontId="27" fillId="0" borderId="0" xfId="1" applyNumberFormat="1" applyFont="1" applyAlignment="1">
      <alignment vertical="center"/>
    </xf>
    <xf numFmtId="177" fontId="19" fillId="0" borderId="0" xfId="1" applyNumberFormat="1" applyFont="1" applyAlignment="1">
      <alignment vertical="center"/>
    </xf>
    <xf numFmtId="49" fontId="26" fillId="28" borderId="0" xfId="0" applyNumberFormat="1" applyFont="1" applyFill="1" applyAlignment="1">
      <alignment vertical="center"/>
    </xf>
    <xf numFmtId="49" fontId="26" fillId="28" borderId="2" xfId="0" applyNumberFormat="1" applyFont="1" applyFill="1" applyBorder="1" applyAlignment="1">
      <alignment vertical="center"/>
    </xf>
    <xf numFmtId="0" fontId="26" fillId="28" borderId="2" xfId="0" applyFont="1" applyFill="1" applyBorder="1" applyAlignment="1">
      <alignment vertical="center"/>
    </xf>
    <xf numFmtId="0" fontId="26" fillId="28" borderId="2" xfId="0" applyFont="1" applyFill="1" applyBorder="1" applyAlignment="1">
      <alignment horizontal="left" vertical="center"/>
    </xf>
    <xf numFmtId="49" fontId="26" fillId="28" borderId="2" xfId="0" applyNumberFormat="1" applyFont="1" applyFill="1" applyBorder="1" applyAlignment="1">
      <alignment horizontal="right" vertical="center"/>
    </xf>
    <xf numFmtId="14" fontId="26" fillId="28" borderId="2" xfId="0" applyNumberFormat="1" applyFont="1" applyFill="1" applyBorder="1" applyAlignment="1">
      <alignment vertical="center"/>
    </xf>
    <xf numFmtId="0" fontId="26" fillId="28" borderId="2" xfId="0" applyFont="1" applyFill="1" applyBorder="1" applyAlignment="1">
      <alignment horizontal="center" vertical="center"/>
    </xf>
    <xf numFmtId="185" fontId="26" fillId="28" borderId="2" xfId="0" applyNumberFormat="1" applyFont="1" applyFill="1" applyBorder="1" applyAlignment="1">
      <alignment vertical="center"/>
    </xf>
    <xf numFmtId="3" fontId="26" fillId="28" borderId="2" xfId="0" applyNumberFormat="1" applyFont="1" applyFill="1" applyBorder="1" applyAlignment="1">
      <alignment vertical="center"/>
    </xf>
    <xf numFmtId="10" fontId="26" fillId="28" borderId="2" xfId="2" applyNumberFormat="1" applyFont="1" applyFill="1" applyBorder="1" applyAlignment="1">
      <alignment vertical="center"/>
    </xf>
    <xf numFmtId="181" fontId="26" fillId="28" borderId="3" xfId="0" applyNumberFormat="1" applyFont="1" applyFill="1" applyBorder="1" applyAlignment="1">
      <alignment vertical="center"/>
    </xf>
    <xf numFmtId="10" fontId="26" fillId="28" borderId="10" xfId="0" applyNumberFormat="1" applyFont="1" applyFill="1" applyBorder="1" applyAlignment="1">
      <alignment horizontal="center" vertical="center"/>
    </xf>
    <xf numFmtId="10" fontId="26" fillId="28" borderId="2" xfId="0" applyNumberFormat="1" applyFont="1" applyFill="1" applyBorder="1" applyAlignment="1">
      <alignment horizontal="center" vertical="center"/>
    </xf>
    <xf numFmtId="0" fontId="26" fillId="28" borderId="2" xfId="0" applyFont="1" applyFill="1" applyBorder="1" applyAlignment="1">
      <alignment horizontal="right" vertical="center"/>
    </xf>
    <xf numFmtId="185" fontId="26" fillId="28" borderId="2" xfId="0" applyNumberFormat="1" applyFont="1" applyFill="1" applyBorder="1" applyAlignment="1">
      <alignment horizontal="right" vertical="center"/>
    </xf>
    <xf numFmtId="10" fontId="26" fillId="28" borderId="11" xfId="0" applyNumberFormat="1" applyFont="1" applyFill="1" applyBorder="1" applyAlignment="1">
      <alignment horizontal="right" vertical="center"/>
    </xf>
    <xf numFmtId="185" fontId="26" fillId="28" borderId="12" xfId="0" applyNumberFormat="1" applyFont="1" applyFill="1" applyBorder="1" applyAlignment="1">
      <alignment horizontal="right" vertical="center"/>
    </xf>
    <xf numFmtId="10" fontId="26" fillId="28" borderId="2" xfId="0" applyNumberFormat="1" applyFont="1" applyFill="1" applyBorder="1" applyAlignment="1">
      <alignment horizontal="right" vertical="center"/>
    </xf>
    <xf numFmtId="181" fontId="26" fillId="5" borderId="2" xfId="0" applyNumberFormat="1" applyFont="1" applyFill="1" applyBorder="1" applyAlignment="1">
      <alignment horizontal="center" vertical="center"/>
    </xf>
    <xf numFmtId="181" fontId="27" fillId="0" borderId="2" xfId="0" applyNumberFormat="1" applyFont="1" applyBorder="1" applyAlignment="1">
      <alignment horizontal="center" vertical="center"/>
    </xf>
    <xf numFmtId="181" fontId="26" fillId="0" borderId="2" xfId="0" applyNumberFormat="1" applyFont="1" applyBorder="1" applyAlignment="1">
      <alignment horizontal="center" vertical="center"/>
    </xf>
    <xf numFmtId="176" fontId="26" fillId="28" borderId="2" xfId="0" applyNumberFormat="1" applyFont="1" applyFill="1" applyBorder="1" applyAlignment="1">
      <alignment horizontal="right" vertical="center"/>
    </xf>
    <xf numFmtId="49" fontId="19" fillId="0" borderId="0" xfId="2" applyNumberFormat="1" applyFont="1" applyFill="1" applyBorder="1" applyAlignment="1">
      <alignment vertical="center"/>
    </xf>
    <xf numFmtId="49" fontId="19" fillId="0" borderId="0" xfId="2" applyNumberFormat="1" applyFont="1" applyFill="1" applyBorder="1" applyAlignment="1">
      <alignment horizontal="left" vertical="center"/>
    </xf>
    <xf numFmtId="185" fontId="19" fillId="0" borderId="0" xfId="2" applyNumberFormat="1" applyFont="1" applyFill="1" applyBorder="1" applyAlignment="1">
      <alignment horizontal="right" vertical="center"/>
    </xf>
    <xf numFmtId="185" fontId="19" fillId="0" borderId="0" xfId="2" applyNumberFormat="1" applyFont="1" applyFill="1" applyBorder="1" applyAlignment="1">
      <alignment vertical="center"/>
    </xf>
    <xf numFmtId="14" fontId="19" fillId="0" borderId="0" xfId="2" applyNumberFormat="1" applyFont="1" applyFill="1" applyBorder="1" applyAlignment="1">
      <alignment vertical="center"/>
    </xf>
    <xf numFmtId="185" fontId="27" fillId="0" borderId="0" xfId="2" applyNumberFormat="1" applyFont="1" applyFill="1" applyBorder="1" applyAlignment="1">
      <alignment vertical="center"/>
    </xf>
    <xf numFmtId="10" fontId="19" fillId="0" borderId="0" xfId="2" applyNumberFormat="1" applyFont="1" applyFill="1" applyBorder="1" applyAlignment="1">
      <alignment vertical="center"/>
    </xf>
    <xf numFmtId="185" fontId="19" fillId="0" borderId="4" xfId="2" applyNumberFormat="1" applyFont="1" applyFill="1" applyBorder="1" applyAlignment="1">
      <alignment vertical="center"/>
    </xf>
    <xf numFmtId="10" fontId="19" fillId="0" borderId="9" xfId="2" applyNumberFormat="1" applyFont="1" applyFill="1" applyBorder="1" applyAlignment="1">
      <alignment vertical="center"/>
    </xf>
    <xf numFmtId="10" fontId="19" fillId="0" borderId="8" xfId="2" applyNumberFormat="1" applyFont="1" applyFill="1" applyBorder="1" applyAlignment="1">
      <alignment vertical="center"/>
    </xf>
    <xf numFmtId="10" fontId="19" fillId="0" borderId="4" xfId="2" applyNumberFormat="1" applyFont="1" applyFill="1" applyBorder="1" applyAlignment="1">
      <alignment vertical="center"/>
    </xf>
    <xf numFmtId="199" fontId="19" fillId="0" borderId="9" xfId="2" applyNumberFormat="1" applyFont="1" applyFill="1" applyBorder="1" applyAlignment="1">
      <alignment vertical="center"/>
    </xf>
    <xf numFmtId="185" fontId="19" fillId="0" borderId="8" xfId="2" applyNumberFormat="1" applyFont="1" applyFill="1" applyBorder="1" applyAlignment="1">
      <alignment vertical="center"/>
    </xf>
    <xf numFmtId="199" fontId="19" fillId="0" borderId="0" xfId="2" applyNumberFormat="1" applyFont="1" applyFill="1" applyBorder="1" applyAlignment="1">
      <alignment vertical="center"/>
    </xf>
    <xf numFmtId="185" fontId="19" fillId="5" borderId="0" xfId="2" applyNumberFormat="1" applyFont="1" applyFill="1" applyBorder="1" applyAlignment="1">
      <alignment horizontal="center" vertical="center"/>
    </xf>
    <xf numFmtId="0" fontId="19" fillId="23" borderId="0" xfId="0" applyFont="1" applyFill="1" applyAlignment="1">
      <alignment horizontal="center" vertical="center"/>
    </xf>
    <xf numFmtId="185" fontId="19" fillId="23" borderId="0" xfId="1" applyNumberFormat="1" applyFont="1" applyFill="1" applyBorder="1" applyAlignment="1">
      <alignment vertical="center"/>
    </xf>
    <xf numFmtId="178" fontId="19" fillId="23" borderId="0" xfId="1" applyNumberFormat="1" applyFont="1" applyFill="1" applyBorder="1" applyAlignment="1">
      <alignment vertical="center"/>
    </xf>
    <xf numFmtId="10" fontId="19" fillId="23" borderId="0" xfId="0" applyNumberFormat="1" applyFont="1" applyFill="1" applyAlignment="1">
      <alignment vertical="center"/>
    </xf>
    <xf numFmtId="3" fontId="19" fillId="23" borderId="0" xfId="0" applyNumberFormat="1" applyFont="1" applyFill="1" applyAlignment="1">
      <alignment vertical="center"/>
    </xf>
    <xf numFmtId="181" fontId="19" fillId="23" borderId="4" xfId="0" applyNumberFormat="1" applyFont="1" applyFill="1" applyBorder="1" applyAlignment="1">
      <alignment vertical="center"/>
    </xf>
    <xf numFmtId="204" fontId="19" fillId="23" borderId="0" xfId="1" applyNumberFormat="1" applyFont="1" applyFill="1" applyBorder="1" applyAlignment="1">
      <alignment vertical="center"/>
    </xf>
    <xf numFmtId="204" fontId="19" fillId="23" borderId="8" xfId="1" applyNumberFormat="1" applyFont="1" applyFill="1" applyBorder="1" applyAlignment="1">
      <alignment vertical="center"/>
    </xf>
    <xf numFmtId="204" fontId="19" fillId="23" borderId="9" xfId="1" applyNumberFormat="1" applyFont="1" applyFill="1" applyBorder="1" applyAlignment="1">
      <alignment vertical="center"/>
    </xf>
    <xf numFmtId="204" fontId="19" fillId="5" borderId="0" xfId="1" applyNumberFormat="1" applyFont="1" applyFill="1" applyBorder="1" applyAlignment="1">
      <alignment horizontal="center" vertical="center"/>
    </xf>
    <xf numFmtId="204" fontId="27" fillId="0" borderId="0" xfId="1" applyNumberFormat="1" applyFont="1" applyFill="1" applyBorder="1" applyAlignment="1">
      <alignment horizontal="center" vertical="center"/>
    </xf>
    <xf numFmtId="204" fontId="19" fillId="0" borderId="0" xfId="1" applyNumberFormat="1" applyFont="1" applyFill="1" applyBorder="1" applyAlignment="1">
      <alignment horizontal="center" vertical="center"/>
    </xf>
    <xf numFmtId="204" fontId="19" fillId="23" borderId="4" xfId="1" applyNumberFormat="1" applyFont="1" applyFill="1" applyBorder="1" applyAlignment="1">
      <alignment vertical="center"/>
    </xf>
    <xf numFmtId="199" fontId="19" fillId="23" borderId="9" xfId="1" applyNumberFormat="1" applyFont="1" applyFill="1" applyBorder="1" applyAlignment="1">
      <alignment vertical="center"/>
    </xf>
    <xf numFmtId="176" fontId="19" fillId="23" borderId="8" xfId="1" applyNumberFormat="1" applyFont="1" applyFill="1" applyBorder="1" applyAlignment="1">
      <alignment vertical="center"/>
    </xf>
    <xf numFmtId="199" fontId="19" fillId="23" borderId="0" xfId="1" applyNumberFormat="1" applyFont="1" applyFill="1" applyBorder="1" applyAlignment="1">
      <alignment vertical="center"/>
    </xf>
    <xf numFmtId="164" fontId="19" fillId="5" borderId="0" xfId="1" applyNumberFormat="1" applyFont="1" applyFill="1" applyBorder="1" applyAlignment="1">
      <alignment horizontal="center" vertical="center"/>
    </xf>
    <xf numFmtId="49" fontId="19" fillId="0" borderId="6" xfId="0" applyNumberFormat="1" applyFont="1" applyBorder="1" applyAlignment="1">
      <alignment vertical="center"/>
    </xf>
    <xf numFmtId="0" fontId="19" fillId="0" borderId="6" xfId="0" applyFont="1" applyBorder="1" applyAlignment="1">
      <alignment vertical="center"/>
    </xf>
    <xf numFmtId="0" fontId="19" fillId="0" borderId="6" xfId="1" applyNumberFormat="1" applyFont="1" applyBorder="1" applyAlignment="1">
      <alignment horizontal="left" vertical="center"/>
    </xf>
    <xf numFmtId="49" fontId="19" fillId="0" borderId="6" xfId="0" applyNumberFormat="1" applyFont="1" applyBorder="1" applyAlignment="1">
      <alignment horizontal="right" vertical="center"/>
    </xf>
    <xf numFmtId="14" fontId="19" fillId="0" borderId="6" xfId="0" applyNumberFormat="1" applyFont="1" applyBorder="1" applyAlignment="1">
      <alignment vertical="center"/>
    </xf>
    <xf numFmtId="0" fontId="19" fillId="0" borderId="6" xfId="0" applyFont="1" applyBorder="1" applyAlignment="1">
      <alignment horizontal="center" vertical="center"/>
    </xf>
    <xf numFmtId="185" fontId="19" fillId="0" borderId="6" xfId="1" applyNumberFormat="1" applyFont="1" applyBorder="1" applyAlignment="1">
      <alignment vertical="center"/>
    </xf>
    <xf numFmtId="164" fontId="19" fillId="0" borderId="6" xfId="1" applyNumberFormat="1" applyFont="1" applyBorder="1" applyAlignment="1">
      <alignment vertical="center"/>
    </xf>
    <xf numFmtId="176" fontId="19" fillId="0" borderId="6" xfId="1" applyNumberFormat="1" applyFont="1" applyBorder="1" applyAlignment="1">
      <alignment vertical="center"/>
    </xf>
    <xf numFmtId="3" fontId="19" fillId="0" borderId="6" xfId="1" applyNumberFormat="1" applyFont="1" applyBorder="1" applyAlignment="1">
      <alignment vertical="center"/>
    </xf>
    <xf numFmtId="10" fontId="19" fillId="0" borderId="6" xfId="2" applyNumberFormat="1" applyFont="1" applyBorder="1" applyAlignment="1">
      <alignment vertical="center"/>
    </xf>
    <xf numFmtId="181" fontId="19" fillId="0" borderId="7" xfId="0" applyNumberFormat="1" applyFont="1" applyBorder="1" applyAlignment="1">
      <alignment vertical="center"/>
    </xf>
    <xf numFmtId="204" fontId="19" fillId="0" borderId="6" xfId="1" applyNumberFormat="1" applyFont="1" applyBorder="1" applyAlignment="1">
      <alignment vertical="center"/>
    </xf>
    <xf numFmtId="204" fontId="19" fillId="0" borderId="13" xfId="1" applyNumberFormat="1" applyFont="1" applyBorder="1" applyAlignment="1">
      <alignment vertical="center"/>
    </xf>
    <xf numFmtId="204" fontId="19" fillId="0" borderId="14" xfId="1" applyNumberFormat="1" applyFont="1" applyBorder="1" applyAlignment="1">
      <alignment vertical="center"/>
    </xf>
    <xf numFmtId="204" fontId="19" fillId="5" borderId="6" xfId="1" applyNumberFormat="1" applyFont="1" applyFill="1" applyBorder="1" applyAlignment="1">
      <alignment horizontal="center" vertical="center"/>
    </xf>
    <xf numFmtId="204" fontId="27" fillId="0" borderId="6" xfId="1" applyNumberFormat="1" applyFont="1" applyFill="1" applyBorder="1" applyAlignment="1">
      <alignment horizontal="center" vertical="center"/>
    </xf>
    <xf numFmtId="204" fontId="19" fillId="0" borderId="6" xfId="1" applyNumberFormat="1" applyFont="1" applyFill="1" applyBorder="1" applyAlignment="1">
      <alignment horizontal="center" vertical="center"/>
    </xf>
    <xf numFmtId="204" fontId="19" fillId="0" borderId="7" xfId="1" applyNumberFormat="1" applyFont="1" applyBorder="1" applyAlignment="1">
      <alignment vertical="center"/>
    </xf>
    <xf numFmtId="199" fontId="19" fillId="0" borderId="14" xfId="1" applyNumberFormat="1" applyFont="1" applyBorder="1" applyAlignment="1">
      <alignment vertical="center"/>
    </xf>
    <xf numFmtId="176" fontId="19" fillId="0" borderId="13" xfId="1" applyNumberFormat="1" applyFont="1" applyBorder="1" applyAlignment="1">
      <alignment vertical="center"/>
    </xf>
    <xf numFmtId="199" fontId="19" fillId="0" borderId="6" xfId="1" applyNumberFormat="1" applyFont="1" applyBorder="1" applyAlignment="1">
      <alignment vertical="center"/>
    </xf>
    <xf numFmtId="164" fontId="19" fillId="5" borderId="6" xfId="1" applyNumberFormat="1" applyFont="1" applyFill="1" applyBorder="1" applyAlignment="1">
      <alignment horizontal="center" vertical="center"/>
    </xf>
    <xf numFmtId="200" fontId="19" fillId="0" borderId="0" xfId="0" applyNumberFormat="1" applyFont="1" applyAlignment="1">
      <alignment vertical="center"/>
    </xf>
    <xf numFmtId="0" fontId="19" fillId="5" borderId="0" xfId="0" applyFont="1" applyFill="1" applyAlignment="1">
      <alignment horizontal="center" vertical="center"/>
    </xf>
    <xf numFmtId="0" fontId="27" fillId="0" borderId="0" xfId="0" applyFont="1" applyAlignment="1">
      <alignment horizontal="center" vertical="center"/>
    </xf>
    <xf numFmtId="176" fontId="19" fillId="0" borderId="0" xfId="0" applyNumberFormat="1" applyFont="1" applyAlignment="1">
      <alignment vertical="center"/>
    </xf>
    <xf numFmtId="177" fontId="19" fillId="0" borderId="0" xfId="0" applyNumberFormat="1" applyFont="1" applyAlignment="1">
      <alignment vertical="center"/>
    </xf>
    <xf numFmtId="186" fontId="19" fillId="0" borderId="0" xfId="0" applyNumberFormat="1" applyFont="1" applyAlignment="1">
      <alignment vertical="center"/>
    </xf>
    <xf numFmtId="49" fontId="19" fillId="0" borderId="0" xfId="0" applyNumberFormat="1" applyFont="1" applyAlignment="1">
      <alignment vertical="top" wrapText="1"/>
    </xf>
    <xf numFmtId="20" fontId="19" fillId="0" borderId="0" xfId="0" applyNumberFormat="1" applyFont="1" applyAlignment="1">
      <alignment vertical="top" wrapText="1"/>
    </xf>
    <xf numFmtId="49" fontId="19" fillId="0" borderId="0" xfId="1" applyNumberFormat="1" applyFont="1" applyAlignment="1">
      <alignment vertical="top" wrapText="1"/>
    </xf>
    <xf numFmtId="49" fontId="19" fillId="0" borderId="0" xfId="2" applyNumberFormat="1" applyFont="1" applyAlignment="1">
      <alignment vertical="top" wrapText="1"/>
    </xf>
    <xf numFmtId="10" fontId="19" fillId="0" borderId="0" xfId="2" applyNumberFormat="1" applyFont="1" applyAlignment="1">
      <alignment vertical="top" wrapText="1"/>
    </xf>
    <xf numFmtId="0" fontId="19" fillId="0" borderId="0" xfId="0" applyFont="1" applyAlignment="1">
      <alignment vertical="top" wrapText="1"/>
    </xf>
    <xf numFmtId="14" fontId="19" fillId="0" borderId="0" xfId="0" applyNumberFormat="1" applyFont="1" applyAlignment="1">
      <alignment vertical="top" wrapText="1"/>
    </xf>
    <xf numFmtId="20" fontId="19" fillId="0" borderId="0" xfId="0" applyNumberFormat="1" applyFont="1" applyAlignment="1">
      <alignment horizontal="center" vertical="top" wrapText="1"/>
    </xf>
    <xf numFmtId="166" fontId="19" fillId="0" borderId="0" xfId="1" applyNumberFormat="1" applyFont="1" applyFill="1" applyAlignment="1">
      <alignment vertical="top" wrapText="1"/>
    </xf>
    <xf numFmtId="10" fontId="19" fillId="0" borderId="0" xfId="2" applyNumberFormat="1" applyFont="1" applyFill="1" applyAlignment="1">
      <alignment vertical="top" wrapText="1"/>
    </xf>
    <xf numFmtId="167" fontId="19" fillId="0" borderId="0" xfId="0" applyNumberFormat="1" applyFont="1" applyAlignment="1">
      <alignment horizontal="center" vertical="top" wrapText="1"/>
    </xf>
    <xf numFmtId="0" fontId="19" fillId="2" borderId="0" xfId="0" applyFont="1" applyFill="1" applyAlignment="1">
      <alignment vertical="top" wrapText="1"/>
    </xf>
    <xf numFmtId="14" fontId="19" fillId="2" borderId="0" xfId="0" applyNumberFormat="1" applyFont="1" applyFill="1" applyAlignment="1">
      <alignment vertical="top" wrapText="1"/>
    </xf>
    <xf numFmtId="20" fontId="19" fillId="2" borderId="0" xfId="0" applyNumberFormat="1" applyFont="1" applyFill="1" applyAlignment="1">
      <alignment horizontal="center" vertical="top" wrapText="1"/>
    </xf>
    <xf numFmtId="166" fontId="19" fillId="2" borderId="0" xfId="1" applyNumberFormat="1" applyFont="1" applyFill="1" applyAlignment="1">
      <alignment vertical="top" wrapText="1"/>
    </xf>
    <xf numFmtId="10" fontId="19" fillId="2" borderId="0" xfId="2" applyNumberFormat="1" applyFont="1" applyFill="1" applyAlignment="1">
      <alignment vertical="top" wrapText="1"/>
    </xf>
    <xf numFmtId="49" fontId="19" fillId="2" borderId="0" xfId="0" applyNumberFormat="1" applyFont="1" applyFill="1" applyAlignment="1">
      <alignment vertical="top" wrapText="1"/>
    </xf>
    <xf numFmtId="0" fontId="19" fillId="0" borderId="0" xfId="0" quotePrefix="1" applyFont="1" applyAlignment="1">
      <alignment vertical="top" wrapText="1"/>
    </xf>
    <xf numFmtId="10" fontId="44" fillId="0" borderId="0" xfId="2" applyNumberFormat="1" applyFont="1" applyFill="1" applyAlignment="1">
      <alignment vertical="top" wrapText="1"/>
    </xf>
    <xf numFmtId="20" fontId="19" fillId="0" borderId="0" xfId="0" quotePrefix="1" applyNumberFormat="1" applyFont="1" applyAlignment="1">
      <alignment horizontal="center" vertical="top" wrapText="1"/>
    </xf>
    <xf numFmtId="166" fontId="19" fillId="0" borderId="0" xfId="1" applyNumberFormat="1" applyFont="1" applyAlignment="1">
      <alignment vertical="top" wrapText="1"/>
    </xf>
    <xf numFmtId="14" fontId="19" fillId="0" borderId="0" xfId="0" applyNumberFormat="1" applyFont="1" applyAlignment="1">
      <alignment horizontal="left" vertical="top" wrapText="1"/>
    </xf>
    <xf numFmtId="49" fontId="19" fillId="0" borderId="0" xfId="0" applyNumberFormat="1" applyFont="1" applyAlignment="1">
      <alignment horizontal="left" vertical="top" wrapText="1"/>
    </xf>
    <xf numFmtId="49" fontId="19" fillId="0" borderId="0" xfId="1" applyNumberFormat="1" applyFont="1" applyFill="1" applyBorder="1" applyAlignment="1">
      <alignment vertical="top" wrapText="1"/>
    </xf>
    <xf numFmtId="200" fontId="19" fillId="0" borderId="0" xfId="0" applyNumberFormat="1" applyFont="1" applyAlignment="1">
      <alignment horizontal="left" vertical="top" wrapText="1"/>
    </xf>
    <xf numFmtId="49" fontId="19" fillId="0" borderId="0" xfId="0" applyNumberFormat="1" applyFont="1" applyAlignment="1">
      <alignment horizontal="right" vertical="top" wrapText="1"/>
    </xf>
    <xf numFmtId="184" fontId="19" fillId="0" borderId="0" xfId="0" applyNumberFormat="1" applyFont="1" applyAlignment="1">
      <alignment vertical="top" wrapText="1"/>
    </xf>
    <xf numFmtId="210" fontId="19" fillId="0" borderId="0" xfId="2" applyNumberFormat="1" applyFont="1" applyAlignment="1">
      <alignment vertical="center"/>
    </xf>
    <xf numFmtId="180" fontId="19" fillId="0" borderId="0" xfId="2" applyNumberFormat="1" applyFont="1" applyAlignment="1">
      <alignment vertical="top" wrapText="1"/>
    </xf>
    <xf numFmtId="9" fontId="19" fillId="0" borderId="0" xfId="2" applyFont="1" applyAlignment="1">
      <alignment horizontal="left" vertical="top" wrapText="1"/>
    </xf>
    <xf numFmtId="49" fontId="19" fillId="0" borderId="0" xfId="0" applyNumberFormat="1" applyFont="1" applyAlignment="1">
      <alignment vertical="top"/>
    </xf>
    <xf numFmtId="14" fontId="19" fillId="0" borderId="0" xfId="0" applyNumberFormat="1" applyFont="1" applyAlignment="1">
      <alignment horizontal="left" vertical="center"/>
    </xf>
    <xf numFmtId="209" fontId="19" fillId="0" borderId="0" xfId="0" applyNumberFormat="1" applyFont="1" applyAlignment="1">
      <alignment horizontal="left" vertical="center"/>
    </xf>
    <xf numFmtId="3" fontId="19" fillId="0" borderId="0" xfId="1" applyNumberFormat="1" applyFont="1" applyFill="1" applyBorder="1" applyAlignment="1">
      <alignment vertical="center"/>
    </xf>
    <xf numFmtId="200" fontId="19" fillId="0" borderId="0" xfId="2" applyNumberFormat="1" applyFont="1" applyAlignment="1">
      <alignment vertical="center"/>
    </xf>
    <xf numFmtId="184" fontId="19" fillId="0" borderId="0" xfId="0" applyNumberFormat="1" applyFont="1" applyAlignment="1">
      <alignment vertical="center"/>
    </xf>
    <xf numFmtId="180" fontId="19" fillId="0" borderId="0" xfId="2" applyNumberFormat="1" applyFont="1" applyFill="1" applyBorder="1" applyAlignment="1">
      <alignment vertical="center"/>
    </xf>
    <xf numFmtId="9" fontId="19" fillId="0" borderId="0" xfId="2" applyFont="1" applyFill="1" applyBorder="1" applyAlignment="1">
      <alignment horizontal="center" vertical="center"/>
    </xf>
    <xf numFmtId="9" fontId="19" fillId="0" borderId="0" xfId="2" applyFont="1" applyFill="1" applyBorder="1" applyAlignment="1">
      <alignment vertical="center"/>
    </xf>
    <xf numFmtId="9" fontId="19" fillId="0" borderId="0" xfId="2" applyFont="1" applyAlignment="1">
      <alignment horizontal="center" vertical="center"/>
    </xf>
    <xf numFmtId="0" fontId="19" fillId="0" borderId="0" xfId="0" applyFont="1"/>
    <xf numFmtId="0" fontId="19" fillId="0" borderId="0" xfId="0" applyFont="1" applyAlignment="1">
      <alignment vertical="center" wrapText="1"/>
    </xf>
    <xf numFmtId="3" fontId="19" fillId="0" borderId="0" xfId="1" applyNumberFormat="1" applyFont="1" applyAlignment="1">
      <alignment vertical="center"/>
    </xf>
    <xf numFmtId="180" fontId="19" fillId="0" borderId="0" xfId="2" applyNumberFormat="1" applyFont="1" applyAlignment="1">
      <alignment vertical="center"/>
    </xf>
    <xf numFmtId="9" fontId="19" fillId="0" borderId="0" xfId="2" applyFont="1" applyAlignment="1">
      <alignment horizontal="center" vertical="center" wrapText="1"/>
    </xf>
    <xf numFmtId="0" fontId="18" fillId="4" borderId="0" xfId="0" applyFont="1" applyFill="1" applyAlignment="1">
      <alignment horizontal="right" vertical="center"/>
    </xf>
    <xf numFmtId="10" fontId="18" fillId="4" borderId="0" xfId="0" applyNumberFormat="1" applyFont="1" applyFill="1" applyAlignment="1">
      <alignment vertical="center"/>
    </xf>
    <xf numFmtId="0" fontId="21" fillId="4" borderId="0" xfId="0" applyFont="1" applyFill="1" applyAlignment="1">
      <alignment horizontal="right" vertical="center"/>
    </xf>
    <xf numFmtId="0" fontId="18" fillId="4" borderId="0" xfId="0" applyFont="1" applyFill="1" applyAlignment="1">
      <alignment horizontal="left" vertical="center"/>
    </xf>
    <xf numFmtId="14" fontId="19" fillId="4" borderId="0" xfId="0" applyNumberFormat="1" applyFont="1" applyFill="1" applyAlignment="1">
      <alignment horizontal="right" vertical="center"/>
    </xf>
    <xf numFmtId="0" fontId="20" fillId="4" borderId="0" xfId="0" applyFont="1" applyFill="1" applyAlignment="1">
      <alignment vertical="center"/>
    </xf>
    <xf numFmtId="10" fontId="19" fillId="4" borderId="0" xfId="0" applyNumberFormat="1" applyFont="1" applyFill="1" applyAlignment="1">
      <alignment horizontal="right" vertical="center"/>
    </xf>
    <xf numFmtId="166" fontId="21" fillId="4" borderId="0" xfId="1" applyNumberFormat="1" applyFont="1" applyFill="1" applyBorder="1" applyAlignment="1">
      <alignment horizontal="left" vertical="center"/>
    </xf>
    <xf numFmtId="3" fontId="21" fillId="4" borderId="0" xfId="1" applyNumberFormat="1" applyFont="1" applyFill="1" applyBorder="1" applyAlignment="1">
      <alignment horizontal="right" vertical="center"/>
    </xf>
    <xf numFmtId="3" fontId="21" fillId="4" borderId="0" xfId="1" applyNumberFormat="1" applyFont="1" applyFill="1" applyBorder="1" applyAlignment="1">
      <alignment horizontal="left" vertical="center"/>
    </xf>
    <xf numFmtId="178" fontId="21" fillId="4" borderId="0" xfId="0" applyNumberFormat="1" applyFont="1" applyFill="1" applyAlignment="1">
      <alignment vertical="center"/>
    </xf>
    <xf numFmtId="179" fontId="21" fillId="4" borderId="0" xfId="1" applyNumberFormat="1" applyFont="1" applyFill="1" applyBorder="1" applyAlignment="1">
      <alignment horizontal="right" vertical="center"/>
    </xf>
    <xf numFmtId="3" fontId="19" fillId="4" borderId="0" xfId="0" applyNumberFormat="1" applyFont="1" applyFill="1" applyAlignment="1">
      <alignment horizontal="right" vertical="center"/>
    </xf>
    <xf numFmtId="201" fontId="21" fillId="4" borderId="0" xfId="1" applyNumberFormat="1" applyFont="1" applyFill="1" applyBorder="1" applyAlignment="1">
      <alignment horizontal="right" vertical="center"/>
    </xf>
    <xf numFmtId="185" fontId="21" fillId="4" borderId="0" xfId="1" applyNumberFormat="1" applyFont="1" applyFill="1" applyBorder="1" applyAlignment="1">
      <alignment horizontal="right" vertical="center"/>
    </xf>
    <xf numFmtId="179" fontId="22" fillId="4" borderId="0" xfId="1" applyNumberFormat="1" applyFont="1" applyFill="1" applyBorder="1" applyAlignment="1">
      <alignment horizontal="left" vertical="center"/>
    </xf>
    <xf numFmtId="185" fontId="22" fillId="4" borderId="0" xfId="1" applyNumberFormat="1" applyFont="1" applyFill="1" applyBorder="1" applyAlignment="1">
      <alignment horizontal="left" vertical="center"/>
    </xf>
    <xf numFmtId="0" fontId="21" fillId="4" borderId="0" xfId="1" applyNumberFormat="1" applyFont="1" applyFill="1" applyBorder="1" applyAlignment="1">
      <alignment horizontal="left" vertical="center"/>
    </xf>
    <xf numFmtId="180" fontId="18" fillId="4" borderId="0" xfId="2" applyNumberFormat="1" applyFont="1" applyFill="1" applyBorder="1" applyAlignment="1">
      <alignment horizontal="left" vertical="center"/>
    </xf>
    <xf numFmtId="10" fontId="21" fillId="4" borderId="0" xfId="2" applyNumberFormat="1" applyFont="1" applyFill="1" applyBorder="1" applyAlignment="1">
      <alignment horizontal="right" vertical="center"/>
    </xf>
    <xf numFmtId="201" fontId="21" fillId="4" borderId="0" xfId="2" applyNumberFormat="1" applyFont="1" applyFill="1" applyBorder="1" applyAlignment="1">
      <alignment horizontal="right" vertical="center"/>
    </xf>
    <xf numFmtId="3" fontId="21" fillId="4" borderId="0" xfId="0" applyNumberFormat="1" applyFont="1" applyFill="1" applyAlignment="1">
      <alignment horizontal="right" vertical="center"/>
    </xf>
    <xf numFmtId="14" fontId="19" fillId="4" borderId="0" xfId="2" applyNumberFormat="1" applyFont="1" applyFill="1" applyBorder="1" applyAlignment="1">
      <alignment horizontal="right" vertical="center"/>
    </xf>
    <xf numFmtId="0" fontId="19" fillId="3" borderId="0" xfId="0" applyFont="1" applyFill="1" applyAlignment="1">
      <alignment vertical="center"/>
    </xf>
    <xf numFmtId="0" fontId="19" fillId="3" borderId="0" xfId="0" applyFont="1" applyFill="1" applyAlignment="1">
      <alignment horizontal="left" vertical="center"/>
    </xf>
    <xf numFmtId="49" fontId="19" fillId="3" borderId="0" xfId="0" applyNumberFormat="1" applyFont="1" applyFill="1" applyAlignment="1">
      <alignment horizontal="right" vertical="center"/>
    </xf>
    <xf numFmtId="14" fontId="19" fillId="3" borderId="0" xfId="0" applyNumberFormat="1" applyFont="1" applyFill="1" applyAlignment="1">
      <alignment vertical="center"/>
    </xf>
    <xf numFmtId="49" fontId="19" fillId="3" borderId="0" xfId="0" applyNumberFormat="1" applyFont="1" applyFill="1" applyAlignment="1">
      <alignment vertical="center"/>
    </xf>
    <xf numFmtId="10" fontId="19" fillId="3" borderId="0" xfId="0" applyNumberFormat="1" applyFont="1" applyFill="1" applyAlignment="1">
      <alignment vertical="center"/>
    </xf>
    <xf numFmtId="0" fontId="19" fillId="3" borderId="0" xfId="0" applyFont="1" applyFill="1" applyAlignment="1">
      <alignment horizontal="center" vertical="center"/>
    </xf>
    <xf numFmtId="3" fontId="19" fillId="3" borderId="0" xfId="0" applyNumberFormat="1" applyFont="1" applyFill="1" applyAlignment="1">
      <alignment vertical="center"/>
    </xf>
    <xf numFmtId="181" fontId="19" fillId="3" borderId="4" xfId="0" applyNumberFormat="1" applyFont="1" applyFill="1" applyBorder="1" applyAlignment="1">
      <alignment horizontal="right" vertical="center"/>
    </xf>
    <xf numFmtId="0" fontId="24" fillId="3" borderId="0" xfId="0" applyFont="1" applyFill="1" applyAlignment="1">
      <alignment horizontal="center" vertical="center"/>
    </xf>
    <xf numFmtId="49" fontId="22" fillId="3" borderId="0" xfId="0" applyNumberFormat="1" applyFont="1" applyFill="1" applyAlignment="1">
      <alignment vertical="center"/>
    </xf>
    <xf numFmtId="10" fontId="24" fillId="3" borderId="0" xfId="0" applyNumberFormat="1" applyFont="1" applyFill="1" applyAlignment="1">
      <alignment vertical="center"/>
    </xf>
    <xf numFmtId="49" fontId="27" fillId="5" borderId="1" xfId="0" applyNumberFormat="1" applyFont="1" applyFill="1" applyBorder="1" applyAlignment="1">
      <alignment vertical="center"/>
    </xf>
    <xf numFmtId="49" fontId="27" fillId="5" borderId="0" xfId="0" applyNumberFormat="1" applyFont="1" applyFill="1" applyAlignment="1">
      <alignment vertical="center"/>
    </xf>
    <xf numFmtId="49" fontId="19" fillId="5" borderId="0" xfId="0" applyNumberFormat="1" applyFont="1" applyFill="1" applyAlignment="1">
      <alignment vertical="center"/>
    </xf>
    <xf numFmtId="49" fontId="27" fillId="10" borderId="8" xfId="0" applyNumberFormat="1" applyFont="1" applyFill="1" applyBorder="1" applyAlignment="1">
      <alignment vertical="center"/>
    </xf>
    <xf numFmtId="49" fontId="27" fillId="10" borderId="0" xfId="0" applyNumberFormat="1" applyFont="1" applyFill="1" applyAlignment="1">
      <alignment vertical="center"/>
    </xf>
    <xf numFmtId="49" fontId="27" fillId="10" borderId="9" xfId="0" applyNumberFormat="1" applyFont="1" applyFill="1" applyBorder="1" applyAlignment="1">
      <alignment vertical="center"/>
    </xf>
    <xf numFmtId="49" fontId="19" fillId="11" borderId="8" xfId="0" applyNumberFormat="1" applyFont="1" applyFill="1" applyBorder="1" applyAlignment="1">
      <alignment vertical="center"/>
    </xf>
    <xf numFmtId="49" fontId="19" fillId="11" borderId="0" xfId="0" applyNumberFormat="1" applyFont="1" applyFill="1" applyAlignment="1">
      <alignment vertical="center"/>
    </xf>
    <xf numFmtId="49" fontId="19" fillId="11" borderId="9" xfId="0" applyNumberFormat="1" applyFont="1" applyFill="1" applyBorder="1" applyAlignment="1">
      <alignment vertical="center"/>
    </xf>
    <xf numFmtId="49" fontId="26" fillId="12" borderId="0" xfId="0" applyNumberFormat="1" applyFont="1" applyFill="1" applyAlignment="1">
      <alignment vertical="center"/>
    </xf>
    <xf numFmtId="49" fontId="26" fillId="12" borderId="4" xfId="0" applyNumberFormat="1" applyFont="1" applyFill="1" applyBorder="1" applyAlignment="1">
      <alignment vertical="center"/>
    </xf>
    <xf numFmtId="176" fontId="24" fillId="13" borderId="0" xfId="0" applyNumberFormat="1" applyFont="1" applyFill="1" applyAlignment="1">
      <alignment horizontal="center" vertical="center"/>
    </xf>
    <xf numFmtId="181" fontId="24" fillId="13" borderId="4" xfId="0" applyNumberFormat="1" applyFont="1" applyFill="1" applyBorder="1" applyAlignment="1">
      <alignment horizontal="right" vertical="center"/>
    </xf>
    <xf numFmtId="0" fontId="22" fillId="13" borderId="0" xfId="0" applyFont="1" applyFill="1" applyAlignment="1">
      <alignment vertical="center"/>
    </xf>
    <xf numFmtId="201" fontId="22" fillId="13" borderId="0" xfId="0" applyNumberFormat="1" applyFont="1" applyFill="1" applyAlignment="1">
      <alignment vertical="center"/>
    </xf>
    <xf numFmtId="185" fontId="24" fillId="13" borderId="4" xfId="2" applyNumberFormat="1" applyFont="1" applyFill="1" applyBorder="1" applyAlignment="1">
      <alignment vertical="center"/>
    </xf>
    <xf numFmtId="10" fontId="19" fillId="14" borderId="0" xfId="2" applyNumberFormat="1" applyFont="1" applyFill="1" applyBorder="1" applyAlignment="1">
      <alignment vertical="center"/>
    </xf>
    <xf numFmtId="176" fontId="27" fillId="5" borderId="0" xfId="5" applyNumberFormat="1" applyFont="1" applyFill="1" applyBorder="1" applyAlignment="1">
      <alignment vertical="center"/>
    </xf>
    <xf numFmtId="201" fontId="27" fillId="5" borderId="0" xfId="5" applyNumberFormat="1" applyFont="1" applyFill="1" applyBorder="1" applyAlignment="1">
      <alignment vertical="center"/>
    </xf>
    <xf numFmtId="185" fontId="19" fillId="14" borderId="4" xfId="2" applyNumberFormat="1" applyFont="1" applyFill="1" applyBorder="1" applyAlignment="1">
      <alignment vertical="center"/>
    </xf>
    <xf numFmtId="201" fontId="27" fillId="5" borderId="0" xfId="1" applyNumberFormat="1" applyFont="1" applyFill="1" applyBorder="1" applyAlignment="1">
      <alignment vertical="center"/>
    </xf>
    <xf numFmtId="3" fontId="24" fillId="15" borderId="0" xfId="0" applyNumberFormat="1" applyFont="1" applyFill="1" applyAlignment="1">
      <alignment horizontal="center" vertical="center"/>
    </xf>
    <xf numFmtId="176" fontId="24" fillId="15" borderId="0" xfId="1" applyNumberFormat="1" applyFont="1" applyFill="1" applyBorder="1" applyAlignment="1">
      <alignment vertical="center"/>
    </xf>
    <xf numFmtId="176" fontId="24" fillId="15" borderId="0" xfId="1" applyNumberFormat="1" applyFont="1" applyFill="1" applyBorder="1" applyAlignment="1">
      <alignment horizontal="center" vertical="center"/>
    </xf>
    <xf numFmtId="165" fontId="24" fillId="15" borderId="0" xfId="1" applyFont="1" applyFill="1" applyBorder="1" applyAlignment="1">
      <alignment vertical="center"/>
    </xf>
    <xf numFmtId="181" fontId="24" fillId="15" borderId="4" xfId="1" applyNumberFormat="1" applyFont="1" applyFill="1" applyBorder="1" applyAlignment="1">
      <alignment horizontal="right" vertical="center"/>
    </xf>
    <xf numFmtId="0" fontId="22" fillId="15" borderId="1" xfId="0" applyFont="1" applyFill="1" applyBorder="1" applyAlignment="1">
      <alignment vertical="center"/>
    </xf>
    <xf numFmtId="0" fontId="22" fillId="15" borderId="0" xfId="0" applyFont="1" applyFill="1" applyAlignment="1">
      <alignment vertical="center"/>
    </xf>
    <xf numFmtId="201" fontId="22" fillId="15" borderId="0" xfId="0" applyNumberFormat="1" applyFont="1" applyFill="1" applyAlignment="1">
      <alignment vertical="center"/>
    </xf>
    <xf numFmtId="185" fontId="24" fillId="15" borderId="4" xfId="2" applyNumberFormat="1" applyFont="1" applyFill="1" applyBorder="1" applyAlignment="1">
      <alignment vertical="center"/>
    </xf>
    <xf numFmtId="0" fontId="24" fillId="34" borderId="0" xfId="0" applyFont="1" applyFill="1" applyAlignment="1">
      <alignment vertical="center"/>
    </xf>
    <xf numFmtId="0" fontId="22" fillId="34" borderId="0" xfId="0" applyFont="1" applyFill="1" applyAlignment="1">
      <alignment vertical="center"/>
    </xf>
    <xf numFmtId="0" fontId="24" fillId="34" borderId="0" xfId="0" applyFont="1" applyFill="1" applyAlignment="1">
      <alignment horizontal="left" vertical="center"/>
    </xf>
    <xf numFmtId="49" fontId="24" fillId="34" borderId="0" xfId="0" applyNumberFormat="1" applyFont="1" applyFill="1" applyAlignment="1">
      <alignment horizontal="right" vertical="center"/>
    </xf>
    <xf numFmtId="14" fontId="24" fillId="34" borderId="0" xfId="0" applyNumberFormat="1" applyFont="1" applyFill="1" applyAlignment="1">
      <alignment vertical="center"/>
    </xf>
    <xf numFmtId="10" fontId="22" fillId="34" borderId="0" xfId="0" applyNumberFormat="1" applyFont="1" applyFill="1" applyAlignment="1">
      <alignment vertical="center"/>
    </xf>
    <xf numFmtId="3" fontId="22" fillId="34" borderId="0" xfId="0" applyNumberFormat="1" applyFont="1" applyFill="1" applyAlignment="1">
      <alignment horizontal="center" vertical="center"/>
    </xf>
    <xf numFmtId="176" fontId="22" fillId="34" borderId="0" xfId="1" applyNumberFormat="1" applyFont="1" applyFill="1" applyBorder="1" applyAlignment="1">
      <alignment vertical="center"/>
    </xf>
    <xf numFmtId="176" fontId="22" fillId="34" borderId="0" xfId="1" applyNumberFormat="1" applyFont="1" applyFill="1" applyBorder="1" applyAlignment="1">
      <alignment horizontal="center" vertical="center"/>
    </xf>
    <xf numFmtId="165" fontId="22" fillId="34" borderId="0" xfId="1" applyFont="1" applyFill="1" applyBorder="1" applyAlignment="1">
      <alignment vertical="center"/>
    </xf>
    <xf numFmtId="181" fontId="22" fillId="34" borderId="4" xfId="1" applyNumberFormat="1" applyFont="1" applyFill="1" applyBorder="1" applyAlignment="1">
      <alignment horizontal="right" vertical="center"/>
    </xf>
    <xf numFmtId="0" fontId="22" fillId="34" borderId="1" xfId="0" applyFont="1" applyFill="1" applyBorder="1" applyAlignment="1">
      <alignment vertical="center"/>
    </xf>
    <xf numFmtId="201" fontId="22" fillId="34" borderId="0" xfId="0" applyNumberFormat="1" applyFont="1" applyFill="1" applyAlignment="1">
      <alignment vertical="center"/>
    </xf>
    <xf numFmtId="176" fontId="22" fillId="34" borderId="0" xfId="0" applyNumberFormat="1" applyFont="1" applyFill="1" applyAlignment="1">
      <alignment vertical="center"/>
    </xf>
    <xf numFmtId="185" fontId="22" fillId="34" borderId="0" xfId="2" applyNumberFormat="1" applyFont="1" applyFill="1" applyBorder="1" applyAlignment="1">
      <alignment vertical="center"/>
    </xf>
    <xf numFmtId="0" fontId="27" fillId="34" borderId="8" xfId="0" applyFont="1" applyFill="1" applyBorder="1" applyAlignment="1">
      <alignment vertical="center"/>
    </xf>
    <xf numFmtId="185" fontId="22" fillId="34" borderId="9" xfId="2" applyNumberFormat="1" applyFont="1" applyFill="1" applyBorder="1" applyAlignment="1">
      <alignment vertical="center"/>
    </xf>
    <xf numFmtId="185" fontId="22" fillId="34" borderId="4" xfId="2" applyNumberFormat="1" applyFont="1" applyFill="1" applyBorder="1" applyAlignment="1">
      <alignment vertical="center"/>
    </xf>
    <xf numFmtId="0" fontId="19" fillId="16" borderId="0" xfId="0" applyFont="1" applyFill="1"/>
    <xf numFmtId="14" fontId="19" fillId="16" borderId="0" xfId="0" applyNumberFormat="1" applyFont="1" applyFill="1" applyAlignment="1">
      <alignment horizontal="right" vertical="center"/>
    </xf>
    <xf numFmtId="10" fontId="19" fillId="16" borderId="0" xfId="0" applyNumberFormat="1" applyFont="1" applyFill="1" applyAlignment="1">
      <alignment vertical="center"/>
    </xf>
    <xf numFmtId="3" fontId="19" fillId="16" borderId="0" xfId="0" applyNumberFormat="1" applyFont="1" applyFill="1" applyAlignment="1">
      <alignment horizontal="center"/>
    </xf>
    <xf numFmtId="10" fontId="19" fillId="16" borderId="0" xfId="2" applyNumberFormat="1" applyFont="1" applyFill="1" applyBorder="1" applyAlignment="1">
      <alignment horizontal="right" vertical="center"/>
    </xf>
    <xf numFmtId="205" fontId="19" fillId="16" borderId="0" xfId="2" applyNumberFormat="1" applyFont="1" applyFill="1" applyBorder="1" applyAlignment="1">
      <alignment horizontal="right" vertical="center"/>
    </xf>
    <xf numFmtId="181" fontId="19" fillId="16" borderId="4" xfId="1" applyNumberFormat="1" applyFont="1" applyFill="1" applyBorder="1" applyAlignment="1">
      <alignment horizontal="right" vertical="center"/>
    </xf>
    <xf numFmtId="10" fontId="27" fillId="5" borderId="0" xfId="2" applyNumberFormat="1" applyFont="1" applyFill="1" applyBorder="1" applyAlignment="1">
      <alignment vertical="center"/>
    </xf>
    <xf numFmtId="185" fontId="27" fillId="16" borderId="4" xfId="2" applyNumberFormat="1" applyFont="1" applyFill="1" applyBorder="1" applyAlignment="1">
      <alignment vertical="center"/>
    </xf>
    <xf numFmtId="14" fontId="19" fillId="16" borderId="0" xfId="0" applyNumberFormat="1" applyFont="1" applyFill="1"/>
    <xf numFmtId="4" fontId="19" fillId="16" borderId="0" xfId="1" applyNumberFormat="1" applyFont="1" applyFill="1" applyBorder="1" applyAlignment="1">
      <alignment horizontal="right" vertical="center"/>
    </xf>
    <xf numFmtId="176" fontId="46" fillId="5" borderId="1" xfId="1" applyNumberFormat="1" applyFont="1" applyFill="1" applyBorder="1" applyAlignment="1">
      <alignment vertical="center"/>
    </xf>
    <xf numFmtId="10" fontId="46" fillId="5" borderId="0" xfId="2" applyNumberFormat="1" applyFont="1" applyFill="1" applyBorder="1" applyAlignment="1">
      <alignment vertical="center"/>
    </xf>
    <xf numFmtId="0" fontId="24" fillId="17" borderId="0" xfId="0" applyFont="1" applyFill="1" applyAlignment="1">
      <alignment vertical="center"/>
    </xf>
    <xf numFmtId="0" fontId="24" fillId="17" borderId="0" xfId="0" applyFont="1" applyFill="1" applyAlignment="1">
      <alignment horizontal="left" vertical="center"/>
    </xf>
    <xf numFmtId="49" fontId="24" fillId="17" borderId="0" xfId="0" applyNumberFormat="1" applyFont="1" applyFill="1" applyAlignment="1">
      <alignment horizontal="right" vertical="center"/>
    </xf>
    <xf numFmtId="14" fontId="24" fillId="17" borderId="0" xfId="0" applyNumberFormat="1" applyFont="1" applyFill="1" applyAlignment="1">
      <alignment vertical="center"/>
    </xf>
    <xf numFmtId="3" fontId="24" fillId="17" borderId="0" xfId="0" applyNumberFormat="1" applyFont="1" applyFill="1" applyAlignment="1">
      <alignment horizontal="center" vertical="center"/>
    </xf>
    <xf numFmtId="49" fontId="24" fillId="17" borderId="0" xfId="0" applyNumberFormat="1" applyFont="1" applyFill="1" applyAlignment="1">
      <alignment vertical="center"/>
    </xf>
    <xf numFmtId="10" fontId="24" fillId="17" borderId="0" xfId="0" applyNumberFormat="1" applyFont="1" applyFill="1" applyAlignment="1">
      <alignment vertical="center"/>
    </xf>
    <xf numFmtId="176" fontId="24" fillId="17" borderId="0" xfId="1" applyNumberFormat="1" applyFont="1" applyFill="1" applyBorder="1" applyAlignment="1">
      <alignment vertical="center"/>
    </xf>
    <xf numFmtId="176" fontId="24" fillId="17" borderId="0" xfId="1" applyNumberFormat="1" applyFont="1" applyFill="1" applyBorder="1" applyAlignment="1">
      <alignment horizontal="center" vertical="center"/>
    </xf>
    <xf numFmtId="165" fontId="24" fillId="17" borderId="0" xfId="1" applyFont="1" applyFill="1" applyBorder="1" applyAlignment="1">
      <alignment vertical="center"/>
    </xf>
    <xf numFmtId="181" fontId="24" fillId="17" borderId="4" xfId="1" applyNumberFormat="1" applyFont="1" applyFill="1" applyBorder="1" applyAlignment="1">
      <alignment horizontal="right" vertical="center"/>
    </xf>
    <xf numFmtId="0" fontId="22" fillId="17" borderId="0" xfId="0" applyFont="1" applyFill="1" applyAlignment="1">
      <alignment vertical="center"/>
    </xf>
    <xf numFmtId="201" fontId="22" fillId="17" borderId="0" xfId="0" applyNumberFormat="1" applyFont="1" applyFill="1" applyAlignment="1">
      <alignment vertical="center"/>
    </xf>
    <xf numFmtId="176" fontId="22" fillId="17" borderId="0" xfId="0" applyNumberFormat="1" applyFont="1" applyFill="1" applyAlignment="1">
      <alignment vertical="center"/>
    </xf>
    <xf numFmtId="185" fontId="22" fillId="17" borderId="0" xfId="2" applyNumberFormat="1" applyFont="1" applyFill="1" applyBorder="1" applyAlignment="1">
      <alignment vertical="center"/>
    </xf>
    <xf numFmtId="0" fontId="27" fillId="17" borderId="8" xfId="0" applyFont="1" applyFill="1" applyBorder="1" applyAlignment="1">
      <alignment vertical="center"/>
    </xf>
    <xf numFmtId="0" fontId="27" fillId="17" borderId="0" xfId="0" applyFont="1" applyFill="1" applyAlignment="1">
      <alignment vertical="center"/>
    </xf>
    <xf numFmtId="185" fontId="22" fillId="17" borderId="9" xfId="2" applyNumberFormat="1" applyFont="1" applyFill="1" applyBorder="1" applyAlignment="1">
      <alignment vertical="center"/>
    </xf>
    <xf numFmtId="0" fontId="26" fillId="17" borderId="8" xfId="0" applyFont="1" applyFill="1" applyBorder="1" applyAlignment="1">
      <alignment vertical="center"/>
    </xf>
    <xf numFmtId="0" fontId="26" fillId="17" borderId="0" xfId="0" applyFont="1" applyFill="1" applyAlignment="1">
      <alignment vertical="center"/>
    </xf>
    <xf numFmtId="176" fontId="24" fillId="17" borderId="0" xfId="0" applyNumberFormat="1" applyFont="1" applyFill="1" applyAlignment="1">
      <alignment vertical="center"/>
    </xf>
    <xf numFmtId="185" fontId="24" fillId="17" borderId="9" xfId="2" applyNumberFormat="1" applyFont="1" applyFill="1" applyBorder="1" applyAlignment="1">
      <alignment vertical="center"/>
    </xf>
    <xf numFmtId="185" fontId="24" fillId="17" borderId="4" xfId="2" applyNumberFormat="1" applyFont="1" applyFill="1" applyBorder="1" applyAlignment="1">
      <alignment vertical="center"/>
    </xf>
    <xf numFmtId="3" fontId="35" fillId="18" borderId="0" xfId="0" applyNumberFormat="1" applyFont="1" applyFill="1" applyAlignment="1">
      <alignment horizontal="center" vertical="center"/>
    </xf>
    <xf numFmtId="176" fontId="19" fillId="18" borderId="0" xfId="1" applyNumberFormat="1" applyFont="1" applyFill="1" applyBorder="1" applyAlignment="1">
      <alignment horizontal="center" vertical="center"/>
    </xf>
    <xf numFmtId="165" fontId="35" fillId="18" borderId="0" xfId="1" applyFont="1" applyFill="1" applyBorder="1" applyAlignment="1">
      <alignment vertical="center"/>
    </xf>
    <xf numFmtId="181" fontId="35" fillId="18" borderId="4" xfId="1" applyNumberFormat="1" applyFont="1" applyFill="1" applyBorder="1" applyAlignment="1">
      <alignment horizontal="right" vertical="center"/>
    </xf>
    <xf numFmtId="201" fontId="30" fillId="18" borderId="0" xfId="0" applyNumberFormat="1" applyFont="1" applyFill="1" applyAlignment="1">
      <alignment vertical="center"/>
    </xf>
    <xf numFmtId="185" fontId="30" fillId="18" borderId="4" xfId="2" applyNumberFormat="1" applyFont="1" applyFill="1" applyBorder="1" applyAlignment="1">
      <alignment vertical="center"/>
    </xf>
    <xf numFmtId="10" fontId="27" fillId="19" borderId="0" xfId="0" applyNumberFormat="1" applyFont="1" applyFill="1" applyAlignment="1">
      <alignment vertical="center"/>
    </xf>
    <xf numFmtId="3" fontId="27" fillId="19" borderId="0" xfId="0" applyNumberFormat="1" applyFont="1" applyFill="1" applyAlignment="1">
      <alignment horizontal="center" vertical="center"/>
    </xf>
    <xf numFmtId="4" fontId="27" fillId="19" borderId="0" xfId="1" applyNumberFormat="1" applyFont="1" applyFill="1" applyBorder="1" applyAlignment="1">
      <alignment horizontal="right" vertical="center"/>
    </xf>
    <xf numFmtId="181" fontId="27" fillId="19" borderId="4" xfId="1" applyNumberFormat="1" applyFont="1" applyFill="1" applyBorder="1" applyAlignment="1">
      <alignment horizontal="right" vertical="center"/>
    </xf>
    <xf numFmtId="185" fontId="27" fillId="19" borderId="4" xfId="2" applyNumberFormat="1" applyFont="1" applyFill="1" applyBorder="1" applyAlignment="1">
      <alignment vertical="center"/>
    </xf>
    <xf numFmtId="10" fontId="19" fillId="19" borderId="0" xfId="0" applyNumberFormat="1" applyFont="1" applyFill="1" applyAlignment="1">
      <alignment vertical="center"/>
    </xf>
    <xf numFmtId="3" fontId="19" fillId="19" borderId="0" xfId="0" applyNumberFormat="1" applyFont="1" applyFill="1" applyAlignment="1">
      <alignment horizontal="center" vertical="center"/>
    </xf>
    <xf numFmtId="4" fontId="19" fillId="19" borderId="0" xfId="1" applyNumberFormat="1" applyFont="1" applyFill="1" applyBorder="1" applyAlignment="1">
      <alignment horizontal="right" vertical="center"/>
    </xf>
    <xf numFmtId="181" fontId="19" fillId="19" borderId="4" xfId="1" applyNumberFormat="1" applyFont="1" applyFill="1" applyBorder="1" applyAlignment="1">
      <alignment horizontal="right" vertical="center"/>
    </xf>
    <xf numFmtId="185" fontId="19" fillId="19" borderId="4" xfId="2" applyNumberFormat="1" applyFont="1" applyFill="1" applyBorder="1" applyAlignment="1">
      <alignment vertical="center"/>
    </xf>
    <xf numFmtId="177" fontId="19" fillId="19" borderId="0" xfId="1" applyNumberFormat="1" applyFont="1" applyFill="1" applyBorder="1" applyAlignment="1">
      <alignment horizontal="right" vertical="center"/>
    </xf>
    <xf numFmtId="177" fontId="19" fillId="19" borderId="0" xfId="1" applyNumberFormat="1" applyFont="1" applyFill="1" applyAlignment="1">
      <alignment horizontal="right" vertical="center"/>
    </xf>
    <xf numFmtId="201" fontId="27" fillId="5" borderId="0" xfId="1" applyNumberFormat="1" applyFont="1" applyFill="1" applyAlignment="1">
      <alignment vertical="center"/>
    </xf>
    <xf numFmtId="176" fontId="27" fillId="10" borderId="0" xfId="1" applyNumberFormat="1" applyFont="1" applyFill="1" applyAlignment="1">
      <alignment vertical="center"/>
    </xf>
    <xf numFmtId="3" fontId="35" fillId="19" borderId="0" xfId="0" applyNumberFormat="1" applyFont="1" applyFill="1" applyAlignment="1">
      <alignment horizontal="center" vertical="center"/>
    </xf>
    <xf numFmtId="10" fontId="21" fillId="19" borderId="0" xfId="0" applyNumberFormat="1" applyFont="1" applyFill="1" applyAlignment="1">
      <alignment vertical="center"/>
    </xf>
    <xf numFmtId="3" fontId="24" fillId="20" borderId="0" xfId="0" applyNumberFormat="1" applyFont="1" applyFill="1" applyAlignment="1">
      <alignment horizontal="center" vertical="center"/>
    </xf>
    <xf numFmtId="10" fontId="24" fillId="20" borderId="0" xfId="0" applyNumberFormat="1" applyFont="1" applyFill="1" applyAlignment="1">
      <alignment vertical="center"/>
    </xf>
    <xf numFmtId="165" fontId="24" fillId="20" borderId="0" xfId="1" applyFont="1" applyFill="1" applyBorder="1" applyAlignment="1">
      <alignment vertical="center"/>
    </xf>
    <xf numFmtId="181" fontId="24" fillId="20" borderId="4" xfId="1" applyNumberFormat="1" applyFont="1" applyFill="1" applyBorder="1" applyAlignment="1">
      <alignment horizontal="right" vertical="center"/>
    </xf>
    <xf numFmtId="0" fontId="22" fillId="21" borderId="0" xfId="0" applyFont="1" applyFill="1" applyAlignment="1">
      <alignment vertical="center"/>
    </xf>
    <xf numFmtId="201" fontId="22" fillId="21" borderId="0" xfId="0" applyNumberFormat="1" applyFont="1" applyFill="1" applyAlignment="1">
      <alignment vertical="center"/>
    </xf>
    <xf numFmtId="0" fontId="27" fillId="21" borderId="8" xfId="0" applyFont="1" applyFill="1" applyBorder="1" applyAlignment="1">
      <alignment vertical="center"/>
    </xf>
    <xf numFmtId="0" fontId="27" fillId="21" borderId="0" xfId="0" applyFont="1" applyFill="1" applyAlignment="1">
      <alignment vertical="center"/>
    </xf>
    <xf numFmtId="176" fontId="22" fillId="21" borderId="0" xfId="0" applyNumberFormat="1" applyFont="1" applyFill="1" applyAlignment="1">
      <alignment vertical="center"/>
    </xf>
    <xf numFmtId="185" fontId="22" fillId="21" borderId="9" xfId="2" applyNumberFormat="1" applyFont="1" applyFill="1" applyBorder="1" applyAlignment="1">
      <alignment vertical="center"/>
    </xf>
    <xf numFmtId="185" fontId="24" fillId="21" borderId="4" xfId="2" applyNumberFormat="1" applyFont="1" applyFill="1" applyBorder="1" applyAlignment="1">
      <alignment vertical="center"/>
    </xf>
    <xf numFmtId="0" fontId="35" fillId="22" borderId="0" xfId="0" applyFont="1" applyFill="1" applyAlignment="1">
      <alignment horizontal="center" vertical="center"/>
    </xf>
    <xf numFmtId="10" fontId="35" fillId="22" borderId="0" xfId="0" applyNumberFormat="1" applyFont="1" applyFill="1" applyAlignment="1">
      <alignment vertical="center"/>
    </xf>
    <xf numFmtId="176" fontId="19" fillId="22" borderId="0" xfId="1" applyNumberFormat="1" applyFont="1" applyFill="1" applyBorder="1" applyAlignment="1">
      <alignment horizontal="center" vertical="center"/>
    </xf>
    <xf numFmtId="165" fontId="35" fillId="22" borderId="0" xfId="1" applyFont="1" applyFill="1" applyBorder="1" applyAlignment="1">
      <alignment vertical="center"/>
    </xf>
    <xf numFmtId="181" fontId="35" fillId="22" borderId="4" xfId="1" applyNumberFormat="1" applyFont="1" applyFill="1" applyBorder="1" applyAlignment="1">
      <alignment horizontal="right" vertical="center"/>
    </xf>
    <xf numFmtId="0" fontId="30" fillId="22" borderId="0" xfId="0" applyFont="1" applyFill="1" applyAlignment="1">
      <alignment vertical="center"/>
    </xf>
    <xf numFmtId="201" fontId="30" fillId="22" borderId="0" xfId="0" applyNumberFormat="1" applyFont="1" applyFill="1" applyAlignment="1">
      <alignment vertical="center"/>
    </xf>
    <xf numFmtId="0" fontId="30" fillId="22" borderId="8" xfId="0" applyFont="1" applyFill="1" applyBorder="1" applyAlignment="1">
      <alignment vertical="center"/>
    </xf>
    <xf numFmtId="176" fontId="30" fillId="22" borderId="0" xfId="0" applyNumberFormat="1" applyFont="1" applyFill="1" applyAlignment="1">
      <alignment vertical="center"/>
    </xf>
    <xf numFmtId="185" fontId="30" fillId="22" borderId="9" xfId="2" applyNumberFormat="1" applyFont="1" applyFill="1" applyBorder="1" applyAlignment="1">
      <alignment vertical="center"/>
    </xf>
    <xf numFmtId="185" fontId="35" fillId="22" borderId="4" xfId="2" applyNumberFormat="1" applyFont="1" applyFill="1" applyBorder="1" applyAlignment="1">
      <alignment vertical="center"/>
    </xf>
    <xf numFmtId="3" fontId="19" fillId="23" borderId="0" xfId="0" applyNumberFormat="1" applyFont="1" applyFill="1" applyAlignment="1">
      <alignment horizontal="center" vertical="center"/>
    </xf>
    <xf numFmtId="177" fontId="19" fillId="23" borderId="0" xfId="1" applyNumberFormat="1" applyFont="1" applyFill="1" applyBorder="1" applyAlignment="1">
      <alignment horizontal="right" vertical="center"/>
    </xf>
    <xf numFmtId="181" fontId="19" fillId="23" borderId="4" xfId="1" applyNumberFormat="1" applyFont="1" applyFill="1" applyBorder="1" applyAlignment="1">
      <alignment horizontal="right" vertical="center"/>
    </xf>
    <xf numFmtId="185" fontId="19" fillId="27" borderId="4" xfId="2" applyNumberFormat="1" applyFont="1" applyFill="1" applyBorder="1" applyAlignment="1">
      <alignment vertical="center"/>
    </xf>
    <xf numFmtId="176" fontId="35" fillId="22" borderId="0" xfId="1" applyNumberFormat="1" applyFont="1" applyFill="1" applyBorder="1" applyAlignment="1">
      <alignment horizontal="center" vertical="center"/>
    </xf>
    <xf numFmtId="3" fontId="24" fillId="25" borderId="0" xfId="0" applyNumberFormat="1" applyFont="1" applyFill="1" applyAlignment="1">
      <alignment horizontal="center" vertical="center"/>
    </xf>
    <xf numFmtId="10" fontId="24" fillId="25" borderId="0" xfId="0" applyNumberFormat="1" applyFont="1" applyFill="1" applyAlignment="1">
      <alignment vertical="center"/>
    </xf>
    <xf numFmtId="165" fontId="24" fillId="25" borderId="0" xfId="1" applyFont="1" applyFill="1" applyBorder="1" applyAlignment="1">
      <alignment vertical="center"/>
    </xf>
    <xf numFmtId="181" fontId="24" fillId="25" borderId="4" xfId="1" applyNumberFormat="1" applyFont="1" applyFill="1" applyBorder="1" applyAlignment="1">
      <alignment horizontal="right" vertical="center"/>
    </xf>
    <xf numFmtId="0" fontId="22" fillId="25" borderId="0" xfId="0" applyFont="1" applyFill="1" applyAlignment="1">
      <alignment vertical="center"/>
    </xf>
    <xf numFmtId="201" fontId="22" fillId="25" borderId="0" xfId="0" applyNumberFormat="1" applyFont="1" applyFill="1" applyAlignment="1">
      <alignment vertical="center"/>
    </xf>
    <xf numFmtId="185" fontId="24" fillId="25" borderId="4" xfId="2" applyNumberFormat="1" applyFont="1" applyFill="1" applyBorder="1" applyAlignment="1">
      <alignment vertical="center"/>
    </xf>
    <xf numFmtId="0" fontId="35" fillId="26" borderId="0" xfId="0" applyFont="1" applyFill="1" applyAlignment="1">
      <alignment horizontal="center" vertical="center"/>
    </xf>
    <xf numFmtId="10" fontId="35" fillId="26" borderId="0" xfId="0" applyNumberFormat="1" applyFont="1" applyFill="1" applyAlignment="1">
      <alignment vertical="center"/>
    </xf>
    <xf numFmtId="176" fontId="19" fillId="26" borderId="0" xfId="1" applyNumberFormat="1" applyFont="1" applyFill="1" applyBorder="1" applyAlignment="1">
      <alignment horizontal="center" vertical="center"/>
    </xf>
    <xf numFmtId="165" fontId="35" fillId="26" borderId="0" xfId="1" applyFont="1" applyFill="1" applyBorder="1" applyAlignment="1">
      <alignment vertical="center"/>
    </xf>
    <xf numFmtId="181" fontId="35" fillId="26" borderId="4" xfId="1" applyNumberFormat="1" applyFont="1" applyFill="1" applyBorder="1" applyAlignment="1">
      <alignment horizontal="right" vertical="center"/>
    </xf>
    <xf numFmtId="0" fontId="30" fillId="26" borderId="0" xfId="0" applyFont="1" applyFill="1" applyAlignment="1">
      <alignment vertical="center"/>
    </xf>
    <xf numFmtId="201" fontId="30" fillId="26" borderId="0" xfId="0" applyNumberFormat="1" applyFont="1" applyFill="1" applyAlignment="1">
      <alignment vertical="center"/>
    </xf>
    <xf numFmtId="0" fontId="30" fillId="26" borderId="8" xfId="0" applyFont="1" applyFill="1" applyBorder="1" applyAlignment="1">
      <alignment vertical="center"/>
    </xf>
    <xf numFmtId="176" fontId="30" fillId="26" borderId="0" xfId="0" applyNumberFormat="1" applyFont="1" applyFill="1" applyAlignment="1">
      <alignment vertical="center"/>
    </xf>
    <xf numFmtId="185" fontId="30" fillId="26" borderId="9" xfId="2" applyNumberFormat="1" applyFont="1" applyFill="1" applyBorder="1" applyAlignment="1">
      <alignment vertical="center"/>
    </xf>
    <xf numFmtId="185" fontId="35" fillId="26" borderId="4" xfId="2" applyNumberFormat="1" applyFont="1" applyFill="1" applyBorder="1" applyAlignment="1">
      <alignment vertical="center"/>
    </xf>
    <xf numFmtId="10" fontId="19" fillId="27" borderId="0" xfId="0" applyNumberFormat="1" applyFont="1" applyFill="1" applyAlignment="1">
      <alignment vertical="center"/>
    </xf>
    <xf numFmtId="3" fontId="19" fillId="27" borderId="0" xfId="0" applyNumberFormat="1" applyFont="1" applyFill="1" applyAlignment="1">
      <alignment horizontal="center" vertical="center"/>
    </xf>
    <xf numFmtId="177" fontId="19" fillId="27" borderId="0" xfId="1" applyNumberFormat="1" applyFont="1" applyFill="1" applyBorder="1" applyAlignment="1">
      <alignment horizontal="right" vertical="center"/>
    </xf>
    <xf numFmtId="181" fontId="19" fillId="27" borderId="4" xfId="1" applyNumberFormat="1" applyFont="1" applyFill="1" applyBorder="1" applyAlignment="1">
      <alignment horizontal="right" vertical="center"/>
    </xf>
    <xf numFmtId="185" fontId="30" fillId="26" borderId="4" xfId="2" applyNumberFormat="1" applyFont="1" applyFill="1" applyBorder="1" applyAlignment="1">
      <alignment vertical="center"/>
    </xf>
    <xf numFmtId="181" fontId="19" fillId="0" borderId="0" xfId="0" applyNumberFormat="1" applyFont="1" applyAlignment="1">
      <alignment horizontal="right" vertical="center"/>
    </xf>
    <xf numFmtId="201" fontId="27" fillId="0" borderId="0" xfId="1" applyNumberFormat="1" applyFont="1" applyAlignment="1">
      <alignment vertical="center"/>
    </xf>
    <xf numFmtId="185" fontId="27" fillId="0" borderId="0" xfId="2" applyNumberFormat="1" applyFont="1" applyAlignment="1">
      <alignment vertical="center"/>
    </xf>
    <xf numFmtId="0" fontId="26" fillId="28" borderId="0" xfId="0" applyFont="1" applyFill="1" applyAlignment="1">
      <alignment vertical="center"/>
    </xf>
    <xf numFmtId="181" fontId="26" fillId="28" borderId="3" xfId="0" applyNumberFormat="1" applyFont="1" applyFill="1" applyBorder="1" applyAlignment="1">
      <alignment horizontal="right" vertical="center"/>
    </xf>
    <xf numFmtId="10" fontId="26" fillId="28" borderId="10" xfId="0" applyNumberFormat="1" applyFont="1" applyFill="1" applyBorder="1" applyAlignment="1">
      <alignment horizontal="right" vertical="center"/>
    </xf>
    <xf numFmtId="201" fontId="26" fillId="28" borderId="2" xfId="0" applyNumberFormat="1" applyFont="1" applyFill="1" applyBorder="1" applyAlignment="1">
      <alignment horizontal="right" vertical="center"/>
    </xf>
    <xf numFmtId="10" fontId="27" fillId="28" borderId="11" xfId="0" applyNumberFormat="1" applyFont="1" applyFill="1" applyBorder="1" applyAlignment="1">
      <alignment horizontal="right" vertical="center"/>
    </xf>
    <xf numFmtId="0" fontId="27" fillId="28" borderId="2" xfId="0" applyFont="1" applyFill="1" applyBorder="1" applyAlignment="1">
      <alignment horizontal="right" vertical="center"/>
    </xf>
    <xf numFmtId="185" fontId="27" fillId="28" borderId="12" xfId="0" applyNumberFormat="1" applyFont="1" applyFill="1" applyBorder="1" applyAlignment="1">
      <alignment horizontal="right" vertical="center"/>
    </xf>
    <xf numFmtId="185" fontId="26" fillId="28" borderId="3" xfId="0" applyNumberFormat="1" applyFont="1" applyFill="1" applyBorder="1" applyAlignment="1">
      <alignment horizontal="right" vertical="center"/>
    </xf>
    <xf numFmtId="10" fontId="19" fillId="0" borderId="0" xfId="2" applyNumberFormat="1" applyFont="1" applyBorder="1" applyAlignment="1">
      <alignment vertical="center"/>
    </xf>
    <xf numFmtId="10" fontId="19" fillId="0" borderId="4" xfId="2" applyNumberFormat="1" applyFont="1" applyBorder="1" applyAlignment="1">
      <alignment vertical="center"/>
    </xf>
    <xf numFmtId="185" fontId="27" fillId="0" borderId="8" xfId="2" applyNumberFormat="1" applyFont="1" applyBorder="1" applyAlignment="1">
      <alignment vertical="center"/>
    </xf>
    <xf numFmtId="185" fontId="27" fillId="0" borderId="0" xfId="2" applyNumberFormat="1" applyFont="1" applyBorder="1" applyAlignment="1">
      <alignment vertical="center"/>
    </xf>
    <xf numFmtId="201" fontId="27" fillId="0" borderId="0" xfId="2" applyNumberFormat="1" applyFont="1" applyBorder="1" applyAlignment="1">
      <alignment vertical="center"/>
    </xf>
    <xf numFmtId="185" fontId="19" fillId="0" borderId="0" xfId="2" applyNumberFormat="1" applyFont="1" applyBorder="1" applyAlignment="1">
      <alignment vertical="center"/>
    </xf>
    <xf numFmtId="185" fontId="19" fillId="0" borderId="9" xfId="2" applyNumberFormat="1" applyFont="1" applyBorder="1" applyAlignment="1">
      <alignment vertical="center"/>
    </xf>
    <xf numFmtId="10" fontId="27" fillId="0" borderId="8" xfId="2" applyNumberFormat="1" applyFont="1" applyBorder="1" applyAlignment="1">
      <alignment vertical="center"/>
    </xf>
    <xf numFmtId="10" fontId="27" fillId="0" borderId="0" xfId="2" applyNumberFormat="1" applyFont="1" applyBorder="1" applyAlignment="1">
      <alignment vertical="center"/>
    </xf>
    <xf numFmtId="185" fontId="27" fillId="0" borderId="9" xfId="2" applyNumberFormat="1" applyFont="1" applyBorder="1" applyAlignment="1">
      <alignment vertical="center"/>
    </xf>
    <xf numFmtId="10" fontId="19" fillId="0" borderId="8" xfId="2" applyNumberFormat="1" applyFont="1" applyBorder="1" applyAlignment="1">
      <alignment vertical="center"/>
    </xf>
    <xf numFmtId="185" fontId="19" fillId="0" borderId="4" xfId="2" applyNumberFormat="1" applyFont="1" applyBorder="1" applyAlignment="1">
      <alignment vertical="center"/>
    </xf>
    <xf numFmtId="181" fontId="19" fillId="23" borderId="4" xfId="0" applyNumberFormat="1" applyFont="1" applyFill="1" applyBorder="1" applyAlignment="1">
      <alignment horizontal="right" vertical="center"/>
    </xf>
    <xf numFmtId="176" fontId="27" fillId="23" borderId="1" xfId="1" applyNumberFormat="1" applyFont="1" applyFill="1" applyBorder="1" applyAlignment="1">
      <alignment vertical="center"/>
    </xf>
    <xf numFmtId="176" fontId="27" fillId="23" borderId="0" xfId="1" applyNumberFormat="1" applyFont="1" applyFill="1" applyBorder="1" applyAlignment="1">
      <alignment vertical="center"/>
    </xf>
    <xf numFmtId="201" fontId="27" fillId="23" borderId="0" xfId="1" applyNumberFormat="1" applyFont="1" applyFill="1" applyBorder="1" applyAlignment="1">
      <alignment vertical="center"/>
    </xf>
    <xf numFmtId="176" fontId="27" fillId="23" borderId="8" xfId="1" applyNumberFormat="1" applyFont="1" applyFill="1" applyBorder="1" applyAlignment="1">
      <alignment vertical="center"/>
    </xf>
    <xf numFmtId="185" fontId="27" fillId="23" borderId="9" xfId="1" applyNumberFormat="1" applyFont="1" applyFill="1" applyBorder="1" applyAlignment="1">
      <alignment vertical="center"/>
    </xf>
    <xf numFmtId="185" fontId="19" fillId="23" borderId="9" xfId="1" applyNumberFormat="1" applyFont="1" applyFill="1" applyBorder="1" applyAlignment="1">
      <alignment vertical="center"/>
    </xf>
    <xf numFmtId="185" fontId="19" fillId="23" borderId="4" xfId="1" applyNumberFormat="1" applyFont="1" applyFill="1" applyBorder="1" applyAlignment="1">
      <alignment vertical="center"/>
    </xf>
    <xf numFmtId="0" fontId="19" fillId="0" borderId="6" xfId="0" applyFont="1" applyBorder="1" applyAlignment="1">
      <alignment horizontal="left" vertical="center"/>
    </xf>
    <xf numFmtId="10" fontId="19" fillId="0" borderId="6" xfId="0" applyNumberFormat="1" applyFont="1" applyBorder="1" applyAlignment="1">
      <alignment vertical="center"/>
    </xf>
    <xf numFmtId="3" fontId="19" fillId="0" borderId="6" xfId="0" applyNumberFormat="1" applyFont="1" applyBorder="1" applyAlignment="1">
      <alignment vertical="center"/>
    </xf>
    <xf numFmtId="181" fontId="19" fillId="0" borderId="7" xfId="0" applyNumberFormat="1" applyFont="1" applyBorder="1" applyAlignment="1">
      <alignment horizontal="right" vertical="center"/>
    </xf>
    <xf numFmtId="176" fontId="27" fillId="0" borderId="5" xfId="1" applyNumberFormat="1" applyFont="1" applyBorder="1" applyAlignment="1">
      <alignment vertical="center"/>
    </xf>
    <xf numFmtId="176" fontId="27" fillId="0" borderId="6" xfId="1" applyNumberFormat="1" applyFont="1" applyBorder="1" applyAlignment="1">
      <alignment vertical="center"/>
    </xf>
    <xf numFmtId="201" fontId="27" fillId="0" borderId="6" xfId="1" applyNumberFormat="1" applyFont="1" applyBorder="1" applyAlignment="1">
      <alignment vertical="center"/>
    </xf>
    <xf numFmtId="176" fontId="27" fillId="0" borderId="13" xfId="1" applyNumberFormat="1" applyFont="1" applyBorder="1" applyAlignment="1">
      <alignment vertical="center"/>
    </xf>
    <xf numFmtId="185" fontId="27" fillId="0" borderId="14" xfId="1" applyNumberFormat="1" applyFont="1" applyBorder="1" applyAlignment="1">
      <alignment vertical="center"/>
    </xf>
    <xf numFmtId="185" fontId="19" fillId="0" borderId="14" xfId="1" applyNumberFormat="1" applyFont="1" applyBorder="1" applyAlignment="1">
      <alignment vertical="center"/>
    </xf>
    <xf numFmtId="185" fontId="19" fillId="0" borderId="7" xfId="1" applyNumberFormat="1" applyFont="1" applyBorder="1" applyAlignment="1">
      <alignment vertical="center"/>
    </xf>
    <xf numFmtId="201" fontId="27" fillId="0" borderId="0" xfId="0" applyNumberFormat="1" applyFont="1" applyAlignment="1">
      <alignment vertical="center"/>
    </xf>
    <xf numFmtId="185" fontId="27" fillId="0" borderId="0" xfId="0" applyNumberFormat="1" applyFont="1" applyAlignment="1">
      <alignment vertical="center"/>
    </xf>
    <xf numFmtId="0" fontId="22" fillId="4" borderId="0" xfId="0" applyFont="1" applyFill="1" applyAlignment="1">
      <alignment horizontal="right" vertical="center"/>
    </xf>
    <xf numFmtId="49" fontId="19" fillId="4" borderId="0" xfId="0" applyNumberFormat="1" applyFont="1" applyFill="1" applyAlignment="1">
      <alignment horizontal="center" vertical="center"/>
    </xf>
    <xf numFmtId="3" fontId="19" fillId="4" borderId="0" xfId="1" applyNumberFormat="1" applyFont="1" applyFill="1" applyBorder="1" applyAlignment="1">
      <alignment horizontal="center" vertical="center"/>
    </xf>
    <xf numFmtId="179" fontId="19" fillId="4" borderId="0" xfId="1" applyNumberFormat="1" applyFont="1" applyFill="1" applyBorder="1" applyAlignment="1">
      <alignment horizontal="center" vertical="center"/>
    </xf>
    <xf numFmtId="4" fontId="21" fillId="4" borderId="0" xfId="1" applyNumberFormat="1" applyFont="1" applyFill="1" applyBorder="1" applyAlignment="1">
      <alignment horizontal="left" vertical="center"/>
    </xf>
    <xf numFmtId="4" fontId="21" fillId="4" borderId="0" xfId="2" applyNumberFormat="1" applyFont="1" applyFill="1" applyBorder="1" applyAlignment="1">
      <alignment horizontal="left" vertical="center"/>
    </xf>
    <xf numFmtId="3" fontId="19" fillId="4" borderId="0" xfId="0" applyNumberFormat="1" applyFont="1" applyFill="1" applyAlignment="1">
      <alignment horizontal="center" vertical="center"/>
    </xf>
    <xf numFmtId="180" fontId="19" fillId="4" borderId="0" xfId="2" applyNumberFormat="1" applyFont="1" applyFill="1" applyAlignment="1">
      <alignment horizontal="right" vertical="center"/>
    </xf>
    <xf numFmtId="14" fontId="19" fillId="4" borderId="0" xfId="2" applyNumberFormat="1" applyFont="1" applyFill="1" applyAlignment="1">
      <alignment horizontal="right" vertical="center"/>
    </xf>
    <xf numFmtId="10" fontId="19" fillId="4" borderId="0" xfId="2" applyNumberFormat="1" applyFont="1" applyFill="1" applyBorder="1" applyAlignment="1">
      <alignment horizontal="center" vertical="center"/>
    </xf>
    <xf numFmtId="0" fontId="26" fillId="4" borderId="0" xfId="0" applyFont="1" applyFill="1" applyAlignment="1">
      <alignment horizontal="center" vertical="center"/>
    </xf>
    <xf numFmtId="49" fontId="22" fillId="3" borderId="0" xfId="0" applyNumberFormat="1" applyFont="1" applyFill="1" applyAlignment="1">
      <alignment horizontal="left" vertical="center"/>
    </xf>
    <xf numFmtId="14" fontId="24" fillId="3" borderId="0" xfId="0" applyNumberFormat="1" applyFont="1" applyFill="1" applyAlignment="1">
      <alignment horizontal="left" vertical="center"/>
    </xf>
    <xf numFmtId="49" fontId="27" fillId="5" borderId="0" xfId="0" applyNumberFormat="1" applyFont="1" applyFill="1" applyAlignment="1">
      <alignment horizontal="left" vertical="center"/>
    </xf>
    <xf numFmtId="4" fontId="27" fillId="5" borderId="0" xfId="0" applyNumberFormat="1" applyFont="1" applyFill="1" applyAlignment="1">
      <alignment horizontal="left" vertical="center"/>
    </xf>
    <xf numFmtId="49" fontId="26" fillId="12" borderId="4" xfId="0" applyNumberFormat="1" applyFont="1" applyFill="1" applyBorder="1" applyAlignment="1">
      <alignment horizontal="left" vertical="center"/>
    </xf>
    <xf numFmtId="49" fontId="26" fillId="4" borderId="0" xfId="0" applyNumberFormat="1" applyFont="1" applyFill="1" applyAlignment="1">
      <alignment horizontal="center" vertical="center"/>
    </xf>
    <xf numFmtId="182" fontId="24" fillId="13" borderId="0" xfId="0" applyNumberFormat="1" applyFont="1" applyFill="1" applyAlignment="1">
      <alignment vertical="center"/>
    </xf>
    <xf numFmtId="181" fontId="24" fillId="13" borderId="0" xfId="0" applyNumberFormat="1" applyFont="1" applyFill="1" applyAlignment="1">
      <alignment horizontal="right" vertical="center"/>
    </xf>
    <xf numFmtId="4" fontId="22" fillId="13" borderId="0" xfId="0" applyNumberFormat="1" applyFont="1" applyFill="1" applyAlignment="1">
      <alignment vertical="center"/>
    </xf>
    <xf numFmtId="10" fontId="27" fillId="4" borderId="0" xfId="2" applyNumberFormat="1" applyFont="1" applyFill="1" applyBorder="1" applyAlignment="1">
      <alignment horizontal="center" vertical="center"/>
    </xf>
    <xf numFmtId="4" fontId="27" fillId="5" borderId="0" xfId="1" applyNumberFormat="1" applyFont="1" applyFill="1" applyBorder="1" applyAlignment="1">
      <alignment vertical="center"/>
    </xf>
    <xf numFmtId="43" fontId="19" fillId="14" borderId="0" xfId="1" applyNumberFormat="1" applyFont="1" applyFill="1" applyBorder="1" applyAlignment="1">
      <alignment vertical="center"/>
    </xf>
    <xf numFmtId="0" fontId="24" fillId="15" borderId="0" xfId="0" applyFont="1" applyFill="1" applyAlignment="1">
      <alignment horizontal="center" vertical="center"/>
    </xf>
    <xf numFmtId="182" fontId="24" fillId="15" borderId="0" xfId="0" applyNumberFormat="1" applyFont="1" applyFill="1" applyAlignment="1">
      <alignment vertical="center"/>
    </xf>
    <xf numFmtId="181" fontId="24" fillId="15" borderId="0" xfId="1" applyNumberFormat="1" applyFont="1" applyFill="1" applyBorder="1" applyAlignment="1">
      <alignment horizontal="right" vertical="center"/>
    </xf>
    <xf numFmtId="4" fontId="22" fillId="15" borderId="0" xfId="0" applyNumberFormat="1" applyFont="1" applyFill="1" applyAlignment="1">
      <alignment vertical="center"/>
    </xf>
    <xf numFmtId="0" fontId="47" fillId="16" borderId="0" xfId="0" applyFont="1" applyFill="1" applyAlignment="1">
      <alignment horizontal="left" vertical="center"/>
    </xf>
    <xf numFmtId="182" fontId="19" fillId="16" borderId="0" xfId="0" applyNumberFormat="1" applyFont="1" applyFill="1" applyAlignment="1">
      <alignment vertical="center"/>
    </xf>
    <xf numFmtId="1" fontId="19" fillId="16" borderId="0" xfId="0" applyNumberFormat="1" applyFont="1" applyFill="1" applyAlignment="1">
      <alignment horizontal="center" vertical="center"/>
    </xf>
    <xf numFmtId="196" fontId="19" fillId="16" borderId="0" xfId="1" applyNumberFormat="1" applyFont="1" applyFill="1" applyBorder="1" applyAlignment="1">
      <alignment horizontal="right" vertical="center"/>
    </xf>
    <xf numFmtId="181" fontId="19" fillId="16" borderId="0" xfId="1" applyNumberFormat="1" applyFont="1" applyFill="1" applyBorder="1" applyAlignment="1">
      <alignment horizontal="right" vertical="center"/>
    </xf>
    <xf numFmtId="4" fontId="27" fillId="5" borderId="0" xfId="2" applyNumberFormat="1" applyFont="1" applyFill="1" applyBorder="1" applyAlignment="1">
      <alignment vertical="center"/>
    </xf>
    <xf numFmtId="182" fontId="27" fillId="16" borderId="0" xfId="0" applyNumberFormat="1" applyFont="1" applyFill="1" applyAlignment="1">
      <alignment vertical="center"/>
    </xf>
    <xf numFmtId="10" fontId="27" fillId="16" borderId="0" xfId="0" applyNumberFormat="1" applyFont="1" applyFill="1" applyAlignment="1">
      <alignment vertical="center"/>
    </xf>
    <xf numFmtId="182" fontId="21" fillId="16" borderId="0" xfId="0" applyNumberFormat="1" applyFont="1" applyFill="1" applyAlignment="1">
      <alignment vertical="center"/>
    </xf>
    <xf numFmtId="10" fontId="21" fillId="16" borderId="0" xfId="0" applyNumberFormat="1" applyFont="1" applyFill="1" applyAlignment="1">
      <alignment vertical="center"/>
    </xf>
    <xf numFmtId="49" fontId="27" fillId="16" borderId="0" xfId="0" applyNumberFormat="1" applyFont="1" applyFill="1" applyAlignment="1">
      <alignment horizontal="right" vertical="center"/>
    </xf>
    <xf numFmtId="49" fontId="27" fillId="16" borderId="0" xfId="0" applyNumberFormat="1" applyFont="1" applyFill="1" applyAlignment="1">
      <alignment vertical="center"/>
    </xf>
    <xf numFmtId="1" fontId="27" fillId="16" borderId="0" xfId="0" applyNumberFormat="1" applyFont="1" applyFill="1" applyAlignment="1">
      <alignment horizontal="center" vertical="center"/>
    </xf>
    <xf numFmtId="4" fontId="27" fillId="16" borderId="0" xfId="1" applyNumberFormat="1" applyFont="1" applyFill="1" applyBorder="1" applyAlignment="1">
      <alignment horizontal="right" vertical="center"/>
    </xf>
    <xf numFmtId="181" fontId="27" fillId="16" borderId="0" xfId="1" applyNumberFormat="1" applyFont="1" applyFill="1" applyBorder="1" applyAlignment="1">
      <alignment horizontal="right" vertical="center"/>
    </xf>
    <xf numFmtId="0" fontId="19" fillId="16" borderId="1" xfId="0" applyFont="1" applyFill="1" applyBorder="1" applyAlignment="1">
      <alignment vertical="center"/>
    </xf>
    <xf numFmtId="0" fontId="24" fillId="17" borderId="0" xfId="0" applyFont="1" applyFill="1" applyAlignment="1">
      <alignment horizontal="center" vertical="center"/>
    </xf>
    <xf numFmtId="182" fontId="24" fillId="17" borderId="0" xfId="0" applyNumberFormat="1" applyFont="1" applyFill="1" applyAlignment="1">
      <alignment vertical="center"/>
    </xf>
    <xf numFmtId="181" fontId="24" fillId="17" borderId="0" xfId="1" applyNumberFormat="1" applyFont="1" applyFill="1" applyBorder="1" applyAlignment="1">
      <alignment horizontal="right" vertical="center"/>
    </xf>
    <xf numFmtId="4" fontId="22" fillId="17" borderId="0" xfId="1" applyNumberFormat="1" applyFont="1" applyFill="1" applyBorder="1" applyAlignment="1">
      <alignment vertical="center"/>
    </xf>
    <xf numFmtId="185" fontId="24" fillId="17" borderId="0" xfId="2" applyNumberFormat="1" applyFont="1" applyFill="1" applyBorder="1" applyAlignment="1">
      <alignment vertical="center"/>
    </xf>
    <xf numFmtId="0" fontId="35" fillId="18" borderId="0" xfId="0" applyFont="1" applyFill="1" applyAlignment="1">
      <alignment horizontal="center" vertical="center"/>
    </xf>
    <xf numFmtId="182" fontId="35" fillId="18" borderId="0" xfId="0" applyNumberFormat="1" applyFont="1" applyFill="1" applyAlignment="1">
      <alignment vertical="center"/>
    </xf>
    <xf numFmtId="181" fontId="35" fillId="18" borderId="0" xfId="1" applyNumberFormat="1" applyFont="1" applyFill="1" applyBorder="1" applyAlignment="1">
      <alignment horizontal="right" vertical="center"/>
    </xf>
    <xf numFmtId="4" fontId="30" fillId="18" borderId="0" xfId="1" applyNumberFormat="1" applyFont="1" applyFill="1" applyBorder="1" applyAlignment="1">
      <alignment vertical="center"/>
    </xf>
    <xf numFmtId="182" fontId="19" fillId="19" borderId="0" xfId="0" applyNumberFormat="1" applyFont="1" applyFill="1" applyAlignment="1">
      <alignment vertical="center"/>
    </xf>
    <xf numFmtId="1" fontId="19" fillId="19" borderId="0" xfId="0" applyNumberFormat="1" applyFont="1" applyFill="1" applyAlignment="1">
      <alignment horizontal="center" vertical="center"/>
    </xf>
    <xf numFmtId="194" fontId="19" fillId="19" borderId="0" xfId="1" applyNumberFormat="1" applyFont="1" applyFill="1" applyBorder="1" applyAlignment="1">
      <alignment horizontal="right" vertical="center"/>
    </xf>
    <xf numFmtId="181" fontId="19" fillId="19" borderId="0" xfId="1" applyNumberFormat="1" applyFont="1" applyFill="1" applyBorder="1" applyAlignment="1">
      <alignment horizontal="right" vertical="center"/>
    </xf>
    <xf numFmtId="0" fontId="19" fillId="19" borderId="1" xfId="0" applyFont="1" applyFill="1" applyBorder="1" applyAlignment="1">
      <alignment vertical="center"/>
    </xf>
    <xf numFmtId="0" fontId="35" fillId="18" borderId="1" xfId="0" applyFont="1" applyFill="1" applyBorder="1" applyAlignment="1">
      <alignment vertical="center"/>
    </xf>
    <xf numFmtId="1" fontId="35" fillId="19" borderId="0" xfId="0" applyNumberFormat="1" applyFont="1" applyFill="1" applyAlignment="1">
      <alignment horizontal="center" vertical="center"/>
    </xf>
    <xf numFmtId="182" fontId="21" fillId="19" borderId="0" xfId="0" applyNumberFormat="1" applyFont="1" applyFill="1" applyAlignment="1">
      <alignment vertical="center"/>
    </xf>
    <xf numFmtId="0" fontId="24" fillId="20" borderId="0" xfId="0" applyFont="1" applyFill="1" applyAlignment="1">
      <alignment horizontal="center" vertical="center"/>
    </xf>
    <xf numFmtId="182" fontId="24" fillId="20" borderId="0" xfId="0" applyNumberFormat="1" applyFont="1" applyFill="1" applyAlignment="1">
      <alignment vertical="center"/>
    </xf>
    <xf numFmtId="181" fontId="24" fillId="20" borderId="0" xfId="1" applyNumberFormat="1" applyFont="1" applyFill="1" applyBorder="1" applyAlignment="1">
      <alignment horizontal="right" vertical="center"/>
    </xf>
    <xf numFmtId="4" fontId="22" fillId="21" borderId="0" xfId="1" applyNumberFormat="1" applyFont="1" applyFill="1" applyBorder="1" applyAlignment="1">
      <alignment vertical="center"/>
    </xf>
    <xf numFmtId="182" fontId="35" fillId="22" borderId="0" xfId="0" applyNumberFormat="1" applyFont="1" applyFill="1" applyAlignment="1">
      <alignment vertical="center"/>
    </xf>
    <xf numFmtId="181" fontId="35" fillId="22" borderId="0" xfId="1" applyNumberFormat="1" applyFont="1" applyFill="1" applyBorder="1" applyAlignment="1">
      <alignment horizontal="right" vertical="center"/>
    </xf>
    <xf numFmtId="4" fontId="30" fillId="22" borderId="0" xfId="1" applyNumberFormat="1" applyFont="1" applyFill="1" applyBorder="1" applyAlignment="1">
      <alignment vertical="center"/>
    </xf>
    <xf numFmtId="0" fontId="19" fillId="23" borderId="1" xfId="0" applyFont="1" applyFill="1" applyBorder="1" applyAlignment="1">
      <alignment vertical="center"/>
    </xf>
    <xf numFmtId="182" fontId="19" fillId="23" borderId="0" xfId="0" applyNumberFormat="1" applyFont="1" applyFill="1" applyAlignment="1">
      <alignment vertical="center"/>
    </xf>
    <xf numFmtId="1" fontId="19" fillId="23" borderId="0" xfId="0" applyNumberFormat="1" applyFont="1" applyFill="1" applyAlignment="1">
      <alignment horizontal="center" vertical="center"/>
    </xf>
    <xf numFmtId="194" fontId="19" fillId="23" borderId="0" xfId="1" applyNumberFormat="1" applyFont="1" applyFill="1" applyBorder="1" applyAlignment="1">
      <alignment horizontal="right" vertical="center"/>
    </xf>
    <xf numFmtId="181" fontId="19" fillId="23" borderId="0" xfId="1" applyNumberFormat="1" applyFont="1" applyFill="1" applyBorder="1" applyAlignment="1">
      <alignment horizontal="right" vertical="center"/>
    </xf>
    <xf numFmtId="0" fontId="24" fillId="25" borderId="0" xfId="0" applyFont="1" applyFill="1" applyAlignment="1">
      <alignment horizontal="center" vertical="center"/>
    </xf>
    <xf numFmtId="182" fontId="24" fillId="25" borderId="0" xfId="0" applyNumberFormat="1" applyFont="1" applyFill="1" applyAlignment="1">
      <alignment vertical="center"/>
    </xf>
    <xf numFmtId="181" fontId="24" fillId="25" borderId="0" xfId="1" applyNumberFormat="1" applyFont="1" applyFill="1" applyBorder="1" applyAlignment="1">
      <alignment horizontal="right" vertical="center"/>
    </xf>
    <xf numFmtId="4" fontId="22" fillId="25" borderId="0" xfId="1" applyNumberFormat="1" applyFont="1" applyFill="1" applyBorder="1" applyAlignment="1">
      <alignment vertical="center"/>
    </xf>
    <xf numFmtId="182" fontId="35" fillId="26" borderId="0" xfId="0" applyNumberFormat="1" applyFont="1" applyFill="1" applyAlignment="1">
      <alignment vertical="center"/>
    </xf>
    <xf numFmtId="181" fontId="35" fillId="26" borderId="0" xfId="1" applyNumberFormat="1" applyFont="1" applyFill="1" applyBorder="1" applyAlignment="1">
      <alignment horizontal="right" vertical="center"/>
    </xf>
    <xf numFmtId="4" fontId="30" fillId="26" borderId="0" xfId="1" applyNumberFormat="1" applyFont="1" applyFill="1" applyBorder="1" applyAlignment="1">
      <alignment vertical="center"/>
    </xf>
    <xf numFmtId="182" fontId="19" fillId="27" borderId="0" xfId="0" applyNumberFormat="1" applyFont="1" applyFill="1" applyAlignment="1">
      <alignment vertical="center"/>
    </xf>
    <xf numFmtId="1" fontId="19" fillId="27" borderId="0" xfId="0" applyNumberFormat="1" applyFont="1" applyFill="1" applyAlignment="1">
      <alignment horizontal="center" vertical="center"/>
    </xf>
    <xf numFmtId="194" fontId="19" fillId="27" borderId="0" xfId="1" applyNumberFormat="1" applyFont="1" applyFill="1" applyBorder="1" applyAlignment="1">
      <alignment horizontal="right" vertical="center"/>
    </xf>
    <xf numFmtId="181" fontId="19" fillId="27" borderId="0" xfId="1" applyNumberFormat="1" applyFont="1" applyFill="1" applyBorder="1" applyAlignment="1">
      <alignment horizontal="right" vertical="center"/>
    </xf>
    <xf numFmtId="0" fontId="19" fillId="27" borderId="1" xfId="0" applyFont="1" applyFill="1" applyBorder="1" applyAlignment="1">
      <alignment vertical="center"/>
    </xf>
    <xf numFmtId="0" fontId="30" fillId="26" borderId="1" xfId="0" applyFont="1" applyFill="1" applyBorder="1" applyAlignment="1">
      <alignment horizontal="right" vertical="center"/>
    </xf>
    <xf numFmtId="0" fontId="30" fillId="26" borderId="0" xfId="0" applyFont="1" applyFill="1" applyAlignment="1">
      <alignment horizontal="right" vertical="center"/>
    </xf>
    <xf numFmtId="4" fontId="30" fillId="26" borderId="0" xfId="1" applyNumberFormat="1" applyFont="1" applyFill="1" applyBorder="1" applyAlignment="1">
      <alignment horizontal="right" vertical="center"/>
    </xf>
    <xf numFmtId="0" fontId="35" fillId="26" borderId="0" xfId="0" applyFont="1" applyFill="1" applyAlignment="1">
      <alignment horizontal="right" vertical="center"/>
    </xf>
    <xf numFmtId="176" fontId="35" fillId="26" borderId="0" xfId="0" applyNumberFormat="1" applyFont="1" applyFill="1" applyAlignment="1">
      <alignment horizontal="right" vertical="center"/>
    </xf>
    <xf numFmtId="185" fontId="35" fillId="26" borderId="0" xfId="2" applyNumberFormat="1" applyFont="1" applyFill="1" applyBorder="1" applyAlignment="1">
      <alignment horizontal="right" vertical="center"/>
    </xf>
    <xf numFmtId="4" fontId="27" fillId="0" borderId="0" xfId="1" applyNumberFormat="1" applyFont="1" applyAlignment="1">
      <alignment vertical="center"/>
    </xf>
    <xf numFmtId="10" fontId="19" fillId="4" borderId="0" xfId="2" applyNumberFormat="1" applyFont="1" applyFill="1" applyAlignment="1">
      <alignment horizontal="center" vertical="center"/>
    </xf>
    <xf numFmtId="0" fontId="26" fillId="28" borderId="0" xfId="0" applyFont="1" applyFill="1" applyAlignment="1">
      <alignment horizontal="left" vertical="center"/>
    </xf>
    <xf numFmtId="14" fontId="26" fillId="28" borderId="2" xfId="0" applyNumberFormat="1" applyFont="1" applyFill="1" applyBorder="1" applyAlignment="1">
      <alignment horizontal="center" vertical="center"/>
    </xf>
    <xf numFmtId="181" fontId="26" fillId="28" borderId="2" xfId="0" applyNumberFormat="1" applyFont="1" applyFill="1" applyBorder="1" applyAlignment="1">
      <alignment horizontal="center" vertical="center"/>
    </xf>
    <xf numFmtId="4" fontId="26" fillId="28" borderId="2" xfId="0" applyNumberFormat="1" applyFont="1" applyFill="1" applyBorder="1" applyAlignment="1">
      <alignment horizontal="center" vertical="center"/>
    </xf>
    <xf numFmtId="185" fontId="26" fillId="28" borderId="2" xfId="0" applyNumberFormat="1" applyFont="1" applyFill="1" applyBorder="1" applyAlignment="1">
      <alignment horizontal="center" vertical="center"/>
    </xf>
    <xf numFmtId="10" fontId="26" fillId="28" borderId="11" xfId="0" applyNumberFormat="1" applyFont="1" applyFill="1" applyBorder="1" applyAlignment="1">
      <alignment horizontal="center" vertical="center"/>
    </xf>
    <xf numFmtId="185" fontId="26" fillId="28" borderId="12" xfId="0" applyNumberFormat="1" applyFont="1" applyFill="1" applyBorder="1" applyAlignment="1">
      <alignment horizontal="center" vertical="center"/>
    </xf>
    <xf numFmtId="181" fontId="26" fillId="4" borderId="0" xfId="0" applyNumberFormat="1" applyFont="1" applyFill="1" applyAlignment="1">
      <alignment horizontal="center" vertical="center"/>
    </xf>
    <xf numFmtId="10" fontId="39" fillId="0" borderId="0" xfId="2" applyNumberFormat="1" applyFont="1" applyBorder="1" applyAlignment="1">
      <alignment vertical="center"/>
    </xf>
    <xf numFmtId="4" fontId="27" fillId="0" borderId="0" xfId="2" applyNumberFormat="1" applyFont="1" applyBorder="1" applyAlignment="1">
      <alignment vertical="center"/>
    </xf>
    <xf numFmtId="185" fontId="19" fillId="0" borderId="8" xfId="2" applyNumberFormat="1" applyFont="1" applyBorder="1" applyAlignment="1">
      <alignment vertical="center"/>
    </xf>
    <xf numFmtId="185" fontId="19" fillId="4" borderId="0" xfId="2" applyNumberFormat="1" applyFont="1" applyFill="1" applyBorder="1" applyAlignment="1">
      <alignment horizontal="center" vertical="center"/>
    </xf>
    <xf numFmtId="181" fontId="19" fillId="23" borderId="0" xfId="0" applyNumberFormat="1" applyFont="1" applyFill="1" applyAlignment="1">
      <alignment horizontal="right" vertical="center"/>
    </xf>
    <xf numFmtId="4" fontId="27" fillId="23" borderId="0" xfId="1" applyNumberFormat="1" applyFont="1" applyFill="1" applyBorder="1" applyAlignment="1">
      <alignment vertical="center"/>
    </xf>
    <xf numFmtId="176" fontId="19" fillId="4" borderId="0" xfId="1" applyNumberFormat="1" applyFont="1" applyFill="1" applyBorder="1" applyAlignment="1">
      <alignment horizontal="center" vertical="center"/>
    </xf>
    <xf numFmtId="181" fontId="19" fillId="0" borderId="6" xfId="0" applyNumberFormat="1" applyFont="1" applyBorder="1" applyAlignment="1">
      <alignment horizontal="right" vertical="center"/>
    </xf>
    <xf numFmtId="4" fontId="27" fillId="0" borderId="6" xfId="1" applyNumberFormat="1" applyFont="1" applyBorder="1" applyAlignment="1">
      <alignment vertical="center"/>
    </xf>
    <xf numFmtId="4" fontId="27" fillId="0" borderId="0" xfId="0" applyNumberFormat="1" applyFont="1" applyAlignment="1">
      <alignment vertical="center"/>
    </xf>
    <xf numFmtId="3" fontId="21" fillId="4" borderId="0" xfId="1" applyNumberFormat="1" applyFont="1" applyFill="1" applyBorder="1" applyAlignment="1">
      <alignment horizontal="center" vertical="center"/>
    </xf>
    <xf numFmtId="179" fontId="21" fillId="4" borderId="0" xfId="1" applyNumberFormat="1" applyFont="1" applyFill="1" applyBorder="1" applyAlignment="1">
      <alignment horizontal="center" vertical="center"/>
    </xf>
    <xf numFmtId="3" fontId="21" fillId="4" borderId="0" xfId="0" applyNumberFormat="1" applyFont="1" applyFill="1" applyAlignment="1">
      <alignment horizontal="center" vertical="center"/>
    </xf>
    <xf numFmtId="10" fontId="21" fillId="4" borderId="0" xfId="2" applyNumberFormat="1" applyFont="1" applyFill="1" applyBorder="1" applyAlignment="1">
      <alignment horizontal="center" vertical="center"/>
    </xf>
    <xf numFmtId="0" fontId="19" fillId="3" borderId="4" xfId="0" applyFont="1" applyFill="1" applyBorder="1" applyAlignment="1">
      <alignment vertical="center"/>
    </xf>
    <xf numFmtId="181" fontId="19" fillId="3" borderId="0" xfId="0" applyNumberFormat="1" applyFont="1" applyFill="1" applyAlignment="1">
      <alignment horizontal="right" vertical="center"/>
    </xf>
    <xf numFmtId="0" fontId="24" fillId="4" borderId="0" xfId="0" applyFont="1" applyFill="1" applyAlignment="1">
      <alignment horizontal="center" vertical="center"/>
    </xf>
    <xf numFmtId="49" fontId="24" fillId="3" borderId="0" xfId="2" applyNumberFormat="1" applyFont="1" applyFill="1" applyAlignment="1">
      <alignment vertical="center"/>
    </xf>
    <xf numFmtId="49" fontId="19" fillId="0" borderId="0" xfId="0" applyNumberFormat="1" applyFont="1" applyAlignment="1">
      <alignment horizontal="left" vertical="center"/>
    </xf>
    <xf numFmtId="187" fontId="24" fillId="13" borderId="0" xfId="2" applyNumberFormat="1" applyFont="1" applyFill="1" applyBorder="1" applyAlignment="1">
      <alignment vertical="center"/>
    </xf>
    <xf numFmtId="183" fontId="24" fillId="13" borderId="0" xfId="2" applyNumberFormat="1" applyFont="1" applyFill="1" applyBorder="1" applyAlignment="1">
      <alignment vertical="center"/>
    </xf>
    <xf numFmtId="165" fontId="22" fillId="13" borderId="0" xfId="1" applyFont="1" applyFill="1" applyBorder="1" applyAlignment="1">
      <alignment vertical="center"/>
    </xf>
    <xf numFmtId="176" fontId="27" fillId="14" borderId="0" xfId="1" applyNumberFormat="1" applyFont="1" applyFill="1" applyBorder="1" applyAlignment="1">
      <alignment vertical="center"/>
    </xf>
    <xf numFmtId="187" fontId="24" fillId="15" borderId="0" xfId="0" applyNumberFormat="1" applyFont="1" applyFill="1" applyAlignment="1">
      <alignment vertical="center"/>
    </xf>
    <xf numFmtId="183" fontId="24" fillId="15" borderId="0" xfId="0" applyNumberFormat="1" applyFont="1" applyFill="1" applyAlignment="1">
      <alignment vertical="center"/>
    </xf>
    <xf numFmtId="0" fontId="26" fillId="0" borderId="0" xfId="0" applyFont="1" applyAlignment="1">
      <alignment vertical="center"/>
    </xf>
    <xf numFmtId="187" fontId="19" fillId="16" borderId="0" xfId="0" applyNumberFormat="1" applyFont="1" applyFill="1" applyAlignment="1">
      <alignment vertical="center"/>
    </xf>
    <xf numFmtId="176" fontId="19" fillId="16" borderId="0" xfId="1" applyNumberFormat="1" applyFont="1" applyFill="1" applyAlignment="1">
      <alignment vertical="center"/>
    </xf>
    <xf numFmtId="3" fontId="19" fillId="16" borderId="0" xfId="0" applyNumberFormat="1" applyFont="1" applyFill="1" applyAlignment="1">
      <alignment horizontal="center" vertical="center"/>
    </xf>
    <xf numFmtId="4" fontId="19" fillId="16" borderId="0" xfId="1" applyNumberFormat="1" applyFont="1" applyFill="1" applyAlignment="1">
      <alignment horizontal="right" vertical="center"/>
    </xf>
    <xf numFmtId="196" fontId="19" fillId="16" borderId="0" xfId="1" applyNumberFormat="1" applyFont="1" applyFill="1" applyAlignment="1">
      <alignment horizontal="right" vertical="center"/>
    </xf>
    <xf numFmtId="181" fontId="19" fillId="16" borderId="0" xfId="1" applyNumberFormat="1" applyFont="1" applyFill="1" applyAlignment="1">
      <alignment horizontal="right" vertical="center"/>
    </xf>
    <xf numFmtId="165" fontId="27" fillId="5" borderId="0" xfId="1" applyFont="1" applyFill="1" applyAlignment="1">
      <alignment vertical="center"/>
    </xf>
    <xf numFmtId="176" fontId="27" fillId="16" borderId="0" xfId="1" applyNumberFormat="1" applyFont="1" applyFill="1" applyAlignment="1">
      <alignment vertical="center"/>
    </xf>
    <xf numFmtId="10" fontId="27" fillId="4" borderId="0" xfId="2" applyNumberFormat="1" applyFont="1" applyFill="1" applyAlignment="1">
      <alignment horizontal="center" vertical="center"/>
    </xf>
    <xf numFmtId="0" fontId="19" fillId="16" borderId="0" xfId="2" applyNumberFormat="1" applyFont="1" applyFill="1" applyBorder="1" applyAlignment="1">
      <alignment horizontal="right" vertical="center"/>
    </xf>
    <xf numFmtId="0" fontId="22" fillId="17" borderId="0" xfId="0" applyFont="1" applyFill="1" applyAlignment="1">
      <alignment horizontal="left" vertical="center"/>
    </xf>
    <xf numFmtId="49" fontId="22" fillId="17" borderId="0" xfId="0" applyNumberFormat="1" applyFont="1" applyFill="1" applyAlignment="1">
      <alignment horizontal="right" vertical="center"/>
    </xf>
    <xf numFmtId="14" fontId="22" fillId="17" borderId="0" xfId="0" applyNumberFormat="1" applyFont="1" applyFill="1" applyAlignment="1">
      <alignment vertical="center"/>
    </xf>
    <xf numFmtId="3" fontId="22" fillId="17" borderId="0" xfId="0" applyNumberFormat="1" applyFont="1" applyFill="1" applyAlignment="1">
      <alignment horizontal="center" vertical="center"/>
    </xf>
    <xf numFmtId="187" fontId="22" fillId="17" borderId="0" xfId="0" applyNumberFormat="1" applyFont="1" applyFill="1" applyAlignment="1">
      <alignment vertical="center"/>
    </xf>
    <xf numFmtId="183" fontId="22" fillId="17" borderId="0" xfId="0" applyNumberFormat="1" applyFont="1" applyFill="1" applyAlignment="1">
      <alignment vertical="center"/>
    </xf>
    <xf numFmtId="176" fontId="22" fillId="17" borderId="0" xfId="1" applyNumberFormat="1" applyFont="1" applyFill="1" applyBorder="1" applyAlignment="1">
      <alignment vertical="center"/>
    </xf>
    <xf numFmtId="10" fontId="22" fillId="17" borderId="0" xfId="2" applyNumberFormat="1" applyFont="1" applyFill="1" applyAlignment="1">
      <alignment vertical="center"/>
    </xf>
    <xf numFmtId="165" fontId="22" fillId="17" borderId="0" xfId="1" applyFont="1" applyFill="1" applyBorder="1" applyAlignment="1">
      <alignment vertical="center"/>
    </xf>
    <xf numFmtId="181" fontId="22" fillId="17" borderId="0" xfId="1" applyNumberFormat="1" applyFont="1" applyFill="1" applyBorder="1" applyAlignment="1">
      <alignment horizontal="right" vertical="center"/>
    </xf>
    <xf numFmtId="185" fontId="22" fillId="17" borderId="4" xfId="2" applyNumberFormat="1" applyFont="1" applyFill="1" applyBorder="1" applyAlignment="1">
      <alignment vertical="center"/>
    </xf>
    <xf numFmtId="187" fontId="35" fillId="18" borderId="0" xfId="0" applyNumberFormat="1" applyFont="1" applyFill="1" applyAlignment="1">
      <alignment vertical="center"/>
    </xf>
    <xf numFmtId="165" fontId="30" fillId="18" borderId="0" xfId="1" applyFont="1" applyFill="1" applyBorder="1" applyAlignment="1">
      <alignment vertical="center"/>
    </xf>
    <xf numFmtId="187" fontId="19" fillId="19" borderId="0" xfId="0" applyNumberFormat="1" applyFont="1" applyFill="1" applyAlignment="1">
      <alignment vertical="center"/>
    </xf>
    <xf numFmtId="4" fontId="19" fillId="19" borderId="0" xfId="1" applyNumberFormat="1" applyFont="1" applyFill="1" applyAlignment="1">
      <alignment horizontal="right" vertical="center"/>
    </xf>
    <xf numFmtId="194" fontId="19" fillId="19" borderId="0" xfId="1" applyNumberFormat="1" applyFont="1" applyFill="1" applyAlignment="1">
      <alignment horizontal="right" vertical="center"/>
    </xf>
    <xf numFmtId="181" fontId="19" fillId="19" borderId="0" xfId="1" applyNumberFormat="1" applyFont="1" applyFill="1" applyAlignment="1">
      <alignment horizontal="right" vertical="center"/>
    </xf>
    <xf numFmtId="49" fontId="35" fillId="18" borderId="0" xfId="0" applyNumberFormat="1" applyFont="1" applyFill="1" applyAlignment="1">
      <alignment horizontal="left" vertical="center"/>
    </xf>
    <xf numFmtId="187" fontId="27" fillId="19" borderId="0" xfId="0" applyNumberFormat="1" applyFont="1" applyFill="1" applyAlignment="1">
      <alignment vertical="center"/>
    </xf>
    <xf numFmtId="188" fontId="27" fillId="5" borderId="1" xfId="1" applyNumberFormat="1" applyFont="1" applyFill="1" applyBorder="1" applyAlignment="1">
      <alignment vertical="center"/>
    </xf>
    <xf numFmtId="187" fontId="21" fillId="19" borderId="0" xfId="0" applyNumberFormat="1" applyFont="1" applyFill="1" applyAlignment="1">
      <alignment vertical="center"/>
    </xf>
    <xf numFmtId="187" fontId="24" fillId="20" borderId="0" xfId="0" applyNumberFormat="1" applyFont="1" applyFill="1" applyAlignment="1">
      <alignment vertical="center"/>
    </xf>
    <xf numFmtId="183" fontId="24" fillId="20" borderId="0" xfId="0" applyNumberFormat="1" applyFont="1" applyFill="1" applyAlignment="1">
      <alignment vertical="center"/>
    </xf>
    <xf numFmtId="165" fontId="22" fillId="21" borderId="0" xfId="1" applyFont="1" applyFill="1" applyBorder="1" applyAlignment="1">
      <alignment vertical="center"/>
    </xf>
    <xf numFmtId="3" fontId="35" fillId="22" borderId="0" xfId="0" applyNumberFormat="1" applyFont="1" applyFill="1" applyAlignment="1">
      <alignment horizontal="center" vertical="center"/>
    </xf>
    <xf numFmtId="187" fontId="35" fillId="22" borderId="0" xfId="0" applyNumberFormat="1" applyFont="1" applyFill="1" applyAlignment="1">
      <alignment vertical="center"/>
    </xf>
    <xf numFmtId="165" fontId="30" fillId="22" borderId="0" xfId="1" applyFont="1" applyFill="1" applyBorder="1" applyAlignment="1">
      <alignment vertical="center"/>
    </xf>
    <xf numFmtId="187" fontId="19" fillId="23" borderId="0" xfId="0" applyNumberFormat="1" applyFont="1" applyFill="1" applyAlignment="1">
      <alignment vertical="center"/>
    </xf>
    <xf numFmtId="187" fontId="24" fillId="25" borderId="0" xfId="0" applyNumberFormat="1" applyFont="1" applyFill="1" applyAlignment="1">
      <alignment vertical="center"/>
    </xf>
    <xf numFmtId="183" fontId="24" fillId="25" borderId="0" xfId="0" applyNumberFormat="1" applyFont="1" applyFill="1" applyAlignment="1">
      <alignment vertical="center"/>
    </xf>
    <xf numFmtId="165" fontId="22" fillId="25" borderId="0" xfId="1" applyFont="1" applyFill="1" applyAlignment="1">
      <alignment vertical="center"/>
    </xf>
    <xf numFmtId="3" fontId="35" fillId="26" borderId="0" xfId="0" applyNumberFormat="1" applyFont="1" applyFill="1" applyAlignment="1">
      <alignment horizontal="center" vertical="center"/>
    </xf>
    <xf numFmtId="187" fontId="35" fillId="26" borderId="0" xfId="0" applyNumberFormat="1" applyFont="1" applyFill="1" applyAlignment="1">
      <alignment vertical="center"/>
    </xf>
    <xf numFmtId="165" fontId="30" fillId="26" borderId="0" xfId="1" applyFont="1" applyFill="1" applyBorder="1" applyAlignment="1">
      <alignment vertical="center"/>
    </xf>
    <xf numFmtId="187" fontId="19" fillId="27" borderId="0" xfId="0" applyNumberFormat="1" applyFont="1" applyFill="1" applyAlignment="1">
      <alignment vertical="center"/>
    </xf>
    <xf numFmtId="3" fontId="35" fillId="27" borderId="0" xfId="0" applyNumberFormat="1" applyFont="1" applyFill="1" applyAlignment="1">
      <alignment horizontal="center" vertical="center"/>
    </xf>
    <xf numFmtId="49" fontId="35" fillId="26" borderId="0" xfId="0" applyNumberFormat="1" applyFont="1" applyFill="1" applyAlignment="1">
      <alignment horizontal="left" vertical="center"/>
    </xf>
    <xf numFmtId="14" fontId="26" fillId="28" borderId="0" xfId="0" applyNumberFormat="1" applyFont="1" applyFill="1" applyAlignment="1">
      <alignment vertical="center"/>
    </xf>
    <xf numFmtId="0" fontId="26" fillId="28" borderId="0" xfId="0" applyFont="1" applyFill="1" applyAlignment="1">
      <alignment horizontal="center" vertical="center"/>
    </xf>
    <xf numFmtId="181" fontId="26" fillId="4" borderId="2" xfId="0" applyNumberFormat="1" applyFont="1" applyFill="1" applyBorder="1" applyAlignment="1">
      <alignment horizontal="center" vertical="center"/>
    </xf>
    <xf numFmtId="210" fontId="19" fillId="0" borderId="0" xfId="0" applyNumberFormat="1" applyFont="1" applyAlignment="1">
      <alignment vertical="center"/>
    </xf>
    <xf numFmtId="210" fontId="19" fillId="0" borderId="0" xfId="0" applyNumberFormat="1" applyFont="1" applyAlignment="1">
      <alignment horizontal="left" vertical="center"/>
    </xf>
    <xf numFmtId="210" fontId="19" fillId="0" borderId="0" xfId="0" applyNumberFormat="1" applyFont="1" applyAlignment="1">
      <alignment horizontal="right" vertical="center"/>
    </xf>
    <xf numFmtId="210" fontId="19" fillId="0" borderId="0" xfId="2" applyNumberFormat="1" applyFont="1" applyBorder="1" applyAlignment="1">
      <alignment vertical="center"/>
    </xf>
    <xf numFmtId="210" fontId="19" fillId="0" borderId="0" xfId="0" applyNumberFormat="1" applyFont="1" applyAlignment="1">
      <alignment horizontal="center" vertical="center"/>
    </xf>
    <xf numFmtId="210" fontId="39" fillId="0" borderId="0" xfId="2" applyNumberFormat="1" applyFont="1" applyBorder="1" applyAlignment="1">
      <alignment vertical="center"/>
    </xf>
    <xf numFmtId="210" fontId="36" fillId="0" borderId="0" xfId="2" applyNumberFormat="1" applyFont="1" applyBorder="1" applyAlignment="1">
      <alignment vertical="center"/>
    </xf>
    <xf numFmtId="210" fontId="27" fillId="0" borderId="4" xfId="2" applyNumberFormat="1" applyFont="1" applyBorder="1" applyAlignment="1">
      <alignment vertical="center"/>
    </xf>
    <xf numFmtId="210" fontId="27" fillId="0" borderId="8" xfId="2" applyNumberFormat="1" applyFont="1" applyBorder="1" applyAlignment="1">
      <alignment vertical="center"/>
    </xf>
    <xf numFmtId="210" fontId="27" fillId="0" borderId="0" xfId="2" applyNumberFormat="1" applyFont="1" applyBorder="1" applyAlignment="1">
      <alignment vertical="center"/>
    </xf>
    <xf numFmtId="210" fontId="19" fillId="0" borderId="9" xfId="2" applyNumberFormat="1" applyFont="1" applyBorder="1" applyAlignment="1">
      <alignment vertical="center"/>
    </xf>
    <xf numFmtId="210" fontId="19" fillId="0" borderId="8" xfId="2" applyNumberFormat="1" applyFont="1" applyBorder="1" applyAlignment="1">
      <alignment vertical="center"/>
    </xf>
    <xf numFmtId="210" fontId="19" fillId="4" borderId="0" xfId="2" applyNumberFormat="1" applyFont="1" applyFill="1" applyBorder="1" applyAlignment="1">
      <alignment horizontal="center" vertical="center"/>
    </xf>
    <xf numFmtId="211" fontId="19" fillId="23" borderId="0" xfId="0" applyNumberFormat="1" applyFont="1" applyFill="1" applyAlignment="1">
      <alignment vertical="center"/>
    </xf>
    <xf numFmtId="211" fontId="19" fillId="23" borderId="0" xfId="0" applyNumberFormat="1" applyFont="1" applyFill="1" applyAlignment="1">
      <alignment horizontal="left" vertical="center"/>
    </xf>
    <xf numFmtId="211" fontId="19" fillId="23" borderId="0" xfId="0" applyNumberFormat="1" applyFont="1" applyFill="1" applyAlignment="1">
      <alignment horizontal="right" vertical="center"/>
    </xf>
    <xf numFmtId="211" fontId="19" fillId="23" borderId="0" xfId="0" applyNumberFormat="1" applyFont="1" applyFill="1" applyAlignment="1">
      <alignment horizontal="center" vertical="center"/>
    </xf>
    <xf numFmtId="211" fontId="19" fillId="23" borderId="4" xfId="0" applyNumberFormat="1" applyFont="1" applyFill="1" applyBorder="1" applyAlignment="1">
      <alignment horizontal="right" vertical="center"/>
    </xf>
    <xf numFmtId="211" fontId="27" fillId="23" borderId="1" xfId="1" applyNumberFormat="1" applyFont="1" applyFill="1" applyBorder="1" applyAlignment="1">
      <alignment vertical="center"/>
    </xf>
    <xf numFmtId="211" fontId="27" fillId="23" borderId="0" xfId="1" applyNumberFormat="1" applyFont="1" applyFill="1" applyBorder="1" applyAlignment="1">
      <alignment vertical="center"/>
    </xf>
    <xf numFmtId="211" fontId="19" fillId="23" borderId="0" xfId="1" applyNumberFormat="1" applyFont="1" applyFill="1" applyBorder="1" applyAlignment="1">
      <alignment vertical="center"/>
    </xf>
    <xf numFmtId="211" fontId="19" fillId="23" borderId="8" xfId="1" applyNumberFormat="1" applyFont="1" applyFill="1" applyBorder="1" applyAlignment="1">
      <alignment vertical="center"/>
    </xf>
    <xf numFmtId="211" fontId="19" fillId="23" borderId="9" xfId="1" applyNumberFormat="1" applyFont="1" applyFill="1" applyBorder="1" applyAlignment="1">
      <alignment vertical="center"/>
    </xf>
    <xf numFmtId="211" fontId="19" fillId="4" borderId="0" xfId="1" applyNumberFormat="1" applyFont="1" applyFill="1" applyBorder="1" applyAlignment="1">
      <alignment horizontal="center" vertical="center"/>
    </xf>
    <xf numFmtId="211" fontId="19" fillId="0" borderId="0" xfId="0" applyNumberFormat="1" applyFont="1" applyAlignment="1">
      <alignment vertical="center"/>
    </xf>
    <xf numFmtId="211" fontId="19" fillId="0" borderId="6" xfId="0" applyNumberFormat="1" applyFont="1" applyBorder="1" applyAlignment="1">
      <alignment vertical="center"/>
    </xf>
    <xf numFmtId="211" fontId="19" fillId="0" borderId="6" xfId="0" applyNumberFormat="1" applyFont="1" applyBorder="1" applyAlignment="1">
      <alignment horizontal="left" vertical="center"/>
    </xf>
    <xf numFmtId="211" fontId="19" fillId="0" borderId="6" xfId="0" applyNumberFormat="1" applyFont="1" applyBorder="1" applyAlignment="1">
      <alignment horizontal="right" vertical="center"/>
    </xf>
    <xf numFmtId="211" fontId="19" fillId="0" borderId="6" xfId="0" applyNumberFormat="1" applyFont="1" applyBorder="1" applyAlignment="1">
      <alignment horizontal="center" vertical="center"/>
    </xf>
    <xf numFmtId="211" fontId="19" fillId="0" borderId="7" xfId="0" applyNumberFormat="1" applyFont="1" applyBorder="1" applyAlignment="1">
      <alignment horizontal="right" vertical="center"/>
    </xf>
    <xf numFmtId="211" fontId="27" fillId="0" borderId="5" xfId="1" applyNumberFormat="1" applyFont="1" applyBorder="1" applyAlignment="1">
      <alignment vertical="center"/>
    </xf>
    <xf numFmtId="211" fontId="27" fillId="0" borderId="6" xfId="1" applyNumberFormat="1" applyFont="1" applyBorder="1" applyAlignment="1">
      <alignment vertical="center"/>
    </xf>
    <xf numFmtId="211" fontId="19" fillId="0" borderId="6" xfId="1" applyNumberFormat="1" applyFont="1" applyBorder="1" applyAlignment="1">
      <alignment vertical="center"/>
    </xf>
    <xf numFmtId="211" fontId="19" fillId="0" borderId="13" xfId="1" applyNumberFormat="1" applyFont="1" applyBorder="1" applyAlignment="1">
      <alignment vertical="center"/>
    </xf>
    <xf numFmtId="211" fontId="19" fillId="0" borderId="14" xfId="1" applyNumberFormat="1" applyFont="1" applyBorder="1" applyAlignment="1">
      <alignment vertical="center"/>
    </xf>
    <xf numFmtId="211" fontId="19" fillId="4" borderId="6" xfId="1" applyNumberFormat="1" applyFont="1" applyFill="1" applyBorder="1" applyAlignment="1">
      <alignment horizontal="center" vertical="center"/>
    </xf>
    <xf numFmtId="194" fontId="18" fillId="4" borderId="0" xfId="0" applyNumberFormat="1" applyFont="1" applyFill="1" applyAlignment="1">
      <alignment vertical="center"/>
    </xf>
    <xf numFmtId="0" fontId="21" fillId="4" borderId="0" xfId="0" applyFont="1" applyFill="1" applyAlignment="1">
      <alignment horizontal="center" vertical="center"/>
    </xf>
    <xf numFmtId="194" fontId="19" fillId="4" borderId="0" xfId="0" applyNumberFormat="1" applyFont="1" applyFill="1" applyAlignment="1">
      <alignment vertical="center"/>
    </xf>
    <xf numFmtId="49" fontId="21" fillId="4" borderId="0" xfId="0" applyNumberFormat="1" applyFont="1" applyFill="1" applyAlignment="1">
      <alignment horizontal="center" vertical="center"/>
    </xf>
    <xf numFmtId="10" fontId="21" fillId="5" borderId="1" xfId="2" applyNumberFormat="1" applyFont="1" applyFill="1" applyBorder="1" applyAlignment="1">
      <alignment horizontal="left" vertical="center"/>
    </xf>
    <xf numFmtId="10" fontId="21" fillId="5" borderId="0" xfId="2" applyNumberFormat="1" applyFont="1" applyFill="1" applyBorder="1" applyAlignment="1">
      <alignment horizontal="left" vertical="center"/>
    </xf>
    <xf numFmtId="178" fontId="21" fillId="4" borderId="0" xfId="0" applyNumberFormat="1" applyFont="1" applyFill="1" applyAlignment="1">
      <alignment horizontal="right" vertical="center"/>
    </xf>
    <xf numFmtId="166" fontId="19" fillId="4" borderId="0" xfId="1" applyNumberFormat="1" applyFont="1" applyFill="1" applyBorder="1" applyAlignment="1">
      <alignment vertical="center"/>
    </xf>
    <xf numFmtId="194" fontId="19" fillId="4" borderId="0" xfId="0" applyNumberFormat="1" applyFont="1" applyFill="1" applyAlignment="1">
      <alignment horizontal="right" vertical="center"/>
    </xf>
    <xf numFmtId="179" fontId="21" fillId="5" borderId="0" xfId="1" applyNumberFormat="1" applyFont="1" applyFill="1" applyBorder="1" applyAlignment="1">
      <alignment horizontal="left" vertical="center"/>
    </xf>
    <xf numFmtId="201" fontId="21" fillId="4" borderId="0" xfId="1" applyNumberFormat="1" applyFont="1" applyFill="1" applyBorder="1" applyAlignment="1">
      <alignment horizontal="left" vertical="center"/>
    </xf>
    <xf numFmtId="197" fontId="21" fillId="5" borderId="1" xfId="1" applyNumberFormat="1" applyFont="1" applyFill="1" applyBorder="1" applyAlignment="1">
      <alignment horizontal="left" vertical="center"/>
    </xf>
    <xf numFmtId="201" fontId="21" fillId="5" borderId="0" xfId="1" applyNumberFormat="1" applyFont="1" applyFill="1" applyBorder="1" applyAlignment="1">
      <alignment horizontal="left" vertical="center"/>
    </xf>
    <xf numFmtId="189" fontId="21" fillId="5" borderId="0" xfId="1" applyNumberFormat="1" applyFont="1" applyFill="1" applyBorder="1" applyAlignment="1">
      <alignment horizontal="left" vertical="center"/>
    </xf>
    <xf numFmtId="180" fontId="18" fillId="4" borderId="0" xfId="2" applyNumberFormat="1" applyFont="1" applyFill="1" applyBorder="1" applyAlignment="1">
      <alignment vertical="center"/>
    </xf>
    <xf numFmtId="201" fontId="21" fillId="4" borderId="0" xfId="2" applyNumberFormat="1" applyFont="1" applyFill="1" applyBorder="1" applyAlignment="1">
      <alignment horizontal="left" vertical="center"/>
    </xf>
    <xf numFmtId="201" fontId="21" fillId="5" borderId="0" xfId="2" applyNumberFormat="1" applyFont="1" applyFill="1" applyBorder="1" applyAlignment="1">
      <alignment horizontal="left" vertical="center"/>
    </xf>
    <xf numFmtId="194" fontId="21" fillId="4" borderId="0" xfId="2" applyNumberFormat="1" applyFont="1" applyFill="1" applyBorder="1" applyAlignment="1">
      <alignment vertical="center"/>
    </xf>
    <xf numFmtId="10" fontId="21" fillId="4" borderId="6" xfId="2" applyNumberFormat="1" applyFont="1" applyFill="1" applyBorder="1" applyAlignment="1">
      <alignment horizontal="center" vertical="center"/>
    </xf>
    <xf numFmtId="180" fontId="19" fillId="0" borderId="0" xfId="2" applyNumberFormat="1" applyFont="1" applyBorder="1" applyAlignment="1">
      <alignment horizontal="right" vertical="center"/>
    </xf>
    <xf numFmtId="178" fontId="19" fillId="3" borderId="0" xfId="0" applyNumberFormat="1" applyFont="1" applyFill="1" applyAlignment="1">
      <alignment vertical="center"/>
    </xf>
    <xf numFmtId="194" fontId="19" fillId="3" borderId="0" xfId="0" applyNumberFormat="1" applyFont="1" applyFill="1" applyAlignment="1">
      <alignment vertical="center"/>
    </xf>
    <xf numFmtId="181" fontId="19" fillId="3" borderId="4" xfId="0" applyNumberFormat="1" applyFont="1" applyFill="1" applyBorder="1" applyAlignment="1">
      <alignment vertical="center"/>
    </xf>
    <xf numFmtId="0" fontId="22" fillId="3" borderId="0" xfId="0" applyFont="1" applyFill="1" applyAlignment="1">
      <alignment vertical="center"/>
    </xf>
    <xf numFmtId="0" fontId="24" fillId="3" borderId="0" xfId="0" applyFont="1" applyFill="1" applyAlignment="1">
      <alignment vertical="center"/>
    </xf>
    <xf numFmtId="0" fontId="24" fillId="3" borderId="0" xfId="0" applyFont="1" applyFill="1" applyAlignment="1">
      <alignment horizontal="left" vertical="center"/>
    </xf>
    <xf numFmtId="10" fontId="24" fillId="3" borderId="0" xfId="2" applyNumberFormat="1" applyFont="1" applyFill="1" applyAlignment="1">
      <alignment horizontal="left" vertical="center"/>
    </xf>
    <xf numFmtId="0" fontId="24" fillId="3" borderId="4" xfId="0" applyFont="1" applyFill="1" applyBorder="1" applyAlignment="1">
      <alignment vertical="center"/>
    </xf>
    <xf numFmtId="0" fontId="19" fillId="5" borderId="1" xfId="0" applyFont="1" applyFill="1" applyBorder="1" applyAlignment="1">
      <alignment horizontal="left" vertical="center"/>
    </xf>
    <xf numFmtId="0" fontId="19" fillId="5" borderId="0" xfId="0" applyFont="1" applyFill="1" applyAlignment="1">
      <alignment horizontal="left" vertical="center"/>
    </xf>
    <xf numFmtId="0" fontId="19" fillId="10" borderId="8" xfId="0" applyFont="1" applyFill="1" applyBorder="1" applyAlignment="1">
      <alignment horizontal="left" vertical="center"/>
    </xf>
    <xf numFmtId="0" fontId="19" fillId="10" borderId="0" xfId="0" applyFont="1" applyFill="1" applyAlignment="1">
      <alignment horizontal="left" vertical="center"/>
    </xf>
    <xf numFmtId="0" fontId="19" fillId="10" borderId="9" xfId="0" applyFont="1" applyFill="1" applyBorder="1" applyAlignment="1">
      <alignment horizontal="left" vertical="center"/>
    </xf>
    <xf numFmtId="0" fontId="19" fillId="11" borderId="8" xfId="0" applyFont="1" applyFill="1" applyBorder="1" applyAlignment="1">
      <alignment horizontal="left" vertical="center"/>
    </xf>
    <xf numFmtId="0" fontId="19" fillId="11" borderId="0" xfId="0" applyFont="1" applyFill="1" applyAlignment="1">
      <alignment horizontal="left" vertical="center"/>
    </xf>
    <xf numFmtId="0" fontId="19" fillId="11" borderId="9" xfId="0" applyFont="1" applyFill="1" applyBorder="1" applyAlignment="1">
      <alignment horizontal="left" vertical="center"/>
    </xf>
    <xf numFmtId="0" fontId="26" fillId="12" borderId="0" xfId="0" applyFont="1" applyFill="1" applyAlignment="1">
      <alignment horizontal="left" vertical="center"/>
    </xf>
    <xf numFmtId="0" fontId="26" fillId="12" borderId="4" xfId="0" applyFont="1" applyFill="1" applyBorder="1" applyAlignment="1">
      <alignment horizontal="left" vertical="center"/>
    </xf>
    <xf numFmtId="182" fontId="26" fillId="13" borderId="0" xfId="0" applyNumberFormat="1" applyFont="1" applyFill="1" applyAlignment="1">
      <alignment vertical="center"/>
    </xf>
    <xf numFmtId="3" fontId="24" fillId="13" borderId="0" xfId="0" applyNumberFormat="1" applyFont="1" applyFill="1" applyAlignment="1">
      <alignment vertical="center"/>
    </xf>
    <xf numFmtId="10" fontId="24" fillId="13" borderId="0" xfId="2" applyNumberFormat="1" applyFont="1" applyFill="1" applyBorder="1" applyAlignment="1">
      <alignment vertical="center"/>
    </xf>
    <xf numFmtId="10" fontId="24" fillId="13" borderId="4" xfId="2" applyNumberFormat="1" applyFont="1" applyFill="1" applyBorder="1" applyAlignment="1">
      <alignment vertical="center"/>
    </xf>
    <xf numFmtId="194" fontId="24" fillId="13" borderId="0" xfId="0" applyNumberFormat="1" applyFont="1" applyFill="1" applyAlignment="1">
      <alignment vertical="center"/>
    </xf>
    <xf numFmtId="201" fontId="24" fillId="13" borderId="0" xfId="0" applyNumberFormat="1" applyFont="1" applyFill="1" applyAlignment="1">
      <alignment vertical="center"/>
    </xf>
    <xf numFmtId="197" fontId="24" fillId="13" borderId="1" xfId="0" applyNumberFormat="1" applyFont="1" applyFill="1" applyBorder="1" applyAlignment="1">
      <alignment vertical="center"/>
    </xf>
    <xf numFmtId="189" fontId="26" fillId="13" borderId="8" xfId="0" applyNumberFormat="1" applyFont="1" applyFill="1" applyBorder="1" applyAlignment="1">
      <alignment vertical="center"/>
    </xf>
    <xf numFmtId="49" fontId="19" fillId="14" borderId="0" xfId="0" applyNumberFormat="1" applyFont="1" applyFill="1" applyAlignment="1">
      <alignment horizontal="right" vertical="center"/>
    </xf>
    <xf numFmtId="182" fontId="19" fillId="14" borderId="0" xfId="0" applyNumberFormat="1" applyFont="1" applyFill="1" applyAlignment="1">
      <alignment vertical="center"/>
    </xf>
    <xf numFmtId="3" fontId="19" fillId="14" borderId="0" xfId="1" applyNumberFormat="1" applyFont="1" applyFill="1" applyBorder="1" applyAlignment="1">
      <alignment vertical="center"/>
    </xf>
    <xf numFmtId="0" fontId="19" fillId="14" borderId="0" xfId="0" applyFont="1" applyFill="1" applyAlignment="1">
      <alignment horizontal="center" vertical="center"/>
    </xf>
    <xf numFmtId="10" fontId="27" fillId="14" borderId="0" xfId="7" applyNumberFormat="1" applyFont="1" applyFill="1" applyAlignment="1">
      <alignment vertical="center"/>
    </xf>
    <xf numFmtId="10" fontId="19" fillId="14" borderId="4" xfId="2" applyNumberFormat="1" applyFont="1" applyFill="1" applyBorder="1" applyAlignment="1">
      <alignment vertical="center"/>
    </xf>
    <xf numFmtId="194" fontId="29" fillId="14" borderId="0" xfId="0" applyNumberFormat="1" applyFont="1" applyFill="1" applyAlignment="1">
      <alignment vertical="center"/>
    </xf>
    <xf numFmtId="197" fontId="27" fillId="5" borderId="1" xfId="1" applyNumberFormat="1" applyFont="1" applyFill="1" applyBorder="1" applyAlignment="1">
      <alignment vertical="center"/>
    </xf>
    <xf numFmtId="189" fontId="19" fillId="11" borderId="8" xfId="1" applyNumberFormat="1" applyFont="1" applyFill="1" applyBorder="1" applyAlignment="1">
      <alignment vertical="center"/>
    </xf>
    <xf numFmtId="201" fontId="19" fillId="5" borderId="0" xfId="1" applyNumberFormat="1" applyFont="1" applyFill="1" applyBorder="1" applyAlignment="1">
      <alignment vertical="center"/>
    </xf>
    <xf numFmtId="197" fontId="19" fillId="5" borderId="1" xfId="1" applyNumberFormat="1" applyFont="1" applyFill="1" applyBorder="1" applyAlignment="1">
      <alignment vertical="center"/>
    </xf>
    <xf numFmtId="49" fontId="19" fillId="14" borderId="20" xfId="0" applyNumberFormat="1" applyFont="1" applyFill="1" applyBorder="1" applyAlignment="1">
      <alignment horizontal="right" vertical="center"/>
    </xf>
    <xf numFmtId="182" fontId="19" fillId="14" borderId="20" xfId="0" applyNumberFormat="1" applyFont="1" applyFill="1" applyBorder="1" applyAlignment="1">
      <alignment vertical="center"/>
    </xf>
    <xf numFmtId="3" fontId="19" fillId="14" borderId="20" xfId="1" applyNumberFormat="1" applyFont="1" applyFill="1" applyBorder="1" applyAlignment="1">
      <alignment vertical="center"/>
    </xf>
    <xf numFmtId="0" fontId="19" fillId="14" borderId="20" xfId="0" applyFont="1" applyFill="1" applyBorder="1" applyAlignment="1">
      <alignment horizontal="center" vertical="center"/>
    </xf>
    <xf numFmtId="10" fontId="27" fillId="14" borderId="20" xfId="7" applyNumberFormat="1" applyFont="1" applyFill="1" applyBorder="1" applyAlignment="1">
      <alignment vertical="center"/>
    </xf>
    <xf numFmtId="10" fontId="19" fillId="14" borderId="21" xfId="2" applyNumberFormat="1" applyFont="1" applyFill="1" applyBorder="1" applyAlignment="1">
      <alignment vertical="center"/>
    </xf>
    <xf numFmtId="207" fontId="27" fillId="14" borderId="20" xfId="2" applyNumberFormat="1" applyFont="1" applyFill="1" applyBorder="1" applyAlignment="1">
      <alignment vertical="center"/>
    </xf>
    <xf numFmtId="194" fontId="27" fillId="14" borderId="20" xfId="0" applyNumberFormat="1" applyFont="1" applyFill="1" applyBorder="1" applyAlignment="1">
      <alignment vertical="center"/>
    </xf>
    <xf numFmtId="201" fontId="19" fillId="5" borderId="20" xfId="1" applyNumberFormat="1" applyFont="1" applyFill="1" applyBorder="1" applyAlignment="1">
      <alignment vertical="center"/>
    </xf>
    <xf numFmtId="197" fontId="19" fillId="5" borderId="22" xfId="1" applyNumberFormat="1" applyFont="1" applyFill="1" applyBorder="1" applyAlignment="1">
      <alignment vertical="center"/>
    </xf>
    <xf numFmtId="189" fontId="19" fillId="11" borderId="23" xfId="1" applyNumberFormat="1" applyFont="1" applyFill="1" applyBorder="1" applyAlignment="1">
      <alignment vertical="center"/>
    </xf>
    <xf numFmtId="185" fontId="19" fillId="14" borderId="21" xfId="2" applyNumberFormat="1" applyFont="1" applyFill="1" applyBorder="1" applyAlignment="1">
      <alignment vertical="center"/>
    </xf>
    <xf numFmtId="207" fontId="27" fillId="14" borderId="0" xfId="2" applyNumberFormat="1" applyFont="1" applyFill="1" applyAlignment="1">
      <alignment vertical="center"/>
    </xf>
    <xf numFmtId="194" fontId="27" fillId="14" borderId="0" xfId="0" applyNumberFormat="1" applyFont="1" applyFill="1" applyAlignment="1">
      <alignment vertical="center"/>
    </xf>
    <xf numFmtId="182" fontId="26" fillId="15" borderId="0" xfId="0" applyNumberFormat="1" applyFont="1" applyFill="1" applyAlignment="1">
      <alignment vertical="center"/>
    </xf>
    <xf numFmtId="3" fontId="24" fillId="15" borderId="0" xfId="0" applyNumberFormat="1" applyFont="1" applyFill="1" applyAlignment="1">
      <alignment vertical="center"/>
    </xf>
    <xf numFmtId="10" fontId="24" fillId="15" borderId="0" xfId="2" applyNumberFormat="1" applyFont="1" applyFill="1" applyBorder="1" applyAlignment="1">
      <alignment vertical="center"/>
    </xf>
    <xf numFmtId="10" fontId="24" fillId="15" borderId="4" xfId="2" applyNumberFormat="1" applyFont="1" applyFill="1" applyBorder="1" applyAlignment="1">
      <alignment vertical="center"/>
    </xf>
    <xf numFmtId="194" fontId="24" fillId="15" borderId="0" xfId="1" applyNumberFormat="1" applyFont="1" applyFill="1" applyBorder="1" applyAlignment="1">
      <alignment vertical="center"/>
    </xf>
    <xf numFmtId="201" fontId="24" fillId="15" borderId="0" xfId="0" applyNumberFormat="1" applyFont="1" applyFill="1" applyAlignment="1">
      <alignment vertical="center"/>
    </xf>
    <xf numFmtId="197" fontId="24" fillId="15" borderId="1" xfId="0" applyNumberFormat="1" applyFont="1" applyFill="1" applyBorder="1" applyAlignment="1">
      <alignment vertical="center"/>
    </xf>
    <xf numFmtId="189" fontId="26" fillId="15" borderId="8" xfId="0" applyNumberFormat="1" applyFont="1" applyFill="1" applyBorder="1" applyAlignment="1">
      <alignment vertical="center"/>
    </xf>
    <xf numFmtId="3" fontId="19" fillId="16" borderId="0" xfId="1" applyNumberFormat="1" applyFont="1" applyFill="1" applyBorder="1" applyAlignment="1">
      <alignment vertical="center"/>
    </xf>
    <xf numFmtId="0" fontId="19" fillId="16" borderId="0" xfId="0" applyFont="1" applyFill="1" applyAlignment="1">
      <alignment horizontal="center" vertical="center"/>
    </xf>
    <xf numFmtId="10" fontId="19" fillId="16" borderId="0" xfId="2" applyNumberFormat="1" applyFont="1" applyFill="1" applyBorder="1" applyAlignment="1">
      <alignment horizontal="left" vertical="center"/>
    </xf>
    <xf numFmtId="10" fontId="19" fillId="16" borderId="4" xfId="2" applyNumberFormat="1" applyFont="1" applyFill="1" applyBorder="1" applyAlignment="1">
      <alignment horizontal="left" vertical="center"/>
    </xf>
    <xf numFmtId="194" fontId="19" fillId="16" borderId="0" xfId="2" applyNumberFormat="1" applyFont="1" applyFill="1" applyBorder="1" applyAlignment="1">
      <alignment horizontal="right" vertical="center"/>
    </xf>
    <xf numFmtId="0" fontId="19" fillId="16" borderId="0" xfId="0" applyFont="1" applyFill="1" applyAlignment="1">
      <alignment horizontal="center"/>
    </xf>
    <xf numFmtId="0" fontId="35" fillId="16" borderId="0" xfId="0" applyFont="1" applyFill="1" applyAlignment="1">
      <alignment horizontal="center" vertical="center"/>
    </xf>
    <xf numFmtId="4" fontId="19" fillId="16" borderId="0" xfId="1" applyNumberFormat="1" applyFont="1" applyFill="1" applyAlignment="1">
      <alignment vertical="center"/>
    </xf>
    <xf numFmtId="3" fontId="19" fillId="16" borderId="0" xfId="1" applyNumberFormat="1" applyFont="1" applyFill="1" applyAlignment="1">
      <alignment vertical="center"/>
    </xf>
    <xf numFmtId="10" fontId="19" fillId="16" borderId="0" xfId="2" applyNumberFormat="1" applyFont="1" applyFill="1" applyAlignment="1">
      <alignment horizontal="left" vertical="center"/>
    </xf>
    <xf numFmtId="9" fontId="19" fillId="16" borderId="0" xfId="2" applyFont="1" applyFill="1" applyAlignment="1">
      <alignment vertical="center"/>
    </xf>
    <xf numFmtId="194" fontId="19" fillId="16" borderId="0" xfId="2" applyNumberFormat="1" applyFont="1" applyFill="1" applyAlignment="1">
      <alignment horizontal="right" vertical="center"/>
    </xf>
    <xf numFmtId="10" fontId="19" fillId="5" borderId="0" xfId="2" applyNumberFormat="1" applyFont="1" applyFill="1" applyAlignment="1">
      <alignment vertical="center"/>
    </xf>
    <xf numFmtId="185" fontId="27" fillId="16" borderId="0" xfId="2" applyNumberFormat="1" applyFont="1" applyFill="1" applyAlignment="1">
      <alignment vertical="center"/>
    </xf>
    <xf numFmtId="0" fontId="35" fillId="16" borderId="0" xfId="0" applyFont="1" applyFill="1" applyAlignment="1">
      <alignment horizontal="center"/>
    </xf>
    <xf numFmtId="182" fontId="19" fillId="17" borderId="0" xfId="0" applyNumberFormat="1" applyFont="1" applyFill="1" applyAlignment="1">
      <alignment vertical="center"/>
    </xf>
    <xf numFmtId="3" fontId="21" fillId="17" borderId="0" xfId="0" applyNumberFormat="1" applyFont="1" applyFill="1" applyAlignment="1">
      <alignment vertical="center"/>
    </xf>
    <xf numFmtId="0" fontId="21" fillId="17" borderId="0" xfId="0" applyFont="1" applyFill="1" applyAlignment="1">
      <alignment horizontal="center" vertical="center"/>
    </xf>
    <xf numFmtId="10" fontId="21" fillId="17" borderId="0" xfId="2" applyNumberFormat="1" applyFont="1" applyFill="1" applyBorder="1" applyAlignment="1">
      <alignment vertical="center"/>
    </xf>
    <xf numFmtId="10" fontId="21" fillId="17" borderId="4" xfId="2" applyNumberFormat="1" applyFont="1" applyFill="1" applyBorder="1" applyAlignment="1">
      <alignment vertical="center"/>
    </xf>
    <xf numFmtId="194" fontId="21" fillId="17" borderId="0" xfId="1" applyNumberFormat="1" applyFont="1" applyFill="1" applyBorder="1" applyAlignment="1">
      <alignment vertical="center"/>
    </xf>
    <xf numFmtId="201" fontId="21" fillId="17" borderId="0" xfId="0" applyNumberFormat="1" applyFont="1" applyFill="1" applyAlignment="1">
      <alignment vertical="center"/>
    </xf>
    <xf numFmtId="197" fontId="21" fillId="17" borderId="1" xfId="0" applyNumberFormat="1" applyFont="1" applyFill="1" applyBorder="1" applyAlignment="1">
      <alignment vertical="center"/>
    </xf>
    <xf numFmtId="189" fontId="19" fillId="17" borderId="8" xfId="0" applyNumberFormat="1" applyFont="1" applyFill="1" applyBorder="1" applyAlignment="1">
      <alignment vertical="center"/>
    </xf>
    <xf numFmtId="185" fontId="21" fillId="17" borderId="4" xfId="2" applyNumberFormat="1" applyFont="1" applyFill="1" applyBorder="1" applyAlignment="1">
      <alignment vertical="center"/>
    </xf>
    <xf numFmtId="3" fontId="35" fillId="18" borderId="0" xfId="0" applyNumberFormat="1" applyFont="1" applyFill="1" applyAlignment="1">
      <alignment vertical="center"/>
    </xf>
    <xf numFmtId="10" fontId="35" fillId="18" borderId="0" xfId="2" applyNumberFormat="1" applyFont="1" applyFill="1" applyBorder="1" applyAlignment="1">
      <alignment vertical="center"/>
    </xf>
    <xf numFmtId="10" fontId="35" fillId="18" borderId="4" xfId="2" applyNumberFormat="1" applyFont="1" applyFill="1" applyBorder="1" applyAlignment="1">
      <alignment vertical="center"/>
    </xf>
    <xf numFmtId="194" fontId="35" fillId="18" borderId="0" xfId="1" applyNumberFormat="1" applyFont="1" applyFill="1" applyBorder="1" applyAlignment="1">
      <alignment vertical="center"/>
    </xf>
    <xf numFmtId="197" fontId="30" fillId="18" borderId="1" xfId="0" applyNumberFormat="1" applyFont="1" applyFill="1" applyBorder="1" applyAlignment="1">
      <alignment vertical="center"/>
    </xf>
    <xf numFmtId="189" fontId="30" fillId="18" borderId="8" xfId="0" applyNumberFormat="1" applyFont="1" applyFill="1" applyBorder="1" applyAlignment="1">
      <alignment vertical="center"/>
    </xf>
    <xf numFmtId="182" fontId="27" fillId="19" borderId="0" xfId="0" applyNumberFormat="1" applyFont="1" applyFill="1" applyAlignment="1">
      <alignment vertical="center"/>
    </xf>
    <xf numFmtId="3" fontId="19" fillId="19" borderId="0" xfId="1" applyNumberFormat="1" applyFont="1" applyFill="1" applyBorder="1" applyAlignment="1">
      <alignment vertical="center"/>
    </xf>
    <xf numFmtId="0" fontId="27" fillId="19" borderId="0" xfId="0" applyFont="1" applyFill="1" applyAlignment="1">
      <alignment horizontal="center" vertical="center"/>
    </xf>
    <xf numFmtId="10" fontId="19" fillId="19" borderId="0" xfId="2" applyNumberFormat="1" applyFont="1" applyFill="1" applyBorder="1" applyAlignment="1">
      <alignment vertical="center"/>
    </xf>
    <xf numFmtId="10" fontId="19" fillId="19" borderId="4" xfId="2" applyNumberFormat="1" applyFont="1" applyFill="1" applyBorder="1" applyAlignment="1">
      <alignment vertical="center"/>
    </xf>
    <xf numFmtId="0" fontId="19" fillId="19" borderId="0" xfId="0" applyFont="1" applyFill="1" applyAlignment="1">
      <alignment horizontal="center" vertical="center"/>
    </xf>
    <xf numFmtId="3" fontId="35" fillId="18" borderId="0" xfId="1" applyNumberFormat="1" applyFont="1" applyFill="1" applyBorder="1" applyAlignment="1">
      <alignment vertical="center"/>
    </xf>
    <xf numFmtId="213" fontId="19" fillId="5" borderId="1" xfId="1" applyNumberFormat="1" applyFont="1" applyFill="1" applyBorder="1" applyAlignment="1">
      <alignment vertical="center"/>
    </xf>
    <xf numFmtId="0" fontId="36" fillId="19" borderId="0" xfId="0" applyFont="1" applyFill="1" applyAlignment="1">
      <alignment vertical="center"/>
    </xf>
    <xf numFmtId="203" fontId="19" fillId="5" borderId="1" xfId="1" applyNumberFormat="1" applyFont="1" applyFill="1" applyBorder="1" applyAlignment="1">
      <alignment vertical="center"/>
    </xf>
    <xf numFmtId="182" fontId="41" fillId="19" borderId="0" xfId="0" applyNumberFormat="1" applyFont="1" applyFill="1" applyAlignment="1">
      <alignment vertical="center"/>
    </xf>
    <xf numFmtId="182" fontId="40" fillId="19" borderId="0" xfId="0" applyNumberFormat="1" applyFont="1" applyFill="1" applyAlignment="1">
      <alignment vertical="center"/>
    </xf>
    <xf numFmtId="0" fontId="35" fillId="19" borderId="0" xfId="0" applyFont="1" applyFill="1" applyAlignment="1">
      <alignment horizontal="center" vertical="center"/>
    </xf>
    <xf numFmtId="182" fontId="26" fillId="20" borderId="0" xfId="0" applyNumberFormat="1" applyFont="1" applyFill="1" applyAlignment="1">
      <alignment vertical="center"/>
    </xf>
    <xf numFmtId="3" fontId="24" fillId="20" borderId="0" xfId="1" applyNumberFormat="1" applyFont="1" applyFill="1" applyBorder="1" applyAlignment="1">
      <alignment vertical="center"/>
    </xf>
    <xf numFmtId="10" fontId="24" fillId="20" borderId="0" xfId="2" applyNumberFormat="1" applyFont="1" applyFill="1" applyBorder="1" applyAlignment="1">
      <alignment vertical="center"/>
    </xf>
    <xf numFmtId="10" fontId="24" fillId="20" borderId="4" xfId="2" applyNumberFormat="1" applyFont="1" applyFill="1" applyBorder="1" applyAlignment="1">
      <alignment vertical="center"/>
    </xf>
    <xf numFmtId="194" fontId="24" fillId="20" borderId="0" xfId="1" applyNumberFormat="1" applyFont="1" applyFill="1" applyBorder="1" applyAlignment="1">
      <alignment vertical="center"/>
    </xf>
    <xf numFmtId="201" fontId="24" fillId="21" borderId="0" xfId="0" applyNumberFormat="1" applyFont="1" applyFill="1" applyAlignment="1">
      <alignment vertical="center"/>
    </xf>
    <xf numFmtId="197" fontId="24" fillId="21" borderId="1" xfId="0" applyNumberFormat="1" applyFont="1" applyFill="1" applyBorder="1" applyAlignment="1">
      <alignment vertical="center"/>
    </xf>
    <xf numFmtId="189" fontId="26" fillId="21" borderId="8" xfId="0" applyNumberFormat="1" applyFont="1" applyFill="1" applyBorder="1" applyAlignment="1">
      <alignment vertical="center"/>
    </xf>
    <xf numFmtId="3" fontId="35" fillId="22" borderId="0" xfId="1" applyNumberFormat="1" applyFont="1" applyFill="1" applyBorder="1" applyAlignment="1">
      <alignment vertical="center"/>
    </xf>
    <xf numFmtId="10" fontId="35" fillId="22" borderId="0" xfId="2" applyNumberFormat="1" applyFont="1" applyFill="1" applyBorder="1" applyAlignment="1">
      <alignment vertical="center"/>
    </xf>
    <xf numFmtId="10" fontId="35" fillId="22" borderId="4" xfId="2" applyNumberFormat="1" applyFont="1" applyFill="1" applyBorder="1" applyAlignment="1">
      <alignment vertical="center"/>
    </xf>
    <xf numFmtId="194" fontId="35" fillId="22" borderId="0" xfId="1" applyNumberFormat="1" applyFont="1" applyFill="1" applyBorder="1" applyAlignment="1">
      <alignment vertical="center"/>
    </xf>
    <xf numFmtId="201" fontId="35" fillId="22" borderId="0" xfId="0" applyNumberFormat="1" applyFont="1" applyFill="1" applyAlignment="1">
      <alignment vertical="center"/>
    </xf>
    <xf numFmtId="197" fontId="35" fillId="22" borderId="1" xfId="0" applyNumberFormat="1" applyFont="1" applyFill="1" applyBorder="1" applyAlignment="1">
      <alignment vertical="center"/>
    </xf>
    <xf numFmtId="189" fontId="35" fillId="22" borderId="8" xfId="0" applyNumberFormat="1" applyFont="1" applyFill="1" applyBorder="1" applyAlignment="1">
      <alignment vertical="center"/>
    </xf>
    <xf numFmtId="3" fontId="19" fillId="23" borderId="0" xfId="1" applyNumberFormat="1" applyFont="1" applyFill="1" applyBorder="1" applyAlignment="1">
      <alignment vertical="center"/>
    </xf>
    <xf numFmtId="10" fontId="19" fillId="23" borderId="0" xfId="2" applyNumberFormat="1" applyFont="1" applyFill="1" applyBorder="1" applyAlignment="1">
      <alignment vertical="center"/>
    </xf>
    <xf numFmtId="10" fontId="19" fillId="23" borderId="4" xfId="2" applyNumberFormat="1" applyFont="1" applyFill="1" applyBorder="1" applyAlignment="1">
      <alignment vertical="center"/>
    </xf>
    <xf numFmtId="185" fontId="19" fillId="23" borderId="4" xfId="2" applyNumberFormat="1" applyFont="1" applyFill="1" applyBorder="1" applyAlignment="1">
      <alignment vertical="center"/>
    </xf>
    <xf numFmtId="182" fontId="26" fillId="25" borderId="0" xfId="0" applyNumberFormat="1" applyFont="1" applyFill="1" applyAlignment="1">
      <alignment vertical="center"/>
    </xf>
    <xf numFmtId="3" fontId="24" fillId="25" borderId="0" xfId="1" applyNumberFormat="1" applyFont="1" applyFill="1" applyBorder="1" applyAlignment="1">
      <alignment vertical="center"/>
    </xf>
    <xf numFmtId="10" fontId="24" fillId="25" borderId="0" xfId="2" applyNumberFormat="1" applyFont="1" applyFill="1" applyBorder="1" applyAlignment="1">
      <alignment vertical="center"/>
    </xf>
    <xf numFmtId="10" fontId="24" fillId="25" borderId="4" xfId="2" applyNumberFormat="1" applyFont="1" applyFill="1" applyBorder="1" applyAlignment="1">
      <alignment vertical="center"/>
    </xf>
    <xf numFmtId="194" fontId="24" fillId="25" borderId="0" xfId="1" applyNumberFormat="1" applyFont="1" applyFill="1" applyBorder="1" applyAlignment="1">
      <alignment vertical="center"/>
    </xf>
    <xf numFmtId="201" fontId="24" fillId="25" borderId="0" xfId="0" applyNumberFormat="1" applyFont="1" applyFill="1" applyAlignment="1">
      <alignment vertical="center"/>
    </xf>
    <xf numFmtId="197" fontId="24" fillId="25" borderId="1" xfId="0" applyNumberFormat="1" applyFont="1" applyFill="1" applyBorder="1" applyAlignment="1">
      <alignment vertical="center"/>
    </xf>
    <xf numFmtId="189" fontId="26" fillId="25" borderId="8" xfId="0" applyNumberFormat="1" applyFont="1" applyFill="1" applyBorder="1" applyAlignment="1">
      <alignment vertical="center"/>
    </xf>
    <xf numFmtId="3" fontId="35" fillId="26" borderId="0" xfId="1" applyNumberFormat="1" applyFont="1" applyFill="1" applyBorder="1" applyAlignment="1">
      <alignment vertical="center"/>
    </xf>
    <xf numFmtId="10" fontId="35" fillId="26" borderId="0" xfId="2" applyNumberFormat="1" applyFont="1" applyFill="1" applyBorder="1" applyAlignment="1">
      <alignment vertical="center"/>
    </xf>
    <xf numFmtId="10" fontId="35" fillId="26" borderId="4" xfId="2" applyNumberFormat="1" applyFont="1" applyFill="1" applyBorder="1" applyAlignment="1">
      <alignment vertical="center"/>
    </xf>
    <xf numFmtId="194" fontId="35" fillId="26" borderId="0" xfId="1" applyNumberFormat="1" applyFont="1" applyFill="1" applyBorder="1" applyAlignment="1">
      <alignment vertical="center"/>
    </xf>
    <xf numFmtId="201" fontId="35" fillId="26" borderId="0" xfId="0" applyNumberFormat="1" applyFont="1" applyFill="1" applyAlignment="1">
      <alignment vertical="center"/>
    </xf>
    <xf numFmtId="197" fontId="35" fillId="26" borderId="1" xfId="0" applyNumberFormat="1" applyFont="1" applyFill="1" applyBorder="1" applyAlignment="1">
      <alignment vertical="center"/>
    </xf>
    <xf numFmtId="189" fontId="35" fillId="26" borderId="8" xfId="0" applyNumberFormat="1" applyFont="1" applyFill="1" applyBorder="1" applyAlignment="1">
      <alignment vertical="center"/>
    </xf>
    <xf numFmtId="3" fontId="19" fillId="27" borderId="0" xfId="1" applyNumberFormat="1" applyFont="1" applyFill="1" applyBorder="1" applyAlignment="1">
      <alignment vertical="center"/>
    </xf>
    <xf numFmtId="0" fontId="19" fillId="27" borderId="0" xfId="0" applyFont="1" applyFill="1" applyAlignment="1">
      <alignment horizontal="center" vertical="center"/>
    </xf>
    <xf numFmtId="10" fontId="19" fillId="27" borderId="0" xfId="2" applyNumberFormat="1" applyFont="1" applyFill="1" applyBorder="1" applyAlignment="1">
      <alignment vertical="center"/>
    </xf>
    <xf numFmtId="10" fontId="19" fillId="27" borderId="4" xfId="2" applyNumberFormat="1" applyFont="1" applyFill="1" applyBorder="1" applyAlignment="1">
      <alignment vertical="center"/>
    </xf>
    <xf numFmtId="0" fontId="48" fillId="26" borderId="0" xfId="0" applyFont="1" applyFill="1" applyAlignment="1">
      <alignment vertical="center"/>
    </xf>
    <xf numFmtId="14" fontId="48" fillId="26" borderId="0" xfId="0" applyNumberFormat="1" applyFont="1" applyFill="1" applyAlignment="1">
      <alignment vertical="center"/>
    </xf>
    <xf numFmtId="0" fontId="21" fillId="27" borderId="0" xfId="0" applyFont="1" applyFill="1" applyAlignment="1">
      <alignment horizontal="left" vertical="center"/>
    </xf>
    <xf numFmtId="49" fontId="21" fillId="27" borderId="0" xfId="0" applyNumberFormat="1" applyFont="1" applyFill="1" applyAlignment="1">
      <alignment horizontal="right" vertical="center"/>
    </xf>
    <xf numFmtId="0" fontId="21" fillId="27" borderId="0" xfId="0" applyFont="1" applyFill="1" applyAlignment="1">
      <alignment vertical="center"/>
    </xf>
    <xf numFmtId="14" fontId="21" fillId="27" borderId="0" xfId="0" applyNumberFormat="1" applyFont="1" applyFill="1" applyAlignment="1">
      <alignment vertical="center"/>
    </xf>
    <xf numFmtId="49" fontId="21" fillId="27" borderId="0" xfId="0" applyNumberFormat="1" applyFont="1" applyFill="1" applyAlignment="1">
      <alignment vertical="center"/>
    </xf>
    <xf numFmtId="3" fontId="21" fillId="27" borderId="0" xfId="1" applyNumberFormat="1" applyFont="1" applyFill="1" applyBorder="1" applyAlignment="1">
      <alignment vertical="center"/>
    </xf>
    <xf numFmtId="183" fontId="21" fillId="27" borderId="0" xfId="0" applyNumberFormat="1" applyFont="1" applyFill="1" applyAlignment="1">
      <alignment vertical="center"/>
    </xf>
    <xf numFmtId="176" fontId="21" fillId="27" borderId="0" xfId="1" applyNumberFormat="1" applyFont="1" applyFill="1" applyBorder="1" applyAlignment="1">
      <alignment vertical="center"/>
    </xf>
    <xf numFmtId="0" fontId="48" fillId="27" borderId="0" xfId="0" applyFont="1" applyFill="1" applyAlignment="1">
      <alignment horizontal="center" vertical="center"/>
    </xf>
    <xf numFmtId="10" fontId="21" fillId="27" borderId="0" xfId="2" applyNumberFormat="1" applyFont="1" applyFill="1" applyBorder="1" applyAlignment="1">
      <alignment vertical="center"/>
    </xf>
    <xf numFmtId="10" fontId="21" fillId="27" borderId="4" xfId="2" applyNumberFormat="1" applyFont="1" applyFill="1" applyBorder="1" applyAlignment="1">
      <alignment vertical="center"/>
    </xf>
    <xf numFmtId="4" fontId="21" fillId="27" borderId="0" xfId="1" applyNumberFormat="1" applyFont="1" applyFill="1" applyBorder="1" applyAlignment="1">
      <alignment vertical="center"/>
    </xf>
    <xf numFmtId="194" fontId="21" fillId="27" borderId="0" xfId="1" applyNumberFormat="1" applyFont="1" applyFill="1" applyBorder="1" applyAlignment="1">
      <alignment vertical="center"/>
    </xf>
    <xf numFmtId="181" fontId="21" fillId="27" borderId="4" xfId="1" applyNumberFormat="1" applyFont="1" applyFill="1" applyBorder="1" applyAlignment="1">
      <alignment vertical="center"/>
    </xf>
    <xf numFmtId="176" fontId="21" fillId="5" borderId="1" xfId="1" applyNumberFormat="1" applyFont="1" applyFill="1" applyBorder="1" applyAlignment="1">
      <alignment vertical="center"/>
    </xf>
    <xf numFmtId="201" fontId="21" fillId="5" borderId="0" xfId="1" applyNumberFormat="1" applyFont="1" applyFill="1" applyBorder="1" applyAlignment="1">
      <alignment vertical="center"/>
    </xf>
    <xf numFmtId="176" fontId="21" fillId="5" borderId="0" xfId="1" applyNumberFormat="1" applyFont="1" applyFill="1" applyBorder="1" applyAlignment="1">
      <alignment vertical="center"/>
    </xf>
    <xf numFmtId="185" fontId="21" fillId="5" borderId="0" xfId="2" applyNumberFormat="1" applyFont="1" applyFill="1" applyBorder="1" applyAlignment="1">
      <alignment vertical="center"/>
    </xf>
    <xf numFmtId="0" fontId="21" fillId="27" borderId="0" xfId="0" applyFont="1" applyFill="1" applyAlignment="1">
      <alignment horizontal="center" vertical="center"/>
    </xf>
    <xf numFmtId="0" fontId="35" fillId="27" borderId="0" xfId="0" applyFont="1" applyFill="1" applyAlignment="1">
      <alignment horizontal="center" vertical="center"/>
    </xf>
    <xf numFmtId="0" fontId="24" fillId="29" borderId="0" xfId="0" applyFont="1" applyFill="1" applyAlignment="1">
      <alignment vertical="center"/>
    </xf>
    <xf numFmtId="0" fontId="24" fillId="29" borderId="0" xfId="0" applyFont="1" applyFill="1" applyAlignment="1">
      <alignment horizontal="left" vertical="center"/>
    </xf>
    <xf numFmtId="49" fontId="24" fillId="29" borderId="0" xfId="0" applyNumberFormat="1" applyFont="1" applyFill="1" applyAlignment="1">
      <alignment horizontal="right" vertical="center"/>
    </xf>
    <xf numFmtId="14" fontId="24" fillId="29" borderId="0" xfId="0" applyNumberFormat="1" applyFont="1" applyFill="1" applyAlignment="1">
      <alignment vertical="center"/>
    </xf>
    <xf numFmtId="49" fontId="24" fillId="29" borderId="0" xfId="0" applyNumberFormat="1" applyFont="1" applyFill="1" applyAlignment="1">
      <alignment vertical="center"/>
    </xf>
    <xf numFmtId="182" fontId="26" fillId="29" borderId="0" xfId="0" applyNumberFormat="1" applyFont="1" applyFill="1" applyAlignment="1">
      <alignment vertical="center"/>
    </xf>
    <xf numFmtId="3" fontId="24" fillId="29" borderId="0" xfId="1" applyNumberFormat="1" applyFont="1" applyFill="1" applyBorder="1" applyAlignment="1">
      <alignment vertical="center"/>
    </xf>
    <xf numFmtId="183" fontId="26" fillId="29" borderId="0" xfId="0" applyNumberFormat="1" applyFont="1" applyFill="1" applyAlignment="1">
      <alignment vertical="center"/>
    </xf>
    <xf numFmtId="176" fontId="24" fillId="29" borderId="0" xfId="1" applyNumberFormat="1" applyFont="1" applyFill="1" applyBorder="1" applyAlignment="1">
      <alignment vertical="center"/>
    </xf>
    <xf numFmtId="0" fontId="24" fillId="29" borderId="0" xfId="0" applyFont="1" applyFill="1" applyAlignment="1">
      <alignment horizontal="center" vertical="center"/>
    </xf>
    <xf numFmtId="10" fontId="24" fillId="29" borderId="0" xfId="2" applyNumberFormat="1" applyFont="1" applyFill="1" applyBorder="1" applyAlignment="1">
      <alignment vertical="center"/>
    </xf>
    <xf numFmtId="10" fontId="24" fillId="29" borderId="4" xfId="2" applyNumberFormat="1" applyFont="1" applyFill="1" applyBorder="1" applyAlignment="1">
      <alignment vertical="center"/>
    </xf>
    <xf numFmtId="4" fontId="24" fillId="29" borderId="0" xfId="1" applyNumberFormat="1" applyFont="1" applyFill="1" applyBorder="1" applyAlignment="1">
      <alignment vertical="center"/>
    </xf>
    <xf numFmtId="194" fontId="24" fillId="29" borderId="0" xfId="1" applyNumberFormat="1" applyFont="1" applyFill="1" applyBorder="1" applyAlignment="1">
      <alignment vertical="center"/>
    </xf>
    <xf numFmtId="181" fontId="24" fillId="29" borderId="4" xfId="1" applyNumberFormat="1" applyFont="1" applyFill="1" applyBorder="1" applyAlignment="1">
      <alignment vertical="center"/>
    </xf>
    <xf numFmtId="0" fontId="24" fillId="29" borderId="1" xfId="0" applyFont="1" applyFill="1" applyBorder="1" applyAlignment="1">
      <alignment vertical="center"/>
    </xf>
    <xf numFmtId="201" fontId="24" fillId="29" borderId="0" xfId="0" applyNumberFormat="1" applyFont="1" applyFill="1" applyAlignment="1">
      <alignment vertical="center"/>
    </xf>
    <xf numFmtId="185" fontId="24" fillId="29" borderId="0" xfId="2" applyNumberFormat="1" applyFont="1" applyFill="1" applyBorder="1" applyAlignment="1">
      <alignment vertical="center"/>
    </xf>
    <xf numFmtId="0" fontId="24" fillId="29" borderId="8" xfId="0" applyFont="1" applyFill="1" applyBorder="1" applyAlignment="1">
      <alignment vertical="center"/>
    </xf>
    <xf numFmtId="185" fontId="24" fillId="29" borderId="9" xfId="2" applyNumberFormat="1" applyFont="1" applyFill="1" applyBorder="1" applyAlignment="1">
      <alignment vertical="center"/>
    </xf>
    <xf numFmtId="0" fontId="26" fillId="29" borderId="8" xfId="0" applyFont="1" applyFill="1" applyBorder="1" applyAlignment="1">
      <alignment vertical="center"/>
    </xf>
    <xf numFmtId="0" fontId="26" fillId="29" borderId="0" xfId="0" applyFont="1" applyFill="1" applyAlignment="1">
      <alignment vertical="center"/>
    </xf>
    <xf numFmtId="197" fontId="24" fillId="29" borderId="1" xfId="0" applyNumberFormat="1" applyFont="1" applyFill="1" applyBorder="1" applyAlignment="1">
      <alignment vertical="center"/>
    </xf>
    <xf numFmtId="189" fontId="26" fillId="29" borderId="8" xfId="0" applyNumberFormat="1" applyFont="1" applyFill="1" applyBorder="1" applyAlignment="1">
      <alignment vertical="center"/>
    </xf>
    <xf numFmtId="185" fontId="24" fillId="29" borderId="4" xfId="2" applyNumberFormat="1" applyFont="1" applyFill="1" applyBorder="1" applyAlignment="1">
      <alignment vertical="center"/>
    </xf>
    <xf numFmtId="0" fontId="35" fillId="30" borderId="0" xfId="0" applyFont="1" applyFill="1" applyAlignment="1">
      <alignment vertical="center"/>
    </xf>
    <xf numFmtId="0" fontId="35" fillId="30" borderId="0" xfId="0" applyFont="1" applyFill="1" applyAlignment="1">
      <alignment horizontal="left" vertical="center"/>
    </xf>
    <xf numFmtId="49" fontId="35" fillId="30" borderId="0" xfId="0" applyNumberFormat="1" applyFont="1" applyFill="1" applyAlignment="1">
      <alignment horizontal="right" vertical="center"/>
    </xf>
    <xf numFmtId="14" fontId="35" fillId="30" borderId="0" xfId="0" applyNumberFormat="1" applyFont="1" applyFill="1" applyAlignment="1">
      <alignment vertical="center"/>
    </xf>
    <xf numFmtId="49" fontId="35" fillId="30" borderId="0" xfId="0" applyNumberFormat="1" applyFont="1" applyFill="1" applyAlignment="1">
      <alignment vertical="center"/>
    </xf>
    <xf numFmtId="182" fontId="35" fillId="30" borderId="0" xfId="0" applyNumberFormat="1" applyFont="1" applyFill="1" applyAlignment="1">
      <alignment vertical="center"/>
    </xf>
    <xf numFmtId="3" fontId="35" fillId="30" borderId="0" xfId="1" applyNumberFormat="1" applyFont="1" applyFill="1" applyBorder="1" applyAlignment="1">
      <alignment vertical="center"/>
    </xf>
    <xf numFmtId="183" fontId="35" fillId="30" borderId="0" xfId="0" applyNumberFormat="1" applyFont="1" applyFill="1" applyAlignment="1">
      <alignment vertical="center"/>
    </xf>
    <xf numFmtId="176" fontId="35" fillId="30" borderId="0" xfId="1" applyNumberFormat="1" applyFont="1" applyFill="1" applyBorder="1" applyAlignment="1">
      <alignment vertical="center"/>
    </xf>
    <xf numFmtId="0" fontId="35" fillId="30" borderId="0" xfId="0" applyFont="1" applyFill="1" applyAlignment="1">
      <alignment horizontal="center" vertical="center"/>
    </xf>
    <xf numFmtId="10" fontId="35" fillId="30" borderId="0" xfId="2" applyNumberFormat="1" applyFont="1" applyFill="1" applyBorder="1" applyAlignment="1">
      <alignment vertical="center"/>
    </xf>
    <xf numFmtId="10" fontId="35" fillId="30" borderId="4" xfId="2" applyNumberFormat="1" applyFont="1" applyFill="1" applyBorder="1" applyAlignment="1">
      <alignment vertical="center"/>
    </xf>
    <xf numFmtId="4" fontId="35" fillId="30" borderId="0" xfId="1" applyNumberFormat="1" applyFont="1" applyFill="1" applyBorder="1" applyAlignment="1">
      <alignment vertical="center"/>
    </xf>
    <xf numFmtId="194" fontId="35" fillId="30" borderId="0" xfId="1" applyNumberFormat="1" applyFont="1" applyFill="1" applyBorder="1" applyAlignment="1">
      <alignment vertical="center"/>
    </xf>
    <xf numFmtId="181" fontId="35" fillId="30" borderId="4" xfId="1" applyNumberFormat="1" applyFont="1" applyFill="1" applyBorder="1" applyAlignment="1">
      <alignment vertical="center"/>
    </xf>
    <xf numFmtId="0" fontId="35" fillId="30" borderId="1" xfId="0" applyFont="1" applyFill="1" applyBorder="1" applyAlignment="1">
      <alignment vertical="center"/>
    </xf>
    <xf numFmtId="201" fontId="35" fillId="30" borderId="0" xfId="0" applyNumberFormat="1" applyFont="1" applyFill="1" applyAlignment="1">
      <alignment vertical="center"/>
    </xf>
    <xf numFmtId="176" fontId="35" fillId="30" borderId="0" xfId="0" applyNumberFormat="1" applyFont="1" applyFill="1" applyAlignment="1">
      <alignment vertical="center"/>
    </xf>
    <xf numFmtId="185" fontId="35" fillId="30" borderId="0" xfId="2" applyNumberFormat="1" applyFont="1" applyFill="1" applyBorder="1" applyAlignment="1">
      <alignment vertical="center"/>
    </xf>
    <xf numFmtId="0" fontId="35" fillId="30" borderId="8" xfId="0" applyFont="1" applyFill="1" applyBorder="1" applyAlignment="1">
      <alignment vertical="center"/>
    </xf>
    <xf numFmtId="185" fontId="35" fillId="30" borderId="9" xfId="2" applyNumberFormat="1" applyFont="1" applyFill="1" applyBorder="1" applyAlignment="1">
      <alignment vertical="center"/>
    </xf>
    <xf numFmtId="197" fontId="35" fillId="30" borderId="1" xfId="0" applyNumberFormat="1" applyFont="1" applyFill="1" applyBorder="1" applyAlignment="1">
      <alignment vertical="center"/>
    </xf>
    <xf numFmtId="189" fontId="35" fillId="30" borderId="8" xfId="0" applyNumberFormat="1" applyFont="1" applyFill="1" applyBorder="1" applyAlignment="1">
      <alignment vertical="center"/>
    </xf>
    <xf numFmtId="185" fontId="35" fillId="30" borderId="4" xfId="2" applyNumberFormat="1" applyFont="1" applyFill="1" applyBorder="1" applyAlignment="1">
      <alignment vertical="center"/>
    </xf>
    <xf numFmtId="0" fontId="19" fillId="31" borderId="0" xfId="0" applyFont="1" applyFill="1" applyAlignment="1">
      <alignment vertical="center"/>
    </xf>
    <xf numFmtId="0" fontId="19" fillId="31" borderId="0" xfId="0" applyFont="1" applyFill="1" applyAlignment="1">
      <alignment horizontal="left" vertical="center"/>
    </xf>
    <xf numFmtId="49" fontId="19" fillId="31" borderId="0" xfId="0" applyNumberFormat="1" applyFont="1" applyFill="1" applyAlignment="1">
      <alignment horizontal="right" vertical="center"/>
    </xf>
    <xf numFmtId="14" fontId="19" fillId="31" borderId="0" xfId="0" applyNumberFormat="1" applyFont="1" applyFill="1" applyAlignment="1">
      <alignment vertical="center"/>
    </xf>
    <xf numFmtId="49" fontId="19" fillId="31" borderId="0" xfId="0" applyNumberFormat="1" applyFont="1" applyFill="1" applyAlignment="1">
      <alignment vertical="center"/>
    </xf>
    <xf numFmtId="198" fontId="19" fillId="31" borderId="0" xfId="0" applyNumberFormat="1" applyFont="1" applyFill="1" applyAlignment="1">
      <alignment vertical="center"/>
    </xf>
    <xf numFmtId="3" fontId="19" fillId="31" borderId="0" xfId="1" applyNumberFormat="1" applyFont="1" applyFill="1" applyBorder="1" applyAlignment="1">
      <alignment vertical="center"/>
    </xf>
    <xf numFmtId="183" fontId="19" fillId="31" borderId="0" xfId="0" applyNumberFormat="1" applyFont="1" applyFill="1" applyAlignment="1">
      <alignment vertical="center"/>
    </xf>
    <xf numFmtId="176" fontId="19" fillId="31" borderId="0" xfId="1" applyNumberFormat="1" applyFont="1" applyFill="1" applyBorder="1" applyAlignment="1">
      <alignment vertical="center"/>
    </xf>
    <xf numFmtId="0" fontId="19" fillId="31" borderId="0" xfId="0" applyFont="1" applyFill="1" applyAlignment="1">
      <alignment horizontal="center" vertical="center"/>
    </xf>
    <xf numFmtId="10" fontId="19" fillId="31" borderId="0" xfId="2" applyNumberFormat="1" applyFont="1" applyFill="1" applyBorder="1" applyAlignment="1">
      <alignment vertical="center"/>
    </xf>
    <xf numFmtId="10" fontId="19" fillId="31" borderId="4" xfId="2" applyNumberFormat="1" applyFont="1" applyFill="1" applyBorder="1" applyAlignment="1">
      <alignment vertical="center"/>
    </xf>
    <xf numFmtId="4" fontId="19" fillId="31" borderId="0" xfId="1" applyNumberFormat="1" applyFont="1" applyFill="1" applyBorder="1" applyAlignment="1">
      <alignment vertical="center"/>
    </xf>
    <xf numFmtId="194" fontId="19" fillId="31" borderId="0" xfId="1" applyNumberFormat="1" applyFont="1" applyFill="1" applyBorder="1" applyAlignment="1">
      <alignment vertical="center"/>
    </xf>
    <xf numFmtId="181" fontId="19" fillId="31" borderId="4" xfId="1" applyNumberFormat="1" applyFont="1" applyFill="1" applyBorder="1" applyAlignment="1">
      <alignment vertical="center"/>
    </xf>
    <xf numFmtId="190" fontId="19" fillId="5" borderId="1" xfId="1" applyNumberFormat="1" applyFont="1" applyFill="1" applyBorder="1" applyAlignment="1">
      <alignment vertical="center"/>
    </xf>
    <xf numFmtId="190" fontId="19" fillId="11" borderId="8" xfId="1" applyNumberFormat="1" applyFont="1" applyFill="1" applyBorder="1" applyAlignment="1">
      <alignment vertical="center"/>
    </xf>
    <xf numFmtId="190" fontId="19" fillId="27" borderId="0" xfId="1" applyNumberFormat="1" applyFont="1" applyFill="1" applyBorder="1" applyAlignment="1">
      <alignment vertical="center"/>
    </xf>
    <xf numFmtId="202" fontId="19" fillId="5" borderId="1" xfId="1" applyNumberFormat="1" applyFont="1" applyFill="1" applyBorder="1" applyAlignment="1">
      <alignment vertical="center"/>
    </xf>
    <xf numFmtId="0" fontId="19" fillId="31" borderId="0" xfId="0" applyFont="1" applyFill="1" applyAlignment="1">
      <alignment horizontal="right" vertical="center"/>
    </xf>
    <xf numFmtId="198" fontId="34" fillId="31" borderId="0" xfId="3" applyNumberFormat="1" applyFont="1" applyFill="1" applyBorder="1" applyAlignment="1">
      <alignment horizontal="center" vertical="center"/>
    </xf>
    <xf numFmtId="3" fontId="19" fillId="31" borderId="0" xfId="0" applyNumberFormat="1" applyFont="1" applyFill="1" applyAlignment="1">
      <alignment vertical="center"/>
    </xf>
    <xf numFmtId="182" fontId="19" fillId="31" borderId="0" xfId="0" applyNumberFormat="1" applyFont="1" applyFill="1" applyAlignment="1">
      <alignment vertical="center"/>
    </xf>
    <xf numFmtId="176" fontId="19" fillId="31" borderId="0" xfId="0" applyNumberFormat="1" applyFont="1" applyFill="1" applyAlignment="1">
      <alignment vertical="center"/>
    </xf>
    <xf numFmtId="10" fontId="19" fillId="31" borderId="0" xfId="2" applyNumberFormat="1" applyFont="1" applyFill="1" applyBorder="1" applyAlignment="1">
      <alignment horizontal="right" vertical="center"/>
    </xf>
    <xf numFmtId="10" fontId="19" fillId="31" borderId="4" xfId="2" applyNumberFormat="1" applyFont="1" applyFill="1" applyBorder="1" applyAlignment="1">
      <alignment horizontal="right" vertical="center"/>
    </xf>
    <xf numFmtId="194" fontId="19" fillId="31" borderId="0" xfId="0" applyNumberFormat="1" applyFont="1" applyFill="1" applyAlignment="1">
      <alignment vertical="center"/>
    </xf>
    <xf numFmtId="3" fontId="19" fillId="31" borderId="15" xfId="0" applyNumberFormat="1" applyFont="1" applyFill="1" applyBorder="1" applyAlignment="1">
      <alignment vertical="center"/>
    </xf>
    <xf numFmtId="182" fontId="19" fillId="31" borderId="15" xfId="0" applyNumberFormat="1" applyFont="1" applyFill="1" applyBorder="1" applyAlignment="1">
      <alignment vertical="center"/>
    </xf>
    <xf numFmtId="189" fontId="19" fillId="31" borderId="15" xfId="0" applyNumberFormat="1" applyFont="1" applyFill="1" applyBorder="1" applyAlignment="1">
      <alignment vertical="center"/>
    </xf>
    <xf numFmtId="0" fontId="19" fillId="0" borderId="20" xfId="0" applyFont="1" applyBorder="1" applyAlignment="1">
      <alignment vertical="center"/>
    </xf>
    <xf numFmtId="0" fontId="19" fillId="0" borderId="20" xfId="0" applyFont="1" applyBorder="1" applyAlignment="1">
      <alignment horizontal="left" vertical="center"/>
    </xf>
    <xf numFmtId="49" fontId="19" fillId="0" borderId="20" xfId="0" applyNumberFormat="1" applyFont="1" applyBorder="1" applyAlignment="1">
      <alignment horizontal="right" vertical="center"/>
    </xf>
    <xf numFmtId="14" fontId="19" fillId="0" borderId="20" xfId="0" applyNumberFormat="1" applyFont="1" applyBorder="1" applyAlignment="1">
      <alignment vertical="center"/>
    </xf>
    <xf numFmtId="0" fontId="19" fillId="0" borderId="20" xfId="0" applyFont="1" applyBorder="1" applyAlignment="1">
      <alignment horizontal="center" vertical="center"/>
    </xf>
    <xf numFmtId="49" fontId="19" fillId="0" borderId="20" xfId="0" applyNumberFormat="1" applyFont="1" applyBorder="1" applyAlignment="1">
      <alignment vertical="center"/>
    </xf>
    <xf numFmtId="178" fontId="19" fillId="0" borderId="20" xfId="0" applyNumberFormat="1" applyFont="1" applyBorder="1" applyAlignment="1">
      <alignment vertical="center"/>
    </xf>
    <xf numFmtId="10" fontId="19" fillId="0" borderId="20" xfId="0" applyNumberFormat="1" applyFont="1" applyBorder="1" applyAlignment="1">
      <alignment vertical="center"/>
    </xf>
    <xf numFmtId="3" fontId="19" fillId="0" borderId="20" xfId="0" applyNumberFormat="1" applyFont="1" applyBorder="1" applyAlignment="1">
      <alignment vertical="center"/>
    </xf>
    <xf numFmtId="194" fontId="19" fillId="0" borderId="20" xfId="0" applyNumberFormat="1" applyFont="1" applyBorder="1" applyAlignment="1">
      <alignment vertical="center"/>
    </xf>
    <xf numFmtId="181" fontId="19" fillId="0" borderId="20" xfId="0" applyNumberFormat="1" applyFont="1" applyBorder="1" applyAlignment="1">
      <alignment vertical="center"/>
    </xf>
    <xf numFmtId="176" fontId="19" fillId="0" borderId="20" xfId="1" applyNumberFormat="1" applyFont="1" applyBorder="1" applyAlignment="1">
      <alignment vertical="center"/>
    </xf>
    <xf numFmtId="201" fontId="19" fillId="0" borderId="20" xfId="1" applyNumberFormat="1" applyFont="1" applyBorder="1" applyAlignment="1">
      <alignment vertical="center"/>
    </xf>
    <xf numFmtId="185" fontId="19" fillId="0" borderId="20" xfId="2" applyNumberFormat="1" applyFont="1" applyBorder="1" applyAlignment="1">
      <alignment vertical="center"/>
    </xf>
    <xf numFmtId="197" fontId="19" fillId="0" borderId="20" xfId="1" applyNumberFormat="1" applyFont="1" applyBorder="1" applyAlignment="1">
      <alignment vertical="center"/>
    </xf>
    <xf numFmtId="189" fontId="19" fillId="0" borderId="20" xfId="1" applyNumberFormat="1" applyFont="1" applyBorder="1" applyAlignment="1">
      <alignment vertical="center"/>
    </xf>
    <xf numFmtId="10" fontId="19" fillId="4" borderId="20" xfId="2" applyNumberFormat="1" applyFont="1" applyFill="1" applyBorder="1" applyAlignment="1">
      <alignment horizontal="center" vertical="center"/>
    </xf>
    <xf numFmtId="49" fontId="26" fillId="28" borderId="0" xfId="0" applyNumberFormat="1" applyFont="1" applyFill="1" applyAlignment="1">
      <alignment horizontal="right" vertical="center"/>
    </xf>
    <xf numFmtId="178" fontId="26" fillId="28" borderId="0" xfId="0" applyNumberFormat="1" applyFont="1" applyFill="1" applyAlignment="1">
      <alignment vertical="center"/>
    </xf>
    <xf numFmtId="0" fontId="26" fillId="28" borderId="0" xfId="0" applyFont="1" applyFill="1" applyAlignment="1">
      <alignment horizontal="right" vertical="center"/>
    </xf>
    <xf numFmtId="178" fontId="26" fillId="28" borderId="0" xfId="0" applyNumberFormat="1" applyFont="1" applyFill="1" applyAlignment="1">
      <alignment horizontal="right" vertical="center"/>
    </xf>
    <xf numFmtId="3" fontId="26" fillId="28" borderId="0" xfId="0" applyNumberFormat="1" applyFont="1" applyFill="1" applyAlignment="1">
      <alignment vertical="center"/>
    </xf>
    <xf numFmtId="49" fontId="26" fillId="28" borderId="4" xfId="0" applyNumberFormat="1" applyFont="1" applyFill="1" applyBorder="1" applyAlignment="1">
      <alignment vertical="center"/>
    </xf>
    <xf numFmtId="194" fontId="26" fillId="28" borderId="0" xfId="0" applyNumberFormat="1" applyFont="1" applyFill="1" applyAlignment="1">
      <alignment vertical="center"/>
    </xf>
    <xf numFmtId="181" fontId="26" fillId="28" borderId="4" xfId="0" applyNumberFormat="1" applyFont="1" applyFill="1" applyBorder="1" applyAlignment="1">
      <alignment vertical="center"/>
    </xf>
    <xf numFmtId="185" fontId="26" fillId="28" borderId="0" xfId="0" applyNumberFormat="1" applyFont="1" applyFill="1" applyAlignment="1">
      <alignment horizontal="right" vertical="center"/>
    </xf>
    <xf numFmtId="10" fontId="26" fillId="28" borderId="8" xfId="0" applyNumberFormat="1" applyFont="1" applyFill="1" applyBorder="1" applyAlignment="1">
      <alignment horizontal="right" vertical="center"/>
    </xf>
    <xf numFmtId="185" fontId="26" fillId="28" borderId="9" xfId="0" applyNumberFormat="1" applyFont="1" applyFill="1" applyBorder="1" applyAlignment="1">
      <alignment horizontal="right" vertical="center"/>
    </xf>
    <xf numFmtId="10" fontId="26" fillId="28" borderId="0" xfId="0" applyNumberFormat="1" applyFont="1" applyFill="1" applyAlignment="1">
      <alignment horizontal="right" vertical="center"/>
    </xf>
    <xf numFmtId="189" fontId="26" fillId="28" borderId="8" xfId="0" applyNumberFormat="1" applyFont="1" applyFill="1" applyBorder="1" applyAlignment="1">
      <alignment horizontal="right" vertical="center"/>
    </xf>
    <xf numFmtId="185" fontId="26" fillId="28" borderId="4" xfId="0" applyNumberFormat="1" applyFont="1" applyFill="1" applyBorder="1" applyAlignment="1">
      <alignment horizontal="right" vertical="center"/>
    </xf>
    <xf numFmtId="185" fontId="19" fillId="0" borderId="0" xfId="2" applyNumberFormat="1" applyFont="1" applyBorder="1" applyAlignment="1">
      <alignment horizontal="right" vertical="center"/>
    </xf>
    <xf numFmtId="14" fontId="19" fillId="0" borderId="0" xfId="2" applyNumberFormat="1" applyFont="1" applyBorder="1" applyAlignment="1">
      <alignment vertical="center"/>
    </xf>
    <xf numFmtId="185" fontId="19" fillId="0" borderId="0" xfId="2" applyNumberFormat="1" applyFont="1" applyBorder="1" applyAlignment="1">
      <alignment horizontal="center" vertical="center"/>
    </xf>
    <xf numFmtId="178" fontId="19" fillId="0" borderId="0" xfId="2" applyNumberFormat="1" applyFont="1" applyBorder="1" applyAlignment="1">
      <alignment vertical="center"/>
    </xf>
    <xf numFmtId="3" fontId="19" fillId="0" borderId="0" xfId="2" applyNumberFormat="1" applyFont="1" applyBorder="1" applyAlignment="1">
      <alignment vertical="center"/>
    </xf>
    <xf numFmtId="194" fontId="19" fillId="0" borderId="0" xfId="2" applyNumberFormat="1" applyFont="1" applyBorder="1" applyAlignment="1">
      <alignment vertical="center"/>
    </xf>
    <xf numFmtId="199" fontId="19" fillId="0" borderId="0" xfId="2" applyNumberFormat="1" applyFont="1" applyBorder="1" applyAlignment="1">
      <alignment vertical="center"/>
    </xf>
    <xf numFmtId="205" fontId="19" fillId="0" borderId="0" xfId="2" applyNumberFormat="1" applyFont="1" applyBorder="1" applyAlignment="1">
      <alignment vertical="center"/>
    </xf>
    <xf numFmtId="205" fontId="19" fillId="0" borderId="9" xfId="2" applyNumberFormat="1" applyFont="1" applyBorder="1" applyAlignment="1">
      <alignment vertical="center"/>
    </xf>
    <xf numFmtId="189" fontId="19" fillId="0" borderId="8" xfId="2" applyNumberFormat="1" applyFont="1" applyBorder="1" applyAlignment="1">
      <alignment vertical="center"/>
    </xf>
    <xf numFmtId="3" fontId="19" fillId="23" borderId="0" xfId="0" applyNumberFormat="1" applyFont="1" applyFill="1" applyAlignment="1">
      <alignment horizontal="left" vertical="center"/>
    </xf>
    <xf numFmtId="3" fontId="19" fillId="23" borderId="0" xfId="0" applyNumberFormat="1" applyFont="1" applyFill="1" applyAlignment="1">
      <alignment horizontal="right" vertical="center"/>
    </xf>
    <xf numFmtId="194" fontId="19" fillId="23" borderId="0" xfId="0" applyNumberFormat="1" applyFont="1" applyFill="1" applyAlignment="1">
      <alignment vertical="center"/>
    </xf>
    <xf numFmtId="3" fontId="19" fillId="23" borderId="4" xfId="0" applyNumberFormat="1" applyFont="1" applyFill="1" applyBorder="1" applyAlignment="1">
      <alignment vertical="center"/>
    </xf>
    <xf numFmtId="166" fontId="19" fillId="23" borderId="0" xfId="1" applyNumberFormat="1" applyFont="1" applyFill="1" applyBorder="1" applyAlignment="1">
      <alignment vertical="center"/>
    </xf>
    <xf numFmtId="3" fontId="19" fillId="23" borderId="8" xfId="1" applyNumberFormat="1" applyFont="1" applyFill="1" applyBorder="1" applyAlignment="1">
      <alignment vertical="center"/>
    </xf>
    <xf numFmtId="206" fontId="19" fillId="23" borderId="0" xfId="1" applyNumberFormat="1" applyFont="1" applyFill="1" applyBorder="1" applyAlignment="1">
      <alignment vertical="center"/>
    </xf>
    <xf numFmtId="3" fontId="19" fillId="0" borderId="15" xfId="0" applyNumberFormat="1" applyFont="1" applyBorder="1" applyAlignment="1">
      <alignment vertical="center"/>
    </xf>
    <xf numFmtId="3" fontId="19" fillId="0" borderId="15" xfId="1" applyNumberFormat="1" applyFont="1" applyBorder="1" applyAlignment="1">
      <alignment horizontal="left" vertical="center"/>
    </xf>
    <xf numFmtId="3" fontId="19" fillId="0" borderId="15" xfId="0" applyNumberFormat="1" applyFont="1" applyBorder="1" applyAlignment="1">
      <alignment horizontal="right" vertical="center"/>
    </xf>
    <xf numFmtId="14" fontId="19" fillId="0" borderId="15" xfId="0" applyNumberFormat="1" applyFont="1" applyBorder="1" applyAlignment="1">
      <alignment vertical="center"/>
    </xf>
    <xf numFmtId="3" fontId="19" fillId="0" borderId="15" xfId="0" applyNumberFormat="1" applyFont="1" applyBorder="1" applyAlignment="1">
      <alignment horizontal="center" vertical="center"/>
    </xf>
    <xf numFmtId="3" fontId="19" fillId="0" borderId="15" xfId="1" applyNumberFormat="1" applyFont="1" applyBorder="1" applyAlignment="1">
      <alignment vertical="center"/>
    </xf>
    <xf numFmtId="194" fontId="19" fillId="0" borderId="15" xfId="0" applyNumberFormat="1" applyFont="1" applyBorder="1" applyAlignment="1">
      <alignment vertical="center"/>
    </xf>
    <xf numFmtId="3" fontId="19" fillId="0" borderId="19" xfId="0" applyNumberFormat="1" applyFont="1" applyBorder="1" applyAlignment="1">
      <alignment vertical="center"/>
    </xf>
    <xf numFmtId="166" fontId="19" fillId="0" borderId="15" xfId="1" applyNumberFormat="1" applyFont="1" applyBorder="1" applyAlignment="1">
      <alignment vertical="center"/>
    </xf>
    <xf numFmtId="3" fontId="19" fillId="0" borderId="17" xfId="1" applyNumberFormat="1" applyFont="1" applyBorder="1" applyAlignment="1">
      <alignment vertical="center"/>
    </xf>
    <xf numFmtId="185" fontId="19" fillId="0" borderId="18" xfId="1" applyNumberFormat="1" applyFont="1" applyBorder="1" applyAlignment="1">
      <alignment vertical="center"/>
    </xf>
    <xf numFmtId="199" fontId="19" fillId="0" borderId="15" xfId="1" applyNumberFormat="1" applyFont="1" applyBorder="1" applyAlignment="1">
      <alignment vertical="center"/>
    </xf>
    <xf numFmtId="206" fontId="19" fillId="0" borderId="15" xfId="1" applyNumberFormat="1" applyFont="1" applyBorder="1" applyAlignment="1">
      <alignment vertical="center"/>
    </xf>
    <xf numFmtId="10" fontId="19" fillId="0" borderId="19" xfId="2" applyNumberFormat="1" applyFont="1" applyBorder="1" applyAlignment="1">
      <alignment vertical="center"/>
    </xf>
    <xf numFmtId="194" fontId="19" fillId="0" borderId="0" xfId="0" applyNumberFormat="1" applyFont="1" applyAlignment="1">
      <alignment vertical="center"/>
    </xf>
    <xf numFmtId="201" fontId="19" fillId="0" borderId="0" xfId="0" applyNumberFormat="1" applyFont="1" applyAlignment="1">
      <alignment vertical="center"/>
    </xf>
    <xf numFmtId="197" fontId="19" fillId="0" borderId="0" xfId="0" applyNumberFormat="1" applyFont="1" applyAlignment="1">
      <alignment vertical="center"/>
    </xf>
    <xf numFmtId="189" fontId="19" fillId="0" borderId="0" xfId="0" applyNumberFormat="1" applyFont="1" applyAlignment="1">
      <alignment vertical="center"/>
    </xf>
    <xf numFmtId="0" fontId="26" fillId="32" borderId="0" xfId="0" applyFont="1" applyFill="1" applyAlignment="1">
      <alignment vertical="center"/>
    </xf>
    <xf numFmtId="0" fontId="24" fillId="32" borderId="0" xfId="0" applyFont="1" applyFill="1" applyAlignment="1">
      <alignment horizontal="left" vertical="center"/>
    </xf>
    <xf numFmtId="49" fontId="24" fillId="32" borderId="0" xfId="0" applyNumberFormat="1" applyFont="1" applyFill="1" applyAlignment="1">
      <alignment horizontal="right" vertical="center"/>
    </xf>
    <xf numFmtId="14" fontId="26" fillId="32" borderId="0" xfId="0" applyNumberFormat="1" applyFont="1" applyFill="1" applyAlignment="1">
      <alignment vertical="center"/>
    </xf>
    <xf numFmtId="0" fontId="26" fillId="32" borderId="0" xfId="0" applyFont="1" applyFill="1" applyAlignment="1">
      <alignment horizontal="center" vertical="center"/>
    </xf>
    <xf numFmtId="49" fontId="24" fillId="32" borderId="0" xfId="0" applyNumberFormat="1" applyFont="1" applyFill="1" applyAlignment="1">
      <alignment vertical="center"/>
    </xf>
    <xf numFmtId="178" fontId="26" fillId="32" borderId="0" xfId="0" applyNumberFormat="1" applyFont="1" applyFill="1" applyAlignment="1">
      <alignment vertical="center"/>
    </xf>
    <xf numFmtId="10" fontId="26" fillId="32" borderId="0" xfId="0" applyNumberFormat="1" applyFont="1" applyFill="1" applyAlignment="1">
      <alignment vertical="center"/>
    </xf>
    <xf numFmtId="3" fontId="24" fillId="32" borderId="0" xfId="0" applyNumberFormat="1" applyFont="1" applyFill="1" applyAlignment="1">
      <alignment vertical="center"/>
    </xf>
    <xf numFmtId="0" fontId="24" fillId="32" borderId="0" xfId="0" applyFont="1" applyFill="1" applyAlignment="1">
      <alignment horizontal="right" vertical="center"/>
    </xf>
    <xf numFmtId="194" fontId="24" fillId="32" borderId="0" xfId="0" applyNumberFormat="1" applyFont="1" applyFill="1" applyAlignment="1">
      <alignment horizontal="right" vertical="center"/>
    </xf>
    <xf numFmtId="181" fontId="24" fillId="32" borderId="0" xfId="0" applyNumberFormat="1" applyFont="1" applyFill="1" applyAlignment="1">
      <alignment horizontal="right" vertical="center"/>
    </xf>
    <xf numFmtId="185" fontId="49" fillId="32" borderId="0" xfId="0" applyNumberFormat="1" applyFont="1" applyFill="1" applyAlignment="1">
      <alignment horizontal="right" vertical="center"/>
    </xf>
    <xf numFmtId="185" fontId="26" fillId="32" borderId="0" xfId="0" applyNumberFormat="1" applyFont="1" applyFill="1" applyAlignment="1">
      <alignment vertical="center"/>
    </xf>
    <xf numFmtId="0" fontId="49" fillId="4" borderId="0" xfId="0" applyFont="1" applyFill="1" applyAlignment="1">
      <alignment horizontal="center" vertical="center"/>
    </xf>
    <xf numFmtId="197" fontId="24" fillId="32" borderId="0" xfId="0" applyNumberFormat="1" applyFont="1" applyFill="1" applyAlignment="1">
      <alignment horizontal="right" vertical="center"/>
    </xf>
    <xf numFmtId="185" fontId="26" fillId="32" borderId="0" xfId="0" applyNumberFormat="1" applyFont="1" applyFill="1" applyAlignment="1">
      <alignment horizontal="right" vertical="center"/>
    </xf>
    <xf numFmtId="189" fontId="26" fillId="32" borderId="0" xfId="0" applyNumberFormat="1" applyFont="1" applyFill="1" applyAlignment="1">
      <alignment vertical="center"/>
    </xf>
    <xf numFmtId="0" fontId="19" fillId="0" borderId="15" xfId="0" applyFont="1" applyBorder="1" applyAlignment="1">
      <alignment vertical="center"/>
    </xf>
    <xf numFmtId="0" fontId="19" fillId="0" borderId="15" xfId="0" applyFont="1" applyBorder="1" applyAlignment="1">
      <alignment horizontal="left" vertical="center"/>
    </xf>
    <xf numFmtId="49" fontId="19" fillId="0" borderId="15" xfId="0" applyNumberFormat="1" applyFont="1" applyBorder="1" applyAlignment="1">
      <alignment horizontal="right" vertical="center"/>
    </xf>
    <xf numFmtId="0" fontId="19" fillId="0" borderId="15" xfId="0" applyFont="1" applyBorder="1" applyAlignment="1">
      <alignment horizontal="center" vertical="center"/>
    </xf>
    <xf numFmtId="49" fontId="19" fillId="0" borderId="15" xfId="0" applyNumberFormat="1" applyFont="1" applyBorder="1" applyAlignment="1">
      <alignment vertical="center"/>
    </xf>
    <xf numFmtId="178" fontId="19" fillId="0" borderId="15" xfId="0" applyNumberFormat="1" applyFont="1" applyBorder="1" applyAlignment="1">
      <alignment vertical="center"/>
    </xf>
    <xf numFmtId="10" fontId="19" fillId="0" borderId="15" xfId="0" applyNumberFormat="1" applyFont="1" applyBorder="1" applyAlignment="1">
      <alignment vertical="center"/>
    </xf>
    <xf numFmtId="181" fontId="19" fillId="0" borderId="15" xfId="0" applyNumberFormat="1" applyFont="1" applyBorder="1" applyAlignment="1">
      <alignment vertical="center"/>
    </xf>
    <xf numFmtId="10" fontId="19" fillId="0" borderId="15" xfId="2" applyNumberFormat="1" applyFont="1" applyBorder="1" applyAlignment="1">
      <alignment vertical="center"/>
    </xf>
    <xf numFmtId="10" fontId="21" fillId="0" borderId="15" xfId="2" applyNumberFormat="1" applyFont="1" applyBorder="1" applyAlignment="1">
      <alignment vertical="center"/>
    </xf>
    <xf numFmtId="185" fontId="35" fillId="0" borderId="15" xfId="2" applyNumberFormat="1" applyFont="1" applyBorder="1" applyAlignment="1">
      <alignment vertical="center"/>
    </xf>
    <xf numFmtId="185" fontId="19" fillId="0" borderId="15" xfId="0" applyNumberFormat="1" applyFont="1" applyBorder="1" applyAlignment="1">
      <alignment vertical="center"/>
    </xf>
    <xf numFmtId="10" fontId="35" fillId="4" borderId="15" xfId="2" applyNumberFormat="1" applyFont="1" applyFill="1" applyBorder="1" applyAlignment="1">
      <alignment horizontal="center" vertical="center"/>
    </xf>
    <xf numFmtId="197" fontId="19" fillId="0" borderId="15" xfId="2" applyNumberFormat="1" applyFont="1" applyBorder="1" applyAlignment="1">
      <alignment vertical="center"/>
    </xf>
    <xf numFmtId="185" fontId="19" fillId="0" borderId="15" xfId="2" applyNumberFormat="1" applyFont="1" applyBorder="1" applyAlignment="1">
      <alignment vertical="center"/>
    </xf>
    <xf numFmtId="189" fontId="19" fillId="0" borderId="15" xfId="0" applyNumberFormat="1" applyFont="1" applyBorder="1" applyAlignment="1">
      <alignment vertical="center"/>
    </xf>
    <xf numFmtId="10" fontId="35" fillId="4" borderId="0" xfId="2" applyNumberFormat="1" applyFont="1" applyFill="1" applyBorder="1" applyAlignment="1">
      <alignment horizontal="center" vertical="center"/>
    </xf>
    <xf numFmtId="4" fontId="19" fillId="0" borderId="0" xfId="0" applyNumberFormat="1" applyFont="1" applyAlignment="1">
      <alignment horizontal="right" vertical="center"/>
    </xf>
    <xf numFmtId="41" fontId="19" fillId="0" borderId="0" xfId="0" applyNumberFormat="1" applyFont="1" applyAlignment="1">
      <alignment horizontal="center" vertical="center"/>
    </xf>
    <xf numFmtId="212" fontId="19" fillId="0" borderId="0" xfId="2" applyNumberFormat="1" applyFont="1" applyAlignment="1">
      <alignment vertical="center"/>
    </xf>
    <xf numFmtId="168" fontId="19" fillId="0" borderId="0" xfId="0" applyNumberFormat="1" applyFont="1" applyAlignment="1">
      <alignment vertical="center"/>
    </xf>
    <xf numFmtId="169" fontId="19" fillId="0" borderId="0" xfId="0" applyNumberFormat="1" applyFont="1" applyAlignment="1">
      <alignment vertical="center"/>
    </xf>
    <xf numFmtId="170" fontId="19" fillId="0" borderId="0" xfId="0" applyNumberFormat="1" applyFont="1" applyAlignment="1">
      <alignment vertical="center"/>
    </xf>
    <xf numFmtId="173" fontId="19" fillId="0" borderId="0" xfId="2" applyNumberFormat="1" applyFont="1" applyAlignment="1">
      <alignment vertical="center"/>
    </xf>
    <xf numFmtId="174" fontId="19" fillId="0" borderId="0" xfId="2" applyNumberFormat="1" applyFont="1" applyAlignment="1">
      <alignment vertical="center"/>
    </xf>
    <xf numFmtId="175" fontId="19" fillId="0" borderId="0" xfId="2" applyNumberFormat="1" applyFont="1" applyAlignment="1">
      <alignment vertical="center"/>
    </xf>
    <xf numFmtId="191" fontId="19" fillId="0" borderId="0" xfId="2" applyNumberFormat="1" applyFont="1" applyAlignment="1">
      <alignment vertical="center"/>
    </xf>
    <xf numFmtId="171" fontId="19" fillId="0" borderId="0" xfId="0" applyNumberFormat="1" applyFont="1" applyAlignment="1">
      <alignment vertical="center"/>
    </xf>
    <xf numFmtId="41" fontId="24" fillId="3" borderId="0" xfId="0" applyNumberFormat="1" applyFont="1" applyFill="1" applyAlignment="1">
      <alignment horizontal="center" vertical="center"/>
    </xf>
    <xf numFmtId="2" fontId="24" fillId="3" borderId="0" xfId="0" applyNumberFormat="1" applyFont="1" applyFill="1" applyAlignment="1">
      <alignment vertical="center"/>
    </xf>
    <xf numFmtId="49" fontId="26" fillId="3" borderId="0" xfId="0" applyNumberFormat="1" applyFont="1" applyFill="1" applyAlignment="1">
      <alignment vertical="center"/>
    </xf>
    <xf numFmtId="0" fontId="26" fillId="3" borderId="0" xfId="0" applyFont="1" applyFill="1" applyAlignment="1">
      <alignment vertical="center"/>
    </xf>
    <xf numFmtId="4" fontId="24" fillId="3" borderId="0" xfId="0" applyNumberFormat="1" applyFont="1" applyFill="1" applyAlignment="1">
      <alignment vertical="center"/>
    </xf>
    <xf numFmtId="10" fontId="26" fillId="3" borderId="0" xfId="2" applyNumberFormat="1" applyFont="1" applyFill="1" applyAlignment="1">
      <alignment vertical="center"/>
    </xf>
    <xf numFmtId="168" fontId="26" fillId="3" borderId="0" xfId="1" applyNumberFormat="1" applyFont="1" applyFill="1" applyAlignment="1">
      <alignment vertical="center"/>
    </xf>
    <xf numFmtId="169" fontId="26" fillId="3" borderId="0" xfId="1" applyNumberFormat="1" applyFont="1" applyFill="1" applyAlignment="1">
      <alignment vertical="center"/>
    </xf>
    <xf numFmtId="170" fontId="26" fillId="3" borderId="0" xfId="1" applyNumberFormat="1" applyFont="1" applyFill="1" applyAlignment="1">
      <alignment vertical="center"/>
    </xf>
    <xf numFmtId="171" fontId="26" fillId="3" borderId="0" xfId="1" applyNumberFormat="1" applyFont="1" applyFill="1" applyAlignment="1">
      <alignment vertical="center"/>
    </xf>
    <xf numFmtId="212" fontId="26" fillId="3" borderId="0" xfId="2" applyNumberFormat="1" applyFont="1" applyFill="1" applyAlignment="1">
      <alignment vertical="center"/>
    </xf>
    <xf numFmtId="14" fontId="26" fillId="3" borderId="0" xfId="2" applyNumberFormat="1" applyFont="1" applyFill="1" applyAlignment="1">
      <alignment vertical="center"/>
    </xf>
    <xf numFmtId="172" fontId="26" fillId="3" borderId="0" xfId="1" applyNumberFormat="1" applyFont="1" applyFill="1" applyAlignment="1">
      <alignment vertical="center"/>
    </xf>
    <xf numFmtId="173" fontId="26" fillId="3" borderId="0" xfId="2" applyNumberFormat="1" applyFont="1" applyFill="1" applyAlignment="1">
      <alignment vertical="center"/>
    </xf>
    <xf numFmtId="174" fontId="26" fillId="3" borderId="0" xfId="2" applyNumberFormat="1" applyFont="1" applyFill="1" applyAlignment="1">
      <alignment horizontal="left" vertical="center"/>
    </xf>
    <xf numFmtId="175" fontId="26" fillId="3" borderId="0" xfId="2" applyNumberFormat="1" applyFont="1" applyFill="1" applyAlignment="1">
      <alignment horizontal="left" vertical="center"/>
    </xf>
    <xf numFmtId="191" fontId="26" fillId="3" borderId="0" xfId="2" applyNumberFormat="1" applyFont="1" applyFill="1" applyAlignment="1">
      <alignment vertical="center"/>
    </xf>
    <xf numFmtId="176" fontId="19" fillId="0" borderId="0" xfId="1" applyNumberFormat="1" applyFont="1" applyFill="1" applyAlignment="1">
      <alignment vertical="center"/>
    </xf>
    <xf numFmtId="10" fontId="19" fillId="0" borderId="0" xfId="2" applyNumberFormat="1" applyFont="1" applyFill="1" applyAlignment="1">
      <alignment horizontal="right" vertical="center"/>
    </xf>
    <xf numFmtId="168" fontId="19" fillId="0" borderId="0" xfId="1" applyNumberFormat="1" applyFont="1" applyFill="1" applyAlignment="1">
      <alignment horizontal="right" vertical="center"/>
    </xf>
    <xf numFmtId="169" fontId="19" fillId="0" borderId="0" xfId="1" applyNumberFormat="1" applyFont="1" applyFill="1" applyAlignment="1">
      <alignment horizontal="right" vertical="center"/>
    </xf>
    <xf numFmtId="170" fontId="19" fillId="0" borderId="0" xfId="1" applyNumberFormat="1" applyFont="1" applyFill="1" applyAlignment="1">
      <alignment horizontal="right" vertical="center"/>
    </xf>
    <xf numFmtId="171" fontId="19" fillId="0" borderId="0" xfId="1" applyNumberFormat="1" applyFont="1" applyFill="1" applyAlignment="1">
      <alignment horizontal="right" vertical="center"/>
    </xf>
    <xf numFmtId="212" fontId="19" fillId="0" borderId="0" xfId="2" applyNumberFormat="1" applyFont="1" applyFill="1" applyAlignment="1">
      <alignment horizontal="right" vertical="center"/>
    </xf>
    <xf numFmtId="14" fontId="19" fillId="0" borderId="0" xfId="2" applyNumberFormat="1" applyFont="1" applyFill="1" applyAlignment="1">
      <alignment horizontal="right" vertical="center"/>
    </xf>
    <xf numFmtId="172" fontId="19" fillId="0" borderId="0" xfId="1" applyNumberFormat="1" applyFont="1" applyFill="1" applyAlignment="1">
      <alignment horizontal="right" vertical="center"/>
    </xf>
    <xf numFmtId="205" fontId="19" fillId="0" borderId="0" xfId="2" applyNumberFormat="1" applyFont="1" applyFill="1" applyAlignment="1">
      <alignment horizontal="right" vertical="center"/>
    </xf>
    <xf numFmtId="174" fontId="19" fillId="0" borderId="0" xfId="2" applyNumberFormat="1" applyFont="1" applyFill="1" applyAlignment="1">
      <alignment horizontal="center" vertical="center"/>
    </xf>
    <xf numFmtId="175" fontId="19" fillId="0" borderId="0" xfId="2" applyNumberFormat="1" applyFont="1" applyFill="1" applyAlignment="1">
      <alignment horizontal="left" vertical="center"/>
    </xf>
    <xf numFmtId="191" fontId="19" fillId="0" borderId="0" xfId="2" applyNumberFormat="1" applyFont="1" applyFill="1" applyAlignment="1">
      <alignment horizontal="right" vertical="center"/>
    </xf>
    <xf numFmtId="173" fontId="19" fillId="0" borderId="0" xfId="2" applyNumberFormat="1" applyFont="1" applyFill="1" applyAlignment="1">
      <alignment horizontal="right" vertical="center"/>
    </xf>
    <xf numFmtId="0" fontId="28" fillId="0" borderId="0" xfId="7" applyNumberFormat="1" applyFont="1" applyFill="1" applyAlignment="1">
      <alignment vertical="center"/>
    </xf>
    <xf numFmtId="0" fontId="33" fillId="0" borderId="0" xfId="3" applyNumberFormat="1" applyFont="1" applyFill="1" applyAlignment="1">
      <alignment vertical="center"/>
    </xf>
    <xf numFmtId="170" fontId="19" fillId="0" borderId="0" xfId="2" applyNumberFormat="1" applyFont="1" applyFill="1" applyAlignment="1">
      <alignment horizontal="right" vertical="center"/>
    </xf>
    <xf numFmtId="49" fontId="19" fillId="0" borderId="0" xfId="2" applyNumberFormat="1" applyFont="1" applyFill="1" applyAlignment="1">
      <alignment horizontal="right" vertical="center"/>
    </xf>
    <xf numFmtId="10" fontId="28" fillId="0" borderId="0" xfId="2" applyNumberFormat="1" applyFont="1" applyFill="1" applyAlignment="1">
      <alignment vertical="center"/>
    </xf>
    <xf numFmtId="0" fontId="28" fillId="0" borderId="0" xfId="2" applyNumberFormat="1" applyFont="1" applyFill="1" applyAlignment="1">
      <alignment vertical="center"/>
    </xf>
    <xf numFmtId="0" fontId="33" fillId="0" borderId="0" xfId="2" applyNumberFormat="1" applyFont="1" applyFill="1" applyAlignment="1">
      <alignment vertical="center"/>
    </xf>
    <xf numFmtId="0" fontId="19" fillId="2" borderId="0" xfId="0" applyFont="1" applyFill="1" applyAlignment="1">
      <alignment vertical="center"/>
    </xf>
    <xf numFmtId="0" fontId="19" fillId="2" borderId="0" xfId="0" applyFont="1" applyFill="1" applyAlignment="1">
      <alignment horizontal="right" vertical="center"/>
    </xf>
    <xf numFmtId="0" fontId="19" fillId="2" borderId="0" xfId="0" applyFont="1" applyFill="1" applyAlignment="1">
      <alignment horizontal="left" vertical="center"/>
    </xf>
    <xf numFmtId="0" fontId="19" fillId="2" borderId="0" xfId="0" applyFont="1" applyFill="1" applyAlignment="1">
      <alignment horizontal="center" vertical="center"/>
    </xf>
    <xf numFmtId="10" fontId="19" fillId="2" borderId="0" xfId="0" applyNumberFormat="1" applyFont="1" applyFill="1" applyAlignment="1">
      <alignment vertical="center"/>
    </xf>
    <xf numFmtId="41" fontId="19" fillId="2" borderId="0" xfId="0" applyNumberFormat="1" applyFont="1" applyFill="1" applyAlignment="1">
      <alignment horizontal="center" vertical="center"/>
    </xf>
    <xf numFmtId="4" fontId="19" fillId="2" borderId="0" xfId="0" applyNumberFormat="1" applyFont="1" applyFill="1" applyAlignment="1">
      <alignment horizontal="right" vertical="center"/>
    </xf>
    <xf numFmtId="10" fontId="19" fillId="2" borderId="0" xfId="0" applyNumberFormat="1" applyFont="1" applyFill="1" applyAlignment="1">
      <alignment horizontal="left" vertical="center"/>
    </xf>
    <xf numFmtId="0" fontId="28" fillId="0" borderId="0" xfId="7" applyFont="1" applyFill="1" applyAlignment="1">
      <alignment vertical="center"/>
    </xf>
    <xf numFmtId="0" fontId="33" fillId="0" borderId="0" xfId="3" applyFont="1" applyFill="1" applyAlignment="1">
      <alignment vertical="center"/>
    </xf>
    <xf numFmtId="0" fontId="19" fillId="0" borderId="0" xfId="0" applyFont="1" applyAlignment="1">
      <alignment horizontal="center"/>
    </xf>
    <xf numFmtId="41" fontId="19" fillId="0" borderId="0" xfId="0" applyNumberFormat="1" applyFont="1" applyAlignment="1">
      <alignment horizontal="center"/>
    </xf>
    <xf numFmtId="0" fontId="21" fillId="8" borderId="0" xfId="0" applyFont="1" applyFill="1"/>
    <xf numFmtId="0" fontId="20" fillId="16" borderId="0" xfId="0" applyFont="1" applyFill="1"/>
    <xf numFmtId="14" fontId="20" fillId="16" borderId="0" xfId="0" applyNumberFormat="1" applyFont="1" applyFill="1"/>
    <xf numFmtId="0" fontId="20" fillId="16" borderId="0" xfId="2" applyNumberFormat="1" applyFont="1" applyFill="1"/>
    <xf numFmtId="14" fontId="19" fillId="0" borderId="0" xfId="0" applyNumberFormat="1" applyFont="1"/>
    <xf numFmtId="0" fontId="19" fillId="0" borderId="0" xfId="2" applyNumberFormat="1" applyFont="1"/>
    <xf numFmtId="49" fontId="19" fillId="0" borderId="0" xfId="0" applyNumberFormat="1" applyFont="1"/>
    <xf numFmtId="2" fontId="19" fillId="0" borderId="0" xfId="0" applyNumberFormat="1" applyFont="1"/>
    <xf numFmtId="22" fontId="19" fillId="0" borderId="0" xfId="0" applyNumberFormat="1" applyFont="1"/>
    <xf numFmtId="0" fontId="50" fillId="0" borderId="0" xfId="0" applyFont="1"/>
    <xf numFmtId="0" fontId="26" fillId="0" borderId="0" xfId="8" applyFont="1" applyAlignment="1">
      <alignment vertical="center"/>
    </xf>
    <xf numFmtId="0" fontId="26" fillId="0" borderId="0" xfId="8" applyFont="1" applyAlignment="1">
      <alignment vertical="top" wrapText="1"/>
    </xf>
    <xf numFmtId="0" fontId="27" fillId="0" borderId="0" xfId="8" applyFont="1" applyAlignment="1">
      <alignment vertical="center"/>
    </xf>
    <xf numFmtId="3" fontId="27" fillId="0" borderId="0" xfId="8" applyNumberFormat="1" applyFont="1"/>
    <xf numFmtId="0" fontId="27" fillId="0" borderId="0" xfId="8" applyFont="1"/>
    <xf numFmtId="4" fontId="27" fillId="0" borderId="0" xfId="8" applyNumberFormat="1" applyFont="1"/>
    <xf numFmtId="14" fontId="27" fillId="0" borderId="0" xfId="8" applyNumberFormat="1" applyFont="1" applyAlignment="1">
      <alignment vertical="center"/>
    </xf>
    <xf numFmtId="0" fontId="20" fillId="0" borderId="0" xfId="8" applyFont="1"/>
    <xf numFmtId="192" fontId="27" fillId="0" borderId="0" xfId="8" applyNumberFormat="1" applyFont="1"/>
    <xf numFmtId="193" fontId="27" fillId="0" borderId="0" xfId="8" applyNumberFormat="1" applyFont="1"/>
    <xf numFmtId="168" fontId="27" fillId="0" borderId="0" xfId="8" applyNumberFormat="1" applyFont="1"/>
    <xf numFmtId="181" fontId="27" fillId="0" borderId="0" xfId="8" applyNumberFormat="1" applyFont="1"/>
    <xf numFmtId="0" fontId="45" fillId="2" borderId="0" xfId="0" applyFont="1" applyFill="1" applyAlignment="1">
      <alignment vertical="top"/>
    </xf>
    <xf numFmtId="0" fontId="34" fillId="2" borderId="0" xfId="3" applyFont="1" applyFill="1" applyAlignment="1">
      <alignment vertical="top"/>
    </xf>
    <xf numFmtId="2" fontId="19" fillId="2" borderId="0" xfId="1" applyNumberFormat="1" applyFont="1" applyFill="1" applyAlignment="1">
      <alignment vertical="top" wrapText="1"/>
    </xf>
    <xf numFmtId="167" fontId="19" fillId="2" borderId="0" xfId="0" applyNumberFormat="1" applyFont="1" applyFill="1" applyAlignment="1">
      <alignment horizontal="center" vertical="top" wrapText="1"/>
    </xf>
    <xf numFmtId="0" fontId="19" fillId="2" borderId="0" xfId="0" applyFont="1" applyFill="1" applyAlignment="1">
      <alignment vertical="top"/>
    </xf>
    <xf numFmtId="0" fontId="19" fillId="0" borderId="0" xfId="0" applyFont="1" applyAlignment="1">
      <alignment vertical="top"/>
    </xf>
    <xf numFmtId="0" fontId="19" fillId="2" borderId="0" xfId="0" quotePrefix="1" applyFont="1" applyFill="1" applyAlignment="1">
      <alignment vertical="top" wrapText="1"/>
    </xf>
    <xf numFmtId="0" fontId="19" fillId="0" borderId="0" xfId="0" applyFont="1" applyAlignment="1">
      <alignment vertical="top" wrapText="1" readingOrder="1"/>
    </xf>
    <xf numFmtId="165" fontId="19" fillId="0" borderId="0" xfId="1" applyFont="1" applyAlignment="1">
      <alignment vertical="top" wrapText="1" readingOrder="1"/>
    </xf>
    <xf numFmtId="0" fontId="19" fillId="0" borderId="0" xfId="0" applyFont="1" applyAlignment="1">
      <alignment horizontal="right" vertical="top" wrapText="1"/>
    </xf>
    <xf numFmtId="165" fontId="19" fillId="0" borderId="0" xfId="1" applyFont="1" applyFill="1" applyAlignment="1">
      <alignment horizontal="right" vertical="center"/>
    </xf>
    <xf numFmtId="180" fontId="19" fillId="0" borderId="0" xfId="2" applyNumberFormat="1" applyFont="1" applyFill="1" applyAlignment="1">
      <alignment horizontal="right" vertical="center"/>
    </xf>
    <xf numFmtId="180" fontId="19" fillId="0" borderId="0" xfId="0" applyNumberFormat="1" applyFont="1" applyAlignment="1">
      <alignment horizontal="right" vertical="center"/>
    </xf>
    <xf numFmtId="165" fontId="19" fillId="2" borderId="0" xfId="1" applyFont="1" applyFill="1" applyAlignment="1">
      <alignment horizontal="right" vertical="center"/>
    </xf>
    <xf numFmtId="180" fontId="19" fillId="2" borderId="0" xfId="0" applyNumberFormat="1" applyFont="1" applyFill="1" applyAlignment="1">
      <alignment horizontal="right" vertical="center"/>
    </xf>
    <xf numFmtId="165" fontId="19" fillId="0" borderId="0" xfId="1" applyFont="1" applyAlignment="1">
      <alignment horizontal="right" vertical="center"/>
    </xf>
    <xf numFmtId="0" fontId="15" fillId="0" borderId="0" xfId="7" applyNumberFormat="1" applyFont="1" applyFill="1" applyAlignment="1">
      <alignment horizontal="center" vertical="center"/>
    </xf>
    <xf numFmtId="0" fontId="15" fillId="0" borderId="0" xfId="7" applyFont="1" applyFill="1" applyAlignment="1">
      <alignment horizontal="center" vertical="center"/>
    </xf>
    <xf numFmtId="49" fontId="15" fillId="0" borderId="0" xfId="7" applyNumberFormat="1" applyFont="1" applyFill="1" applyAlignment="1">
      <alignment horizontal="center" vertical="center"/>
    </xf>
    <xf numFmtId="0" fontId="6" fillId="0" borderId="0" xfId="7" applyFont="1" applyFill="1" applyAlignment="1">
      <alignment horizontal="center" vertical="center"/>
    </xf>
    <xf numFmtId="0" fontId="6" fillId="0" borderId="0" xfId="7" applyNumberFormat="1" applyFont="1" applyFill="1" applyAlignment="1">
      <alignment horizontal="center" vertical="center"/>
    </xf>
    <xf numFmtId="49" fontId="51" fillId="0" borderId="0" xfId="0" applyNumberFormat="1" applyFont="1" applyAlignment="1">
      <alignment horizontal="center" vertical="center"/>
    </xf>
    <xf numFmtId="49" fontId="52" fillId="0" borderId="0" xfId="0" applyNumberFormat="1" applyFont="1" applyAlignment="1">
      <alignment horizontal="center" vertical="center"/>
    </xf>
    <xf numFmtId="49" fontId="6" fillId="0" borderId="0" xfId="7" applyNumberFormat="1" applyFont="1" applyFill="1" applyAlignment="1">
      <alignment horizontal="center" vertical="center"/>
    </xf>
    <xf numFmtId="49" fontId="53" fillId="0" borderId="0" xfId="7" applyNumberFormat="1" applyFont="1" applyFill="1" applyAlignment="1">
      <alignment horizontal="center" vertical="center"/>
    </xf>
    <xf numFmtId="0" fontId="54" fillId="4" borderId="0" xfId="0" applyFont="1" applyFill="1" applyAlignment="1">
      <alignment horizontal="center" vertical="center"/>
    </xf>
    <xf numFmtId="0" fontId="51" fillId="4" borderId="0" xfId="0" applyFont="1" applyFill="1" applyAlignment="1">
      <alignment horizontal="center" vertical="center"/>
    </xf>
    <xf numFmtId="180" fontId="51" fillId="4" borderId="0" xfId="2" applyNumberFormat="1" applyFont="1" applyFill="1" applyBorder="1" applyAlignment="1">
      <alignment horizontal="center" vertical="center"/>
    </xf>
    <xf numFmtId="0" fontId="51" fillId="3" borderId="20" xfId="0" applyFont="1" applyFill="1" applyBorder="1" applyAlignment="1">
      <alignment horizontal="center" vertical="center"/>
    </xf>
    <xf numFmtId="49" fontId="52" fillId="3" borderId="0" xfId="0" applyNumberFormat="1" applyFont="1" applyFill="1" applyAlignment="1">
      <alignment horizontal="center" vertical="center"/>
    </xf>
    <xf numFmtId="0" fontId="52" fillId="13" borderId="0" xfId="0" applyFont="1" applyFill="1" applyAlignment="1">
      <alignment horizontal="center" vertical="center"/>
    </xf>
    <xf numFmtId="0" fontId="55" fillId="14" borderId="0" xfId="0" applyFont="1" applyFill="1" applyAlignment="1">
      <alignment horizontal="center" vertical="center"/>
    </xf>
    <xf numFmtId="0" fontId="55" fillId="14" borderId="20" xfId="0" applyFont="1" applyFill="1" applyBorder="1" applyAlignment="1">
      <alignment horizontal="center" vertical="center"/>
    </xf>
    <xf numFmtId="0" fontId="52" fillId="15" borderId="0" xfId="0" applyFont="1" applyFill="1" applyAlignment="1">
      <alignment vertical="center"/>
    </xf>
    <xf numFmtId="0" fontId="56" fillId="34" borderId="0" xfId="0" applyFont="1" applyFill="1" applyAlignment="1">
      <alignment vertical="center"/>
    </xf>
    <xf numFmtId="0" fontId="57" fillId="16" borderId="0" xfId="3" applyFont="1" applyFill="1" applyAlignment="1">
      <alignment horizontal="center" vertical="center"/>
    </xf>
    <xf numFmtId="0" fontId="58" fillId="17" borderId="0" xfId="0" applyFont="1" applyFill="1" applyAlignment="1">
      <alignment vertical="center"/>
    </xf>
    <xf numFmtId="0" fontId="59" fillId="18" borderId="0" xfId="0" applyFont="1" applyFill="1" applyAlignment="1">
      <alignment vertical="center"/>
    </xf>
    <xf numFmtId="0" fontId="57" fillId="19" borderId="0" xfId="3" applyFont="1" applyFill="1" applyAlignment="1">
      <alignment horizontal="center" vertical="center"/>
    </xf>
    <xf numFmtId="0" fontId="60" fillId="19" borderId="0" xfId="3" applyFont="1" applyFill="1" applyAlignment="1">
      <alignment horizontal="center" vertical="center"/>
    </xf>
    <xf numFmtId="0" fontId="52" fillId="20" borderId="0" xfId="0" applyFont="1" applyFill="1" applyAlignment="1">
      <alignment vertical="center"/>
    </xf>
    <xf numFmtId="0" fontId="59" fillId="22" borderId="0" xfId="0" applyFont="1" applyFill="1" applyAlignment="1">
      <alignment vertical="center"/>
    </xf>
    <xf numFmtId="0" fontId="57" fillId="24" borderId="0" xfId="3" applyFont="1" applyFill="1" applyAlignment="1">
      <alignment horizontal="center" vertical="center"/>
    </xf>
    <xf numFmtId="0" fontId="52" fillId="25" borderId="0" xfId="0" applyFont="1" applyFill="1" applyAlignment="1">
      <alignment vertical="center"/>
    </xf>
    <xf numFmtId="0" fontId="59" fillId="26" borderId="0" xfId="0" applyFont="1" applyFill="1" applyAlignment="1">
      <alignment vertical="center"/>
    </xf>
    <xf numFmtId="0" fontId="57" fillId="27" borderId="0" xfId="3" applyFont="1" applyFill="1" applyAlignment="1">
      <alignment horizontal="center" vertical="center"/>
    </xf>
    <xf numFmtId="0" fontId="52" fillId="35" borderId="0" xfId="0" applyFont="1" applyFill="1" applyAlignment="1">
      <alignment vertical="center"/>
    </xf>
    <xf numFmtId="0" fontId="59" fillId="36" borderId="0" xfId="0" applyFont="1" applyFill="1" applyAlignment="1">
      <alignment vertical="center"/>
    </xf>
    <xf numFmtId="0" fontId="57" fillId="6" borderId="0" xfId="3" applyFont="1" applyFill="1" applyAlignment="1">
      <alignment horizontal="center" vertical="center"/>
    </xf>
    <xf numFmtId="0" fontId="51" fillId="0" borderId="0" xfId="0" applyFont="1" applyAlignment="1">
      <alignment horizontal="center" vertical="center"/>
    </xf>
    <xf numFmtId="49" fontId="61" fillId="28" borderId="2" xfId="0" applyNumberFormat="1" applyFont="1" applyFill="1" applyBorder="1" applyAlignment="1">
      <alignment horizontal="center" vertical="center"/>
    </xf>
    <xf numFmtId="186" fontId="51" fillId="0" borderId="0" xfId="0" applyNumberFormat="1" applyFont="1" applyAlignment="1">
      <alignment horizontal="center" vertical="center"/>
    </xf>
    <xf numFmtId="0" fontId="51" fillId="23" borderId="0" xfId="0" applyFont="1" applyFill="1" applyAlignment="1">
      <alignment horizontal="center" vertical="center"/>
    </xf>
    <xf numFmtId="176" fontId="51" fillId="0" borderId="6" xfId="1" applyNumberFormat="1" applyFont="1" applyBorder="1" applyAlignment="1">
      <alignment horizontal="center" vertical="center"/>
    </xf>
    <xf numFmtId="185" fontId="39" fillId="19" borderId="0" xfId="0" applyNumberFormat="1" applyFont="1" applyFill="1" applyAlignment="1">
      <alignment vertical="center"/>
    </xf>
    <xf numFmtId="0" fontId="63" fillId="4" borderId="0" xfId="0" applyFont="1" applyFill="1" applyAlignment="1">
      <alignment horizontal="center" vertical="center"/>
    </xf>
    <xf numFmtId="49" fontId="61" fillId="3" borderId="0" xfId="0" applyNumberFormat="1" applyFont="1" applyFill="1" applyAlignment="1">
      <alignment horizontal="center" vertical="center"/>
    </xf>
    <xf numFmtId="0" fontId="61" fillId="13" borderId="0" xfId="0" applyFont="1" applyFill="1" applyAlignment="1">
      <alignment horizontal="center" vertical="center"/>
    </xf>
    <xf numFmtId="3" fontId="52" fillId="13" borderId="0" xfId="0" applyNumberFormat="1" applyFont="1" applyFill="1" applyAlignment="1">
      <alignment horizontal="center" vertical="center"/>
    </xf>
    <xf numFmtId="3" fontId="51" fillId="14" borderId="0" xfId="1" applyNumberFormat="1" applyFont="1" applyFill="1" applyBorder="1" applyAlignment="1">
      <alignment horizontal="center" vertical="center"/>
    </xf>
    <xf numFmtId="3" fontId="51" fillId="14" borderId="20" xfId="1" applyNumberFormat="1" applyFont="1" applyFill="1" applyBorder="1" applyAlignment="1">
      <alignment horizontal="center" vertical="center"/>
    </xf>
    <xf numFmtId="0" fontId="61" fillId="15" borderId="0" xfId="0" applyFont="1" applyFill="1" applyAlignment="1">
      <alignment vertical="center"/>
    </xf>
    <xf numFmtId="0" fontId="64" fillId="34" borderId="0" xfId="0" applyFont="1" applyFill="1" applyAlignment="1">
      <alignment vertical="center"/>
    </xf>
    <xf numFmtId="0" fontId="6" fillId="16" borderId="0" xfId="3" applyFont="1" applyFill="1" applyAlignment="1">
      <alignment horizontal="center" vertical="center"/>
    </xf>
    <xf numFmtId="3" fontId="6" fillId="16" borderId="0" xfId="3" applyNumberFormat="1" applyFont="1" applyFill="1" applyBorder="1" applyAlignment="1">
      <alignment horizontal="center" vertical="center"/>
    </xf>
    <xf numFmtId="3" fontId="53" fillId="16" borderId="0" xfId="3" applyNumberFormat="1" applyFont="1" applyFill="1" applyBorder="1" applyAlignment="1">
      <alignment horizontal="center" vertical="center"/>
    </xf>
    <xf numFmtId="0" fontId="51" fillId="17" borderId="0" xfId="0" applyFont="1" applyFill="1" applyAlignment="1">
      <alignment vertical="center"/>
    </xf>
    <xf numFmtId="0" fontId="51" fillId="18" borderId="0" xfId="0" applyFont="1" applyFill="1" applyAlignment="1">
      <alignment vertical="center"/>
    </xf>
    <xf numFmtId="0" fontId="6" fillId="19" borderId="0" xfId="3" applyFont="1" applyFill="1" applyAlignment="1">
      <alignment horizontal="center" vertical="center"/>
    </xf>
    <xf numFmtId="3" fontId="6" fillId="19" borderId="0" xfId="3" applyNumberFormat="1" applyFont="1" applyFill="1" applyAlignment="1">
      <alignment horizontal="center" vertical="center"/>
    </xf>
    <xf numFmtId="3" fontId="53" fillId="19" borderId="0" xfId="3" applyNumberFormat="1" applyFont="1" applyFill="1" applyAlignment="1">
      <alignment horizontal="center" vertical="center"/>
    </xf>
    <xf numFmtId="3" fontId="6" fillId="19" borderId="0" xfId="3" applyNumberFormat="1" applyFont="1" applyFill="1" applyBorder="1" applyAlignment="1">
      <alignment horizontal="center" vertical="center"/>
    </xf>
    <xf numFmtId="3" fontId="53" fillId="19" borderId="0" xfId="3" applyNumberFormat="1" applyFont="1" applyFill="1" applyBorder="1" applyAlignment="1">
      <alignment horizontal="center" vertical="center"/>
    </xf>
    <xf numFmtId="0" fontId="64" fillId="19" borderId="0" xfId="3" applyFont="1" applyFill="1" applyAlignment="1">
      <alignment horizontal="center" vertical="center"/>
    </xf>
    <xf numFmtId="3" fontId="64" fillId="19" borderId="0" xfId="3" applyNumberFormat="1" applyFont="1" applyFill="1" applyBorder="1" applyAlignment="1">
      <alignment horizontal="center" vertical="center"/>
    </xf>
    <xf numFmtId="3" fontId="65" fillId="19" borderId="0" xfId="3" applyNumberFormat="1" applyFont="1" applyFill="1" applyBorder="1" applyAlignment="1">
      <alignment horizontal="center" vertical="center"/>
    </xf>
    <xf numFmtId="0" fontId="61" fillId="20" borderId="0" xfId="0" applyFont="1" applyFill="1" applyAlignment="1">
      <alignment vertical="center"/>
    </xf>
    <xf numFmtId="0" fontId="51" fillId="22" borderId="0" xfId="0" applyFont="1" applyFill="1" applyAlignment="1">
      <alignment vertical="center"/>
    </xf>
    <xf numFmtId="0" fontId="6" fillId="24" borderId="0" xfId="3" applyFont="1" applyFill="1" applyAlignment="1">
      <alignment horizontal="center" vertical="center"/>
    </xf>
    <xf numFmtId="3" fontId="6" fillId="24" borderId="0" xfId="3" applyNumberFormat="1" applyFont="1" applyFill="1" applyBorder="1" applyAlignment="1">
      <alignment horizontal="center" vertical="center"/>
    </xf>
    <xf numFmtId="3" fontId="53" fillId="23" borderId="0" xfId="3" applyNumberFormat="1" applyFont="1" applyFill="1" applyBorder="1" applyAlignment="1">
      <alignment horizontal="center" vertical="center"/>
    </xf>
    <xf numFmtId="3" fontId="6" fillId="23" borderId="0" xfId="3" applyNumberFormat="1" applyFont="1" applyFill="1" applyBorder="1" applyAlignment="1">
      <alignment horizontal="center" vertical="center"/>
    </xf>
    <xf numFmtId="0" fontId="61" fillId="25" borderId="0" xfId="0" applyFont="1" applyFill="1" applyAlignment="1">
      <alignment vertical="center"/>
    </xf>
    <xf numFmtId="0" fontId="51" fillId="26" borderId="0" xfId="0" applyFont="1" applyFill="1" applyAlignment="1">
      <alignment vertical="center"/>
    </xf>
    <xf numFmtId="0" fontId="6" fillId="27" borderId="0" xfId="3" applyFont="1" applyFill="1" applyAlignment="1">
      <alignment horizontal="center" vertical="center"/>
    </xf>
    <xf numFmtId="3" fontId="6" fillId="27" borderId="0" xfId="3" applyNumberFormat="1" applyFont="1" applyFill="1" applyBorder="1" applyAlignment="1">
      <alignment horizontal="center" vertical="center"/>
    </xf>
    <xf numFmtId="3" fontId="53" fillId="27" borderId="0" xfId="3" applyNumberFormat="1" applyFont="1" applyFill="1" applyBorder="1" applyAlignment="1">
      <alignment horizontal="center" vertical="center"/>
    </xf>
    <xf numFmtId="0" fontId="61" fillId="35" borderId="0" xfId="0" applyFont="1" applyFill="1" applyAlignment="1">
      <alignment vertical="center"/>
    </xf>
    <xf numFmtId="0" fontId="51" fillId="36" borderId="0" xfId="0" applyFont="1" applyFill="1" applyAlignment="1">
      <alignment vertical="center"/>
    </xf>
    <xf numFmtId="0" fontId="6" fillId="6" borderId="0" xfId="3" applyFont="1" applyFill="1" applyAlignment="1">
      <alignment horizontal="center" vertical="center"/>
    </xf>
    <xf numFmtId="3" fontId="6" fillId="6" borderId="0" xfId="3" applyNumberFormat="1" applyFont="1" applyFill="1" applyBorder="1" applyAlignment="1">
      <alignment horizontal="center" vertical="center"/>
    </xf>
    <xf numFmtId="3" fontId="53" fillId="6" borderId="0" xfId="3" applyNumberFormat="1" applyFont="1" applyFill="1" applyBorder="1" applyAlignment="1">
      <alignment horizontal="center" vertical="center"/>
    </xf>
    <xf numFmtId="0" fontId="61" fillId="28" borderId="2" xfId="0" applyFont="1" applyFill="1" applyBorder="1" applyAlignment="1">
      <alignment horizontal="center" vertical="center"/>
    </xf>
    <xf numFmtId="10" fontId="51" fillId="0" borderId="0" xfId="2" applyNumberFormat="1" applyFont="1" applyFill="1" applyBorder="1" applyAlignment="1">
      <alignment horizontal="center" vertical="center"/>
    </xf>
    <xf numFmtId="185" fontId="51" fillId="0" borderId="0" xfId="2" applyNumberFormat="1" applyFont="1" applyFill="1" applyBorder="1" applyAlignment="1">
      <alignment horizontal="center" vertical="center"/>
    </xf>
    <xf numFmtId="0" fontId="51" fillId="0" borderId="6" xfId="0" applyFont="1" applyBorder="1" applyAlignment="1">
      <alignment horizontal="center" vertical="center"/>
    </xf>
    <xf numFmtId="0" fontId="54" fillId="4" borderId="0" xfId="0" applyFont="1" applyFill="1" applyAlignment="1">
      <alignment vertical="center"/>
    </xf>
    <xf numFmtId="0" fontId="51" fillId="4" borderId="0" xfId="0" applyFont="1" applyFill="1" applyAlignment="1">
      <alignment horizontal="right" vertical="center"/>
    </xf>
    <xf numFmtId="0" fontId="51" fillId="3" borderId="0" xfId="0" applyFont="1" applyFill="1" applyAlignment="1">
      <alignment vertical="center"/>
    </xf>
    <xf numFmtId="0" fontId="66" fillId="14" borderId="0" xfId="0" applyFont="1" applyFill="1" applyAlignment="1">
      <alignment horizontal="center" vertical="center"/>
    </xf>
    <xf numFmtId="3" fontId="52" fillId="15" borderId="0" xfId="0" applyNumberFormat="1" applyFont="1" applyFill="1" applyAlignment="1">
      <alignment horizontal="center" vertical="center"/>
    </xf>
    <xf numFmtId="3" fontId="52" fillId="34" borderId="0" xfId="0" applyNumberFormat="1" applyFont="1" applyFill="1" applyAlignment="1">
      <alignment horizontal="center" vertical="center"/>
    </xf>
    <xf numFmtId="0" fontId="57" fillId="16" borderId="0" xfId="3" applyFont="1" applyFill="1" applyBorder="1" applyAlignment="1">
      <alignment horizontal="center" vertical="center"/>
    </xf>
    <xf numFmtId="0" fontId="6" fillId="16" borderId="0" xfId="3" applyFont="1" applyFill="1" applyBorder="1" applyAlignment="1">
      <alignment horizontal="center" vertical="center"/>
    </xf>
    <xf numFmtId="3" fontId="52" fillId="17" borderId="0" xfId="0" applyNumberFormat="1" applyFont="1" applyFill="1" applyAlignment="1">
      <alignment horizontal="center" vertical="center"/>
    </xf>
    <xf numFmtId="3" fontId="59" fillId="18" borderId="0" xfId="0" applyNumberFormat="1" applyFont="1" applyFill="1" applyAlignment="1">
      <alignment horizontal="center" vertical="center"/>
    </xf>
    <xf numFmtId="0" fontId="60" fillId="19" borderId="0" xfId="3" applyFont="1" applyFill="1" applyBorder="1" applyAlignment="1">
      <alignment horizontal="center" vertical="center"/>
    </xf>
    <xf numFmtId="0" fontId="64" fillId="19" borderId="0" xfId="3" applyFont="1" applyFill="1" applyBorder="1" applyAlignment="1">
      <alignment horizontal="center" vertical="center"/>
    </xf>
    <xf numFmtId="0" fontId="57" fillId="19" borderId="0" xfId="3" applyFont="1" applyFill="1" applyBorder="1" applyAlignment="1">
      <alignment horizontal="center" vertical="center"/>
    </xf>
    <xf numFmtId="0" fontId="6" fillId="19" borderId="0" xfId="3" applyFont="1" applyFill="1" applyBorder="1" applyAlignment="1">
      <alignment horizontal="center" vertical="center"/>
    </xf>
    <xf numFmtId="3" fontId="52" fillId="20" borderId="0" xfId="0" applyNumberFormat="1" applyFont="1" applyFill="1" applyAlignment="1">
      <alignment horizontal="center" vertical="center"/>
    </xf>
    <xf numFmtId="0" fontId="59" fillId="22" borderId="0" xfId="0" applyFont="1" applyFill="1" applyAlignment="1">
      <alignment horizontal="center" vertical="center"/>
    </xf>
    <xf numFmtId="0" fontId="57" fillId="23" borderId="0" xfId="3" applyFont="1" applyFill="1" applyBorder="1" applyAlignment="1">
      <alignment horizontal="center" vertical="center"/>
    </xf>
    <xf numFmtId="0" fontId="6" fillId="23" borderId="0" xfId="3" applyFont="1" applyFill="1" applyBorder="1" applyAlignment="1">
      <alignment horizontal="center" vertical="center"/>
    </xf>
    <xf numFmtId="3" fontId="52" fillId="25" borderId="0" xfId="0" applyNumberFormat="1" applyFont="1" applyFill="1" applyAlignment="1">
      <alignment horizontal="center" vertical="center"/>
    </xf>
    <xf numFmtId="0" fontId="59" fillId="26" borderId="0" xfId="0" applyFont="1" applyFill="1" applyAlignment="1">
      <alignment horizontal="center" vertical="center"/>
    </xf>
    <xf numFmtId="0" fontId="51" fillId="0" borderId="0" xfId="0" applyFont="1" applyAlignment="1">
      <alignment vertical="center"/>
    </xf>
    <xf numFmtId="0" fontId="61" fillId="28" borderId="2" xfId="0" applyFont="1" applyFill="1" applyBorder="1" applyAlignment="1">
      <alignment vertical="center"/>
    </xf>
    <xf numFmtId="0" fontId="51" fillId="23" borderId="0" xfId="0" applyFont="1" applyFill="1" applyAlignment="1">
      <alignment vertical="center"/>
    </xf>
    <xf numFmtId="0" fontId="51" fillId="0" borderId="6" xfId="0" applyFont="1" applyBorder="1" applyAlignment="1">
      <alignment vertical="center"/>
    </xf>
    <xf numFmtId="0" fontId="63" fillId="4" borderId="0" xfId="0" applyFont="1" applyFill="1" applyAlignment="1">
      <alignment vertical="center"/>
    </xf>
    <xf numFmtId="3" fontId="61" fillId="13" borderId="0" xfId="0" applyNumberFormat="1" applyFont="1" applyFill="1" applyAlignment="1">
      <alignment horizontal="center" vertical="center"/>
    </xf>
    <xf numFmtId="3" fontId="61" fillId="15" borderId="0" xfId="0" applyNumberFormat="1" applyFont="1" applyFill="1" applyAlignment="1">
      <alignment horizontal="center" vertical="center"/>
    </xf>
    <xf numFmtId="3" fontId="61" fillId="34" borderId="0" xfId="0" applyNumberFormat="1" applyFont="1" applyFill="1" applyAlignment="1">
      <alignment horizontal="center" vertical="center"/>
    </xf>
    <xf numFmtId="3" fontId="61" fillId="17" borderId="0" xfId="0" applyNumberFormat="1" applyFont="1" applyFill="1" applyAlignment="1">
      <alignment horizontal="center" vertical="center"/>
    </xf>
    <xf numFmtId="3" fontId="61" fillId="20" borderId="0" xfId="0" applyNumberFormat="1" applyFont="1" applyFill="1" applyAlignment="1">
      <alignment horizontal="center" vertical="center"/>
    </xf>
    <xf numFmtId="3" fontId="61" fillId="25" borderId="0" xfId="0" applyNumberFormat="1" applyFont="1" applyFill="1" applyAlignment="1">
      <alignment horizontal="center" vertical="center"/>
    </xf>
    <xf numFmtId="49" fontId="51" fillId="4" borderId="0" xfId="0" applyNumberFormat="1" applyFont="1" applyFill="1" applyAlignment="1">
      <alignment horizontal="right" vertical="center"/>
    </xf>
    <xf numFmtId="0" fontId="51" fillId="3" borderId="0" xfId="0" applyFont="1" applyFill="1" applyAlignment="1">
      <alignment horizontal="center" vertical="center"/>
    </xf>
    <xf numFmtId="49" fontId="51" fillId="3" borderId="0" xfId="0" applyNumberFormat="1" applyFont="1" applyFill="1" applyAlignment="1">
      <alignment vertical="center"/>
    </xf>
    <xf numFmtId="49" fontId="52" fillId="3" borderId="0" xfId="0" applyNumberFormat="1" applyFont="1" applyFill="1" applyAlignment="1">
      <alignment horizontal="left" vertical="center"/>
    </xf>
    <xf numFmtId="49" fontId="52" fillId="13" borderId="0" xfId="0" applyNumberFormat="1" applyFont="1" applyFill="1" applyAlignment="1">
      <alignment vertical="center"/>
    </xf>
    <xf numFmtId="49" fontId="51" fillId="14" borderId="0" xfId="0" applyNumberFormat="1" applyFont="1" applyFill="1" applyAlignment="1">
      <alignment vertical="center"/>
    </xf>
    <xf numFmtId="0" fontId="52" fillId="15" borderId="0" xfId="0" applyFont="1" applyFill="1" applyAlignment="1">
      <alignment horizontal="center" vertical="center"/>
    </xf>
    <xf numFmtId="49" fontId="52" fillId="15" borderId="0" xfId="0" applyNumberFormat="1" applyFont="1" applyFill="1" applyAlignment="1">
      <alignment vertical="center"/>
    </xf>
    <xf numFmtId="49" fontId="51" fillId="16" borderId="0" xfId="0" applyNumberFormat="1" applyFont="1" applyFill="1" applyAlignment="1">
      <alignment vertical="center"/>
    </xf>
    <xf numFmtId="49" fontId="64" fillId="16" borderId="0" xfId="0" applyNumberFormat="1" applyFont="1" applyFill="1" applyAlignment="1">
      <alignment vertical="center"/>
    </xf>
    <xf numFmtId="0" fontId="52" fillId="17" borderId="0" xfId="0" applyFont="1" applyFill="1" applyAlignment="1">
      <alignment horizontal="center" vertical="center"/>
    </xf>
    <xf numFmtId="49" fontId="52" fillId="17" borderId="0" xfId="0" applyNumberFormat="1" applyFont="1" applyFill="1" applyAlignment="1">
      <alignment vertical="center"/>
    </xf>
    <xf numFmtId="0" fontId="59" fillId="18" borderId="0" xfId="0" applyFont="1" applyFill="1" applyAlignment="1">
      <alignment horizontal="center" vertical="center"/>
    </xf>
    <xf numFmtId="49" fontId="59" fillId="18" borderId="0" xfId="0" applyNumberFormat="1" applyFont="1" applyFill="1" applyAlignment="1">
      <alignment vertical="center"/>
    </xf>
    <xf numFmtId="49" fontId="51" fillId="19" borderId="0" xfId="0" applyNumberFormat="1" applyFont="1" applyFill="1" applyAlignment="1">
      <alignment vertical="center"/>
    </xf>
    <xf numFmtId="0" fontId="52" fillId="20" borderId="0" xfId="0" applyFont="1" applyFill="1" applyAlignment="1">
      <alignment horizontal="center" vertical="center"/>
    </xf>
    <xf numFmtId="49" fontId="52" fillId="20" borderId="0" xfId="0" applyNumberFormat="1" applyFont="1" applyFill="1" applyAlignment="1">
      <alignment vertical="center"/>
    </xf>
    <xf numFmtId="49" fontId="59" fillId="22" borderId="0" xfId="0" applyNumberFormat="1" applyFont="1" applyFill="1" applyAlignment="1">
      <alignment vertical="center"/>
    </xf>
    <xf numFmtId="0" fontId="57" fillId="23" borderId="0" xfId="3" applyFont="1" applyFill="1" applyAlignment="1">
      <alignment horizontal="center" vertical="center"/>
    </xf>
    <xf numFmtId="0" fontId="6" fillId="23" borderId="0" xfId="3" applyFont="1" applyFill="1" applyAlignment="1">
      <alignment horizontal="center" vertical="center"/>
    </xf>
    <xf numFmtId="49" fontId="51" fillId="23" borderId="0" xfId="0" applyNumberFormat="1" applyFont="1" applyFill="1" applyAlignment="1">
      <alignment vertical="center"/>
    </xf>
    <xf numFmtId="0" fontId="52" fillId="25" borderId="0" xfId="0" applyFont="1" applyFill="1" applyAlignment="1">
      <alignment horizontal="center" vertical="center"/>
    </xf>
    <xf numFmtId="49" fontId="52" fillId="25" borderId="0" xfId="0" applyNumberFormat="1" applyFont="1" applyFill="1" applyAlignment="1">
      <alignment vertical="center"/>
    </xf>
    <xf numFmtId="49" fontId="59" fillId="26" borderId="0" xfId="0" applyNumberFormat="1" applyFont="1" applyFill="1" applyAlignment="1">
      <alignment vertical="center"/>
    </xf>
    <xf numFmtId="49" fontId="51" fillId="27" borderId="0" xfId="0" applyNumberFormat="1" applyFont="1" applyFill="1" applyAlignment="1">
      <alignment vertical="center"/>
    </xf>
    <xf numFmtId="49" fontId="51" fillId="0" borderId="0" xfId="0" applyNumberFormat="1" applyFont="1" applyAlignment="1">
      <alignment vertical="center"/>
    </xf>
    <xf numFmtId="49" fontId="61" fillId="28" borderId="2" xfId="0" applyNumberFormat="1" applyFont="1" applyFill="1" applyBorder="1" applyAlignment="1">
      <alignment horizontal="right" vertical="center"/>
    </xf>
    <xf numFmtId="49" fontId="51" fillId="0" borderId="0" xfId="2" applyNumberFormat="1" applyFont="1" applyBorder="1" applyAlignment="1">
      <alignment vertical="center"/>
    </xf>
    <xf numFmtId="49" fontId="51" fillId="0" borderId="6" xfId="0" applyNumberFormat="1" applyFont="1" applyBorder="1" applyAlignment="1">
      <alignment vertical="center"/>
    </xf>
    <xf numFmtId="3" fontId="6" fillId="16" borderId="0" xfId="3" applyNumberFormat="1" applyFont="1" applyFill="1" applyAlignment="1">
      <alignment horizontal="center" vertical="center"/>
    </xf>
    <xf numFmtId="3" fontId="53" fillId="16" borderId="0" xfId="3" applyNumberFormat="1" applyFont="1" applyFill="1" applyAlignment="1">
      <alignment horizontal="center" vertical="center"/>
    </xf>
    <xf numFmtId="0" fontId="53" fillId="16" borderId="0" xfId="3" applyFont="1" applyFill="1" applyAlignment="1">
      <alignment horizontal="center" vertical="center"/>
    </xf>
    <xf numFmtId="3" fontId="60" fillId="17" borderId="0" xfId="0" applyNumberFormat="1" applyFont="1" applyFill="1" applyAlignment="1">
      <alignment horizontal="center" vertical="center"/>
    </xf>
    <xf numFmtId="49" fontId="60" fillId="17" borderId="0" xfId="0" applyNumberFormat="1" applyFont="1" applyFill="1" applyAlignment="1">
      <alignment vertical="center"/>
    </xf>
    <xf numFmtId="3" fontId="59" fillId="22" borderId="0" xfId="0" applyNumberFormat="1" applyFont="1" applyFill="1" applyAlignment="1">
      <alignment horizontal="center" vertical="center"/>
    </xf>
    <xf numFmtId="3" fontId="59" fillId="26" borderId="0" xfId="0" applyNumberFormat="1" applyFont="1" applyFill="1" applyAlignment="1">
      <alignment horizontal="center" vertical="center"/>
    </xf>
    <xf numFmtId="0" fontId="61" fillId="28" borderId="0" xfId="0" applyFont="1" applyFill="1" applyAlignment="1">
      <alignment vertical="center"/>
    </xf>
    <xf numFmtId="210" fontId="51" fillId="0" borderId="0" xfId="0" applyNumberFormat="1" applyFont="1" applyAlignment="1">
      <alignment vertical="center"/>
    </xf>
    <xf numFmtId="210" fontId="51" fillId="0" borderId="0" xfId="2" applyNumberFormat="1" applyFont="1" applyBorder="1" applyAlignment="1">
      <alignment vertical="center"/>
    </xf>
    <xf numFmtId="211" fontId="51" fillId="23" borderId="0" xfId="0" applyNumberFormat="1" applyFont="1" applyFill="1" applyAlignment="1">
      <alignment vertical="center"/>
    </xf>
    <xf numFmtId="211" fontId="51" fillId="0" borderId="6" xfId="0" applyNumberFormat="1" applyFont="1" applyBorder="1" applyAlignment="1">
      <alignment vertical="center"/>
    </xf>
    <xf numFmtId="0" fontId="52" fillId="3" borderId="0" xfId="0" applyFont="1" applyFill="1" applyAlignment="1">
      <alignment horizontal="center" vertical="center"/>
    </xf>
    <xf numFmtId="0" fontId="57" fillId="14" borderId="0" xfId="3" applyFont="1" applyFill="1" applyAlignment="1">
      <alignment horizontal="center" vertical="center"/>
    </xf>
    <xf numFmtId="0" fontId="6" fillId="14" borderId="0" xfId="3" applyFont="1" applyFill="1" applyAlignment="1">
      <alignment horizontal="center" vertical="center"/>
    </xf>
    <xf numFmtId="3" fontId="6" fillId="14" borderId="0" xfId="3" applyNumberFormat="1" applyFont="1" applyFill="1" applyBorder="1" applyAlignment="1">
      <alignment horizontal="center" vertical="center"/>
    </xf>
    <xf numFmtId="3" fontId="53" fillId="14" borderId="0" xfId="3" applyNumberFormat="1" applyFont="1" applyFill="1" applyBorder="1" applyAlignment="1">
      <alignment horizontal="center" vertical="center"/>
    </xf>
    <xf numFmtId="0" fontId="57" fillId="14" borderId="20" xfId="3" applyFont="1" applyFill="1" applyBorder="1" applyAlignment="1">
      <alignment horizontal="center" vertical="center"/>
    </xf>
    <xf numFmtId="0" fontId="6" fillId="14" borderId="20" xfId="3" applyFont="1" applyFill="1" applyBorder="1" applyAlignment="1">
      <alignment horizontal="center" vertical="center"/>
    </xf>
    <xf numFmtId="3" fontId="6" fillId="14" borderId="20" xfId="3" applyNumberFormat="1" applyFont="1" applyFill="1" applyBorder="1" applyAlignment="1">
      <alignment horizontal="center" vertical="center"/>
    </xf>
    <xf numFmtId="3" fontId="53" fillId="14" borderId="20" xfId="3" applyNumberFormat="1" applyFont="1" applyFill="1" applyBorder="1" applyAlignment="1">
      <alignment horizontal="center" vertical="center"/>
    </xf>
    <xf numFmtId="0" fontId="52" fillId="29" borderId="0" xfId="0" applyFont="1" applyFill="1" applyAlignment="1">
      <alignment vertical="center"/>
    </xf>
    <xf numFmtId="0" fontId="59" fillId="30" borderId="0" xfId="0" applyFont="1" applyFill="1" applyAlignment="1">
      <alignment vertical="center"/>
    </xf>
    <xf numFmtId="0" fontId="57" fillId="31" borderId="0" xfId="3" applyFont="1" applyFill="1" applyAlignment="1">
      <alignment horizontal="center" vertical="center"/>
    </xf>
    <xf numFmtId="0" fontId="6" fillId="31" borderId="0" xfId="3" applyFont="1" applyFill="1" applyAlignment="1">
      <alignment horizontal="center" vertical="center"/>
    </xf>
    <xf numFmtId="3" fontId="6" fillId="31" borderId="0" xfId="3" applyNumberFormat="1" applyFont="1" applyFill="1" applyBorder="1" applyAlignment="1">
      <alignment horizontal="center" vertical="center"/>
    </xf>
    <xf numFmtId="3" fontId="53" fillId="31" borderId="0" xfId="3" applyNumberFormat="1" applyFont="1" applyFill="1" applyBorder="1" applyAlignment="1">
      <alignment horizontal="center" vertical="center"/>
    </xf>
    <xf numFmtId="0" fontId="51" fillId="0" borderId="20" xfId="0" applyFont="1" applyBorder="1" applyAlignment="1">
      <alignment horizontal="center" vertical="center"/>
    </xf>
    <xf numFmtId="49" fontId="61" fillId="28" borderId="0" xfId="0" applyNumberFormat="1" applyFont="1" applyFill="1" applyAlignment="1">
      <alignment horizontal="center" vertical="center"/>
    </xf>
    <xf numFmtId="0" fontId="61" fillId="28" borderId="0" xfId="0" applyFont="1" applyFill="1" applyAlignment="1">
      <alignment horizontal="center" vertical="center"/>
    </xf>
    <xf numFmtId="10" fontId="51" fillId="0" borderId="0" xfId="2" applyNumberFormat="1" applyFont="1" applyBorder="1" applyAlignment="1">
      <alignment horizontal="center" vertical="center"/>
    </xf>
    <xf numFmtId="185" fontId="51" fillId="0" borderId="0" xfId="2" applyNumberFormat="1" applyFont="1" applyBorder="1" applyAlignment="1">
      <alignment horizontal="center" vertical="center"/>
    </xf>
    <xf numFmtId="3" fontId="51" fillId="23" borderId="0" xfId="0" applyNumberFormat="1" applyFont="1" applyFill="1" applyAlignment="1">
      <alignment horizontal="center" vertical="center"/>
    </xf>
    <xf numFmtId="3" fontId="51" fillId="0" borderId="15" xfId="1" applyNumberFormat="1" applyFont="1" applyBorder="1" applyAlignment="1">
      <alignment horizontal="center" vertical="center"/>
    </xf>
    <xf numFmtId="3" fontId="51" fillId="0" borderId="15" xfId="0" applyNumberFormat="1" applyFont="1" applyBorder="1" applyAlignment="1">
      <alignment horizontal="center" vertical="center"/>
    </xf>
    <xf numFmtId="0" fontId="61" fillId="32" borderId="0" xfId="0" applyFont="1" applyFill="1" applyAlignment="1">
      <alignment horizontal="center" vertical="center"/>
    </xf>
    <xf numFmtId="0" fontId="51" fillId="0" borderId="15" xfId="0" applyFont="1" applyBorder="1" applyAlignment="1">
      <alignment horizontal="center" vertical="center"/>
    </xf>
    <xf numFmtId="0" fontId="61" fillId="3" borderId="0" xfId="0" applyFont="1" applyFill="1" applyAlignment="1">
      <alignment horizontal="center" vertical="center"/>
    </xf>
    <xf numFmtId="0" fontId="61" fillId="29" borderId="0" xfId="0" applyFont="1" applyFill="1" applyAlignment="1">
      <alignment vertical="center"/>
    </xf>
    <xf numFmtId="0" fontId="19" fillId="0" borderId="0" xfId="0" applyFont="1" applyAlignment="1">
      <alignment horizontal="right"/>
    </xf>
    <xf numFmtId="49" fontId="13" fillId="2" borderId="0" xfId="7" applyNumberFormat="1" applyFill="1" applyAlignment="1">
      <alignment horizontal="center" vertical="center"/>
    </xf>
    <xf numFmtId="176" fontId="19" fillId="2" borderId="0" xfId="0" applyNumberFormat="1" applyFont="1" applyFill="1" applyAlignment="1">
      <alignment vertical="center"/>
    </xf>
    <xf numFmtId="0" fontId="67" fillId="2" borderId="0" xfId="7" applyNumberFormat="1" applyFont="1" applyFill="1" applyAlignment="1">
      <alignment horizontal="center" vertical="center"/>
    </xf>
    <xf numFmtId="49" fontId="67" fillId="2" borderId="0" xfId="7" applyNumberFormat="1" applyFont="1" applyFill="1" applyAlignment="1">
      <alignment horizontal="center" vertical="center"/>
    </xf>
    <xf numFmtId="0" fontId="68" fillId="2" borderId="0" xfId="7" applyFont="1" applyFill="1" applyAlignment="1">
      <alignment horizontal="center" vertical="center"/>
    </xf>
    <xf numFmtId="0" fontId="68" fillId="2" borderId="0" xfId="7" applyNumberFormat="1" applyFont="1" applyFill="1" applyAlignment="1">
      <alignment horizontal="center" vertical="center"/>
    </xf>
    <xf numFmtId="10" fontId="19" fillId="2" borderId="0" xfId="0" applyNumberFormat="1" applyFont="1" applyFill="1" applyAlignment="1">
      <alignment horizontal="right" vertical="center"/>
    </xf>
    <xf numFmtId="168" fontId="19" fillId="2" borderId="0" xfId="0" applyNumberFormat="1" applyFont="1" applyFill="1" applyAlignment="1">
      <alignment horizontal="right" vertical="center"/>
    </xf>
    <xf numFmtId="169" fontId="19" fillId="2" borderId="0" xfId="0" applyNumberFormat="1" applyFont="1" applyFill="1" applyAlignment="1">
      <alignment horizontal="right" vertical="center"/>
    </xf>
    <xf numFmtId="170" fontId="19" fillId="2" borderId="0" xfId="0" applyNumberFormat="1" applyFont="1" applyFill="1" applyAlignment="1">
      <alignment horizontal="right" vertical="center"/>
    </xf>
    <xf numFmtId="171" fontId="19" fillId="2" borderId="0" xfId="0" applyNumberFormat="1" applyFont="1" applyFill="1" applyAlignment="1">
      <alignment horizontal="right" vertical="center"/>
    </xf>
    <xf numFmtId="170" fontId="19" fillId="2" borderId="0" xfId="2" applyNumberFormat="1" applyFont="1" applyFill="1" applyAlignment="1">
      <alignment horizontal="right" vertical="center"/>
    </xf>
    <xf numFmtId="212" fontId="19" fillId="2" borderId="0" xfId="0" applyNumberFormat="1" applyFont="1" applyFill="1" applyAlignment="1">
      <alignment horizontal="right" vertical="center"/>
    </xf>
    <xf numFmtId="14" fontId="19" fillId="2" borderId="0" xfId="0" applyNumberFormat="1" applyFont="1" applyFill="1" applyAlignment="1">
      <alignment horizontal="right" vertical="center"/>
    </xf>
    <xf numFmtId="172" fontId="19" fillId="2" borderId="0" xfId="0" applyNumberFormat="1" applyFont="1" applyFill="1" applyAlignment="1">
      <alignment horizontal="right" vertical="center"/>
    </xf>
    <xf numFmtId="205" fontId="19" fillId="2" borderId="0" xfId="0" applyNumberFormat="1" applyFont="1" applyFill="1" applyAlignment="1">
      <alignment horizontal="right" vertical="center"/>
    </xf>
    <xf numFmtId="174" fontId="19" fillId="2" borderId="0" xfId="0" applyNumberFormat="1" applyFont="1" applyFill="1" applyAlignment="1">
      <alignment horizontal="center" vertical="center"/>
    </xf>
    <xf numFmtId="175" fontId="19" fillId="2" borderId="0" xfId="0" applyNumberFormat="1" applyFont="1" applyFill="1" applyAlignment="1">
      <alignment horizontal="left" vertical="center"/>
    </xf>
    <xf numFmtId="191" fontId="19" fillId="2" borderId="0" xfId="0" applyNumberFormat="1" applyFont="1" applyFill="1" applyAlignment="1">
      <alignment horizontal="right" vertical="center"/>
    </xf>
    <xf numFmtId="173" fontId="19" fillId="2" borderId="0" xfId="0" applyNumberFormat="1" applyFont="1" applyFill="1" applyAlignment="1">
      <alignment horizontal="right" vertical="center"/>
    </xf>
    <xf numFmtId="49" fontId="19" fillId="2" borderId="0" xfId="2" applyNumberFormat="1" applyFont="1" applyFill="1" applyAlignment="1">
      <alignment horizontal="right" vertical="center"/>
    </xf>
    <xf numFmtId="10" fontId="28" fillId="2" borderId="0" xfId="2" applyNumberFormat="1" applyFont="1" applyFill="1" applyAlignment="1">
      <alignment vertical="center"/>
    </xf>
    <xf numFmtId="0" fontId="28" fillId="2" borderId="0" xfId="2" applyNumberFormat="1" applyFont="1" applyFill="1" applyAlignment="1">
      <alignment vertical="center"/>
    </xf>
    <xf numFmtId="0" fontId="33" fillId="2" borderId="0" xfId="2" applyNumberFormat="1" applyFont="1" applyFill="1" applyAlignment="1">
      <alignment vertical="center"/>
    </xf>
    <xf numFmtId="0" fontId="69" fillId="16" borderId="0" xfId="0" applyFont="1" applyFill="1" applyAlignment="1">
      <alignment vertical="center"/>
    </xf>
    <xf numFmtId="0" fontId="69" fillId="16" borderId="0" xfId="0" applyFont="1" applyFill="1" applyAlignment="1">
      <alignment horizontal="left" vertical="center"/>
    </xf>
    <xf numFmtId="49" fontId="69" fillId="16" borderId="0" xfId="0" applyNumberFormat="1" applyFont="1" applyFill="1" applyAlignment="1">
      <alignment horizontal="right" vertical="center"/>
    </xf>
    <xf numFmtId="0" fontId="69" fillId="16" borderId="0" xfId="0" applyFont="1" applyFill="1"/>
    <xf numFmtId="14" fontId="69" fillId="16" borderId="0" xfId="0" applyNumberFormat="1" applyFont="1" applyFill="1"/>
    <xf numFmtId="49" fontId="69" fillId="16" borderId="0" xfId="0" applyNumberFormat="1" applyFont="1" applyFill="1" applyAlignment="1">
      <alignment vertical="center"/>
    </xf>
    <xf numFmtId="10" fontId="69" fillId="16" borderId="0" xfId="0" applyNumberFormat="1" applyFont="1" applyFill="1" applyAlignment="1">
      <alignment vertical="center"/>
    </xf>
    <xf numFmtId="3" fontId="69" fillId="16" borderId="0" xfId="0" applyNumberFormat="1" applyFont="1" applyFill="1" applyAlignment="1">
      <alignment horizontal="center"/>
    </xf>
    <xf numFmtId="176" fontId="69" fillId="16" borderId="0" xfId="1" applyNumberFormat="1" applyFont="1" applyFill="1" applyAlignment="1">
      <alignment vertical="center"/>
    </xf>
    <xf numFmtId="10" fontId="69" fillId="16" borderId="0" xfId="2" applyNumberFormat="1" applyFont="1" applyFill="1" applyAlignment="1">
      <alignment horizontal="right" vertical="center"/>
    </xf>
    <xf numFmtId="205" fontId="69" fillId="16" borderId="0" xfId="2" applyNumberFormat="1" applyFont="1" applyFill="1" applyAlignment="1">
      <alignment horizontal="right" vertical="center"/>
    </xf>
    <xf numFmtId="181" fontId="69" fillId="16" borderId="4" xfId="1" applyNumberFormat="1" applyFont="1" applyFill="1" applyBorder="1" applyAlignment="1">
      <alignment horizontal="right" vertical="center"/>
    </xf>
    <xf numFmtId="176" fontId="70" fillId="5" borderId="1" xfId="1" applyNumberFormat="1" applyFont="1" applyFill="1" applyBorder="1" applyAlignment="1">
      <alignment vertical="center"/>
    </xf>
    <xf numFmtId="180" fontId="69" fillId="5" borderId="0" xfId="2" applyNumberFormat="1" applyFont="1" applyFill="1" applyAlignment="1">
      <alignment vertical="center"/>
    </xf>
    <xf numFmtId="10" fontId="70" fillId="5" borderId="0" xfId="2" applyNumberFormat="1" applyFont="1" applyFill="1" applyAlignment="1">
      <alignment vertical="center"/>
    </xf>
    <xf numFmtId="176" fontId="69" fillId="5" borderId="0" xfId="1" applyNumberFormat="1" applyFont="1" applyFill="1" applyAlignment="1">
      <alignment vertical="center"/>
    </xf>
    <xf numFmtId="185" fontId="69" fillId="5" borderId="0" xfId="2" applyNumberFormat="1" applyFont="1" applyFill="1" applyAlignment="1">
      <alignment vertical="center"/>
    </xf>
    <xf numFmtId="176" fontId="70" fillId="10" borderId="8" xfId="1" applyNumberFormat="1" applyFont="1" applyFill="1" applyBorder="1" applyAlignment="1">
      <alignment vertical="center"/>
    </xf>
    <xf numFmtId="176" fontId="70" fillId="10" borderId="0" xfId="1" applyNumberFormat="1" applyFont="1" applyFill="1" applyAlignment="1">
      <alignment vertical="center"/>
    </xf>
    <xf numFmtId="185" fontId="70" fillId="10" borderId="9" xfId="2" applyNumberFormat="1" applyFont="1" applyFill="1" applyBorder="1" applyAlignment="1">
      <alignment vertical="center"/>
    </xf>
    <xf numFmtId="176" fontId="69" fillId="11" borderId="8" xfId="1" applyNumberFormat="1" applyFont="1" applyFill="1" applyBorder="1" applyAlignment="1">
      <alignment vertical="center"/>
    </xf>
    <xf numFmtId="176" fontId="69" fillId="11" borderId="0" xfId="1" applyNumberFormat="1" applyFont="1" applyFill="1" applyAlignment="1">
      <alignment vertical="center"/>
    </xf>
    <xf numFmtId="185" fontId="69" fillId="11" borderId="9" xfId="2" applyNumberFormat="1" applyFont="1" applyFill="1" applyBorder="1" applyAlignment="1">
      <alignment vertical="center"/>
    </xf>
    <xf numFmtId="176" fontId="70" fillId="16" borderId="0" xfId="1" applyNumberFormat="1" applyFont="1" applyFill="1" applyAlignment="1">
      <alignment vertical="center"/>
    </xf>
    <xf numFmtId="185" fontId="70" fillId="16" borderId="4" xfId="2" applyNumberFormat="1" applyFont="1" applyFill="1" applyBorder="1" applyAlignment="1">
      <alignment vertical="center"/>
    </xf>
    <xf numFmtId="10" fontId="19" fillId="0" borderId="0" xfId="0" applyNumberFormat="1" applyFont="1" applyAlignment="1">
      <alignment horizontal="left" vertical="center"/>
    </xf>
    <xf numFmtId="10" fontId="28" fillId="0" borderId="0" xfId="0" applyNumberFormat="1" applyFont="1" applyAlignment="1">
      <alignment vertical="center"/>
    </xf>
    <xf numFmtId="10" fontId="19" fillId="0" borderId="0" xfId="0" applyNumberFormat="1" applyFont="1" applyAlignment="1">
      <alignment horizontal="right" vertical="center"/>
    </xf>
    <xf numFmtId="168" fontId="19" fillId="0" borderId="0" xfId="0" applyNumberFormat="1" applyFont="1" applyAlignment="1">
      <alignment horizontal="right" vertical="center"/>
    </xf>
    <xf numFmtId="169" fontId="19" fillId="0" borderId="0" xfId="0" applyNumberFormat="1" applyFont="1" applyAlignment="1">
      <alignment horizontal="right" vertical="center"/>
    </xf>
    <xf numFmtId="170" fontId="19" fillId="0" borderId="0" xfId="0" applyNumberFormat="1" applyFont="1" applyAlignment="1">
      <alignment horizontal="right" vertical="center"/>
    </xf>
    <xf numFmtId="171" fontId="19" fillId="0" borderId="0" xfId="0" applyNumberFormat="1" applyFont="1" applyAlignment="1">
      <alignment horizontal="right" vertical="center"/>
    </xf>
    <xf numFmtId="212" fontId="19" fillId="0" borderId="0" xfId="0" applyNumberFormat="1" applyFont="1" applyAlignment="1">
      <alignment horizontal="right" vertical="center"/>
    </xf>
    <xf numFmtId="14" fontId="19" fillId="0" borderId="0" xfId="0" applyNumberFormat="1" applyFont="1" applyAlignment="1">
      <alignment horizontal="right" vertical="center"/>
    </xf>
    <xf numFmtId="172" fontId="19" fillId="0" borderId="0" xfId="0" applyNumberFormat="1" applyFont="1" applyAlignment="1">
      <alignment horizontal="right" vertical="center"/>
    </xf>
    <xf numFmtId="205" fontId="19" fillId="0" borderId="0" xfId="0" applyNumberFormat="1" applyFont="1" applyAlignment="1">
      <alignment horizontal="right" vertical="center"/>
    </xf>
    <xf numFmtId="174" fontId="19" fillId="0" borderId="0" xfId="0" applyNumberFormat="1" applyFont="1" applyAlignment="1">
      <alignment horizontal="center" vertical="center"/>
    </xf>
    <xf numFmtId="175" fontId="19" fillId="0" borderId="0" xfId="0" applyNumberFormat="1" applyFont="1" applyAlignment="1">
      <alignment horizontal="left" vertical="center"/>
    </xf>
    <xf numFmtId="191" fontId="19" fillId="0" borderId="0" xfId="0" applyNumberFormat="1" applyFont="1" applyAlignment="1">
      <alignment horizontal="right" vertical="center"/>
    </xf>
    <xf numFmtId="173" fontId="19" fillId="0" borderId="0" xfId="0" applyNumberFormat="1" applyFont="1" applyAlignment="1">
      <alignment horizontal="right" vertical="center"/>
    </xf>
    <xf numFmtId="10" fontId="13" fillId="0" borderId="0" xfId="7" applyNumberFormat="1" applyFill="1" applyAlignment="1">
      <alignment vertical="center"/>
    </xf>
    <xf numFmtId="3" fontId="21" fillId="7" borderId="1" xfId="0" applyNumberFormat="1" applyFont="1" applyFill="1" applyBorder="1" applyAlignment="1">
      <alignment horizontal="left" vertical="center"/>
    </xf>
    <xf numFmtId="3" fontId="21" fillId="7" borderId="0" xfId="0" applyNumberFormat="1" applyFont="1" applyFill="1" applyAlignment="1">
      <alignment horizontal="left" vertical="center"/>
    </xf>
    <xf numFmtId="3" fontId="21" fillId="7" borderId="4" xfId="0" applyNumberFormat="1" applyFont="1" applyFill="1" applyBorder="1" applyAlignment="1">
      <alignment horizontal="left" vertical="center"/>
    </xf>
    <xf numFmtId="0" fontId="21" fillId="8" borderId="23" xfId="0" applyFont="1" applyFill="1" applyBorder="1" applyAlignment="1">
      <alignment horizontal="center" vertical="center"/>
    </xf>
    <xf numFmtId="0" fontId="21" fillId="8" borderId="20" xfId="0" applyFont="1" applyFill="1" applyBorder="1" applyAlignment="1">
      <alignment horizontal="center" vertical="center"/>
    </xf>
    <xf numFmtId="0" fontId="21" fillId="8" borderId="24" xfId="0" applyFont="1" applyFill="1" applyBorder="1" applyAlignment="1">
      <alignment horizontal="center" vertical="center"/>
    </xf>
    <xf numFmtId="0" fontId="21" fillId="9" borderId="23" xfId="0" applyFont="1" applyFill="1" applyBorder="1" applyAlignment="1">
      <alignment horizontal="center" vertical="center"/>
    </xf>
    <xf numFmtId="0" fontId="21" fillId="9" borderId="20" xfId="0" applyFont="1" applyFill="1" applyBorder="1" applyAlignment="1">
      <alignment horizontal="center" vertical="center"/>
    </xf>
    <xf numFmtId="0" fontId="21" fillId="9" borderId="24" xfId="0" applyFont="1" applyFill="1" applyBorder="1" applyAlignment="1">
      <alignment horizontal="center" vertical="center"/>
    </xf>
    <xf numFmtId="10" fontId="21" fillId="7" borderId="1" xfId="2" applyNumberFormat="1" applyFont="1" applyFill="1" applyBorder="1" applyAlignment="1">
      <alignment horizontal="left" vertical="center"/>
    </xf>
    <xf numFmtId="10" fontId="21" fillId="7" borderId="0" xfId="2" applyNumberFormat="1" applyFont="1" applyFill="1" applyBorder="1" applyAlignment="1">
      <alignment horizontal="left" vertical="center"/>
    </xf>
    <xf numFmtId="10" fontId="21" fillId="7" borderId="4" xfId="2" applyNumberFormat="1" applyFont="1" applyFill="1" applyBorder="1" applyAlignment="1">
      <alignment horizontal="left" vertical="center"/>
    </xf>
    <xf numFmtId="206" fontId="19" fillId="0" borderId="5" xfId="1" applyNumberFormat="1" applyFont="1" applyBorder="1" applyAlignment="1">
      <alignment horizontal="center" vertical="center"/>
    </xf>
    <xf numFmtId="206" fontId="19" fillId="0" borderId="6" xfId="1" applyNumberFormat="1" applyFont="1" applyBorder="1" applyAlignment="1">
      <alignment horizontal="center" vertical="center"/>
    </xf>
    <xf numFmtId="10" fontId="26" fillId="28" borderId="10" xfId="0" applyNumberFormat="1" applyFont="1" applyFill="1" applyBorder="1" applyAlignment="1">
      <alignment horizontal="center" vertical="center"/>
    </xf>
    <xf numFmtId="10" fontId="26" fillId="28" borderId="2" xfId="0" applyNumberFormat="1" applyFont="1" applyFill="1" applyBorder="1" applyAlignment="1">
      <alignment horizontal="center" vertical="center"/>
    </xf>
    <xf numFmtId="10" fontId="19" fillId="0" borderId="1" xfId="2" applyNumberFormat="1" applyFont="1" applyFill="1" applyBorder="1" applyAlignment="1">
      <alignment horizontal="center" vertical="center"/>
    </xf>
    <xf numFmtId="10" fontId="19" fillId="0" borderId="0" xfId="2" applyNumberFormat="1" applyFont="1" applyFill="1" applyBorder="1" applyAlignment="1">
      <alignment horizontal="center" vertical="center"/>
    </xf>
    <xf numFmtId="206" fontId="19" fillId="23" borderId="1" xfId="1" applyNumberFormat="1" applyFont="1" applyFill="1" applyBorder="1" applyAlignment="1">
      <alignment horizontal="center" vertical="center"/>
    </xf>
    <xf numFmtId="206" fontId="19" fillId="23" borderId="0" xfId="1" applyNumberFormat="1" applyFont="1" applyFill="1" applyBorder="1" applyAlignment="1">
      <alignment horizontal="center" vertical="center"/>
    </xf>
    <xf numFmtId="0" fontId="21" fillId="7" borderId="22" xfId="0" applyFont="1" applyFill="1" applyBorder="1" applyAlignment="1">
      <alignment horizontal="center" vertical="center"/>
    </xf>
    <xf numFmtId="0" fontId="21" fillId="7" borderId="20" xfId="0" applyFont="1" applyFill="1" applyBorder="1" applyAlignment="1">
      <alignment horizontal="center" vertical="center"/>
    </xf>
    <xf numFmtId="0" fontId="24" fillId="3" borderId="20" xfId="0" applyFont="1" applyFill="1" applyBorder="1" applyAlignment="1">
      <alignment horizontal="center" vertical="center"/>
    </xf>
    <xf numFmtId="0" fontId="24" fillId="3" borderId="21" xfId="0" applyFont="1" applyFill="1" applyBorder="1" applyAlignment="1">
      <alignment horizontal="center" vertical="center"/>
    </xf>
    <xf numFmtId="10" fontId="21" fillId="4" borderId="1" xfId="2" applyNumberFormat="1" applyFont="1" applyFill="1" applyBorder="1" applyAlignment="1">
      <alignment horizontal="left" vertical="center"/>
    </xf>
    <xf numFmtId="10" fontId="21" fillId="4" borderId="0" xfId="2" applyNumberFormat="1" applyFont="1" applyFill="1" applyBorder="1" applyAlignment="1">
      <alignment horizontal="left" vertical="center"/>
    </xf>
    <xf numFmtId="10" fontId="21" fillId="4" borderId="4" xfId="2" applyNumberFormat="1" applyFont="1" applyFill="1" applyBorder="1" applyAlignment="1">
      <alignment horizontal="left" vertical="center"/>
    </xf>
    <xf numFmtId="3" fontId="21" fillId="6" borderId="1" xfId="0" applyNumberFormat="1" applyFont="1" applyFill="1" applyBorder="1" applyAlignment="1">
      <alignment horizontal="left" vertical="center"/>
    </xf>
    <xf numFmtId="3" fontId="21" fillId="6" borderId="0" xfId="0" applyNumberFormat="1" applyFont="1" applyFill="1" applyAlignment="1">
      <alignment horizontal="left" vertical="center"/>
    </xf>
    <xf numFmtId="3" fontId="21" fillId="6" borderId="4" xfId="0" applyNumberFormat="1" applyFont="1" applyFill="1" applyBorder="1" applyAlignment="1">
      <alignment horizontal="left" vertical="center"/>
    </xf>
    <xf numFmtId="3" fontId="21" fillId="4" borderId="1" xfId="0" applyNumberFormat="1" applyFont="1" applyFill="1" applyBorder="1" applyAlignment="1">
      <alignment horizontal="left" vertical="center"/>
    </xf>
    <xf numFmtId="3" fontId="21" fillId="4" borderId="0" xfId="0" applyNumberFormat="1" applyFont="1" applyFill="1" applyAlignment="1">
      <alignment horizontal="left" vertical="center"/>
    </xf>
    <xf numFmtId="3" fontId="21" fillId="4" borderId="4" xfId="0" applyNumberFormat="1" applyFont="1" applyFill="1" applyBorder="1" applyAlignment="1">
      <alignment horizontal="left" vertical="center"/>
    </xf>
    <xf numFmtId="10" fontId="21" fillId="6" borderId="1" xfId="2" applyNumberFormat="1" applyFont="1" applyFill="1" applyBorder="1" applyAlignment="1">
      <alignment horizontal="left" vertical="center"/>
    </xf>
    <xf numFmtId="10" fontId="21" fillId="6" borderId="0" xfId="2" applyNumberFormat="1" applyFont="1" applyFill="1" applyBorder="1" applyAlignment="1">
      <alignment horizontal="left" vertical="center"/>
    </xf>
    <xf numFmtId="10" fontId="21" fillId="6" borderId="4" xfId="2" applyNumberFormat="1" applyFont="1" applyFill="1" applyBorder="1" applyAlignment="1">
      <alignment horizontal="left" vertical="center"/>
    </xf>
    <xf numFmtId="0" fontId="21" fillId="7" borderId="24" xfId="0" applyFont="1" applyFill="1" applyBorder="1" applyAlignment="1">
      <alignment horizontal="center" vertical="center"/>
    </xf>
    <xf numFmtId="179" fontId="21" fillId="4" borderId="1" xfId="1" applyNumberFormat="1" applyFont="1" applyFill="1" applyBorder="1" applyAlignment="1">
      <alignment horizontal="left" vertical="center"/>
    </xf>
    <xf numFmtId="179" fontId="21" fillId="4" borderId="0" xfId="1" applyNumberFormat="1" applyFont="1" applyFill="1" applyBorder="1" applyAlignment="1">
      <alignment horizontal="left" vertical="center"/>
    </xf>
    <xf numFmtId="179" fontId="21" fillId="4" borderId="4" xfId="1" applyNumberFormat="1" applyFont="1" applyFill="1" applyBorder="1" applyAlignment="1">
      <alignment horizontal="left" vertical="center"/>
    </xf>
    <xf numFmtId="179" fontId="21" fillId="6" borderId="1" xfId="1" applyNumberFormat="1" applyFont="1" applyFill="1" applyBorder="1" applyAlignment="1">
      <alignment horizontal="left" vertical="center"/>
    </xf>
    <xf numFmtId="179" fontId="21" fillId="6" borderId="0" xfId="1" applyNumberFormat="1" applyFont="1" applyFill="1" applyBorder="1" applyAlignment="1">
      <alignment horizontal="left" vertical="center"/>
    </xf>
    <xf numFmtId="179" fontId="21" fillId="6" borderId="4" xfId="1" applyNumberFormat="1" applyFont="1" applyFill="1" applyBorder="1" applyAlignment="1">
      <alignment horizontal="left" vertical="center"/>
    </xf>
    <xf numFmtId="179" fontId="21" fillId="7" borderId="1" xfId="1" applyNumberFormat="1" applyFont="1" applyFill="1" applyBorder="1" applyAlignment="1">
      <alignment horizontal="left" vertical="center"/>
    </xf>
    <xf numFmtId="179" fontId="21" fillId="7" borderId="0" xfId="1" applyNumberFormat="1" applyFont="1" applyFill="1" applyBorder="1" applyAlignment="1">
      <alignment horizontal="left" vertical="center"/>
    </xf>
    <xf numFmtId="179" fontId="21" fillId="7" borderId="4" xfId="1" applyNumberFormat="1" applyFont="1" applyFill="1" applyBorder="1" applyAlignment="1">
      <alignment horizontal="left" vertical="center"/>
    </xf>
    <xf numFmtId="0" fontId="21" fillId="7" borderId="1" xfId="0" applyFont="1" applyFill="1" applyBorder="1" applyAlignment="1">
      <alignment horizontal="left" vertical="center"/>
    </xf>
    <xf numFmtId="0" fontId="21" fillId="7" borderId="0" xfId="0" applyFont="1" applyFill="1" applyAlignment="1">
      <alignment horizontal="left" vertical="center"/>
    </xf>
    <xf numFmtId="0" fontId="21" fillId="7" borderId="4" xfId="0" applyFont="1" applyFill="1" applyBorder="1" applyAlignment="1">
      <alignment horizontal="left" vertical="center"/>
    </xf>
    <xf numFmtId="0" fontId="21" fillId="7" borderId="2" xfId="0" applyFont="1" applyFill="1" applyBorder="1" applyAlignment="1">
      <alignment horizontal="left" vertical="center"/>
    </xf>
    <xf numFmtId="0" fontId="21" fillId="7" borderId="3" xfId="0" applyFont="1" applyFill="1" applyBorder="1" applyAlignment="1">
      <alignment horizontal="left" vertical="center"/>
    </xf>
    <xf numFmtId="49" fontId="21" fillId="4" borderId="1" xfId="0" applyNumberFormat="1" applyFont="1" applyFill="1" applyBorder="1" applyAlignment="1">
      <alignment horizontal="left" vertical="center"/>
    </xf>
    <xf numFmtId="49" fontId="21" fillId="4" borderId="0" xfId="0" applyNumberFormat="1" applyFont="1" applyFill="1" applyAlignment="1">
      <alignment horizontal="left" vertical="center"/>
    </xf>
    <xf numFmtId="49" fontId="21" fillId="4" borderId="4" xfId="0" applyNumberFormat="1" applyFont="1" applyFill="1" applyBorder="1" applyAlignment="1">
      <alignment horizontal="left" vertical="center"/>
    </xf>
    <xf numFmtId="49" fontId="21" fillId="6" borderId="1" xfId="0" applyNumberFormat="1" applyFont="1" applyFill="1" applyBorder="1" applyAlignment="1">
      <alignment horizontal="left" vertical="center"/>
    </xf>
    <xf numFmtId="49" fontId="21" fillId="6" borderId="0" xfId="0" applyNumberFormat="1" applyFont="1" applyFill="1" applyAlignment="1">
      <alignment horizontal="left" vertical="center"/>
    </xf>
    <xf numFmtId="49" fontId="21" fillId="6" borderId="4" xfId="0" applyNumberFormat="1" applyFont="1" applyFill="1" applyBorder="1" applyAlignment="1">
      <alignment horizontal="left" vertical="center"/>
    </xf>
    <xf numFmtId="49" fontId="21" fillId="7" borderId="1" xfId="0" applyNumberFormat="1" applyFont="1" applyFill="1" applyBorder="1" applyAlignment="1">
      <alignment horizontal="left" vertical="center"/>
    </xf>
    <xf numFmtId="49" fontId="21" fillId="7" borderId="0" xfId="0" applyNumberFormat="1" applyFont="1" applyFill="1" applyAlignment="1">
      <alignment horizontal="left" vertical="center"/>
    </xf>
    <xf numFmtId="49" fontId="21" fillId="7" borderId="4" xfId="0" applyNumberFormat="1" applyFont="1" applyFill="1" applyBorder="1" applyAlignment="1">
      <alignment horizontal="left" vertical="center"/>
    </xf>
    <xf numFmtId="166" fontId="19" fillId="4" borderId="0" xfId="1" applyNumberFormat="1" applyFont="1" applyFill="1" applyBorder="1" applyAlignment="1">
      <alignment horizontal="center" vertical="center"/>
    </xf>
    <xf numFmtId="166" fontId="21" fillId="4" borderId="0" xfId="0" applyNumberFormat="1" applyFont="1" applyFill="1" applyAlignment="1">
      <alignment horizontal="center" vertical="center"/>
    </xf>
    <xf numFmtId="49" fontId="22" fillId="4" borderId="1" xfId="0" applyNumberFormat="1" applyFont="1" applyFill="1" applyBorder="1" applyAlignment="1">
      <alignment horizontal="left" vertical="center"/>
    </xf>
    <xf numFmtId="49" fontId="22" fillId="4" borderId="0" xfId="0" applyNumberFormat="1" applyFont="1" applyFill="1" applyAlignment="1">
      <alignment horizontal="left" vertical="center"/>
    </xf>
    <xf numFmtId="0" fontId="22" fillId="4" borderId="1" xfId="0" applyFont="1" applyFill="1" applyBorder="1" applyAlignment="1">
      <alignment horizontal="left" vertical="center"/>
    </xf>
    <xf numFmtId="0" fontId="21" fillId="4" borderId="0" xfId="0" applyFont="1" applyFill="1" applyAlignment="1">
      <alignment horizontal="left" vertical="center"/>
    </xf>
    <xf numFmtId="0" fontId="22" fillId="4" borderId="0" xfId="0" applyFont="1" applyFill="1" applyAlignment="1">
      <alignment horizontal="left" vertical="center"/>
    </xf>
    <xf numFmtId="0" fontId="21" fillId="4" borderId="2" xfId="0" applyFont="1" applyFill="1" applyBorder="1" applyAlignment="1">
      <alignment horizontal="left" vertical="center"/>
    </xf>
    <xf numFmtId="0" fontId="21" fillId="4" borderId="4" xfId="0" applyFont="1" applyFill="1" applyBorder="1" applyAlignment="1">
      <alignment horizontal="left" vertical="center"/>
    </xf>
    <xf numFmtId="0" fontId="21" fillId="4" borderId="1" xfId="0" applyFont="1" applyFill="1" applyBorder="1" applyAlignment="1">
      <alignment horizontal="left" vertical="center"/>
    </xf>
    <xf numFmtId="0" fontId="21" fillId="6" borderId="1" xfId="0" applyFont="1" applyFill="1" applyBorder="1" applyAlignment="1">
      <alignment horizontal="left" vertical="center"/>
    </xf>
    <xf numFmtId="0" fontId="21" fillId="6" borderId="0" xfId="0" applyFont="1" applyFill="1" applyAlignment="1">
      <alignment horizontal="left" vertical="center"/>
    </xf>
    <xf numFmtId="0" fontId="21" fillId="6" borderId="2" xfId="0" applyFont="1" applyFill="1" applyBorder="1" applyAlignment="1">
      <alignment horizontal="left" vertical="center"/>
    </xf>
    <xf numFmtId="0" fontId="21" fillId="6" borderId="4" xfId="0" applyFont="1" applyFill="1" applyBorder="1" applyAlignment="1">
      <alignment horizontal="left" vertical="center"/>
    </xf>
    <xf numFmtId="0" fontId="21" fillId="7" borderId="1" xfId="0" applyFont="1" applyFill="1" applyBorder="1" applyAlignment="1">
      <alignment horizontal="center" vertical="center"/>
    </xf>
    <xf numFmtId="0" fontId="21" fillId="7" borderId="0" xfId="0" applyFont="1" applyFill="1" applyAlignment="1">
      <alignment horizontal="center" vertical="center"/>
    </xf>
    <xf numFmtId="0" fontId="22" fillId="8" borderId="8" xfId="0" applyFont="1" applyFill="1" applyBorder="1" applyAlignment="1">
      <alignment horizontal="center" vertical="center"/>
    </xf>
    <xf numFmtId="0" fontId="22" fillId="8" borderId="0" xfId="0" applyFont="1" applyFill="1" applyAlignment="1">
      <alignment horizontal="center" vertical="center"/>
    </xf>
    <xf numFmtId="0" fontId="22" fillId="8" borderId="9" xfId="0" applyFont="1" applyFill="1" applyBorder="1" applyAlignment="1">
      <alignment horizontal="center" vertical="center"/>
    </xf>
    <xf numFmtId="0" fontId="21" fillId="9" borderId="8" xfId="0" applyFont="1" applyFill="1" applyBorder="1" applyAlignment="1">
      <alignment horizontal="center" vertical="center"/>
    </xf>
    <xf numFmtId="0" fontId="21" fillId="9" borderId="0" xfId="0" applyFont="1" applyFill="1" applyAlignment="1">
      <alignment horizontal="center" vertical="center"/>
    </xf>
    <xf numFmtId="0" fontId="21" fillId="9" borderId="9" xfId="0" applyFont="1" applyFill="1" applyBorder="1" applyAlignment="1">
      <alignment horizontal="center" vertical="center"/>
    </xf>
    <xf numFmtId="0" fontId="24" fillId="3" borderId="0" xfId="0" applyFont="1" applyFill="1" applyAlignment="1">
      <alignment horizontal="center" vertical="center"/>
    </xf>
    <xf numFmtId="0" fontId="24" fillId="3" borderId="4" xfId="0" applyFont="1" applyFill="1" applyBorder="1" applyAlignment="1">
      <alignment horizontal="center" vertical="center"/>
    </xf>
    <xf numFmtId="0" fontId="21" fillId="8" borderId="8" xfId="0" applyFont="1" applyFill="1" applyBorder="1" applyAlignment="1">
      <alignment horizontal="center" vertical="center"/>
    </xf>
    <xf numFmtId="0" fontId="21" fillId="8" borderId="0" xfId="0" applyFont="1" applyFill="1" applyAlignment="1">
      <alignment horizontal="center" vertical="center"/>
    </xf>
    <xf numFmtId="0" fontId="21" fillId="8" borderId="9" xfId="0" applyFont="1" applyFill="1" applyBorder="1" applyAlignment="1">
      <alignment horizontal="center" vertical="center"/>
    </xf>
    <xf numFmtId="3" fontId="21" fillId="4" borderId="1" xfId="1" applyNumberFormat="1" applyFont="1" applyFill="1" applyBorder="1" applyAlignment="1">
      <alignment horizontal="left" vertical="center"/>
    </xf>
    <xf numFmtId="3" fontId="21" fillId="4" borderId="0" xfId="1" applyNumberFormat="1" applyFont="1" applyFill="1" applyBorder="1" applyAlignment="1">
      <alignment horizontal="left" vertical="center"/>
    </xf>
    <xf numFmtId="0" fontId="18" fillId="4" borderId="0" xfId="0" applyFont="1" applyFill="1" applyAlignment="1">
      <alignment horizontal="left" vertical="center"/>
    </xf>
    <xf numFmtId="10" fontId="21" fillId="4" borderId="5" xfId="2" applyNumberFormat="1" applyFont="1" applyFill="1" applyBorder="1" applyAlignment="1">
      <alignment horizontal="left" vertical="center"/>
    </xf>
    <xf numFmtId="10" fontId="21" fillId="4" borderId="6" xfId="2" applyNumberFormat="1" applyFont="1" applyFill="1" applyBorder="1" applyAlignment="1">
      <alignment horizontal="left" vertical="center"/>
    </xf>
    <xf numFmtId="10" fontId="21" fillId="5" borderId="5" xfId="2" applyNumberFormat="1" applyFont="1" applyFill="1" applyBorder="1" applyAlignment="1">
      <alignment horizontal="left" vertical="center"/>
    </xf>
    <xf numFmtId="10" fontId="21" fillId="5" borderId="6" xfId="2" applyNumberFormat="1" applyFont="1" applyFill="1" applyBorder="1" applyAlignment="1">
      <alignment horizontal="left" vertical="center"/>
    </xf>
    <xf numFmtId="3" fontId="21" fillId="5" borderId="1" xfId="0" applyNumberFormat="1" applyFont="1" applyFill="1" applyBorder="1" applyAlignment="1">
      <alignment horizontal="left" vertical="center"/>
    </xf>
    <xf numFmtId="3" fontId="21" fillId="5" borderId="0" xfId="0" applyNumberFormat="1" applyFont="1" applyFill="1" applyAlignment="1">
      <alignment horizontal="left" vertical="center"/>
    </xf>
    <xf numFmtId="10" fontId="21" fillId="5" borderId="1" xfId="2" applyNumberFormat="1" applyFont="1" applyFill="1" applyBorder="1" applyAlignment="1">
      <alignment horizontal="left" vertical="center"/>
    </xf>
    <xf numFmtId="10" fontId="21" fillId="5" borderId="0" xfId="2" applyNumberFormat="1" applyFont="1" applyFill="1" applyBorder="1" applyAlignment="1">
      <alignment horizontal="left" vertical="center"/>
    </xf>
    <xf numFmtId="0" fontId="21" fillId="5" borderId="1" xfId="0" applyFont="1" applyFill="1" applyBorder="1" applyAlignment="1">
      <alignment horizontal="left" vertical="center"/>
    </xf>
    <xf numFmtId="0" fontId="21" fillId="5" borderId="0" xfId="0" applyFont="1" applyFill="1" applyAlignment="1">
      <alignment horizontal="left" vertical="center"/>
    </xf>
    <xf numFmtId="49" fontId="21" fillId="5" borderId="1" xfId="0" applyNumberFormat="1" applyFont="1" applyFill="1" applyBorder="1" applyAlignment="1">
      <alignment horizontal="left" vertical="center"/>
    </xf>
    <xf numFmtId="49" fontId="21" fillId="5" borderId="0" xfId="0" applyNumberFormat="1" applyFont="1" applyFill="1" applyAlignment="1">
      <alignment horizontal="left" vertical="center"/>
    </xf>
    <xf numFmtId="179" fontId="21" fillId="5" borderId="1" xfId="1" applyNumberFormat="1" applyFont="1" applyFill="1" applyBorder="1" applyAlignment="1">
      <alignment horizontal="left" vertical="center"/>
    </xf>
    <xf numFmtId="179" fontId="21" fillId="5" borderId="0" xfId="1" applyNumberFormat="1" applyFont="1" applyFill="1" applyBorder="1" applyAlignment="1">
      <alignment horizontal="left" vertical="center"/>
    </xf>
    <xf numFmtId="10" fontId="19" fillId="0" borderId="15" xfId="2" applyNumberFormat="1" applyFont="1" applyBorder="1" applyAlignment="1">
      <alignment horizontal="center" vertical="center"/>
    </xf>
    <xf numFmtId="197" fontId="26" fillId="28" borderId="1" xfId="0" applyNumberFormat="1" applyFont="1" applyFill="1" applyBorder="1" applyAlignment="1">
      <alignment horizontal="center" vertical="center"/>
    </xf>
    <xf numFmtId="197" fontId="26" fillId="28" borderId="0" xfId="0" applyNumberFormat="1" applyFont="1" applyFill="1" applyAlignment="1">
      <alignment horizontal="center" vertical="center"/>
    </xf>
    <xf numFmtId="205" fontId="19" fillId="0" borderId="1" xfId="2" applyNumberFormat="1" applyFont="1" applyBorder="1" applyAlignment="1">
      <alignment horizontal="center" vertical="center"/>
    </xf>
    <xf numFmtId="205" fontId="19" fillId="0" borderId="0" xfId="2" applyNumberFormat="1" applyFont="1" applyBorder="1" applyAlignment="1">
      <alignment horizontal="center" vertical="center"/>
    </xf>
    <xf numFmtId="206" fontId="19" fillId="0" borderId="16" xfId="1" applyNumberFormat="1" applyFont="1" applyBorder="1" applyAlignment="1">
      <alignment horizontal="center" vertical="center"/>
    </xf>
    <xf numFmtId="206" fontId="19" fillId="0" borderId="15" xfId="1" applyNumberFormat="1" applyFont="1" applyBorder="1" applyAlignment="1">
      <alignment horizontal="center" vertical="center"/>
    </xf>
    <xf numFmtId="10" fontId="26" fillId="28" borderId="1" xfId="0" applyNumberFormat="1" applyFont="1" applyFill="1" applyBorder="1" applyAlignment="1">
      <alignment horizontal="center" vertical="center"/>
    </xf>
    <xf numFmtId="10" fontId="26" fillId="28" borderId="0" xfId="0" applyNumberFormat="1" applyFont="1" applyFill="1" applyAlignment="1">
      <alignment horizontal="center" vertical="center"/>
    </xf>
    <xf numFmtId="185" fontId="19" fillId="0" borderId="1" xfId="2" applyNumberFormat="1" applyFont="1" applyBorder="1" applyAlignment="1">
      <alignment horizontal="center" vertical="center"/>
    </xf>
    <xf numFmtId="185" fontId="19" fillId="0" borderId="0" xfId="2" applyNumberFormat="1" applyFont="1" applyBorder="1" applyAlignment="1">
      <alignment horizontal="center" vertical="center"/>
    </xf>
    <xf numFmtId="3" fontId="19" fillId="23" borderId="1" xfId="1" applyNumberFormat="1" applyFont="1" applyFill="1" applyBorder="1" applyAlignment="1">
      <alignment horizontal="center" vertical="center"/>
    </xf>
    <xf numFmtId="3" fontId="19" fillId="23" borderId="0" xfId="1" applyNumberFormat="1" applyFont="1" applyFill="1" applyBorder="1" applyAlignment="1">
      <alignment horizontal="center" vertical="center"/>
    </xf>
    <xf numFmtId="3" fontId="19" fillId="0" borderId="16" xfId="1" applyNumberFormat="1" applyFont="1" applyBorder="1" applyAlignment="1">
      <alignment horizontal="center" vertical="center"/>
    </xf>
    <xf numFmtId="3" fontId="19" fillId="0" borderId="15" xfId="1" applyNumberFormat="1" applyFont="1" applyBorder="1" applyAlignment="1">
      <alignment horizontal="center" vertical="center"/>
    </xf>
    <xf numFmtId="0" fontId="24" fillId="32" borderId="0" xfId="0" applyFont="1" applyFill="1" applyAlignment="1">
      <alignment horizontal="center" vertical="center"/>
    </xf>
  </cellXfs>
  <cellStyles count="17">
    <cellStyle name="Accent5 2" xfId="4" xr:uid="{29FF1026-57D0-4DEA-B05C-524C84034CD5}"/>
    <cellStyle name="Comma" xfId="1" builtinId="3"/>
    <cellStyle name="Comma 2" xfId="5" xr:uid="{DA79878E-57F5-414B-AA22-B1F1D710024E}"/>
    <cellStyle name="Comma 2 2" xfId="10" xr:uid="{04D9FABA-0BA2-4599-9046-2D2647575517}"/>
    <cellStyle name="Comma 3" xfId="14" xr:uid="{2FF51AB7-5190-4C1E-8226-11DD8CE1980D}"/>
    <cellStyle name="Hyperlink" xfId="7" builtinId="8"/>
    <cellStyle name="Hyperlink 2" xfId="3" xr:uid="{234680CD-26DC-4BAD-850E-A032BF5A9163}"/>
    <cellStyle name="Hyperlink 3" xfId="16" xr:uid="{28C296B9-9AC2-4486-9833-F079D4BA91AB}"/>
    <cellStyle name="Migliaia 2" xfId="6" xr:uid="{E13943FB-792F-4023-A4D7-37497ACC1836}"/>
    <cellStyle name="Migliaia 2 2" xfId="11" xr:uid="{B04C4A53-3339-4ACB-B317-E5CB6CA5826F}"/>
    <cellStyle name="Normal" xfId="0" builtinId="0" customBuiltin="1"/>
    <cellStyle name="Normal 2" xfId="13" xr:uid="{BDB09214-DEE8-4E59-B47F-0491F6955F9E}"/>
    <cellStyle name="Normale 2" xfId="8" xr:uid="{42FF256E-1424-4765-811C-0AD9DCB0ED47}"/>
    <cellStyle name="Normale 3" xfId="9" xr:uid="{9F2C6644-A532-4606-B1BE-5C8450428B55}"/>
    <cellStyle name="Normale 3 2" xfId="12" xr:uid="{CE5E0997-4D2A-419F-9A8A-6FB1BB6F5030}"/>
    <cellStyle name="Per cent 2" xfId="15" xr:uid="{8BA8E381-2F98-462D-9876-5538B8C9CA58}"/>
    <cellStyle name="Percent" xfId="2" builtinId="5"/>
  </cellStyles>
  <dxfs count="289">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 formatCode="0.00"/>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alignment horizontal="right" vertical="bottom" textRotation="0" wrapText="0" indent="0" justifyLastLine="0" shrinkToFit="0" readingOrder="0"/>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smo-ico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9"/>
        <name val="Aptos"/>
        <family val="2"/>
        <scheme val="none"/>
      </font>
      <numFmt numFmtId="176" formatCode="_ * #,##0_ ;_ * \-#,##0_ ;_ * &quot;-&quot;??_ ;_ @_ "/>
      <fill>
        <patternFill patternType="none">
          <fgColor indexed="64"/>
          <bgColor indexed="65"/>
        </patternFill>
      </fill>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theme="1"/>
        <name val="Aptos"/>
        <family val="2"/>
        <scheme val="none"/>
      </font>
      <numFmt numFmtId="180"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alignment horizontal="general" vertical="top" textRotation="0" wrapText="1" indent="0" justifyLastLine="0" shrinkToFit="0" readingOrder="1"/>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u val="none"/>
        <vertAlign val="baseline"/>
        <sz val="9"/>
        <color theme="1"/>
        <name val="Aptos"/>
        <family val="2"/>
        <scheme val="none"/>
      </font>
      <numFmt numFmtId="167" formatCode="00\:00"/>
      <fill>
        <patternFill patternType="solid">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vertical="top" textRotation="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outline val="0"/>
        <shadow val="0"/>
        <u val="none"/>
        <vertAlign val="baseline"/>
        <sz val="9"/>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0"/>
        <name val="Aptos"/>
        <family val="2"/>
        <scheme val="none"/>
      </font>
      <alignment horizontal="general" vertical="center" textRotation="0" wrapText="0" indent="0" justifyLastLine="0" shrinkToFit="0" readingOrder="0"/>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dxf>
    <dxf>
      <font>
        <b val="0"/>
        <i val="0"/>
        <strike val="0"/>
        <condense val="0"/>
        <extend val="0"/>
        <outline val="0"/>
        <shadow val="0"/>
        <u val="none"/>
        <vertAlign val="baseline"/>
        <sz val="9"/>
        <color theme="10"/>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0" formatCode="@"/>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1" formatCode="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5" formatCode="dd/mm/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4"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05"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2"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12"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9" formatCode="dd/mm/yy\ hh:mm"/>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8"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3" formatCode="_ * #,##0_ ;_ * \-#,##0_ ;_ * &quot;-&quot;_ ;_ @_ "/>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strike val="0"/>
        <outline val="0"/>
        <shadow val="0"/>
        <vertAlign val="baseline"/>
        <sz val="9"/>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0"/>
        <name val="smo-icons"/>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9"/>
        <color theme="0"/>
        <name val="Aptos"/>
        <family val="2"/>
        <scheme val="none"/>
      </font>
      <fill>
        <patternFill patternType="solid">
          <fgColor indexed="64"/>
          <bgColor theme="1" tint="0.249977111117893"/>
        </patternFill>
      </fill>
      <alignment horizontal="general" vertical="center" textRotation="0" wrapText="0" indent="0" justifyLastLine="0" shrinkToFit="0" readingOrder="0"/>
    </dxf>
    <dxf>
      <font>
        <color rgb="FF9C0006"/>
      </font>
      <fill>
        <patternFill>
          <bgColor rgb="FFFFC7CE"/>
        </patternFill>
      </fill>
    </dxf>
    <dxf>
      <font>
        <color rgb="FFFF0000"/>
      </font>
    </dxf>
    <dxf>
      <numFmt numFmtId="207" formatCode="0.000%"/>
    </dxf>
    <dxf>
      <font>
        <color theme="7"/>
      </font>
    </dxf>
    <dxf>
      <font>
        <color rgb="FFFF0000"/>
      </font>
    </dxf>
    <dxf>
      <numFmt numFmtId="14" formatCode="0.00%"/>
    </dxf>
    <dxf>
      <numFmt numFmtId="207" formatCode="0.000%"/>
    </dxf>
    <dxf>
      <font>
        <color rgb="FFFF0000"/>
      </font>
    </dxf>
    <dxf>
      <numFmt numFmtId="14" formatCode="0.00%"/>
    </dxf>
    <dxf>
      <numFmt numFmtId="14" formatCode="0.00%"/>
    </dxf>
    <dxf>
      <numFmt numFmtId="207" formatCode="0.000%"/>
    </dxf>
    <dxf>
      <font>
        <color theme="0" tint="-0.499984740745262"/>
      </font>
    </dxf>
    <dxf>
      <font>
        <color theme="7"/>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rgb="FFFF0000"/>
      </font>
    </dxf>
    <dxf>
      <font>
        <color theme="0" tint="-0.499984740745262"/>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7"/>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0" tint="-0.34998626667073579"/>
      </font>
    </dxf>
    <dxf>
      <font>
        <color theme="0" tint="-0.34998626667073579"/>
      </font>
    </dxf>
    <dxf>
      <font>
        <color rgb="FFFF0000"/>
      </font>
    </dxf>
    <dxf>
      <font>
        <color theme="0" tint="-0.34998626667073579"/>
      </font>
    </dxf>
    <dxf>
      <font>
        <color theme="0" tint="-0.34998626667073579"/>
      </font>
    </dxf>
    <dxf>
      <font>
        <color theme="0" tint="-0.34998626667073579"/>
      </font>
    </dxf>
    <dxf>
      <font>
        <color rgb="FFC00000"/>
      </font>
    </dxf>
    <dxf>
      <font>
        <color rgb="FFC00000"/>
      </font>
    </dxf>
    <dxf>
      <numFmt numFmtId="14" formatCode="0.00%"/>
    </dxf>
    <dxf>
      <numFmt numFmtId="14" formatCode="0.00%"/>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7"/>
      </font>
    </dxf>
    <dxf>
      <font>
        <color rgb="FFFF0000"/>
      </font>
    </dxf>
    <dxf>
      <font>
        <color rgb="FFC00000"/>
      </font>
    </dxf>
    <dxf>
      <font>
        <b val="0"/>
        <i/>
      </font>
    </dxf>
    <dxf>
      <numFmt numFmtId="14" formatCode="0.00%"/>
    </dxf>
    <dxf>
      <numFmt numFmtId="14" formatCode="0.0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6" formatCode="_(* #,##0_);_(* \(#,##0\);_(* &quot;-&quot;??_);_(@_)"/>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7" formatCode="00\:00"/>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5" formatCode="hh:mm"/>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80" formatCode="0.0%"/>
      <alignment vertical="center" textRotation="0" wrapText="0" indent="0" justifyLastLine="0" shrinkToFit="0" readingOrder="0"/>
    </dxf>
    <dxf>
      <numFmt numFmtId="210" formatCode="0.00%;[Red]\-0.00%;&quot; &quot;"/>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 formatCode="#,##0"/>
      <alignment vertical="center" textRotation="0" wrapText="0" indent="0" justifyLastLine="0" shrinkToFit="0" readingOrder="0"/>
    </dxf>
    <dxf>
      <numFmt numFmtId="184" formatCode="_-* #,##0.000_-;\-* #,##0.000_-;_-* &quot;-&quot;??_-;_-@_-"/>
      <alignment vertical="center" textRotation="0" wrapText="0" indent="0" justifyLastLine="0" shrinkToFit="0" readingOrder="0"/>
    </dxf>
    <dxf>
      <numFmt numFmtId="3" formatCode="#,##0"/>
      <alignment vertical="center" textRotation="0" wrapText="0" indent="0" justifyLastLine="0" shrinkToFit="0" readingOrder="0"/>
    </dxf>
    <dxf>
      <alignment vertical="center" textRotation="0" wrapText="0" indent="0" justifyLastLine="0" shrinkToFit="0" readingOrder="0"/>
    </dxf>
    <dxf>
      <numFmt numFmtId="200" formatCode="#,##0.00##"/>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9" formatCode="dd/mm/yyyy"/>
      <alignment horizontal="left" vertical="center" textRotation="0" wrapText="0" indent="0" justifyLastLine="0" shrinkToFit="0" readingOrder="0"/>
    </dxf>
    <dxf>
      <numFmt numFmtId="30" formatCode="@"/>
      <alignment vertical="center" textRotation="0" wrapText="0" indent="0" justifyLastLine="0" shrinkToFit="0" readingOrder="0"/>
    </dxf>
    <dxf>
      <font>
        <b val="0"/>
        <i val="0"/>
        <strike val="0"/>
        <outline val="0"/>
        <shadow val="0"/>
        <u val="none"/>
        <vertAlign val="baseline"/>
        <sz val="9"/>
        <color theme="1"/>
        <name val="Aptos"/>
        <family val="2"/>
        <scheme val="none"/>
      </font>
      <numFmt numFmtId="30" formatCode="@"/>
      <alignment vertical="center" textRotation="0" wrapText="0" indent="0" justifyLastLine="0" shrinkToFit="0" readingOrder="0"/>
    </dxf>
    <dxf>
      <fill>
        <patternFill>
          <bgColor rgb="FF003087"/>
        </patternFill>
      </fill>
      <border>
        <left/>
        <right/>
        <top/>
        <bottom/>
        <vertical/>
        <horizontal/>
      </border>
    </dxf>
    <dxf>
      <font>
        <sz val="8"/>
        <name val="Calibri Light"/>
        <family val="2"/>
        <scheme val="major"/>
      </font>
    </dxf>
    <dxf>
      <fill>
        <patternFill>
          <bgColor theme="0" tint="-0.14996795556505021"/>
        </patternFill>
      </fill>
    </dxf>
    <dxf>
      <font>
        <color theme="0"/>
      </font>
      <fill>
        <patternFill>
          <bgColor rgb="FF003087"/>
        </patternFill>
      </fill>
      <border diagonalUp="0" diagonalDown="0">
        <left/>
        <right/>
        <top/>
        <bottom/>
        <vertical/>
        <horizontal/>
      </border>
    </dxf>
  </dxfs>
  <tableStyles count="4" defaultTableStyle="TableStyleMedium2" defaultPivotStyle="PivotStyleLight16">
    <tableStyle name="Invisible" pivot="0" table="0" count="0" xr9:uid="{2A9A80C7-3405-4CC4-821B-74BA34BFBC9E}"/>
    <tableStyle name="MM-GP" pivot="0" count="2" xr9:uid="{3569346C-09ED-4FE0-ADE1-BCB571C0D0B5}">
      <tableStyleElement type="headerRow" dxfId="288"/>
      <tableStyleElement type="secondRowStripe" dxfId="287"/>
    </tableStyle>
    <tableStyle name="Slicer Style 1" pivot="0" table="0" count="1" xr9:uid="{426D3E43-E74A-4E2F-B6E2-9F853C4739A5}">
      <tableStyleElement type="wholeTable" dxfId="286"/>
    </tableStyle>
    <tableStyle name="Table Style 1" pivot="0" count="1" xr9:uid="{FCB1742A-F56B-43B4-A563-8A38D94ABA6F}">
      <tableStyleElement type="headerRow" dxfId="285"/>
    </tableStyle>
  </tableStyles>
  <colors>
    <mruColors>
      <color rgb="FF19FF81"/>
      <color rgb="FFFFD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131641</xdr:colOff>
      <xdr:row>0</xdr:row>
      <xdr:rowOff>759175</xdr:rowOff>
    </xdr:to>
    <mc:AlternateContent xmlns:mc="http://schemas.openxmlformats.org/markup-compatibility/2006" xmlns:sle15="http://schemas.microsoft.com/office/drawing/2012/slicer">
      <mc:Choice Requires="sle15">
        <xdr:graphicFrame macro="">
          <xdr:nvGraphicFramePr>
            <xdr:cNvPr id="2" name="AC">
              <a:extLst>
                <a:ext uri="{FF2B5EF4-FFF2-40B4-BE49-F238E27FC236}">
                  <a16:creationId xmlns:a16="http://schemas.microsoft.com/office/drawing/2014/main" id="{C1805DAB-9082-09D0-63EC-744D3C7DB12E}"/>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AC"/>
            </a:graphicData>
          </a:graphic>
        </xdr:graphicFrame>
      </mc:Choice>
      <mc:Fallback xmlns="">
        <xdr:sp macro="" textlink="">
          <xdr:nvSpPr>
            <xdr:cNvPr id="0" name=""/>
            <xdr:cNvSpPr>
              <a:spLocks noTextEdit="1"/>
            </xdr:cNvSpPr>
          </xdr:nvSpPr>
          <xdr:spPr>
            <a:xfrm>
              <a:off x="0" y="0"/>
              <a:ext cx="253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9</xdr:col>
      <xdr:colOff>817877</xdr:colOff>
      <xdr:row>0</xdr:row>
      <xdr:rowOff>0</xdr:rowOff>
    </xdr:from>
    <xdr:to>
      <xdr:col>12</xdr:col>
      <xdr:colOff>1924686</xdr:colOff>
      <xdr:row>0</xdr:row>
      <xdr:rowOff>759175</xdr:rowOff>
    </xdr:to>
    <mc:AlternateContent xmlns:mc="http://schemas.openxmlformats.org/markup-compatibility/2006" xmlns:sle15="http://schemas.microsoft.com/office/drawing/2012/slicer">
      <mc:Choice Requires="sle15">
        <xdr:graphicFrame macro="">
          <xdr:nvGraphicFramePr>
            <xdr:cNvPr id="3" name="Tema">
              <a:extLst>
                <a:ext uri="{FF2B5EF4-FFF2-40B4-BE49-F238E27FC236}">
                  <a16:creationId xmlns:a16="http://schemas.microsoft.com/office/drawing/2014/main" id="{CA6CDB81-3AE6-8711-FF24-D0DCB962640A}"/>
                </a:ext>
              </a:extLst>
            </xdr:cNvPr>
            <xdr:cNvGraphicFramePr/>
          </xdr:nvGraphicFramePr>
          <xdr:xfrm>
            <a:off x="0" y="0"/>
            <a:ext cx="0" cy="0"/>
          </xdr:xfrm>
          <a:graphic>
            <a:graphicData uri="http://schemas.microsoft.com/office/drawing/2010/slicer">
              <sle:slicer xmlns:sle="http://schemas.microsoft.com/office/drawing/2010/slicer" name="Tema"/>
            </a:graphicData>
          </a:graphic>
        </xdr:graphicFrame>
      </mc:Choice>
      <mc:Fallback xmlns="">
        <xdr:sp macro="" textlink="">
          <xdr:nvSpPr>
            <xdr:cNvPr id="0" name=""/>
            <xdr:cNvSpPr>
              <a:spLocks noTextEdit="1"/>
            </xdr:cNvSpPr>
          </xdr:nvSpPr>
          <xdr:spPr>
            <a:xfrm>
              <a:off x="7086597" y="0"/>
              <a:ext cx="5048254"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8</xdr:col>
      <xdr:colOff>516890</xdr:colOff>
      <xdr:row>0</xdr:row>
      <xdr:rowOff>0</xdr:rowOff>
    </xdr:from>
    <xdr:to>
      <xdr:col>9</xdr:col>
      <xdr:colOff>822950</xdr:colOff>
      <xdr:row>0</xdr:row>
      <xdr:rowOff>759175</xdr:rowOff>
    </xdr:to>
    <mc:AlternateContent xmlns:mc="http://schemas.openxmlformats.org/markup-compatibility/2006" xmlns:sle15="http://schemas.microsoft.com/office/drawing/2012/slicer">
      <mc:Choice Requires="sle15">
        <xdr:graphicFrame macro="">
          <xdr:nvGraphicFramePr>
            <xdr:cNvPr id="4" name="SMO">
              <a:extLst>
                <a:ext uri="{FF2B5EF4-FFF2-40B4-BE49-F238E27FC236}">
                  <a16:creationId xmlns:a16="http://schemas.microsoft.com/office/drawing/2014/main" id="{1703D25C-D1D1-8463-7DA8-8433B9A4B56F}"/>
                </a:ext>
              </a:extLst>
            </xdr:cNvPr>
            <xdr:cNvGraphicFramePr/>
          </xdr:nvGraphicFramePr>
          <xdr:xfrm>
            <a:off x="0" y="0"/>
            <a:ext cx="0" cy="0"/>
          </xdr:xfrm>
          <a:graphic>
            <a:graphicData uri="http://schemas.microsoft.com/office/drawing/2010/slicer">
              <sle:slicer xmlns:sle="http://schemas.microsoft.com/office/drawing/2010/slicer" name="SMO"/>
            </a:graphicData>
          </a:graphic>
        </xdr:graphicFrame>
      </mc:Choice>
      <mc:Fallback xmlns="">
        <xdr:sp macro="" textlink="">
          <xdr:nvSpPr>
            <xdr:cNvPr id="0" name=""/>
            <xdr:cNvSpPr>
              <a:spLocks noTextEdit="1"/>
            </xdr:cNvSpPr>
          </xdr:nvSpPr>
          <xdr:spPr>
            <a:xfrm>
              <a:off x="5505450" y="0"/>
              <a:ext cx="1578600"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2</xdr:col>
      <xdr:colOff>152399</xdr:colOff>
      <xdr:row>0</xdr:row>
      <xdr:rowOff>0</xdr:rowOff>
    </xdr:from>
    <xdr:to>
      <xdr:col>8</xdr:col>
      <xdr:colOff>553065</xdr:colOff>
      <xdr:row>0</xdr:row>
      <xdr:rowOff>759175</xdr:rowOff>
    </xdr:to>
    <mc:AlternateContent xmlns:mc="http://schemas.openxmlformats.org/markup-compatibility/2006" xmlns:sle15="http://schemas.microsoft.com/office/drawing/2012/slicer">
      <mc:Choice Requires="sle15">
        <xdr:graphicFrame macro="">
          <xdr:nvGraphicFramePr>
            <xdr:cNvPr id="6" name="Crncy">
              <a:extLst>
                <a:ext uri="{FF2B5EF4-FFF2-40B4-BE49-F238E27FC236}">
                  <a16:creationId xmlns:a16="http://schemas.microsoft.com/office/drawing/2014/main" id="{4AB7CC30-E0E7-BB0E-89AB-082C0B0D6370}"/>
                </a:ext>
              </a:extLst>
            </xdr:cNvPr>
            <xdr:cNvGraphicFramePr/>
          </xdr:nvGraphicFramePr>
          <xdr:xfrm>
            <a:off x="0" y="0"/>
            <a:ext cx="0" cy="0"/>
          </xdr:xfrm>
          <a:graphic>
            <a:graphicData uri="http://schemas.microsoft.com/office/drawing/2010/slicer">
              <sle:slicer xmlns:sle="http://schemas.microsoft.com/office/drawing/2010/slicer" name="Crncy"/>
            </a:graphicData>
          </a:graphic>
        </xdr:graphicFrame>
      </mc:Choice>
      <mc:Fallback xmlns="">
        <xdr:sp macro="" textlink="">
          <xdr:nvSpPr>
            <xdr:cNvPr id="0" name=""/>
            <xdr:cNvSpPr>
              <a:spLocks noTextEdit="1"/>
            </xdr:cNvSpPr>
          </xdr:nvSpPr>
          <xdr:spPr>
            <a:xfrm>
              <a:off x="2543174" y="0"/>
              <a:ext cx="298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7" xr16:uid="{E62060EB-E43D-4E10-B219-D51ACBF22525}" autoFormatId="16" applyNumberFormats="0" applyBorderFormats="0" applyFontFormats="0" applyPatternFormats="0" applyAlignmentFormats="0" applyWidthHeightFormats="0">
  <queryTableRefresh nextId="36">
    <queryTableFields count="33">
      <queryTableField id="1" name="smo_id" tableColumnId="1"/>
      <queryTableField id="2" name="LUKB_id" tableColumnId="2"/>
      <queryTableField id="3" name="ISIN" tableColumnId="3"/>
      <queryTableField id="23" name="SC_GROUPED" tableColumnId="23"/>
      <queryTableField id="25" name="DOMICILE" tableColumnId="25"/>
      <queryTableField id="4" name="M_CUR" tableColumnId="4"/>
      <queryTableField id="5" name="M_NAME" tableColumnId="5"/>
      <queryTableField id="6" name="NSIN_CH" tableColumnId="6"/>
      <queryTableField id="7" name="INTEREST" tableColumnId="7"/>
      <queryTableField id="8" name="COMPFULLNAME" tableColumnId="8"/>
      <queryTableField id="9" name="MATURITY" tableColumnId="9"/>
      <queryTableField id="10" name="YIELD" tableColumnId="10"/>
      <queryTableField id="11" name="BID:volume" tableColumnId="11"/>
      <queryTableField id="12" name="BID" tableColumnId="12"/>
      <queryTableField id="13" name="ASK" tableColumnId="13"/>
      <queryTableField id="14" name="ASK:volume" tableColumnId="14"/>
      <queryTableField id="15" name="LVAL:datetime" tableColumnId="15"/>
      <queryTableField id="16" name="LVAL" tableColumnId="16"/>
      <queryTableField id="17" name="ACCINT" tableColumnId="17"/>
      <queryTableField id="18" name="NC2_PR" tableColumnId="18"/>
      <queryTableField id="19" name="4W_PERF_PR" tableColumnId="19"/>
      <queryTableField id="20" name="12W_PERF_PR" tableColumnId="20"/>
      <queryTableField id="21" name="YTD_PERF_PR" tableColumnId="21"/>
      <queryTableField id="22" name="NAME" tableColumnId="22"/>
      <queryTableField id="24" name="SEC" tableColumnId="24"/>
      <queryTableField id="26" name="YLDEQ" tableColumnId="26"/>
      <queryTableField id="27" name="1STPAYMENTYEAR" tableColumnId="27"/>
      <queryTableField id="28" name="DIVIDEND" tableColumnId="28"/>
      <queryTableField id="29" name="DIVIDEND:datetime" tableColumnId="29"/>
      <queryTableField id="30" name="PRICINGAMT" tableColumnId="30"/>
      <queryTableField id="31" name="INSTRUNIT" tableColumnId="31"/>
      <queryTableField id="32" name="DENOM" tableColumnId="32"/>
      <queryTableField id="33" name="Bid-Ask Spread %" tableColumnId="3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iEsterni_7" connectionId="26" xr16:uid="{0F2E2DF8-FB4F-40C4-BB85-58D04277E16F}" autoFormatId="16" applyNumberFormats="0" applyBorderFormats="0" applyFontFormats="0" applyPatternFormats="0" applyAlignmentFormats="0" applyWidthHeightFormats="0">
  <queryTableRefresh nextId="2">
    <queryTableFields count="1">
      <queryTableField id="1" name="smo_id"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8" xr16:uid="{0B4A9D75-1E2F-442A-B537-465D83F0A608}" autoFormatId="16" applyNumberFormats="0" applyBorderFormats="0" applyFontFormats="0" applyPatternFormats="0" applyAlignmentFormats="0" applyWidthHeightFormats="0">
  <queryTableRefresh nextId="4">
    <queryTableFields count="3">
      <queryTableField id="1" name="exch_code" tableColumnId="1"/>
      <queryTableField id="2" name="exch_des" tableColumnId="2"/>
      <queryTableField id="3" name="exch_id"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AC" xr10:uid="{D3373911-A017-4F56-BCA3-9D2A537373EF}" sourceName="AC">
  <extLst>
    <x:ext xmlns:x15="http://schemas.microsoft.com/office/spreadsheetml/2010/11/main" uri="{2F2917AC-EB37-4324-AD4E-5DD8C200BD13}">
      <x15:tableSlicerCache tableId="3" column="3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Tema" xr10:uid="{35D34038-2B2B-4508-998C-2B506395C046}" sourceName="Tema">
  <extLst>
    <x:ext xmlns:x15="http://schemas.microsoft.com/office/spreadsheetml/2010/11/main" uri="{2F2917AC-EB37-4324-AD4E-5DD8C200BD13}">
      <x15:tableSlicerCache tableId="3" column="1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SMO" xr10:uid="{38B4CFA9-A49D-4A9B-9E43-769C350193A8}" sourceName="SMO">
  <extLst>
    <x:ext xmlns:x15="http://schemas.microsoft.com/office/spreadsheetml/2010/11/main" uri="{2F2917AC-EB37-4324-AD4E-5DD8C200BD13}">
      <x15:tableSlicerCache tableId="3" column="1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Crncy" xr10:uid="{1B618D7D-CF0E-4E76-A832-7C859C17B452}" sourceName="Crncy">
  <extLst>
    <x:ext xmlns:x15="http://schemas.microsoft.com/office/spreadsheetml/2010/11/main" uri="{2F2917AC-EB37-4324-AD4E-5DD8C200BD13}">
      <x15:tableSlicerCache tableId="3"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 xr10:uid="{849559E1-AE74-4DC0-B7CF-7D2D600D0193}" cache="FiltroDati_AC" caption="AC" columnCount="5" rowHeight="180000"/>
  <slicer name="Tema" xr10:uid="{60820A07-254B-4CE0-BB97-92352D3CEA9A}" cache="FiltroDati_Tema" caption="Colonna1" columnCount="6" rowHeight="180000"/>
  <slicer name="SMO" xr10:uid="{998496EB-4C75-42E7-A022-4BCE0BBAE764}" cache="FiltroDati_SMO" caption="Colonna2" columnCount="3" rowHeight="180000"/>
  <slicer name="Crncy" xr10:uid="{698C3B51-EFF5-4312-B82D-AA92F468054C}" cache="FiltroDati_Crncy" caption="Crncy" columnCount="6" rowHeight="1800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ED32D3-E8A4-4510-893D-6735BAFE6CBC}" name="Contatti" displayName="Contatti" ref="A1:L179" totalsRowShown="0" headerRowDxfId="259" dataDxfId="258">
  <autoFilter ref="A1:L179" xr:uid="{99136165-3D07-47EB-9114-FA8E080A30D0}">
    <filterColumn colId="0">
      <filters>
        <filter val="Solari"/>
      </filters>
    </filterColumn>
  </autoFilter>
  <tableColumns count="12">
    <tableColumn id="1" xr3:uid="{B50A7C50-A4C0-41C1-BB9E-69F2A535B54A}" name="Relazione" dataDxfId="257"/>
    <tableColumn id="9" xr3:uid="{79C3153F-4047-4D99-B69B-06527C237E61}" name="Data" dataDxfId="256"/>
    <tableColumn id="7" xr3:uid="{367CA8DD-D5AC-4995-A903-1161F7F6EB69}" name="Inizio" dataDxfId="255"/>
    <tableColumn id="10" xr3:uid="{830441A7-4AA1-44CB-9CC2-8A35B35DA52A}" name="Fine" dataDxfId="254"/>
    <tableColumn id="2" xr3:uid="{DDFD4435-DBF2-4ABD-B851-48CFFC438EAF}" name="Canale" dataDxfId="253"/>
    <tableColumn id="3" xr3:uid="{18E6F898-2BF0-4F3B-8BBE-5525C93B6D90}" name="Controvalore" dataDxfId="252"/>
    <tableColumn id="4" xr3:uid="{7CC93004-3421-4C5E-9B12-1C693AD0B207}" name="Perf. YtD%" dataDxfId="251"/>
    <tableColumn id="8" xr3:uid="{6C16788B-BD42-422B-9410-827C4575754A}" name="TAA" dataDxfId="250"/>
    <tableColumn id="12" xr3:uid="{F1B2A961-BF1B-4753-8EA7-EC9054867795}" name="TCA" dataDxfId="249"/>
    <tableColumn id="5" xr3:uid="{C4D21358-5957-45AC-A072-E0DF6FB42C12}" name="Descrizione" dataDxfId="248"/>
    <tableColumn id="6" xr3:uid="{D722F1E5-CEC6-4A08-8996-1DEE55FD9527}" name="Decisioni / Feed-Back" dataDxfId="247"/>
    <tableColumn id="11" xr3:uid="{16942837-A1E0-47E4-8D63-2FB41C6978AB}" name="Prossimo" dataDxfId="246"/>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66CDF09-7BC8-445A-AE21-2724C15BD437}" name="Registro_Ordini" displayName="Registro_Ordini" ref="A1:W1491" totalsRowShown="0" headerRowDxfId="284" dataDxfId="283">
  <autoFilter ref="A1:W1491" xr:uid="{66153CA1-FE7D-437F-86D6-BF5259CCA597}"/>
  <sortState xmlns:xlrd2="http://schemas.microsoft.com/office/spreadsheetml/2017/richdata2" ref="A2:W1491">
    <sortCondition descending="1" ref="A2:A1491"/>
    <sortCondition descending="1" ref="B2:B1491"/>
    <sortCondition ref="F2:F1491"/>
    <sortCondition ref="C2:C1491"/>
  </sortState>
  <tableColumns count="23">
    <tableColumn id="22" xr3:uid="{8BF8ADB8-81C4-40F0-8F84-3E1E597C9BFF}" name="Data" dataDxfId="282"/>
    <tableColumn id="23" xr3:uid="{0EA23A2A-C467-44CD-A354-7903DF7C14E3}" name="Ora" dataDxfId="281"/>
    <tableColumn id="13" xr3:uid="{E3B8A224-41B0-4319-B61C-8286407AE4B1}" name="Cliente" dataDxfId="280"/>
    <tableColumn id="2" xr3:uid="{44F43E5F-3CED-459A-AD12-3400B19668FB}" name="Classe" dataDxfId="279"/>
    <tableColumn id="12" xr3:uid="{CACC72A3-AA16-44FB-9A85-4861855CEBCE}" name="Regione" dataDxfId="278"/>
    <tableColumn id="3" xr3:uid="{6C2A5052-F82F-4BA5-B18F-D91075531C1A}" name="Titolo" dataDxfId="277"/>
    <tableColumn id="5" xr3:uid="{160706D9-A1A3-4AB9-A94B-616753E3D7C1}" name="Tipo" dataDxfId="276"/>
    <tableColumn id="6" xr3:uid="{968DFB9A-FB53-41E2-B87F-CC49EE1D841B}" name="Numero" dataDxfId="275"/>
    <tableColumn id="7" xr3:uid="{C01FDFDD-571C-4CF8-91CB-6FC9D923BDDE}" name="Prezzo" dataDxfId="274"/>
    <tableColumn id="8" xr3:uid="{4AF65203-83C7-4654-BC7C-38C93771B8F2}" name="Valuta" dataDxfId="273"/>
    <tableColumn id="9" xr3:uid="{91161F0B-AD52-41B8-B49D-898235F5A187}" name="Importo" dataDxfId="272">
      <calculatedColumnFormula>Registro_Ordini[[#This Row],[Numero]]*Registro_Ordini[[#This Row],[Prezzo]]</calculatedColumnFormula>
    </tableColumn>
    <tableColumn id="11" xr3:uid="{95A4FD5A-D220-4138-B1D4-099EBEAA84FD}" name="Cambio" dataDxfId="271"/>
    <tableColumn id="14" xr3:uid="{1A4B253C-6354-4D9B-9CC2-CAE67B146BB3}" name="Controvalore" dataDxfId="270">
      <calculatedColumnFormula>Registro_Ordini[[#This Row],[Importo]]*Registro_Ordini[[#This Row],[Cambio]]</calculatedColumnFormula>
    </tableColumn>
    <tableColumn id="1" xr3:uid="{D447B2F1-6BF7-4A5A-BD26-CACFB5ECF347}" name="Price" dataDxfId="269">
      <calculatedColumnFormula>IFERROR(_xlfn.NUMBERVALUE(OFFSET(Origine,MATCH(Registro_Ordini[[#This Row],[Titolo]],Descrizioni,0),MATCH("Price",Intestazioni,0)-1,1,1)),"")</calculatedColumnFormula>
    </tableColumn>
    <tableColumn id="21" xr3:uid="{C8886B6C-ACEB-44AD-9FD9-955EAB57ACDE}" name="Utile/Perdita" dataDxfId="268">
      <calculatedColumnFormula>IF(OR(Registro_Ordini[[#This Row],[Price]]=0,Registro_Ordini[[#This Row],[Price]]=""),"",IF(Registro_Ordini[[#This Row],[Tipo]]="Sell",Registro_Ordini[[#This Row],[Prezzo]]/Registro_Ordini[[#This Row],[Price]]-1,Registro_Ordini[[#This Row],[Price]]/Registro_Ordini[[#This Row],[Prezzo]]-1))</calculatedColumnFormula>
    </tableColumn>
    <tableColumn id="10" xr3:uid="{120B2190-9F1D-4E29-9168-4EC2A47DBD44}" name="% Pft" dataDxfId="267"/>
    <tableColumn id="15" xr3:uid="{55895B79-1E34-4446-B4C1-B404C9D1C256}" name="% Liq" dataDxfId="266"/>
    <tableColumn id="16" xr3:uid="{D3B5475F-44DE-443B-A382-D38FCED90656}" name="% Bnd" dataDxfId="265"/>
    <tableColumn id="17" xr3:uid="{6E338C99-8CAC-4851-9436-928049D501C8}" name="% Equ" dataDxfId="264"/>
    <tableColumn id="18" xr3:uid="{5AC35CAA-CDEF-4B9E-A7DA-98691A3EC156}" name="% Imm" dataDxfId="263"/>
    <tableColumn id="19" xr3:uid="{86E13B50-2FED-43F2-982E-394D37BAC92E}" name="% Com" dataDxfId="262"/>
    <tableColumn id="20" xr3:uid="{6031ED10-6523-4741-AD22-206808374827}" name=" % HF" dataDxfId="261"/>
    <tableColumn id="4" xr3:uid="{85A9B5EB-F6F2-4861-8C17-27F9387390B6}" name="Osservazioni" dataDxfId="260"/>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990E29-2F87-400B-917D-E652B5EA85F9}" name="Valori" displayName="Valori" ref="A2:AX400" totalsRowShown="0" headerRowDxfId="139" dataDxfId="138">
  <autoFilter ref="A2:AX400" xr:uid="{00000000-0009-0000-0100-000002000000}"/>
  <sortState xmlns:xlrd2="http://schemas.microsoft.com/office/spreadsheetml/2017/richdata2" ref="A3:AX400">
    <sortCondition ref="D3:D400" customList="CUR,BON,ECU,COM,ETF,FON"/>
    <sortCondition ref="AE3:AE400"/>
    <sortCondition ref="M3:M400"/>
  </sortState>
  <tableColumns count="50">
    <tableColumn id="2" xr3:uid="{082205E9-74BA-45FB-B9A3-BB23C86B7577}" name="smo_id" dataDxfId="137"/>
    <tableColumn id="24" xr3:uid="{ACD740BA-3E90-45EA-A8CA-4E75FD9BE66A}" name="LUKB_id" dataDxfId="136">
      <calculatedColumnFormula array="1">OFFSET(POrigin,MATCH(Valori[[#This Row],[smo_id]],Posizioni[smo_id],0),MATCH("LUKB_id",PIntestazioni,0)-1,1,1)</calculatedColumnFormula>
    </tableColumn>
    <tableColumn id="42" xr3:uid="{F2B81D52-41BB-454B-9684-C929046A824F}" name="Link" dataDxfId="135">
      <calculatedColumnFormula>HYPERLINK("https://boersenundmaerkte.lukb.ch/lukb/details/"&amp;Valori[[#This Row],[LUKB_id]],"è")</calculatedColumnFormula>
    </tableColumn>
    <tableColumn id="31" xr3:uid="{35D699C1-4805-463D-9CBA-A84BA3050D2F}" name="AC" dataDxfId="134">
      <calculatedColumnFormula array="1">OFFSET(POrigin,MATCH(Valori[[#This Row],[LUKB_id]],PID,0),MATCH("SC_GROUPED",PIntestazioni,0)-1,1,1)</calculatedColumnFormula>
    </tableColumn>
    <tableColumn id="11" xr3:uid="{86E1D81C-E849-44BF-93DC-CFD1672FE101}" name="ISIN" dataDxfId="133">
      <calculatedColumnFormula array="1">OFFSET(POrigin,MATCH(Valori[[#This Row],[LUKB_id]],PID,0),MATCH("isin",PIntestazioni,0)-1,1,1)</calculatedColumnFormula>
    </tableColumn>
    <tableColumn id="3" xr3:uid="{275F2EE0-2D2F-418E-A4FB-74395F316F1C}" name="Valoren" dataDxfId="132">
      <calculatedColumnFormula array="1">OFFSET(POrigin,MATCH(Valori[[#This Row],[LUKB_id]],PID,0),MATCH("NSIN_CH",PLabel,0)-1,1,1)</calculatedColumnFormula>
    </tableColumn>
    <tableColumn id="10" xr3:uid="{4F54A848-5F4C-484D-ADAC-84CA5ECDC5D6}" name="P_Type" dataDxfId="131">
      <calculatedColumnFormula array="1">IF(OFFSET(POrigin,MATCH(Valori[[#This Row],[LUKB_id]],PID,0),MATCH("INSTRUNIT",PLabel,0)-1,1,1)="Nominal","Pct","Unit")</calculatedColumnFormula>
    </tableColumn>
    <tableColumn id="49" xr3:uid="{8E0B59DA-86E1-463A-B901-7797000D035E}" name="Pr.Amt" dataDxfId="130">
      <calculatedColumnFormula>MAX(OFFSET(POrigin,MATCH(Valori[[#This Row],[LUKB_id]],PID,0),MATCH("PRICINGAMT",PLabel,0)-1,1,1),1)</calculatedColumnFormula>
    </tableColumn>
    <tableColumn id="23" xr3:uid="{C4730566-DA91-42A1-8CEB-898A44DE9575}" name="LUKB Name" dataDxfId="129">
      <calculatedColumnFormula array="1">OFFSET(POrigin,MATCH(Valori[[#This Row],[LUKB_id]],PID,0),MATCH("M_NAME",PLabel,0)-1,1,1)</calculatedColumnFormula>
    </tableColumn>
    <tableColumn id="32" xr3:uid="{D3A1A62D-1FBD-4A6F-A49D-9E60D069C5BC}" name="Des_Override" dataDxfId="128"/>
    <tableColumn id="16" xr3:uid="{D0059E27-853A-4D25-BBEF-64FFA7FBC057}" name="Tema" dataDxfId="127"/>
    <tableColumn id="18" xr3:uid="{168123E5-FBF1-49D9-B8E7-175365326E31}" name="SMO" dataDxfId="126"/>
    <tableColumn id="1" xr3:uid="{38356C10-8EF2-44C8-BFB6-903EB2989CCA}" name="Descrizione" dataDxfId="125">
      <calculatedColumnFormula array="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calculatedColumnFormula>
    </tableColumn>
    <tableColumn id="28" xr3:uid="{8DCD543B-6669-49A3-8553-E05D3E4FB2EF}" name="Model" dataDxfId="124">
      <calculatedColumnFormula>COUNTIF('CHF M'!smo_id,Valori[[#This Row],[smo_id]])+COUNTIF('CHF MA'!smo_id,Valori[[#This Row],[smo_id]])+COUNTIF('EUR MB'!smo_id,Valori[[#This Row],[smo_id]])+COUNTIF('EUR M'!smo_id,Valori[[#This Row],[smo_id]])+COUNTIF(AGCO!smo_id,Valori[[#This Row],[smo_id]])</calculatedColumnFormula>
    </tableColumn>
    <tableColumn id="9" xr3:uid="{9632F5C8-B385-4D02-A61D-E9F4F455AB68}" name="Position" dataDxfId="39">
      <calculatedColumnFormula array="1">SUM(IF('CHF M'!smo_id=Valori[[#This Row],[smo_id]],'CHF M'!Posizione))+SUM(IF('CHF MA'!smo_id=Valori[[#This Row],[smo_id]],'CHF MA'!Posizione))+SUM(IF('EUR MB'!smo_id=Valori[[#This Row],[smo_id]],'EUR MB'!Posizione))+SUM(IF('EUR M'!smo_id=Valori[[#This Row],[smo_id]],'EUR M'!Posizione))+SUM(IF(AGCO!smo_id=Valori[[#This Row],[smo_id]],AGCO!Posizione))</calculatedColumnFormula>
    </tableColumn>
    <tableColumn id="22" xr3:uid="{DC706D08-B071-455B-B5D8-397AA783148A}" name="Price_Link" dataDxfId="38">
      <calculatedColumnFormula>HYPERLINK(Valori[[#This Row],[P_Source]],"è")</calculatedColumnFormula>
    </tableColumn>
    <tableColumn id="21" xr3:uid="{010BC6A8-EADC-4D10-A761-7AD2C762FA28}" name="Info" dataDxfId="37">
      <calculatedColumnFormula>HYPERLINK(Valori[[#This Row],[Info_W]],"i")</calculatedColumnFormula>
    </tableColumn>
    <tableColumn id="14" xr3:uid="{A05F81B6-2D17-4D22-8020-A1FD16516A77}" name="FN_Link" dataDxfId="36">
      <calculatedColumnFormula>HYPERLINK(Valori[[#This Row],[FN_W]],"")</calculatedColumnFormula>
    </tableColumn>
    <tableColumn id="13" xr3:uid="{958096AE-F60C-4CE7-A169-FDB34F29BC2C}" name="MS_W" dataDxfId="35">
      <calculatedColumnFormula>HYPERLINK(Valori[[#This Row],[MS_Link]],"")</calculatedColumnFormula>
    </tableColumn>
    <tableColumn id="17" xr3:uid="{DD5681B8-B22B-4112-986D-3387C4E2F8A4}" name="Chart" dataDxfId="33">
      <calculatedColumnFormula>HYPERLINK(Valori[[#This Row],[C_source]],"")</calculatedColumnFormula>
    </tableColumn>
    <tableColumn id="6" xr3:uid="{AA83055E-F99E-4399-9504-D95CB0039E20}" name="Crncy" dataDxfId="34">
      <calculatedColumnFormula array="1">OFFSET(POrigin,MATCH(Valori[[#This Row],[LUKB_id]],PID,0),MATCH("M_CUR",PLabel,0)-1,1,1)</calculatedColumnFormula>
    </tableColumn>
    <tableColumn id="50" xr3:uid="{24BBD219-963C-43D1-8A0C-5A903C6951DF}" name="Price" dataDxfId="123">
      <calculatedColumnFormula>(Valori[[#This Row],[Last]]+Valori[[#This Row],[Acc. Int]])/Valori[[#This Row],[Pr.Amt]]/IF(Valori[[#This Row],[P_Type]]="Pct",100,1)</calculatedColumnFormula>
    </tableColumn>
    <tableColumn id="38" xr3:uid="{6887DCA3-1CDE-4077-ABF3-8C01251950A8}" name="1D %" dataDxfId="122">
      <calculatedColumnFormula array="1">OFFSET(POrigin,MATCH(Valori[[#This Row],[LUKB_id]],PID,0),MATCH("NC2_PR",PLabel,0)-1,1,1)/100</calculatedColumnFormula>
    </tableColumn>
    <tableColumn id="7" xr3:uid="{5CB8EA1B-C2B0-43F7-923A-7E05A7D404B5}" name="Last" dataDxfId="121">
      <calculatedColumnFormula array="1">OFFSET(POrigin,MATCH(Valori[[#This Row],[LUKB_id]],PID,0),MATCH("LVAL",PLabel,0)-1,1,1)</calculatedColumnFormula>
    </tableColumn>
    <tableColumn id="8" xr3:uid="{E21B5457-4533-4B82-86D2-2FD18084DF24}" name="Update" dataDxfId="120">
      <calculatedColumnFormula array="1">OFFSET(POrigin,MATCH(Valori[[#This Row],[LUKB_id]],PID,0),MATCH("LVAL:datetime",PLabel,0)-1,1,1)</calculatedColumnFormula>
    </tableColumn>
    <tableColumn id="36" xr3:uid="{9D46AF0D-99F0-4C44-AFE3-1DD39014987A}" name="Bid-Size" dataDxfId="119">
      <calculatedColumnFormula array="1">OFFSET(POrigin,MATCH(Valori[[#This Row],[LUKB_id]],PID,0),MATCH("BID:volume",PLabel,0)-1,1,1)</calculatedColumnFormula>
    </tableColumn>
    <tableColumn id="35" xr3:uid="{FDBB26F5-CDB0-4E18-A0AF-1E8F14E705B3}" name="Bid" dataDxfId="118">
      <calculatedColumnFormula array="1">OFFSET(POrigin,MATCH(Valori[[#This Row],[LUKB_id]],PID,0),MATCH("BID",PLabel,0)-1,1,1)</calculatedColumnFormula>
    </tableColumn>
    <tableColumn id="34" xr3:uid="{69441EA7-B646-4619-971D-EE2EA95F263A}" name="Ask" dataDxfId="117">
      <calculatedColumnFormula array="1">OFFSET(POrigin,MATCH(Valori[[#This Row],[LUKB_id]],PID,0),MATCH("ASK",PLabel,0)-1,1,1)</calculatedColumnFormula>
    </tableColumn>
    <tableColumn id="33" xr3:uid="{5A2DCB24-E4FE-418E-9AE2-42E3435B0C3C}" name="Ask-Size" dataDxfId="116">
      <calculatedColumnFormula array="1">OFFSET(POrigin,MATCH(Valori[[#This Row],[LUKB_id]],PID,0),MATCH("ASK:volume",PLabel,0)-1,1,1)</calculatedColumnFormula>
    </tableColumn>
    <tableColumn id="26" xr3:uid="{C600A76F-8E4D-4B72-9F99-EDBA185726DB}" name="Spd %" dataDxfId="115">
      <calculatedColumnFormula array="1">OFFSET(POrigin,MATCH(Valori[[#This Row],[LUKB_id]],PID,0),MATCH("BID-ASK Spread %",PLabel,0)-1,1,1)</calculatedColumnFormula>
    </tableColumn>
    <tableColumn id="47" xr3:uid="{7A157B53-F2CA-4440-8F3F-1E42696AA3FA}" name="Maturity" dataDxfId="114">
      <calculatedColumnFormula array="1">IF(OFFSET(POrigin,MATCH(Valori[[#This Row],[LUKB_id]],PID,0),MATCH("MATURITY",PLabel,0)-1,1,1)&gt;0,OFFSET(POrigin,MATCH(Valori[[#This Row],[LUKB_id]],PID,0),MATCH("MATURITY",PLabel,0)-1,1,1),"")</calculatedColumnFormula>
    </tableColumn>
    <tableColumn id="37" xr3:uid="{E7757DDE-BE1B-46DF-9B29-D0CE49BBB667}" name="Acc. Int" dataDxfId="113">
      <calculatedColumnFormula array="1">OFFSET(POrigin,MATCH(Valori[[#This Row],[LUKB_id]],PID,0),MATCH("ACCINT",PLabel,0)-1,1,1)</calculatedColumnFormula>
    </tableColumn>
    <tableColumn id="48" xr3:uid="{2DE94226-1B32-4143-A712-383F454B7836}" name="Denom." dataDxfId="112">
      <calculatedColumnFormula array="1">OFFSET(POrigin,MATCH(Valori[[#This Row],[LUKB_id]],PID,0),MATCH("DENOM",PLabel,0)-1,1,1)</calculatedColumnFormula>
    </tableColumn>
    <tableColumn id="43" xr3:uid="{9AA3EEFE-31F2-4894-92C0-3752CA1B9098}" name="Yield" dataDxfId="111">
      <calculatedColumnFormula array="1">(OFFSET(POrigin,MATCH(Valori[[#This Row],[LUKB_id]],PID,0),MATCH("YIELD",PLabel,0)-1,1,1)+OFFSET(POrigin,MATCH(Valori[[#This Row],[LUKB_id]],PID,0),MATCH("YLDEQ",PLabel,0)-1,1,1))/100</calculatedColumnFormula>
    </tableColumn>
    <tableColumn id="44" xr3:uid="{6660013F-9FE3-491B-85E4-CC91B8EC9A69}" name="Div." dataDxfId="110">
      <calculatedColumnFormula>OFFSET(POrigin,MATCH(Valori[[#This Row],[LUKB_id]],PID,0),MATCH("DIVIDEND",PLabel,0)-1,1,1)</calculatedColumnFormula>
    </tableColumn>
    <tableColumn id="45" xr3:uid="{D6C6DA2C-5F37-4121-B161-F5736AD56BB2}" name="Div. Pmt" dataDxfId="109">
      <calculatedColumnFormula>OFFSET(POrigin,MATCH(Valori[[#This Row],[LUKB_id]],PID,0),MATCH("DIVIDEND:datetime",PLabel,0)-1,1,1)</calculatedColumnFormula>
    </tableColumn>
    <tableColumn id="46" xr3:uid="{35633AFF-F950-4F33-AEE2-E13FF536622B}" name="Int." dataDxfId="108">
      <calculatedColumnFormula>OFFSET(POrigin,MATCH(Valori[[#This Row],[LUKB_id]],PID,0),MATCH("INTEREST",PLabel,0)-1,1,1)</calculatedColumnFormula>
    </tableColumn>
    <tableColumn id="39" xr3:uid="{A12E4F4E-3125-4EB6-BEFE-32771AD809F8}" name="4W %" dataDxfId="107">
      <calculatedColumnFormula>OFFSET(POrigin,MATCH(Valori[[#This Row],[LUKB_id]],PID,0),MATCH("4W_PERF_PR",PLabel,0)-1,1,1)/100</calculatedColumnFormula>
    </tableColumn>
    <tableColumn id="40" xr3:uid="{3B48F3C4-8E27-499B-ABA1-B340684DA7FC}" name="12W %" dataDxfId="106">
      <calculatedColumnFormula>OFFSET(POrigin,MATCH(Valori[[#This Row],[LUKB_id]],PID,0),MATCH("12W_PERF_PR",PLabel,0)-1,1,1)/100</calculatedColumnFormula>
    </tableColumn>
    <tableColumn id="41" xr3:uid="{D4261758-CB8F-49EC-88C5-2F87B5228180}" name="YTD %" dataDxfId="105">
      <calculatedColumnFormula>OFFSET(POrigin,MATCH(Valori[[#This Row],[LUKB_id]],PID,0),MATCH("YTD_PERF_PR",PLabel,0)-1,1,1)/100</calculatedColumnFormula>
    </tableColumn>
    <tableColumn id="30" xr3:uid="{413DB80F-60FF-4081-8EFA-03C5EC1AB481}" name="Entry Fee" dataDxfId="104"/>
    <tableColumn id="29" xr3:uid="{22CF1AF6-1906-4374-A4CD-539A414C7782}" name="Exit Fee" dataDxfId="103"/>
    <tableColumn id="27" xr3:uid="{7E1D8A87-D92F-4130-89E5-C2025D1A3D4E}" name="TER" dataDxfId="102"/>
    <tableColumn id="25" xr3:uid="{3FECCA7C-E17D-40E5-9511-18D45260CBBD}" name="Perf. Fee" dataDxfId="101"/>
    <tableColumn id="19" xr3:uid="{EAB538D3-CA49-499C-8BF0-460430518667}" name="FN_W" dataDxfId="100"/>
    <tableColumn id="20" xr3:uid="{8D7703F1-D1F9-451A-957E-EA78C76CE67B}" name="MS_Link" dataDxfId="99"/>
    <tableColumn id="12" xr3:uid="{06CB1DDB-0FE1-410C-967B-051F6C086EC1}" name="MS_Code" dataDxfId="98"/>
    <tableColumn id="4" xr3:uid="{06084765-620C-4068-839D-46F0901E6FA9}" name="Info_W" dataDxfId="97"/>
    <tableColumn id="5" xr3:uid="{961B76FC-F342-47E2-A508-D6275C15C258}" name="P_Source" dataDxfId="96">
      <calculatedColumnFormula>"https://boersenundmaerkte.lukb.ch/lukb/details/"&amp;Valori[[#This Row],[LUKB_id]]</calculatedColumnFormula>
    </tableColumn>
    <tableColumn id="15" xr3:uid="{21429B89-9E5D-4A26-BD94-821CFC77ED23}" name="C_source" dataDxfId="95">
      <calculatedColumnFormula>"https://www.marketscreener.com/mods_a/charts/TV/inc_dyna_graph.php?c="&amp;Valori[[#This Row],[MS_Code]]&amp;"&amp;style=TradingView.CANDLES&amp;interval=(null)&amp;mobile=(null)&amp;showAT=1"</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BA819B2-A113-4F8F-B0E2-3F09FB06BD46}" name="Posizioni" displayName="Posizioni" ref="A3:AG401" tableType="queryTable" totalsRowShown="0" headerRowDxfId="94" dataDxfId="93">
  <autoFilter ref="A3:AG401" xr:uid="{2BA819B2-A113-4F8F-B0E2-3F09FB06BD46}"/>
  <tableColumns count="33">
    <tableColumn id="1" xr3:uid="{CC8E2E5C-49D7-47CC-929E-9F8E17A2CFCE}" uniqueName="1" name="smo_id" queryTableFieldId="1" dataDxfId="32"/>
    <tableColumn id="2" xr3:uid="{4A1A8BF5-AEF8-44E7-95F9-4C960DE52EB9}" uniqueName="2" name="LUKB_id" queryTableFieldId="2" dataDxfId="31"/>
    <tableColumn id="3" xr3:uid="{2ED6419D-7963-4FAF-B831-B68A1C489738}" uniqueName="3" name="ISIN" queryTableFieldId="3" dataDxfId="30"/>
    <tableColumn id="23" xr3:uid="{F626EECD-9B92-49D4-83DF-547424E6596B}" uniqueName="23" name="SC_GROUPED" queryTableFieldId="23" dataDxfId="29"/>
    <tableColumn id="25" xr3:uid="{630F1F14-218D-4656-9554-61D8F4F040AE}" uniqueName="25" name="DOMICILE" queryTableFieldId="25" dataDxfId="28"/>
    <tableColumn id="4" xr3:uid="{5E9B6BDF-55C3-4469-A687-30EF9CBBFD21}" uniqueName="4" name="M_CUR" queryTableFieldId="4" dataDxfId="27"/>
    <tableColumn id="5" xr3:uid="{C4D7CB3F-306C-45FF-BC0F-295A2C5A7659}" uniqueName="5" name="M_NAME" queryTableFieldId="5" dataDxfId="26"/>
    <tableColumn id="6" xr3:uid="{AFF73A57-B64D-4CBC-926D-6470DA5CD26A}" uniqueName="6" name="NSIN_CH" queryTableFieldId="6" dataDxfId="25"/>
    <tableColumn id="7" xr3:uid="{9231BB22-A412-4906-B85E-216120EAD971}" uniqueName="7" name="INTEREST" queryTableFieldId="7" dataDxfId="24"/>
    <tableColumn id="8" xr3:uid="{533C610C-1796-441D-B205-E975FF2C87C7}" uniqueName="8" name="COMPFULLNAME" queryTableFieldId="8" dataDxfId="23"/>
    <tableColumn id="9" xr3:uid="{6BB43B66-294F-4AF1-97EE-A97FE96CED3F}" uniqueName="9" name="MATURITY" queryTableFieldId="9" dataDxfId="22"/>
    <tableColumn id="10" xr3:uid="{A7C4C964-6F9C-4875-8E9C-BDFDC67A046B}" uniqueName="10" name="YIELD" queryTableFieldId="10" dataDxfId="21"/>
    <tableColumn id="11" xr3:uid="{AC9D8218-64DE-4A8E-BC75-36CAE7426086}" uniqueName="11" name="BID:volume" queryTableFieldId="11" dataDxfId="20"/>
    <tableColumn id="12" xr3:uid="{326FF44F-E217-4500-9D25-6095ABE5D7F8}" uniqueName="12" name="BID" queryTableFieldId="12" dataDxfId="19"/>
    <tableColumn id="13" xr3:uid="{D5B572B3-1681-4C00-BB23-B7F534B1E7C4}" uniqueName="13" name="ASK" queryTableFieldId="13" dataDxfId="18"/>
    <tableColumn id="14" xr3:uid="{356A98D4-B8A8-464D-B294-7B193FD6F7C3}" uniqueName="14" name="ASK:volume" queryTableFieldId="14" dataDxfId="17"/>
    <tableColumn id="15" xr3:uid="{6D3D9F12-7F9A-4330-AA47-6AEA72F62940}" uniqueName="15" name="LVAL:datetime" queryTableFieldId="15" dataDxfId="16"/>
    <tableColumn id="16" xr3:uid="{3B5C892C-6455-4BCE-A558-46D54FFFCE10}" uniqueName="16" name="LVAL" queryTableFieldId="16" dataDxfId="15"/>
    <tableColumn id="17" xr3:uid="{3E6E74FD-8EA6-4000-BFEE-FFA66AC16485}" uniqueName="17" name="ACCINT" queryTableFieldId="17" dataDxfId="14"/>
    <tableColumn id="18" xr3:uid="{F79C378A-E1C6-4364-9683-F5909E271CFA}" uniqueName="18" name="NC2_PR" queryTableFieldId="18" dataDxfId="13" dataCellStyle="Percent"/>
    <tableColumn id="19" xr3:uid="{7DD680A8-2F59-416B-A1D2-EADC52870A45}" uniqueName="19" name="4W_PERF_PR" queryTableFieldId="19" dataDxfId="12"/>
    <tableColumn id="20" xr3:uid="{CFB136AB-075F-423F-BD20-A5BCA89AF26D}" uniqueName="20" name="12W_PERF_PR" queryTableFieldId="20" dataDxfId="11"/>
    <tableColumn id="21" xr3:uid="{889CA7C0-EF72-4BFA-A74E-43826993206E}" uniqueName="21" name="YTD_PERF_PR" queryTableFieldId="21" dataDxfId="10"/>
    <tableColumn id="22" xr3:uid="{8CB41154-D4D4-4A4B-B57D-4ECA403FE456}" uniqueName="22" name="NAME" queryTableFieldId="22" dataDxfId="9"/>
    <tableColumn id="24" xr3:uid="{619BA913-B28B-47B2-9C9D-BFC049F4C255}" uniqueName="24" name="SEC" queryTableFieldId="24" dataDxfId="8"/>
    <tableColumn id="26" xr3:uid="{FAE987E9-8DDF-44A5-A3C8-6EB49705C320}" uniqueName="26" name="YLDEQ" queryTableFieldId="26" dataDxfId="7"/>
    <tableColumn id="27" xr3:uid="{83472AB8-01BF-42E8-91AB-64EB7E62D9B4}" uniqueName="27" name="1STPAYMENTYEAR" queryTableFieldId="27" dataDxfId="6"/>
    <tableColumn id="28" xr3:uid="{525AA4F5-34C4-43F0-A96A-0E101B5D99F1}" uniqueName="28" name="DIVIDEND" queryTableFieldId="28" dataDxfId="5"/>
    <tableColumn id="29" xr3:uid="{40CF76C3-CFF2-481E-9F6A-88795C3BCA0D}" uniqueName="29" name="DIVIDEND:datetime" queryTableFieldId="29" dataDxfId="4"/>
    <tableColumn id="30" xr3:uid="{F636C622-ABBC-4F85-860A-C7B53DF2C386}" uniqueName="30" name="PRICINGAMT" queryTableFieldId="30" dataDxfId="3"/>
    <tableColumn id="31" xr3:uid="{0397B2E4-8356-4CF7-899A-EC8079B8632B}" uniqueName="31" name="INSTRUNIT" queryTableFieldId="31" dataDxfId="2"/>
    <tableColumn id="32" xr3:uid="{36AFB4B9-7F96-4879-8406-645B8383E0AC}" uniqueName="32" name="DENOM" queryTableFieldId="32" dataDxfId="1"/>
    <tableColumn id="33" xr3:uid="{F639946C-4922-47C5-BC2A-3D45BDC8D8EF}" uniqueName="33" name="Bid-Ask Spread %" queryTableFieldId="33" dataDxfId="0" dataCellStyle="Percent"/>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D9A89F0-502A-4D0C-8912-D7420ACF34A7}" name="Tabella1" displayName="Tabella1" ref="A1:Q21" totalsRowShown="0" headerRowDxfId="92" dataDxfId="91">
  <autoFilter ref="A1:Q21" xr:uid="{259757F3-CB54-4529-9255-0691F7826DA8}"/>
  <sortState xmlns:xlrd2="http://schemas.microsoft.com/office/spreadsheetml/2017/richdata2" ref="A2:Q21">
    <sortCondition ref="Q1:Q21"/>
  </sortState>
  <tableColumns count="17">
    <tableColumn id="1" xr3:uid="{CBB3F171-F791-4F39-94E5-9E0DD7A78669}" name="Stato" dataDxfId="90"/>
    <tableColumn id="2" xr3:uid="{78549ABA-CEDB-4C8C-89AC-2BEC598E3F44}" name="ID dell'ordine" dataDxfId="89"/>
    <tableColumn id="3" xr3:uid="{2F8D43D3-CDAB-429E-8FDD-F1A388AEA226}" name="Riferimento del gruppo" dataDxfId="88"/>
    <tableColumn id="4" xr3:uid="{8A33CF89-93D9-4F94-A252-E4570B78D7F2}" name="Cliente" dataDxfId="87"/>
    <tableColumn id="5" xr3:uid="{5FDF0586-E6B3-4259-8189-52BF3843A43D}" name="Strumento" dataDxfId="86"/>
    <tableColumn id="6" xr3:uid="{E7451433-9AC0-4FDA-B656-2F88175D17F2}" name="ISIN" dataDxfId="85"/>
    <tableColumn id="7" xr3:uid="{5842CEB2-28FA-4D87-A359-D51A55C6F400}" name="Tipo di ordine" dataDxfId="84"/>
    <tableColumn id="8" xr3:uid="{FFB75AFD-79CB-4569-9E88-5094E48202B0}" name="Tipo di esecuzione" dataDxfId="83"/>
    <tableColumn id="9" xr3:uid="{AF3CDB11-1907-436F-99F0-E1370F1249D4}" name="Sede di negoziazione" dataDxfId="82"/>
    <tableColumn id="10" xr3:uid="{DC53D6EE-05DD-404C-85CE-923960DB78A8}" name="Quantità originale" dataDxfId="81"/>
    <tableColumn id="11" xr3:uid="{BAADEB6A-3F12-4E82-B652-811007C467CF}" name="Quantità eseguita" dataDxfId="80"/>
    <tableColumn id="12" xr3:uid="{26B50AD6-5D3F-42FE-B837-4E4DD48BBECC}" name="Limite" dataDxfId="79"/>
    <tableColumn id="13" xr3:uid="{309A5A86-FE34-4E56-9F96-9B5B7CD392F7}" name="Valuta" dataDxfId="78"/>
    <tableColumn id="14" xr3:uid="{CF16A8A1-74CF-43A4-BECA-44EF6AD1A143}" name="Prezzo di esecuzione" dataDxfId="77"/>
    <tableColumn id="15" xr3:uid="{7D377E18-1F24-43D8-AA38-910608F7B2F0}" name="Valuta2" dataDxfId="76"/>
    <tableColumn id="16" xr3:uid="{EFC1EA35-D1A3-485E-9DFE-0ABAD8748860}" name="Data di scadenza" dataDxfId="75"/>
    <tableColumn id="17" xr3:uid="{6E57611F-BB7D-4880-8968-E53770316DEC}" name="Data di esecuzione" dataDxfId="74"/>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F49C263-2C1B-4CDD-A4F6-E37B2AF20FF1}" name="Porfolio_Positions" displayName="Porfolio_Positions" ref="A1:A247" tableType="queryTable" totalsRowShown="0" headerRowDxfId="73" dataDxfId="72">
  <tableColumns count="1">
    <tableColumn id="1" xr3:uid="{9EBC755E-9786-479C-B623-5B05A7D28E52}" uniqueName="1" name="smo_id" queryTableFieldId="1" dataDxfId="71"/>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87FF25-8ED3-4985-9265-BDE6222AD972}" name="Transazioni" displayName="Transazioni" ref="A1:K5" totalsRowShown="0" headerRowDxfId="70" dataDxfId="69">
  <autoFilter ref="A1:K5" xr:uid="{A280783A-04F2-45BA-A536-22400CE28905}"/>
  <sortState xmlns:xlrd2="http://schemas.microsoft.com/office/spreadsheetml/2017/richdata2" ref="A2:K5">
    <sortCondition ref="B1:B2"/>
  </sortState>
  <tableColumns count="11">
    <tableColumn id="1" xr3:uid="{559518AD-A55D-4A94-B663-EB5D7F24AB62}" name="Relazione_x000a_Profilo" dataDxfId="68"/>
    <tableColumn id="9" xr3:uid="{05EF81BC-ABAA-4E51-A16C-6145FC68F62C}" name="Data" dataDxfId="67"/>
    <tableColumn id="8" xr3:uid="{0822B1BB-B4A5-4F7C-9F76-98E3AD8B3B5F}" name="Titolo" dataDxfId="66"/>
    <tableColumn id="14" xr3:uid="{0B9EA5E8-1A1A-4548-8CB1-F74C90EBAF06}" name="Ticker" dataDxfId="65"/>
    <tableColumn id="13" xr3:uid="{B1980584-6216-436B-9FA3-EE365237A40B}" name="Link" dataDxfId="64"/>
    <tableColumn id="2" xr3:uid="{55ED2AB5-22CA-482A-9576-00D86BFA185B}" name="Tipo" dataDxfId="63"/>
    <tableColumn id="12" xr3:uid="{219BF935-4ACC-48C2-85FA-FED7FF25E6C8}" name="Prezzo" dataDxfId="62"/>
    <tableColumn id="7" xr3:uid="{7CE07697-5CBD-44FA-858E-D1F829B27025}" name="Corso" dataDxfId="61">
      <calculatedColumnFormula>_xlfn.XLOOKUP(Transazioni[[#This Row],[Ticker]],#REF!,#REF!)</calculatedColumnFormula>
    </tableColumn>
    <tableColumn id="10" xr3:uid="{5D082D1D-502D-4F19-8786-CC2458448DF3}" name="Var. %" dataDxfId="60"/>
    <tableColumn id="5" xr3:uid="{F12CE675-74AD-4B2B-8C29-4B41A6334E1B}" name="Motivazione" dataDxfId="59"/>
    <tableColumn id="6" xr3:uid="{7DE186B9-EDF5-467F-BF0A-909088DF969B}" name="Osservazioni" dataDxfId="58"/>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9EFFAD7-BE3D-4A4D-8AED-5670050FE3C5}" name="Entry_Levels" displayName="Entry_Levels" ref="A1:K375" totalsRowShown="0" headerRowDxfId="57" dataDxfId="56">
  <autoFilter ref="A1:K375" xr:uid="{671011CB-B2BE-4B8F-B266-1452FD38A300}"/>
  <tableColumns count="11">
    <tableColumn id="1" xr3:uid="{A81F5A53-6956-4AAC-A19F-D054180E1264}" name="Market" dataDxfId="55"/>
    <tableColumn id="2" xr3:uid="{3EF6D84E-0905-4F1F-9384-FE75718ABE7B}" name="Instrument" dataDxfId="54"/>
    <tableColumn id="3" xr3:uid="{E6DAB9CF-AB41-4438-B691-72D7FBDFA365}" name="Type" dataDxfId="53"/>
    <tableColumn id="4" xr3:uid="{58852F8B-7E7A-44D2-9D78-FE9C29B31F81}" name="Condition" dataDxfId="52"/>
    <tableColumn id="5" xr3:uid="{FA1BA722-0E88-4F98-BBF0-C1426A2C3295}" name="Value" dataDxfId="51"/>
    <tableColumn id="6" xr3:uid="{A8354D81-271B-4279-88E4-D6AFB1E15ED7}" name="Repeat" dataDxfId="50"/>
    <tableColumn id="7" xr3:uid="{D73764B3-9897-4F6E-AFBC-96F6B403AA67}" name="Active" dataDxfId="49"/>
    <tableColumn id="8" xr3:uid="{64983D51-1BC3-4B69-B9F7-9A96DA707179}" name="Comment" dataDxfId="48"/>
    <tableColumn id="9" xr3:uid="{4AD63112-B561-46D9-8D63-AD0A94253F0D}" name="Current Value" dataDxfId="47"/>
    <tableColumn id="10" xr3:uid="{547AAACD-66DF-4273-9BFC-982B89159710}" name="Distance to Market" dataDxfId="46"/>
    <tableColumn id="11" xr3:uid="{D8C8B363-F44C-41F9-A163-5F45E62C189D}" name="Pct Distance" dataDxfId="45">
      <calculatedColumnFormula>Entry_Levels[[#This Row],[Distance to Market]]/Entry_Levels[[#This Row],[Value]]</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86E74F-723B-4772-B688-5A6FC84937F6}" name="lukb_exchanges_tbl" displayName="lukb_exchanges_tbl" ref="A1:C96" tableType="queryTable" totalsRowShown="0" headerRowDxfId="44" dataDxfId="43">
  <autoFilter ref="A1:C96" xr:uid="{2586E74F-723B-4772-B688-5A6FC84937F6}"/>
  <tableColumns count="3">
    <tableColumn id="1" xr3:uid="{6D7922B1-4B82-42E6-A1A8-6C98B809B555}" uniqueName="1" name="exch_code" queryTableFieldId="1" dataDxfId="42"/>
    <tableColumn id="2" xr3:uid="{7C14C82A-2626-45A3-8885-F6E9EE4334E7}" uniqueName="2" name="exch_des" queryTableFieldId="2" dataDxfId="41"/>
    <tableColumn id="3" xr3:uid="{65494DFE-7FB8-419B-BBFF-8305F6B2D902}" uniqueName="3" name="exch_id" queryTableFieldId="3" dataDxfId="40"/>
  </tableColumns>
  <tableStyleInfo name="TableStyleMedium19" showFirstColumn="0" showLastColumn="0" showRowStripes="1" showColumnStripes="0"/>
</table>
</file>

<file path=xl/theme/theme1.xml><?xml version="1.0" encoding="utf-8"?>
<a:theme xmlns:a="http://schemas.openxmlformats.org/drawingml/2006/main" name="MC">
  <a:themeElements>
    <a:clrScheme name="MC_Colorset">
      <a:dk1>
        <a:sysClr val="windowText" lastClr="000000"/>
      </a:dk1>
      <a:lt1>
        <a:sysClr val="window" lastClr="FFFFFF"/>
      </a:lt1>
      <a:dk2>
        <a:srgbClr val="555758"/>
      </a:dk2>
      <a:lt2>
        <a:srgbClr val="F0F0F0"/>
      </a:lt2>
      <a:accent1>
        <a:srgbClr val="0040A0"/>
      </a:accent1>
      <a:accent2>
        <a:srgbClr val="208020"/>
      </a:accent2>
      <a:accent3>
        <a:srgbClr val="FFE020"/>
      </a:accent3>
      <a:accent4>
        <a:srgbClr val="E02020"/>
      </a:accent4>
      <a:accent5>
        <a:srgbClr val="666666"/>
      </a:accent5>
      <a:accent6>
        <a:srgbClr val="800080"/>
      </a:accent6>
      <a:hlink>
        <a:srgbClr val="206080"/>
      </a:hlink>
      <a:folHlink>
        <a:srgbClr val="208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Contorno luminescente">
      <a:fillStyleLst>
        <a:solidFill>
          <a:schemeClr val="phClr"/>
        </a:solidFill>
        <a:solidFill>
          <a:schemeClr val="phClr">
            <a:tint val="55000"/>
          </a:schemeClr>
        </a:solidFill>
        <a:solidFill>
          <a:schemeClr val="phClr"/>
        </a:solidFill>
      </a:fillStyleLst>
      <a:lnStyleLst>
        <a:ln w="12700"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outerShdw blurRad="50800" dist="25400" algn="bl" rotWithShape="0">
              <a:srgbClr val="000000">
                <a:alpha val="60000"/>
              </a:srgbClr>
            </a:outerShdw>
          </a:effectLst>
        </a:effectStyle>
        <a:effectStyle>
          <a:effectLst/>
          <a:scene3d>
            <a:camera prst="orthographicFront">
              <a:rot lat="0" lon="0" rev="0"/>
            </a:camera>
            <a:lightRig rig="brightRoom" dir="tl">
              <a:rot lat="0" lon="0" rev="1800000"/>
            </a:lightRig>
          </a:scene3d>
          <a:sp3d contourW="10160" prstMaterial="dkEdge">
            <a:bevelT w="38100" h="50800" prst="angle"/>
            <a:contourClr>
              <a:schemeClr val="phClr">
                <a:shade val="40000"/>
                <a:satMod val="150000"/>
              </a:schemeClr>
            </a:contourClr>
          </a:sp3d>
        </a:effectStyle>
      </a:effectStyleLst>
      <a:bgFillStyleLst>
        <a:solidFill>
          <a:schemeClr val="phClr"/>
        </a:solidFill>
        <a:solidFill>
          <a:schemeClr val="phClr"/>
        </a:solidFill>
        <a:gradFill rotWithShape="1">
          <a:gsLst>
            <a:gs pos="0">
              <a:schemeClr val="phClr">
                <a:tint val="94000"/>
                <a:satMod val="80000"/>
                <a:lumMod val="106000"/>
              </a:schemeClr>
            </a:gs>
            <a:gs pos="100000">
              <a:schemeClr val="phClr">
                <a:shade val="80000"/>
              </a:schemeClr>
            </a:gs>
          </a:gsLst>
          <a:path path="circle">
            <a:fillToRect l="43000" r="43000" b="100000"/>
          </a:path>
        </a:gradFill>
      </a:bgFillStyleLst>
    </a:fmtScheme>
  </a:themeElements>
  <a:objectDefaults/>
  <a:extraClrSchemeLst/>
  <a:extLst>
    <a:ext uri="{05A4C25C-085E-4340-85A3-A5531E510DB2}">
      <thm15:themeFamily xmlns:thm15="http://schemas.microsoft.com/office/thememl/2012/main" name="MC" id="{A74672CC-4E77-4CEA-BBAB-1B0EDE517983}" vid="{86859AF9-AFB5-46B2-AF64-588B5DF8A6FB}"/>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350" row="7">
    <wetp:webextensionref xmlns:r="http://schemas.openxmlformats.org/officeDocument/2006/relationships" r:id="rId2"/>
  </wetp:taskpane>
</wetp:taskpanes>
</file>

<file path=xl/webextensions/webextension1.xml><?xml version="1.0" encoding="utf-8"?>
<we:webextension xmlns:we="http://schemas.microsoft.com/office/webextensions/webextension/2010/11" id="{C38DD5CC-6443-41C7-91E3-72740AE2A071}">
  <we:reference id="wa104379640" version="3.4.7.3" store="en-001" storeType="OMEX"/>
  <we:alternateReferences>
    <we:reference id="wa104379640" version="3.4.7.3"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KNOEMA.GET</we:customFunctionIds>
        <we:customFunctionIds>KNOEMA.GETDATES</we:customFunctionIds>
        <we:customFunctionIds>KNOEMA.GETA</we:customFunctionIds>
        <we:customFunctionIds>KNOEMA.VERSION</we:customFunctionIds>
      </we:customFunctionIdList>
    </a:ext>
  </we:extLst>
</we:webextension>
</file>

<file path=xl/webextensions/webextension2.xml><?xml version="1.0" encoding="utf-8"?>
<we:webextension xmlns:we="http://schemas.microsoft.com/office/webextensions/webextension/2010/11" id="{1790F2B1-1A8A-414B-A357-B0BE17EEF7D1}">
  <we:reference id="wa200003696" version="1.3.0.0" store="en-GB" storeType="OMEX"/>
  <we:alternateReferences>
    <we:reference id="WA200003696" version="1.3.0.0" store="WA200003696"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17" Type="http://schemas.openxmlformats.org/officeDocument/2006/relationships/hyperlink" Target="https://www.marketscreener.com/mods_a/charts/TV/inc_dyna_graph.php?c=%22&amp;%5b@%5bMS_Code%5d%5d&amp;%22&amp;style=TradingView.CANDLES&amp;interval=(null)&amp;mobile=(null)&amp;showAT=1" TargetMode="External"/><Relationship Id="rId21" Type="http://schemas.openxmlformats.org/officeDocument/2006/relationships/hyperlink" Target="https://markets.ft.com/data/etfs/tearsheet/summary?s=CSNDX:SWX:USD" TargetMode="External"/><Relationship Id="rId42" Type="http://schemas.openxmlformats.org/officeDocument/2006/relationships/hyperlink" Target="https://markets.ft.com/data/etfs/tearsheet/summary?s=UKCHF:SWX:CHF" TargetMode="External"/><Relationship Id="rId63" Type="http://schemas.openxmlformats.org/officeDocument/2006/relationships/hyperlink" Target="https://www.finanzen.ch/etf/ishares-vii-plc-ishares-core-msci-pac-ex-jpn-etf-ie00b52mjy50" TargetMode="External"/><Relationship Id="rId84" Type="http://schemas.openxmlformats.org/officeDocument/2006/relationships/hyperlink" Target="https://www.marketscreener.com/quote/stock/NORSK-HYDRO-ASA-1413211/" TargetMode="External"/><Relationship Id="rId138" Type="http://schemas.openxmlformats.org/officeDocument/2006/relationships/hyperlink" Target="https://www.marketscreener.com/quote/stock/INDITEX-16943135/company/" TargetMode="External"/><Relationship Id="rId159" Type="http://schemas.openxmlformats.org/officeDocument/2006/relationships/hyperlink" Target="https://www.ssga.com/ch/en_gb/intermediary/etfs/funds/spdr-sp-us-consumer-staples-select-sector-ucits-etf-acc-zpds-gy" TargetMode="External"/><Relationship Id="rId170" Type="http://schemas.openxmlformats.org/officeDocument/2006/relationships/hyperlink" Target="https://www.marketscreener.com/quote/etf/THE-CONSUMER-STAPLES-SELE-29424451/" TargetMode="External"/><Relationship Id="rId191" Type="http://schemas.openxmlformats.org/officeDocument/2006/relationships/hyperlink" Target="https://www.finanzen.ch/etf/spdr-msci-europe-financials-etf-ie00bkwq0g16" TargetMode="External"/><Relationship Id="rId205" Type="http://schemas.openxmlformats.org/officeDocument/2006/relationships/hyperlink" Target="https://www.marketscreener.com/quote/etf/SPDR-MSCI-EUROPE-TECHNOLO-19116474/" TargetMode="External"/><Relationship Id="rId226" Type="http://schemas.openxmlformats.org/officeDocument/2006/relationships/hyperlink" Target="https://www.marketscreener.com/quote/stock/AENA-S-M-E-S-A-20798509/" TargetMode="External"/><Relationship Id="rId247" Type="http://schemas.openxmlformats.org/officeDocument/2006/relationships/hyperlink" Target="https://www.marketscreener.com/quote/etf/THE-TECHNOLOGY-SELECT-SEC-29424448/" TargetMode="External"/><Relationship Id="rId107" Type="http://schemas.openxmlformats.org/officeDocument/2006/relationships/hyperlink" Target="https://markets.ft.com/data/etfs/tearsheet/summary?s=AUUSI/US:SWX:USD" TargetMode="External"/><Relationship Id="rId11" Type="http://schemas.openxmlformats.org/officeDocument/2006/relationships/hyperlink" Target="https://www.investing.com/equities/lindt---sp-ps" TargetMode="External"/><Relationship Id="rId32" Type="http://schemas.openxmlformats.org/officeDocument/2006/relationships/hyperlink" Target="https://www.finanzen.ch/rohstoffe/maple-leaf-unze" TargetMode="External"/><Relationship Id="rId53" Type="http://schemas.openxmlformats.org/officeDocument/2006/relationships/hyperlink" Target="https://www.finanzen.ch/devisen/eurokurs" TargetMode="External"/><Relationship Id="rId74" Type="http://schemas.openxmlformats.org/officeDocument/2006/relationships/hyperlink" Target="https://www.finanzen.ch/fonds/muzinich-enhancedyield-short-term-fund-a-units-ie00b92lsq52" TargetMode="External"/><Relationship Id="rId128" Type="http://schemas.openxmlformats.org/officeDocument/2006/relationships/hyperlink" Target="https://www.finanzen.ch/aktien/helvetia-aktie" TargetMode="External"/><Relationship Id="rId149" Type="http://schemas.openxmlformats.org/officeDocument/2006/relationships/hyperlink" Target="https://www.finanzen.ch/aktien/vz-aktie" TargetMode="External"/><Relationship Id="rId5" Type="http://schemas.openxmlformats.org/officeDocument/2006/relationships/hyperlink" Target="https://www.investing.com/etfs/db-x-trackers-msci-em-asia-trn?cid=996929" TargetMode="External"/><Relationship Id="rId95" Type="http://schemas.openxmlformats.org/officeDocument/2006/relationships/hyperlink" Target="https://www.ssga.com/us/en/intermediary/etfs/funds/the-technology-select-sector-spdr-fund-xlk" TargetMode="External"/><Relationship Id="rId160" Type="http://schemas.openxmlformats.org/officeDocument/2006/relationships/hyperlink" Target="https://www.ssga.com/ch/en_gb/intermediary/etfs/funds/spdr-sp-us-energy-select-sector-ucits-etf-acc-zpde-gy" TargetMode="External"/><Relationship Id="rId181" Type="http://schemas.openxmlformats.org/officeDocument/2006/relationships/hyperlink" Target="https://www.marketscreener.com/quote/etf/THE-COMMUNICATION-SERVICE-44335994/" TargetMode="External"/><Relationship Id="rId216" Type="http://schemas.openxmlformats.org/officeDocument/2006/relationships/hyperlink" Target="https://www.finanzen.ch/etf/ishares-sp-500-information-technology-sector-etf-ie00b3wjkg14" TargetMode="External"/><Relationship Id="rId237" Type="http://schemas.openxmlformats.org/officeDocument/2006/relationships/hyperlink" Target="https://www.marketscreener.com/quote/etf/ISHARES-NASDAQ-100-UCITS--5915785/" TargetMode="External"/><Relationship Id="rId22" Type="http://schemas.openxmlformats.org/officeDocument/2006/relationships/hyperlink" Target="https://www.fundinfo.com/it/CH-prof/Fund" TargetMode="External"/><Relationship Id="rId43" Type="http://schemas.openxmlformats.org/officeDocument/2006/relationships/hyperlink" Target="https://markets.ft.com/data/etfs/tearsheet/summary?s=CHEUR/EU:SWX:EUR" TargetMode="External"/><Relationship Id="rId64" Type="http://schemas.openxmlformats.org/officeDocument/2006/relationships/hyperlink" Target="https://www.finanzen.ch/etf/lg-longer-dated-all-commodities-etf-ie00b4wphx27" TargetMode="External"/><Relationship Id="rId118" Type="http://schemas.openxmlformats.org/officeDocument/2006/relationships/hyperlink" Target="https://www.marketscreener.com/mods_a/charts/TV/inc_dyna_graph.php?c=%22&amp;%5b@%5bMS_Code%5d%5d&amp;%22&amp;style=TradingView.CANDLES&amp;interval=(null)&amp;mobile=(null)&amp;showAT=1" TargetMode="External"/><Relationship Id="rId139" Type="http://schemas.openxmlformats.org/officeDocument/2006/relationships/hyperlink" Target="https://www.finanzen.ch/aktien/schneider_electric-aktie" TargetMode="External"/><Relationship Id="rId85" Type="http://schemas.openxmlformats.org/officeDocument/2006/relationships/hyperlink" Target="https://www.marketscreener.com/mods_a/charts/TV/inc_dyna_graph.php?c=%22&amp;%5b@%5bMS_Code%5d%5d&amp;%22&amp;style=TradingView.CANDLES&amp;interval=(null)&amp;mobile=(null)&amp;showAT=1" TargetMode="External"/><Relationship Id="rId150" Type="http://schemas.openxmlformats.org/officeDocument/2006/relationships/hyperlink" Target="https://www.marketscreener.com/quote/stock/ALIBABA-GROUP-HOLDING-LIM-17916677/company/" TargetMode="External"/><Relationship Id="rId171" Type="http://schemas.openxmlformats.org/officeDocument/2006/relationships/hyperlink" Target="https://www.marketscreener.com/quote/etf/THE-COMMUNICATION-SERVICE-44335994/" TargetMode="External"/><Relationship Id="rId192" Type="http://schemas.openxmlformats.org/officeDocument/2006/relationships/hyperlink" Target="https://www.finanzen.ch/etf/spdr-msci-europe-industrials-etf-ie00bkwq0j47" TargetMode="External"/><Relationship Id="rId206" Type="http://schemas.openxmlformats.org/officeDocument/2006/relationships/hyperlink" Target="https://www.finanzen.ch/etf/spdr-sp-us-consumer-discretionary-select-sector-etf-ie00bwbxm278" TargetMode="External"/><Relationship Id="rId227" Type="http://schemas.openxmlformats.org/officeDocument/2006/relationships/hyperlink" Target="https://www.franklintempleton.lu/our-funds/price-and-performance/products/12898/Z/templeton-asian-smaller-companies-fund/LU0390135332" TargetMode="External"/><Relationship Id="rId248" Type="http://schemas.openxmlformats.org/officeDocument/2006/relationships/hyperlink" Target="https://www.finanzen.ch/etf/spdr-sp-us-technology-select-sector-etf-ie00bwbxm948" TargetMode="External"/><Relationship Id="rId12" Type="http://schemas.openxmlformats.org/officeDocument/2006/relationships/hyperlink" Target="https://www.investing.com/equities/logitech" TargetMode="External"/><Relationship Id="rId33" Type="http://schemas.openxmlformats.org/officeDocument/2006/relationships/hyperlink" Target="https://etf.ft.com/funds/7167/" TargetMode="External"/><Relationship Id="rId108" Type="http://schemas.openxmlformats.org/officeDocument/2006/relationships/hyperlink" Target="https://www.marketscreener.com/mods_a/charts/TV/inc_dyna_graph.php?c=%22&amp;%5b@%5bMS_Code%5d%5d&amp;%22&amp;style=TradingView.CANDLES&amp;interval=(null)&amp;mobile=(null)&amp;showAT=1" TargetMode="External"/><Relationship Id="rId129" Type="http://schemas.openxmlformats.org/officeDocument/2006/relationships/hyperlink" Target="https://www.investing.com/equities/helvetia-hldg" TargetMode="External"/><Relationship Id="rId54" Type="http://schemas.openxmlformats.org/officeDocument/2006/relationships/hyperlink" Target="https://www.marketscreener.com/quote/etf/ISHARES-CHINA-CNY-BOND-UC-105996577/" TargetMode="External"/><Relationship Id="rId75" Type="http://schemas.openxmlformats.org/officeDocument/2006/relationships/hyperlink" Target="https://www.blackrock.com/americas-offshore/en/products/251723/?referrer=tickerSearch" TargetMode="External"/><Relationship Id="rId96" Type="http://schemas.openxmlformats.org/officeDocument/2006/relationships/hyperlink" Target="https://www.marketscreener.com/mods_a/charts/TV/inc_dyna_graph.php?c=%22&amp;%5b@%5bMS_Code%5d%5d&amp;%22&amp;style=TradingView.CANDLES&amp;interval=(null)&amp;mobile=(null)&amp;showAT=1" TargetMode="External"/><Relationship Id="rId140" Type="http://schemas.openxmlformats.org/officeDocument/2006/relationships/hyperlink" Target="https://www.marketscreener.com/quote/stock/SCHNEIDER-ELECTRIC-SE-4699/" TargetMode="External"/><Relationship Id="rId161" Type="http://schemas.openxmlformats.org/officeDocument/2006/relationships/hyperlink" Target="https://www.ssga.com/ch/en_gb/intermediary/etfs/funds/spdr-sp-us-financials-select-sector-ucits-etf-acc-zpdf-gy" TargetMode="External"/><Relationship Id="rId182" Type="http://schemas.openxmlformats.org/officeDocument/2006/relationships/hyperlink" Target="https://www.marketscreener.com/quote/etf/THE-ENERGY-SELECT-SECTOR--29424453/" TargetMode="External"/><Relationship Id="rId217" Type="http://schemas.openxmlformats.org/officeDocument/2006/relationships/hyperlink" Target="https://www.marketscreener.com/quote/stock/BHP-GROUP-LIMITED-6492795/" TargetMode="External"/><Relationship Id="rId6" Type="http://schemas.openxmlformats.org/officeDocument/2006/relationships/hyperlink" Target="https://markets.ft.com/data/etfs/tearsheet/summary?s=PNQI:NMQ:USD" TargetMode="External"/><Relationship Id="rId238" Type="http://schemas.openxmlformats.org/officeDocument/2006/relationships/hyperlink" Target="https://www.marketscreener.com/quote/etf/ISHARES-CORE-S-P-500-UCIT-9276710/" TargetMode="External"/><Relationship Id="rId23" Type="http://schemas.openxmlformats.org/officeDocument/2006/relationships/hyperlink" Target="https://www.finanzen.ch/obligationen/griechenland-republik-obligation-grr000000010" TargetMode="External"/><Relationship Id="rId119" Type="http://schemas.openxmlformats.org/officeDocument/2006/relationships/hyperlink" Target="https://www.marketscreener.com/mods_a/charts/TV/inc_dyna_graph.php?c=%22&amp;%5b@%5bMS_Code%5d%5d&amp;%22&amp;style=TradingView.CANDLES&amp;interval=(null)&amp;mobile=(null)&amp;showAT=1" TargetMode="External"/><Relationship Id="rId44" Type="http://schemas.openxmlformats.org/officeDocument/2006/relationships/hyperlink" Target="https://etf.ft.com/funds/2774/" TargetMode="External"/><Relationship Id="rId65" Type="http://schemas.openxmlformats.org/officeDocument/2006/relationships/hyperlink" Target="https://www.marketscreener.com/quote/index/ETFS-COMF-INAV-27367197/" TargetMode="External"/><Relationship Id="rId86" Type="http://schemas.openxmlformats.org/officeDocument/2006/relationships/hyperlink" Target="https://www.finanzen.ch/index/s&amp;p_500" TargetMode="External"/><Relationship Id="rId130" Type="http://schemas.openxmlformats.org/officeDocument/2006/relationships/hyperlink" Target="https://www.finanzen.ch/aktien/air_liquide-aktie" TargetMode="External"/><Relationship Id="rId151" Type="http://schemas.openxmlformats.org/officeDocument/2006/relationships/hyperlink" Target="https://www.finanzen.ch/aktien/alibaba-aktie" TargetMode="External"/><Relationship Id="rId172" Type="http://schemas.openxmlformats.org/officeDocument/2006/relationships/hyperlink" Target="https://www.marketscreener.com/quote/etf/THE-ENERGY-SELECT-SECTOR--29424453/" TargetMode="External"/><Relationship Id="rId193" Type="http://schemas.openxmlformats.org/officeDocument/2006/relationships/hyperlink" Target="https://www.finanzen.ch/etf/spdr-msci-europe-health-care-etf-ie00bkwq0h23" TargetMode="External"/><Relationship Id="rId207" Type="http://schemas.openxmlformats.org/officeDocument/2006/relationships/hyperlink" Target="https://www.finanzen.ch/etf/spdr-sp-us-consumer-staples-select-sector-etf-ie00bwbxm385" TargetMode="External"/><Relationship Id="rId228" Type="http://schemas.openxmlformats.org/officeDocument/2006/relationships/hyperlink" Target="https://www.marketscreener.com/quote/stock/ADECCO-GROUP-AG-9365001/" TargetMode="External"/><Relationship Id="rId249" Type="http://schemas.openxmlformats.org/officeDocument/2006/relationships/hyperlink" Target="https://boersenundmaerkte.lukb.ch/lukb/details/%22&amp;%5b@%5bLUKB_id%5d%5d" TargetMode="External"/><Relationship Id="rId13" Type="http://schemas.openxmlformats.org/officeDocument/2006/relationships/hyperlink" Target="https://www.franklintempleton.lu/our-funds/price-and-performance/products/12904/Z/Templeton-Frontier-Markets-Fund/LU0390136736" TargetMode="External"/><Relationship Id="rId109" Type="http://schemas.openxmlformats.org/officeDocument/2006/relationships/hyperlink" Target="https://markets.ft.com/data/etfs/tearsheet/summary?s=CSGOLD:SWX:USD" TargetMode="External"/><Relationship Id="rId34" Type="http://schemas.openxmlformats.org/officeDocument/2006/relationships/hyperlink" Target="https://www.finanzen.ch/etf/han-gins-indxx-healthcare-megatrend-equal-weight-etf-ie00bjqtj848" TargetMode="External"/><Relationship Id="rId55" Type="http://schemas.openxmlformats.org/officeDocument/2006/relationships/hyperlink" Target="https://www.ishares.com/ch/professionals/en/products/313868/ishares-china-cny-bond-ucits-etf" TargetMode="External"/><Relationship Id="rId76" Type="http://schemas.openxmlformats.org/officeDocument/2006/relationships/hyperlink" Target="https://www.blackrock.com/americas-offshore/en/products/251723/?referrer=tickerSearch" TargetMode="External"/><Relationship Id="rId97" Type="http://schemas.openxmlformats.org/officeDocument/2006/relationships/hyperlink" Target="https://www.marketscreener.com/mods_a/charts/TV/inc_dyna_graph.php?c=%22&amp;%5b@%5bMS_Code%5d%5d&amp;%22&amp;style=TradingView.CANDLES&amp;interval=(null)&amp;mobile=(null)&amp;showAT=1" TargetMode="External"/><Relationship Id="rId120" Type="http://schemas.openxmlformats.org/officeDocument/2006/relationships/hyperlink" Target="https://www.marketscreener.com/mods_a/charts/TV/inc_dyna_graph.php?c=%22&amp;%5b@%5bMS_Code%5d%5d&amp;%22&amp;style=TradingView.CANDLES&amp;interval=(null)&amp;mobile=(null)&amp;showAT=1" TargetMode="External"/><Relationship Id="rId141" Type="http://schemas.openxmlformats.org/officeDocument/2006/relationships/hyperlink" Target="https://www.marketscreener.com/quote/stock/SCHNEIDER-ELECTRIC-SE-4699/company/" TargetMode="External"/><Relationship Id="rId7" Type="http://schemas.openxmlformats.org/officeDocument/2006/relationships/hyperlink" Target="https://www.justetf.com/it/etf-profile.html?isin=IE00B6QGFW01" TargetMode="External"/><Relationship Id="rId162" Type="http://schemas.openxmlformats.org/officeDocument/2006/relationships/hyperlink" Target="https://www.ssga.com/ch/en_gb/intermediary/etfs/funds/spdr-sp-us-health-care-select-sector-ucits-etf-acc-zpdh-gy" TargetMode="External"/><Relationship Id="rId183" Type="http://schemas.openxmlformats.org/officeDocument/2006/relationships/hyperlink" Target="https://www.marketscreener.com/quote/etf/THE-HEALTH-CARE-SELECT-SE-29424449/" TargetMode="External"/><Relationship Id="rId218" Type="http://schemas.openxmlformats.org/officeDocument/2006/relationships/hyperlink" Target="https://www.marketscreener.com/quote/stock/EFG-INTERNATIONAL-AG-163919/" TargetMode="External"/><Relationship Id="rId239" Type="http://schemas.openxmlformats.org/officeDocument/2006/relationships/hyperlink" Target="https://www.blackrock.com/americas-offshore/en/products/253743/" TargetMode="External"/><Relationship Id="rId250" Type="http://schemas.openxmlformats.org/officeDocument/2006/relationships/hyperlink" Target="https://markets.ft.com/data/etfs/tearsheet/summary?s=SPICHA:SWX:CHF" TargetMode="External"/><Relationship Id="rId24" Type="http://schemas.openxmlformats.org/officeDocument/2006/relationships/hyperlink" Target="https://markets.ft.com/data/funds/tearsheet/summary?s=LU0071006638:CHF" TargetMode="External"/><Relationship Id="rId45" Type="http://schemas.openxmlformats.org/officeDocument/2006/relationships/hyperlink" Target="https://www.marketscreener.com/quote/stock/THE-KRAFT-HEINZ-COMPANY-22816979/" TargetMode="External"/><Relationship Id="rId66" Type="http://schemas.openxmlformats.org/officeDocument/2006/relationships/hyperlink" Target="https://fundcentres.lgim.com/uk/en/fund-centre/ETF/Longer-Dated-All-Commodities/" TargetMode="External"/><Relationship Id="rId87" Type="http://schemas.openxmlformats.org/officeDocument/2006/relationships/hyperlink" Target="https://www.marketscreener.com/quote/etf/SPDR-S-P-500-ETF-USD-29424441/" TargetMode="External"/><Relationship Id="rId110" Type="http://schemas.openxmlformats.org/officeDocument/2006/relationships/hyperlink" Target="https://www.teletrader.com/redwheel-next-gen-em-equity-fd-ja/funds/profile/FU_100095675" TargetMode="External"/><Relationship Id="rId131" Type="http://schemas.openxmlformats.org/officeDocument/2006/relationships/hyperlink" Target="https://www.marketscreener.com/quote/stock/AIR-LIQUIDE-4605/" TargetMode="External"/><Relationship Id="rId152" Type="http://schemas.openxmlformats.org/officeDocument/2006/relationships/hyperlink" Target="https://www.ssga.com/ch/en_gb/intermediary/etfs/funds/spdr-msci-europe-communication-services-ucits-etf-stt-fp" TargetMode="External"/><Relationship Id="rId173" Type="http://schemas.openxmlformats.org/officeDocument/2006/relationships/hyperlink" Target="https://www.marketscreener.com/quote/etf/THE-HEALTH-CARE-SELECT-SE-29424449/" TargetMode="External"/><Relationship Id="rId194" Type="http://schemas.openxmlformats.org/officeDocument/2006/relationships/hyperlink" Target="https://www.marketscreener.com/quote/etf/SPDR-MSCI-EUROPE-HEALTH-C-19116472/" TargetMode="External"/><Relationship Id="rId208" Type="http://schemas.openxmlformats.org/officeDocument/2006/relationships/hyperlink" Target="https://www.finanzen.ch/etf/spdr-sp-us-energy-select-sector-etf-ie00bwbxm492" TargetMode="External"/><Relationship Id="rId229" Type="http://schemas.openxmlformats.org/officeDocument/2006/relationships/hyperlink" Target="https://www.marketscreener.com/mods_a/charts/TV/inc_dyna_graph.php?c=%22&amp;%5b@%5bMS_Code%5d%5d&amp;%22&amp;style=TradingView.CANDLES&amp;interval=(null)&amp;mobile=(null)&amp;showAT=1" TargetMode="External"/><Relationship Id="rId240" Type="http://schemas.openxmlformats.org/officeDocument/2006/relationships/hyperlink" Target="https://www.finanzen.ch/etf/ishares-core-sp-500-etf-ie00b5bmr087" TargetMode="External"/><Relationship Id="rId14" Type="http://schemas.openxmlformats.org/officeDocument/2006/relationships/hyperlink" Target="https://markets.ft.com/data/funds/tearsheet/summary?s=LU1953056766:CHF" TargetMode="External"/><Relationship Id="rId35" Type="http://schemas.openxmlformats.org/officeDocument/2006/relationships/hyperlink" Target="https://www.marketscreener.com/quote/stock/ERICSSON-AB-6494918/" TargetMode="External"/><Relationship Id="rId56" Type="http://schemas.openxmlformats.org/officeDocument/2006/relationships/hyperlink" Target="https://www.marketscreener.com/quote/etf/SPDR-FTSE-EPRA-EUROPE-EX-23332188/" TargetMode="External"/><Relationship Id="rId77" Type="http://schemas.openxmlformats.org/officeDocument/2006/relationships/hyperlink" Target="https://www.finanzen.ch/etf/ishares-emerging-asia-local-govt-bond-etf-ie00b6qgfw01/LSE" TargetMode="External"/><Relationship Id="rId100" Type="http://schemas.openxmlformats.org/officeDocument/2006/relationships/hyperlink" Target="https://www.marketscreener.com/mods_a/charts/TV/inc_dyna_graph.php?c=%22&amp;%5b@%5bMS_Code%5d%5d&amp;%22&amp;style=TradingView.CANDLES&amp;interval=(null)&amp;mobile=(null)&amp;showAT=1" TargetMode="External"/><Relationship Id="rId8" Type="http://schemas.openxmlformats.org/officeDocument/2006/relationships/hyperlink" Target="https://markets.ft.com/data/etfs/tearsheet/summary?s=IGEA:SWX:CHF" TargetMode="External"/><Relationship Id="rId98" Type="http://schemas.openxmlformats.org/officeDocument/2006/relationships/hyperlink" Target="https://www.marketscreener.com/mods_a/charts/TV/inc_dyna_graph.php?c=%22&amp;%5b@%5bMS_Code%5d%5d&amp;%22&amp;style=TradingView.CANDLES&amp;interval=(null)&amp;mobile=(null)&amp;showAT=1" TargetMode="External"/><Relationship Id="rId121" Type="http://schemas.openxmlformats.org/officeDocument/2006/relationships/hyperlink" Target="https://www.marketscreener.com/mods_a/charts/TV/inc_dyna_graph.php?c=%22&amp;%5b@%5bMS_Code%5d%5d&amp;%22&amp;style=TradingView.CANDLES&amp;interval=(null)&amp;mobile=(null)&amp;showAT=1" TargetMode="External"/><Relationship Id="rId142" Type="http://schemas.openxmlformats.org/officeDocument/2006/relationships/hyperlink" Target="https://www.ssga.com/ch/en_gb/intermediary/etfs/funds/spdr-msci-europe-financials-ucits-etf-stz-fp" TargetMode="External"/><Relationship Id="rId163" Type="http://schemas.openxmlformats.org/officeDocument/2006/relationships/hyperlink" Target="https://www.ssga.com/ch/en_gb/intermediary/etfs/funds/spdr-sp-us-industrials-select-sector-ucits-etf-acc-zpdi-gy" TargetMode="External"/><Relationship Id="rId184" Type="http://schemas.openxmlformats.org/officeDocument/2006/relationships/hyperlink" Target="https://www.marketscreener.com/quote/etf/THE-MATERIALS-SELECT-SECT-29424450/" TargetMode="External"/><Relationship Id="rId219" Type="http://schemas.openxmlformats.org/officeDocument/2006/relationships/hyperlink" Target="https://www.marketscreener.com/quote/stock/EOG-RESOURCES-INC-12468/" TargetMode="External"/><Relationship Id="rId230" Type="http://schemas.openxmlformats.org/officeDocument/2006/relationships/hyperlink" Target="https://www.marketscreener.com/mods_a/charts/TV/inc_dyna_graph.php?c=%22&amp;%5b@%5bMS_Code%5d%5d&amp;%22&amp;style=TradingView.CANDLES&amp;interval=(null)&amp;mobile=(null)&amp;showAT=1" TargetMode="External"/><Relationship Id="rId251" Type="http://schemas.openxmlformats.org/officeDocument/2006/relationships/printerSettings" Target="../printerSettings/printerSettings8.bin"/><Relationship Id="rId25" Type="http://schemas.openxmlformats.org/officeDocument/2006/relationships/hyperlink" Target="https://www.marketscreener.com/quote/stock/RIO-TINTO-GROUP-6492854/company/" TargetMode="External"/><Relationship Id="rId46" Type="http://schemas.openxmlformats.org/officeDocument/2006/relationships/hyperlink" Target="https://www.investing.com/equities/zurich-fin" TargetMode="External"/><Relationship Id="rId67" Type="http://schemas.openxmlformats.org/officeDocument/2006/relationships/hyperlink" Target="https://www.finanzen.ch/etf/lg-multi-strategy-enhanced-commodities-etf-ie00bfxr6159" TargetMode="External"/><Relationship Id="rId88" Type="http://schemas.openxmlformats.org/officeDocument/2006/relationships/hyperlink" Target="https://markets.ft.com/data/etfs/tearsheet/summary?s=SPY:PCQ:USD" TargetMode="External"/><Relationship Id="rId111" Type="http://schemas.openxmlformats.org/officeDocument/2006/relationships/hyperlink" Target="https://www.teletrader.com/redwheel-next-gen-em-equity-fd-ja/funds/profile/FU_100095675" TargetMode="External"/><Relationship Id="rId132" Type="http://schemas.openxmlformats.org/officeDocument/2006/relationships/hyperlink" Target="https://www.marketscreener.com/quote/stock/AIR-LIQUIDE-4605/company/" TargetMode="External"/><Relationship Id="rId153" Type="http://schemas.openxmlformats.org/officeDocument/2006/relationships/hyperlink" Target="https://www.ssga.com/ch/en_gb/intermediary/etfs/funds/spdr-msci-europe-consumer-discretionary-ucits-etf-str-fp" TargetMode="External"/><Relationship Id="rId174" Type="http://schemas.openxmlformats.org/officeDocument/2006/relationships/hyperlink" Target="https://www.marketscreener.com/quote/etf/THE-UTILITIES-SELECT-SECT-29424455/" TargetMode="External"/><Relationship Id="rId195" Type="http://schemas.openxmlformats.org/officeDocument/2006/relationships/hyperlink" Target="https://www.finanzen.ch/etf/spdr-msci-europe-materials-etf-ie00bkwq0l68" TargetMode="External"/><Relationship Id="rId209" Type="http://schemas.openxmlformats.org/officeDocument/2006/relationships/hyperlink" Target="https://www.finanzen.ch/etf/spdr-sp-us-financials-select-sector-etf-ie00bwbxm500" TargetMode="External"/><Relationship Id="rId220" Type="http://schemas.openxmlformats.org/officeDocument/2006/relationships/hyperlink" Target="https://www.marketscreener.com/quote/stock/EQUINIX-INC-20565916/" TargetMode="External"/><Relationship Id="rId241" Type="http://schemas.openxmlformats.org/officeDocument/2006/relationships/hyperlink" Target="https://www.finanzen.ch/etf/amundi-msci-japan-dr-etf-lu1781541252/brn" TargetMode="External"/><Relationship Id="rId15" Type="http://schemas.openxmlformats.org/officeDocument/2006/relationships/hyperlink" Target="https://markets.ft.com/data/etfs/tearsheet/summary?s=LEMD:LSE:USD" TargetMode="External"/><Relationship Id="rId36" Type="http://schemas.openxmlformats.org/officeDocument/2006/relationships/hyperlink" Target="https://www.ssga.com/ch/en_gb/intermediary/etfs/funds/spdr-msci-europe-health-care-ucits-etf-stw-fp" TargetMode="External"/><Relationship Id="rId57" Type="http://schemas.openxmlformats.org/officeDocument/2006/relationships/hyperlink" Target="https://www.finanzen.ch/fonds/blackrock-global-funds-emerging-markets-local-currency-bond-fund-lu0623004180" TargetMode="External"/><Relationship Id="rId78" Type="http://schemas.openxmlformats.org/officeDocument/2006/relationships/hyperlink" Target="https://www.finanzen.ch/Fonds/IE00B4MCHD36" TargetMode="External"/><Relationship Id="rId99" Type="http://schemas.openxmlformats.org/officeDocument/2006/relationships/hyperlink" Target="https://www.marketscreener.com/mods_a/charts/TV/inc_dyna_graph.php?c=%22&amp;%5b@%5bMS_Code%5d%5d&amp;%22&amp;style=TradingView.CANDLES&amp;interval=(null)&amp;mobile=(null)&amp;showAT=1" TargetMode="External"/><Relationship Id="rId101" Type="http://schemas.openxmlformats.org/officeDocument/2006/relationships/hyperlink" Target="https://www.marketscreener.com/mods_a/charts/TV/inc_dyna_graph.php?c=%22&amp;%5b@%5bMS_Code%5d%5d&amp;%22&amp;style=TradingView.CANDLES&amp;interval=(null)&amp;mobile=(null)&amp;showAT=1" TargetMode="External"/><Relationship Id="rId122" Type="http://schemas.openxmlformats.org/officeDocument/2006/relationships/hyperlink" Target="https://www.marketscreener.com/mods_a/charts/TV/inc_dyna_graph.php?c=%22&amp;%5b@%5bMS_Code%5d%5d&amp;%22&amp;style=TradingView.CANDLES&amp;interval=(null)&amp;mobile=(null)&amp;showAT=1" TargetMode="External"/><Relationship Id="rId143" Type="http://schemas.openxmlformats.org/officeDocument/2006/relationships/hyperlink" Target="https://www.marketscreener.com/mods_a/charts/TV/inc_dyna_graph.php?c=%22&amp;%5b@%5bMS_Code%5d%5d&amp;%22&amp;style=TradingView.CANDLES&amp;interval=(null)&amp;mobile=(null)&amp;showAT=1" TargetMode="External"/><Relationship Id="rId164" Type="http://schemas.openxmlformats.org/officeDocument/2006/relationships/hyperlink" Target="https://www.ssga.com/ch/en_gb/intermediary/etfs/funds/spdr-sp-us-materials-select-sector-ucits-etf-acc-zpdm-gy" TargetMode="External"/><Relationship Id="rId185" Type="http://schemas.openxmlformats.org/officeDocument/2006/relationships/hyperlink" Target="https://www.marketscreener.com/quote/etf/THE-TECHNOLOGY-SELECT-SEC-29424448/" TargetMode="External"/><Relationship Id="rId9" Type="http://schemas.openxmlformats.org/officeDocument/2006/relationships/hyperlink" Target="https://markets.ft.com/data/etfs/tearsheet/summary?s=UC64:LSE:GBX" TargetMode="External"/><Relationship Id="rId210" Type="http://schemas.openxmlformats.org/officeDocument/2006/relationships/hyperlink" Target="https://www.finanzen.ch/etf/spdr-sp-us-health-care-select-sector-etf-ie00bwbxm617" TargetMode="External"/><Relationship Id="rId26" Type="http://schemas.openxmlformats.org/officeDocument/2006/relationships/hyperlink" Target="https://www.investing.com/equities/abb-ltd" TargetMode="External"/><Relationship Id="rId231" Type="http://schemas.openxmlformats.org/officeDocument/2006/relationships/hyperlink" Target="https://boersenundmaerkte.lukb.ch/lukb/details/%22&amp;%5b@%5bLUKB_id%5d%5d" TargetMode="External"/><Relationship Id="rId252" Type="http://schemas.openxmlformats.org/officeDocument/2006/relationships/drawing" Target="../drawings/drawing1.xml"/><Relationship Id="rId47" Type="http://schemas.openxmlformats.org/officeDocument/2006/relationships/hyperlink" Target="https://markets.ft.com/data/etfs/tearsheet/summary?s=SMMCHA:SWX:CHF" TargetMode="External"/><Relationship Id="rId68" Type="http://schemas.openxmlformats.org/officeDocument/2006/relationships/hyperlink" Target="https://www.marketscreener.com/quote/etf/L-G-MULTI-STRATEGY-ENHANC-124628839/" TargetMode="External"/><Relationship Id="rId89" Type="http://schemas.openxmlformats.org/officeDocument/2006/relationships/hyperlink" Target="https://www.marketscreener.com/mods_a/charts/TV/inc_dyna_graph.php?c=%22&amp;%5b@%5bMS_Code%5d%5d&amp;%22&amp;style=TradingView.CANDLES&amp;interval=(null)&amp;mobile=(null)&amp;showAT=1" TargetMode="External"/><Relationship Id="rId112" Type="http://schemas.openxmlformats.org/officeDocument/2006/relationships/hyperlink" Target="https://www.marketscreener.com/mods_a/charts/TV/inc_dyna_graph.php?c=%22&amp;%5b@%5bMS_Code%5d%5d&amp;%22&amp;style=TradingView.CANDLES&amp;interval=(null)&amp;mobile=(null)&amp;showAT=1" TargetMode="External"/><Relationship Id="rId133" Type="http://schemas.openxmlformats.org/officeDocument/2006/relationships/hyperlink" Target="https://www.finanzen.ch/aktien/be_semiconductor_industries_2-aktie" TargetMode="External"/><Relationship Id="rId154" Type="http://schemas.openxmlformats.org/officeDocument/2006/relationships/hyperlink" Target="https://www.ssga.com/ch/en_gb/intermediary/etfs/funds/spdr-msci-europe-consumer-staples-ucits-etf-sts-fp" TargetMode="External"/><Relationship Id="rId175" Type="http://schemas.openxmlformats.org/officeDocument/2006/relationships/hyperlink" Target="https://www.marketscreener.com/quote/etf/THE-TECHNOLOGY-SELECT-SEC-29424448/" TargetMode="External"/><Relationship Id="rId196" Type="http://schemas.openxmlformats.org/officeDocument/2006/relationships/hyperlink" Target="https://www.finanzen.ch/etf/spdr-msci-europe-technology-etf-ie00bkwq0k51" TargetMode="External"/><Relationship Id="rId200" Type="http://schemas.openxmlformats.org/officeDocument/2006/relationships/hyperlink" Target="https://www.marketscreener.com/quote/etf/SPDR-MSCI-EUROPE-CONSUMER-19116469/" TargetMode="External"/><Relationship Id="rId16" Type="http://schemas.openxmlformats.org/officeDocument/2006/relationships/hyperlink" Target="https://markets.ft.com/data/funds/tearsheet/summary?s=LU0692855462:EUR" TargetMode="External"/><Relationship Id="rId221" Type="http://schemas.openxmlformats.org/officeDocument/2006/relationships/hyperlink" Target="https://www.marketscreener.com/quote/stock/GENERAL-ELECTRIC-COMPANY-4823/" TargetMode="External"/><Relationship Id="rId242" Type="http://schemas.openxmlformats.org/officeDocument/2006/relationships/hyperlink" Target="https://www.marketscreener.com/quote/stock/SWISSQUOTE-GROUP-HOLDING--71211/ratings/" TargetMode="External"/><Relationship Id="rId37" Type="http://schemas.openxmlformats.org/officeDocument/2006/relationships/hyperlink" Target="https://www.investing.com/equities/emmi-ag" TargetMode="External"/><Relationship Id="rId58" Type="http://schemas.openxmlformats.org/officeDocument/2006/relationships/hyperlink" Target="https://markets.ft.com/data/funds/tearsheet/summary?s=LU2373031488:EUR" TargetMode="External"/><Relationship Id="rId79" Type="http://schemas.openxmlformats.org/officeDocument/2006/relationships/hyperlink" Target="https://www.blackrock.com/americas-offshore/en/products/251723/?referrer=tickerSearch" TargetMode="External"/><Relationship Id="rId102" Type="http://schemas.openxmlformats.org/officeDocument/2006/relationships/hyperlink" Target="https://www.marketscreener.com/mods_a/charts/TV/inc_dyna_graph.php?c=%22&amp;%5b@%5bMS_Code%5d%5d&amp;%22&amp;style=TradingView.CANDLES&amp;interval=(null)&amp;mobile=(null)&amp;showAT=1" TargetMode="External"/><Relationship Id="rId123" Type="http://schemas.openxmlformats.org/officeDocument/2006/relationships/hyperlink" Target="https://www.marketscreener.com/mods_a/charts/TV/inc_dyna_graph.php?c=%22&amp;%5b@%5bMS_Code%5d%5d&amp;%22&amp;style=TradingView.CANDLES&amp;interval=(null)&amp;mobile=(null)&amp;showAT=1" TargetMode="External"/><Relationship Id="rId144" Type="http://schemas.openxmlformats.org/officeDocument/2006/relationships/hyperlink" Target="https://www.finanzen.ch/aktien/abbvie-aktie" TargetMode="External"/><Relationship Id="rId90" Type="http://schemas.openxmlformats.org/officeDocument/2006/relationships/hyperlink" Target="https://www.marketscreener.com/quote/etf/THE-MATERIALS-SELECT-SECT-29424450/" TargetMode="External"/><Relationship Id="rId165" Type="http://schemas.openxmlformats.org/officeDocument/2006/relationships/hyperlink" Target="https://www.ssga.com/ch/en_gb/intermediary/etfs/funds/spdr-sp-us-technology-select-sector-ucits-etf-acc-zpdt-gy" TargetMode="External"/><Relationship Id="rId186" Type="http://schemas.openxmlformats.org/officeDocument/2006/relationships/hyperlink" Target="https://www.marketscreener.com/quote/etf/SPDR-MSCI-EUROPE-UTILITIE-19116478/" TargetMode="External"/><Relationship Id="rId211" Type="http://schemas.openxmlformats.org/officeDocument/2006/relationships/hyperlink" Target="https://www.finanzen.ch/etf/spdr-sp-us-industrials-select-sector-etf-ie00bwbxm724" TargetMode="External"/><Relationship Id="rId232" Type="http://schemas.openxmlformats.org/officeDocument/2006/relationships/hyperlink" Target="https://boersenundmaerkte.lukb.ch/lukb/details/%22&amp;%5b@%5bLUKB_id%5d%5d" TargetMode="External"/><Relationship Id="rId253" Type="http://schemas.openxmlformats.org/officeDocument/2006/relationships/vmlDrawing" Target="../drawings/vmlDrawing7.vml"/><Relationship Id="rId27" Type="http://schemas.openxmlformats.org/officeDocument/2006/relationships/hyperlink" Target="https://www.investing.com/equities/swiss-re" TargetMode="External"/><Relationship Id="rId48" Type="http://schemas.openxmlformats.org/officeDocument/2006/relationships/hyperlink" Target="https://www.ssga.com/ch/en_gb/intermediary/etfs/funds/spdr-msci-europe-technology-ucits-etf-stk-fp" TargetMode="External"/><Relationship Id="rId69" Type="http://schemas.openxmlformats.org/officeDocument/2006/relationships/hyperlink" Target="https://fundcentres.lgim.com/uk/en/fund-centre/ETF/Multi-Strategy-Enhanced-Commodities/" TargetMode="External"/><Relationship Id="rId113" Type="http://schemas.openxmlformats.org/officeDocument/2006/relationships/hyperlink" Target="https://www.onvista.de/fonds/CREDIT-SUISSE-INDEX-FUND-LUX-EQUITIES-PACIFIC-EX-JAPAN-DB-EUR-Fonds-LU0985871440" TargetMode="External"/><Relationship Id="rId134" Type="http://schemas.openxmlformats.org/officeDocument/2006/relationships/hyperlink" Target="https://www.marketscreener.com/quote/stock/BE-SEMICONDUCTOR-INDUSTRI-6318/" TargetMode="External"/><Relationship Id="rId80" Type="http://schemas.openxmlformats.org/officeDocument/2006/relationships/hyperlink" Target="https://www.marketscreener.com/mods_a/charts/TV/inc_dyna_graph.php?c=%22&amp;%5b@%5bMS_Code%5d%5d&amp;%22&amp;style=TradingView.CANDLES&amp;interval=(null)&amp;mobile=(null)&amp;showAT=1" TargetMode="External"/><Relationship Id="rId155" Type="http://schemas.openxmlformats.org/officeDocument/2006/relationships/hyperlink" Target="https://www.ssga.com/ch/en_gb/intermediary/etfs/funds/spdr-msci-europe-energy-ucits-etf-stn-fp" TargetMode="External"/><Relationship Id="rId176" Type="http://schemas.openxmlformats.org/officeDocument/2006/relationships/hyperlink" Target="https://www.marketscreener.com/quote/etf/THE-UTILITIES-SELECT-SECT-29424455/" TargetMode="External"/><Relationship Id="rId197" Type="http://schemas.openxmlformats.org/officeDocument/2006/relationships/hyperlink" Target="https://www.finanzen.ch/etf/spdr-msci-europe-utilities-etf-ie00bkwq0p07" TargetMode="External"/><Relationship Id="rId201" Type="http://schemas.openxmlformats.org/officeDocument/2006/relationships/hyperlink" Target="https://www.marketscreener.com/quote/etf/SPDR-MSCI-EUROPE-ENERGY-U-19116470/" TargetMode="External"/><Relationship Id="rId222" Type="http://schemas.openxmlformats.org/officeDocument/2006/relationships/hyperlink" Target="https://www.marketscreener.com/quote/stock/HELVETIA-HOLDING-AG-58256052/" TargetMode="External"/><Relationship Id="rId243" Type="http://schemas.openxmlformats.org/officeDocument/2006/relationships/hyperlink" Target="https://www.marketscreener.com/quote/stock/SWISSQUOTE-GROUP-HOLDING--71211/ratings/" TargetMode="External"/><Relationship Id="rId17" Type="http://schemas.openxmlformats.org/officeDocument/2006/relationships/hyperlink" Target="https://markets.ft.com/data/etfs/tearsheet/summary?s=XUTE:GER:EUR" TargetMode="External"/><Relationship Id="rId38" Type="http://schemas.openxmlformats.org/officeDocument/2006/relationships/hyperlink" Target="https://markets.ft.com/data/etfs/tearsheet/summary?s=GHYC:SWX:CHF" TargetMode="External"/><Relationship Id="rId59" Type="http://schemas.openxmlformats.org/officeDocument/2006/relationships/hyperlink" Target="https://www.blackrock.com/americas-offshore/en/products/304304/" TargetMode="External"/><Relationship Id="rId103" Type="http://schemas.openxmlformats.org/officeDocument/2006/relationships/hyperlink" Target="https://www.marketscreener.com/mods_a/charts/TV/inc_dyna_graph.php?c=%22&amp;%5b@%5bMS_Code%5d%5d&amp;%22&amp;style=TradingView.CANDLES&amp;interval=(null)&amp;mobile=(null)&amp;showAT=1" TargetMode="External"/><Relationship Id="rId124" Type="http://schemas.openxmlformats.org/officeDocument/2006/relationships/hyperlink" Target="https://www.cash.ch/fonds/materials-select-sector-spdr-fund-985677/usc/usd" TargetMode="External"/><Relationship Id="rId70" Type="http://schemas.openxmlformats.org/officeDocument/2006/relationships/hyperlink" Target="https://www.blackrock.com/americas-offshore/en/products/287254/ishares-diversified-commodity-swap-ucits-etf" TargetMode="External"/><Relationship Id="rId91" Type="http://schemas.openxmlformats.org/officeDocument/2006/relationships/hyperlink" Target="https://www.ssga.com/us/en/intermediary/etfs/funds/the-materials-select-sector-spdr-fund-xlb" TargetMode="External"/><Relationship Id="rId145" Type="http://schemas.openxmlformats.org/officeDocument/2006/relationships/hyperlink" Target="https://www.marketscreener.com/quote/stock/ABBVIE-INC-12136589/" TargetMode="External"/><Relationship Id="rId166" Type="http://schemas.openxmlformats.org/officeDocument/2006/relationships/hyperlink" Target="https://www.ssga.com/ch/en_gb/intermediary/etfs/funds/spdr-sp-us-utilities-select-sector-ucits-etf-acc-zpdu-gy" TargetMode="External"/><Relationship Id="rId187" Type="http://schemas.openxmlformats.org/officeDocument/2006/relationships/hyperlink" Target="https://www.finanzen.ch/etf/spdr-msci-europe-communication-services-etf-ie00bkwq0n82" TargetMode="External"/><Relationship Id="rId1" Type="http://schemas.openxmlformats.org/officeDocument/2006/relationships/hyperlink" Target="http://www.finanzen.ch/rohstoffe/kruegerrand-unze/chf" TargetMode="External"/><Relationship Id="rId212" Type="http://schemas.openxmlformats.org/officeDocument/2006/relationships/hyperlink" Target="https://www.finanzen.ch/etf/spdr-sp-us-materials-select-sector-etf-ie00bwbxm831" TargetMode="External"/><Relationship Id="rId233" Type="http://schemas.openxmlformats.org/officeDocument/2006/relationships/hyperlink" Target="https://www.finanzen.ch/aktien/axa-aktie" TargetMode="External"/><Relationship Id="rId254" Type="http://schemas.openxmlformats.org/officeDocument/2006/relationships/table" Target="../tables/table3.xml"/><Relationship Id="rId28" Type="http://schemas.openxmlformats.org/officeDocument/2006/relationships/hyperlink" Target="https://markets.ft.com/data/etfs/tearsheet/summary?s=KRBN:PCQ:USD" TargetMode="External"/><Relationship Id="rId49" Type="http://schemas.openxmlformats.org/officeDocument/2006/relationships/hyperlink" Target="https://www.ssga.com/ch/en_gb/intermediary/etfs/funds/spdr-sp-us-communication-services-select-sector-ucits-etf-acc-zpdk-gy" TargetMode="External"/><Relationship Id="rId114" Type="http://schemas.openxmlformats.org/officeDocument/2006/relationships/hyperlink" Target="https://www.onvista.de/fonds/CREDIT-SUISSE-INDEX-FUND-LUX-EQUITIES-PACIFIC-EX-JAPAN-DB-EUR-Fonds-LU0985871440" TargetMode="External"/><Relationship Id="rId60" Type="http://schemas.openxmlformats.org/officeDocument/2006/relationships/hyperlink" Target="https://www.finanzen.ch/etf/ishares-msci-brazil-etf-de000a0q4r85" TargetMode="External"/><Relationship Id="rId81" Type="http://schemas.openxmlformats.org/officeDocument/2006/relationships/hyperlink" Target="https://www.finanzen.ch/aktien/norsk_hydro_asa-aktie" TargetMode="External"/><Relationship Id="rId135" Type="http://schemas.openxmlformats.org/officeDocument/2006/relationships/hyperlink" Target="https://www.marketscreener.com/quote/stock/BE-SEMICONDUCTOR-INDUSTRI-6318/company/" TargetMode="External"/><Relationship Id="rId156" Type="http://schemas.openxmlformats.org/officeDocument/2006/relationships/hyperlink" Target="https://www.ssga.com/ch/en_gb/intermediary/etfs/funds/spdr-msci-europe-industrials-ucits-etf-stq-fp" TargetMode="External"/><Relationship Id="rId177" Type="http://schemas.openxmlformats.org/officeDocument/2006/relationships/hyperlink" Target="https://www.marketscreener.com/quote/etf/THE-INDUSTRIAL-SELECT-SEC-29424454/" TargetMode="External"/><Relationship Id="rId198" Type="http://schemas.openxmlformats.org/officeDocument/2006/relationships/hyperlink" Target="https://www.marketscreener.com/quote/etf/SPDR-MSCI-EUROPE-COMMUNIC-19116477/" TargetMode="External"/><Relationship Id="rId202" Type="http://schemas.openxmlformats.org/officeDocument/2006/relationships/hyperlink" Target="https://www.marketscreener.com/quote/etf/SPDR-MSCI-EUROPE-FINANCIA-19116471/" TargetMode="External"/><Relationship Id="rId223" Type="http://schemas.openxmlformats.org/officeDocument/2006/relationships/hyperlink" Target="https://www.marketscreener.com/quote/stock/LANDIS-GYR-GROUP-AG-37186614/" TargetMode="External"/><Relationship Id="rId244" Type="http://schemas.openxmlformats.org/officeDocument/2006/relationships/hyperlink" Target="https://www.finanzen.ch/aktien/swissquote-aktie" TargetMode="External"/><Relationship Id="rId18" Type="http://schemas.openxmlformats.org/officeDocument/2006/relationships/hyperlink" Target="https://markets.ft.com/data/equities/tearsheet/summary?s=SIKA:VTX" TargetMode="External"/><Relationship Id="rId39" Type="http://schemas.openxmlformats.org/officeDocument/2006/relationships/hyperlink" Target="https://online.capitalcube.com/stock/CH/SWF/HUBN/summary" TargetMode="External"/><Relationship Id="rId50" Type="http://schemas.openxmlformats.org/officeDocument/2006/relationships/hyperlink" Target="https://www.cash.ch/rohstoffe-edelmetalle/gold-100-gr-999-281111/ubs/chf" TargetMode="External"/><Relationship Id="rId104" Type="http://schemas.openxmlformats.org/officeDocument/2006/relationships/hyperlink" Target="https://www.marketscreener.com/quote/fund/AS-SICAV-I-ASIA-PAC-EQ-A-103243395/" TargetMode="External"/><Relationship Id="rId125" Type="http://schemas.openxmlformats.org/officeDocument/2006/relationships/hyperlink" Target="https://ch.marketscreener.com/kurs/etf/MATERIALS-SELECT-SECTOR-S-29424450/" TargetMode="External"/><Relationship Id="rId146" Type="http://schemas.openxmlformats.org/officeDocument/2006/relationships/hyperlink" Target="https://www.finanzen.ch/aktien/dufry-aktie" TargetMode="External"/><Relationship Id="rId167" Type="http://schemas.openxmlformats.org/officeDocument/2006/relationships/hyperlink" Target="https://www.marketscreener.com/quote/etf/THE-INDUSTRIAL-SELECT-SEC-29424454/" TargetMode="External"/><Relationship Id="rId188" Type="http://schemas.openxmlformats.org/officeDocument/2006/relationships/hyperlink" Target="https://www.finanzen.ch/etf/spdr-msci-europe-consumer-discretionary-etf-ie00bkwq0c77" TargetMode="External"/><Relationship Id="rId71" Type="http://schemas.openxmlformats.org/officeDocument/2006/relationships/hyperlink" Target="https://www.marketscreener.com/quote/etf/ISHARES-DIVERSIFIED-COMMO-37199564/" TargetMode="External"/><Relationship Id="rId92" Type="http://schemas.openxmlformats.org/officeDocument/2006/relationships/hyperlink" Target="https://www.marketscreener.com/mods_a/charts/TV/inc_dyna_graph.php?c=%22&amp;%5b@%5bMS_Code%5d%5d&amp;%22&amp;style=TradingView.CANDLES&amp;interval=(null)&amp;mobile=(null)&amp;showAT=1" TargetMode="External"/><Relationship Id="rId213" Type="http://schemas.openxmlformats.org/officeDocument/2006/relationships/hyperlink" Target="https://www.finanzen.ch/etf/spdr-sp-us-technology-select-sector-etf-ie00bwbxm948" TargetMode="External"/><Relationship Id="rId234" Type="http://schemas.openxmlformats.org/officeDocument/2006/relationships/hyperlink" Target="https://www.finanzen.ch/etf/ishares-sp-500-equal-weight-etf-ie000mlmnys0" TargetMode="External"/><Relationship Id="rId2" Type="http://schemas.openxmlformats.org/officeDocument/2006/relationships/hyperlink" Target="https://www.investing.com/etfs/ishares-dj-stoxx-50?cid=47072" TargetMode="External"/><Relationship Id="rId29" Type="http://schemas.openxmlformats.org/officeDocument/2006/relationships/hyperlink" Target="https://www.marketscreener.com/quote/stock/COLGATE-PALMOLIVE-COMPANY-12089/?type_recherche=rapide&amp;mots=colgate" TargetMode="External"/><Relationship Id="rId255" Type="http://schemas.microsoft.com/office/2007/relationships/slicer" Target="../slicers/slicer1.xml"/><Relationship Id="rId40" Type="http://schemas.openxmlformats.org/officeDocument/2006/relationships/hyperlink" Target="https://markets.ft.com/data/etfs/tearsheet/summary?s=INRG:SWX:USD" TargetMode="External"/><Relationship Id="rId115" Type="http://schemas.openxmlformats.org/officeDocument/2006/relationships/hyperlink" Target="https://www.marketscreener.com/quote/fund/CSIF-LUX-EQUITY-PACIFIC-32672313/" TargetMode="External"/><Relationship Id="rId136" Type="http://schemas.openxmlformats.org/officeDocument/2006/relationships/hyperlink" Target="https://www.finanzen.ch/aktien/inditex-aktie" TargetMode="External"/><Relationship Id="rId157" Type="http://schemas.openxmlformats.org/officeDocument/2006/relationships/hyperlink" Target="https://www.ssga.com/ch/en_gb/intermediary/etfs/funds/spdr-msci-europe-utilities-ucits-etf-stu-fp" TargetMode="External"/><Relationship Id="rId178" Type="http://schemas.openxmlformats.org/officeDocument/2006/relationships/hyperlink" Target="https://www.marketscreener.com/quote/etf/THE-FINANCIAL-SELECT-SECT-29424447/" TargetMode="External"/><Relationship Id="rId61" Type="http://schemas.openxmlformats.org/officeDocument/2006/relationships/hyperlink" Target="https://www.marketscreener.com/quote/etf/ISHARES-MSCI-BRAZIL-UCITS-46843322/" TargetMode="External"/><Relationship Id="rId82" Type="http://schemas.openxmlformats.org/officeDocument/2006/relationships/hyperlink" Target="https://www.marketscreener.com/quote/stock/NORSK-HYDRO-ASA-1413211/" TargetMode="External"/><Relationship Id="rId199" Type="http://schemas.openxmlformats.org/officeDocument/2006/relationships/hyperlink" Target="https://www.marketscreener.com/quote/etf/SPDR-MSCI-EUROPE-CONSUMER-19116468/" TargetMode="External"/><Relationship Id="rId203" Type="http://schemas.openxmlformats.org/officeDocument/2006/relationships/hyperlink" Target="https://www.marketscreener.com/quote/etf/SPDR-MSCI-EUROPE-INDUSTRI-19116473/" TargetMode="External"/><Relationship Id="rId19" Type="http://schemas.openxmlformats.org/officeDocument/2006/relationships/hyperlink" Target="https://markets.ft.com/data/equities/tearsheet/summary?s=SCHP:VTX" TargetMode="External"/><Relationship Id="rId224" Type="http://schemas.openxmlformats.org/officeDocument/2006/relationships/hyperlink" Target="https://www.marketscreener.com/quote/stock/LONZA-GROUP-AG-2956013/" TargetMode="External"/><Relationship Id="rId245" Type="http://schemas.openxmlformats.org/officeDocument/2006/relationships/hyperlink" Target="https://www.marketscreener.com/mods_a/charts/TV/inc_dyna_graph.php?c=%22&amp;%5b@%5bMS_Code%5d%5d&amp;%22&amp;style=TradingView.CANDLES&amp;interval=(null)&amp;mobile=(null)&amp;showAT=1" TargetMode="External"/><Relationship Id="rId30" Type="http://schemas.openxmlformats.org/officeDocument/2006/relationships/hyperlink" Target="https://www.investing.com/etfs/etfs-agriculture-dj-aigci" TargetMode="External"/><Relationship Id="rId105" Type="http://schemas.openxmlformats.org/officeDocument/2006/relationships/hyperlink" Target="https://www.finanzen.ch/etp/aberdeen-standard-i-asia-pacific-sustainable-equity-fund-a-lu0566486402" TargetMode="External"/><Relationship Id="rId126" Type="http://schemas.openxmlformats.org/officeDocument/2006/relationships/hyperlink" Target="https://www.ssga.com/us/en/intermediary/etfs/funds/the-materials-select-sector-spdr-fund-xlb" TargetMode="External"/><Relationship Id="rId147" Type="http://schemas.openxmlformats.org/officeDocument/2006/relationships/hyperlink" Target="https://www.marketscreener.com/quote/stock/DUFRY-AG-165654/" TargetMode="External"/><Relationship Id="rId168" Type="http://schemas.openxmlformats.org/officeDocument/2006/relationships/hyperlink" Target="https://www.marketscreener.com/quote/etf/THE-FINANCIAL-SELECT-SECT-29424447/" TargetMode="External"/><Relationship Id="rId51" Type="http://schemas.openxmlformats.org/officeDocument/2006/relationships/hyperlink" Target="https://www.finanzen.ch/rohstoffe/goldvreneli-20-franken" TargetMode="External"/><Relationship Id="rId72" Type="http://schemas.openxmlformats.org/officeDocument/2006/relationships/hyperlink" Target="https://www.marketscreener.com/quote/stock/EQUINOR-ASA-1413290/company/" TargetMode="External"/><Relationship Id="rId93" Type="http://schemas.openxmlformats.org/officeDocument/2006/relationships/hyperlink" Target="https://www.ssga.com/us/en/intermediary/etfs/funds/the-health-care-select-sector-spdr-fund-xlv" TargetMode="External"/><Relationship Id="rId189" Type="http://schemas.openxmlformats.org/officeDocument/2006/relationships/hyperlink" Target="https://www.finanzen.ch/etf/spdr-msci-europe-consumer-staples-etf-ie00bkwq0d84" TargetMode="External"/><Relationship Id="rId3" Type="http://schemas.openxmlformats.org/officeDocument/2006/relationships/hyperlink" Target="https://www.investing.com/etfs/ishares-msci-japan-hedged-chf" TargetMode="External"/><Relationship Id="rId214" Type="http://schemas.openxmlformats.org/officeDocument/2006/relationships/hyperlink" Target="https://www.finanzen.ch/etf/spdr-sp-us-utilities-select-sector-etf-ie00bwbxmb69" TargetMode="External"/><Relationship Id="rId235" Type="http://schemas.openxmlformats.org/officeDocument/2006/relationships/hyperlink" Target="https://www.marketscreener.com/quote/etf/ISHARES-S-P-500-EQUAL-WEI-148203282/" TargetMode="External"/><Relationship Id="rId256" Type="http://schemas.openxmlformats.org/officeDocument/2006/relationships/comments" Target="../comments7.xml"/><Relationship Id="rId116" Type="http://schemas.openxmlformats.org/officeDocument/2006/relationships/hyperlink" Target="https://www.finanzen.ch/etf/han-gins-indxx-healthcare-megatrend-equal-weight-etf-ie00bjqtj848" TargetMode="External"/><Relationship Id="rId137" Type="http://schemas.openxmlformats.org/officeDocument/2006/relationships/hyperlink" Target="https://www.marketscreener.com/quote/stock/INDITEX-16943135/" TargetMode="External"/><Relationship Id="rId158" Type="http://schemas.openxmlformats.org/officeDocument/2006/relationships/hyperlink" Target="https://www.ssga.com/ch/en_gb/intermediary/etfs/funds/spdr-sp-us-consumer-discretionary-select-sector-ucits-etf-acc-zpdd-gy" TargetMode="External"/><Relationship Id="rId20" Type="http://schemas.openxmlformats.org/officeDocument/2006/relationships/hyperlink" Target="https://markets.ft.com/data/equities/tearsheet/summary?s=RDSA:AEX" TargetMode="External"/><Relationship Id="rId41" Type="http://schemas.openxmlformats.org/officeDocument/2006/relationships/hyperlink" Target="https://www.ssga.com/ch/en_gb/intermediary/etfs/funds/spdr-msci-europe-materials-ucits-etf-stp-fp" TargetMode="External"/><Relationship Id="rId62" Type="http://schemas.openxmlformats.org/officeDocument/2006/relationships/hyperlink" Target="https://www.blackrock.com/americas-offshore/en/products/253735/" TargetMode="External"/><Relationship Id="rId83" Type="http://schemas.openxmlformats.org/officeDocument/2006/relationships/hyperlink" Target="https://www.marketscreener.com/mods_a/charts/TV/inc_dyna_graph.php?c=%22&amp;%5b@%5bMS_Code%5d%5d&amp;%22&amp;style=TradingView.CANDLES&amp;interval=(null)&amp;mobile=(null)&amp;showAT=1" TargetMode="External"/><Relationship Id="rId179" Type="http://schemas.openxmlformats.org/officeDocument/2006/relationships/hyperlink" Target="https://www.marketscreener.com/quote/etf/THE-CONSUMER-DISCRETIONAR-29424452/" TargetMode="External"/><Relationship Id="rId190" Type="http://schemas.openxmlformats.org/officeDocument/2006/relationships/hyperlink" Target="https://www.finanzen.ch/etf/spdr-msci-europe-energy-etf-ie00bkwq0f09" TargetMode="External"/><Relationship Id="rId204" Type="http://schemas.openxmlformats.org/officeDocument/2006/relationships/hyperlink" Target="https://www.marketscreener.com/quote/etf/SPDR-MSCI-EUROPE-MATERIAL-19116475/" TargetMode="External"/><Relationship Id="rId225" Type="http://schemas.openxmlformats.org/officeDocument/2006/relationships/hyperlink" Target="https://www.marketscreener.com/quote/stock/VAT-GROUP-AG-27114104/" TargetMode="External"/><Relationship Id="rId246" Type="http://schemas.openxmlformats.org/officeDocument/2006/relationships/hyperlink" Target="https://www.ssga.com/ch/en_gb/intermediary/etfs/funds/spdr-sp-us-technology-select-sector-ucits-etf-acc-zpdt-gy" TargetMode="External"/><Relationship Id="rId106" Type="http://schemas.openxmlformats.org/officeDocument/2006/relationships/hyperlink" Target="https://markets.ft.com/data/etfs/tearsheet/summary?s=AUEUAH:SWX:EUR" TargetMode="External"/><Relationship Id="rId127" Type="http://schemas.openxmlformats.org/officeDocument/2006/relationships/hyperlink" Target="https://www.marketscreener.com/quote/etf/ISHARES-J-P-MORGAN-EM-BON-6845316/" TargetMode="External"/><Relationship Id="rId10" Type="http://schemas.openxmlformats.org/officeDocument/2006/relationships/hyperlink" Target="https://markets.ft.com/data/etfs/tearsheet/summary?s=UKEUBH/EU:SWX:EUR" TargetMode="External"/><Relationship Id="rId31" Type="http://schemas.openxmlformats.org/officeDocument/2006/relationships/hyperlink" Target="https://www.investing.com/equities/telefonica" TargetMode="External"/><Relationship Id="rId52" Type="http://schemas.openxmlformats.org/officeDocument/2006/relationships/hyperlink" Target="https://www.investing.com/equities/eni" TargetMode="External"/><Relationship Id="rId73" Type="http://schemas.openxmlformats.org/officeDocument/2006/relationships/hyperlink" Target="https://www.marketscreener.com/quote/stock/EQUINOR-ASA-1413290/" TargetMode="External"/><Relationship Id="rId94" Type="http://schemas.openxmlformats.org/officeDocument/2006/relationships/hyperlink" Target="https://www.marketscreener.com/mods_a/charts/TV/inc_dyna_graph.php?c=%22&amp;%5b@%5bMS_Code%5d%5d&amp;%22&amp;style=TradingView.CANDLES&amp;interval=(null)&amp;mobile=(null)&amp;showAT=1" TargetMode="External"/><Relationship Id="rId148" Type="http://schemas.openxmlformats.org/officeDocument/2006/relationships/hyperlink" Target="https://www.marketscreener.com/quote/stock/VZ-HOLDING-AG-237887/" TargetMode="External"/><Relationship Id="rId169" Type="http://schemas.openxmlformats.org/officeDocument/2006/relationships/hyperlink" Target="https://www.marketscreener.com/quote/etf/THE-CONSUMER-DISCRETIONAR-29424452/" TargetMode="External"/><Relationship Id="rId4" Type="http://schemas.openxmlformats.org/officeDocument/2006/relationships/hyperlink" Target="https://www.investing.com/etfs/julius-baer-physical-gold-chf" TargetMode="External"/><Relationship Id="rId180" Type="http://schemas.openxmlformats.org/officeDocument/2006/relationships/hyperlink" Target="https://www.marketscreener.com/quote/etf/THE-CONSUMER-STAPLES-SELE-29424451/" TargetMode="External"/><Relationship Id="rId215" Type="http://schemas.openxmlformats.org/officeDocument/2006/relationships/hyperlink" Target="https://www.marketscreener.com/quote/etf/ISHARES-S-P-500-INFORMATI-25012625/" TargetMode="External"/><Relationship Id="rId236" Type="http://schemas.openxmlformats.org/officeDocument/2006/relationships/hyperlink" Target="https://www.blackrock.com/americas-offshore/en/products/32865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rinterSettings" Target="../printerSettings/printerSettings10.bin"/><Relationship Id="rId1" Type="http://schemas.openxmlformats.org/officeDocument/2006/relationships/hyperlink" Target="https://markets.ft.com/data/equities/tearsheet/forecasts?s=PSPN:SWX"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A3422-90C3-4887-8C44-0980E7DD1B2A}">
  <sheetPr codeName="Contatti">
    <tabColor theme="0" tint="-0.14999847407452621"/>
    <outlinePr summaryBelow="0" summaryRight="0"/>
    <pageSetUpPr fitToPage="1"/>
  </sheetPr>
  <dimension ref="A1:L179"/>
  <sheetViews>
    <sheetView topLeftCell="H1" workbookViewId="0">
      <selection activeCell="A2" sqref="A2"/>
    </sheetView>
  </sheetViews>
  <sheetFormatPr defaultColWidth="9.28515625" defaultRowHeight="12" outlineLevelCol="1" x14ac:dyDescent="0.2"/>
  <cols>
    <col min="1" max="1" width="14" style="712" customWidth="1"/>
    <col min="2" max="2" width="11.5703125" style="712" customWidth="1"/>
    <col min="3" max="4" width="10.140625" style="708" customWidth="1" outlineLevel="1"/>
    <col min="5" max="5" width="10" style="712" customWidth="1"/>
    <col min="6" max="6" width="11.7109375" style="727" customWidth="1"/>
    <col min="7" max="7" width="11.42578125" style="711" customWidth="1"/>
    <col min="8" max="8" width="28.42578125" style="711" customWidth="1" collapsed="1"/>
    <col min="9" max="9" width="3" style="711" hidden="1" customWidth="1" outlineLevel="1"/>
    <col min="10" max="10" width="81.28515625" style="712" customWidth="1"/>
    <col min="11" max="11" width="71" style="712" customWidth="1"/>
    <col min="12" max="13" width="15.42578125" style="712" customWidth="1"/>
    <col min="14" max="16384" width="9.28515625" style="712"/>
  </cols>
  <sheetData>
    <row r="1" spans="1:12" s="707" customFormat="1" ht="24" customHeight="1" x14ac:dyDescent="0.2">
      <c r="A1" s="707" t="s">
        <v>0</v>
      </c>
      <c r="B1" s="707" t="s">
        <v>1</v>
      </c>
      <c r="C1" s="708" t="s">
        <v>2</v>
      </c>
      <c r="D1" s="708" t="s">
        <v>3</v>
      </c>
      <c r="E1" s="707" t="s">
        <v>4</v>
      </c>
      <c r="F1" s="709" t="s">
        <v>5</v>
      </c>
      <c r="G1" s="710" t="s">
        <v>6</v>
      </c>
      <c r="H1" s="710" t="s">
        <v>7</v>
      </c>
      <c r="I1" s="711" t="s">
        <v>8</v>
      </c>
      <c r="J1" s="707" t="s">
        <v>9</v>
      </c>
      <c r="K1" s="707" t="s">
        <v>10</v>
      </c>
      <c r="L1" s="707" t="s">
        <v>11</v>
      </c>
    </row>
    <row r="2" spans="1:12" ht="48" hidden="1" x14ac:dyDescent="0.2">
      <c r="A2" s="712" t="s">
        <v>39</v>
      </c>
      <c r="B2" s="713">
        <v>46014</v>
      </c>
      <c r="C2" s="714">
        <v>0.67708333333333337</v>
      </c>
      <c r="D2" s="714">
        <v>0.68055555555555558</v>
      </c>
      <c r="E2" s="712" t="s">
        <v>13</v>
      </c>
      <c r="F2" s="715">
        <v>597830.68999999994</v>
      </c>
      <c r="G2" s="716">
        <v>0.11020000000000001</v>
      </c>
      <c r="H2" s="716"/>
      <c r="I2" s="716"/>
      <c r="J2" s="712" t="s">
        <v>4387</v>
      </c>
      <c r="K2" s="712" t="s">
        <v>4389</v>
      </c>
    </row>
    <row r="3" spans="1:12" ht="24" hidden="1" x14ac:dyDescent="0.2">
      <c r="A3" s="712" t="s">
        <v>306</v>
      </c>
      <c r="B3" s="713">
        <v>46014</v>
      </c>
      <c r="C3" s="714"/>
      <c r="D3" s="717"/>
      <c r="E3" s="712" t="s">
        <v>4391</v>
      </c>
      <c r="F3" s="715">
        <v>132768.41</v>
      </c>
      <c r="G3" s="716">
        <v>8.6599999999999996E-2</v>
      </c>
      <c r="H3" s="716" t="s">
        <v>4395</v>
      </c>
      <c r="I3" s="716"/>
      <c r="J3" s="712" t="s">
        <v>4396</v>
      </c>
    </row>
    <row r="4" spans="1:12" ht="36" hidden="1" x14ac:dyDescent="0.2">
      <c r="A4" s="712" t="s">
        <v>44</v>
      </c>
      <c r="B4" s="713">
        <v>46014</v>
      </c>
      <c r="C4" s="714">
        <v>0.66805555555555551</v>
      </c>
      <c r="D4" s="714">
        <v>0.67083333333333328</v>
      </c>
      <c r="E4" s="712" t="s">
        <v>13</v>
      </c>
      <c r="F4" s="715">
        <v>1098832</v>
      </c>
      <c r="G4" s="716">
        <v>0.112</v>
      </c>
      <c r="H4" s="716"/>
      <c r="I4" s="716"/>
      <c r="J4" s="712" t="s">
        <v>4387</v>
      </c>
      <c r="K4" s="712" t="s">
        <v>4388</v>
      </c>
      <c r="L4" s="712" t="s">
        <v>302</v>
      </c>
    </row>
    <row r="5" spans="1:12" ht="36" hidden="1" x14ac:dyDescent="0.2">
      <c r="A5" s="712" t="s">
        <v>4392</v>
      </c>
      <c r="B5" s="713">
        <v>46014</v>
      </c>
      <c r="C5" s="714"/>
      <c r="D5" s="717"/>
      <c r="E5" s="712" t="s">
        <v>13</v>
      </c>
      <c r="F5" s="715">
        <v>615189.92000000004</v>
      </c>
      <c r="G5" s="716">
        <v>0.12640000000000001</v>
      </c>
      <c r="H5" s="716" t="s">
        <v>4394</v>
      </c>
      <c r="I5" s="716"/>
      <c r="J5" s="712" t="s">
        <v>4387</v>
      </c>
      <c r="K5" s="712" t="s">
        <v>4393</v>
      </c>
    </row>
    <row r="6" spans="1:12" ht="36" hidden="1" x14ac:dyDescent="0.2">
      <c r="A6" s="712" t="s">
        <v>47</v>
      </c>
      <c r="B6" s="713">
        <v>46014</v>
      </c>
      <c r="C6" s="714">
        <v>0.67500000000000004</v>
      </c>
      <c r="D6" s="717"/>
      <c r="E6" s="712" t="s">
        <v>4391</v>
      </c>
      <c r="F6" s="715">
        <v>666484.73</v>
      </c>
      <c r="G6" s="716">
        <v>0.1077</v>
      </c>
      <c r="H6" s="716" t="s">
        <v>4390</v>
      </c>
      <c r="I6" s="716"/>
      <c r="J6" s="712" t="s">
        <v>4387</v>
      </c>
    </row>
    <row r="7" spans="1:12" x14ac:dyDescent="0.2">
      <c r="A7" s="712" t="s">
        <v>18</v>
      </c>
      <c r="B7" s="713">
        <v>46002</v>
      </c>
      <c r="C7" s="714"/>
      <c r="D7" s="714"/>
      <c r="E7" s="712" t="s">
        <v>4376</v>
      </c>
      <c r="F7" s="715">
        <v>4392029.68</v>
      </c>
      <c r="G7" s="716">
        <v>0.13900000000000001</v>
      </c>
      <c r="H7" s="716" t="s">
        <v>4377</v>
      </c>
      <c r="I7" s="716"/>
      <c r="J7" s="712" t="s">
        <v>4378</v>
      </c>
    </row>
    <row r="8" spans="1:12" ht="108" hidden="1" x14ac:dyDescent="0.2">
      <c r="A8" s="718" t="s">
        <v>16</v>
      </c>
      <c r="B8" s="719">
        <v>46001.583333333336</v>
      </c>
      <c r="C8" s="720"/>
      <c r="D8" s="720"/>
      <c r="E8" s="718" t="s">
        <v>103</v>
      </c>
      <c r="F8" s="721">
        <v>1675969</v>
      </c>
      <c r="G8" s="722">
        <v>7.6399999999999996E-2</v>
      </c>
      <c r="H8" s="722" t="s">
        <v>4379</v>
      </c>
      <c r="I8" s="716"/>
      <c r="J8" s="718" t="s">
        <v>4380</v>
      </c>
      <c r="K8" s="718" t="s">
        <v>4381</v>
      </c>
      <c r="L8" s="718"/>
    </row>
    <row r="9" spans="1:12" ht="24" x14ac:dyDescent="0.2">
      <c r="A9" s="712" t="s">
        <v>18</v>
      </c>
      <c r="B9" s="713">
        <v>46001.444444444445</v>
      </c>
      <c r="C9" s="714"/>
      <c r="D9" s="714"/>
      <c r="E9" s="712" t="s">
        <v>13</v>
      </c>
      <c r="F9" s="715"/>
      <c r="G9" s="716"/>
      <c r="H9" s="716"/>
      <c r="I9" s="716"/>
      <c r="J9" s="712" t="s">
        <v>4383</v>
      </c>
      <c r="K9" s="712" t="s">
        <v>4382</v>
      </c>
    </row>
    <row r="10" spans="1:12" ht="60" hidden="1" x14ac:dyDescent="0.2">
      <c r="A10" s="718" t="s">
        <v>4397</v>
      </c>
      <c r="B10" s="719">
        <v>46001</v>
      </c>
      <c r="C10" s="720">
        <v>0.70833333333333337</v>
      </c>
      <c r="D10" s="720">
        <v>0.79166666666666663</v>
      </c>
      <c r="E10" s="718" t="s">
        <v>103</v>
      </c>
      <c r="F10" s="721">
        <v>274643.33</v>
      </c>
      <c r="G10" s="722">
        <v>0.1085</v>
      </c>
      <c r="H10" s="722" t="s">
        <v>4385</v>
      </c>
      <c r="I10" s="716"/>
      <c r="J10" s="718" t="s">
        <v>4386</v>
      </c>
      <c r="K10" s="718"/>
      <c r="L10" s="718"/>
    </row>
    <row r="11" spans="1:12" ht="156" x14ac:dyDescent="0.2">
      <c r="A11" s="718" t="s">
        <v>18</v>
      </c>
      <c r="B11" s="719">
        <v>46000</v>
      </c>
      <c r="C11" s="720"/>
      <c r="D11" s="720"/>
      <c r="E11" s="718" t="s">
        <v>103</v>
      </c>
      <c r="F11" s="721">
        <v>4400845.75</v>
      </c>
      <c r="G11" s="722">
        <v>0.14130000000000001</v>
      </c>
      <c r="H11" s="722" t="s">
        <v>4374</v>
      </c>
      <c r="I11" s="716"/>
      <c r="J11" s="718" t="s">
        <v>4384</v>
      </c>
      <c r="K11" s="718" t="s">
        <v>4375</v>
      </c>
      <c r="L11" s="718"/>
    </row>
    <row r="12" spans="1:12" ht="48" hidden="1" x14ac:dyDescent="0.2">
      <c r="A12" s="723" t="s">
        <v>12</v>
      </c>
      <c r="B12" s="719">
        <v>45994</v>
      </c>
      <c r="C12" s="720">
        <v>0.65833333333333333</v>
      </c>
      <c r="D12" s="720"/>
      <c r="E12" s="723" t="s">
        <v>13</v>
      </c>
      <c r="F12" s="721"/>
      <c r="G12" s="722"/>
      <c r="H12" s="722"/>
      <c r="I12" s="716"/>
      <c r="J12" s="723" t="s">
        <v>4315</v>
      </c>
      <c r="K12" s="723" t="s">
        <v>4316</v>
      </c>
      <c r="L12" s="723"/>
    </row>
    <row r="13" spans="1:12" ht="72" x14ac:dyDescent="0.2">
      <c r="A13" s="712" t="s">
        <v>18</v>
      </c>
      <c r="B13" s="713">
        <v>45939</v>
      </c>
      <c r="C13" s="714">
        <v>0.39652777777777776</v>
      </c>
      <c r="D13" s="714"/>
      <c r="E13" s="712" t="s">
        <v>13</v>
      </c>
      <c r="F13" s="715"/>
      <c r="G13" s="716"/>
      <c r="H13" s="716"/>
      <c r="I13" s="716"/>
      <c r="J13" s="712" t="s">
        <v>4370</v>
      </c>
      <c r="K13" s="712" t="s">
        <v>4372</v>
      </c>
      <c r="L13" s="712" t="s">
        <v>4371</v>
      </c>
    </row>
    <row r="14" spans="1:12" ht="36" x14ac:dyDescent="0.2">
      <c r="A14" s="712" t="s">
        <v>18</v>
      </c>
      <c r="B14" s="713">
        <v>45938.637499999997</v>
      </c>
      <c r="C14" s="714"/>
      <c r="D14" s="714"/>
      <c r="E14" s="712" t="s">
        <v>13</v>
      </c>
      <c r="F14" s="715"/>
      <c r="G14" s="716"/>
      <c r="H14" s="716"/>
      <c r="I14" s="716"/>
      <c r="J14" s="712" t="s">
        <v>4368</v>
      </c>
      <c r="K14" s="712" t="s">
        <v>4369</v>
      </c>
    </row>
    <row r="15" spans="1:12" ht="24" hidden="1" x14ac:dyDescent="0.2">
      <c r="A15" s="718" t="s">
        <v>340</v>
      </c>
      <c r="B15" s="719">
        <v>45700</v>
      </c>
      <c r="C15" s="720"/>
      <c r="D15" s="720"/>
      <c r="E15" s="718" t="s">
        <v>13</v>
      </c>
      <c r="F15" s="721"/>
      <c r="G15" s="722"/>
      <c r="H15" s="722"/>
      <c r="I15" s="722"/>
      <c r="J15" s="718" t="s">
        <v>341</v>
      </c>
      <c r="K15" s="718" t="s">
        <v>342</v>
      </c>
      <c r="L15" s="718"/>
    </row>
    <row r="16" spans="1:12" ht="36" hidden="1" x14ac:dyDescent="0.2">
      <c r="A16" s="712" t="s">
        <v>12</v>
      </c>
      <c r="B16" s="713">
        <v>45698</v>
      </c>
      <c r="C16" s="714"/>
      <c r="D16" s="714"/>
      <c r="E16" s="712" t="s">
        <v>13</v>
      </c>
      <c r="F16" s="715"/>
      <c r="G16" s="716"/>
      <c r="H16" s="716"/>
      <c r="I16" s="716"/>
      <c r="J16" s="712" t="s">
        <v>339</v>
      </c>
    </row>
    <row r="17" spans="1:12" ht="36" hidden="1" x14ac:dyDescent="0.2">
      <c r="A17" s="712" t="s">
        <v>15</v>
      </c>
      <c r="B17" s="713">
        <v>45693</v>
      </c>
      <c r="C17" s="714"/>
      <c r="D17" s="714"/>
      <c r="F17" s="715"/>
      <c r="G17" s="716"/>
      <c r="H17" s="716"/>
      <c r="I17" s="716"/>
      <c r="J17" s="712" t="s">
        <v>337</v>
      </c>
      <c r="K17" s="712" t="s">
        <v>338</v>
      </c>
    </row>
    <row r="18" spans="1:12" ht="24" hidden="1" x14ac:dyDescent="0.2">
      <c r="A18" s="712" t="s">
        <v>24</v>
      </c>
      <c r="B18" s="713">
        <v>45632</v>
      </c>
      <c r="C18" s="714"/>
      <c r="D18" s="714"/>
      <c r="E18" s="712" t="s">
        <v>13</v>
      </c>
      <c r="F18" s="715">
        <v>280367.21999999997</v>
      </c>
      <c r="G18" s="716">
        <v>9.6500000000000002E-2</v>
      </c>
      <c r="H18" s="716" t="s">
        <v>25</v>
      </c>
      <c r="I18" s="716"/>
      <c r="J18" s="712" t="s">
        <v>26</v>
      </c>
      <c r="K18" s="724" t="s">
        <v>27</v>
      </c>
    </row>
    <row r="19" spans="1:12" ht="168" hidden="1" x14ac:dyDescent="0.2">
      <c r="A19" s="712" t="s">
        <v>12</v>
      </c>
      <c r="B19" s="713">
        <v>45631</v>
      </c>
      <c r="C19" s="714"/>
      <c r="D19" s="714"/>
      <c r="E19" s="712" t="s">
        <v>13</v>
      </c>
      <c r="F19" s="715">
        <v>794032.5</v>
      </c>
      <c r="G19" s="716">
        <v>9.11E-2</v>
      </c>
      <c r="H19" s="716" t="s">
        <v>328</v>
      </c>
      <c r="I19" s="716"/>
      <c r="J19" s="712" t="s">
        <v>329</v>
      </c>
      <c r="K19" s="712" t="s">
        <v>330</v>
      </c>
    </row>
    <row r="20" spans="1:12" ht="24" hidden="1" x14ac:dyDescent="0.2">
      <c r="A20" s="712" t="s">
        <v>70</v>
      </c>
      <c r="B20" s="713">
        <v>45631</v>
      </c>
      <c r="C20" s="714">
        <v>0.5</v>
      </c>
      <c r="D20" s="714"/>
      <c r="E20" s="712" t="s">
        <v>13</v>
      </c>
      <c r="F20" s="715">
        <v>558902.61</v>
      </c>
      <c r="G20" s="716">
        <v>0.1103</v>
      </c>
      <c r="H20" s="716" t="s">
        <v>71</v>
      </c>
      <c r="I20" s="716"/>
      <c r="J20" s="712" t="s">
        <v>72</v>
      </c>
      <c r="K20" s="712" t="s">
        <v>73</v>
      </c>
    </row>
    <row r="21" spans="1:12" ht="24" hidden="1" x14ac:dyDescent="0.2">
      <c r="A21" s="712" t="s">
        <v>16</v>
      </c>
      <c r="B21" s="713">
        <v>45631</v>
      </c>
      <c r="C21" s="714"/>
      <c r="D21" s="714"/>
      <c r="E21" s="712" t="s">
        <v>13</v>
      </c>
      <c r="F21" s="715">
        <v>1574246.7</v>
      </c>
      <c r="G21" s="716">
        <v>0.10059999999999999</v>
      </c>
      <c r="H21" s="716" t="s">
        <v>325</v>
      </c>
      <c r="I21" s="716"/>
      <c r="J21" s="712" t="s">
        <v>326</v>
      </c>
      <c r="K21" s="712" t="s">
        <v>327</v>
      </c>
    </row>
    <row r="22" spans="1:12" ht="48" x14ac:dyDescent="0.2">
      <c r="A22" s="712" t="s">
        <v>18</v>
      </c>
      <c r="B22" s="713">
        <v>45631</v>
      </c>
      <c r="C22" s="714"/>
      <c r="D22" s="714"/>
      <c r="E22" s="712" t="s">
        <v>13</v>
      </c>
      <c r="F22" s="715">
        <v>3877547.94</v>
      </c>
      <c r="G22" s="716">
        <v>9.2999999999999999E-2</v>
      </c>
      <c r="H22" s="716" t="s">
        <v>331</v>
      </c>
      <c r="I22" s="716"/>
      <c r="J22" s="712" t="s">
        <v>332</v>
      </c>
      <c r="K22" s="712" t="s">
        <v>333</v>
      </c>
      <c r="L22" s="712" t="s">
        <v>334</v>
      </c>
    </row>
    <row r="23" spans="1:12" ht="156" hidden="1" x14ac:dyDescent="0.2">
      <c r="A23" s="712" t="s">
        <v>44</v>
      </c>
      <c r="B23" s="713">
        <v>45489</v>
      </c>
      <c r="C23" s="714"/>
      <c r="D23" s="714"/>
      <c r="E23" s="712" t="s">
        <v>64</v>
      </c>
      <c r="F23" s="715">
        <v>1028750</v>
      </c>
      <c r="G23" s="716">
        <v>8.7999999999999995E-2</v>
      </c>
      <c r="H23" s="716"/>
      <c r="I23" s="716"/>
      <c r="J23" s="707" t="s">
        <v>323</v>
      </c>
      <c r="K23" s="712" t="s">
        <v>324</v>
      </c>
    </row>
    <row r="24" spans="1:12" ht="24" hidden="1" x14ac:dyDescent="0.2">
      <c r="A24" s="712" t="s">
        <v>318</v>
      </c>
      <c r="B24" s="713">
        <v>45386</v>
      </c>
      <c r="C24" s="714">
        <v>0.4201388888888889</v>
      </c>
      <c r="D24" s="714"/>
      <c r="E24" s="712" t="s">
        <v>13</v>
      </c>
      <c r="F24" s="715"/>
      <c r="G24" s="716"/>
      <c r="H24" s="716"/>
      <c r="I24" s="716"/>
      <c r="J24" s="712" t="s">
        <v>319</v>
      </c>
      <c r="K24" s="712" t="s">
        <v>320</v>
      </c>
    </row>
    <row r="25" spans="1:12" ht="72" x14ac:dyDescent="0.2">
      <c r="A25" s="712" t="s">
        <v>18</v>
      </c>
      <c r="B25" s="713">
        <v>45386</v>
      </c>
      <c r="C25" s="714">
        <v>0.66805555555555551</v>
      </c>
      <c r="D25" s="714">
        <v>1621</v>
      </c>
      <c r="E25" s="712" t="s">
        <v>13</v>
      </c>
      <c r="F25" s="715"/>
      <c r="G25" s="716"/>
      <c r="H25" s="716"/>
      <c r="I25" s="716"/>
      <c r="J25" s="712" t="s">
        <v>321</v>
      </c>
      <c r="K25" s="712" t="s">
        <v>322</v>
      </c>
    </row>
    <row r="26" spans="1:12" ht="48" hidden="1" x14ac:dyDescent="0.2">
      <c r="A26" s="712" t="s">
        <v>24</v>
      </c>
      <c r="B26" s="713">
        <v>45335</v>
      </c>
      <c r="C26" s="714">
        <v>0.66180555555555554</v>
      </c>
      <c r="D26" s="714"/>
      <c r="E26" s="712" t="s">
        <v>13</v>
      </c>
      <c r="F26" s="715"/>
      <c r="G26" s="716"/>
      <c r="H26" s="716"/>
      <c r="I26" s="716"/>
      <c r="J26" s="712" t="s">
        <v>28</v>
      </c>
      <c r="K26" s="712" t="s">
        <v>29</v>
      </c>
    </row>
    <row r="27" spans="1:12" ht="60" hidden="1" x14ac:dyDescent="0.2">
      <c r="A27" s="712" t="s">
        <v>12</v>
      </c>
      <c r="B27" s="713">
        <v>45326</v>
      </c>
      <c r="C27" s="714"/>
      <c r="D27" s="714"/>
      <c r="E27" s="712" t="s">
        <v>13</v>
      </c>
      <c r="F27" s="715">
        <v>808822.57</v>
      </c>
      <c r="G27" s="716">
        <v>2.41E-2</v>
      </c>
      <c r="H27" s="716" t="s">
        <v>335</v>
      </c>
      <c r="I27" s="716"/>
      <c r="J27" s="712" t="s">
        <v>336</v>
      </c>
      <c r="K27" s="712" t="s">
        <v>4314</v>
      </c>
    </row>
    <row r="28" spans="1:12" ht="60" hidden="1" x14ac:dyDescent="0.2">
      <c r="A28" s="712" t="s">
        <v>306</v>
      </c>
      <c r="B28" s="713">
        <v>45281</v>
      </c>
      <c r="C28" s="714">
        <v>0.45069444444444445</v>
      </c>
      <c r="D28" s="714"/>
      <c r="E28" s="712" t="s">
        <v>13</v>
      </c>
      <c r="F28" s="715">
        <v>134777</v>
      </c>
      <c r="G28" s="716">
        <v>1.23E-2</v>
      </c>
      <c r="H28" s="716"/>
      <c r="I28" s="716"/>
      <c r="J28" s="712" t="s">
        <v>307</v>
      </c>
      <c r="K28" s="712" t="s">
        <v>308</v>
      </c>
    </row>
    <row r="29" spans="1:12" ht="84" hidden="1" x14ac:dyDescent="0.2">
      <c r="A29" s="718" t="s">
        <v>44</v>
      </c>
      <c r="B29" s="719">
        <v>45280</v>
      </c>
      <c r="C29" s="720">
        <v>0.67708333333333337</v>
      </c>
      <c r="D29" s="720">
        <v>0.7006944444444444</v>
      </c>
      <c r="E29" s="718" t="s">
        <v>13</v>
      </c>
      <c r="F29" s="721">
        <v>948529</v>
      </c>
      <c r="G29" s="722">
        <v>4.6800000000000001E-2</v>
      </c>
      <c r="H29" s="722" t="s">
        <v>263</v>
      </c>
      <c r="I29" s="716"/>
      <c r="J29" s="718" t="s">
        <v>264</v>
      </c>
      <c r="K29" s="718" t="s">
        <v>265</v>
      </c>
      <c r="L29" s="718"/>
    </row>
    <row r="30" spans="1:12" ht="84" hidden="1" x14ac:dyDescent="0.2">
      <c r="A30" s="712" t="s">
        <v>70</v>
      </c>
      <c r="B30" s="713">
        <v>45279</v>
      </c>
      <c r="C30" s="714">
        <v>0.5</v>
      </c>
      <c r="D30" s="714">
        <v>0.60416666666666663</v>
      </c>
      <c r="E30" s="712" t="s">
        <v>64</v>
      </c>
      <c r="F30" s="715">
        <v>515030</v>
      </c>
      <c r="G30" s="716">
        <v>4.8500000000000001E-2</v>
      </c>
      <c r="H30" s="716" t="s">
        <v>88</v>
      </c>
      <c r="I30" s="716"/>
      <c r="J30" s="712" t="s">
        <v>66</v>
      </c>
      <c r="K30" s="712" t="s">
        <v>89</v>
      </c>
    </row>
    <row r="31" spans="1:12" ht="84" hidden="1" x14ac:dyDescent="0.2">
      <c r="A31" s="712" t="s">
        <v>24</v>
      </c>
      <c r="B31" s="713">
        <v>45273</v>
      </c>
      <c r="C31" s="714">
        <v>0.4375</v>
      </c>
      <c r="D31" s="714">
        <v>0.5</v>
      </c>
      <c r="E31" s="712" t="s">
        <v>64</v>
      </c>
      <c r="F31" s="715">
        <v>260580.83</v>
      </c>
      <c r="G31" s="716">
        <v>2.52E-2</v>
      </c>
      <c r="H31" s="716" t="s">
        <v>65</v>
      </c>
      <c r="I31" s="716"/>
      <c r="J31" s="712" t="s">
        <v>66</v>
      </c>
      <c r="K31" s="712" t="s">
        <v>67</v>
      </c>
    </row>
    <row r="32" spans="1:12" ht="84" hidden="1" x14ac:dyDescent="0.2">
      <c r="A32" s="712" t="s">
        <v>16</v>
      </c>
      <c r="B32" s="713">
        <v>45273</v>
      </c>
      <c r="C32" s="714">
        <v>0.625</v>
      </c>
      <c r="D32" s="714">
        <v>0.67708333333333337</v>
      </c>
      <c r="E32" s="712" t="s">
        <v>64</v>
      </c>
      <c r="F32" s="715">
        <v>1452799</v>
      </c>
      <c r="G32" s="716">
        <v>2.3E-2</v>
      </c>
      <c r="H32" s="716" t="s">
        <v>313</v>
      </c>
      <c r="I32" s="716"/>
      <c r="J32" s="712" t="s">
        <v>66</v>
      </c>
      <c r="K32" s="712" t="s">
        <v>314</v>
      </c>
    </row>
    <row r="33" spans="1:11" ht="48" hidden="1" x14ac:dyDescent="0.2">
      <c r="A33" s="712" t="s">
        <v>106</v>
      </c>
      <c r="B33" s="713">
        <v>45266</v>
      </c>
      <c r="C33" s="714">
        <v>0.67361111111111116</v>
      </c>
      <c r="D33" s="714"/>
      <c r="E33" s="712" t="s">
        <v>13</v>
      </c>
      <c r="F33" s="715"/>
      <c r="G33" s="716"/>
      <c r="H33" s="716"/>
      <c r="I33" s="716"/>
      <c r="J33" s="712" t="s">
        <v>293</v>
      </c>
      <c r="K33" s="712" t="s">
        <v>294</v>
      </c>
    </row>
    <row r="34" spans="1:11" ht="48" hidden="1" x14ac:dyDescent="0.2">
      <c r="A34" s="712" t="s">
        <v>78</v>
      </c>
      <c r="B34" s="713">
        <v>45266</v>
      </c>
      <c r="C34" s="714">
        <v>0.75</v>
      </c>
      <c r="D34" s="714"/>
      <c r="E34" s="712" t="s">
        <v>13</v>
      </c>
      <c r="F34" s="715"/>
      <c r="G34" s="716"/>
      <c r="H34" s="716"/>
      <c r="I34" s="716"/>
      <c r="J34" s="712" t="s">
        <v>298</v>
      </c>
      <c r="K34" s="712" t="s">
        <v>299</v>
      </c>
    </row>
    <row r="35" spans="1:11" x14ac:dyDescent="0.2">
      <c r="A35" s="712" t="s">
        <v>18</v>
      </c>
      <c r="B35" s="713">
        <v>45237</v>
      </c>
      <c r="C35" s="714">
        <v>0.41666666666666669</v>
      </c>
      <c r="D35" s="714">
        <v>1130</v>
      </c>
      <c r="E35" s="712" t="s">
        <v>103</v>
      </c>
      <c r="F35" s="715"/>
      <c r="G35" s="716"/>
      <c r="H35" s="716"/>
      <c r="I35" s="716"/>
    </row>
    <row r="36" spans="1:11" ht="96" hidden="1" x14ac:dyDescent="0.2">
      <c r="A36" s="712" t="s">
        <v>12</v>
      </c>
      <c r="B36" s="713">
        <v>45196</v>
      </c>
      <c r="C36" s="714">
        <v>0.57638888888888895</v>
      </c>
      <c r="D36" s="714"/>
      <c r="E36" s="712" t="s">
        <v>13</v>
      </c>
      <c r="F36" s="715"/>
      <c r="G36" s="716"/>
      <c r="H36" s="716"/>
      <c r="I36" s="716"/>
      <c r="J36" s="712" t="s">
        <v>259</v>
      </c>
      <c r="K36" s="712" t="s">
        <v>260</v>
      </c>
    </row>
    <row r="37" spans="1:11" ht="84" hidden="1" x14ac:dyDescent="0.2">
      <c r="A37" s="712" t="s">
        <v>287</v>
      </c>
      <c r="B37" s="713">
        <v>45173</v>
      </c>
      <c r="C37" s="714">
        <v>0.64861111111111114</v>
      </c>
      <c r="D37" s="714"/>
      <c r="E37" s="712" t="s">
        <v>13</v>
      </c>
      <c r="F37" s="715"/>
      <c r="G37" s="716"/>
      <c r="H37" s="716"/>
      <c r="I37" s="716"/>
      <c r="J37" s="712" t="s">
        <v>288</v>
      </c>
      <c r="K37" s="712" t="s">
        <v>289</v>
      </c>
    </row>
    <row r="38" spans="1:11" hidden="1" x14ac:dyDescent="0.2">
      <c r="A38" s="712" t="s">
        <v>30</v>
      </c>
      <c r="B38" s="713">
        <v>45172</v>
      </c>
      <c r="C38" s="714">
        <v>0.625</v>
      </c>
      <c r="D38" s="714"/>
      <c r="E38" s="712" t="s">
        <v>41</v>
      </c>
      <c r="F38" s="715"/>
      <c r="G38" s="716"/>
      <c r="H38" s="716"/>
      <c r="I38" s="716"/>
      <c r="J38" s="712" t="s">
        <v>286</v>
      </c>
    </row>
    <row r="39" spans="1:11" ht="36" hidden="1" x14ac:dyDescent="0.2">
      <c r="A39" s="712" t="s">
        <v>30</v>
      </c>
      <c r="B39" s="713">
        <v>45170</v>
      </c>
      <c r="C39" s="714">
        <v>0.62569444444444444</v>
      </c>
      <c r="D39" s="714"/>
      <c r="E39" s="712" t="s">
        <v>13</v>
      </c>
      <c r="F39" s="715"/>
      <c r="G39" s="716"/>
      <c r="H39" s="716"/>
      <c r="I39" s="716"/>
      <c r="J39" s="712" t="s">
        <v>284</v>
      </c>
      <c r="K39" s="712" t="s">
        <v>285</v>
      </c>
    </row>
    <row r="40" spans="1:11" ht="120" hidden="1" x14ac:dyDescent="0.2">
      <c r="A40" s="712" t="s">
        <v>24</v>
      </c>
      <c r="B40" s="713">
        <v>45128</v>
      </c>
      <c r="C40" s="714">
        <v>0.58333333333333337</v>
      </c>
      <c r="D40" s="714">
        <v>1600</v>
      </c>
      <c r="E40" s="712" t="s">
        <v>64</v>
      </c>
      <c r="F40" s="715">
        <v>260330</v>
      </c>
      <c r="G40" s="716">
        <v>1.9800000000000002E-2</v>
      </c>
      <c r="H40" s="716" t="s">
        <v>82</v>
      </c>
      <c r="I40" s="716"/>
      <c r="J40" s="712" t="s">
        <v>83</v>
      </c>
      <c r="K40" s="712" t="s">
        <v>84</v>
      </c>
    </row>
    <row r="41" spans="1:11" ht="132" hidden="1" x14ac:dyDescent="0.2">
      <c r="A41" s="712" t="s">
        <v>44</v>
      </c>
      <c r="B41" s="713">
        <v>45125</v>
      </c>
      <c r="C41" s="714">
        <v>0.41666666666666669</v>
      </c>
      <c r="D41" s="714">
        <v>1130</v>
      </c>
      <c r="E41" s="712" t="s">
        <v>103</v>
      </c>
      <c r="F41" s="715" t="s">
        <v>272</v>
      </c>
      <c r="G41" s="716">
        <v>2.2100000000000002E-2</v>
      </c>
      <c r="H41" s="716" t="s">
        <v>273</v>
      </c>
      <c r="I41" s="716"/>
      <c r="J41" s="712" t="s">
        <v>274</v>
      </c>
      <c r="K41" s="712" t="s">
        <v>275</v>
      </c>
    </row>
    <row r="42" spans="1:11" ht="72" hidden="1" x14ac:dyDescent="0.2">
      <c r="A42" s="712" t="s">
        <v>44</v>
      </c>
      <c r="B42" s="713">
        <v>45100</v>
      </c>
      <c r="C42" s="714"/>
      <c r="D42" s="714"/>
      <c r="E42" s="712" t="s">
        <v>135</v>
      </c>
      <c r="F42" s="715">
        <v>950810.05</v>
      </c>
      <c r="G42" s="716">
        <v>2.3400000000000001E-2</v>
      </c>
      <c r="H42" s="716" t="s">
        <v>276</v>
      </c>
      <c r="I42" s="716"/>
      <c r="J42" s="712" t="s">
        <v>277</v>
      </c>
      <c r="K42" s="712" t="s">
        <v>278</v>
      </c>
    </row>
    <row r="43" spans="1:11" ht="168" hidden="1" x14ac:dyDescent="0.2">
      <c r="A43" s="712" t="s">
        <v>12</v>
      </c>
      <c r="B43" s="713">
        <v>45048</v>
      </c>
      <c r="C43" s="714">
        <v>1500</v>
      </c>
      <c r="D43" s="714">
        <v>1630</v>
      </c>
      <c r="E43" s="712" t="s">
        <v>64</v>
      </c>
      <c r="F43" s="715">
        <v>739994</v>
      </c>
      <c r="G43" s="716">
        <v>2.53E-2</v>
      </c>
      <c r="H43" s="716" t="s">
        <v>279</v>
      </c>
      <c r="I43" s="716"/>
      <c r="J43" s="712" t="s">
        <v>280</v>
      </c>
      <c r="K43" s="712" t="s">
        <v>281</v>
      </c>
    </row>
    <row r="44" spans="1:11" hidden="1" x14ac:dyDescent="0.2">
      <c r="A44" s="712" t="s">
        <v>47</v>
      </c>
      <c r="B44" s="713">
        <v>45047</v>
      </c>
      <c r="C44" s="714">
        <v>0.70138888888888884</v>
      </c>
      <c r="D44" s="714"/>
      <c r="E44" s="712" t="s">
        <v>41</v>
      </c>
      <c r="F44" s="715">
        <v>543494</v>
      </c>
      <c r="G44" s="716">
        <v>1.83E-2</v>
      </c>
      <c r="H44" s="716"/>
      <c r="I44" s="716"/>
      <c r="J44" s="712" t="s">
        <v>271</v>
      </c>
    </row>
    <row r="45" spans="1:11" ht="72" hidden="1" x14ac:dyDescent="0.2">
      <c r="A45" s="712" t="s">
        <v>12</v>
      </c>
      <c r="B45" s="713">
        <v>45008</v>
      </c>
      <c r="C45" s="714">
        <v>0.6381944444444444</v>
      </c>
      <c r="D45" s="714"/>
      <c r="E45" s="712" t="s">
        <v>13</v>
      </c>
      <c r="F45" s="715">
        <v>736524</v>
      </c>
      <c r="G45" s="716">
        <v>1.8200000000000001E-2</v>
      </c>
      <c r="H45" s="716" t="s">
        <v>290</v>
      </c>
      <c r="I45" s="716"/>
      <c r="J45" s="712" t="s">
        <v>291</v>
      </c>
      <c r="K45" s="712" t="s">
        <v>292</v>
      </c>
    </row>
    <row r="46" spans="1:11" ht="48" hidden="1" x14ac:dyDescent="0.2">
      <c r="A46" s="712" t="s">
        <v>16</v>
      </c>
      <c r="B46" s="713">
        <v>45008</v>
      </c>
      <c r="C46" s="714">
        <v>0.6875</v>
      </c>
      <c r="D46" s="714"/>
      <c r="E46" s="712" t="s">
        <v>13</v>
      </c>
      <c r="F46" s="715">
        <v>1454452</v>
      </c>
      <c r="G46" s="716">
        <v>-1.7500000000000002E-2</v>
      </c>
      <c r="H46" s="716" t="s">
        <v>303</v>
      </c>
      <c r="I46" s="716"/>
      <c r="J46" s="712" t="s">
        <v>304</v>
      </c>
      <c r="K46" s="712" t="s">
        <v>305</v>
      </c>
    </row>
    <row r="47" spans="1:11" ht="60" hidden="1" x14ac:dyDescent="0.2">
      <c r="A47" s="712" t="s">
        <v>44</v>
      </c>
      <c r="B47" s="713">
        <v>45008</v>
      </c>
      <c r="C47" s="714"/>
      <c r="D47" s="714"/>
      <c r="E47" s="712" t="s">
        <v>135</v>
      </c>
      <c r="F47" s="715">
        <v>938246</v>
      </c>
      <c r="G47" s="716">
        <v>7.7999999999999996E-3</v>
      </c>
      <c r="H47" s="716" t="s">
        <v>310</v>
      </c>
      <c r="I47" s="716"/>
      <c r="J47" s="712" t="s">
        <v>311</v>
      </c>
      <c r="K47" s="712" t="s">
        <v>312</v>
      </c>
    </row>
    <row r="48" spans="1:11" ht="24" hidden="1" x14ac:dyDescent="0.2">
      <c r="A48" s="712" t="s">
        <v>24</v>
      </c>
      <c r="B48" s="713">
        <v>45006</v>
      </c>
      <c r="C48" s="714">
        <v>0.7631944444444444</v>
      </c>
      <c r="D48" s="714"/>
      <c r="E48" s="712" t="s">
        <v>13</v>
      </c>
      <c r="F48" s="715">
        <v>271082</v>
      </c>
      <c r="G48" s="716">
        <v>1.8800000000000001E-2</v>
      </c>
      <c r="H48" s="716" t="s">
        <v>120</v>
      </c>
      <c r="I48" s="716"/>
      <c r="J48" s="712" t="s">
        <v>121</v>
      </c>
      <c r="K48" s="712" t="s">
        <v>122</v>
      </c>
    </row>
    <row r="49" spans="1:11" hidden="1" x14ac:dyDescent="0.2">
      <c r="A49" s="712" t="s">
        <v>90</v>
      </c>
      <c r="B49" s="713">
        <v>44998</v>
      </c>
      <c r="C49" s="714">
        <v>0.63541666666666663</v>
      </c>
      <c r="D49" s="714"/>
      <c r="F49" s="715">
        <v>542453</v>
      </c>
      <c r="G49" s="716">
        <v>1.6199999999999999E-2</v>
      </c>
      <c r="H49" s="716" t="s">
        <v>257</v>
      </c>
      <c r="I49" s="716"/>
      <c r="J49" s="712" t="s">
        <v>258</v>
      </c>
    </row>
    <row r="50" spans="1:11" ht="96" hidden="1" x14ac:dyDescent="0.2">
      <c r="A50" s="712" t="s">
        <v>78</v>
      </c>
      <c r="B50" s="713">
        <v>44993</v>
      </c>
      <c r="C50" s="714">
        <v>0.41736111111111113</v>
      </c>
      <c r="D50" s="714"/>
      <c r="E50" s="712" t="s">
        <v>251</v>
      </c>
      <c r="F50" s="715"/>
      <c r="G50" s="716"/>
      <c r="H50" s="716"/>
      <c r="I50" s="716"/>
      <c r="J50" s="712" t="s">
        <v>252</v>
      </c>
      <c r="K50" s="712" t="s">
        <v>253</v>
      </c>
    </row>
    <row r="51" spans="1:11" ht="36" hidden="1" x14ac:dyDescent="0.2">
      <c r="A51" s="712" t="s">
        <v>78</v>
      </c>
      <c r="B51" s="713">
        <v>44992</v>
      </c>
      <c r="C51" s="714">
        <v>0.76597222222222217</v>
      </c>
      <c r="D51" s="714"/>
      <c r="E51" s="712" t="s">
        <v>55</v>
      </c>
      <c r="F51" s="715"/>
      <c r="G51" s="716"/>
      <c r="H51" s="716"/>
      <c r="I51" s="716"/>
      <c r="J51" s="712" t="s">
        <v>250</v>
      </c>
    </row>
    <row r="52" spans="1:11" ht="84" hidden="1" x14ac:dyDescent="0.2">
      <c r="A52" s="712" t="s">
        <v>30</v>
      </c>
      <c r="B52" s="713">
        <v>44984</v>
      </c>
      <c r="C52" s="714"/>
      <c r="D52" s="714"/>
      <c r="E52" s="712" t="s">
        <v>13</v>
      </c>
      <c r="F52" s="715"/>
      <c r="G52" s="716"/>
      <c r="H52" s="716"/>
      <c r="I52" s="716"/>
      <c r="J52" s="712" t="s">
        <v>316</v>
      </c>
      <c r="K52" s="712" t="s">
        <v>317</v>
      </c>
    </row>
    <row r="53" spans="1:11" ht="48" hidden="1" x14ac:dyDescent="0.2">
      <c r="A53" s="712" t="s">
        <v>16</v>
      </c>
      <c r="B53" s="713">
        <v>44970</v>
      </c>
      <c r="C53" s="714">
        <v>0.65138888888888891</v>
      </c>
      <c r="D53" s="714"/>
      <c r="E53" s="712" t="s">
        <v>13</v>
      </c>
      <c r="F53" s="715">
        <v>1478882</v>
      </c>
      <c r="G53" s="716">
        <v>2.53E-2</v>
      </c>
      <c r="H53" s="725"/>
      <c r="I53" s="716"/>
      <c r="J53" s="712" t="s">
        <v>282</v>
      </c>
      <c r="K53" s="712" t="s">
        <v>283</v>
      </c>
    </row>
    <row r="54" spans="1:11" ht="84" x14ac:dyDescent="0.2">
      <c r="A54" s="712" t="s">
        <v>18</v>
      </c>
      <c r="B54" s="713">
        <v>44966</v>
      </c>
      <c r="C54" s="714">
        <v>1600</v>
      </c>
      <c r="D54" s="714">
        <v>1609</v>
      </c>
      <c r="E54" s="712" t="s">
        <v>13</v>
      </c>
      <c r="F54" s="715">
        <v>3547376.26</v>
      </c>
      <c r="G54" s="716">
        <v>1.6400000000000001E-2</v>
      </c>
      <c r="H54" s="716"/>
      <c r="I54" s="716"/>
      <c r="J54" s="712" t="s">
        <v>245</v>
      </c>
      <c r="K54" s="712" t="s">
        <v>246</v>
      </c>
    </row>
    <row r="55" spans="1:11" ht="180" hidden="1" x14ac:dyDescent="0.2">
      <c r="A55" s="712" t="s">
        <v>47</v>
      </c>
      <c r="B55" s="713">
        <v>44938</v>
      </c>
      <c r="C55" s="714">
        <v>1100</v>
      </c>
      <c r="D55" s="714">
        <v>1220</v>
      </c>
      <c r="E55" s="712" t="s">
        <v>13</v>
      </c>
      <c r="F55" s="715">
        <v>544622.81000000006</v>
      </c>
      <c r="G55" s="716">
        <v>1.61E-2</v>
      </c>
      <c r="H55" s="716" t="s">
        <v>242</v>
      </c>
      <c r="I55" s="716"/>
      <c r="J55" s="712" t="s">
        <v>243</v>
      </c>
      <c r="K55" s="712" t="s">
        <v>244</v>
      </c>
    </row>
    <row r="56" spans="1:11" ht="36" hidden="1" x14ac:dyDescent="0.2">
      <c r="A56" s="712" t="s">
        <v>24</v>
      </c>
      <c r="B56" s="713">
        <v>44929</v>
      </c>
      <c r="C56" s="714">
        <v>0.54861111111111105</v>
      </c>
      <c r="D56" s="714"/>
      <c r="E56" s="712" t="s">
        <v>132</v>
      </c>
      <c r="F56" s="715">
        <v>266490</v>
      </c>
      <c r="G56" s="716">
        <v>-0.1077</v>
      </c>
      <c r="H56" s="716"/>
      <c r="I56" s="716"/>
      <c r="J56" s="712" t="s">
        <v>133</v>
      </c>
      <c r="K56" s="712" t="s">
        <v>134</v>
      </c>
    </row>
    <row r="57" spans="1:11" ht="24" hidden="1" x14ac:dyDescent="0.2">
      <c r="A57" s="712" t="s">
        <v>78</v>
      </c>
      <c r="B57" s="713">
        <v>44929</v>
      </c>
      <c r="C57" s="714">
        <v>0.51666666666666672</v>
      </c>
      <c r="D57" s="714"/>
      <c r="E57" s="712" t="s">
        <v>248</v>
      </c>
      <c r="F57" s="715"/>
      <c r="G57" s="716"/>
      <c r="H57" s="716"/>
      <c r="I57" s="716"/>
      <c r="J57" s="712" t="s">
        <v>249</v>
      </c>
    </row>
    <row r="58" spans="1:11" ht="36" x14ac:dyDescent="0.2">
      <c r="A58" s="712" t="s">
        <v>18</v>
      </c>
      <c r="B58" s="713">
        <v>44918</v>
      </c>
      <c r="C58" s="714">
        <v>1030</v>
      </c>
      <c r="D58" s="714"/>
      <c r="E58" s="712" t="s">
        <v>13</v>
      </c>
      <c r="F58" s="715">
        <v>3496297.91</v>
      </c>
      <c r="G58" s="716">
        <v>-2.9600000000000001E-2</v>
      </c>
      <c r="H58" s="716"/>
      <c r="I58" s="716"/>
      <c r="J58" s="712" t="s">
        <v>229</v>
      </c>
    </row>
    <row r="59" spans="1:11" ht="72" hidden="1" x14ac:dyDescent="0.2">
      <c r="A59" s="712" t="s">
        <v>21</v>
      </c>
      <c r="B59" s="713">
        <v>44918</v>
      </c>
      <c r="C59" s="714">
        <v>1039</v>
      </c>
      <c r="D59" s="714">
        <v>1045</v>
      </c>
      <c r="E59" s="712" t="s">
        <v>135</v>
      </c>
      <c r="F59" s="715">
        <v>461091.85</v>
      </c>
      <c r="G59" s="716">
        <v>-8.1699999999999995E-2</v>
      </c>
      <c r="H59" s="716"/>
      <c r="I59" s="716"/>
      <c r="J59" s="712" t="s">
        <v>235</v>
      </c>
      <c r="K59" s="712" t="s">
        <v>236</v>
      </c>
    </row>
    <row r="60" spans="1:11" ht="24" hidden="1" x14ac:dyDescent="0.2">
      <c r="A60" s="712" t="s">
        <v>15</v>
      </c>
      <c r="B60" s="713">
        <v>44918</v>
      </c>
      <c r="C60" s="714">
        <v>1046</v>
      </c>
      <c r="D60" s="714"/>
      <c r="E60" s="712" t="s">
        <v>13</v>
      </c>
      <c r="F60" s="715">
        <v>3507351.37</v>
      </c>
      <c r="G60" s="716">
        <v>-3.7499999999999999E-2</v>
      </c>
      <c r="H60" s="716"/>
      <c r="I60" s="716"/>
      <c r="J60" s="712" t="s">
        <v>239</v>
      </c>
    </row>
    <row r="61" spans="1:11" ht="72" hidden="1" x14ac:dyDescent="0.2">
      <c r="A61" s="712" t="s">
        <v>15</v>
      </c>
      <c r="B61" s="713">
        <v>44918</v>
      </c>
      <c r="C61" s="714"/>
      <c r="D61" s="714"/>
      <c r="F61" s="715">
        <v>535255</v>
      </c>
      <c r="G61" s="716">
        <v>-0.1003</v>
      </c>
      <c r="H61" s="716"/>
      <c r="I61" s="716"/>
      <c r="J61" s="712" t="s">
        <v>240</v>
      </c>
      <c r="K61" s="712" t="s">
        <v>241</v>
      </c>
    </row>
    <row r="62" spans="1:11" hidden="1" x14ac:dyDescent="0.2">
      <c r="A62" s="712" t="s">
        <v>39</v>
      </c>
      <c r="B62" s="713">
        <v>44918</v>
      </c>
      <c r="C62" s="714"/>
      <c r="D62" s="714"/>
      <c r="F62" s="715"/>
      <c r="G62" s="716"/>
      <c r="H62" s="716"/>
      <c r="I62" s="716"/>
    </row>
    <row r="63" spans="1:11" ht="48" hidden="1" x14ac:dyDescent="0.2">
      <c r="A63" s="712" t="s">
        <v>12</v>
      </c>
      <c r="B63" s="713">
        <v>44917</v>
      </c>
      <c r="C63" s="714">
        <v>1610</v>
      </c>
      <c r="D63" s="714"/>
      <c r="E63" s="712" t="s">
        <v>13</v>
      </c>
      <c r="F63" s="715">
        <v>726833</v>
      </c>
      <c r="G63" s="716">
        <v>-9.5799999999999996E-2</v>
      </c>
      <c r="H63" s="716"/>
      <c r="I63" s="716"/>
      <c r="J63" s="712" t="s">
        <v>233</v>
      </c>
    </row>
    <row r="64" spans="1:11" hidden="1" x14ac:dyDescent="0.2">
      <c r="A64" s="712" t="s">
        <v>47</v>
      </c>
      <c r="B64" s="713">
        <v>44917</v>
      </c>
      <c r="C64" s="714">
        <v>1627</v>
      </c>
      <c r="D64" s="714"/>
      <c r="E64" s="712" t="s">
        <v>13</v>
      </c>
      <c r="F64" s="715">
        <v>539336.51</v>
      </c>
      <c r="G64" s="716">
        <v>-0.1084</v>
      </c>
      <c r="H64" s="716"/>
      <c r="I64" s="716"/>
      <c r="J64" s="712" t="s">
        <v>234</v>
      </c>
    </row>
    <row r="65" spans="1:11" ht="36" hidden="1" x14ac:dyDescent="0.2">
      <c r="A65" s="712" t="s">
        <v>16</v>
      </c>
      <c r="B65" s="713">
        <v>44917</v>
      </c>
      <c r="C65" s="714">
        <v>1600</v>
      </c>
      <c r="D65" s="714">
        <v>1604</v>
      </c>
      <c r="E65" s="712" t="s">
        <v>13</v>
      </c>
      <c r="F65" s="715"/>
      <c r="G65" s="716"/>
      <c r="H65" s="716"/>
      <c r="I65" s="716"/>
      <c r="J65" s="712" t="s">
        <v>261</v>
      </c>
      <c r="K65" s="712" t="s">
        <v>262</v>
      </c>
    </row>
    <row r="66" spans="1:11" ht="96" hidden="1" x14ac:dyDescent="0.2">
      <c r="A66" s="712" t="s">
        <v>44</v>
      </c>
      <c r="B66" s="713">
        <v>44916</v>
      </c>
      <c r="C66" s="714">
        <v>1228</v>
      </c>
      <c r="D66" s="714">
        <v>1247</v>
      </c>
      <c r="E66" s="712" t="s">
        <v>135</v>
      </c>
      <c r="F66" s="715">
        <v>938600</v>
      </c>
      <c r="G66" s="716">
        <v>-0.1197</v>
      </c>
      <c r="H66" s="716"/>
      <c r="I66" s="716"/>
      <c r="J66" s="712" t="s">
        <v>237</v>
      </c>
      <c r="K66" s="712" t="s">
        <v>238</v>
      </c>
    </row>
    <row r="67" spans="1:11" ht="24" hidden="1" x14ac:dyDescent="0.2">
      <c r="A67" s="712" t="s">
        <v>78</v>
      </c>
      <c r="B67" s="713">
        <v>44915</v>
      </c>
      <c r="C67" s="714">
        <v>0.5229166666666667</v>
      </c>
      <c r="D67" s="714"/>
      <c r="E67" s="712" t="s">
        <v>132</v>
      </c>
      <c r="F67" s="715"/>
      <c r="G67" s="716"/>
      <c r="H67" s="716"/>
      <c r="I67" s="716"/>
      <c r="J67" s="712" t="s">
        <v>247</v>
      </c>
    </row>
    <row r="68" spans="1:11" ht="72" hidden="1" x14ac:dyDescent="0.2">
      <c r="A68" s="712" t="s">
        <v>12</v>
      </c>
      <c r="B68" s="713">
        <v>44890</v>
      </c>
      <c r="C68" s="714"/>
      <c r="D68" s="714"/>
      <c r="E68" s="712" t="s">
        <v>13</v>
      </c>
      <c r="F68" s="715">
        <v>733703</v>
      </c>
      <c r="G68" s="716">
        <v>-8.7900000000000006E-2</v>
      </c>
      <c r="H68" s="716"/>
      <c r="I68" s="716"/>
      <c r="J68" s="712" t="s">
        <v>227</v>
      </c>
      <c r="K68" s="712" t="s">
        <v>228</v>
      </c>
    </row>
    <row r="69" spans="1:11" ht="24" hidden="1" x14ac:dyDescent="0.2">
      <c r="A69" s="712" t="s">
        <v>24</v>
      </c>
      <c r="B69" s="713">
        <v>44876</v>
      </c>
      <c r="C69" s="714">
        <v>0.60416666666666663</v>
      </c>
      <c r="D69" s="714"/>
      <c r="E69" s="712" t="s">
        <v>64</v>
      </c>
      <c r="F69" s="715">
        <v>270017</v>
      </c>
      <c r="G69" s="716">
        <v>-9.5899999999999999E-2</v>
      </c>
      <c r="H69" s="716"/>
      <c r="I69" s="716"/>
      <c r="J69" s="712" t="s">
        <v>188</v>
      </c>
    </row>
    <row r="70" spans="1:11" ht="108" hidden="1" x14ac:dyDescent="0.2">
      <c r="A70" s="712" t="s">
        <v>16</v>
      </c>
      <c r="B70" s="713">
        <v>44875</v>
      </c>
      <c r="C70" s="714">
        <v>0.60416666666666663</v>
      </c>
      <c r="D70" s="714">
        <v>0.65625</v>
      </c>
      <c r="E70" s="712" t="s">
        <v>64</v>
      </c>
      <c r="F70" s="715">
        <v>1439296</v>
      </c>
      <c r="G70" s="716">
        <v>-9.8299999999999998E-2</v>
      </c>
      <c r="H70" s="716" t="s">
        <v>230</v>
      </c>
      <c r="I70" s="716"/>
      <c r="J70" s="712" t="s">
        <v>231</v>
      </c>
      <c r="K70" s="712" t="s">
        <v>232</v>
      </c>
    </row>
    <row r="71" spans="1:11" ht="60" hidden="1" x14ac:dyDescent="0.2">
      <c r="A71" s="712" t="s">
        <v>12</v>
      </c>
      <c r="B71" s="713">
        <v>44869</v>
      </c>
      <c r="C71" s="714"/>
      <c r="D71" s="714"/>
      <c r="E71" s="712" t="s">
        <v>13</v>
      </c>
      <c r="F71" s="715"/>
      <c r="G71" s="716"/>
      <c r="H71" s="716"/>
      <c r="I71" s="716"/>
      <c r="J71" s="712" t="s">
        <v>222</v>
      </c>
      <c r="K71" s="712" t="s">
        <v>223</v>
      </c>
    </row>
    <row r="72" spans="1:11" ht="24" hidden="1" x14ac:dyDescent="0.2">
      <c r="A72" s="712" t="s">
        <v>16</v>
      </c>
      <c r="B72" s="713">
        <v>44869</v>
      </c>
      <c r="C72" s="714"/>
      <c r="D72" s="714"/>
      <c r="E72" s="712" t="s">
        <v>13</v>
      </c>
      <c r="F72" s="715"/>
      <c r="G72" s="716"/>
      <c r="H72" s="716"/>
      <c r="I72" s="716"/>
      <c r="J72" s="712" t="s">
        <v>220</v>
      </c>
      <c r="K72" s="712" t="s">
        <v>221</v>
      </c>
    </row>
    <row r="73" spans="1:11" hidden="1" x14ac:dyDescent="0.2">
      <c r="A73" s="712" t="s">
        <v>24</v>
      </c>
      <c r="B73" s="713">
        <v>44869</v>
      </c>
      <c r="C73" s="714"/>
      <c r="D73" s="714"/>
      <c r="E73" s="712" t="s">
        <v>13</v>
      </c>
      <c r="F73" s="715"/>
      <c r="G73" s="716"/>
      <c r="H73" s="716"/>
      <c r="I73" s="716"/>
      <c r="J73" s="712" t="s">
        <v>222</v>
      </c>
      <c r="K73" s="712" t="s">
        <v>224</v>
      </c>
    </row>
    <row r="74" spans="1:11" ht="84" hidden="1" x14ac:dyDescent="0.2">
      <c r="A74" s="712" t="s">
        <v>21</v>
      </c>
      <c r="B74" s="713">
        <v>44867</v>
      </c>
      <c r="C74" s="714"/>
      <c r="D74" s="714"/>
      <c r="E74" s="712" t="s">
        <v>55</v>
      </c>
      <c r="F74" s="715"/>
      <c r="G74" s="716"/>
      <c r="H74" s="716"/>
      <c r="I74" s="716"/>
      <c r="J74" s="712" t="s">
        <v>225</v>
      </c>
      <c r="K74" s="712" t="s">
        <v>226</v>
      </c>
    </row>
    <row r="75" spans="1:11" ht="60" hidden="1" x14ac:dyDescent="0.2">
      <c r="A75" s="712" t="s">
        <v>21</v>
      </c>
      <c r="B75" s="713">
        <v>44853</v>
      </c>
      <c r="C75" s="714">
        <v>1418</v>
      </c>
      <c r="D75" s="714">
        <v>1435</v>
      </c>
      <c r="E75" s="712" t="s">
        <v>13</v>
      </c>
      <c r="F75" s="715">
        <v>461534</v>
      </c>
      <c r="G75" s="716">
        <v>-8.1299999999999997E-2</v>
      </c>
      <c r="H75" s="716"/>
      <c r="I75" s="716"/>
      <c r="J75" s="712" t="s">
        <v>218</v>
      </c>
      <c r="K75" s="712" t="s">
        <v>219</v>
      </c>
    </row>
    <row r="76" spans="1:11" ht="24" hidden="1" x14ac:dyDescent="0.2">
      <c r="A76" s="712" t="s">
        <v>21</v>
      </c>
      <c r="B76" s="713">
        <v>44806</v>
      </c>
      <c r="C76" s="714">
        <v>1010</v>
      </c>
      <c r="D76" s="714">
        <v>1019</v>
      </c>
      <c r="E76" s="712" t="s">
        <v>13</v>
      </c>
      <c r="F76" s="715">
        <v>475938</v>
      </c>
      <c r="G76" s="716">
        <v>-5.4300000000000001E-2</v>
      </c>
      <c r="H76" s="716"/>
      <c r="I76" s="716"/>
      <c r="J76" s="712" t="s">
        <v>216</v>
      </c>
      <c r="K76" s="712" t="s">
        <v>217</v>
      </c>
    </row>
    <row r="77" spans="1:11" ht="60" hidden="1" x14ac:dyDescent="0.2">
      <c r="A77" s="712" t="s">
        <v>211</v>
      </c>
      <c r="B77" s="713">
        <v>44755</v>
      </c>
      <c r="C77" s="714">
        <v>1515</v>
      </c>
      <c r="D77" s="714">
        <v>1800</v>
      </c>
      <c r="E77" s="712" t="s">
        <v>64</v>
      </c>
      <c r="F77" s="715"/>
      <c r="G77" s="716"/>
      <c r="H77" s="716"/>
      <c r="I77" s="716"/>
      <c r="J77" s="712" t="s">
        <v>212</v>
      </c>
      <c r="K77" s="712" t="s">
        <v>213</v>
      </c>
    </row>
    <row r="78" spans="1:11" ht="60" hidden="1" x14ac:dyDescent="0.2">
      <c r="A78" s="712" t="s">
        <v>214</v>
      </c>
      <c r="B78" s="713">
        <v>44755</v>
      </c>
      <c r="C78" s="714">
        <v>1515</v>
      </c>
      <c r="D78" s="714">
        <v>1800</v>
      </c>
      <c r="E78" s="712" t="s">
        <v>64</v>
      </c>
      <c r="F78" s="715"/>
      <c r="G78" s="716"/>
      <c r="H78" s="716"/>
      <c r="I78" s="716"/>
      <c r="J78" s="712" t="s">
        <v>212</v>
      </c>
      <c r="K78" s="712" t="s">
        <v>215</v>
      </c>
    </row>
    <row r="79" spans="1:11" ht="48" hidden="1" x14ac:dyDescent="0.2">
      <c r="A79" s="712" t="s">
        <v>70</v>
      </c>
      <c r="B79" s="713">
        <v>44748</v>
      </c>
      <c r="C79" s="714">
        <v>1517</v>
      </c>
      <c r="D79" s="714">
        <v>1531</v>
      </c>
      <c r="E79" s="712" t="s">
        <v>13</v>
      </c>
      <c r="F79" s="715">
        <v>510758</v>
      </c>
      <c r="G79" s="716">
        <v>-9.8400000000000001E-2</v>
      </c>
      <c r="H79" s="716" t="s">
        <v>147</v>
      </c>
      <c r="I79" s="716"/>
      <c r="J79" s="712" t="s">
        <v>148</v>
      </c>
      <c r="K79" s="712" t="s">
        <v>149</v>
      </c>
    </row>
    <row r="80" spans="1:11" hidden="1" x14ac:dyDescent="0.2">
      <c r="A80" s="712" t="s">
        <v>30</v>
      </c>
      <c r="B80" s="713">
        <v>44734</v>
      </c>
      <c r="C80" s="714">
        <v>1131</v>
      </c>
      <c r="D80" s="714">
        <v>1133</v>
      </c>
      <c r="E80" s="712" t="s">
        <v>13</v>
      </c>
      <c r="F80" s="715"/>
      <c r="G80" s="716"/>
      <c r="H80" s="716"/>
      <c r="I80" s="716"/>
      <c r="J80" s="712" t="s">
        <v>201</v>
      </c>
      <c r="K80" s="712" t="s">
        <v>202</v>
      </c>
    </row>
    <row r="81" spans="1:11" ht="36" hidden="1" x14ac:dyDescent="0.2">
      <c r="A81" s="712" t="s">
        <v>12</v>
      </c>
      <c r="B81" s="713">
        <v>44734</v>
      </c>
      <c r="C81" s="714">
        <v>1733</v>
      </c>
      <c r="D81" s="714">
        <v>1745</v>
      </c>
      <c r="E81" s="712" t="s">
        <v>13</v>
      </c>
      <c r="F81" s="715">
        <v>469139</v>
      </c>
      <c r="G81" s="716">
        <v>-6.9599999999999995E-2</v>
      </c>
      <c r="H81" s="716"/>
      <c r="I81" s="716"/>
      <c r="J81" s="712" t="s">
        <v>203</v>
      </c>
    </row>
    <row r="82" spans="1:11" ht="48" hidden="1" x14ac:dyDescent="0.2">
      <c r="A82" s="712" t="s">
        <v>30</v>
      </c>
      <c r="B82" s="713">
        <v>44727</v>
      </c>
      <c r="C82" s="714">
        <v>1615</v>
      </c>
      <c r="D82" s="714">
        <v>1620</v>
      </c>
      <c r="E82" s="712" t="s">
        <v>13</v>
      </c>
      <c r="F82" s="715">
        <v>650960</v>
      </c>
      <c r="G82" s="716">
        <v>-7.85E-2</v>
      </c>
      <c r="H82" s="716"/>
      <c r="I82" s="716"/>
      <c r="J82" s="712" t="s">
        <v>199</v>
      </c>
      <c r="K82" s="712" t="s">
        <v>200</v>
      </c>
    </row>
    <row r="83" spans="1:11" ht="60" hidden="1" x14ac:dyDescent="0.2">
      <c r="A83" s="712" t="s">
        <v>90</v>
      </c>
      <c r="B83" s="713">
        <v>44727</v>
      </c>
      <c r="C83" s="714">
        <v>1734</v>
      </c>
      <c r="D83" s="714">
        <v>1753</v>
      </c>
      <c r="E83" s="712" t="s">
        <v>13</v>
      </c>
      <c r="F83" s="715">
        <v>565433</v>
      </c>
      <c r="G83" s="716">
        <v>-5.3999999999999999E-2</v>
      </c>
      <c r="H83" s="716"/>
      <c r="I83" s="716"/>
      <c r="J83" s="712" t="s">
        <v>204</v>
      </c>
      <c r="K83" s="712" t="s">
        <v>205</v>
      </c>
    </row>
    <row r="84" spans="1:11" ht="60" hidden="1" x14ac:dyDescent="0.2">
      <c r="A84" s="712" t="s">
        <v>78</v>
      </c>
      <c r="B84" s="713">
        <v>44727</v>
      </c>
      <c r="C84" s="714">
        <v>1700</v>
      </c>
      <c r="D84" s="714">
        <v>1716</v>
      </c>
      <c r="E84" s="712" t="s">
        <v>13</v>
      </c>
      <c r="F84" s="715">
        <v>386683</v>
      </c>
      <c r="G84" s="716">
        <v>-6.5799999999999997E-2</v>
      </c>
      <c r="H84" s="716"/>
      <c r="I84" s="716"/>
      <c r="J84" s="712" t="s">
        <v>206</v>
      </c>
      <c r="K84" s="712" t="s">
        <v>207</v>
      </c>
    </row>
    <row r="85" spans="1:11" ht="60" hidden="1" x14ac:dyDescent="0.2">
      <c r="A85" s="712" t="s">
        <v>70</v>
      </c>
      <c r="B85" s="713">
        <v>44665</v>
      </c>
      <c r="C85" s="714">
        <v>1705</v>
      </c>
      <c r="D85" s="714">
        <v>1714</v>
      </c>
      <c r="E85" s="712" t="s">
        <v>13</v>
      </c>
      <c r="F85" s="715">
        <v>551410</v>
      </c>
      <c r="G85" s="716">
        <v>-2.5700000000000001E-2</v>
      </c>
      <c r="H85" s="716"/>
      <c r="I85" s="716"/>
      <c r="J85" s="712" t="s">
        <v>173</v>
      </c>
      <c r="K85" s="712" t="s">
        <v>174</v>
      </c>
    </row>
    <row r="86" spans="1:11" ht="48" hidden="1" x14ac:dyDescent="0.2">
      <c r="A86" s="712" t="s">
        <v>21</v>
      </c>
      <c r="B86" s="713">
        <v>44665</v>
      </c>
      <c r="C86" s="714">
        <v>1633</v>
      </c>
      <c r="D86" s="714"/>
      <c r="E86" s="712" t="s">
        <v>13</v>
      </c>
      <c r="F86" s="715">
        <v>495871.09</v>
      </c>
      <c r="G86" s="716">
        <v>-1.6500000000000001E-2</v>
      </c>
      <c r="H86" s="716" t="s">
        <v>192</v>
      </c>
      <c r="I86" s="716"/>
      <c r="J86" s="712" t="s">
        <v>173</v>
      </c>
      <c r="K86" s="712" t="s">
        <v>193</v>
      </c>
    </row>
    <row r="87" spans="1:11" ht="48" hidden="1" x14ac:dyDescent="0.2">
      <c r="A87" s="712" t="s">
        <v>106</v>
      </c>
      <c r="B87" s="713">
        <v>44665</v>
      </c>
      <c r="C87" s="714">
        <v>1747</v>
      </c>
      <c r="D87" s="714"/>
      <c r="E87" s="712" t="s">
        <v>13</v>
      </c>
      <c r="F87" s="715">
        <v>123006</v>
      </c>
      <c r="G87" s="716">
        <v>-3.7600000000000001E-2</v>
      </c>
      <c r="H87" s="716"/>
      <c r="I87" s="716"/>
      <c r="J87" s="712" t="s">
        <v>173</v>
      </c>
      <c r="K87" s="712" t="s">
        <v>198</v>
      </c>
    </row>
    <row r="88" spans="1:11" ht="60" hidden="1" x14ac:dyDescent="0.2">
      <c r="A88" s="712" t="s">
        <v>12</v>
      </c>
      <c r="B88" s="713">
        <v>44665</v>
      </c>
      <c r="C88" s="714">
        <v>1729</v>
      </c>
      <c r="D88" s="714">
        <v>1737</v>
      </c>
      <c r="E88" s="712" t="s">
        <v>13</v>
      </c>
      <c r="F88" s="715">
        <v>781925</v>
      </c>
      <c r="G88" s="716">
        <v>-3.1800000000000002E-2</v>
      </c>
      <c r="H88" s="716" t="s">
        <v>194</v>
      </c>
      <c r="I88" s="716"/>
      <c r="J88" s="712" t="s">
        <v>173</v>
      </c>
      <c r="K88" s="712" t="s">
        <v>195</v>
      </c>
    </row>
    <row r="89" spans="1:11" ht="48" hidden="1" x14ac:dyDescent="0.2">
      <c r="A89" s="712" t="s">
        <v>24</v>
      </c>
      <c r="B89" s="713">
        <v>44665</v>
      </c>
      <c r="C89" s="714">
        <v>1555</v>
      </c>
      <c r="D89" s="714">
        <v>1619</v>
      </c>
      <c r="E89" s="712" t="s">
        <v>13</v>
      </c>
      <c r="F89" s="715">
        <v>289821</v>
      </c>
      <c r="G89" s="716">
        <v>-3.3700000000000001E-2</v>
      </c>
      <c r="H89" s="716" t="s">
        <v>254</v>
      </c>
      <c r="I89" s="716"/>
      <c r="J89" s="712" t="s">
        <v>255</v>
      </c>
      <c r="K89" s="712" t="s">
        <v>256</v>
      </c>
    </row>
    <row r="90" spans="1:11" hidden="1" x14ac:dyDescent="0.2">
      <c r="A90" s="712" t="s">
        <v>90</v>
      </c>
      <c r="B90" s="713">
        <v>44664</v>
      </c>
      <c r="C90" s="714"/>
      <c r="D90" s="714"/>
      <c r="E90" s="712" t="s">
        <v>13</v>
      </c>
      <c r="F90" s="715"/>
      <c r="G90" s="716"/>
      <c r="H90" s="716"/>
      <c r="I90" s="716"/>
    </row>
    <row r="91" spans="1:11" ht="48" hidden="1" x14ac:dyDescent="0.2">
      <c r="A91" s="712" t="s">
        <v>16</v>
      </c>
      <c r="B91" s="713">
        <v>44664</v>
      </c>
      <c r="C91" s="714"/>
      <c r="D91" s="714"/>
      <c r="E91" s="712" t="s">
        <v>13</v>
      </c>
      <c r="F91" s="715">
        <v>1558620</v>
      </c>
      <c r="G91" s="716">
        <v>-2.7699999999999999E-2</v>
      </c>
      <c r="H91" s="716" t="s">
        <v>186</v>
      </c>
      <c r="I91" s="716"/>
      <c r="J91" s="712" t="s">
        <v>173</v>
      </c>
      <c r="K91" s="712" t="s">
        <v>187</v>
      </c>
    </row>
    <row r="92" spans="1:11" ht="60" hidden="1" x14ac:dyDescent="0.2">
      <c r="A92" s="712" t="s">
        <v>44</v>
      </c>
      <c r="B92" s="713">
        <v>44664</v>
      </c>
      <c r="C92" s="714">
        <v>1642</v>
      </c>
      <c r="D92" s="714"/>
      <c r="E92" s="712" t="s">
        <v>13</v>
      </c>
      <c r="F92" s="715">
        <v>1036369.27</v>
      </c>
      <c r="G92" s="716">
        <v>-3.2899999999999999E-2</v>
      </c>
      <c r="H92" s="716" t="s">
        <v>190</v>
      </c>
      <c r="I92" s="716"/>
      <c r="J92" s="712" t="s">
        <v>173</v>
      </c>
      <c r="K92" s="712" t="s">
        <v>191</v>
      </c>
    </row>
    <row r="93" spans="1:11" ht="36" hidden="1" x14ac:dyDescent="0.2">
      <c r="A93" s="712" t="s">
        <v>78</v>
      </c>
      <c r="B93" s="713">
        <v>44663</v>
      </c>
      <c r="C93" s="714"/>
      <c r="D93" s="714"/>
      <c r="E93" s="712" t="s">
        <v>13</v>
      </c>
      <c r="F93" s="715"/>
      <c r="G93" s="716">
        <v>-2.7699999999999999E-2</v>
      </c>
      <c r="H93" s="716"/>
      <c r="I93" s="716"/>
      <c r="J93" s="712" t="s">
        <v>184</v>
      </c>
    </row>
    <row r="94" spans="1:11" ht="60" x14ac:dyDescent="0.2">
      <c r="A94" s="712" t="s">
        <v>18</v>
      </c>
      <c r="B94" s="713">
        <v>44663</v>
      </c>
      <c r="C94" s="714"/>
      <c r="D94" s="714"/>
      <c r="E94" s="712" t="s">
        <v>13</v>
      </c>
      <c r="F94" s="715"/>
      <c r="G94" s="716"/>
      <c r="H94" s="716"/>
      <c r="I94" s="716"/>
      <c r="J94" s="712" t="s">
        <v>185</v>
      </c>
    </row>
    <row r="95" spans="1:11" ht="72" x14ac:dyDescent="0.2">
      <c r="A95" s="712" t="s">
        <v>18</v>
      </c>
      <c r="B95" s="713">
        <v>44627</v>
      </c>
      <c r="C95" s="714">
        <v>1737</v>
      </c>
      <c r="D95" s="714">
        <v>1750</v>
      </c>
      <c r="E95" s="712" t="s">
        <v>13</v>
      </c>
      <c r="F95" s="715"/>
      <c r="G95" s="716"/>
      <c r="H95" s="716" t="s">
        <v>180</v>
      </c>
      <c r="I95" s="716"/>
      <c r="J95" s="712" t="s">
        <v>181</v>
      </c>
      <c r="K95" s="712" t="s">
        <v>182</v>
      </c>
    </row>
    <row r="96" spans="1:11" ht="24" hidden="1" x14ac:dyDescent="0.2">
      <c r="A96" s="712" t="s">
        <v>90</v>
      </c>
      <c r="B96" s="713">
        <v>44627</v>
      </c>
      <c r="C96" s="714">
        <v>1733</v>
      </c>
      <c r="D96" s="714"/>
      <c r="E96" s="712" t="s">
        <v>13</v>
      </c>
      <c r="F96" s="715"/>
      <c r="G96" s="716"/>
      <c r="H96" s="716"/>
      <c r="I96" s="716"/>
      <c r="J96" s="712" t="s">
        <v>183</v>
      </c>
    </row>
    <row r="97" spans="1:11" ht="36" hidden="1" x14ac:dyDescent="0.2">
      <c r="A97" s="712" t="s">
        <v>16</v>
      </c>
      <c r="B97" s="713">
        <v>44624</v>
      </c>
      <c r="C97" s="714">
        <v>1520</v>
      </c>
      <c r="D97" s="714">
        <v>1530</v>
      </c>
      <c r="E97" s="712" t="s">
        <v>13</v>
      </c>
      <c r="F97" s="715">
        <v>1552403</v>
      </c>
      <c r="G97" s="716">
        <v>-3.32E-2</v>
      </c>
      <c r="H97" s="716" t="s">
        <v>170</v>
      </c>
      <c r="I97" s="716"/>
      <c r="J97" s="712" t="s">
        <v>171</v>
      </c>
      <c r="K97" s="712" t="s">
        <v>172</v>
      </c>
    </row>
    <row r="98" spans="1:11" hidden="1" x14ac:dyDescent="0.2">
      <c r="A98" s="712" t="s">
        <v>90</v>
      </c>
      <c r="B98" s="713">
        <v>44624</v>
      </c>
      <c r="C98" s="714">
        <v>1510</v>
      </c>
      <c r="D98" s="714"/>
      <c r="E98" s="712" t="s">
        <v>13</v>
      </c>
      <c r="F98" s="715"/>
      <c r="G98" s="716"/>
      <c r="H98" s="716"/>
      <c r="I98" s="716"/>
      <c r="J98" s="712" t="s">
        <v>175</v>
      </c>
    </row>
    <row r="99" spans="1:11" ht="36" hidden="1" x14ac:dyDescent="0.2">
      <c r="A99" s="712" t="s">
        <v>44</v>
      </c>
      <c r="B99" s="713">
        <v>44624</v>
      </c>
      <c r="C99" s="714">
        <v>1835</v>
      </c>
      <c r="D99" s="714">
        <v>1903</v>
      </c>
      <c r="E99" s="712" t="s">
        <v>13</v>
      </c>
      <c r="F99" s="715">
        <v>1035620</v>
      </c>
      <c r="G99" s="716">
        <v>-3.9E-2</v>
      </c>
      <c r="H99" s="716" t="s">
        <v>178</v>
      </c>
      <c r="I99" s="716"/>
      <c r="J99" s="712" t="s">
        <v>171</v>
      </c>
      <c r="K99" s="712" t="s">
        <v>179</v>
      </c>
    </row>
    <row r="100" spans="1:11" ht="36" hidden="1" x14ac:dyDescent="0.2">
      <c r="A100" s="712" t="s">
        <v>70</v>
      </c>
      <c r="B100" s="713">
        <v>44624</v>
      </c>
      <c r="C100" s="714">
        <v>1546</v>
      </c>
      <c r="D100" s="714">
        <v>1604</v>
      </c>
      <c r="E100" s="712" t="s">
        <v>13</v>
      </c>
      <c r="F100" s="715">
        <v>550787</v>
      </c>
      <c r="G100" s="716">
        <v>-3.61E-2</v>
      </c>
      <c r="H100" s="716" t="s">
        <v>196</v>
      </c>
      <c r="I100" s="716"/>
      <c r="J100" s="712" t="s">
        <v>171</v>
      </c>
      <c r="K100" s="712" t="s">
        <v>197</v>
      </c>
    </row>
    <row r="101" spans="1:11" ht="96" hidden="1" x14ac:dyDescent="0.2">
      <c r="A101" s="712" t="s">
        <v>12</v>
      </c>
      <c r="B101" s="713">
        <v>44624</v>
      </c>
      <c r="C101" s="714">
        <v>1710</v>
      </c>
      <c r="D101" s="714">
        <v>1744</v>
      </c>
      <c r="E101" s="712" t="s">
        <v>13</v>
      </c>
      <c r="F101" s="715">
        <v>777906</v>
      </c>
      <c r="G101" s="716">
        <v>-3.9E-2</v>
      </c>
      <c r="H101" s="716" t="s">
        <v>176</v>
      </c>
      <c r="I101" s="716"/>
      <c r="J101" s="712" t="s">
        <v>171</v>
      </c>
      <c r="K101" s="712" t="s">
        <v>177</v>
      </c>
    </row>
    <row r="102" spans="1:11" ht="24" hidden="1" x14ac:dyDescent="0.2">
      <c r="A102" s="712" t="s">
        <v>15</v>
      </c>
      <c r="B102" s="713">
        <v>44595</v>
      </c>
      <c r="C102" s="714">
        <v>1207</v>
      </c>
      <c r="D102" s="714">
        <v>1210</v>
      </c>
      <c r="E102" s="712" t="s">
        <v>13</v>
      </c>
      <c r="F102" s="715"/>
      <c r="G102" s="716"/>
      <c r="H102" s="716"/>
      <c r="I102" s="716"/>
      <c r="J102" s="712" t="s">
        <v>168</v>
      </c>
      <c r="K102" s="712" t="s">
        <v>169</v>
      </c>
    </row>
    <row r="103" spans="1:11" ht="48" hidden="1" x14ac:dyDescent="0.2">
      <c r="A103" s="712" t="s">
        <v>15</v>
      </c>
      <c r="B103" s="713">
        <v>44593</v>
      </c>
      <c r="C103" s="714">
        <v>1500</v>
      </c>
      <c r="D103" s="714"/>
      <c r="E103" s="712" t="s">
        <v>64</v>
      </c>
      <c r="F103" s="715"/>
      <c r="G103" s="716"/>
      <c r="H103" s="716"/>
      <c r="I103" s="716"/>
      <c r="J103" s="712" t="s">
        <v>166</v>
      </c>
      <c r="K103" s="712" t="s">
        <v>167</v>
      </c>
    </row>
    <row r="104" spans="1:11" ht="108" hidden="1" x14ac:dyDescent="0.2">
      <c r="A104" s="712" t="s">
        <v>16</v>
      </c>
      <c r="B104" s="713">
        <v>44571</v>
      </c>
      <c r="C104" s="714">
        <v>1430</v>
      </c>
      <c r="D104" s="714">
        <v>1530</v>
      </c>
      <c r="E104" s="712" t="s">
        <v>64</v>
      </c>
      <c r="F104" s="715">
        <v>1611819.6</v>
      </c>
      <c r="G104" s="716">
        <v>1.1000000000000001E-3</v>
      </c>
      <c r="H104" s="716" t="s">
        <v>162</v>
      </c>
      <c r="I104" s="716" t="s">
        <v>163</v>
      </c>
      <c r="J104" s="712" t="s">
        <v>164</v>
      </c>
      <c r="K104" s="712" t="s">
        <v>165</v>
      </c>
    </row>
    <row r="105" spans="1:11" hidden="1" x14ac:dyDescent="0.2">
      <c r="A105" s="712" t="s">
        <v>156</v>
      </c>
      <c r="B105" s="713">
        <v>44552</v>
      </c>
      <c r="C105" s="714">
        <v>1612</v>
      </c>
      <c r="D105" s="714">
        <v>1615</v>
      </c>
      <c r="E105" s="712" t="s">
        <v>13</v>
      </c>
      <c r="F105" s="715"/>
      <c r="G105" s="716"/>
      <c r="H105" s="716"/>
      <c r="I105" s="716"/>
      <c r="J105" s="712" t="s">
        <v>159</v>
      </c>
      <c r="K105" s="712" t="s">
        <v>160</v>
      </c>
    </row>
    <row r="106" spans="1:11" hidden="1" x14ac:dyDescent="0.2">
      <c r="A106" s="712" t="s">
        <v>15</v>
      </c>
      <c r="B106" s="713">
        <v>44552</v>
      </c>
      <c r="C106" s="714">
        <v>1617</v>
      </c>
      <c r="D106" s="714">
        <v>1620</v>
      </c>
      <c r="E106" s="712" t="s">
        <v>13</v>
      </c>
      <c r="F106" s="715"/>
      <c r="G106" s="716"/>
      <c r="H106" s="716"/>
      <c r="I106" s="716"/>
      <c r="J106" s="712" t="s">
        <v>159</v>
      </c>
      <c r="K106" s="712" t="s">
        <v>161</v>
      </c>
    </row>
    <row r="107" spans="1:11" ht="96" hidden="1" x14ac:dyDescent="0.2">
      <c r="A107" s="712" t="s">
        <v>78</v>
      </c>
      <c r="B107" s="713">
        <v>44546</v>
      </c>
      <c r="C107" s="714">
        <v>1530</v>
      </c>
      <c r="D107" s="714">
        <v>1553</v>
      </c>
      <c r="F107" s="715">
        <v>340132</v>
      </c>
      <c r="G107" s="716">
        <v>6.5100000000000005E-2</v>
      </c>
      <c r="H107" s="716" t="s">
        <v>150</v>
      </c>
      <c r="I107" s="716" t="s">
        <v>151</v>
      </c>
      <c r="J107" s="724" t="s">
        <v>152</v>
      </c>
      <c r="K107" s="724" t="s">
        <v>153</v>
      </c>
    </row>
    <row r="108" spans="1:11" ht="60" hidden="1" x14ac:dyDescent="0.2">
      <c r="A108" s="712" t="s">
        <v>90</v>
      </c>
      <c r="B108" s="713">
        <v>44546</v>
      </c>
      <c r="C108" s="714"/>
      <c r="D108" s="714"/>
      <c r="F108" s="715">
        <v>598767</v>
      </c>
      <c r="G108" s="716">
        <v>4.8099999999999997E-2</v>
      </c>
      <c r="H108" s="716" t="s">
        <v>154</v>
      </c>
      <c r="I108" s="716" t="s">
        <v>155</v>
      </c>
    </row>
    <row r="109" spans="1:11" ht="60" hidden="1" x14ac:dyDescent="0.2">
      <c r="A109" s="712" t="s">
        <v>156</v>
      </c>
      <c r="B109" s="713">
        <v>44546</v>
      </c>
      <c r="C109" s="714"/>
      <c r="D109" s="714"/>
      <c r="F109" s="715">
        <v>709754</v>
      </c>
      <c r="G109" s="716">
        <v>1.72E-2</v>
      </c>
      <c r="H109" s="716" t="s">
        <v>157</v>
      </c>
      <c r="I109" s="716" t="s">
        <v>158</v>
      </c>
    </row>
    <row r="110" spans="1:11" ht="96" hidden="1" x14ac:dyDescent="0.2">
      <c r="A110" s="712" t="s">
        <v>70</v>
      </c>
      <c r="B110" s="713">
        <v>44546</v>
      </c>
      <c r="C110" s="714">
        <v>1445</v>
      </c>
      <c r="D110" s="714">
        <v>1502</v>
      </c>
      <c r="E110" s="712" t="s">
        <v>135</v>
      </c>
      <c r="F110" s="715">
        <v>571232</v>
      </c>
      <c r="G110" s="716">
        <v>7.6200000000000004E-2</v>
      </c>
      <c r="H110" s="716" t="s">
        <v>208</v>
      </c>
      <c r="I110" s="716" t="s">
        <v>209</v>
      </c>
      <c r="J110" s="724" t="s">
        <v>210</v>
      </c>
    </row>
    <row r="111" spans="1:11" ht="60" hidden="1" x14ac:dyDescent="0.2">
      <c r="A111" s="712" t="s">
        <v>106</v>
      </c>
      <c r="B111" s="713">
        <v>44545</v>
      </c>
      <c r="C111" s="714">
        <v>1043</v>
      </c>
      <c r="D111" s="714">
        <v>1101</v>
      </c>
      <c r="E111" s="712" t="s">
        <v>135</v>
      </c>
      <c r="F111" s="715">
        <v>116286.51</v>
      </c>
      <c r="G111" s="716">
        <v>5.5199999999999999E-2</v>
      </c>
      <c r="H111" s="716" t="s">
        <v>136</v>
      </c>
      <c r="I111" s="716" t="s">
        <v>137</v>
      </c>
      <c r="J111" s="724" t="s">
        <v>138</v>
      </c>
      <c r="K111" s="724" t="s">
        <v>139</v>
      </c>
    </row>
    <row r="112" spans="1:11" ht="60" hidden="1" x14ac:dyDescent="0.2">
      <c r="A112" s="712" t="s">
        <v>21</v>
      </c>
      <c r="B112" s="713">
        <v>44545</v>
      </c>
      <c r="C112" s="714">
        <v>1150</v>
      </c>
      <c r="D112" s="714">
        <v>1200</v>
      </c>
      <c r="E112" s="712" t="s">
        <v>135</v>
      </c>
      <c r="F112" s="715">
        <v>505631</v>
      </c>
      <c r="G112" s="716">
        <v>3.0200000000000001E-2</v>
      </c>
      <c r="H112" s="716" t="s">
        <v>140</v>
      </c>
      <c r="I112" s="716" t="s">
        <v>141</v>
      </c>
      <c r="J112" s="724" t="s">
        <v>142</v>
      </c>
      <c r="K112" s="724" t="s">
        <v>143</v>
      </c>
    </row>
    <row r="113" spans="1:11" ht="60" hidden="1" x14ac:dyDescent="0.2">
      <c r="A113" s="712" t="s">
        <v>44</v>
      </c>
      <c r="B113" s="713">
        <v>44545</v>
      </c>
      <c r="C113" s="714">
        <v>1140</v>
      </c>
      <c r="D113" s="714">
        <v>1147</v>
      </c>
      <c r="E113" s="712" t="s">
        <v>135</v>
      </c>
      <c r="F113" s="715">
        <v>1069205.43</v>
      </c>
      <c r="G113" s="716">
        <v>7.0800000000000002E-2</v>
      </c>
      <c r="H113" s="716" t="s">
        <v>144</v>
      </c>
      <c r="I113" s="716" t="s">
        <v>145</v>
      </c>
      <c r="J113" s="724" t="s">
        <v>146</v>
      </c>
    </row>
    <row r="114" spans="1:11" ht="60" hidden="1" x14ac:dyDescent="0.2">
      <c r="A114" s="712" t="s">
        <v>16</v>
      </c>
      <c r="B114" s="713">
        <v>44544</v>
      </c>
      <c r="C114" s="714">
        <v>1510</v>
      </c>
      <c r="D114" s="714">
        <v>1520</v>
      </c>
      <c r="E114" s="712" t="s">
        <v>13</v>
      </c>
      <c r="F114" s="715">
        <v>1589424</v>
      </c>
      <c r="G114" s="716">
        <v>5.6500000000000002E-2</v>
      </c>
      <c r="H114" s="716" t="s">
        <v>127</v>
      </c>
      <c r="I114" s="716" t="s">
        <v>128</v>
      </c>
      <c r="J114" s="724" t="s">
        <v>129</v>
      </c>
    </row>
    <row r="115" spans="1:11" ht="72" x14ac:dyDescent="0.2">
      <c r="A115" s="712" t="s">
        <v>18</v>
      </c>
      <c r="B115" s="713">
        <v>44544</v>
      </c>
      <c r="C115" s="714">
        <v>1550</v>
      </c>
      <c r="D115" s="714">
        <v>1611</v>
      </c>
      <c r="E115" s="712" t="s">
        <v>13</v>
      </c>
      <c r="F115" s="715">
        <v>3606793</v>
      </c>
      <c r="G115" s="716">
        <v>3.2300000000000002E-2</v>
      </c>
      <c r="H115" s="716"/>
      <c r="I115" s="716"/>
      <c r="J115" s="724" t="s">
        <v>130</v>
      </c>
      <c r="K115" s="724" t="s">
        <v>131</v>
      </c>
    </row>
    <row r="116" spans="1:11" ht="120" hidden="1" x14ac:dyDescent="0.2">
      <c r="A116" s="712" t="s">
        <v>12</v>
      </c>
      <c r="B116" s="713">
        <v>44544</v>
      </c>
      <c r="C116" s="714">
        <v>1628</v>
      </c>
      <c r="D116" s="714">
        <v>1646</v>
      </c>
      <c r="E116" s="712" t="s">
        <v>13</v>
      </c>
      <c r="F116" s="715">
        <v>804734</v>
      </c>
      <c r="G116" s="716">
        <v>2.98E-2</v>
      </c>
      <c r="H116" s="716"/>
      <c r="I116" s="716"/>
      <c r="J116" s="724" t="s">
        <v>125</v>
      </c>
      <c r="K116" s="724" t="s">
        <v>126</v>
      </c>
    </row>
    <row r="117" spans="1:11" ht="60" hidden="1" x14ac:dyDescent="0.2">
      <c r="A117" s="712" t="s">
        <v>24</v>
      </c>
      <c r="B117" s="713">
        <v>44544</v>
      </c>
      <c r="C117" s="714">
        <v>1612</v>
      </c>
      <c r="D117" s="714">
        <v>1617</v>
      </c>
      <c r="E117" s="712" t="s">
        <v>13</v>
      </c>
      <c r="F117" s="715">
        <v>313636.19</v>
      </c>
      <c r="G117" s="716">
        <v>4.8800000000000003E-2</v>
      </c>
      <c r="H117" s="716" t="s">
        <v>266</v>
      </c>
      <c r="I117" s="716" t="s">
        <v>267</v>
      </c>
      <c r="J117" s="724" t="s">
        <v>268</v>
      </c>
      <c r="K117" s="724" t="s">
        <v>269</v>
      </c>
    </row>
    <row r="118" spans="1:11" hidden="1" x14ac:dyDescent="0.2">
      <c r="A118" s="712" t="s">
        <v>30</v>
      </c>
      <c r="B118" s="713">
        <v>44489</v>
      </c>
      <c r="C118" s="714">
        <v>1630</v>
      </c>
      <c r="D118" s="714">
        <v>1632</v>
      </c>
      <c r="E118" s="712" t="s">
        <v>13</v>
      </c>
      <c r="F118" s="715"/>
      <c r="G118" s="716"/>
      <c r="H118" s="716"/>
      <c r="I118" s="716"/>
      <c r="J118" s="724" t="s">
        <v>123</v>
      </c>
      <c r="K118" s="724" t="s">
        <v>124</v>
      </c>
    </row>
    <row r="119" spans="1:11" ht="48" hidden="1" x14ac:dyDescent="0.2">
      <c r="A119" s="712" t="s">
        <v>24</v>
      </c>
      <c r="B119" s="713">
        <v>44460</v>
      </c>
      <c r="C119" s="714">
        <v>1750</v>
      </c>
      <c r="D119" s="714">
        <v>1808</v>
      </c>
      <c r="E119" s="712" t="s">
        <v>13</v>
      </c>
      <c r="F119" s="715">
        <v>314792.7</v>
      </c>
      <c r="G119" s="716">
        <v>4.9000000000000002E-2</v>
      </c>
      <c r="H119" s="716"/>
      <c r="I119" s="716"/>
      <c r="J119" s="724" t="s">
        <v>270</v>
      </c>
    </row>
    <row r="120" spans="1:11" ht="48" hidden="1" x14ac:dyDescent="0.2">
      <c r="A120" s="712" t="s">
        <v>12</v>
      </c>
      <c r="B120" s="713">
        <v>44455</v>
      </c>
      <c r="C120" s="714">
        <v>1719</v>
      </c>
      <c r="D120" s="714">
        <v>1735</v>
      </c>
      <c r="E120" s="712" t="s">
        <v>13</v>
      </c>
      <c r="F120" s="715"/>
      <c r="G120" s="716"/>
      <c r="H120" s="716"/>
      <c r="I120" s="716"/>
      <c r="J120" s="724" t="s">
        <v>118</v>
      </c>
      <c r="K120" s="724" t="s">
        <v>119</v>
      </c>
    </row>
    <row r="121" spans="1:11" ht="60" hidden="1" x14ac:dyDescent="0.2">
      <c r="A121" s="712" t="s">
        <v>16</v>
      </c>
      <c r="B121" s="713">
        <v>44428</v>
      </c>
      <c r="C121" s="714">
        <v>1059</v>
      </c>
      <c r="D121" s="714">
        <v>1105</v>
      </c>
      <c r="E121" s="712" t="s">
        <v>13</v>
      </c>
      <c r="F121" s="715"/>
      <c r="G121" s="716"/>
      <c r="H121" s="716"/>
      <c r="I121" s="716"/>
      <c r="J121" s="712" t="s">
        <v>116</v>
      </c>
      <c r="K121" s="712" t="s">
        <v>117</v>
      </c>
    </row>
    <row r="122" spans="1:11" ht="36" hidden="1" x14ac:dyDescent="0.2">
      <c r="A122" s="712" t="s">
        <v>15</v>
      </c>
      <c r="B122" s="713">
        <v>44412</v>
      </c>
      <c r="C122" s="714">
        <v>1025</v>
      </c>
      <c r="D122" s="714">
        <v>1029</v>
      </c>
      <c r="E122" s="712" t="s">
        <v>13</v>
      </c>
      <c r="F122" s="715"/>
      <c r="G122" s="716"/>
      <c r="H122" s="716"/>
      <c r="I122" s="716"/>
      <c r="J122" s="724" t="s">
        <v>113</v>
      </c>
    </row>
    <row r="123" spans="1:11" ht="48" hidden="1" x14ac:dyDescent="0.2">
      <c r="A123" s="712" t="s">
        <v>16</v>
      </c>
      <c r="B123" s="713">
        <v>44412</v>
      </c>
      <c r="C123" s="714">
        <v>1500</v>
      </c>
      <c r="D123" s="714">
        <v>1630</v>
      </c>
      <c r="E123" s="712" t="s">
        <v>64</v>
      </c>
      <c r="F123" s="715">
        <v>1596324</v>
      </c>
      <c r="G123" s="716">
        <v>4.5600000000000002E-2</v>
      </c>
      <c r="H123" s="716" t="s">
        <v>114</v>
      </c>
      <c r="I123" s="716" t="s">
        <v>115</v>
      </c>
    </row>
    <row r="124" spans="1:11" ht="48" hidden="1" x14ac:dyDescent="0.2">
      <c r="A124" s="712" t="s">
        <v>15</v>
      </c>
      <c r="B124" s="713">
        <v>44407</v>
      </c>
      <c r="C124" s="714">
        <v>1730</v>
      </c>
      <c r="D124" s="714">
        <v>1740</v>
      </c>
      <c r="E124" s="712" t="s">
        <v>13</v>
      </c>
      <c r="F124" s="715"/>
      <c r="G124" s="716"/>
      <c r="H124" s="716"/>
      <c r="I124" s="716"/>
      <c r="J124" s="724" t="s">
        <v>111</v>
      </c>
      <c r="K124" s="724" t="s">
        <v>112</v>
      </c>
    </row>
    <row r="125" spans="1:11" ht="60" hidden="1" x14ac:dyDescent="0.2">
      <c r="A125" s="712" t="s">
        <v>44</v>
      </c>
      <c r="B125" s="713">
        <v>44405</v>
      </c>
      <c r="C125" s="714">
        <v>1450</v>
      </c>
      <c r="D125" s="714">
        <v>1505</v>
      </c>
      <c r="E125" s="712" t="s">
        <v>13</v>
      </c>
      <c r="F125" s="715">
        <v>1044824.38</v>
      </c>
      <c r="G125" s="716">
        <v>4.4200000000000003E-2</v>
      </c>
      <c r="H125" s="716"/>
      <c r="I125" s="716"/>
      <c r="J125" s="724" t="s">
        <v>109</v>
      </c>
      <c r="K125" s="724" t="s">
        <v>110</v>
      </c>
    </row>
    <row r="126" spans="1:11" ht="48" hidden="1" x14ac:dyDescent="0.2">
      <c r="A126" s="712" t="s">
        <v>106</v>
      </c>
      <c r="B126" s="713">
        <v>44391</v>
      </c>
      <c r="C126" s="714">
        <v>1450</v>
      </c>
      <c r="D126" s="714">
        <v>1515</v>
      </c>
      <c r="E126" s="712" t="s">
        <v>13</v>
      </c>
      <c r="F126" s="715">
        <v>102861.9</v>
      </c>
      <c r="G126" s="716">
        <v>2.1600000000000001E-2</v>
      </c>
      <c r="H126" s="716"/>
      <c r="I126" s="716"/>
      <c r="J126" s="724" t="s">
        <v>107</v>
      </c>
      <c r="K126" s="724" t="s">
        <v>108</v>
      </c>
    </row>
    <row r="127" spans="1:11" ht="48" hidden="1" x14ac:dyDescent="0.2">
      <c r="A127" s="712" t="s">
        <v>44</v>
      </c>
      <c r="B127" s="713">
        <v>44390</v>
      </c>
      <c r="C127" s="714">
        <v>1100</v>
      </c>
      <c r="D127" s="714">
        <v>1200</v>
      </c>
      <c r="E127" s="712" t="s">
        <v>103</v>
      </c>
      <c r="F127" s="715">
        <v>1078486.07</v>
      </c>
      <c r="G127" s="716">
        <v>4.7699999999999999E-2</v>
      </c>
      <c r="H127" s="716"/>
      <c r="I127" s="716"/>
      <c r="J127" s="724" t="s">
        <v>104</v>
      </c>
      <c r="K127" s="724" t="s">
        <v>105</v>
      </c>
    </row>
    <row r="128" spans="1:11" ht="36" hidden="1" x14ac:dyDescent="0.2">
      <c r="A128" s="712" t="s">
        <v>30</v>
      </c>
      <c r="B128" s="713">
        <v>44354</v>
      </c>
      <c r="C128" s="714">
        <v>1415</v>
      </c>
      <c r="D128" s="714">
        <v>1425</v>
      </c>
      <c r="E128" s="712" t="s">
        <v>13</v>
      </c>
      <c r="F128" s="715"/>
      <c r="G128" s="716"/>
      <c r="H128" s="716"/>
      <c r="I128" s="716"/>
      <c r="J128" s="724" t="s">
        <v>101</v>
      </c>
      <c r="K128" s="724" t="s">
        <v>102</v>
      </c>
    </row>
    <row r="129" spans="1:11" hidden="1" x14ac:dyDescent="0.2">
      <c r="A129" s="712" t="s">
        <v>21</v>
      </c>
      <c r="B129" s="713">
        <v>44351</v>
      </c>
      <c r="C129" s="714">
        <v>1741</v>
      </c>
      <c r="D129" s="714">
        <v>1741</v>
      </c>
      <c r="E129" s="712" t="s">
        <v>41</v>
      </c>
      <c r="F129" s="715"/>
      <c r="G129" s="716"/>
      <c r="H129" s="716"/>
      <c r="I129" s="716"/>
      <c r="J129" s="712" t="s">
        <v>100</v>
      </c>
    </row>
    <row r="130" spans="1:11" ht="24" hidden="1" x14ac:dyDescent="0.2">
      <c r="A130" s="712" t="s">
        <v>21</v>
      </c>
      <c r="B130" s="713">
        <v>44350</v>
      </c>
      <c r="C130" s="714">
        <v>1015</v>
      </c>
      <c r="D130" s="714">
        <v>1025</v>
      </c>
      <c r="E130" s="712" t="s">
        <v>13</v>
      </c>
      <c r="F130" s="715">
        <v>494328</v>
      </c>
      <c r="G130" s="716">
        <v>3.5000000000000001E-3</v>
      </c>
      <c r="H130" s="716"/>
      <c r="I130" s="716"/>
      <c r="J130" s="712" t="s">
        <v>98</v>
      </c>
      <c r="K130" s="712" t="s">
        <v>99</v>
      </c>
    </row>
    <row r="131" spans="1:11" ht="24" hidden="1" x14ac:dyDescent="0.2">
      <c r="A131" s="712" t="s">
        <v>16</v>
      </c>
      <c r="B131" s="713">
        <v>44308</v>
      </c>
      <c r="C131" s="714"/>
      <c r="D131" s="714"/>
      <c r="E131" s="712" t="s">
        <v>96</v>
      </c>
      <c r="F131" s="715"/>
      <c r="G131" s="716"/>
      <c r="H131" s="716"/>
      <c r="I131" s="716"/>
      <c r="J131" s="724" t="s">
        <v>97</v>
      </c>
    </row>
    <row r="132" spans="1:11" ht="24" hidden="1" x14ac:dyDescent="0.2">
      <c r="A132" s="712" t="s">
        <v>47</v>
      </c>
      <c r="B132" s="713">
        <v>44292</v>
      </c>
      <c r="C132" s="714">
        <v>916</v>
      </c>
      <c r="D132" s="714">
        <v>917</v>
      </c>
      <c r="E132" s="712" t="s">
        <v>41</v>
      </c>
      <c r="F132" s="715">
        <v>575661</v>
      </c>
      <c r="G132" s="716">
        <v>2.3999999999999998E-3</v>
      </c>
      <c r="H132" s="716"/>
      <c r="I132" s="716"/>
      <c r="J132" s="724" t="s">
        <v>95</v>
      </c>
    </row>
    <row r="133" spans="1:11" ht="48" hidden="1" x14ac:dyDescent="0.2">
      <c r="A133" s="712" t="s">
        <v>16</v>
      </c>
      <c r="B133" s="713">
        <v>44287</v>
      </c>
      <c r="C133" s="714">
        <v>1609</v>
      </c>
      <c r="D133" s="714">
        <v>1621</v>
      </c>
      <c r="E133" s="712" t="s">
        <v>13</v>
      </c>
      <c r="F133" s="715">
        <v>1539216</v>
      </c>
      <c r="G133" s="716">
        <v>1.8700000000000001E-2</v>
      </c>
      <c r="H133" s="716"/>
      <c r="I133" s="716"/>
      <c r="J133" s="724" t="s">
        <v>80</v>
      </c>
      <c r="K133" s="724" t="s">
        <v>81</v>
      </c>
    </row>
    <row r="134" spans="1:11" ht="36" hidden="1" x14ac:dyDescent="0.2">
      <c r="A134" s="712" t="s">
        <v>44</v>
      </c>
      <c r="B134" s="713">
        <v>44287</v>
      </c>
      <c r="C134" s="714">
        <v>1704</v>
      </c>
      <c r="D134" s="714">
        <v>1716</v>
      </c>
      <c r="E134" s="712" t="s">
        <v>13</v>
      </c>
      <c r="F134" s="715">
        <v>1041825</v>
      </c>
      <c r="G134" s="716">
        <v>8.0000000000000002E-3</v>
      </c>
      <c r="H134" s="716"/>
      <c r="I134" s="716"/>
      <c r="J134" s="724" t="s">
        <v>86</v>
      </c>
      <c r="K134" s="724" t="s">
        <v>87</v>
      </c>
    </row>
    <row r="135" spans="1:11" ht="48" hidden="1" x14ac:dyDescent="0.2">
      <c r="A135" s="712" t="s">
        <v>90</v>
      </c>
      <c r="B135" s="713">
        <v>44287</v>
      </c>
      <c r="C135" s="714">
        <v>1738</v>
      </c>
      <c r="D135" s="714">
        <v>1806</v>
      </c>
      <c r="E135" s="712" t="s">
        <v>13</v>
      </c>
      <c r="F135" s="715">
        <v>587332</v>
      </c>
      <c r="G135" s="716">
        <v>1.83E-2</v>
      </c>
      <c r="H135" s="716"/>
      <c r="I135" s="716"/>
      <c r="J135" s="724" t="s">
        <v>91</v>
      </c>
      <c r="K135" s="724" t="s">
        <v>92</v>
      </c>
    </row>
    <row r="136" spans="1:11" ht="36" x14ac:dyDescent="0.2">
      <c r="A136" s="712" t="s">
        <v>18</v>
      </c>
      <c r="B136" s="713">
        <v>44287</v>
      </c>
      <c r="C136" s="714">
        <v>1510</v>
      </c>
      <c r="D136" s="714">
        <v>1529</v>
      </c>
      <c r="E136" s="712" t="s">
        <v>13</v>
      </c>
      <c r="F136" s="715">
        <v>3630454.95</v>
      </c>
      <c r="G136" s="716">
        <v>5.1999999999999998E-3</v>
      </c>
      <c r="H136" s="716"/>
      <c r="I136" s="716"/>
      <c r="J136" s="724" t="s">
        <v>93</v>
      </c>
      <c r="K136" s="712" t="s">
        <v>94</v>
      </c>
    </row>
    <row r="137" spans="1:11" ht="36" hidden="1" x14ac:dyDescent="0.2">
      <c r="A137" s="712" t="s">
        <v>24</v>
      </c>
      <c r="B137" s="713">
        <v>44287</v>
      </c>
      <c r="C137" s="714">
        <v>1621</v>
      </c>
      <c r="D137" s="714">
        <v>1639</v>
      </c>
      <c r="E137" s="712" t="s">
        <v>13</v>
      </c>
      <c r="F137" s="715">
        <v>316571</v>
      </c>
      <c r="G137" s="716">
        <v>1.06E-2</v>
      </c>
      <c r="H137" s="716"/>
      <c r="I137" s="716"/>
      <c r="J137" s="724" t="s">
        <v>85</v>
      </c>
      <c r="K137" s="724" t="s">
        <v>81</v>
      </c>
    </row>
    <row r="138" spans="1:11" ht="36" hidden="1" x14ac:dyDescent="0.2">
      <c r="A138" s="712" t="s">
        <v>12</v>
      </c>
      <c r="B138" s="713">
        <v>44287</v>
      </c>
      <c r="C138" s="714">
        <v>1650</v>
      </c>
      <c r="D138" s="714">
        <v>1700</v>
      </c>
      <c r="E138" s="712" t="s">
        <v>13</v>
      </c>
      <c r="F138" s="715">
        <v>790081</v>
      </c>
      <c r="G138" s="716">
        <v>4.5999999999999999E-3</v>
      </c>
      <c r="H138" s="716"/>
      <c r="I138" s="716"/>
      <c r="J138" s="724" t="s">
        <v>85</v>
      </c>
      <c r="K138" s="724" t="s">
        <v>81</v>
      </c>
    </row>
    <row r="139" spans="1:11" ht="36" hidden="1" x14ac:dyDescent="0.2">
      <c r="A139" s="712" t="s">
        <v>70</v>
      </c>
      <c r="B139" s="713">
        <v>44287</v>
      </c>
      <c r="C139" s="714">
        <v>1717</v>
      </c>
      <c r="D139" s="714">
        <v>1732</v>
      </c>
      <c r="E139" s="712" t="s">
        <v>13</v>
      </c>
      <c r="F139" s="715">
        <v>551085</v>
      </c>
      <c r="G139" s="716">
        <v>1.2999999999999999E-2</v>
      </c>
      <c r="H139" s="716"/>
      <c r="I139" s="716"/>
      <c r="J139" s="724" t="s">
        <v>295</v>
      </c>
      <c r="K139" s="724" t="s">
        <v>296</v>
      </c>
    </row>
    <row r="140" spans="1:11" ht="48" hidden="1" x14ac:dyDescent="0.2">
      <c r="A140" s="712" t="s">
        <v>21</v>
      </c>
      <c r="B140" s="713">
        <v>44284</v>
      </c>
      <c r="C140" s="714">
        <v>1429</v>
      </c>
      <c r="D140" s="714">
        <v>1438</v>
      </c>
      <c r="E140" s="712" t="s">
        <v>13</v>
      </c>
      <c r="F140" s="715">
        <v>490607.4</v>
      </c>
      <c r="G140" s="716">
        <v>-5.8999999999999999E-3</v>
      </c>
      <c r="H140" s="716"/>
      <c r="I140" s="716"/>
      <c r="J140" s="724" t="s">
        <v>79</v>
      </c>
    </row>
    <row r="141" spans="1:11" ht="60" hidden="1" x14ac:dyDescent="0.2">
      <c r="A141" s="712" t="s">
        <v>16</v>
      </c>
      <c r="B141" s="713">
        <v>44188</v>
      </c>
      <c r="C141" s="714">
        <v>1615</v>
      </c>
      <c r="D141" s="714"/>
      <c r="E141" s="712" t="s">
        <v>13</v>
      </c>
      <c r="F141" s="715">
        <v>1499139</v>
      </c>
      <c r="G141" s="716">
        <v>3.1699999999999999E-2</v>
      </c>
      <c r="H141" s="716"/>
      <c r="I141" s="716"/>
      <c r="J141" s="724" t="s">
        <v>63</v>
      </c>
    </row>
    <row r="142" spans="1:11" ht="48" x14ac:dyDescent="0.2">
      <c r="A142" s="712" t="s">
        <v>18</v>
      </c>
      <c r="B142" s="713">
        <v>44188</v>
      </c>
      <c r="C142" s="714">
        <v>1641</v>
      </c>
      <c r="D142" s="714">
        <v>1651</v>
      </c>
      <c r="F142" s="715">
        <v>3583013</v>
      </c>
      <c r="G142" s="716">
        <v>2.4400000000000002E-2</v>
      </c>
      <c r="H142" s="716"/>
      <c r="I142" s="716"/>
      <c r="J142" s="724" t="s">
        <v>68</v>
      </c>
    </row>
    <row r="143" spans="1:11" ht="24" hidden="1" x14ac:dyDescent="0.2">
      <c r="A143" s="712" t="s">
        <v>15</v>
      </c>
      <c r="B143" s="713">
        <v>44188</v>
      </c>
      <c r="C143" s="714">
        <v>1654</v>
      </c>
      <c r="D143" s="714">
        <v>1700</v>
      </c>
      <c r="F143" s="715">
        <v>3519986</v>
      </c>
      <c r="G143" s="716">
        <v>2.1600000000000001E-2</v>
      </c>
      <c r="H143" s="716"/>
      <c r="I143" s="716"/>
      <c r="J143" s="724" t="s">
        <v>69</v>
      </c>
    </row>
    <row r="144" spans="1:11" ht="60" hidden="1" x14ac:dyDescent="0.2">
      <c r="A144" s="712" t="s">
        <v>44</v>
      </c>
      <c r="B144" s="713">
        <v>44188</v>
      </c>
      <c r="C144" s="714">
        <v>1708</v>
      </c>
      <c r="D144" s="714">
        <v>1713</v>
      </c>
      <c r="F144" s="715">
        <v>1024112.24</v>
      </c>
      <c r="G144" s="716">
        <v>2.3599999999999999E-2</v>
      </c>
      <c r="H144" s="716"/>
      <c r="I144" s="716"/>
      <c r="J144" s="724" t="s">
        <v>74</v>
      </c>
      <c r="K144" s="724" t="s">
        <v>75</v>
      </c>
    </row>
    <row r="145" spans="1:12" ht="24" hidden="1" x14ac:dyDescent="0.2">
      <c r="A145" s="712" t="s">
        <v>21</v>
      </c>
      <c r="B145" s="713">
        <v>44188</v>
      </c>
      <c r="C145" s="714">
        <v>1717</v>
      </c>
      <c r="D145" s="714">
        <v>1721</v>
      </c>
      <c r="F145" s="715">
        <v>491397.21</v>
      </c>
      <c r="G145" s="716">
        <v>2.6800000000000001E-2</v>
      </c>
      <c r="H145" s="716"/>
      <c r="I145" s="716"/>
      <c r="J145" s="724" t="s">
        <v>76</v>
      </c>
    </row>
    <row r="146" spans="1:12" hidden="1" x14ac:dyDescent="0.2">
      <c r="A146" s="712" t="s">
        <v>78</v>
      </c>
      <c r="B146" s="713">
        <v>44188</v>
      </c>
      <c r="C146" s="714">
        <v>1737</v>
      </c>
      <c r="D146" s="714"/>
      <c r="F146" s="715">
        <v>466209</v>
      </c>
      <c r="G146" s="716">
        <v>3.9600000000000003E-2</v>
      </c>
      <c r="H146" s="716"/>
      <c r="I146" s="716"/>
    </row>
    <row r="147" spans="1:12" ht="60" hidden="1" x14ac:dyDescent="0.2">
      <c r="A147" s="712" t="s">
        <v>24</v>
      </c>
      <c r="B147" s="713">
        <v>44188</v>
      </c>
      <c r="C147" s="714">
        <v>1627</v>
      </c>
      <c r="D147" s="714">
        <v>1640</v>
      </c>
      <c r="E147" s="712" t="s">
        <v>13</v>
      </c>
      <c r="F147" s="715">
        <v>310749</v>
      </c>
      <c r="G147" s="716">
        <v>3.2500000000000001E-2</v>
      </c>
      <c r="H147" s="716"/>
      <c r="I147" s="716"/>
      <c r="J147" s="724" t="s">
        <v>297</v>
      </c>
    </row>
    <row r="148" spans="1:12" ht="24" hidden="1" x14ac:dyDescent="0.2">
      <c r="A148" s="712" t="s">
        <v>70</v>
      </c>
      <c r="B148" s="713">
        <v>44188</v>
      </c>
      <c r="C148" s="714">
        <v>1651</v>
      </c>
      <c r="D148" s="714">
        <v>1654</v>
      </c>
      <c r="F148" s="715">
        <v>544873</v>
      </c>
      <c r="G148" s="716">
        <v>2.1499999999999998E-2</v>
      </c>
      <c r="H148" s="716"/>
      <c r="I148" s="716"/>
      <c r="J148" s="724" t="s">
        <v>309</v>
      </c>
    </row>
    <row r="149" spans="1:12" ht="96" hidden="1" x14ac:dyDescent="0.2">
      <c r="A149" s="712" t="s">
        <v>12</v>
      </c>
      <c r="B149" s="713">
        <v>44188</v>
      </c>
      <c r="C149" s="714">
        <v>1723</v>
      </c>
      <c r="D149" s="714">
        <v>1732</v>
      </c>
      <c r="F149" s="715">
        <v>781130.28</v>
      </c>
      <c r="G149" s="716">
        <v>3.6299999999999999E-2</v>
      </c>
      <c r="H149" s="716"/>
      <c r="I149" s="716"/>
      <c r="J149" s="724" t="s">
        <v>77</v>
      </c>
    </row>
    <row r="150" spans="1:12" ht="84" hidden="1" x14ac:dyDescent="0.2">
      <c r="A150" s="712" t="s">
        <v>24</v>
      </c>
      <c r="B150" s="713">
        <v>44123</v>
      </c>
      <c r="C150" s="714">
        <v>1430</v>
      </c>
      <c r="D150" s="714">
        <v>1700</v>
      </c>
      <c r="E150" s="712" t="s">
        <v>64</v>
      </c>
      <c r="F150" s="715">
        <v>308471</v>
      </c>
      <c r="G150" s="716">
        <v>2.0500000000000001E-2</v>
      </c>
      <c r="H150" s="716"/>
      <c r="I150" s="716"/>
      <c r="J150" s="724" t="s">
        <v>300</v>
      </c>
      <c r="K150" s="724" t="s">
        <v>301</v>
      </c>
      <c r="L150" s="712" t="s">
        <v>302</v>
      </c>
    </row>
    <row r="151" spans="1:12" hidden="1" x14ac:dyDescent="0.2">
      <c r="A151" s="712" t="s">
        <v>16</v>
      </c>
      <c r="B151" s="713">
        <v>44118</v>
      </c>
      <c r="C151" s="714">
        <v>1610</v>
      </c>
      <c r="D151" s="714">
        <v>1615</v>
      </c>
      <c r="E151" s="712" t="s">
        <v>13</v>
      </c>
      <c r="F151" s="715"/>
      <c r="G151" s="716"/>
      <c r="H151" s="716"/>
      <c r="I151" s="716"/>
      <c r="J151" s="724" t="s">
        <v>59</v>
      </c>
      <c r="K151" s="724" t="s">
        <v>60</v>
      </c>
    </row>
    <row r="152" spans="1:12" ht="48" x14ac:dyDescent="0.2">
      <c r="A152" s="712" t="s">
        <v>18</v>
      </c>
      <c r="B152" s="713">
        <v>44118</v>
      </c>
      <c r="C152" s="714">
        <v>1630</v>
      </c>
      <c r="D152" s="714">
        <v>1655</v>
      </c>
      <c r="E152" s="712" t="s">
        <v>13</v>
      </c>
      <c r="F152" s="715">
        <v>3579551.23</v>
      </c>
      <c r="G152" s="716">
        <v>2.24E-2</v>
      </c>
      <c r="H152" s="716"/>
      <c r="I152" s="716"/>
      <c r="J152" s="724" t="s">
        <v>61</v>
      </c>
      <c r="K152" s="724" t="s">
        <v>62</v>
      </c>
    </row>
    <row r="153" spans="1:12" hidden="1" x14ac:dyDescent="0.2">
      <c r="A153" s="712" t="s">
        <v>12</v>
      </c>
      <c r="B153" s="713">
        <v>44118</v>
      </c>
      <c r="C153" s="714"/>
      <c r="D153" s="714"/>
      <c r="F153" s="715">
        <v>778847</v>
      </c>
      <c r="G153" s="716">
        <v>2.8199999999999999E-2</v>
      </c>
      <c r="H153" s="716"/>
      <c r="I153" s="716"/>
    </row>
    <row r="154" spans="1:12" hidden="1" x14ac:dyDescent="0.2">
      <c r="A154" s="712" t="s">
        <v>47</v>
      </c>
      <c r="B154" s="713">
        <v>44109</v>
      </c>
      <c r="C154" s="714">
        <v>855</v>
      </c>
      <c r="D154" s="714">
        <v>900</v>
      </c>
      <c r="E154" s="712" t="s">
        <v>55</v>
      </c>
      <c r="F154" s="715">
        <v>557834</v>
      </c>
      <c r="G154" s="716">
        <v>-1.5599999999999999E-2</v>
      </c>
      <c r="H154" s="716"/>
      <c r="I154" s="716"/>
      <c r="J154" s="724" t="s">
        <v>57</v>
      </c>
      <c r="K154" s="724" t="s">
        <v>58</v>
      </c>
    </row>
    <row r="155" spans="1:12" ht="24" hidden="1" x14ac:dyDescent="0.2">
      <c r="A155" s="712" t="s">
        <v>30</v>
      </c>
      <c r="B155" s="713">
        <v>44062</v>
      </c>
      <c r="C155" s="714">
        <v>930</v>
      </c>
      <c r="D155" s="714">
        <v>940</v>
      </c>
      <c r="E155" s="712" t="s">
        <v>13</v>
      </c>
      <c r="F155" s="715"/>
      <c r="G155" s="716"/>
      <c r="H155" s="716"/>
      <c r="I155" s="716"/>
      <c r="J155" s="724" t="s">
        <v>53</v>
      </c>
      <c r="K155" s="724" t="s">
        <v>54</v>
      </c>
    </row>
    <row r="156" spans="1:12" hidden="1" x14ac:dyDescent="0.2">
      <c r="A156" s="712" t="s">
        <v>30</v>
      </c>
      <c r="B156" s="713">
        <v>44062</v>
      </c>
      <c r="C156" s="714">
        <v>1220</v>
      </c>
      <c r="D156" s="714"/>
      <c r="E156" s="712" t="s">
        <v>55</v>
      </c>
      <c r="F156" s="715"/>
      <c r="G156" s="716"/>
      <c r="H156" s="716"/>
      <c r="I156" s="716"/>
      <c r="J156" s="724" t="s">
        <v>56</v>
      </c>
    </row>
    <row r="157" spans="1:12" ht="24" hidden="1" x14ac:dyDescent="0.2">
      <c r="A157" s="712" t="s">
        <v>30</v>
      </c>
      <c r="B157" s="713">
        <v>44049</v>
      </c>
      <c r="C157" s="714"/>
      <c r="D157" s="714"/>
      <c r="E157" s="712" t="s">
        <v>13</v>
      </c>
      <c r="F157" s="715"/>
      <c r="G157" s="716"/>
      <c r="H157" s="716"/>
      <c r="I157" s="716"/>
      <c r="K157" s="724" t="s">
        <v>52</v>
      </c>
    </row>
    <row r="158" spans="1:12" ht="24" hidden="1" x14ac:dyDescent="0.2">
      <c r="A158" s="712" t="s">
        <v>30</v>
      </c>
      <c r="B158" s="713">
        <v>44040</v>
      </c>
      <c r="C158" s="714">
        <v>957</v>
      </c>
      <c r="D158" s="714">
        <v>1000</v>
      </c>
      <c r="E158" s="712" t="s">
        <v>13</v>
      </c>
      <c r="F158" s="715"/>
      <c r="G158" s="716"/>
      <c r="H158" s="716"/>
      <c r="I158" s="716"/>
      <c r="J158" s="712" t="s">
        <v>50</v>
      </c>
      <c r="K158" s="724" t="s">
        <v>51</v>
      </c>
    </row>
    <row r="159" spans="1:12" ht="24" hidden="1" x14ac:dyDescent="0.2">
      <c r="A159" s="712" t="s">
        <v>30</v>
      </c>
      <c r="B159" s="713">
        <v>44039</v>
      </c>
      <c r="C159" s="714">
        <v>2030</v>
      </c>
      <c r="D159" s="714">
        <v>2037</v>
      </c>
      <c r="E159" s="712" t="s">
        <v>41</v>
      </c>
      <c r="F159" s="715">
        <v>716979</v>
      </c>
      <c r="G159" s="716">
        <v>2.7799999999999998E-2</v>
      </c>
      <c r="H159" s="716"/>
      <c r="I159" s="716"/>
      <c r="J159" s="712" t="s">
        <v>49</v>
      </c>
    </row>
    <row r="160" spans="1:12" hidden="1" x14ac:dyDescent="0.2">
      <c r="A160" s="712" t="s">
        <v>21</v>
      </c>
      <c r="B160" s="713">
        <v>44013</v>
      </c>
      <c r="C160" s="714"/>
      <c r="D160" s="714"/>
      <c r="E160" s="712" t="s">
        <v>41</v>
      </c>
      <c r="F160" s="715">
        <v>482134</v>
      </c>
      <c r="G160" s="716">
        <v>-6.7000000000000002E-3</v>
      </c>
      <c r="H160" s="716"/>
      <c r="I160" s="716"/>
      <c r="J160" s="712" t="s">
        <v>48</v>
      </c>
    </row>
    <row r="161" spans="1:11" hidden="1" x14ac:dyDescent="0.2">
      <c r="A161" s="712" t="s">
        <v>47</v>
      </c>
      <c r="B161" s="713">
        <v>44011</v>
      </c>
      <c r="C161" s="714"/>
      <c r="D161" s="714"/>
      <c r="E161" s="712" t="s">
        <v>41</v>
      </c>
      <c r="F161" s="715">
        <v>569761</v>
      </c>
      <c r="G161" s="716">
        <v>-3.8399999999999997E-2</v>
      </c>
      <c r="H161" s="716"/>
      <c r="I161" s="716"/>
      <c r="J161" s="712" t="s">
        <v>48</v>
      </c>
    </row>
    <row r="162" spans="1:11" ht="48" hidden="1" x14ac:dyDescent="0.2">
      <c r="A162" s="712" t="s">
        <v>44</v>
      </c>
      <c r="B162" s="713">
        <v>44001</v>
      </c>
      <c r="C162" s="714">
        <v>1450</v>
      </c>
      <c r="D162" s="714">
        <v>1505</v>
      </c>
      <c r="E162" s="712" t="s">
        <v>13</v>
      </c>
      <c r="F162" s="715">
        <v>976197.36</v>
      </c>
      <c r="G162" s="716">
        <v>-2.9399999999999999E-2</v>
      </c>
      <c r="H162" s="716"/>
      <c r="I162" s="716"/>
      <c r="J162" s="712" t="s">
        <v>45</v>
      </c>
      <c r="K162" s="712" t="s">
        <v>46</v>
      </c>
    </row>
    <row r="163" spans="1:11" hidden="1" x14ac:dyDescent="0.2">
      <c r="A163" s="712" t="s">
        <v>30</v>
      </c>
      <c r="B163" s="713">
        <v>43994</v>
      </c>
      <c r="C163" s="714">
        <v>0.50416666666666665</v>
      </c>
      <c r="D163" s="714"/>
      <c r="E163" s="712" t="s">
        <v>41</v>
      </c>
      <c r="F163" s="715"/>
      <c r="G163" s="716"/>
      <c r="H163" s="716"/>
      <c r="I163" s="716"/>
      <c r="J163" s="712" t="s">
        <v>42</v>
      </c>
      <c r="K163" s="712" t="s">
        <v>43</v>
      </c>
    </row>
    <row r="164" spans="1:11" ht="48" hidden="1" x14ac:dyDescent="0.2">
      <c r="A164" s="712" t="s">
        <v>39</v>
      </c>
      <c r="B164" s="713">
        <v>43992</v>
      </c>
      <c r="C164" s="714">
        <v>1041</v>
      </c>
      <c r="D164" s="714"/>
      <c r="E164" s="712" t="s">
        <v>13</v>
      </c>
      <c r="F164" s="715"/>
      <c r="G164" s="716"/>
      <c r="H164" s="716"/>
      <c r="I164" s="716"/>
      <c r="J164" s="712" t="s">
        <v>40</v>
      </c>
    </row>
    <row r="165" spans="1:11" ht="72" hidden="1" x14ac:dyDescent="0.2">
      <c r="A165" s="713" t="s">
        <v>30</v>
      </c>
      <c r="B165" s="713">
        <v>43986</v>
      </c>
      <c r="C165" s="726">
        <v>800</v>
      </c>
      <c r="D165" s="714"/>
      <c r="E165" s="712" t="s">
        <v>13</v>
      </c>
      <c r="F165" s="715"/>
      <c r="G165" s="716"/>
      <c r="H165" s="716"/>
      <c r="I165" s="716"/>
      <c r="J165" s="712" t="s">
        <v>37</v>
      </c>
      <c r="K165" s="712" t="s">
        <v>38</v>
      </c>
    </row>
    <row r="166" spans="1:11" hidden="1" x14ac:dyDescent="0.2">
      <c r="A166" s="712" t="s">
        <v>30</v>
      </c>
      <c r="B166" s="713">
        <v>43950</v>
      </c>
      <c r="C166" s="714">
        <v>1140</v>
      </c>
      <c r="D166" s="714"/>
      <c r="E166" s="712" t="s">
        <v>13</v>
      </c>
      <c r="F166" s="715"/>
      <c r="G166" s="716"/>
      <c r="H166" s="716"/>
      <c r="I166" s="716"/>
      <c r="J166" s="712" t="s">
        <v>33</v>
      </c>
      <c r="K166" s="712" t="s">
        <v>34</v>
      </c>
    </row>
    <row r="167" spans="1:11" ht="24" hidden="1" x14ac:dyDescent="0.2">
      <c r="A167" s="712" t="s">
        <v>15</v>
      </c>
      <c r="B167" s="713">
        <v>43950</v>
      </c>
      <c r="C167" s="714">
        <v>1030</v>
      </c>
      <c r="D167" s="714"/>
      <c r="E167" s="712" t="s">
        <v>13</v>
      </c>
      <c r="F167" s="715"/>
      <c r="G167" s="716"/>
      <c r="H167" s="716"/>
      <c r="I167" s="716"/>
      <c r="J167" s="712" t="s">
        <v>35</v>
      </c>
      <c r="K167" s="712" t="s">
        <v>36</v>
      </c>
    </row>
    <row r="168" spans="1:11" hidden="1" x14ac:dyDescent="0.2">
      <c r="A168" s="712" t="s">
        <v>30</v>
      </c>
      <c r="B168" s="713">
        <v>43948</v>
      </c>
      <c r="C168" s="714">
        <v>1420</v>
      </c>
      <c r="D168" s="714"/>
      <c r="E168" s="712" t="s">
        <v>13</v>
      </c>
      <c r="F168" s="715"/>
      <c r="G168" s="716"/>
      <c r="H168" s="716"/>
      <c r="I168" s="716"/>
      <c r="J168" s="712" t="s">
        <v>31</v>
      </c>
      <c r="K168" s="712" t="s">
        <v>32</v>
      </c>
    </row>
    <row r="169" spans="1:11" ht="84" hidden="1" x14ac:dyDescent="0.2">
      <c r="A169" s="712" t="s">
        <v>21</v>
      </c>
      <c r="B169" s="713">
        <v>43907</v>
      </c>
      <c r="C169" s="714">
        <v>1445</v>
      </c>
      <c r="D169" s="714">
        <v>1454</v>
      </c>
      <c r="E169" s="712" t="s">
        <v>13</v>
      </c>
      <c r="F169" s="715"/>
      <c r="G169" s="716"/>
      <c r="H169" s="716"/>
      <c r="I169" s="716"/>
      <c r="J169" s="712" t="s">
        <v>22</v>
      </c>
      <c r="K169" s="724" t="s">
        <v>23</v>
      </c>
    </row>
    <row r="170" spans="1:11" ht="60" hidden="1" x14ac:dyDescent="0.2">
      <c r="A170" s="712" t="s">
        <v>24</v>
      </c>
      <c r="B170" s="713">
        <v>43907</v>
      </c>
      <c r="C170" s="714">
        <v>1455</v>
      </c>
      <c r="D170" s="714">
        <v>1517</v>
      </c>
      <c r="E170" s="712" t="s">
        <v>13</v>
      </c>
      <c r="F170" s="715"/>
      <c r="G170" s="716"/>
      <c r="H170" s="716"/>
      <c r="I170" s="716"/>
      <c r="J170" s="712" t="s">
        <v>14</v>
      </c>
      <c r="K170" s="724" t="s">
        <v>315</v>
      </c>
    </row>
    <row r="171" spans="1:11" ht="60" hidden="1" x14ac:dyDescent="0.2">
      <c r="A171" s="712" t="s">
        <v>15</v>
      </c>
      <c r="B171" s="713">
        <v>43906</v>
      </c>
      <c r="C171" s="714">
        <v>1040</v>
      </c>
      <c r="D171" s="714">
        <v>1055</v>
      </c>
      <c r="E171" s="712" t="s">
        <v>13</v>
      </c>
      <c r="F171" s="715">
        <v>3062799</v>
      </c>
      <c r="G171" s="716">
        <v>-0.13089999999999999</v>
      </c>
      <c r="H171" s="716"/>
      <c r="I171" s="716"/>
      <c r="J171" s="712" t="s">
        <v>14</v>
      </c>
      <c r="K171" s="724"/>
    </row>
    <row r="172" spans="1:11" ht="60" hidden="1" x14ac:dyDescent="0.2">
      <c r="A172" s="712" t="s">
        <v>16</v>
      </c>
      <c r="B172" s="713">
        <v>43906</v>
      </c>
      <c r="C172" s="714">
        <v>1103</v>
      </c>
      <c r="D172" s="714">
        <v>1123</v>
      </c>
      <c r="E172" s="712" t="s">
        <v>13</v>
      </c>
      <c r="F172" s="715"/>
      <c r="G172" s="716"/>
      <c r="H172" s="716"/>
      <c r="I172" s="716"/>
      <c r="J172" s="712" t="s">
        <v>14</v>
      </c>
      <c r="K172" s="724" t="s">
        <v>17</v>
      </c>
    </row>
    <row r="173" spans="1:11" ht="48" x14ac:dyDescent="0.2">
      <c r="A173" s="712" t="s">
        <v>18</v>
      </c>
      <c r="B173" s="713">
        <v>43906</v>
      </c>
      <c r="C173" s="714">
        <v>1425</v>
      </c>
      <c r="D173" s="714">
        <v>1433</v>
      </c>
      <c r="E173" s="712" t="s">
        <v>13</v>
      </c>
      <c r="F173" s="715">
        <v>3238015</v>
      </c>
      <c r="G173" s="716">
        <v>-7.6200000000000004E-2</v>
      </c>
      <c r="H173" s="716"/>
      <c r="I173" s="716"/>
      <c r="J173" s="712" t="s">
        <v>19</v>
      </c>
      <c r="K173" s="724" t="s">
        <v>20</v>
      </c>
    </row>
    <row r="174" spans="1:11" ht="60" hidden="1" x14ac:dyDescent="0.2">
      <c r="A174" s="712" t="s">
        <v>12</v>
      </c>
      <c r="B174" s="713">
        <v>43906</v>
      </c>
      <c r="C174" s="714">
        <v>1020</v>
      </c>
      <c r="D174" s="714">
        <v>1040</v>
      </c>
      <c r="E174" s="712" t="s">
        <v>13</v>
      </c>
      <c r="F174" s="715">
        <v>702211</v>
      </c>
      <c r="G174" s="716">
        <v>-7.8299999999999995E-2</v>
      </c>
      <c r="H174" s="716"/>
      <c r="I174" s="716"/>
      <c r="J174" s="712" t="s">
        <v>14</v>
      </c>
      <c r="K174" s="724"/>
    </row>
    <row r="175" spans="1:11" hidden="1" x14ac:dyDescent="0.2">
      <c r="A175" s="712" t="s">
        <v>30</v>
      </c>
      <c r="B175" s="713"/>
      <c r="C175" s="714">
        <v>1728</v>
      </c>
      <c r="D175" s="714">
        <v>1730</v>
      </c>
      <c r="E175" s="712" t="s">
        <v>13</v>
      </c>
      <c r="F175" s="715"/>
      <c r="G175" s="716"/>
      <c r="H175" s="716"/>
      <c r="I175" s="716"/>
      <c r="J175" s="712" t="s">
        <v>189</v>
      </c>
    </row>
    <row r="176" spans="1:11" hidden="1" x14ac:dyDescent="0.2">
      <c r="A176" s="712" t="s">
        <v>21</v>
      </c>
      <c r="B176" s="713"/>
      <c r="C176" s="714"/>
      <c r="D176" s="714"/>
      <c r="F176" s="715"/>
      <c r="G176" s="716"/>
      <c r="H176" s="716"/>
      <c r="I176" s="716"/>
    </row>
    <row r="177" spans="1:9" hidden="1" x14ac:dyDescent="0.2">
      <c r="B177" s="713"/>
      <c r="C177" s="714"/>
      <c r="D177" s="714"/>
      <c r="F177" s="715"/>
      <c r="G177" s="716"/>
      <c r="H177" s="716"/>
      <c r="I177" s="716"/>
    </row>
    <row r="178" spans="1:9" hidden="1" x14ac:dyDescent="0.2">
      <c r="B178" s="713"/>
      <c r="C178" s="714"/>
      <c r="D178" s="714"/>
      <c r="F178" s="715"/>
      <c r="G178" s="716"/>
      <c r="H178" s="716"/>
      <c r="I178" s="716"/>
    </row>
    <row r="179" spans="1:9" hidden="1" x14ac:dyDescent="0.2">
      <c r="A179" s="712" t="s">
        <v>4392</v>
      </c>
      <c r="B179" s="713"/>
      <c r="C179" s="714"/>
      <c r="D179" s="717"/>
      <c r="F179" s="715"/>
      <c r="G179" s="716"/>
      <c r="H179" s="716"/>
      <c r="I179" s="716"/>
    </row>
  </sheetData>
  <pageMargins left="0.25" right="0.25" top="0.75" bottom="0.75" header="0.3" footer="0.3"/>
  <pageSetup paperSize="9" scale="58" fitToHeight="0"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4E37-725C-4EB0-BF09-F4ED9E2372A4}">
  <sheetPr codeName="RegistroOrdini">
    <outlinePr summaryBelow="0" summaryRight="0"/>
    <pageSetUpPr fitToPage="1"/>
  </sheetPr>
  <dimension ref="A1:AA1491"/>
  <sheetViews>
    <sheetView zoomScaleNormal="100" workbookViewId="0">
      <pane ySplit="1" topLeftCell="A2" activePane="bottomLeft" state="frozen"/>
      <selection activeCell="I759" sqref="I759"/>
      <selection pane="bottomLeft" activeCell="J12" sqref="J12"/>
    </sheetView>
  </sheetViews>
  <sheetFormatPr defaultColWidth="9.140625" defaultRowHeight="24.95" customHeight="1" outlineLevelCol="1" x14ac:dyDescent="0.2"/>
  <cols>
    <col min="1" max="1" width="10.140625" style="738" bestFit="1" customWidth="1"/>
    <col min="2" max="2" width="9" style="739" customWidth="1" outlineLevel="1"/>
    <col min="3" max="3" width="15.5703125" style="142" customWidth="1" outlineLevel="1" collapsed="1"/>
    <col min="4" max="4" width="12.28515625" style="747" bestFit="1" customWidth="1"/>
    <col min="5" max="5" width="16.42578125" style="747" customWidth="1"/>
    <col min="6" max="6" width="47.7109375" style="748" customWidth="1"/>
    <col min="7" max="7" width="6.28515625" style="142" customWidth="1"/>
    <col min="8" max="9" width="10" style="142" bestFit="1" customWidth="1"/>
    <col min="10" max="10" width="6.28515625" style="749" customWidth="1"/>
    <col min="11" max="11" width="9.85546875" style="701" bestFit="1" customWidth="1"/>
    <col min="12" max="12" width="8.140625" style="142" customWidth="1"/>
    <col min="13" max="13" width="11.85546875" style="617" customWidth="1" collapsed="1"/>
    <col min="14" max="14" width="8.42578125" style="742" hidden="1" customWidth="1" outlineLevel="1"/>
    <col min="15" max="15" width="9.7109375" style="617" hidden="1" customWidth="1" outlineLevel="1"/>
    <col min="16" max="16" width="7.42578125" style="142" bestFit="1" customWidth="1"/>
    <col min="17" max="17" width="7.42578125" style="734" bestFit="1" customWidth="1"/>
    <col min="18" max="18" width="8.28515625" style="750" bestFit="1" customWidth="1"/>
    <col min="19" max="19" width="8.140625" style="746" bestFit="1" customWidth="1"/>
    <col min="20" max="21" width="8.7109375" style="746" bestFit="1" customWidth="1"/>
    <col min="22" max="22" width="7.5703125" style="746" bestFit="1" customWidth="1"/>
    <col min="23" max="23" width="37" style="751" customWidth="1"/>
    <col min="24" max="24" width="7.42578125" style="746" bestFit="1" customWidth="1"/>
    <col min="25" max="25" width="69.140625" style="142" customWidth="1"/>
    <col min="26" max="27" width="9.140625" style="747"/>
    <col min="28" max="16384" width="9.140625" style="142"/>
  </cols>
  <sheetData>
    <row r="1" spans="1:23" s="737" customFormat="1" ht="24.95" customHeight="1" x14ac:dyDescent="0.2">
      <c r="A1" s="728" t="s">
        <v>1</v>
      </c>
      <c r="B1" s="729" t="s">
        <v>343</v>
      </c>
      <c r="C1" s="707" t="s">
        <v>344</v>
      </c>
      <c r="D1" s="707" t="s">
        <v>345</v>
      </c>
      <c r="E1" s="707" t="s">
        <v>346</v>
      </c>
      <c r="F1" s="707" t="s">
        <v>347</v>
      </c>
      <c r="G1" s="707" t="s">
        <v>348</v>
      </c>
      <c r="H1" s="730" t="s">
        <v>349</v>
      </c>
      <c r="I1" s="731" t="s">
        <v>350</v>
      </c>
      <c r="J1" s="707" t="s">
        <v>351</v>
      </c>
      <c r="K1" s="732" t="s">
        <v>352</v>
      </c>
      <c r="L1" s="733" t="s">
        <v>353</v>
      </c>
      <c r="M1" s="707" t="s">
        <v>5</v>
      </c>
      <c r="N1" s="142" t="s">
        <v>696</v>
      </c>
      <c r="O1" s="734" t="s">
        <v>4261</v>
      </c>
      <c r="P1" s="735" t="s">
        <v>354</v>
      </c>
      <c r="Q1" s="736" t="s">
        <v>355</v>
      </c>
      <c r="R1" s="736" t="s">
        <v>356</v>
      </c>
      <c r="S1" s="736" t="s">
        <v>357</v>
      </c>
      <c r="T1" s="736" t="s">
        <v>358</v>
      </c>
      <c r="U1" s="736" t="s">
        <v>359</v>
      </c>
      <c r="V1" s="736" t="s">
        <v>360</v>
      </c>
      <c r="W1" s="707" t="s">
        <v>361</v>
      </c>
    </row>
    <row r="2" spans="1:23" s="1" customFormat="1" ht="24.95" customHeight="1" x14ac:dyDescent="0.2">
      <c r="A2" s="8">
        <v>46084.684537037036</v>
      </c>
      <c r="B2" s="7">
        <v>46084.684537037036</v>
      </c>
      <c r="C2" s="9" t="s">
        <v>78</v>
      </c>
      <c r="D2" s="1" t="s">
        <v>388</v>
      </c>
      <c r="E2" s="1" t="s">
        <v>397</v>
      </c>
      <c r="F2" s="1" t="s">
        <v>573</v>
      </c>
      <c r="G2" s="1" t="s">
        <v>365</v>
      </c>
      <c r="H2" s="2">
        <v>-45</v>
      </c>
      <c r="I2" s="16">
        <v>275.5</v>
      </c>
      <c r="J2" s="1" t="s">
        <v>369</v>
      </c>
      <c r="K2" s="6">
        <f>Registro_Ordini[[#This Row],[Numero]]*Registro_Ordini[[#This Row],[Prezzo]]</f>
        <v>-12397.5</v>
      </c>
      <c r="L2" s="10">
        <v>1.0000001300000001</v>
      </c>
      <c r="M2" s="6">
        <f>Registro_Ordini[[#This Row],[Importo]]*Registro_Ordini[[#This Row],[Cambio]]</f>
        <v>-12397.501611675001</v>
      </c>
      <c r="N2" s="1">
        <f ca="1">IFERROR(_xlfn.NUMBERVALUE(OFFSET(Origine,MATCH(Registro_Ordini[[#This Row],[Titolo]],Descrizioni,0),MATCH("Price",Intestazioni,0)-1,1,1)),"")</f>
        <v>275.5</v>
      </c>
      <c r="O2" s="18">
        <f ca="1">IF(OR(Registro_Ordini[[#This Row],[Price]]=0,Registro_Ordini[[#This Row],[Price]]=""),"",IF(Registro_Ordini[[#This Row],[Tipo]]="Sell",Registro_Ordini[[#This Row],[Prezzo]]/Registro_Ordini[[#This Row],[Price]]-1,Registro_Ordini[[#This Row],[Price]]/Registro_Ordini[[#This Row],[Prezzo]]-1))</f>
        <v>0</v>
      </c>
      <c r="P2" s="15">
        <v>-1.9664563071212421E-2</v>
      </c>
      <c r="Q2" s="3">
        <v>4.3860288498870977E-2</v>
      </c>
      <c r="R2" s="3">
        <v>0.11077364598971262</v>
      </c>
      <c r="S2" s="3">
        <v>0.72301798397501693</v>
      </c>
      <c r="T2" s="3">
        <v>0</v>
      </c>
      <c r="U2" s="3">
        <v>0.12234808153639952</v>
      </c>
      <c r="V2" s="3">
        <v>0</v>
      </c>
      <c r="W2" s="4"/>
    </row>
    <row r="3" spans="1:23" s="1" customFormat="1" ht="24.95" customHeight="1" x14ac:dyDescent="0.2">
      <c r="A3" s="8">
        <v>46084.684293981481</v>
      </c>
      <c r="B3" s="7">
        <v>46084.684305555558</v>
      </c>
      <c r="C3" s="9" t="s">
        <v>375</v>
      </c>
      <c r="D3" s="1" t="s">
        <v>388</v>
      </c>
      <c r="E3" s="1" t="s">
        <v>397</v>
      </c>
      <c r="F3" s="1" t="s">
        <v>573</v>
      </c>
      <c r="G3" s="1" t="s">
        <v>365</v>
      </c>
      <c r="H3" s="2">
        <v>-60</v>
      </c>
      <c r="I3" s="16">
        <v>275.5</v>
      </c>
      <c r="J3" s="1" t="s">
        <v>369</v>
      </c>
      <c r="K3" s="6">
        <f>Registro_Ordini[[#This Row],[Numero]]*Registro_Ordini[[#This Row],[Prezzo]]</f>
        <v>-16530</v>
      </c>
      <c r="L3" s="10">
        <v>1.0000001300000001</v>
      </c>
      <c r="M3" s="6">
        <f>Registro_Ordini[[#This Row],[Importo]]*Registro_Ordini[[#This Row],[Cambio]]</f>
        <v>-16530.002148900003</v>
      </c>
      <c r="N3" s="1">
        <f ca="1">IFERROR(_xlfn.NUMBERVALUE(OFFSET(Origine,MATCH(Registro_Ordini[[#This Row],[Titolo]],Descrizioni,0),MATCH("Price",Intestazioni,0)-1,1,1)),"")</f>
        <v>275.5</v>
      </c>
      <c r="O3" s="18">
        <f ca="1">IF(OR(Registro_Ordini[[#This Row],[Price]]=0,Registro_Ordini[[#This Row],[Price]]=""),"",IF(Registro_Ordini[[#This Row],[Tipo]]="Sell",Registro_Ordini[[#This Row],[Prezzo]]/Registro_Ordini[[#This Row],[Price]]-1,Registro_Ordini[[#This Row],[Price]]/Registro_Ordini[[#This Row],[Prezzo]]-1))</f>
        <v>0</v>
      </c>
      <c r="P3" s="15">
        <v>-1.8737889453584001E-2</v>
      </c>
      <c r="Q3" s="3">
        <v>0.12024705904167708</v>
      </c>
      <c r="R3" s="3">
        <v>0.29059193205648365</v>
      </c>
      <c r="S3" s="3">
        <v>0.44255771155504164</v>
      </c>
      <c r="T3" s="3">
        <v>0</v>
      </c>
      <c r="U3" s="3">
        <v>0.14660329734679764</v>
      </c>
      <c r="V3" s="3">
        <v>0</v>
      </c>
      <c r="W3" s="4"/>
    </row>
    <row r="4" spans="1:23" s="1" customFormat="1" ht="24.95" customHeight="1" x14ac:dyDescent="0.2">
      <c r="A4" s="8">
        <v>46084.684282407405</v>
      </c>
      <c r="B4" s="7">
        <v>46084.684293981481</v>
      </c>
      <c r="C4" s="9" t="s">
        <v>376</v>
      </c>
      <c r="D4" s="1" t="s">
        <v>388</v>
      </c>
      <c r="E4" s="1" t="s">
        <v>397</v>
      </c>
      <c r="F4" s="1" t="s">
        <v>573</v>
      </c>
      <c r="G4" s="1" t="s">
        <v>365</v>
      </c>
      <c r="H4" s="2">
        <v>-20</v>
      </c>
      <c r="I4" s="16">
        <v>275.5</v>
      </c>
      <c r="J4" s="1" t="s">
        <v>369</v>
      </c>
      <c r="K4" s="6">
        <f>Registro_Ordini[[#This Row],[Numero]]*Registro_Ordini[[#This Row],[Prezzo]]</f>
        <v>-5510</v>
      </c>
      <c r="L4" s="10">
        <v>1.0000001300000001</v>
      </c>
      <c r="M4" s="6">
        <f>Registro_Ordini[[#This Row],[Importo]]*Registro_Ordini[[#This Row],[Cambio]]</f>
        <v>-5510.0007163000009</v>
      </c>
      <c r="N4" s="1">
        <f ca="1">IFERROR(_xlfn.NUMBERVALUE(OFFSET(Origine,MATCH(Registro_Ordini[[#This Row],[Titolo]],Descrizioni,0),MATCH("Price",Intestazioni,0)-1,1,1)),"")</f>
        <v>275.5</v>
      </c>
      <c r="O4" s="18">
        <f ca="1">IF(OR(Registro_Ordini[[#This Row],[Price]]=0,Registro_Ordini[[#This Row],[Price]]=""),"",IF(Registro_Ordini[[#This Row],[Tipo]]="Sell",Registro_Ordini[[#This Row],[Prezzo]]/Registro_Ordini[[#This Row],[Price]]-1,Registro_Ordini[[#This Row],[Price]]/Registro_Ordini[[#This Row],[Prezzo]]-1))</f>
        <v>0</v>
      </c>
      <c r="P4" s="15">
        <v>-1.9413197851021247E-2</v>
      </c>
      <c r="Q4" s="3">
        <v>0.13128737021020709</v>
      </c>
      <c r="R4" s="3">
        <v>0.21116024308276754</v>
      </c>
      <c r="S4" s="3">
        <v>0.46758428623047832</v>
      </c>
      <c r="T4" s="3">
        <v>0</v>
      </c>
      <c r="U4" s="3">
        <v>0.18996810047654708</v>
      </c>
      <c r="V4" s="3">
        <v>0</v>
      </c>
      <c r="W4" s="4"/>
    </row>
    <row r="5" spans="1:23" s="1" customFormat="1" ht="24.95" customHeight="1" x14ac:dyDescent="0.2">
      <c r="A5" s="8">
        <v>46084.684270833335</v>
      </c>
      <c r="B5" s="7">
        <v>46084.684282407405</v>
      </c>
      <c r="C5" s="9" t="s">
        <v>377</v>
      </c>
      <c r="D5" s="1" t="s">
        <v>388</v>
      </c>
      <c r="E5" s="1" t="s">
        <v>397</v>
      </c>
      <c r="F5" s="1" t="s">
        <v>573</v>
      </c>
      <c r="G5" s="1" t="s">
        <v>365</v>
      </c>
      <c r="H5" s="2">
        <v>-100</v>
      </c>
      <c r="I5" s="16">
        <v>275.5</v>
      </c>
      <c r="J5" s="1" t="s">
        <v>369</v>
      </c>
      <c r="K5" s="6">
        <f>Registro_Ordini[[#This Row],[Numero]]*Registro_Ordini[[#This Row],[Prezzo]]</f>
        <v>-27550</v>
      </c>
      <c r="L5" s="10">
        <v>1.0000001300000001</v>
      </c>
      <c r="M5" s="6">
        <f>Registro_Ordini[[#This Row],[Importo]]*Registro_Ordini[[#This Row],[Cambio]]</f>
        <v>-27550.003581500001</v>
      </c>
      <c r="N5" s="1">
        <f ca="1">IFERROR(_xlfn.NUMBERVALUE(OFFSET(Origine,MATCH(Registro_Ordini[[#This Row],[Titolo]],Descrizioni,0),MATCH("Price",Intestazioni,0)-1,1,1)),"")</f>
        <v>275.5</v>
      </c>
      <c r="O5" s="18">
        <f ca="1">IF(OR(Registro_Ordini[[#This Row],[Price]]=0,Registro_Ordini[[#This Row],[Price]]=""),"",IF(Registro_Ordini[[#This Row],[Tipo]]="Sell",Registro_Ordini[[#This Row],[Prezzo]]/Registro_Ordini[[#This Row],[Price]]-1,Registro_Ordini[[#This Row],[Price]]/Registro_Ordini[[#This Row],[Prezzo]]-1))</f>
        <v>0</v>
      </c>
      <c r="P5" s="15">
        <v>-1.5847804597564526E-2</v>
      </c>
      <c r="Q5" s="3">
        <v>0.11789965831203296</v>
      </c>
      <c r="R5" s="3">
        <v>0.26007077245137145</v>
      </c>
      <c r="S5" s="3">
        <v>0.46836741509727742</v>
      </c>
      <c r="T5" s="3">
        <v>0</v>
      </c>
      <c r="U5" s="3">
        <v>0.15366215413931822</v>
      </c>
      <c r="V5" s="3">
        <v>0</v>
      </c>
      <c r="W5" s="4"/>
    </row>
    <row r="6" spans="1:23" s="1" customFormat="1" ht="24.95" customHeight="1" x14ac:dyDescent="0.2">
      <c r="A6" s="8">
        <v>46084.684259259258</v>
      </c>
      <c r="B6" s="7">
        <v>46084.684270833335</v>
      </c>
      <c r="C6" s="9" t="s">
        <v>378</v>
      </c>
      <c r="D6" s="1" t="s">
        <v>388</v>
      </c>
      <c r="E6" s="1" t="s">
        <v>397</v>
      </c>
      <c r="F6" s="1" t="s">
        <v>573</v>
      </c>
      <c r="G6" s="1" t="s">
        <v>365</v>
      </c>
      <c r="H6" s="2">
        <v>-35</v>
      </c>
      <c r="I6" s="16">
        <v>275.5</v>
      </c>
      <c r="J6" s="1" t="s">
        <v>369</v>
      </c>
      <c r="K6" s="6">
        <f>Registro_Ordini[[#This Row],[Numero]]*Registro_Ordini[[#This Row],[Prezzo]]</f>
        <v>-9642.5</v>
      </c>
      <c r="L6" s="10">
        <v>1.0000001300000001</v>
      </c>
      <c r="M6" s="6">
        <f>Registro_Ordini[[#This Row],[Importo]]*Registro_Ordini[[#This Row],[Cambio]]</f>
        <v>-9642.5012535250007</v>
      </c>
      <c r="N6" s="1">
        <f ca="1">IFERROR(_xlfn.NUMBERVALUE(OFFSET(Origine,MATCH(Registro_Ordini[[#This Row],[Titolo]],Descrizioni,0),MATCH("Price",Intestazioni,0)-1,1,1)),"")</f>
        <v>275.5</v>
      </c>
      <c r="O6" s="18">
        <f ca="1">IF(OR(Registro_Ordini[[#This Row],[Price]]=0,Registro_Ordini[[#This Row],[Price]]=""),"",IF(Registro_Ordini[[#This Row],[Tipo]]="Sell",Registro_Ordini[[#This Row],[Prezzo]]/Registro_Ordini[[#This Row],[Price]]-1,Registro_Ordini[[#This Row],[Price]]/Registro_Ordini[[#This Row],[Prezzo]]-1))</f>
        <v>0</v>
      </c>
      <c r="P6" s="15">
        <v>-1.7241347705406168E-2</v>
      </c>
      <c r="Q6" s="3">
        <v>0.12208196793732738</v>
      </c>
      <c r="R6" s="3">
        <v>0.26027712434369232</v>
      </c>
      <c r="S6" s="3">
        <v>0.47744329772575128</v>
      </c>
      <c r="T6" s="3">
        <v>0</v>
      </c>
      <c r="U6" s="3">
        <v>0.140197609993229</v>
      </c>
      <c r="V6" s="3">
        <v>0</v>
      </c>
      <c r="W6" s="4"/>
    </row>
    <row r="7" spans="1:23" s="1" customFormat="1" ht="24.95" customHeight="1" x14ac:dyDescent="0.2">
      <c r="A7" s="8">
        <v>46084.683958333335</v>
      </c>
      <c r="B7" s="7">
        <v>46084.683958333335</v>
      </c>
      <c r="C7" s="9" t="s">
        <v>367</v>
      </c>
      <c r="D7" s="1" t="s">
        <v>388</v>
      </c>
      <c r="E7" s="1" t="s">
        <v>397</v>
      </c>
      <c r="F7" s="1" t="s">
        <v>573</v>
      </c>
      <c r="G7" s="1" t="s">
        <v>365</v>
      </c>
      <c r="H7" s="2">
        <v>-180</v>
      </c>
      <c r="I7" s="16">
        <v>276</v>
      </c>
      <c r="J7" s="1" t="s">
        <v>369</v>
      </c>
      <c r="K7" s="6">
        <f>Registro_Ordini[[#This Row],[Numero]]*Registro_Ordini[[#This Row],[Prezzo]]</f>
        <v>-49680</v>
      </c>
      <c r="L7" s="10">
        <v>1.0000001300000001</v>
      </c>
      <c r="M7" s="6">
        <f>Registro_Ordini[[#This Row],[Importo]]*Registro_Ordini[[#This Row],[Cambio]]</f>
        <v>-49680.006458400007</v>
      </c>
      <c r="N7" s="1">
        <f ca="1">IFERROR(_xlfn.NUMBERVALUE(OFFSET(Origine,MATCH(Registro_Ordini[[#This Row],[Titolo]],Descrizioni,0),MATCH("Price",Intestazioni,0)-1,1,1)),"")</f>
        <v>275.5</v>
      </c>
      <c r="O7" s="18">
        <f ca="1">IF(OR(Registro_Ordini[[#This Row],[Price]]=0,Registro_Ordini[[#This Row],[Price]]=""),"",IF(Registro_Ordini[[#This Row],[Tipo]]="Sell",Registro_Ordini[[#This Row],[Prezzo]]/Registro_Ordini[[#This Row],[Price]]-1,Registro_Ordini[[#This Row],[Price]]/Registro_Ordini[[#This Row],[Prezzo]]-1))</f>
        <v>1.814882032667775E-3</v>
      </c>
      <c r="P7" s="15">
        <v>-1.384872195526665E-2</v>
      </c>
      <c r="Q7" s="3">
        <v>9.7319561535529203E-2</v>
      </c>
      <c r="R7" s="3">
        <v>0.34935449619933351</v>
      </c>
      <c r="S7" s="3">
        <v>0.42601045908881763</v>
      </c>
      <c r="T7" s="3">
        <v>0</v>
      </c>
      <c r="U7" s="3">
        <v>0.1273154831763196</v>
      </c>
      <c r="V7" s="3">
        <v>0</v>
      </c>
      <c r="W7" s="4"/>
    </row>
    <row r="8" spans="1:23" s="1" customFormat="1" ht="24.95" customHeight="1" x14ac:dyDescent="0.2">
      <c r="A8" s="8">
        <v>46084.683449074073</v>
      </c>
      <c r="B8" s="7">
        <v>46084.683449074073</v>
      </c>
      <c r="C8" s="9" t="s">
        <v>373</v>
      </c>
      <c r="D8" s="1" t="s">
        <v>388</v>
      </c>
      <c r="E8" s="1" t="s">
        <v>397</v>
      </c>
      <c r="F8" s="1" t="s">
        <v>573</v>
      </c>
      <c r="G8" s="1" t="s">
        <v>365</v>
      </c>
      <c r="H8" s="2">
        <v>-50</v>
      </c>
      <c r="I8" s="16">
        <v>276</v>
      </c>
      <c r="J8" s="1" t="s">
        <v>369</v>
      </c>
      <c r="K8" s="6">
        <f>Registro_Ordini[[#This Row],[Numero]]*Registro_Ordini[[#This Row],[Prezzo]]</f>
        <v>-13800</v>
      </c>
      <c r="L8" s="10">
        <v>1.0000001300000001</v>
      </c>
      <c r="M8" s="6">
        <f>Registro_Ordini[[#This Row],[Importo]]*Registro_Ordini[[#This Row],[Cambio]]</f>
        <v>-13800.001794000002</v>
      </c>
      <c r="N8" s="1">
        <f ca="1">IFERROR(_xlfn.NUMBERVALUE(OFFSET(Origine,MATCH(Registro_Ordini[[#This Row],[Titolo]],Descrizioni,0),MATCH("Price",Intestazioni,0)-1,1,1)),"")</f>
        <v>275.5</v>
      </c>
      <c r="O8" s="18">
        <f ca="1">IF(OR(Registro_Ordini[[#This Row],[Price]]=0,Registro_Ordini[[#This Row],[Price]]=""),"",IF(Registro_Ordini[[#This Row],[Tipo]]="Sell",Registro_Ordini[[#This Row],[Prezzo]]/Registro_Ordini[[#This Row],[Price]]-1,Registro_Ordini[[#This Row],[Price]]/Registro_Ordini[[#This Row],[Prezzo]]-1))</f>
        <v>1.814882032667775E-3</v>
      </c>
      <c r="P8" s="15">
        <v>-1.972007149035929E-2</v>
      </c>
      <c r="Q8" s="3">
        <v>0.36509066073041724</v>
      </c>
      <c r="R8" s="3">
        <v>0.21366477157068509</v>
      </c>
      <c r="S8" s="3">
        <v>0.29290260068238599</v>
      </c>
      <c r="T8" s="3">
        <v>0</v>
      </c>
      <c r="U8" s="3">
        <v>0.12834196701651163</v>
      </c>
      <c r="V8" s="3">
        <v>0</v>
      </c>
      <c r="W8" s="4"/>
    </row>
    <row r="9" spans="1:23" s="1" customFormat="1" ht="24.95" customHeight="1" x14ac:dyDescent="0.2">
      <c r="A9" s="8">
        <v>46084.673263888886</v>
      </c>
      <c r="B9" s="7">
        <v>46084.673263888886</v>
      </c>
      <c r="C9" s="9" t="s">
        <v>367</v>
      </c>
      <c r="D9" s="1" t="s">
        <v>362</v>
      </c>
      <c r="E9" s="1" t="s">
        <v>363</v>
      </c>
      <c r="F9" s="1" t="s">
        <v>427</v>
      </c>
      <c r="G9" s="1" t="s">
        <v>365</v>
      </c>
      <c r="H9" s="2">
        <v>-150000</v>
      </c>
      <c r="I9" s="16">
        <v>1</v>
      </c>
      <c r="J9" s="1" t="s">
        <v>381</v>
      </c>
      <c r="K9" s="6">
        <f>Registro_Ordini[[#This Row],[Numero]]*Registro_Ordini[[#This Row],[Prezzo]]</f>
        <v>-150000</v>
      </c>
      <c r="L9" s="10">
        <v>0.90774999999999995</v>
      </c>
      <c r="M9" s="6">
        <f>Registro_Ordini[[#This Row],[Importo]]*Registro_Ordini[[#This Row],[Cambio]]</f>
        <v>-136162.5</v>
      </c>
      <c r="N9" s="1">
        <f ca="1">IFERROR(_xlfn.NUMBERVALUE(OFFSET(Origine,MATCH(Registro_Ordini[[#This Row],[Titolo]],Descrizioni,0),MATCH("Price",Intestazioni,0)-1,1,1)),"")</f>
        <v>1</v>
      </c>
      <c r="O9" s="18">
        <f ca="1">IF(OR(Registro_Ordini[[#This Row],[Price]]=0,Registro_Ordini[[#This Row],[Price]]=""),"",IF(Registro_Ordini[[#This Row],[Tipo]]="Sell",Registro_Ordini[[#This Row],[Prezzo]]/Registro_Ordini[[#This Row],[Price]]-1,Registro_Ordini[[#This Row],[Price]]/Registro_Ordini[[#This Row],[Prezzo]]-1))</f>
        <v>0</v>
      </c>
      <c r="P9" s="15">
        <v>-3.7956092398439993E-2</v>
      </c>
      <c r="Q9" s="3">
        <v>8.3455581741319659E-2</v>
      </c>
      <c r="R9" s="3">
        <v>0.34935540057430736</v>
      </c>
      <c r="S9" s="3">
        <v>0.44012003390710813</v>
      </c>
      <c r="T9" s="3">
        <v>0</v>
      </c>
      <c r="U9" s="3">
        <v>0.12706898377726483</v>
      </c>
      <c r="V9" s="3">
        <v>0</v>
      </c>
      <c r="W9" s="4"/>
    </row>
    <row r="10" spans="1:23" s="1" customFormat="1" ht="24.95" customHeight="1" x14ac:dyDescent="0.2">
      <c r="A10" s="8">
        <v>46084.673171296294</v>
      </c>
      <c r="B10" s="7">
        <v>46084.673171296294</v>
      </c>
      <c r="C10" s="9" t="s">
        <v>367</v>
      </c>
      <c r="D10" s="1" t="s">
        <v>362</v>
      </c>
      <c r="E10" s="1" t="s">
        <v>363</v>
      </c>
      <c r="F10" s="1" t="s">
        <v>4475</v>
      </c>
      <c r="G10" s="1" t="s">
        <v>365</v>
      </c>
      <c r="H10" s="2">
        <v>-150000</v>
      </c>
      <c r="I10" s="16">
        <v>1.0075694444444445</v>
      </c>
      <c r="J10" s="1" t="s">
        <v>381</v>
      </c>
      <c r="K10" s="6">
        <f>Registro_Ordini[[#This Row],[Numero]]*Registro_Ordini[[#This Row],[Prezzo]]</f>
        <v>-151135.41666666669</v>
      </c>
      <c r="L10" s="10">
        <v>0.90774999999999995</v>
      </c>
      <c r="M10" s="6">
        <f>Registro_Ordini[[#This Row],[Importo]]*Registro_Ordini[[#This Row],[Cambio]]</f>
        <v>-137193.17447916669</v>
      </c>
      <c r="N10" s="1" t="str">
        <f ca="1">IFERROR(_xlfn.NUMBERVALUE(OFFSET(Origine,MATCH(Registro_Ordini[[#This Row],[Titolo]],Descrizioni,0),MATCH("Price",Intestazioni,0)-1,1,1)),"")</f>
        <v/>
      </c>
      <c r="O10" s="18" t="str">
        <f ca="1">IF(OR(Registro_Ordini[[#This Row],[Price]]=0,Registro_Ordini[[#This Row],[Price]]=""),"",IF(Registro_Ordini[[#This Row],[Tipo]]="Sell",Registro_Ordini[[#This Row],[Prezzo]]/Registro_Ordini[[#This Row],[Price]]-1,Registro_Ordini[[#This Row],[Price]]/Registro_Ordini[[#This Row],[Prezzo]]-1))</f>
        <v/>
      </c>
      <c r="P10" s="15">
        <v>-3.8243399119882289E-2</v>
      </c>
      <c r="Q10" s="3">
        <v>8.3455577218821755E-2</v>
      </c>
      <c r="R10" s="3">
        <v>0.34935540229812889</v>
      </c>
      <c r="S10" s="3">
        <v>0.44012003607878891</v>
      </c>
      <c r="T10" s="3">
        <v>0</v>
      </c>
      <c r="U10" s="3">
        <v>0.12706898440426029</v>
      </c>
      <c r="V10" s="3">
        <v>0</v>
      </c>
      <c r="W10" s="4"/>
    </row>
    <row r="11" spans="1:23" s="1" customFormat="1" ht="24.95" customHeight="1" x14ac:dyDescent="0.2">
      <c r="A11" s="8">
        <v>46083.714907407404</v>
      </c>
      <c r="B11" s="7">
        <v>46083.714907407404</v>
      </c>
      <c r="C11" s="9" t="s">
        <v>373</v>
      </c>
      <c r="D11" s="1" t="s">
        <v>388</v>
      </c>
      <c r="E11" s="1" t="s">
        <v>397</v>
      </c>
      <c r="F11" s="1" t="s">
        <v>476</v>
      </c>
      <c r="G11" s="1" t="s">
        <v>371</v>
      </c>
      <c r="H11" s="2">
        <v>8</v>
      </c>
      <c r="I11" s="16">
        <v>1392</v>
      </c>
      <c r="J11" s="1" t="s">
        <v>369</v>
      </c>
      <c r="K11" s="6">
        <f>Registro_Ordini[[#This Row],[Numero]]*Registro_Ordini[[#This Row],[Prezzo]]</f>
        <v>11136</v>
      </c>
      <c r="L11" s="10">
        <v>1.00000014</v>
      </c>
      <c r="M11" s="6">
        <f>Registro_Ordini[[#This Row],[Importo]]*Registro_Ordini[[#This Row],[Cambio]]</f>
        <v>11136.00155904</v>
      </c>
      <c r="N11" s="1">
        <f ca="1">IFERROR(_xlfn.NUMBERVALUE(OFFSET(Origine,MATCH(Registro_Ordini[[#This Row],[Titolo]],Descrizioni,0),MATCH("Price",Intestazioni,0)-1,1,1)),"")</f>
        <v>1392</v>
      </c>
      <c r="O11" s="18">
        <f ca="1">IF(OR(Registro_Ordini[[#This Row],[Price]]=0,Registro_Ordini[[#This Row],[Price]]=""),"",IF(Registro_Ordini[[#This Row],[Tipo]]="Sell",Registro_Ordini[[#This Row],[Prezzo]]/Registro_Ordini[[#This Row],[Price]]-1,Registro_Ordini[[#This Row],[Price]]/Registro_Ordini[[#This Row],[Prezzo]]-1))</f>
        <v>0</v>
      </c>
      <c r="P11" s="15">
        <v>1.5685371713215462E-2</v>
      </c>
      <c r="Q11" s="3">
        <v>0.3402925789403391</v>
      </c>
      <c r="R11" s="3">
        <v>0.2112399194482453</v>
      </c>
      <c r="S11" s="3">
        <v>0.31566466857443898</v>
      </c>
      <c r="T11" s="3">
        <v>0</v>
      </c>
      <c r="U11" s="3">
        <v>0.13280283303697663</v>
      </c>
      <c r="V11" s="3">
        <v>0</v>
      </c>
      <c r="W11" s="4"/>
    </row>
    <row r="12" spans="1:23" s="1" customFormat="1" ht="24.95" customHeight="1" x14ac:dyDescent="0.2">
      <c r="A12" s="8">
        <v>46083.462210648147</v>
      </c>
      <c r="B12" s="7">
        <v>46083.462210648147</v>
      </c>
      <c r="C12" s="9" t="s">
        <v>375</v>
      </c>
      <c r="D12" s="1" t="s">
        <v>388</v>
      </c>
      <c r="E12" s="1" t="s">
        <v>397</v>
      </c>
      <c r="F12" s="1" t="s">
        <v>401</v>
      </c>
      <c r="G12" s="1" t="s">
        <v>371</v>
      </c>
      <c r="H12" s="2">
        <v>140</v>
      </c>
      <c r="I12" s="16">
        <v>95.918300000000002</v>
      </c>
      <c r="J12" s="1" t="s">
        <v>369</v>
      </c>
      <c r="K12" s="6">
        <f>Registro_Ordini[[#This Row],[Numero]]*Registro_Ordini[[#This Row],[Prezzo]]</f>
        <v>13428.562</v>
      </c>
      <c r="L12" s="10">
        <v>1.00000014</v>
      </c>
      <c r="M12" s="6">
        <f>Registro_Ordini[[#This Row],[Importo]]*Registro_Ordini[[#This Row],[Cambio]]</f>
        <v>13428.563879998681</v>
      </c>
      <c r="N12" s="1">
        <f ca="1">IFERROR(_xlfn.NUMBERVALUE(OFFSET(Origine,MATCH(Registro_Ordini[[#This Row],[Titolo]],Descrizioni,0),MATCH("Price",Intestazioni,0)-1,1,1)),"")</f>
        <v>94.8</v>
      </c>
      <c r="O12" s="18">
        <f ca="1">IF(OR(Registro_Ordini[[#This Row],[Price]]=0,Registro_Ordini[[#This Row],[Price]]=""),"",IF(Registro_Ordini[[#This Row],[Tipo]]="Sell",Registro_Ordini[[#This Row],[Prezzo]]/Registro_Ordini[[#This Row],[Price]]-1,Registro_Ordini[[#This Row],[Price]]/Registro_Ordini[[#This Row],[Prezzo]]-1))</f>
        <v>-1.1658880526448034E-2</v>
      </c>
      <c r="P12" s="15">
        <v>1.4866894522166758E-2</v>
      </c>
      <c r="Q12" s="3">
        <v>9.9095686340538489E-2</v>
      </c>
      <c r="R12" s="3">
        <v>0.28467844989116597</v>
      </c>
      <c r="S12" s="3">
        <v>0.46222963834988579</v>
      </c>
      <c r="T12" s="3">
        <v>0</v>
      </c>
      <c r="U12" s="3">
        <v>0.15399622541840968</v>
      </c>
      <c r="V12" s="3">
        <v>0</v>
      </c>
      <c r="W12" s="4"/>
    </row>
    <row r="13" spans="1:23" s="1" customFormat="1" ht="24.95" customHeight="1" x14ac:dyDescent="0.2">
      <c r="A13" s="8">
        <v>46083.462199074071</v>
      </c>
      <c r="B13" s="7">
        <v>46083.462199074071</v>
      </c>
      <c r="C13" s="9" t="s">
        <v>376</v>
      </c>
      <c r="D13" s="1" t="s">
        <v>388</v>
      </c>
      <c r="E13" s="1" t="s">
        <v>397</v>
      </c>
      <c r="F13" s="1" t="s">
        <v>401</v>
      </c>
      <c r="G13" s="1" t="s">
        <v>371</v>
      </c>
      <c r="H13" s="2">
        <v>45</v>
      </c>
      <c r="I13" s="16">
        <v>95.918300000000002</v>
      </c>
      <c r="J13" s="1" t="s">
        <v>369</v>
      </c>
      <c r="K13" s="6">
        <f>Registro_Ordini[[#This Row],[Numero]]*Registro_Ordini[[#This Row],[Prezzo]]</f>
        <v>4316.3235000000004</v>
      </c>
      <c r="L13" s="10">
        <v>1.00000014</v>
      </c>
      <c r="M13" s="6">
        <f>Registro_Ordini[[#This Row],[Importo]]*Registro_Ordini[[#This Row],[Cambio]]</f>
        <v>4316.3241042852906</v>
      </c>
      <c r="N13" s="1">
        <f ca="1">IFERROR(_xlfn.NUMBERVALUE(OFFSET(Origine,MATCH(Registro_Ordini[[#This Row],[Titolo]],Descrizioni,0),MATCH("Price",Intestazioni,0)-1,1,1)),"")</f>
        <v>94.8</v>
      </c>
      <c r="O13" s="18">
        <f ca="1">IF(OR(Registro_Ordini[[#This Row],[Price]]=0,Registro_Ordini[[#This Row],[Price]]=""),"",IF(Registro_Ordini[[#This Row],[Tipo]]="Sell",Registro_Ordini[[#This Row],[Prezzo]]/Registro_Ordini[[#This Row],[Price]]-1,Registro_Ordini[[#This Row],[Price]]/Registro_Ordini[[#This Row],[Prezzo]]-1))</f>
        <v>-1.1658880526448034E-2</v>
      </c>
      <c r="P13" s="15">
        <v>1.4860091813005585E-2</v>
      </c>
      <c r="Q13" s="3">
        <v>0.10924372777742047</v>
      </c>
      <c r="R13" s="3">
        <v>0.20703355487502184</v>
      </c>
      <c r="S13" s="3">
        <v>0.48783747632746183</v>
      </c>
      <c r="T13" s="3">
        <v>0</v>
      </c>
      <c r="U13" s="3">
        <v>0.19588524102009594</v>
      </c>
      <c r="V13" s="3">
        <v>0</v>
      </c>
      <c r="W13" s="4"/>
    </row>
    <row r="14" spans="1:23" s="1" customFormat="1" ht="24.95" customHeight="1" x14ac:dyDescent="0.2">
      <c r="A14" s="8">
        <v>46083.462187500001</v>
      </c>
      <c r="B14" s="7">
        <v>46083.462199074071</v>
      </c>
      <c r="C14" s="9" t="s">
        <v>377</v>
      </c>
      <c r="D14" s="1" t="s">
        <v>388</v>
      </c>
      <c r="E14" s="1" t="s">
        <v>397</v>
      </c>
      <c r="F14" s="1" t="s">
        <v>401</v>
      </c>
      <c r="G14" s="1" t="s">
        <v>371</v>
      </c>
      <c r="H14" s="2">
        <v>275</v>
      </c>
      <c r="I14" s="16">
        <v>95.918300000000002</v>
      </c>
      <c r="J14" s="1" t="s">
        <v>369</v>
      </c>
      <c r="K14" s="6">
        <f>Registro_Ordini[[#This Row],[Numero]]*Registro_Ordini[[#This Row],[Prezzo]]</f>
        <v>26377.532500000001</v>
      </c>
      <c r="L14" s="10">
        <v>1.00000014</v>
      </c>
      <c r="M14" s="6">
        <f>Registro_Ordini[[#This Row],[Importo]]*Registro_Ordini[[#This Row],[Cambio]]</f>
        <v>26377.536192854554</v>
      </c>
      <c r="N14" s="1">
        <f ca="1">IFERROR(_xlfn.NUMBERVALUE(OFFSET(Origine,MATCH(Registro_Ordini[[#This Row],[Titolo]],Descrizioni,0),MATCH("Price",Intestazioni,0)-1,1,1)),"")</f>
        <v>94.8</v>
      </c>
      <c r="O14" s="18">
        <f ca="1">IF(OR(Registro_Ordini[[#This Row],[Price]]=0,Registro_Ordini[[#This Row],[Price]]=""),"",IF(Registro_Ordini[[#This Row],[Tipo]]="Sell",Registro_Ordini[[#This Row],[Prezzo]]/Registro_Ordini[[#This Row],[Price]]-1,Registro_Ordini[[#This Row],[Price]]/Registro_Ordini[[#This Row],[Prezzo]]-1))</f>
        <v>-1.1658880526448034E-2</v>
      </c>
      <c r="P14" s="15">
        <v>1.5070900519267523E-2</v>
      </c>
      <c r="Q14" s="3">
        <v>0.10130030486648688</v>
      </c>
      <c r="R14" s="3">
        <v>0.25910087552466787</v>
      </c>
      <c r="S14" s="3">
        <v>0.49153822445791578</v>
      </c>
      <c r="T14" s="3">
        <v>0</v>
      </c>
      <c r="U14" s="3">
        <v>0.14806059515092951</v>
      </c>
      <c r="V14" s="3">
        <v>0</v>
      </c>
      <c r="W14" s="4"/>
    </row>
    <row r="15" spans="1:23" s="1" customFormat="1" ht="24.95" customHeight="1" x14ac:dyDescent="0.2">
      <c r="A15" s="8">
        <v>46083.462187500001</v>
      </c>
      <c r="B15" s="7">
        <v>46083.462187500001</v>
      </c>
      <c r="C15" s="9" t="s">
        <v>378</v>
      </c>
      <c r="D15" s="1" t="s">
        <v>388</v>
      </c>
      <c r="E15" s="1" t="s">
        <v>397</v>
      </c>
      <c r="F15" s="1" t="s">
        <v>401</v>
      </c>
      <c r="G15" s="1" t="s">
        <v>371</v>
      </c>
      <c r="H15" s="2">
        <v>90</v>
      </c>
      <c r="I15" s="16">
        <v>95.918300000000002</v>
      </c>
      <c r="J15" s="1" t="s">
        <v>369</v>
      </c>
      <c r="K15" s="6">
        <f>Registro_Ordini[[#This Row],[Numero]]*Registro_Ordini[[#This Row],[Prezzo]]</f>
        <v>8632.6470000000008</v>
      </c>
      <c r="L15" s="10">
        <v>1.00000014</v>
      </c>
      <c r="M15" s="6">
        <f>Registro_Ordini[[#This Row],[Importo]]*Registro_Ordini[[#This Row],[Cambio]]</f>
        <v>8632.6482085705811</v>
      </c>
      <c r="N15" s="1">
        <f ca="1">IFERROR(_xlfn.NUMBERVALUE(OFFSET(Origine,MATCH(Registro_Ordini[[#This Row],[Titolo]],Descrizioni,0),MATCH("Price",Intestazioni,0)-1,1,1)),"")</f>
        <v>94.8</v>
      </c>
      <c r="O15" s="18">
        <f ca="1">IF(OR(Registro_Ordini[[#This Row],[Price]]=0,Registro_Ordini[[#This Row],[Price]]=""),"",IF(Registro_Ordini[[#This Row],[Tipo]]="Sell",Registro_Ordini[[#This Row],[Prezzo]]/Registro_Ordini[[#This Row],[Price]]-1,Registro_Ordini[[#This Row],[Price]]/Registro_Ordini[[#This Row],[Prezzo]]-1))</f>
        <v>-1.1658880526448034E-2</v>
      </c>
      <c r="P15" s="15">
        <v>1.5090742948172779E-2</v>
      </c>
      <c r="Q15" s="3">
        <v>0.10242908030571835</v>
      </c>
      <c r="R15" s="3">
        <v>0.25531370196320974</v>
      </c>
      <c r="S15" s="3">
        <v>0.49657515958397702</v>
      </c>
      <c r="T15" s="3">
        <v>0</v>
      </c>
      <c r="U15" s="3">
        <v>0.14568205814709484</v>
      </c>
      <c r="V15" s="3">
        <v>0</v>
      </c>
      <c r="W15" s="4"/>
    </row>
    <row r="16" spans="1:23" s="1" customFormat="1" ht="24.95" customHeight="1" x14ac:dyDescent="0.2">
      <c r="A16" s="8">
        <v>46083.46193287037</v>
      </c>
      <c r="B16" s="7">
        <v>46083.46193287037</v>
      </c>
      <c r="C16" s="9" t="s">
        <v>373</v>
      </c>
      <c r="D16" s="1" t="s">
        <v>388</v>
      </c>
      <c r="E16" s="1" t="s">
        <v>397</v>
      </c>
      <c r="F16" s="1" t="s">
        <v>401</v>
      </c>
      <c r="G16" s="1" t="s">
        <v>371</v>
      </c>
      <c r="H16" s="2">
        <v>110</v>
      </c>
      <c r="I16" s="16">
        <v>95.97</v>
      </c>
      <c r="J16" s="1" t="s">
        <v>369</v>
      </c>
      <c r="K16" s="6">
        <f>Registro_Ordini[[#This Row],[Numero]]*Registro_Ordini[[#This Row],[Prezzo]]</f>
        <v>10556.7</v>
      </c>
      <c r="L16" s="10">
        <v>1.00000014</v>
      </c>
      <c r="M16" s="6">
        <f>Registro_Ordini[[#This Row],[Importo]]*Registro_Ordini[[#This Row],[Cambio]]</f>
        <v>10556.701477938001</v>
      </c>
      <c r="N16" s="1">
        <f ca="1">IFERROR(_xlfn.NUMBERVALUE(OFFSET(Origine,MATCH(Registro_Ordini[[#This Row],[Titolo]],Descrizioni,0),MATCH("Price",Intestazioni,0)-1,1,1)),"")</f>
        <v>94.8</v>
      </c>
      <c r="O16" s="18">
        <f ca="1">IF(OR(Registro_Ordini[[#This Row],[Price]]=0,Registro_Ordini[[#This Row],[Price]]=""),"",IF(Registro_Ordini[[#This Row],[Tipo]]="Sell",Registro_Ordini[[#This Row],[Prezzo]]/Registro_Ordini[[#This Row],[Price]]-1,Registro_Ordini[[#This Row],[Price]]/Registro_Ordini[[#This Row],[Prezzo]]-1))</f>
        <v>-1.2191309784307602E-2</v>
      </c>
      <c r="P16" s="15">
        <v>1.486913478417211E-2</v>
      </c>
      <c r="Q16" s="3">
        <v>0.35597133223013666</v>
      </c>
      <c r="R16" s="3">
        <v>0.21123599202738369</v>
      </c>
      <c r="S16" s="3">
        <v>0.29999231180612718</v>
      </c>
      <c r="T16" s="3">
        <v>0</v>
      </c>
      <c r="U16" s="3">
        <v>0.1328003639363525</v>
      </c>
      <c r="V16" s="3">
        <v>0</v>
      </c>
      <c r="W16" s="4"/>
    </row>
    <row r="17" spans="1:23" s="1" customFormat="1" ht="24.95" customHeight="1" x14ac:dyDescent="0.2">
      <c r="A17" s="8">
        <v>46083.461516203701</v>
      </c>
      <c r="B17" s="7">
        <v>46083.461516203701</v>
      </c>
      <c r="C17" s="9" t="s">
        <v>367</v>
      </c>
      <c r="D17" s="1" t="s">
        <v>388</v>
      </c>
      <c r="E17" s="1" t="s">
        <v>397</v>
      </c>
      <c r="F17" s="1" t="s">
        <v>401</v>
      </c>
      <c r="G17" s="1" t="s">
        <v>371</v>
      </c>
      <c r="H17" s="2">
        <v>570</v>
      </c>
      <c r="I17" s="16">
        <v>95.7</v>
      </c>
      <c r="J17" s="1" t="s">
        <v>369</v>
      </c>
      <c r="K17" s="6">
        <f>Registro_Ordini[[#This Row],[Numero]]*Registro_Ordini[[#This Row],[Prezzo]]</f>
        <v>54549</v>
      </c>
      <c r="L17" s="10">
        <v>1.00000014</v>
      </c>
      <c r="M17" s="6">
        <f>Registro_Ordini[[#This Row],[Importo]]*Registro_Ordini[[#This Row],[Cambio]]</f>
        <v>54549.007636859998</v>
      </c>
      <c r="N17" s="1">
        <f ca="1">IFERROR(_xlfn.NUMBERVALUE(OFFSET(Origine,MATCH(Registro_Ordini[[#This Row],[Titolo]],Descrizioni,0),MATCH("Price",Intestazioni,0)-1,1,1)),"")</f>
        <v>94.8</v>
      </c>
      <c r="O17" s="18">
        <f ca="1">IF(OR(Registro_Ordini[[#This Row],[Price]]=0,Registro_Ordini[[#This Row],[Price]]=""),"",IF(Registro_Ordini[[#This Row],[Tipo]]="Sell",Registro_Ordini[[#This Row],[Prezzo]]/Registro_Ordini[[#This Row],[Price]]-1,Registro_Ordini[[#This Row],[Price]]/Registro_Ordini[[#This Row],[Prezzo]]-1))</f>
        <v>-9.4043887147335914E-3</v>
      </c>
      <c r="P17" s="15">
        <v>1.5018610200697917E-2</v>
      </c>
      <c r="Q17" s="3">
        <v>8.2153487275724718E-2</v>
      </c>
      <c r="R17" s="3">
        <v>0.34566964227579916</v>
      </c>
      <c r="S17" s="3">
        <v>0.44562564834607532</v>
      </c>
      <c r="T17" s="3">
        <v>0</v>
      </c>
      <c r="U17" s="3">
        <v>0.12655122210240083</v>
      </c>
      <c r="V17" s="3">
        <v>0</v>
      </c>
      <c r="W17" s="4"/>
    </row>
    <row r="18" spans="1:23" s="1" customFormat="1" ht="24.95" customHeight="1" x14ac:dyDescent="0.2">
      <c r="A18" s="8">
        <v>46083.459976851853</v>
      </c>
      <c r="B18" s="7">
        <v>46083.459976851853</v>
      </c>
      <c r="C18" s="9" t="s">
        <v>375</v>
      </c>
      <c r="D18" s="1" t="s">
        <v>388</v>
      </c>
      <c r="E18" s="1" t="s">
        <v>397</v>
      </c>
      <c r="F18" s="1" t="s">
        <v>485</v>
      </c>
      <c r="G18" s="1" t="s">
        <v>365</v>
      </c>
      <c r="H18" s="2">
        <v>-200</v>
      </c>
      <c r="I18" s="16">
        <v>68.485100000000003</v>
      </c>
      <c r="J18" s="1" t="s">
        <v>369</v>
      </c>
      <c r="K18" s="6">
        <f>Registro_Ordini[[#This Row],[Numero]]*Registro_Ordini[[#This Row],[Prezzo]]</f>
        <v>-13697.02</v>
      </c>
      <c r="L18" s="10">
        <v>1.00000014</v>
      </c>
      <c r="M18" s="6">
        <f>Registro_Ordini[[#This Row],[Importo]]*Registro_Ordini[[#This Row],[Cambio]]</f>
        <v>-13697.021917582801</v>
      </c>
      <c r="N18" s="1">
        <f ca="1">IFERROR(_xlfn.NUMBERVALUE(OFFSET(Origine,MATCH(Registro_Ordini[[#This Row],[Titolo]],Descrizioni,0),MATCH("Price",Intestazioni,0)-1,1,1)),"")</f>
        <v>66.959999999999994</v>
      </c>
      <c r="O18" s="18">
        <f ca="1">IF(OR(Registro_Ordini[[#This Row],[Price]]=0,Registro_Ordini[[#This Row],[Price]]=""),"",IF(Registro_Ordini[[#This Row],[Tipo]]="Sell",Registro_Ordini[[#This Row],[Prezzo]]/Registro_Ordini[[#This Row],[Price]]-1,Registro_Ordini[[#This Row],[Price]]/Registro_Ordini[[#This Row],[Prezzo]]-1))</f>
        <v>2.2776284348865028E-2</v>
      </c>
      <c r="P18" s="15">
        <v>-1.5164107043480047E-2</v>
      </c>
      <c r="Q18" s="3">
        <v>0.11396258086270525</v>
      </c>
      <c r="R18" s="3">
        <v>0.28467844989116597</v>
      </c>
      <c r="S18" s="3">
        <v>0.44736274382771907</v>
      </c>
      <c r="T18" s="3">
        <v>0</v>
      </c>
      <c r="U18" s="3">
        <v>0.15399622541840968</v>
      </c>
      <c r="V18" s="3">
        <v>0</v>
      </c>
      <c r="W18" s="4"/>
    </row>
    <row r="19" spans="1:23" s="1" customFormat="1" ht="24.95" customHeight="1" x14ac:dyDescent="0.2">
      <c r="A19" s="8">
        <v>46083.459965277776</v>
      </c>
      <c r="B19" s="7">
        <v>46083.459965277776</v>
      </c>
      <c r="C19" s="9" t="s">
        <v>376</v>
      </c>
      <c r="D19" s="1" t="s">
        <v>388</v>
      </c>
      <c r="E19" s="1" t="s">
        <v>397</v>
      </c>
      <c r="F19" s="1" t="s">
        <v>485</v>
      </c>
      <c r="G19" s="1" t="s">
        <v>365</v>
      </c>
      <c r="H19" s="2">
        <v>-70</v>
      </c>
      <c r="I19" s="16">
        <v>68.485100000000003</v>
      </c>
      <c r="J19" s="1" t="s">
        <v>369</v>
      </c>
      <c r="K19" s="6">
        <f>Registro_Ordini[[#This Row],[Numero]]*Registro_Ordini[[#This Row],[Prezzo]]</f>
        <v>-4793.9570000000003</v>
      </c>
      <c r="L19" s="10">
        <v>1.00000014</v>
      </c>
      <c r="M19" s="6">
        <f>Registro_Ordini[[#This Row],[Importo]]*Registro_Ordini[[#This Row],[Cambio]]</f>
        <v>-4793.9576711539803</v>
      </c>
      <c r="N19" s="1">
        <f ca="1">IFERROR(_xlfn.NUMBERVALUE(OFFSET(Origine,MATCH(Registro_Ordini[[#This Row],[Titolo]],Descrizioni,0),MATCH("Price",Intestazioni,0)-1,1,1)),"")</f>
        <v>66.959999999999994</v>
      </c>
      <c r="O19" s="18">
        <f ca="1">IF(OR(Registro_Ordini[[#This Row],[Price]]=0,Registro_Ordini[[#This Row],[Price]]=""),"",IF(Registro_Ordini[[#This Row],[Tipo]]="Sell",Registro_Ordini[[#This Row],[Prezzo]]/Registro_Ordini[[#This Row],[Price]]-1,Registro_Ordini[[#This Row],[Price]]/Registro_Ordini[[#This Row],[Prezzo]]-1))</f>
        <v>2.2776284348865028E-2</v>
      </c>
      <c r="P19" s="15">
        <v>-1.6504472189723687E-2</v>
      </c>
      <c r="Q19" s="3">
        <v>0.12410381959042603</v>
      </c>
      <c r="R19" s="3">
        <v>0.20703355487502184</v>
      </c>
      <c r="S19" s="3">
        <v>0.47297738451445626</v>
      </c>
      <c r="T19" s="3">
        <v>0</v>
      </c>
      <c r="U19" s="3">
        <v>0.19588524102009594</v>
      </c>
      <c r="V19" s="3">
        <v>0</v>
      </c>
      <c r="W19" s="4"/>
    </row>
    <row r="20" spans="1:23" s="1" customFormat="1" ht="24.95" customHeight="1" x14ac:dyDescent="0.2">
      <c r="A20" s="8">
        <v>46083.459953703707</v>
      </c>
      <c r="B20" s="7">
        <v>46083.459953703707</v>
      </c>
      <c r="C20" s="9" t="s">
        <v>377</v>
      </c>
      <c r="D20" s="1" t="s">
        <v>388</v>
      </c>
      <c r="E20" s="1" t="s">
        <v>397</v>
      </c>
      <c r="F20" s="1" t="s">
        <v>485</v>
      </c>
      <c r="G20" s="1" t="s">
        <v>365</v>
      </c>
      <c r="H20" s="2">
        <v>-400</v>
      </c>
      <c r="I20" s="16">
        <v>68.485100000000003</v>
      </c>
      <c r="J20" s="1" t="s">
        <v>369</v>
      </c>
      <c r="K20" s="6">
        <f>Registro_Ordini[[#This Row],[Numero]]*Registro_Ordini[[#This Row],[Prezzo]]</f>
        <v>-27394.04</v>
      </c>
      <c r="L20" s="10">
        <v>1.00000014</v>
      </c>
      <c r="M20" s="6">
        <f>Registro_Ordini[[#This Row],[Importo]]*Registro_Ordini[[#This Row],[Cambio]]</f>
        <v>-27394.043835165601</v>
      </c>
      <c r="N20" s="1">
        <f ca="1">IFERROR(_xlfn.NUMBERVALUE(OFFSET(Origine,MATCH(Registro_Ordini[[#This Row],[Titolo]],Descrizioni,0),MATCH("Price",Intestazioni,0)-1,1,1)),"")</f>
        <v>66.959999999999994</v>
      </c>
      <c r="O20" s="18">
        <f ca="1">IF(OR(Registro_Ordini[[#This Row],[Price]]=0,Registro_Ordini[[#This Row],[Price]]=""),"",IF(Registro_Ordini[[#This Row],[Tipo]]="Sell",Registro_Ordini[[#This Row],[Prezzo]]/Registro_Ordini[[#This Row],[Price]]-1,Registro_Ordini[[#This Row],[Price]]/Registro_Ordini[[#This Row],[Prezzo]]-1))</f>
        <v>2.2776284348865028E-2</v>
      </c>
      <c r="P20" s="15">
        <v>-1.565168583000837E-2</v>
      </c>
      <c r="Q20" s="3">
        <v>0.11637120538575441</v>
      </c>
      <c r="R20" s="3">
        <v>0.25910087552466787</v>
      </c>
      <c r="S20" s="3">
        <v>0.4764673239386481</v>
      </c>
      <c r="T20" s="3">
        <v>0</v>
      </c>
      <c r="U20" s="3">
        <v>0.14806059515092951</v>
      </c>
      <c r="V20" s="3">
        <v>0</v>
      </c>
      <c r="W20" s="4"/>
    </row>
    <row r="21" spans="1:23" s="1" customFormat="1" ht="24.95" customHeight="1" x14ac:dyDescent="0.2">
      <c r="A21" s="8">
        <v>46083.45994212963</v>
      </c>
      <c r="B21" s="7">
        <v>46083.45994212963</v>
      </c>
      <c r="C21" s="9" t="s">
        <v>378</v>
      </c>
      <c r="D21" s="1" t="s">
        <v>388</v>
      </c>
      <c r="E21" s="1" t="s">
        <v>397</v>
      </c>
      <c r="F21" s="1" t="s">
        <v>485</v>
      </c>
      <c r="G21" s="1" t="s">
        <v>365</v>
      </c>
      <c r="H21" s="2">
        <v>-125</v>
      </c>
      <c r="I21" s="16">
        <v>68.485100000000003</v>
      </c>
      <c r="J21" s="1" t="s">
        <v>369</v>
      </c>
      <c r="K21" s="6">
        <f>Registro_Ordini[[#This Row],[Numero]]*Registro_Ordini[[#This Row],[Prezzo]]</f>
        <v>-8560.6375000000007</v>
      </c>
      <c r="L21" s="10">
        <v>1.00000014</v>
      </c>
      <c r="M21" s="6">
        <f>Registro_Ordini[[#This Row],[Importo]]*Registro_Ordini[[#This Row],[Cambio]]</f>
        <v>-8560.6386984892506</v>
      </c>
      <c r="N21" s="1">
        <f ca="1">IFERROR(_xlfn.NUMBERVALUE(OFFSET(Origine,MATCH(Registro_Ordini[[#This Row],[Titolo]],Descrizioni,0),MATCH("Price",Intestazioni,0)-1,1,1)),"")</f>
        <v>66.959999999999994</v>
      </c>
      <c r="O21" s="18">
        <f ca="1">IF(OR(Registro_Ordini[[#This Row],[Price]]=0,Registro_Ordini[[#This Row],[Price]]=""),"",IF(Registro_Ordini[[#This Row],[Tipo]]="Sell",Registro_Ordini[[#This Row],[Prezzo]]/Registro_Ordini[[#This Row],[Price]]-1,Registro_Ordini[[#This Row],[Price]]/Registro_Ordini[[#This Row],[Prezzo]]-1))</f>
        <v>2.2776284348865028E-2</v>
      </c>
      <c r="P21" s="15">
        <v>-1.4964863035056159E-2</v>
      </c>
      <c r="Q21" s="3">
        <v>0.11751982325389115</v>
      </c>
      <c r="R21" s="3">
        <v>0.25531370196320974</v>
      </c>
      <c r="S21" s="3">
        <v>0.48148441663580427</v>
      </c>
      <c r="T21" s="3">
        <v>0</v>
      </c>
      <c r="U21" s="3">
        <v>0.14568205814709484</v>
      </c>
      <c r="V21" s="3">
        <v>0</v>
      </c>
      <c r="W21" s="4"/>
    </row>
    <row r="22" spans="1:23" s="1" customFormat="1" ht="24.95" customHeight="1" x14ac:dyDescent="0.2">
      <c r="A22" s="8">
        <v>46083.459490740737</v>
      </c>
      <c r="B22" s="7">
        <v>46083.459490740737</v>
      </c>
      <c r="C22" s="9" t="s">
        <v>367</v>
      </c>
      <c r="D22" s="1" t="s">
        <v>388</v>
      </c>
      <c r="E22" s="1" t="s">
        <v>397</v>
      </c>
      <c r="F22" s="1" t="s">
        <v>485</v>
      </c>
      <c r="G22" s="1" t="s">
        <v>365</v>
      </c>
      <c r="H22" s="2">
        <v>-875</v>
      </c>
      <c r="I22" s="16">
        <v>68.522999999999996</v>
      </c>
      <c r="J22" s="1" t="s">
        <v>369</v>
      </c>
      <c r="K22" s="6">
        <f>Registro_Ordini[[#This Row],[Numero]]*Registro_Ordini[[#This Row],[Prezzo]]</f>
        <v>-59957.625</v>
      </c>
      <c r="L22" s="10">
        <v>1.00000014</v>
      </c>
      <c r="M22" s="6">
        <f>Registro_Ordini[[#This Row],[Importo]]*Registro_Ordini[[#This Row],[Cambio]]</f>
        <v>-59957.633394067503</v>
      </c>
      <c r="N22" s="1">
        <f ca="1">IFERROR(_xlfn.NUMBERVALUE(OFFSET(Origine,MATCH(Registro_Ordini[[#This Row],[Titolo]],Descrizioni,0),MATCH("Price",Intestazioni,0)-1,1,1)),"")</f>
        <v>66.959999999999994</v>
      </c>
      <c r="O22" s="18">
        <f ca="1">IF(OR(Registro_Ordini[[#This Row],[Price]]=0,Registro_Ordini[[#This Row],[Price]]=""),"",IF(Registro_Ordini[[#This Row],[Tipo]]="Sell",Registro_Ordini[[#This Row],[Prezzo]]/Registro_Ordini[[#This Row],[Price]]-1,Registro_Ordini[[#This Row],[Price]]/Registro_Ordini[[#This Row],[Prezzo]]-1))</f>
        <v>2.3342293906809974E-2</v>
      </c>
      <c r="P22" s="15">
        <v>-1.6507730635476735E-2</v>
      </c>
      <c r="Q22" s="3">
        <v>9.717209747642265E-2</v>
      </c>
      <c r="R22" s="3">
        <v>0.34566964227579916</v>
      </c>
      <c r="S22" s="3">
        <v>0.43060703814537737</v>
      </c>
      <c r="T22" s="3">
        <v>0</v>
      </c>
      <c r="U22" s="3">
        <v>0.12655122210240083</v>
      </c>
      <c r="V22" s="3">
        <v>0</v>
      </c>
      <c r="W22" s="4"/>
    </row>
    <row r="23" spans="1:23" s="1" customFormat="1" ht="24.95" customHeight="1" x14ac:dyDescent="0.2">
      <c r="A23" s="8">
        <v>46083.446087962962</v>
      </c>
      <c r="B23" s="7">
        <v>46083.446087962962</v>
      </c>
      <c r="C23" s="9" t="s">
        <v>78</v>
      </c>
      <c r="D23" s="1" t="s">
        <v>388</v>
      </c>
      <c r="E23" s="1" t="s">
        <v>397</v>
      </c>
      <c r="F23" s="1" t="s">
        <v>401</v>
      </c>
      <c r="G23" s="1" t="s">
        <v>371</v>
      </c>
      <c r="H23" s="2">
        <v>170</v>
      </c>
      <c r="I23" s="16">
        <v>95.907899999999998</v>
      </c>
      <c r="J23" s="1" t="s">
        <v>369</v>
      </c>
      <c r="K23" s="6">
        <f>Registro_Ordini[[#This Row],[Numero]]*Registro_Ordini[[#This Row],[Prezzo]]</f>
        <v>16304.342999999999</v>
      </c>
      <c r="L23" s="10">
        <v>1.00000014</v>
      </c>
      <c r="M23" s="6">
        <f>Registro_Ordini[[#This Row],[Importo]]*Registro_Ordini[[#This Row],[Cambio]]</f>
        <v>16304.345282608019</v>
      </c>
      <c r="N23" s="1">
        <f ca="1">IFERROR(_xlfn.NUMBERVALUE(OFFSET(Origine,MATCH(Registro_Ordini[[#This Row],[Titolo]],Descrizioni,0),MATCH("Price",Intestazioni,0)-1,1,1)),"")</f>
        <v>94.8</v>
      </c>
      <c r="O23" s="18">
        <f ca="1">IF(OR(Registro_Ordini[[#This Row],[Price]]=0,Registro_Ordini[[#This Row],[Price]]=""),"",IF(Registro_Ordini[[#This Row],[Tipo]]="Sell",Registro_Ordini[[#This Row],[Prezzo]]/Registro_Ordini[[#This Row],[Price]]-1,Registro_Ordini[[#This Row],[Price]]/Registro_Ordini[[#This Row],[Prezzo]]-1))</f>
        <v>-1.1551707419305446E-2</v>
      </c>
      <c r="P23" s="15">
        <v>2.5195353275615982E-2</v>
      </c>
      <c r="Q23" s="3">
        <v>2.3486201587704925E-2</v>
      </c>
      <c r="R23" s="3">
        <v>0.10836886942086432</v>
      </c>
      <c r="S23" s="3">
        <v>0.74446437003259713</v>
      </c>
      <c r="T23" s="3">
        <v>0</v>
      </c>
      <c r="U23" s="3">
        <v>0.12368055895883359</v>
      </c>
      <c r="V23" s="3">
        <v>0</v>
      </c>
      <c r="W23" s="4"/>
    </row>
    <row r="24" spans="1:23" s="1" customFormat="1" ht="24.95" customHeight="1" x14ac:dyDescent="0.2">
      <c r="A24" s="8">
        <v>46083.444212962961</v>
      </c>
      <c r="B24" s="7">
        <v>46083.444212962961</v>
      </c>
      <c r="C24" s="9" t="s">
        <v>78</v>
      </c>
      <c r="D24" s="1" t="s">
        <v>388</v>
      </c>
      <c r="E24" s="1" t="s">
        <v>397</v>
      </c>
      <c r="F24" s="1" t="s">
        <v>442</v>
      </c>
      <c r="G24" s="1" t="s">
        <v>371</v>
      </c>
      <c r="H24" s="2">
        <v>225</v>
      </c>
      <c r="I24" s="16">
        <v>70.44</v>
      </c>
      <c r="J24" s="1" t="s">
        <v>369</v>
      </c>
      <c r="K24" s="6">
        <f>Registro_Ordini[[#This Row],[Numero]]*Registro_Ordini[[#This Row],[Prezzo]]</f>
        <v>15849</v>
      </c>
      <c r="L24" s="10">
        <v>1.00000014</v>
      </c>
      <c r="M24" s="6">
        <f>Registro_Ordini[[#This Row],[Importo]]*Registro_Ordini[[#This Row],[Cambio]]</f>
        <v>15849.002218860001</v>
      </c>
      <c r="N24" s="1">
        <f ca="1">IFERROR(_xlfn.NUMBERVALUE(OFFSET(Origine,MATCH(Registro_Ordini[[#This Row],[Titolo]],Descrizioni,0),MATCH("Price",Intestazioni,0)-1,1,1)),"")</f>
        <v>67.2</v>
      </c>
      <c r="O24" s="18">
        <f ca="1">IF(OR(Registro_Ordini[[#This Row],[Price]]=0,Registro_Ordini[[#This Row],[Price]]=""),"",IF(Registro_Ordini[[#This Row],[Tipo]]="Sell",Registro_Ordini[[#This Row],[Prezzo]]/Registro_Ordini[[#This Row],[Price]]-1,Registro_Ordini[[#This Row],[Price]]/Registro_Ordini[[#This Row],[Prezzo]]-1))</f>
        <v>-4.5996592844974371E-2</v>
      </c>
      <c r="P24" s="15">
        <v>2.4503461961019154E-2</v>
      </c>
      <c r="Q24" s="3">
        <v>4.8704924482093757E-2</v>
      </c>
      <c r="R24" s="3">
        <v>0.1084208919820237</v>
      </c>
      <c r="S24" s="3">
        <v>0.71913425162726141</v>
      </c>
      <c r="T24" s="3">
        <v>0</v>
      </c>
      <c r="U24" s="3">
        <v>0.12373993190862118</v>
      </c>
      <c r="V24" s="3">
        <v>0</v>
      </c>
      <c r="W24" s="4"/>
    </row>
    <row r="25" spans="1:23" s="1" customFormat="1" ht="24.95" customHeight="1" x14ac:dyDescent="0.2">
      <c r="A25" s="8">
        <v>46080.658668981479</v>
      </c>
      <c r="B25" s="7">
        <v>46080.658668981479</v>
      </c>
      <c r="C25" s="9" t="s">
        <v>106</v>
      </c>
      <c r="D25" s="1" t="s">
        <v>368</v>
      </c>
      <c r="E25" s="1" t="s">
        <v>363</v>
      </c>
      <c r="F25" s="1" t="s">
        <v>504</v>
      </c>
      <c r="G25" s="1" t="s">
        <v>4474</v>
      </c>
      <c r="H25" s="2">
        <v>-5000</v>
      </c>
      <c r="I25" s="16">
        <v>1.0001</v>
      </c>
      <c r="J25" s="1" t="s">
        <v>381</v>
      </c>
      <c r="K25" s="6">
        <f>Registro_Ordini[[#This Row],[Numero]]*Registro_Ordini[[#This Row],[Prezzo]]</f>
        <v>-5000.5</v>
      </c>
      <c r="L25" s="10">
        <v>1</v>
      </c>
      <c r="M25" s="6">
        <f>Registro_Ordini[[#This Row],[Importo]]*Registro_Ordini[[#This Row],[Cambio]]</f>
        <v>-5000.5</v>
      </c>
      <c r="N25" s="1">
        <f ca="1">IFERROR(_xlfn.NUMBERVALUE(OFFSET(Origine,MATCH(Registro_Ordini[[#This Row],[Titolo]],Descrizioni,0),MATCH("Price",Intestazioni,0)-1,1,1)),"")</f>
        <v>0.99881917807999998</v>
      </c>
      <c r="O25" s="18">
        <f ca="1">IF(OR(Registro_Ordini[[#This Row],[Price]]=0,Registro_Ordini[[#This Row],[Price]]=""),"",IF(Registro_Ordini[[#This Row],[Tipo]]="Sell",Registro_Ordini[[#This Row],[Prezzo]]/Registro_Ordini[[#This Row],[Price]]-1,Registro_Ordini[[#This Row],[Price]]/Registro_Ordini[[#This Row],[Prezzo]]-1))</f>
        <v>-1.2806938506149113E-3</v>
      </c>
      <c r="P25" s="15">
        <v>-3.0931424813404197E-2</v>
      </c>
      <c r="Q25" s="3">
        <v>0.11763657295798551</v>
      </c>
      <c r="R25" s="3">
        <v>0.22485325497561151</v>
      </c>
      <c r="S25" s="3">
        <v>0.46463036943872327</v>
      </c>
      <c r="T25" s="3">
        <v>0</v>
      </c>
      <c r="U25" s="3">
        <v>0.19287980262767987</v>
      </c>
      <c r="V25" s="3">
        <v>0</v>
      </c>
      <c r="W25" s="4"/>
    </row>
    <row r="26" spans="1:23" s="1" customFormat="1" ht="24.95" customHeight="1" x14ac:dyDescent="0.2">
      <c r="A26" s="8">
        <v>46080.658645833333</v>
      </c>
      <c r="B26" s="7">
        <v>46080.658645833333</v>
      </c>
      <c r="C26" s="9" t="s">
        <v>379</v>
      </c>
      <c r="D26" s="1" t="s">
        <v>368</v>
      </c>
      <c r="E26" s="1" t="s">
        <v>363</v>
      </c>
      <c r="F26" s="1" t="s">
        <v>504</v>
      </c>
      <c r="G26" s="1" t="s">
        <v>4474</v>
      </c>
      <c r="H26" s="2">
        <v>-25000</v>
      </c>
      <c r="I26" s="16">
        <v>1.0001</v>
      </c>
      <c r="J26" s="1" t="s">
        <v>381</v>
      </c>
      <c r="K26" s="6">
        <f>Registro_Ordini[[#This Row],[Numero]]*Registro_Ordini[[#This Row],[Prezzo]]</f>
        <v>-25002.5</v>
      </c>
      <c r="L26" s="10">
        <v>1</v>
      </c>
      <c r="M26" s="6">
        <f>Registro_Ordini[[#This Row],[Importo]]*Registro_Ordini[[#This Row],[Cambio]]</f>
        <v>-25002.5</v>
      </c>
      <c r="N26" s="1">
        <f ca="1">IFERROR(_xlfn.NUMBERVALUE(OFFSET(Origine,MATCH(Registro_Ordini[[#This Row],[Titolo]],Descrizioni,0),MATCH("Price",Intestazioni,0)-1,1,1)),"")</f>
        <v>0.99881917807999998</v>
      </c>
      <c r="O26" s="18">
        <f ca="1">IF(OR(Registro_Ordini[[#This Row],[Price]]=0,Registro_Ordini[[#This Row],[Price]]=""),"",IF(Registro_Ordini[[#This Row],[Tipo]]="Sell",Registro_Ordini[[#This Row],[Prezzo]]/Registro_Ordini[[#This Row],[Price]]-1,Registro_Ordini[[#This Row],[Price]]/Registro_Ordini[[#This Row],[Prezzo]]-1))</f>
        <v>-1.2806938506149113E-3</v>
      </c>
      <c r="P26" s="15">
        <v>-3.9072973698177076E-2</v>
      </c>
      <c r="Q26" s="3">
        <v>7.1082024744311439E-2</v>
      </c>
      <c r="R26" s="3">
        <v>0.28513026331411029</v>
      </c>
      <c r="S26" s="3">
        <v>0.48988954468575163</v>
      </c>
      <c r="T26" s="3">
        <v>0</v>
      </c>
      <c r="U26" s="3">
        <v>0.1538981672558267</v>
      </c>
      <c r="V26" s="3">
        <v>0</v>
      </c>
      <c r="W26" s="4"/>
    </row>
    <row r="27" spans="1:23" s="1" customFormat="1" ht="24.95" customHeight="1" x14ac:dyDescent="0.2">
      <c r="A27" s="8">
        <v>46080.658634259256</v>
      </c>
      <c r="B27" s="7">
        <v>46080.658634259256</v>
      </c>
      <c r="C27" s="9" t="s">
        <v>382</v>
      </c>
      <c r="D27" s="1" t="s">
        <v>368</v>
      </c>
      <c r="E27" s="1" t="s">
        <v>363</v>
      </c>
      <c r="F27" s="1" t="s">
        <v>504</v>
      </c>
      <c r="G27" s="1" t="s">
        <v>4474</v>
      </c>
      <c r="H27" s="2">
        <v>-40000</v>
      </c>
      <c r="I27" s="16">
        <v>1.0001</v>
      </c>
      <c r="J27" s="1" t="s">
        <v>381</v>
      </c>
      <c r="K27" s="6">
        <f>Registro_Ordini[[#This Row],[Numero]]*Registro_Ordini[[#This Row],[Prezzo]]</f>
        <v>-40004</v>
      </c>
      <c r="L27" s="10">
        <v>1</v>
      </c>
      <c r="M27" s="6">
        <f>Registro_Ordini[[#This Row],[Importo]]*Registro_Ordini[[#This Row],[Cambio]]</f>
        <v>-40004</v>
      </c>
      <c r="N27" s="1">
        <f ca="1">IFERROR(_xlfn.NUMBERVALUE(OFFSET(Origine,MATCH(Registro_Ordini[[#This Row],[Titolo]],Descrizioni,0),MATCH("Price",Intestazioni,0)-1,1,1)),"")</f>
        <v>0.99881917807999998</v>
      </c>
      <c r="O27" s="18">
        <f ca="1">IF(OR(Registro_Ordini[[#This Row],[Price]]=0,Registro_Ordini[[#This Row],[Price]]=""),"",IF(Registro_Ordini[[#This Row],[Tipo]]="Sell",Registro_Ordini[[#This Row],[Prezzo]]/Registro_Ordini[[#This Row],[Price]]-1,Registro_Ordini[[#This Row],[Price]]/Registro_Ordini[[#This Row],[Prezzo]]-1))</f>
        <v>-1.2806938506149113E-3</v>
      </c>
      <c r="P27" s="15">
        <v>-3.4035059998385624E-2</v>
      </c>
      <c r="Q27" s="3">
        <v>7.7521105355051009E-2</v>
      </c>
      <c r="R27" s="3">
        <v>0.27819472650600685</v>
      </c>
      <c r="S27" s="3">
        <v>0.48461951605002979</v>
      </c>
      <c r="T27" s="3">
        <v>0</v>
      </c>
      <c r="U27" s="3">
        <v>0.15966465208891242</v>
      </c>
      <c r="V27" s="3">
        <v>0</v>
      </c>
      <c r="W27" s="4"/>
    </row>
    <row r="28" spans="1:23" s="1" customFormat="1" ht="24.95" customHeight="1" x14ac:dyDescent="0.2">
      <c r="A28" s="8">
        <v>46080.658622685187</v>
      </c>
      <c r="B28" s="7">
        <v>46080.658622685187</v>
      </c>
      <c r="C28" s="9" t="s">
        <v>383</v>
      </c>
      <c r="D28" s="1" t="s">
        <v>368</v>
      </c>
      <c r="E28" s="1" t="s">
        <v>363</v>
      </c>
      <c r="F28" s="1" t="s">
        <v>504</v>
      </c>
      <c r="G28" s="1" t="s">
        <v>4474</v>
      </c>
      <c r="H28" s="2">
        <v>-25000</v>
      </c>
      <c r="I28" s="16">
        <v>1.0001</v>
      </c>
      <c r="J28" s="1" t="s">
        <v>381</v>
      </c>
      <c r="K28" s="6">
        <f>Registro_Ordini[[#This Row],[Numero]]*Registro_Ordini[[#This Row],[Prezzo]]</f>
        <v>-25002.5</v>
      </c>
      <c r="L28" s="10">
        <v>1</v>
      </c>
      <c r="M28" s="6">
        <f>Registro_Ordini[[#This Row],[Importo]]*Registro_Ordini[[#This Row],[Cambio]]</f>
        <v>-25002.5</v>
      </c>
      <c r="N28" s="1">
        <f ca="1">IFERROR(_xlfn.NUMBERVALUE(OFFSET(Origine,MATCH(Registro_Ordini[[#This Row],[Titolo]],Descrizioni,0),MATCH("Price",Intestazioni,0)-1,1,1)),"")</f>
        <v>0.99881917807999998</v>
      </c>
      <c r="O28" s="18">
        <f ca="1">IF(OR(Registro_Ordini[[#This Row],[Price]]=0,Registro_Ordini[[#This Row],[Price]]=""),"",IF(Registro_Ordini[[#This Row],[Tipo]]="Sell",Registro_Ordini[[#This Row],[Prezzo]]/Registro_Ordini[[#This Row],[Price]]-1,Registro_Ordini[[#This Row],[Price]]/Registro_Ordini[[#This Row],[Prezzo]]-1))</f>
        <v>-1.2806938506149113E-3</v>
      </c>
      <c r="P28" s="15">
        <v>-3.512726217652791E-2</v>
      </c>
      <c r="Q28" s="3">
        <v>7.5118605501258665E-2</v>
      </c>
      <c r="R28" s="3">
        <v>0.28491083833186648</v>
      </c>
      <c r="S28" s="3">
        <v>0.48508148673223644</v>
      </c>
      <c r="T28" s="3">
        <v>0</v>
      </c>
      <c r="U28" s="3">
        <v>0.15488906943463826</v>
      </c>
      <c r="V28" s="3">
        <v>0</v>
      </c>
      <c r="W28" s="4"/>
    </row>
    <row r="29" spans="1:23" s="1" customFormat="1" ht="24.95" customHeight="1" x14ac:dyDescent="0.2">
      <c r="A29" s="8">
        <v>46080.657696759263</v>
      </c>
      <c r="B29" s="7">
        <v>46080.657696759263</v>
      </c>
      <c r="C29" s="9" t="s">
        <v>385</v>
      </c>
      <c r="D29" s="1" t="s">
        <v>368</v>
      </c>
      <c r="E29" s="1" t="s">
        <v>363</v>
      </c>
      <c r="F29" s="1" t="s">
        <v>504</v>
      </c>
      <c r="G29" s="1" t="s">
        <v>4474</v>
      </c>
      <c r="H29" s="2">
        <v>-10000</v>
      </c>
      <c r="I29" s="16">
        <v>1.0001</v>
      </c>
      <c r="J29" s="1" t="s">
        <v>381</v>
      </c>
      <c r="K29" s="6">
        <f>Registro_Ordini[[#This Row],[Numero]]*Registro_Ordini[[#This Row],[Prezzo]]</f>
        <v>-10001</v>
      </c>
      <c r="L29" s="10">
        <v>1</v>
      </c>
      <c r="M29" s="6">
        <f>Registro_Ordini[[#This Row],[Importo]]*Registro_Ordini[[#This Row],[Cambio]]</f>
        <v>-10001</v>
      </c>
      <c r="N29" s="1">
        <f ca="1">IFERROR(_xlfn.NUMBERVALUE(OFFSET(Origine,MATCH(Registro_Ordini[[#This Row],[Titolo]],Descrizioni,0),MATCH("Price",Intestazioni,0)-1,1,1)),"")</f>
        <v>0.99881917807999998</v>
      </c>
      <c r="O29" s="18">
        <f ca="1">IF(OR(Registro_Ordini[[#This Row],[Price]]=0,Registro_Ordini[[#This Row],[Price]]=""),"",IF(Registro_Ordini[[#This Row],[Tipo]]="Sell",Registro_Ordini[[#This Row],[Prezzo]]/Registro_Ordini[[#This Row],[Price]]-1,Registro_Ordini[[#This Row],[Price]]/Registro_Ordini[[#This Row],[Prezzo]]-1))</f>
        <v>-1.2806938506149113E-3</v>
      </c>
      <c r="P29" s="15">
        <v>-7.2657799374940615E-2</v>
      </c>
      <c r="Q29" s="3">
        <v>8.0613521583674533E-2</v>
      </c>
      <c r="R29" s="3">
        <v>0.4816140468897166</v>
      </c>
      <c r="S29" s="3">
        <v>0.24674765935033577</v>
      </c>
      <c r="T29" s="3">
        <v>5.3796630907062194E-2</v>
      </c>
      <c r="U29" s="3">
        <v>0.1372281412692109</v>
      </c>
      <c r="V29" s="3">
        <v>0</v>
      </c>
      <c r="W29" s="4"/>
    </row>
    <row r="30" spans="1:23" s="1" customFormat="1" ht="24.95" customHeight="1" x14ac:dyDescent="0.2">
      <c r="A30" s="8">
        <v>46080.655509259261</v>
      </c>
      <c r="B30" s="7">
        <v>46080.655509259261</v>
      </c>
      <c r="C30" s="9" t="s">
        <v>78</v>
      </c>
      <c r="D30" s="1" t="s">
        <v>368</v>
      </c>
      <c r="E30" s="1" t="s">
        <v>369</v>
      </c>
      <c r="F30" s="1" t="s">
        <v>533</v>
      </c>
      <c r="G30" s="1" t="s">
        <v>4474</v>
      </c>
      <c r="H30" s="2">
        <v>-10000</v>
      </c>
      <c r="I30" s="16">
        <v>1.0004999999999999</v>
      </c>
      <c r="J30" s="1" t="s">
        <v>369</v>
      </c>
      <c r="K30" s="6">
        <f>Registro_Ordini[[#This Row],[Numero]]*Registro_Ordini[[#This Row],[Prezzo]]</f>
        <v>-10005</v>
      </c>
      <c r="L30" s="10">
        <v>1</v>
      </c>
      <c r="M30" s="6">
        <f>Registro_Ordini[[#This Row],[Importo]]*Registro_Ordini[[#This Row],[Cambio]]</f>
        <v>-10005</v>
      </c>
      <c r="N30" s="1" t="str">
        <f ca="1">IFERROR(_xlfn.NUMBERVALUE(OFFSET(Origine,MATCH(Registro_Ordini[[#This Row],[Titolo]],Descrizioni,0),MATCH("Price",Intestazioni,0)-1,1,1)),"")</f>
        <v/>
      </c>
      <c r="O30" s="18" t="str">
        <f ca="1">IF(OR(Registro_Ordini[[#This Row],[Price]]=0,Registro_Ordini[[#This Row],[Price]]=""),"",IF(Registro_Ordini[[#This Row],[Tipo]]="Sell",Registro_Ordini[[#This Row],[Prezzo]]/Registro_Ordini[[#This Row],[Price]]-1,Registro_Ordini[[#This Row],[Price]]/Registro_Ordini[[#This Row],[Prezzo]]-1))</f>
        <v/>
      </c>
      <c r="P30" s="15">
        <v>-1.5037902998233458E-2</v>
      </c>
      <c r="Q30" s="3">
        <v>0.1011225746263136</v>
      </c>
      <c r="R30" s="3">
        <v>0.10531395068600032</v>
      </c>
      <c r="S30" s="3">
        <v>0.67339235098666339</v>
      </c>
      <c r="T30" s="3">
        <v>0</v>
      </c>
      <c r="U30" s="3">
        <v>0.12017112370102258</v>
      </c>
      <c r="V30" s="3">
        <v>0</v>
      </c>
      <c r="W30" s="4"/>
    </row>
    <row r="31" spans="1:23" s="1" customFormat="1" ht="24.95" customHeight="1" x14ac:dyDescent="0.2">
      <c r="A31" s="8">
        <v>46080.651655092595</v>
      </c>
      <c r="B31" s="7">
        <v>46080.651655092595</v>
      </c>
      <c r="C31" s="9" t="s">
        <v>367</v>
      </c>
      <c r="D31" s="1" t="s">
        <v>368</v>
      </c>
      <c r="E31" s="1" t="s">
        <v>369</v>
      </c>
      <c r="F31" s="1" t="s">
        <v>533</v>
      </c>
      <c r="G31" s="1" t="s">
        <v>4474</v>
      </c>
      <c r="H31" s="2">
        <v>-50000</v>
      </c>
      <c r="I31" s="16">
        <v>1.0049999999999999</v>
      </c>
      <c r="J31" s="1" t="s">
        <v>369</v>
      </c>
      <c r="K31" s="6">
        <f>Registro_Ordini[[#This Row],[Numero]]*Registro_Ordini[[#This Row],[Prezzo]]</f>
        <v>-50249.999999999993</v>
      </c>
      <c r="L31" s="10">
        <v>1</v>
      </c>
      <c r="M31" s="6">
        <f>Registro_Ordini[[#This Row],[Importo]]*Registro_Ordini[[#This Row],[Cambio]]</f>
        <v>-50249.999999999993</v>
      </c>
      <c r="N31" s="1" t="str">
        <f ca="1">IFERROR(_xlfn.NUMBERVALUE(OFFSET(Origine,MATCH(Registro_Ordini[[#This Row],[Titolo]],Descrizioni,0),MATCH("Price",Intestazioni,0)-1,1,1)),"")</f>
        <v/>
      </c>
      <c r="O31" s="18" t="str">
        <f ca="1">IF(OR(Registro_Ordini[[#This Row],[Price]]=0,Registro_Ordini[[#This Row],[Price]]=""),"",IF(Registro_Ordini[[#This Row],[Tipo]]="Sell",Registro_Ordini[[#This Row],[Prezzo]]/Registro_Ordini[[#This Row],[Price]]-1,Registro_Ordini[[#This Row],[Price]]/Registro_Ordini[[#This Row],[Prezzo]]-1))</f>
        <v/>
      </c>
      <c r="P31" s="15">
        <v>-1.385827811987974E-2</v>
      </c>
      <c r="Q31" s="3">
        <v>8.1031698144238051E-2</v>
      </c>
      <c r="R31" s="3">
        <v>0.3462335645050616</v>
      </c>
      <c r="S31" s="3">
        <v>0.44779009933611869</v>
      </c>
      <c r="T31" s="3">
        <v>0</v>
      </c>
      <c r="U31" s="3">
        <v>0.12494463801458174</v>
      </c>
      <c r="V31" s="3">
        <v>0</v>
      </c>
      <c r="W31" s="4"/>
    </row>
    <row r="32" spans="1:23" s="1" customFormat="1" ht="24.95" customHeight="1" x14ac:dyDescent="0.2">
      <c r="A32" s="8">
        <v>46080.651643518519</v>
      </c>
      <c r="B32" s="7">
        <v>46080.651643518519</v>
      </c>
      <c r="C32" s="9" t="s">
        <v>375</v>
      </c>
      <c r="D32" s="1" t="s">
        <v>368</v>
      </c>
      <c r="E32" s="1" t="s">
        <v>369</v>
      </c>
      <c r="F32" s="1" t="s">
        <v>533</v>
      </c>
      <c r="G32" s="1" t="s">
        <v>4474</v>
      </c>
      <c r="H32" s="2">
        <v>-30000</v>
      </c>
      <c r="I32" s="16">
        <v>1.0049999999999999</v>
      </c>
      <c r="J32" s="1" t="s">
        <v>369</v>
      </c>
      <c r="K32" s="6">
        <f>Registro_Ordini[[#This Row],[Numero]]*Registro_Ordini[[#This Row],[Prezzo]]</f>
        <v>-30149.999999999996</v>
      </c>
      <c r="L32" s="10">
        <v>1</v>
      </c>
      <c r="M32" s="6">
        <f>Registro_Ordini[[#This Row],[Importo]]*Registro_Ordini[[#This Row],[Cambio]]</f>
        <v>-30149.999999999996</v>
      </c>
      <c r="N32" s="1" t="str">
        <f ca="1">IFERROR(_xlfn.NUMBERVALUE(OFFSET(Origine,MATCH(Registro_Ordini[[#This Row],[Titolo]],Descrizioni,0),MATCH("Price",Intestazioni,0)-1,1,1)),"")</f>
        <v/>
      </c>
      <c r="O32" s="18" t="str">
        <f ca="1">IF(OR(Registro_Ordini[[#This Row],[Price]]=0,Registro_Ordini[[#This Row],[Price]]=""),"",IF(Registro_Ordini[[#This Row],[Tipo]]="Sell",Registro_Ordini[[#This Row],[Prezzo]]/Registro_Ordini[[#This Row],[Price]]-1,Registro_Ordini[[#This Row],[Price]]/Registro_Ordini[[#This Row],[Prezzo]]-1))</f>
        <v/>
      </c>
      <c r="P32" s="15">
        <v>-3.3561275063146462E-2</v>
      </c>
      <c r="Q32" s="3">
        <v>9.9750942992656064E-2</v>
      </c>
      <c r="R32" s="3">
        <v>0.28625075819385171</v>
      </c>
      <c r="S32" s="3">
        <v>0.46575985147854443</v>
      </c>
      <c r="T32" s="3">
        <v>0</v>
      </c>
      <c r="U32" s="3">
        <v>0.14823844733494781</v>
      </c>
      <c r="V32" s="3">
        <v>0</v>
      </c>
      <c r="W32" s="4"/>
    </row>
    <row r="33" spans="1:23" s="1" customFormat="1" ht="24.95" customHeight="1" x14ac:dyDescent="0.2">
      <c r="A33" s="8">
        <v>46080.651631944442</v>
      </c>
      <c r="B33" s="7">
        <v>46080.651631944442</v>
      </c>
      <c r="C33" s="9" t="s">
        <v>376</v>
      </c>
      <c r="D33" s="1" t="s">
        <v>368</v>
      </c>
      <c r="E33" s="1" t="s">
        <v>369</v>
      </c>
      <c r="F33" s="1" t="s">
        <v>533</v>
      </c>
      <c r="G33" s="1" t="s">
        <v>4474</v>
      </c>
      <c r="H33" s="2">
        <v>-15000</v>
      </c>
      <c r="I33" s="16">
        <v>1.0049999999999999</v>
      </c>
      <c r="J33" s="1" t="s">
        <v>369</v>
      </c>
      <c r="K33" s="6">
        <f>Registro_Ordini[[#This Row],[Numero]]*Registro_Ordini[[#This Row],[Prezzo]]</f>
        <v>-15074.999999999998</v>
      </c>
      <c r="L33" s="10">
        <v>1</v>
      </c>
      <c r="M33" s="6">
        <f>Registro_Ordini[[#This Row],[Importo]]*Registro_Ordini[[#This Row],[Cambio]]</f>
        <v>-15074.999999999998</v>
      </c>
      <c r="N33" s="1" t="str">
        <f ca="1">IFERROR(_xlfn.NUMBERVALUE(OFFSET(Origine,MATCH(Registro_Ordini[[#This Row],[Titolo]],Descrizioni,0),MATCH("Price",Intestazioni,0)-1,1,1)),"")</f>
        <v/>
      </c>
      <c r="O33" s="18" t="str">
        <f ca="1">IF(OR(Registro_Ordini[[#This Row],[Price]]=0,Registro_Ordini[[#This Row],[Price]]=""),"",IF(Registro_Ordini[[#This Row],[Tipo]]="Sell",Registro_Ordini[[#This Row],[Prezzo]]/Registro_Ordini[[#This Row],[Price]]-1,Registro_Ordini[[#This Row],[Price]]/Registro_Ordini[[#This Row],[Prezzo]]-1))</f>
        <v/>
      </c>
      <c r="P33" s="15">
        <v>-5.2103865118543355E-2</v>
      </c>
      <c r="Q33" s="3">
        <v>0.10924944399368494</v>
      </c>
      <c r="R33" s="3">
        <v>0.2078675445154522</v>
      </c>
      <c r="S33" s="3">
        <v>0.49301793711128278</v>
      </c>
      <c r="T33" s="3">
        <v>0</v>
      </c>
      <c r="U33" s="3">
        <v>0.18986507437958</v>
      </c>
      <c r="V33" s="3">
        <v>0</v>
      </c>
      <c r="W33" s="4"/>
    </row>
    <row r="34" spans="1:23" s="1" customFormat="1" ht="24.95" customHeight="1" x14ac:dyDescent="0.2">
      <c r="A34" s="8">
        <v>46080.651608796295</v>
      </c>
      <c r="B34" s="7">
        <v>46080.651620370372</v>
      </c>
      <c r="C34" s="9" t="s">
        <v>377</v>
      </c>
      <c r="D34" s="1" t="s">
        <v>368</v>
      </c>
      <c r="E34" s="1" t="s">
        <v>369</v>
      </c>
      <c r="F34" s="1" t="s">
        <v>533</v>
      </c>
      <c r="G34" s="1" t="s">
        <v>4474</v>
      </c>
      <c r="H34" s="2">
        <v>-60000</v>
      </c>
      <c r="I34" s="16">
        <v>1.0049999999999999</v>
      </c>
      <c r="J34" s="1" t="s">
        <v>369</v>
      </c>
      <c r="K34" s="6">
        <f>Registro_Ordini[[#This Row],[Numero]]*Registro_Ordini[[#This Row],[Prezzo]]</f>
        <v>-60299.999999999993</v>
      </c>
      <c r="L34" s="10">
        <v>1</v>
      </c>
      <c r="M34" s="6">
        <f>Registro_Ordini[[#This Row],[Importo]]*Registro_Ordini[[#This Row],[Cambio]]</f>
        <v>-60299.999999999993</v>
      </c>
      <c r="N34" s="1" t="str">
        <f ca="1">IFERROR(_xlfn.NUMBERVALUE(OFFSET(Origine,MATCH(Registro_Ordini[[#This Row],[Titolo]],Descrizioni,0),MATCH("Price",Intestazioni,0)-1,1,1)),"")</f>
        <v/>
      </c>
      <c r="O34" s="18" t="str">
        <f ca="1">IF(OR(Registro_Ordini[[#This Row],[Price]]=0,Registro_Ordini[[#This Row],[Price]]=""),"",IF(Registro_Ordini[[#This Row],[Tipo]]="Sell",Registro_Ordini[[#This Row],[Prezzo]]/Registro_Ordini[[#This Row],[Price]]-1,Registro_Ordini[[#This Row],[Price]]/Registro_Ordini[[#This Row],[Prezzo]]-1))</f>
        <v/>
      </c>
      <c r="P34" s="15">
        <v>-3.4447676744616205E-2</v>
      </c>
      <c r="Q34" s="3">
        <v>0.10096250738099057</v>
      </c>
      <c r="R34" s="3">
        <v>0.25910033038104957</v>
      </c>
      <c r="S34" s="3">
        <v>0.49247366408990106</v>
      </c>
      <c r="T34" s="3">
        <v>0</v>
      </c>
      <c r="U34" s="3">
        <v>0.14746349814805884</v>
      </c>
      <c r="V34" s="3">
        <v>0</v>
      </c>
      <c r="W34" s="4"/>
    </row>
    <row r="35" spans="1:23" s="1" customFormat="1" ht="24.95" customHeight="1" x14ac:dyDescent="0.2">
      <c r="A35" s="8">
        <v>46080.651597222219</v>
      </c>
      <c r="B35" s="7">
        <v>46080.651597222219</v>
      </c>
      <c r="C35" s="9" t="s">
        <v>378</v>
      </c>
      <c r="D35" s="1" t="s">
        <v>368</v>
      </c>
      <c r="E35" s="1" t="s">
        <v>369</v>
      </c>
      <c r="F35" s="1" t="s">
        <v>533</v>
      </c>
      <c r="G35" s="1" t="s">
        <v>4474</v>
      </c>
      <c r="H35" s="2">
        <v>-15000</v>
      </c>
      <c r="I35" s="16">
        <v>1.0049999999999999</v>
      </c>
      <c r="J35" s="1" t="s">
        <v>369</v>
      </c>
      <c r="K35" s="6">
        <f>Registro_Ordini[[#This Row],[Numero]]*Registro_Ordini[[#This Row],[Prezzo]]</f>
        <v>-15074.999999999998</v>
      </c>
      <c r="L35" s="10">
        <v>1</v>
      </c>
      <c r="M35" s="6">
        <f>Registro_Ordini[[#This Row],[Importo]]*Registro_Ordini[[#This Row],[Cambio]]</f>
        <v>-15074.999999999998</v>
      </c>
      <c r="N35" s="1" t="str">
        <f ca="1">IFERROR(_xlfn.NUMBERVALUE(OFFSET(Origine,MATCH(Registro_Ordini[[#This Row],[Titolo]],Descrizioni,0),MATCH("Price",Intestazioni,0)-1,1,1)),"")</f>
        <v/>
      </c>
      <c r="O35" s="18" t="str">
        <f ca="1">IF(OR(Registro_Ordini[[#This Row],[Price]]=0,Registro_Ordini[[#This Row],[Price]]=""),"",IF(Registro_Ordini[[#This Row],[Tipo]]="Sell",Registro_Ordini[[#This Row],[Prezzo]]/Registro_Ordini[[#This Row],[Price]]-1,Registro_Ordini[[#This Row],[Price]]/Registro_Ordini[[#This Row],[Prezzo]]-1))</f>
        <v/>
      </c>
      <c r="P35" s="15">
        <v>-2.6442235434656503E-2</v>
      </c>
      <c r="Q35" s="3">
        <v>0.1035500928154809</v>
      </c>
      <c r="R35" s="3">
        <v>0.2562199230323407</v>
      </c>
      <c r="S35" s="3">
        <v>0.49883175613603375</v>
      </c>
      <c r="T35" s="3">
        <v>0</v>
      </c>
      <c r="U35" s="3">
        <v>0.14139822801614452</v>
      </c>
      <c r="V35" s="3">
        <v>0</v>
      </c>
      <c r="W35" s="4"/>
    </row>
    <row r="36" spans="1:23" s="1" customFormat="1" ht="24.95" customHeight="1" x14ac:dyDescent="0.2">
      <c r="A36" s="8">
        <v>46078.686516203707</v>
      </c>
      <c r="B36" s="7">
        <v>46078.686516203707</v>
      </c>
      <c r="C36" s="9" t="s">
        <v>377</v>
      </c>
      <c r="D36" s="1" t="s">
        <v>362</v>
      </c>
      <c r="E36" s="1" t="s">
        <v>363</v>
      </c>
      <c r="F36" s="1" t="s">
        <v>364</v>
      </c>
      <c r="G36" s="1" t="s">
        <v>365</v>
      </c>
      <c r="H36" s="2">
        <v>-70000</v>
      </c>
      <c r="I36" s="16">
        <v>1</v>
      </c>
      <c r="J36" s="1" t="s">
        <v>366</v>
      </c>
      <c r="K36" s="6">
        <f>Registro_Ordini[[#This Row],[Numero]]*Registro_Ordini[[#This Row],[Prezzo]]</f>
        <v>-70000</v>
      </c>
      <c r="L36" s="10">
        <v>0.77129999999999999</v>
      </c>
      <c r="M36" s="6">
        <f>Registro_Ordini[[#This Row],[Importo]]*Registro_Ordini[[#This Row],[Cambio]]</f>
        <v>-53991</v>
      </c>
      <c r="N36" s="1">
        <f ca="1">IFERROR(_xlfn.NUMBERVALUE(OFFSET(Origine,MATCH(Registro_Ordini[[#This Row],[Titolo]],Descrizioni,0),MATCH("Price",Intestazioni,0)-1,1,1)),"")</f>
        <v>0.78225</v>
      </c>
      <c r="O36" s="18">
        <f ca="1">IF(OR(Registro_Ordini[[#This Row],[Price]]=0,Registro_Ordini[[#This Row],[Price]]=""),"",IF(Registro_Ordini[[#This Row],[Tipo]]="Sell",Registro_Ordini[[#This Row],[Prezzo]]/Registro_Ordini[[#This Row],[Price]]-1,Registro_Ordini[[#This Row],[Price]]/Registro_Ordini[[#This Row],[Prezzo]]-1))</f>
        <v>0.27836369447107701</v>
      </c>
      <c r="P36" s="15">
        <v>-3.0857409916621843E-2</v>
      </c>
      <c r="Q36" s="3">
        <v>6.6585032635384622E-2</v>
      </c>
      <c r="R36" s="3">
        <v>0.29361542360272119</v>
      </c>
      <c r="S36" s="3">
        <v>0.49315781402890985</v>
      </c>
      <c r="T36" s="3">
        <v>0</v>
      </c>
      <c r="U36" s="3">
        <v>0.14664172973298423</v>
      </c>
      <c r="V36" s="3"/>
      <c r="W36" s="4"/>
    </row>
    <row r="37" spans="1:23" s="1" customFormat="1" ht="24.95" customHeight="1" x14ac:dyDescent="0.2">
      <c r="A37" s="738">
        <v>46073.72855324074</v>
      </c>
      <c r="B37" s="739">
        <v>46073.72855324074</v>
      </c>
      <c r="C37" s="611" t="s">
        <v>373</v>
      </c>
      <c r="D37" s="142" t="s">
        <v>362</v>
      </c>
      <c r="E37" s="142" t="s">
        <v>363</v>
      </c>
      <c r="F37" s="142" t="s">
        <v>364</v>
      </c>
      <c r="G37" s="142" t="s">
        <v>371</v>
      </c>
      <c r="H37" s="740">
        <v>18000</v>
      </c>
      <c r="I37" s="741">
        <v>1</v>
      </c>
      <c r="J37" s="142" t="s">
        <v>366</v>
      </c>
      <c r="K37" s="617">
        <f>Registro_Ordini[[#This Row],[Numero]]*Registro_Ordini[[#This Row],[Prezzo]]</f>
        <v>18000</v>
      </c>
      <c r="L37" s="742">
        <v>0.77500000000000002</v>
      </c>
      <c r="M37" s="617">
        <f>Registro_Ordini[[#This Row],[Importo]]*Registro_Ordini[[#This Row],[Cambio]]</f>
        <v>13950</v>
      </c>
      <c r="N37" s="142">
        <f ca="1">IFERROR(_xlfn.NUMBERVALUE(OFFSET(Origine,MATCH(Registro_Ordini[[#This Row],[Titolo]],Descrizioni,0),MATCH("Price",Intestazioni,0)-1,1,1)),"")</f>
        <v>0.78225</v>
      </c>
      <c r="O37" s="734">
        <f ca="1">IF(OR(Registro_Ordini[[#This Row],[Price]]=0,Registro_Ordini[[#This Row],[Price]]=""),"",IF(Registro_Ordini[[#This Row],[Tipo]]="Sell",Registro_Ordini[[#This Row],[Prezzo]]/Registro_Ordini[[#This Row],[Price]]-1,Registro_Ordini[[#This Row],[Price]]/Registro_Ordini[[#This Row],[Prezzo]]-1))</f>
        <v>-0.21775</v>
      </c>
      <c r="P37" s="743">
        <v>1.9098933739156745E-2</v>
      </c>
      <c r="Q37" s="744">
        <v>0.39506578879989007</v>
      </c>
      <c r="R37" s="744">
        <v>0.20537377053097622</v>
      </c>
      <c r="S37" s="744">
        <v>0.27719692782819688</v>
      </c>
      <c r="T37" s="744">
        <v>0</v>
      </c>
      <c r="U37" s="744">
        <v>0.12236351284093692</v>
      </c>
      <c r="V37" s="744"/>
      <c r="W37" s="745"/>
    </row>
    <row r="38" spans="1:23" s="1" customFormat="1" ht="24.95" customHeight="1" x14ac:dyDescent="0.2">
      <c r="A38" s="738">
        <v>46073.728159722225</v>
      </c>
      <c r="B38" s="739">
        <v>46073.728159722225</v>
      </c>
      <c r="C38" s="611" t="s">
        <v>373</v>
      </c>
      <c r="D38" s="142" t="s">
        <v>362</v>
      </c>
      <c r="E38" s="142" t="s">
        <v>363</v>
      </c>
      <c r="F38" s="142" t="s">
        <v>364</v>
      </c>
      <c r="G38" s="142" t="s">
        <v>371</v>
      </c>
      <c r="H38" s="740">
        <v>20000</v>
      </c>
      <c r="I38" s="741">
        <v>1</v>
      </c>
      <c r="J38" s="142" t="s">
        <v>366</v>
      </c>
      <c r="K38" s="617">
        <f>Registro_Ordini[[#This Row],[Numero]]*Registro_Ordini[[#This Row],[Prezzo]]</f>
        <v>20000</v>
      </c>
      <c r="L38" s="742">
        <v>0.77385000000000004</v>
      </c>
      <c r="M38" s="617">
        <f>Registro_Ordini[[#This Row],[Importo]]*Registro_Ordini[[#This Row],[Cambio]]</f>
        <v>15477</v>
      </c>
      <c r="N38" s="142">
        <f ca="1">IFERROR(_xlfn.NUMBERVALUE(OFFSET(Origine,MATCH(Registro_Ordini[[#This Row],[Titolo]],Descrizioni,0),MATCH("Price",Intestazioni,0)-1,1,1)),"")</f>
        <v>0.78225</v>
      </c>
      <c r="O38" s="734">
        <f ca="1">IF(OR(Registro_Ordini[[#This Row],[Price]]=0,Registro_Ordini[[#This Row],[Price]]=""),"",IF(Registro_Ordini[[#This Row],[Tipo]]="Sell",Registro_Ordini[[#This Row],[Prezzo]]/Registro_Ordini[[#This Row],[Price]]-1,Registro_Ordini[[#This Row],[Price]]/Registro_Ordini[[#This Row],[Prezzo]]-1))</f>
        <v>-0.21775</v>
      </c>
      <c r="P38" s="743">
        <v>2.1188990701788903E-2</v>
      </c>
      <c r="Q38" s="744">
        <v>0.39508170483926824</v>
      </c>
      <c r="R38" s="744">
        <v>0.2053683670722885</v>
      </c>
      <c r="S38" s="744">
        <v>0.27718963467608687</v>
      </c>
      <c r="T38" s="744">
        <v>0</v>
      </c>
      <c r="U38" s="744">
        <v>0.12236029341235648</v>
      </c>
      <c r="V38" s="744"/>
      <c r="W38" s="745"/>
    </row>
    <row r="39" spans="1:23" s="1" customFormat="1" ht="24.95" customHeight="1" x14ac:dyDescent="0.2">
      <c r="A39" s="738">
        <v>46073.727511574078</v>
      </c>
      <c r="B39" s="739">
        <v>46073.727511574078</v>
      </c>
      <c r="C39" s="611" t="s">
        <v>373</v>
      </c>
      <c r="D39" s="142" t="s">
        <v>393</v>
      </c>
      <c r="E39" s="142" t="s">
        <v>394</v>
      </c>
      <c r="F39" s="142" t="s">
        <v>395</v>
      </c>
      <c r="G39" s="142" t="s">
        <v>371</v>
      </c>
      <c r="H39" s="740">
        <v>40</v>
      </c>
      <c r="I39" s="741">
        <v>464.18</v>
      </c>
      <c r="J39" s="142" t="s">
        <v>366</v>
      </c>
      <c r="K39" s="617">
        <f>Registro_Ordini[[#This Row],[Numero]]*Registro_Ordini[[#This Row],[Prezzo]]</f>
        <v>18567.2</v>
      </c>
      <c r="L39" s="742">
        <v>0.77485000000000004</v>
      </c>
      <c r="M39" s="617">
        <f>Registro_Ordini[[#This Row],[Importo]]*Registro_Ordini[[#This Row],[Cambio]]</f>
        <v>14386.794920000002</v>
      </c>
      <c r="N39" s="142">
        <f ca="1">IFERROR(_xlfn.NUMBERVALUE(OFFSET(Origine,MATCH(Registro_Ordini[[#This Row],[Titolo]],Descrizioni,0),MATCH("Price",Intestazioni,0)-1,1,1)),"")</f>
        <v>466.45</v>
      </c>
      <c r="O39" s="734">
        <f ca="1">IF(OR(Registro_Ordini[[#This Row],[Price]]=0,Registro_Ordini[[#This Row],[Price]]=""),"",IF(Registro_Ordini[[#This Row],[Tipo]]="Sell",Registro_Ordini[[#This Row],[Prezzo]]/Registro_Ordini[[#This Row],[Price]]-1,Registro_Ordini[[#This Row],[Price]]/Registro_Ordini[[#This Row],[Prezzo]]-1))</f>
        <v>4.8903442630012783E-3</v>
      </c>
      <c r="P39" s="743">
        <v>1.9697731287119966E-2</v>
      </c>
      <c r="Q39" s="744">
        <v>0.39505752690211382</v>
      </c>
      <c r="R39" s="744">
        <v>0.20538192393949414</v>
      </c>
      <c r="S39" s="744">
        <v>0.27720793264047966</v>
      </c>
      <c r="T39" s="744">
        <v>0</v>
      </c>
      <c r="U39" s="744">
        <v>0.12235261651791229</v>
      </c>
      <c r="V39" s="744"/>
      <c r="W39" s="745"/>
    </row>
    <row r="40" spans="1:23" s="1" customFormat="1" ht="24.95" customHeight="1" x14ac:dyDescent="0.2">
      <c r="A40" s="738">
        <v>46073.57298611111</v>
      </c>
      <c r="B40" s="739">
        <v>46073.572997685187</v>
      </c>
      <c r="C40" s="611" t="s">
        <v>106</v>
      </c>
      <c r="D40" s="142" t="s">
        <v>388</v>
      </c>
      <c r="E40" s="142" t="s">
        <v>491</v>
      </c>
      <c r="F40" s="142" t="s">
        <v>4473</v>
      </c>
      <c r="G40" s="142" t="s">
        <v>371</v>
      </c>
      <c r="H40" s="740">
        <v>65</v>
      </c>
      <c r="I40" s="741">
        <v>71.471400000000003</v>
      </c>
      <c r="J40" s="142" t="s">
        <v>366</v>
      </c>
      <c r="K40" s="617">
        <f>Registro_Ordini[[#This Row],[Numero]]*Registro_Ordini[[#This Row],[Prezzo]]</f>
        <v>4645.6410000000005</v>
      </c>
      <c r="L40" s="742">
        <v>0.84965000000000002</v>
      </c>
      <c r="M40" s="617">
        <f>Registro_Ordini[[#This Row],[Importo]]*Registro_Ordini[[#This Row],[Cambio]]</f>
        <v>3947.1688756500007</v>
      </c>
      <c r="N40" s="142">
        <f ca="1">IFERROR(_xlfn.NUMBERVALUE(OFFSET(Origine,MATCH(Registro_Ordini[[#This Row],[Titolo]],Descrizioni,0),MATCH("Price",Intestazioni,0)-1,1,1)),"")</f>
        <v>72.2</v>
      </c>
      <c r="O40" s="734">
        <f ca="1">IF(OR(Registro_Ordini[[#This Row],[Price]]=0,Registro_Ordini[[#This Row],[Price]]=""),"",IF(Registro_Ordini[[#This Row],[Tipo]]="Sell",Registro_Ordini[[#This Row],[Prezzo]]/Registro_Ordini[[#This Row],[Price]]-1,Registro_Ordini[[#This Row],[Price]]/Registro_Ordini[[#This Row],[Prezzo]]-1))</f>
        <v>1.0194287505211896E-2</v>
      </c>
      <c r="P40" s="743">
        <v>2.4734449489048845E-2</v>
      </c>
      <c r="Q40" s="744">
        <v>8.7577157785298163E-2</v>
      </c>
      <c r="R40" s="744">
        <v>0.25853656213731185</v>
      </c>
      <c r="S40" s="744">
        <v>0.46605957374926571</v>
      </c>
      <c r="T40" s="744">
        <v>0</v>
      </c>
      <c r="U40" s="744">
        <v>0.18782670632812426</v>
      </c>
      <c r="V40" s="744"/>
      <c r="W40" s="745"/>
    </row>
    <row r="41" spans="1:23" s="1" customFormat="1" ht="24.95" customHeight="1" x14ac:dyDescent="0.2">
      <c r="A41" s="738">
        <v>46073.572974537034</v>
      </c>
      <c r="B41" s="739">
        <v>46073.572974537034</v>
      </c>
      <c r="C41" s="611" t="s">
        <v>379</v>
      </c>
      <c r="D41" s="142" t="s">
        <v>388</v>
      </c>
      <c r="E41" s="142" t="s">
        <v>491</v>
      </c>
      <c r="F41" s="142" t="s">
        <v>4473</v>
      </c>
      <c r="G41" s="142" t="s">
        <v>371</v>
      </c>
      <c r="H41" s="740">
        <v>260</v>
      </c>
      <c r="I41" s="741">
        <v>71.471400000000003</v>
      </c>
      <c r="J41" s="142" t="s">
        <v>366</v>
      </c>
      <c r="K41" s="617">
        <f>Registro_Ordini[[#This Row],[Numero]]*Registro_Ordini[[#This Row],[Prezzo]]</f>
        <v>18582.564000000002</v>
      </c>
      <c r="L41" s="742">
        <v>0.84965000000000002</v>
      </c>
      <c r="M41" s="617">
        <f>Registro_Ordini[[#This Row],[Importo]]*Registro_Ordini[[#This Row],[Cambio]]</f>
        <v>15788.675502600003</v>
      </c>
      <c r="N41" s="142">
        <f ca="1">IFERROR(_xlfn.NUMBERVALUE(OFFSET(Origine,MATCH(Registro_Ordini[[#This Row],[Titolo]],Descrizioni,0),MATCH("Price",Intestazioni,0)-1,1,1)),"")</f>
        <v>72.2</v>
      </c>
      <c r="O41" s="734">
        <f ca="1">IF(OR(Registro_Ordini[[#This Row],[Price]]=0,Registro_Ordini[[#This Row],[Price]]=""),"",IF(Registro_Ordini[[#This Row],[Tipo]]="Sell",Registro_Ordini[[#This Row],[Prezzo]]/Registro_Ordini[[#This Row],[Price]]-1,Registro_Ordini[[#This Row],[Price]]/Registro_Ordini[[#This Row],[Prezzo]]-1))</f>
        <v>1.0194287505211896E-2</v>
      </c>
      <c r="P41" s="743">
        <v>2.5005824266066519E-2</v>
      </c>
      <c r="Q41" s="744">
        <v>3.2289192315106768E-2</v>
      </c>
      <c r="R41" s="744">
        <v>0.32778207999118347</v>
      </c>
      <c r="S41" s="744">
        <v>0.48989457153453153</v>
      </c>
      <c r="T41" s="744">
        <v>0</v>
      </c>
      <c r="U41" s="744">
        <v>0.15003415615917828</v>
      </c>
      <c r="V41" s="744"/>
      <c r="W41" s="745"/>
    </row>
    <row r="42" spans="1:23" s="1" customFormat="1" ht="24.95" customHeight="1" x14ac:dyDescent="0.2">
      <c r="A42" s="738">
        <v>46073.572962962964</v>
      </c>
      <c r="B42" s="739">
        <v>46073.572962962964</v>
      </c>
      <c r="C42" s="611" t="s">
        <v>382</v>
      </c>
      <c r="D42" s="142" t="s">
        <v>388</v>
      </c>
      <c r="E42" s="142" t="s">
        <v>491</v>
      </c>
      <c r="F42" s="142" t="s">
        <v>4473</v>
      </c>
      <c r="G42" s="142" t="s">
        <v>371</v>
      </c>
      <c r="H42" s="740">
        <v>425</v>
      </c>
      <c r="I42" s="741">
        <v>71.471400000000003</v>
      </c>
      <c r="J42" s="142" t="s">
        <v>366</v>
      </c>
      <c r="K42" s="617">
        <f>Registro_Ordini[[#This Row],[Numero]]*Registro_Ordini[[#This Row],[Prezzo]]</f>
        <v>30375.345000000001</v>
      </c>
      <c r="L42" s="742">
        <v>0.84965000000000002</v>
      </c>
      <c r="M42" s="617">
        <f>Registro_Ordini[[#This Row],[Importo]]*Registro_Ordini[[#This Row],[Cambio]]</f>
        <v>25808.411879250001</v>
      </c>
      <c r="N42" s="142">
        <f ca="1">IFERROR(_xlfn.NUMBERVALUE(OFFSET(Origine,MATCH(Registro_Ordini[[#This Row],[Titolo]],Descrizioni,0),MATCH("Price",Intestazioni,0)-1,1,1)),"")</f>
        <v>72.2</v>
      </c>
      <c r="O42" s="734">
        <f ca="1">IF(OR(Registro_Ordini[[#This Row],[Price]]=0,Registro_Ordini[[#This Row],[Price]]=""),"",IF(Registro_Ordini[[#This Row],[Tipo]]="Sell",Registro_Ordini[[#This Row],[Prezzo]]/Registro_Ordini[[#This Row],[Price]]-1,Registro_Ordini[[#This Row],[Price]]/Registro_Ordini[[#This Row],[Prezzo]]-1))</f>
        <v>1.0194287505211896E-2</v>
      </c>
      <c r="P42" s="743">
        <v>2.2269943379986824E-2</v>
      </c>
      <c r="Q42" s="744">
        <v>4.3868928327454898E-2</v>
      </c>
      <c r="R42" s="744">
        <v>0.315910672023206</v>
      </c>
      <c r="S42" s="744">
        <v>0.48456763156017058</v>
      </c>
      <c r="T42" s="744">
        <v>0</v>
      </c>
      <c r="U42" s="744">
        <v>0.15565276808916856</v>
      </c>
      <c r="V42" s="744"/>
      <c r="W42" s="745"/>
    </row>
    <row r="43" spans="1:23" s="1" customFormat="1" ht="24.95" customHeight="1" x14ac:dyDescent="0.2">
      <c r="A43" s="738">
        <v>46073.572951388887</v>
      </c>
      <c r="B43" s="739">
        <v>46073.572951388887</v>
      </c>
      <c r="C43" s="611" t="s">
        <v>383</v>
      </c>
      <c r="D43" s="142" t="s">
        <v>388</v>
      </c>
      <c r="E43" s="142" t="s">
        <v>491</v>
      </c>
      <c r="F43" s="142" t="s">
        <v>4473</v>
      </c>
      <c r="G43" s="142" t="s">
        <v>371</v>
      </c>
      <c r="H43" s="740">
        <v>290</v>
      </c>
      <c r="I43" s="741">
        <v>71.471400000000003</v>
      </c>
      <c r="J43" s="142" t="s">
        <v>366</v>
      </c>
      <c r="K43" s="617">
        <f>Registro_Ordini[[#This Row],[Numero]]*Registro_Ordini[[#This Row],[Prezzo]]</f>
        <v>20726.706000000002</v>
      </c>
      <c r="L43" s="742">
        <v>0.84965000000000002</v>
      </c>
      <c r="M43" s="617">
        <f>Registro_Ordini[[#This Row],[Importo]]*Registro_Ordini[[#This Row],[Cambio]]</f>
        <v>17610.445752900003</v>
      </c>
      <c r="N43" s="142">
        <f ca="1">IFERROR(_xlfn.NUMBERVALUE(OFFSET(Origine,MATCH(Registro_Ordini[[#This Row],[Titolo]],Descrizioni,0),MATCH("Price",Intestazioni,0)-1,1,1)),"")</f>
        <v>72.2</v>
      </c>
      <c r="O43" s="734">
        <f ca="1">IF(OR(Registro_Ordini[[#This Row],[Price]]=0,Registro_Ordini[[#This Row],[Price]]=""),"",IF(Registro_Ordini[[#This Row],[Tipo]]="Sell",Registro_Ordini[[#This Row],[Prezzo]]/Registro_Ordini[[#This Row],[Price]]-1,Registro_Ordini[[#This Row],[Price]]/Registro_Ordini[[#This Row],[Prezzo]]-1))</f>
        <v>1.0194287505211896E-2</v>
      </c>
      <c r="P43" s="743">
        <v>2.5080785087053557E-2</v>
      </c>
      <c r="Q43" s="744">
        <v>4.033295565018085E-2</v>
      </c>
      <c r="R43" s="744">
        <v>0.323657728057474</v>
      </c>
      <c r="S43" s="744">
        <v>0.48516631768999835</v>
      </c>
      <c r="T43" s="744">
        <v>0</v>
      </c>
      <c r="U43" s="744">
        <v>0.15084299860234687</v>
      </c>
      <c r="V43" s="744"/>
      <c r="W43" s="745"/>
    </row>
    <row r="44" spans="1:23" s="1" customFormat="1" ht="24.95" customHeight="1" x14ac:dyDescent="0.2">
      <c r="A44" s="738">
        <v>46073.572754629633</v>
      </c>
      <c r="B44" s="739">
        <v>46073.572754629633</v>
      </c>
      <c r="C44" s="611" t="s">
        <v>78</v>
      </c>
      <c r="D44" s="142" t="s">
        <v>388</v>
      </c>
      <c r="E44" s="142" t="s">
        <v>491</v>
      </c>
      <c r="F44" s="142" t="s">
        <v>4473</v>
      </c>
      <c r="G44" s="142" t="s">
        <v>371</v>
      </c>
      <c r="H44" s="740">
        <v>350</v>
      </c>
      <c r="I44" s="741">
        <v>71.471400000000003</v>
      </c>
      <c r="J44" s="142" t="s">
        <v>366</v>
      </c>
      <c r="K44" s="617">
        <f>Registro_Ordini[[#This Row],[Numero]]*Registro_Ordini[[#This Row],[Prezzo]]</f>
        <v>25014.99</v>
      </c>
      <c r="L44" s="742">
        <v>0.77595000000000003</v>
      </c>
      <c r="M44" s="617">
        <f>Registro_Ordini[[#This Row],[Importo]]*Registro_Ordini[[#This Row],[Cambio]]</f>
        <v>19410.381490500004</v>
      </c>
      <c r="N44" s="142">
        <f ca="1">IFERROR(_xlfn.NUMBERVALUE(OFFSET(Origine,MATCH(Registro_Ordini[[#This Row],[Titolo]],Descrizioni,0),MATCH("Price",Intestazioni,0)-1,1,1)),"")</f>
        <v>72.2</v>
      </c>
      <c r="O44" s="734">
        <f ca="1">IF(OR(Registro_Ordini[[#This Row],[Price]]=0,Registro_Ordini[[#This Row],[Price]]=""),"",IF(Registro_Ordini[[#This Row],[Tipo]]="Sell",Registro_Ordini[[#This Row],[Prezzo]]/Registro_Ordini[[#This Row],[Price]]-1,Registro_Ordini[[#This Row],[Price]]/Registro_Ordini[[#This Row],[Prezzo]]-1))</f>
        <v>1.0194287505211896E-2</v>
      </c>
      <c r="P44" s="743">
        <v>2.9342870174409792E-2</v>
      </c>
      <c r="Q44" s="744">
        <v>8.6702148719255051E-2</v>
      </c>
      <c r="R44" s="744">
        <v>0.1210201471392304</v>
      </c>
      <c r="S44" s="744">
        <v>0.6762495520615166</v>
      </c>
      <c r="T44" s="744">
        <v>0</v>
      </c>
      <c r="U44" s="744">
        <v>0.11602815207999789</v>
      </c>
      <c r="V44" s="744"/>
      <c r="W44" s="745"/>
    </row>
    <row r="45" spans="1:23" s="1" customFormat="1" ht="24.95" customHeight="1" x14ac:dyDescent="0.2">
      <c r="A45" s="738">
        <v>46073.572395833333</v>
      </c>
      <c r="B45" s="739">
        <v>46073.572395833333</v>
      </c>
      <c r="C45" s="611" t="s">
        <v>375</v>
      </c>
      <c r="D45" s="142" t="s">
        <v>388</v>
      </c>
      <c r="E45" s="142" t="s">
        <v>491</v>
      </c>
      <c r="F45" s="142" t="s">
        <v>4473</v>
      </c>
      <c r="G45" s="142" t="s">
        <v>371</v>
      </c>
      <c r="H45" s="740">
        <v>320</v>
      </c>
      <c r="I45" s="741">
        <v>71.471400000000003</v>
      </c>
      <c r="J45" s="142" t="s">
        <v>366</v>
      </c>
      <c r="K45" s="617">
        <f>Registro_Ordini[[#This Row],[Numero]]*Registro_Ordini[[#This Row],[Prezzo]]</f>
        <v>22870.848000000002</v>
      </c>
      <c r="L45" s="742">
        <v>0.77595000000000003</v>
      </c>
      <c r="M45" s="617">
        <f>Registro_Ordini[[#This Row],[Importo]]*Registro_Ordini[[#This Row],[Cambio]]</f>
        <v>17746.634505600003</v>
      </c>
      <c r="N45" s="142">
        <f ca="1">IFERROR(_xlfn.NUMBERVALUE(OFFSET(Origine,MATCH(Registro_Ordini[[#This Row],[Titolo]],Descrizioni,0),MATCH("Price",Intestazioni,0)-1,1,1)),"")</f>
        <v>72.2</v>
      </c>
      <c r="O45" s="734">
        <f ca="1">IF(OR(Registro_Ordini[[#This Row],[Price]]=0,Registro_Ordini[[#This Row],[Price]]=""),"",IF(Registro_Ordini[[#This Row],[Tipo]]="Sell",Registro_Ordini[[#This Row],[Prezzo]]/Registro_Ordini[[#This Row],[Price]]-1,Registro_Ordini[[#This Row],[Price]]/Registro_Ordini[[#This Row],[Prezzo]]-1))</f>
        <v>1.0194287505211896E-2</v>
      </c>
      <c r="P45" s="743">
        <v>1.9860164588481215E-2</v>
      </c>
      <c r="Q45" s="744">
        <v>6.6568225588123933E-2</v>
      </c>
      <c r="R45" s="744">
        <v>0.32124041203810372</v>
      </c>
      <c r="S45" s="744">
        <v>0.46779175549509916</v>
      </c>
      <c r="T45" s="744">
        <v>0</v>
      </c>
      <c r="U45" s="744">
        <v>0.14439960687867326</v>
      </c>
      <c r="V45" s="744"/>
      <c r="W45" s="745"/>
    </row>
    <row r="46" spans="1:23" s="1" customFormat="1" ht="24.95" customHeight="1" x14ac:dyDescent="0.2">
      <c r="A46" s="738">
        <v>46073.572384259256</v>
      </c>
      <c r="B46" s="739">
        <v>46073.572395833333</v>
      </c>
      <c r="C46" s="611" t="s">
        <v>376</v>
      </c>
      <c r="D46" s="142" t="s">
        <v>388</v>
      </c>
      <c r="E46" s="142" t="s">
        <v>491</v>
      </c>
      <c r="F46" s="142" t="s">
        <v>4473</v>
      </c>
      <c r="G46" s="142" t="s">
        <v>371</v>
      </c>
      <c r="H46" s="740">
        <v>90</v>
      </c>
      <c r="I46" s="741">
        <v>71.471400000000003</v>
      </c>
      <c r="J46" s="142" t="s">
        <v>366</v>
      </c>
      <c r="K46" s="617">
        <f>Registro_Ordini[[#This Row],[Numero]]*Registro_Ordini[[#This Row],[Prezzo]]</f>
        <v>6432.4260000000004</v>
      </c>
      <c r="L46" s="742">
        <v>0.77595000000000003</v>
      </c>
      <c r="M46" s="617">
        <f>Registro_Ordini[[#This Row],[Importo]]*Registro_Ordini[[#This Row],[Cambio]]</f>
        <v>4991.2409547000007</v>
      </c>
      <c r="N46" s="142">
        <f ca="1">IFERROR(_xlfn.NUMBERVALUE(OFFSET(Origine,MATCH(Registro_Ordini[[#This Row],[Titolo]],Descrizioni,0),MATCH("Price",Intestazioni,0)-1,1,1)),"")</f>
        <v>72.2</v>
      </c>
      <c r="O46" s="734">
        <f ca="1">IF(OR(Registro_Ordini[[#This Row],[Price]]=0,Registro_Ordini[[#This Row],[Price]]=""),"",IF(Registro_Ordini[[#This Row],[Tipo]]="Sell",Registro_Ordini[[#This Row],[Prezzo]]/Registro_Ordini[[#This Row],[Price]]-1,Registro_Ordini[[#This Row],[Price]]/Registro_Ordini[[#This Row],[Prezzo]]-1))</f>
        <v>1.0194287505211896E-2</v>
      </c>
      <c r="P46" s="743">
        <v>1.7387161546525247E-2</v>
      </c>
      <c r="Q46" s="744">
        <v>5.7702203627003311E-2</v>
      </c>
      <c r="R46" s="744">
        <v>0.26178878944976358</v>
      </c>
      <c r="S46" s="744">
        <v>0.49549858730989693</v>
      </c>
      <c r="T46" s="744">
        <v>0</v>
      </c>
      <c r="U46" s="744">
        <v>0.18501041961333636</v>
      </c>
      <c r="V46" s="744"/>
      <c r="W46" s="745"/>
    </row>
    <row r="47" spans="1:23" s="1" customFormat="1" ht="24.95" customHeight="1" x14ac:dyDescent="0.2">
      <c r="A47" s="738">
        <v>46073.572384259256</v>
      </c>
      <c r="B47" s="739">
        <v>46073.572384259256</v>
      </c>
      <c r="C47" s="611" t="s">
        <v>377</v>
      </c>
      <c r="D47" s="142" t="s">
        <v>388</v>
      </c>
      <c r="E47" s="142" t="s">
        <v>491</v>
      </c>
      <c r="F47" s="142" t="s">
        <v>4473</v>
      </c>
      <c r="G47" s="142" t="s">
        <v>371</v>
      </c>
      <c r="H47" s="740">
        <v>625</v>
      </c>
      <c r="I47" s="741">
        <v>71.471400000000003</v>
      </c>
      <c r="J47" s="142" t="s">
        <v>366</v>
      </c>
      <c r="K47" s="617">
        <f>Registro_Ordini[[#This Row],[Numero]]*Registro_Ordini[[#This Row],[Prezzo]]</f>
        <v>44669.625</v>
      </c>
      <c r="L47" s="742">
        <v>0.77595000000000003</v>
      </c>
      <c r="M47" s="617">
        <f>Registro_Ordini[[#This Row],[Importo]]*Registro_Ordini[[#This Row],[Cambio]]</f>
        <v>34661.395518750003</v>
      </c>
      <c r="N47" s="142">
        <f ca="1">IFERROR(_xlfn.NUMBERVALUE(OFFSET(Origine,MATCH(Registro_Ordini[[#This Row],[Titolo]],Descrizioni,0),MATCH("Price",Intestazioni,0)-1,1,1)),"")</f>
        <v>72.2</v>
      </c>
      <c r="O47" s="734">
        <f ca="1">IF(OR(Registro_Ordini[[#This Row],[Price]]=0,Registro_Ordini[[#This Row],[Price]]=""),"",IF(Registro_Ordini[[#This Row],[Tipo]]="Sell",Registro_Ordini[[#This Row],[Prezzo]]/Registro_Ordini[[#This Row],[Price]]-1,Registro_Ordini[[#This Row],[Price]]/Registro_Ordini[[#This Row],[Prezzo]]-1))</f>
        <v>1.0194287505211896E-2</v>
      </c>
      <c r="P47" s="743">
        <v>1.990026726483898E-2</v>
      </c>
      <c r="Q47" s="744">
        <v>6.7076596429213126E-2</v>
      </c>
      <c r="R47" s="744">
        <v>0.29472361130752456</v>
      </c>
      <c r="S47" s="744">
        <v>0.49477893498416098</v>
      </c>
      <c r="T47" s="744">
        <v>0</v>
      </c>
      <c r="U47" s="744">
        <v>0.14342085727910137</v>
      </c>
      <c r="V47" s="744"/>
      <c r="W47" s="745"/>
    </row>
    <row r="48" spans="1:23" s="1" customFormat="1" ht="24.95" customHeight="1" x14ac:dyDescent="0.2">
      <c r="A48" s="738">
        <v>46073.572372685187</v>
      </c>
      <c r="B48" s="739">
        <v>46073.572372685187</v>
      </c>
      <c r="C48" s="611" t="s">
        <v>378</v>
      </c>
      <c r="D48" s="142" t="s">
        <v>388</v>
      </c>
      <c r="E48" s="142" t="s">
        <v>491</v>
      </c>
      <c r="F48" s="142" t="s">
        <v>4473</v>
      </c>
      <c r="G48" s="142" t="s">
        <v>371</v>
      </c>
      <c r="H48" s="740">
        <v>200</v>
      </c>
      <c r="I48" s="741">
        <v>71.471400000000003</v>
      </c>
      <c r="J48" s="142" t="s">
        <v>366</v>
      </c>
      <c r="K48" s="617">
        <f>Registro_Ordini[[#This Row],[Numero]]*Registro_Ordini[[#This Row],[Prezzo]]</f>
        <v>14294.28</v>
      </c>
      <c r="L48" s="742">
        <v>0.77595000000000003</v>
      </c>
      <c r="M48" s="617">
        <f>Registro_Ordini[[#This Row],[Importo]]*Registro_Ordini[[#This Row],[Cambio]]</f>
        <v>11091.646566000001</v>
      </c>
      <c r="N48" s="142">
        <f ca="1">IFERROR(_xlfn.NUMBERVALUE(OFFSET(Origine,MATCH(Registro_Ordini[[#This Row],[Titolo]],Descrizioni,0),MATCH("Price",Intestazioni,0)-1,1,1)),"")</f>
        <v>72.2</v>
      </c>
      <c r="O48" s="734">
        <f ca="1">IF(OR(Registro_Ordini[[#This Row],[Price]]=0,Registro_Ordini[[#This Row],[Price]]=""),"",IF(Registro_Ordini[[#This Row],[Tipo]]="Sell",Registro_Ordini[[#This Row],[Prezzo]]/Registro_Ordini[[#This Row],[Price]]-1,Registro_Ordini[[#This Row],[Price]]/Registro_Ordini[[#This Row],[Prezzo]]-1))</f>
        <v>1.0194287505211896E-2</v>
      </c>
      <c r="P48" s="743">
        <v>1.9583025128505165E-2</v>
      </c>
      <c r="Q48" s="744">
        <v>7.7682532913888311E-2</v>
      </c>
      <c r="R48" s="744">
        <v>0.28420891025287792</v>
      </c>
      <c r="S48" s="744">
        <v>0.50103393810279651</v>
      </c>
      <c r="T48" s="744">
        <v>0</v>
      </c>
      <c r="U48" s="744">
        <v>0.13707461873043716</v>
      </c>
      <c r="V48" s="744"/>
      <c r="W48" s="745"/>
    </row>
    <row r="49" spans="1:23" s="1" customFormat="1" ht="24.95" customHeight="1" x14ac:dyDescent="0.2">
      <c r="A49" s="738">
        <v>46073.571932870371</v>
      </c>
      <c r="B49" s="739">
        <v>46073.571932870371</v>
      </c>
      <c r="C49" s="611" t="s">
        <v>373</v>
      </c>
      <c r="D49" s="142" t="s">
        <v>388</v>
      </c>
      <c r="E49" s="142" t="s">
        <v>491</v>
      </c>
      <c r="F49" s="142" t="s">
        <v>4473</v>
      </c>
      <c r="G49" s="142" t="s">
        <v>371</v>
      </c>
      <c r="H49" s="740">
        <v>260</v>
      </c>
      <c r="I49" s="741">
        <v>71.566699999999997</v>
      </c>
      <c r="J49" s="142" t="s">
        <v>366</v>
      </c>
      <c r="K49" s="617">
        <f>Registro_Ordini[[#This Row],[Numero]]*Registro_Ordini[[#This Row],[Prezzo]]</f>
        <v>18607.342000000001</v>
      </c>
      <c r="L49" s="742">
        <v>0.77585000000000004</v>
      </c>
      <c r="M49" s="617">
        <f>Registro_Ordini[[#This Row],[Importo]]*Registro_Ordini[[#This Row],[Cambio]]</f>
        <v>14436.506290700001</v>
      </c>
      <c r="N49" s="142">
        <f ca="1">IFERROR(_xlfn.NUMBERVALUE(OFFSET(Origine,MATCH(Registro_Ordini[[#This Row],[Titolo]],Descrizioni,0),MATCH("Price",Intestazioni,0)-1,1,1)),"")</f>
        <v>72.2</v>
      </c>
      <c r="O49" s="734">
        <f ca="1">IF(OR(Registro_Ordini[[#This Row],[Price]]=0,Registro_Ordini[[#This Row],[Price]]=""),"",IF(Registro_Ordini[[#This Row],[Tipo]]="Sell",Registro_Ordini[[#This Row],[Prezzo]]/Registro_Ordini[[#This Row],[Price]]-1,Registro_Ordini[[#This Row],[Price]]/Registro_Ordini[[#This Row],[Prezzo]]-1))</f>
        <v>8.8490876343327862E-3</v>
      </c>
      <c r="P49" s="743">
        <v>1.9783134081644838E-2</v>
      </c>
      <c r="Q49" s="744">
        <v>0.41508964556367373</v>
      </c>
      <c r="R49" s="744">
        <v>0.20563610426977924</v>
      </c>
      <c r="S49" s="744">
        <v>0.27699305809050662</v>
      </c>
      <c r="T49" s="744">
        <v>0</v>
      </c>
      <c r="U49" s="744">
        <v>0.10228119207604039</v>
      </c>
      <c r="V49" s="744"/>
      <c r="W49" s="745"/>
    </row>
    <row r="50" spans="1:23" s="1" customFormat="1" ht="24.95" customHeight="1" x14ac:dyDescent="0.2">
      <c r="A50" s="738">
        <v>46073.568460648145</v>
      </c>
      <c r="B50" s="739">
        <v>46073.568460648145</v>
      </c>
      <c r="C50" s="611" t="s">
        <v>367</v>
      </c>
      <c r="D50" s="142" t="s">
        <v>388</v>
      </c>
      <c r="E50" s="142" t="s">
        <v>491</v>
      </c>
      <c r="F50" s="142" t="s">
        <v>4473</v>
      </c>
      <c r="G50" s="142" t="s">
        <v>371</v>
      </c>
      <c r="H50" s="740">
        <v>1300</v>
      </c>
      <c r="I50" s="741">
        <v>71.443799999999996</v>
      </c>
      <c r="J50" s="142" t="s">
        <v>366</v>
      </c>
      <c r="K50" s="617">
        <f>Registro_Ordini[[#This Row],[Numero]]*Registro_Ordini[[#This Row],[Prezzo]]</f>
        <v>92876.939999999988</v>
      </c>
      <c r="L50" s="742">
        <v>0.77585000000000004</v>
      </c>
      <c r="M50" s="617">
        <f>Registro_Ordini[[#This Row],[Importo]]*Registro_Ordini[[#This Row],[Cambio]]</f>
        <v>72058.573898999995</v>
      </c>
      <c r="N50" s="142">
        <f ca="1">IFERROR(_xlfn.NUMBERVALUE(OFFSET(Origine,MATCH(Registro_Ordini[[#This Row],[Titolo]],Descrizioni,0),MATCH("Price",Intestazioni,0)-1,1,1)),"")</f>
        <v>72.2</v>
      </c>
      <c r="O50" s="734">
        <f ca="1">IF(OR(Registro_Ordini[[#This Row],[Price]]=0,Registro_Ordini[[#This Row],[Price]]=""),"",IF(Registro_Ordini[[#This Row],[Tipo]]="Sell",Registro_Ordini[[#This Row],[Prezzo]]/Registro_Ordini[[#This Row],[Price]]-1,Registro_Ordini[[#This Row],[Price]]/Registro_Ordini[[#This Row],[Prezzo]]-1))</f>
        <v>1.0584543375352418E-2</v>
      </c>
      <c r="P50" s="743">
        <v>1.9948848546749151E-2</v>
      </c>
      <c r="Q50" s="744">
        <v>6.7938100404835444E-2</v>
      </c>
      <c r="R50" s="744">
        <v>0.36115639097568664</v>
      </c>
      <c r="S50" s="744">
        <v>0.44976459760662019</v>
      </c>
      <c r="T50" s="744">
        <v>0</v>
      </c>
      <c r="U50" s="744">
        <v>0.12114091101285784</v>
      </c>
      <c r="V50" s="744"/>
      <c r="W50" s="745"/>
    </row>
    <row r="51" spans="1:23" s="1" customFormat="1" ht="24.95" customHeight="1" x14ac:dyDescent="0.2">
      <c r="A51" s="738">
        <v>46073.515729166669</v>
      </c>
      <c r="B51" s="739">
        <v>46073.515729166669</v>
      </c>
      <c r="C51" s="611" t="s">
        <v>379</v>
      </c>
      <c r="D51" s="142" t="s">
        <v>393</v>
      </c>
      <c r="E51" s="142" t="s">
        <v>394</v>
      </c>
      <c r="F51" s="142" t="s">
        <v>582</v>
      </c>
      <c r="G51" s="142" t="s">
        <v>371</v>
      </c>
      <c r="H51" s="740">
        <v>135</v>
      </c>
      <c r="I51" s="741">
        <v>129.9023</v>
      </c>
      <c r="J51" s="142" t="s">
        <v>381</v>
      </c>
      <c r="K51" s="617">
        <f>Registro_Ordini[[#This Row],[Numero]]*Registro_Ordini[[#This Row],[Prezzo]]</f>
        <v>17536.8105</v>
      </c>
      <c r="L51" s="742">
        <v>1</v>
      </c>
      <c r="M51" s="617">
        <f>Registro_Ordini[[#This Row],[Importo]]*Registro_Ordini[[#This Row],[Cambio]]</f>
        <v>17536.8105</v>
      </c>
      <c r="N51" s="142">
        <f ca="1">IFERROR(_xlfn.NUMBERVALUE(OFFSET(Origine,MATCH(Registro_Ordini[[#This Row],[Titolo]],Descrizioni,0),MATCH("Price",Intestazioni,0)-1,1,1)),"")</f>
        <v>132.04</v>
      </c>
      <c r="O51" s="734">
        <f ca="1">IF(OR(Registro_Ordini[[#This Row],[Price]]=0,Registro_Ordini[[#This Row],[Price]]=""),"",IF(Registro_Ordini[[#This Row],[Tipo]]="Sell",Registro_Ordini[[#This Row],[Prezzo]]/Registro_Ordini[[#This Row],[Price]]-1,Registro_Ordini[[#This Row],[Price]]/Registro_Ordini[[#This Row],[Prezzo]]-1))</f>
        <v>1.6456213631321326E-2</v>
      </c>
      <c r="P51" s="743">
        <v>2.7759187144520504E-2</v>
      </c>
      <c r="Q51" s="744">
        <v>5.7295780944645575E-2</v>
      </c>
      <c r="R51" s="744">
        <v>0.32760758296116227</v>
      </c>
      <c r="S51" s="744">
        <v>0.46469912241277611</v>
      </c>
      <c r="T51" s="744">
        <v>0</v>
      </c>
      <c r="U51" s="744">
        <v>0.15039751368141613</v>
      </c>
      <c r="V51" s="744"/>
      <c r="W51" s="745"/>
    </row>
    <row r="52" spans="1:23" s="1" customFormat="1" ht="24.95" customHeight="1" x14ac:dyDescent="0.2">
      <c r="A52" s="738">
        <v>46073.509004629632</v>
      </c>
      <c r="B52" s="739">
        <v>46073.509004629632</v>
      </c>
      <c r="C52" s="611" t="s">
        <v>379</v>
      </c>
      <c r="D52" s="142" t="s">
        <v>393</v>
      </c>
      <c r="E52" s="142" t="s">
        <v>394</v>
      </c>
      <c r="F52" s="142" t="s">
        <v>862</v>
      </c>
      <c r="G52" s="142" t="s">
        <v>365</v>
      </c>
      <c r="H52" s="740">
        <v>-45</v>
      </c>
      <c r="I52" s="741">
        <v>467.65</v>
      </c>
      <c r="J52" s="142" t="s">
        <v>366</v>
      </c>
      <c r="K52" s="617">
        <f>Registro_Ordini[[#This Row],[Numero]]*Registro_Ordini[[#This Row],[Prezzo]]</f>
        <v>-21044.25</v>
      </c>
      <c r="L52" s="742">
        <v>0.85009999999999997</v>
      </c>
      <c r="M52" s="617">
        <f>Registro_Ordini[[#This Row],[Importo]]*Registro_Ordini[[#This Row],[Cambio]]</f>
        <v>-17889.716925000001</v>
      </c>
      <c r="N52" s="142">
        <f ca="1">IFERROR(_xlfn.NUMBERVALUE(OFFSET(Origine,MATCH(Registro_Ordini[[#This Row],[Titolo]],Descrizioni,0),MATCH("Price",Intestazioni,0)-1,1,1)),"")</f>
        <v>475.11</v>
      </c>
      <c r="O52" s="734">
        <f ca="1">IF(OR(Registro_Ordini[[#This Row],[Price]]=0,Registro_Ordini[[#This Row],[Price]]=""),"",IF(Registro_Ordini[[#This Row],[Tipo]]="Sell",Registro_Ordini[[#This Row],[Prezzo]]/Registro_Ordini[[#This Row],[Price]]-1,Registro_Ordini[[#This Row],[Price]]/Registro_Ordini[[#This Row],[Prezzo]]-1))</f>
        <v>-1.5701626991644124E-2</v>
      </c>
      <c r="P52" s="743">
        <v>-2.8308927185053248E-2</v>
      </c>
      <c r="Q52" s="744">
        <v>8.501830758948728E-2</v>
      </c>
      <c r="R52" s="744">
        <v>0.32749631762899151</v>
      </c>
      <c r="S52" s="744">
        <v>0.46481335697962378</v>
      </c>
      <c r="T52" s="744">
        <v>0</v>
      </c>
      <c r="U52" s="744">
        <v>0.12267201780189742</v>
      </c>
      <c r="V52" s="744"/>
      <c r="W52" s="745"/>
    </row>
    <row r="53" spans="1:23" s="1" customFormat="1" ht="24.95" customHeight="1" x14ac:dyDescent="0.2">
      <c r="A53" s="738">
        <v>46073.492129629631</v>
      </c>
      <c r="B53" s="739">
        <v>46073.492129629631</v>
      </c>
      <c r="C53" s="611" t="s">
        <v>78</v>
      </c>
      <c r="D53" s="142" t="s">
        <v>362</v>
      </c>
      <c r="E53" s="142" t="s">
        <v>363</v>
      </c>
      <c r="F53" s="142" t="s">
        <v>364</v>
      </c>
      <c r="G53" s="142" t="s">
        <v>371</v>
      </c>
      <c r="H53" s="740">
        <v>27000</v>
      </c>
      <c r="I53" s="741">
        <v>1</v>
      </c>
      <c r="J53" s="142" t="s">
        <v>366</v>
      </c>
      <c r="K53" s="617">
        <f>Registro_Ordini[[#This Row],[Numero]]*Registro_Ordini[[#This Row],[Prezzo]]</f>
        <v>27000</v>
      </c>
      <c r="L53" s="742">
        <v>0.78</v>
      </c>
      <c r="M53" s="617">
        <f>Registro_Ordini[[#This Row],[Importo]]*Registro_Ordini[[#This Row],[Cambio]]</f>
        <v>21060</v>
      </c>
      <c r="N53" s="142">
        <f ca="1">IFERROR(_xlfn.NUMBERVALUE(OFFSET(Origine,MATCH(Registro_Ordini[[#This Row],[Titolo]],Descrizioni,0),MATCH("Price",Intestazioni,0)-1,1,1)),"")</f>
        <v>0.78225</v>
      </c>
      <c r="O53" s="734">
        <f ca="1">IF(OR(Registro_Ordini[[#This Row],[Price]]=0,Registro_Ordini[[#This Row],[Price]]=""),"",IF(Registro_Ordini[[#This Row],[Tipo]]="Sell",Registro_Ordini[[#This Row],[Prezzo]]/Registro_Ordini[[#This Row],[Price]]-1,Registro_Ordini[[#This Row],[Price]]/Registro_Ordini[[#This Row],[Prezzo]]-1))</f>
        <v>-0.21775</v>
      </c>
      <c r="P53" s="743">
        <v>2.2772002236889268E-3</v>
      </c>
      <c r="Q53" s="744">
        <v>0.1161168690367613</v>
      </c>
      <c r="R53" s="744">
        <v>0.12088026401713908</v>
      </c>
      <c r="S53" s="744">
        <v>0.64667252832633271</v>
      </c>
      <c r="T53" s="744">
        <v>0</v>
      </c>
      <c r="U53" s="744">
        <v>0.11633033861976691</v>
      </c>
      <c r="V53" s="744"/>
      <c r="W53" s="745"/>
    </row>
    <row r="54" spans="1:23" s="1" customFormat="1" ht="24.95" customHeight="1" x14ac:dyDescent="0.2">
      <c r="A54" s="738">
        <v>46073.454675925925</v>
      </c>
      <c r="B54" s="739">
        <v>46073.454675925925</v>
      </c>
      <c r="C54" s="611" t="s">
        <v>367</v>
      </c>
      <c r="D54" s="142" t="s">
        <v>393</v>
      </c>
      <c r="E54" s="142" t="s">
        <v>394</v>
      </c>
      <c r="F54" s="142" t="s">
        <v>396</v>
      </c>
      <c r="G54" s="142" t="s">
        <v>371</v>
      </c>
      <c r="H54" s="740">
        <v>500</v>
      </c>
      <c r="I54" s="741">
        <v>165.66079999999999</v>
      </c>
      <c r="J54" s="142" t="s">
        <v>369</v>
      </c>
      <c r="K54" s="617">
        <f>Registro_Ordini[[#This Row],[Numero]]*Registro_Ordini[[#This Row],[Prezzo]]</f>
        <v>82830.399999999994</v>
      </c>
      <c r="L54" s="742">
        <v>1.00000014</v>
      </c>
      <c r="M54" s="617">
        <f>Registro_Ordini[[#This Row],[Importo]]*Registro_Ordini[[#This Row],[Cambio]]</f>
        <v>82830.411596256003</v>
      </c>
      <c r="N54" s="142">
        <f ca="1">IFERROR(_xlfn.NUMBERVALUE(OFFSET(Origine,MATCH(Registro_Ordini[[#This Row],[Titolo]],Descrizioni,0),MATCH("Price",Intestazioni,0)-1,1,1)),"")</f>
        <v>168.24</v>
      </c>
      <c r="O54" s="734">
        <f ca="1">IF(OR(Registro_Ordini[[#This Row],[Price]]=0,Registro_Ordini[[#This Row],[Price]]=""),"",IF(Registro_Ordini[[#This Row],[Tipo]]="Sell",Registro_Ordini[[#This Row],[Prezzo]]/Registro_Ordini[[#This Row],[Price]]-1,Registro_Ordini[[#This Row],[Price]]/Registro_Ordini[[#This Row],[Prezzo]]-1))</f>
        <v>1.5569163012613796E-2</v>
      </c>
      <c r="P54" s="743">
        <v>2.292828562045867E-2</v>
      </c>
      <c r="Q54" s="744">
        <v>8.7825296431819924E-2</v>
      </c>
      <c r="R54" s="744">
        <v>0.3611213958480296</v>
      </c>
      <c r="S54" s="744">
        <v>0.42990962612651601</v>
      </c>
      <c r="T54" s="744">
        <v>0</v>
      </c>
      <c r="U54" s="744">
        <v>0.12114368159363445</v>
      </c>
      <c r="V54" s="744"/>
      <c r="W54" s="745"/>
    </row>
    <row r="55" spans="1:23" s="1" customFormat="1" ht="24.95" customHeight="1" x14ac:dyDescent="0.2">
      <c r="A55" s="738">
        <v>46071.72148148148</v>
      </c>
      <c r="B55" s="739">
        <v>46071.72148148148</v>
      </c>
      <c r="C55" s="611" t="s">
        <v>78</v>
      </c>
      <c r="D55" s="142" t="s">
        <v>388</v>
      </c>
      <c r="E55" s="142" t="s">
        <v>397</v>
      </c>
      <c r="F55" s="142" t="s">
        <v>529</v>
      </c>
      <c r="G55" s="142" t="s">
        <v>365</v>
      </c>
      <c r="H55" s="740">
        <v>-1000</v>
      </c>
      <c r="I55" s="741">
        <v>18.457884</v>
      </c>
      <c r="J55" s="142" t="s">
        <v>369</v>
      </c>
      <c r="K55" s="617">
        <f>Registro_Ordini[[#This Row],[Numero]]*Registro_Ordini[[#This Row],[Prezzo]]</f>
        <v>-18457.883999999998</v>
      </c>
      <c r="L55" s="742">
        <v>1.00000014</v>
      </c>
      <c r="M55" s="617">
        <f>Registro_Ordini[[#This Row],[Importo]]*Registro_Ordini[[#This Row],[Cambio]]</f>
        <v>-18457.886584103759</v>
      </c>
      <c r="N55" s="142">
        <f ca="1">IFERROR(_xlfn.NUMBERVALUE(OFFSET(Origine,MATCH(Registro_Ordini[[#This Row],[Titolo]],Descrizioni,0),MATCH("Price",Intestazioni,0)-1,1,1)),"")</f>
        <v>18.239999999999998</v>
      </c>
      <c r="O55" s="734">
        <f ca="1">IF(OR(Registro_Ordini[[#This Row],[Price]]=0,Registro_Ordini[[#This Row],[Price]]=""),"",IF(Registro_Ordini[[#This Row],[Tipo]]="Sell",Registro_Ordini[[#This Row],[Prezzo]]/Registro_Ordini[[#This Row],[Price]]-1,Registro_Ordini[[#This Row],[Price]]/Registro_Ordini[[#This Row],[Prezzo]]-1))</f>
        <v>1.1945394736842196E-2</v>
      </c>
      <c r="P55" s="743">
        <v>-2.8764792712457046E-2</v>
      </c>
      <c r="Q55" s="744">
        <v>8.9297997574531995E-2</v>
      </c>
      <c r="R55" s="744">
        <v>0.12476029347962067</v>
      </c>
      <c r="S55" s="744">
        <v>0.66667771547581978</v>
      </c>
      <c r="T55" s="744">
        <v>0</v>
      </c>
      <c r="U55" s="744">
        <v>0.11926399347002749</v>
      </c>
      <c r="V55" s="744"/>
      <c r="W55" s="745"/>
    </row>
    <row r="56" spans="1:23" s="1" customFormat="1" ht="24.95" customHeight="1" x14ac:dyDescent="0.2">
      <c r="A56" s="738">
        <v>46071.720717592594</v>
      </c>
      <c r="B56" s="739">
        <v>46071.720717592594</v>
      </c>
      <c r="C56" s="611" t="s">
        <v>375</v>
      </c>
      <c r="D56" s="142" t="s">
        <v>388</v>
      </c>
      <c r="E56" s="142" t="s">
        <v>397</v>
      </c>
      <c r="F56" s="142" t="s">
        <v>529</v>
      </c>
      <c r="G56" s="142" t="s">
        <v>365</v>
      </c>
      <c r="H56" s="740">
        <v>-1000</v>
      </c>
      <c r="I56" s="741">
        <v>18.457884</v>
      </c>
      <c r="J56" s="142" t="s">
        <v>369</v>
      </c>
      <c r="K56" s="617">
        <f>Registro_Ordini[[#This Row],[Numero]]*Registro_Ordini[[#This Row],[Prezzo]]</f>
        <v>-18457.883999999998</v>
      </c>
      <c r="L56" s="742">
        <v>1.0000001300000001</v>
      </c>
      <c r="M56" s="617">
        <f>Registro_Ordini[[#This Row],[Importo]]*Registro_Ordini[[#This Row],[Cambio]]</f>
        <v>-18457.886399524919</v>
      </c>
      <c r="N56" s="142">
        <f ca="1">IFERROR(_xlfn.NUMBERVALUE(OFFSET(Origine,MATCH(Registro_Ordini[[#This Row],[Titolo]],Descrizioni,0),MATCH("Price",Intestazioni,0)-1,1,1)),"")</f>
        <v>18.239999999999998</v>
      </c>
      <c r="O56" s="734">
        <f ca="1">IF(OR(Registro_Ordini[[#This Row],[Price]]=0,Registro_Ordini[[#This Row],[Price]]=""),"",IF(Registro_Ordini[[#This Row],[Tipo]]="Sell",Registro_Ordini[[#This Row],[Prezzo]]/Registro_Ordini[[#This Row],[Price]]-1,Registro_Ordini[[#This Row],[Price]]/Registro_Ordini[[#This Row],[Prezzo]]-1))</f>
        <v>1.1945394736842196E-2</v>
      </c>
      <c r="P56" s="743">
        <v>-2.0675502937406505E-2</v>
      </c>
      <c r="Q56" s="744">
        <v>8.6377474199476625E-2</v>
      </c>
      <c r="R56" s="744">
        <v>0.32160280014061832</v>
      </c>
      <c r="S56" s="744">
        <v>0.44854653794314175</v>
      </c>
      <c r="T56" s="744">
        <v>0</v>
      </c>
      <c r="U56" s="744">
        <v>0.1434731877167634</v>
      </c>
      <c r="V56" s="744"/>
      <c r="W56" s="745"/>
    </row>
    <row r="57" spans="1:23" s="1" customFormat="1" ht="24.95" customHeight="1" x14ac:dyDescent="0.2">
      <c r="A57" s="738">
        <v>46071.720706018517</v>
      </c>
      <c r="B57" s="739">
        <v>46071.720706018517</v>
      </c>
      <c r="C57" s="611" t="s">
        <v>376</v>
      </c>
      <c r="D57" s="142" t="s">
        <v>388</v>
      </c>
      <c r="E57" s="142" t="s">
        <v>397</v>
      </c>
      <c r="F57" s="142" t="s">
        <v>529</v>
      </c>
      <c r="G57" s="142" t="s">
        <v>365</v>
      </c>
      <c r="H57" s="740">
        <v>-350</v>
      </c>
      <c r="I57" s="741">
        <v>18.457884</v>
      </c>
      <c r="J57" s="142" t="s">
        <v>369</v>
      </c>
      <c r="K57" s="617">
        <f>Registro_Ordini[[#This Row],[Numero]]*Registro_Ordini[[#This Row],[Prezzo]]</f>
        <v>-6460.2593999999999</v>
      </c>
      <c r="L57" s="742">
        <v>1.0000001300000001</v>
      </c>
      <c r="M57" s="617">
        <f>Registro_Ordini[[#This Row],[Importo]]*Registro_Ordini[[#This Row],[Cambio]]</f>
        <v>-6460.2602398337222</v>
      </c>
      <c r="N57" s="142">
        <f ca="1">IFERROR(_xlfn.NUMBERVALUE(OFFSET(Origine,MATCH(Registro_Ordini[[#This Row],[Titolo]],Descrizioni,0),MATCH("Price",Intestazioni,0)-1,1,1)),"")</f>
        <v>18.239999999999998</v>
      </c>
      <c r="O57" s="734">
        <f ca="1">IF(OR(Registro_Ordini[[#This Row],[Price]]=0,Registro_Ordini[[#This Row],[Price]]=""),"",IF(Registro_Ordini[[#This Row],[Tipo]]="Sell",Registro_Ordini[[#This Row],[Prezzo]]/Registro_Ordini[[#This Row],[Price]]-1,Registro_Ordini[[#This Row],[Price]]/Registro_Ordini[[#This Row],[Prezzo]]-1))</f>
        <v>1.1945394736842196E-2</v>
      </c>
      <c r="P57" s="743">
        <v>-2.253769449401373E-2</v>
      </c>
      <c r="Q57" s="744">
        <v>7.5063612905057489E-2</v>
      </c>
      <c r="R57" s="744">
        <v>0.26216761581569326</v>
      </c>
      <c r="S57" s="744">
        <v>0.47866887129115221</v>
      </c>
      <c r="T57" s="744">
        <v>0</v>
      </c>
      <c r="U57" s="744">
        <v>0.18409989998809698</v>
      </c>
      <c r="V57" s="744"/>
      <c r="W57" s="745"/>
    </row>
    <row r="58" spans="1:23" s="1" customFormat="1" ht="24.95" customHeight="1" x14ac:dyDescent="0.2">
      <c r="A58" s="738">
        <v>46071.720694444448</v>
      </c>
      <c r="B58" s="739">
        <v>46071.720706018517</v>
      </c>
      <c r="C58" s="611" t="s">
        <v>377</v>
      </c>
      <c r="D58" s="142" t="s">
        <v>388</v>
      </c>
      <c r="E58" s="142" t="s">
        <v>397</v>
      </c>
      <c r="F58" s="142" t="s">
        <v>529</v>
      </c>
      <c r="G58" s="142" t="s">
        <v>365</v>
      </c>
      <c r="H58" s="740">
        <v>-2000</v>
      </c>
      <c r="I58" s="741">
        <v>18.457884</v>
      </c>
      <c r="J58" s="142" t="s">
        <v>369</v>
      </c>
      <c r="K58" s="617">
        <f>Registro_Ordini[[#This Row],[Numero]]*Registro_Ordini[[#This Row],[Prezzo]]</f>
        <v>-36915.767999999996</v>
      </c>
      <c r="L58" s="742">
        <v>1.0000001300000001</v>
      </c>
      <c r="M58" s="617">
        <f>Registro_Ordini[[#This Row],[Importo]]*Registro_Ordini[[#This Row],[Cambio]]</f>
        <v>-36915.772799049839</v>
      </c>
      <c r="N58" s="142">
        <f ca="1">IFERROR(_xlfn.NUMBERVALUE(OFFSET(Origine,MATCH(Registro_Ordini[[#This Row],[Titolo]],Descrizioni,0),MATCH("Price",Intestazioni,0)-1,1,1)),"")</f>
        <v>18.239999999999998</v>
      </c>
      <c r="O58" s="734">
        <f ca="1">IF(OR(Registro_Ordini[[#This Row],[Price]]=0,Registro_Ordini[[#This Row],[Price]]=""),"",IF(Registro_Ordini[[#This Row],[Tipo]]="Sell",Registro_Ordini[[#This Row],[Prezzo]]/Registro_Ordini[[#This Row],[Price]]-1,Registro_Ordini[[#This Row],[Price]]/Registro_Ordini[[#This Row],[Prezzo]]-1))</f>
        <v>1.1945394736842196E-2</v>
      </c>
      <c r="P58" s="743">
        <v>-2.1244826367106475E-2</v>
      </c>
      <c r="Q58" s="744">
        <v>8.6852420013935311E-2</v>
      </c>
      <c r="R58" s="744">
        <v>0.29548123314938141</v>
      </c>
      <c r="S58" s="744">
        <v>0.47503115296953674</v>
      </c>
      <c r="T58" s="744">
        <v>0</v>
      </c>
      <c r="U58" s="744">
        <v>0.14263519386714657</v>
      </c>
      <c r="V58" s="744"/>
      <c r="W58" s="745"/>
    </row>
    <row r="59" spans="1:23" s="1" customFormat="1" ht="24.95" customHeight="1" x14ac:dyDescent="0.2">
      <c r="A59" s="738">
        <v>46071.720694444448</v>
      </c>
      <c r="B59" s="739">
        <v>46071.720694444448</v>
      </c>
      <c r="C59" s="611" t="s">
        <v>378</v>
      </c>
      <c r="D59" s="142" t="s">
        <v>388</v>
      </c>
      <c r="E59" s="142" t="s">
        <v>397</v>
      </c>
      <c r="F59" s="142" t="s">
        <v>529</v>
      </c>
      <c r="G59" s="142" t="s">
        <v>365</v>
      </c>
      <c r="H59" s="740">
        <v>-650</v>
      </c>
      <c r="I59" s="741">
        <v>18.457884</v>
      </c>
      <c r="J59" s="142" t="s">
        <v>369</v>
      </c>
      <c r="K59" s="617">
        <f>Registro_Ordini[[#This Row],[Numero]]*Registro_Ordini[[#This Row],[Prezzo]]</f>
        <v>-11997.624599999999</v>
      </c>
      <c r="L59" s="742">
        <v>1.0000001300000001</v>
      </c>
      <c r="M59" s="617">
        <f>Registro_Ordini[[#This Row],[Importo]]*Registro_Ordini[[#This Row],[Cambio]]</f>
        <v>-11997.626159691199</v>
      </c>
      <c r="N59" s="142">
        <f ca="1">IFERROR(_xlfn.NUMBERVALUE(OFFSET(Origine,MATCH(Registro_Ordini[[#This Row],[Titolo]],Descrizioni,0),MATCH("Price",Intestazioni,0)-1,1,1)),"")</f>
        <v>18.239999999999998</v>
      </c>
      <c r="O59" s="734">
        <f ca="1">IF(OR(Registro_Ordini[[#This Row],[Price]]=0,Registro_Ordini[[#This Row],[Price]]=""),"",IF(Registro_Ordini[[#This Row],[Tipo]]="Sell",Registro_Ordini[[#This Row],[Prezzo]]/Registro_Ordini[[#This Row],[Price]]-1,Registro_Ordini[[#This Row],[Price]]/Registro_Ordini[[#This Row],[Prezzo]]-1))</f>
        <v>1.1945394736842196E-2</v>
      </c>
      <c r="P59" s="743">
        <v>-2.1196748670291147E-2</v>
      </c>
      <c r="Q59" s="744">
        <v>9.7188142018563628E-2</v>
      </c>
      <c r="R59" s="744">
        <v>0.28445762395181995</v>
      </c>
      <c r="S59" s="744">
        <v>0.48185157285642444</v>
      </c>
      <c r="T59" s="744">
        <v>0</v>
      </c>
      <c r="U59" s="744">
        <v>0.13650266117319193</v>
      </c>
      <c r="V59" s="744"/>
      <c r="W59" s="745"/>
    </row>
    <row r="60" spans="1:23" s="1" customFormat="1" ht="24.95" customHeight="1" x14ac:dyDescent="0.2">
      <c r="A60" s="738">
        <v>46071.719687500001</v>
      </c>
      <c r="B60" s="739">
        <v>46071.719687500001</v>
      </c>
      <c r="C60" s="611" t="s">
        <v>367</v>
      </c>
      <c r="D60" s="142" t="s">
        <v>388</v>
      </c>
      <c r="E60" s="142" t="s">
        <v>397</v>
      </c>
      <c r="F60" s="142" t="s">
        <v>529</v>
      </c>
      <c r="G60" s="142" t="s">
        <v>365</v>
      </c>
      <c r="H60" s="740">
        <v>-3500</v>
      </c>
      <c r="I60" s="741">
        <v>18.502800000000001</v>
      </c>
      <c r="J60" s="142" t="s">
        <v>369</v>
      </c>
      <c r="K60" s="617">
        <f>Registro_Ordini[[#This Row],[Numero]]*Registro_Ordini[[#This Row],[Prezzo]]</f>
        <v>-64759.8</v>
      </c>
      <c r="L60" s="742">
        <v>1.0000001300000001</v>
      </c>
      <c r="M60" s="617">
        <f>Registro_Ordini[[#This Row],[Importo]]*Registro_Ordini[[#This Row],[Cambio]]</f>
        <v>-64759.80841877401</v>
      </c>
      <c r="N60" s="142">
        <f ca="1">IFERROR(_xlfn.NUMBERVALUE(OFFSET(Origine,MATCH(Registro_Ordini[[#This Row],[Titolo]],Descrizioni,0),MATCH("Price",Intestazioni,0)-1,1,1)),"")</f>
        <v>18.239999999999998</v>
      </c>
      <c r="O60" s="734">
        <f ca="1">IF(OR(Registro_Ordini[[#This Row],[Price]]=0,Registro_Ordini[[#This Row],[Price]]=""),"",IF(Registro_Ordini[[#This Row],[Tipo]]="Sell",Registro_Ordini[[#This Row],[Prezzo]]/Registro_Ordini[[#This Row],[Price]]-1,Registro_Ordini[[#This Row],[Price]]/Registro_Ordini[[#This Row],[Prezzo]]-1))</f>
        <v>1.4407894736842231E-2</v>
      </c>
      <c r="P60" s="743">
        <v>-1.7950580623245376E-2</v>
      </c>
      <c r="Q60" s="744">
        <v>0.1107213648797991</v>
      </c>
      <c r="R60" s="744">
        <v>0.3616146109963172</v>
      </c>
      <c r="S60" s="744">
        <v>0.43006604867231452</v>
      </c>
      <c r="T60" s="744">
        <v>0</v>
      </c>
      <c r="U60" s="744">
        <v>9.7597975451569091E-2</v>
      </c>
      <c r="V60" s="744"/>
      <c r="W60" s="745"/>
    </row>
    <row r="61" spans="1:23" s="1" customFormat="1" ht="24.95" customHeight="1" x14ac:dyDescent="0.2">
      <c r="A61" s="738">
        <v>46066.732731481483</v>
      </c>
      <c r="B61" s="739">
        <v>46066.732731481483</v>
      </c>
      <c r="C61" s="611" t="s">
        <v>78</v>
      </c>
      <c r="D61" s="142" t="s">
        <v>388</v>
      </c>
      <c r="E61" s="142" t="s">
        <v>397</v>
      </c>
      <c r="F61" s="142" t="s">
        <v>4272</v>
      </c>
      <c r="G61" s="142" t="s">
        <v>371</v>
      </c>
      <c r="H61" s="740">
        <v>100</v>
      </c>
      <c r="I61" s="741">
        <v>152.19999999999999</v>
      </c>
      <c r="J61" s="142" t="s">
        <v>369</v>
      </c>
      <c r="K61" s="617">
        <f>Registro_Ordini[[#This Row],[Numero]]*Registro_Ordini[[#This Row],[Prezzo]]</f>
        <v>15219.999999999998</v>
      </c>
      <c r="L61" s="742">
        <v>1.00000014</v>
      </c>
      <c r="M61" s="617">
        <f>Registro_Ordini[[#This Row],[Importo]]*Registro_Ordini[[#This Row],[Cambio]]</f>
        <v>15220.0021308</v>
      </c>
      <c r="N61" s="142">
        <f ca="1">IFERROR(_xlfn.NUMBERVALUE(OFFSET(Origine,MATCH(Registro_Ordini[[#This Row],[Titolo]],Descrizioni,0),MATCH("Price",Intestazioni,0)-1,1,1)),"")</f>
        <v>143.80000000000001</v>
      </c>
      <c r="O61" s="734">
        <f ca="1">IF(OR(Registro_Ordini[[#This Row],[Price]]=0,Registro_Ordini[[#This Row],[Price]]=""),"",IF(Registro_Ordini[[#This Row],[Tipo]]="Sell",Registro_Ordini[[#This Row],[Prezzo]]/Registro_Ordini[[#This Row],[Price]]-1,Registro_Ordini[[#This Row],[Price]]/Registro_Ordini[[#This Row],[Prezzo]]-1))</f>
        <v>-5.5190538764783081E-2</v>
      </c>
      <c r="P61" s="743">
        <v>2.3963258458138906E-2</v>
      </c>
      <c r="Q61" s="744">
        <v>6.1175257536684166E-2</v>
      </c>
      <c r="R61" s="744">
        <v>0.12593553827569248</v>
      </c>
      <c r="S61" s="744">
        <v>0.69418914339632376</v>
      </c>
      <c r="T61" s="744">
        <v>0</v>
      </c>
      <c r="U61" s="744">
        <v>0.11870006079129962</v>
      </c>
      <c r="V61" s="744"/>
      <c r="W61" s="745"/>
    </row>
    <row r="62" spans="1:23" s="1" customFormat="1" ht="24.95" customHeight="1" x14ac:dyDescent="0.2">
      <c r="A62" s="738">
        <v>46066.732731481483</v>
      </c>
      <c r="B62" s="739">
        <v>46066.732731481483</v>
      </c>
      <c r="C62" s="611" t="s">
        <v>375</v>
      </c>
      <c r="D62" s="142" t="s">
        <v>388</v>
      </c>
      <c r="E62" s="142" t="s">
        <v>397</v>
      </c>
      <c r="F62" s="142" t="s">
        <v>4272</v>
      </c>
      <c r="G62" s="142" t="s">
        <v>371</v>
      </c>
      <c r="H62" s="740">
        <v>100</v>
      </c>
      <c r="I62" s="741">
        <v>152.19999999999999</v>
      </c>
      <c r="J62" s="142" t="s">
        <v>369</v>
      </c>
      <c r="K62" s="617">
        <f>Registro_Ordini[[#This Row],[Numero]]*Registro_Ordini[[#This Row],[Prezzo]]</f>
        <v>15219.999999999998</v>
      </c>
      <c r="L62" s="742">
        <v>1.00000014</v>
      </c>
      <c r="M62" s="617">
        <f>Registro_Ordini[[#This Row],[Importo]]*Registro_Ordini[[#This Row],[Cambio]]</f>
        <v>15220.0021308</v>
      </c>
      <c r="N62" s="142">
        <f ca="1">IFERROR(_xlfn.NUMBERVALUE(OFFSET(Origine,MATCH(Registro_Ordini[[#This Row],[Titolo]],Descrizioni,0),MATCH("Price",Intestazioni,0)-1,1,1)),"")</f>
        <v>143.80000000000001</v>
      </c>
      <c r="O62" s="734">
        <f ca="1">IF(OR(Registro_Ordini[[#This Row],[Price]]=0,Registro_Ordini[[#This Row],[Price]]=""),"",IF(Registro_Ordini[[#This Row],[Tipo]]="Sell",Registro_Ordini[[#This Row],[Prezzo]]/Registro_Ordini[[#This Row],[Price]]-1,Registro_Ordini[[#This Row],[Price]]/Registro_Ordini[[#This Row],[Prezzo]]-1))</f>
        <v>-5.5190538764783081E-2</v>
      </c>
      <c r="P62" s="743">
        <v>1.713619844287324E-2</v>
      </c>
      <c r="Q62" s="744">
        <v>6.6089951511744585E-2</v>
      </c>
      <c r="R62" s="744">
        <v>0.32297328199059683</v>
      </c>
      <c r="S62" s="744">
        <v>0.46572212139468611</v>
      </c>
      <c r="T62" s="744">
        <v>0</v>
      </c>
      <c r="U62" s="744">
        <v>0.14521464510297244</v>
      </c>
      <c r="V62" s="744"/>
      <c r="W62" s="745"/>
    </row>
    <row r="63" spans="1:23" s="1" customFormat="1" ht="24.95" customHeight="1" x14ac:dyDescent="0.2">
      <c r="A63" s="738">
        <v>46066.732719907406</v>
      </c>
      <c r="B63" s="739">
        <v>46066.732719907406</v>
      </c>
      <c r="C63" s="611" t="s">
        <v>376</v>
      </c>
      <c r="D63" s="142" t="s">
        <v>388</v>
      </c>
      <c r="E63" s="142" t="s">
        <v>397</v>
      </c>
      <c r="F63" s="142" t="s">
        <v>4272</v>
      </c>
      <c r="G63" s="142" t="s">
        <v>371</v>
      </c>
      <c r="H63" s="740">
        <v>30</v>
      </c>
      <c r="I63" s="741">
        <v>152.19999999999999</v>
      </c>
      <c r="J63" s="142" t="s">
        <v>369</v>
      </c>
      <c r="K63" s="617">
        <f>Registro_Ordini[[#This Row],[Numero]]*Registro_Ordini[[#This Row],[Prezzo]]</f>
        <v>4566</v>
      </c>
      <c r="L63" s="742">
        <v>1.00000014</v>
      </c>
      <c r="M63" s="617">
        <f>Registro_Ordini[[#This Row],[Importo]]*Registro_Ordini[[#This Row],[Cambio]]</f>
        <v>4566.0006392400001</v>
      </c>
      <c r="N63" s="142">
        <f ca="1">IFERROR(_xlfn.NUMBERVALUE(OFFSET(Origine,MATCH(Registro_Ordini[[#This Row],[Titolo]],Descrizioni,0),MATCH("Price",Intestazioni,0)-1,1,1)),"")</f>
        <v>143.80000000000001</v>
      </c>
      <c r="O63" s="734">
        <f ca="1">IF(OR(Registro_Ordini[[#This Row],[Price]]=0,Registro_Ordini[[#This Row],[Price]]=""),"",IF(Registro_Ordini[[#This Row],[Tipo]]="Sell",Registro_Ordini[[#This Row],[Prezzo]]/Registro_Ordini[[#This Row],[Price]]-1,Registro_Ordini[[#This Row],[Price]]/Registro_Ordini[[#This Row],[Prezzo]]-1))</f>
        <v>-5.5190538764783081E-2</v>
      </c>
      <c r="P63" s="743">
        <v>1.6038635433011404E-2</v>
      </c>
      <c r="Q63" s="744">
        <v>5.2966013168775562E-2</v>
      </c>
      <c r="R63" s="744">
        <v>0.26378730797515249</v>
      </c>
      <c r="S63" s="744">
        <v>0.4981128802147084</v>
      </c>
      <c r="T63" s="744">
        <v>0</v>
      </c>
      <c r="U63" s="744">
        <v>0.18513379864136364</v>
      </c>
      <c r="V63" s="744"/>
      <c r="W63" s="745"/>
    </row>
    <row r="64" spans="1:23" s="1" customFormat="1" ht="24.95" customHeight="1" x14ac:dyDescent="0.2">
      <c r="A64" s="738">
        <v>46066.732708333337</v>
      </c>
      <c r="B64" s="739">
        <v>46066.732708333337</v>
      </c>
      <c r="C64" s="611" t="s">
        <v>377</v>
      </c>
      <c r="D64" s="142" t="s">
        <v>388</v>
      </c>
      <c r="E64" s="142" t="s">
        <v>397</v>
      </c>
      <c r="F64" s="142" t="s">
        <v>4272</v>
      </c>
      <c r="G64" s="142" t="s">
        <v>371</v>
      </c>
      <c r="H64" s="740">
        <v>170</v>
      </c>
      <c r="I64" s="741">
        <v>152.19999999999999</v>
      </c>
      <c r="J64" s="142" t="s">
        <v>369</v>
      </c>
      <c r="K64" s="617">
        <f>Registro_Ordini[[#This Row],[Numero]]*Registro_Ordini[[#This Row],[Prezzo]]</f>
        <v>25873.999999999996</v>
      </c>
      <c r="L64" s="742">
        <v>1.00000014</v>
      </c>
      <c r="M64" s="617">
        <f>Registro_Ordini[[#This Row],[Importo]]*Registro_Ordini[[#This Row],[Cambio]]</f>
        <v>25874.003622359996</v>
      </c>
      <c r="N64" s="142">
        <f ca="1">IFERROR(_xlfn.NUMBERVALUE(OFFSET(Origine,MATCH(Registro_Ordini[[#This Row],[Titolo]],Descrizioni,0),MATCH("Price",Intestazioni,0)-1,1,1)),"")</f>
        <v>143.80000000000001</v>
      </c>
      <c r="O64" s="734">
        <f ca="1">IF(OR(Registro_Ordini[[#This Row],[Price]]=0,Registro_Ordini[[#This Row],[Price]]=""),"",IF(Registro_Ordini[[#This Row],[Tipo]]="Sell",Registro_Ordini[[#This Row],[Prezzo]]/Registro_Ordini[[#This Row],[Price]]-1,Registro_Ordini[[#This Row],[Price]]/Registro_Ordini[[#This Row],[Prezzo]]-1))</f>
        <v>-5.5190538764783081E-2</v>
      </c>
      <c r="P64" s="743">
        <v>1.5000436999047108E-2</v>
      </c>
      <c r="Q64" s="744">
        <v>6.6003844828422212E-2</v>
      </c>
      <c r="R64" s="744">
        <v>0.29744521477924579</v>
      </c>
      <c r="S64" s="744">
        <v>0.49365082003416838</v>
      </c>
      <c r="T64" s="744">
        <v>0</v>
      </c>
      <c r="U64" s="744">
        <v>0.14290012035816363</v>
      </c>
      <c r="V64" s="744"/>
      <c r="W64" s="745"/>
    </row>
    <row r="65" spans="1:23" s="1" customFormat="1" ht="24.95" customHeight="1" x14ac:dyDescent="0.2">
      <c r="A65" s="738">
        <v>46066.73269675926</v>
      </c>
      <c r="B65" s="739">
        <v>46066.73269675926</v>
      </c>
      <c r="C65" s="611" t="s">
        <v>378</v>
      </c>
      <c r="D65" s="142" t="s">
        <v>388</v>
      </c>
      <c r="E65" s="142" t="s">
        <v>397</v>
      </c>
      <c r="F65" s="142" t="s">
        <v>4272</v>
      </c>
      <c r="G65" s="142" t="s">
        <v>371</v>
      </c>
      <c r="H65" s="740">
        <v>55</v>
      </c>
      <c r="I65" s="741">
        <v>152.19999999999999</v>
      </c>
      <c r="J65" s="142" t="s">
        <v>369</v>
      </c>
      <c r="K65" s="617">
        <f>Registro_Ordini[[#This Row],[Numero]]*Registro_Ordini[[#This Row],[Prezzo]]</f>
        <v>8371</v>
      </c>
      <c r="L65" s="742">
        <v>1.00000014</v>
      </c>
      <c r="M65" s="617">
        <f>Registro_Ordini[[#This Row],[Importo]]*Registro_Ordini[[#This Row],[Cambio]]</f>
        <v>8371.0011719400009</v>
      </c>
      <c r="N65" s="142">
        <f ca="1">IFERROR(_xlfn.NUMBERVALUE(OFFSET(Origine,MATCH(Registro_Ordini[[#This Row],[Titolo]],Descrizioni,0),MATCH("Price",Intestazioni,0)-1,1,1)),"")</f>
        <v>143.80000000000001</v>
      </c>
      <c r="O65" s="734">
        <f ca="1">IF(OR(Registro_Ordini[[#This Row],[Price]]=0,Registro_Ordini[[#This Row],[Price]]=""),"",IF(Registro_Ordini[[#This Row],[Tipo]]="Sell",Registro_Ordini[[#This Row],[Prezzo]]/Registro_Ordini[[#This Row],[Price]]-1,Registro_Ordini[[#This Row],[Price]]/Registro_Ordini[[#This Row],[Prezzo]]-1))</f>
        <v>-5.5190538764783081E-2</v>
      </c>
      <c r="P65" s="743">
        <v>1.4888714231696767E-2</v>
      </c>
      <c r="Q65" s="744">
        <v>7.6559411774379527E-2</v>
      </c>
      <c r="R65" s="744">
        <v>0.28610968976047318</v>
      </c>
      <c r="S65" s="744">
        <v>0.49989030466216239</v>
      </c>
      <c r="T65" s="744">
        <v>0</v>
      </c>
      <c r="U65" s="744">
        <v>0.13744059380298496</v>
      </c>
      <c r="V65" s="744"/>
      <c r="W65" s="745"/>
    </row>
    <row r="66" spans="1:23" s="1" customFormat="1" ht="24.95" customHeight="1" x14ac:dyDescent="0.2">
      <c r="A66" s="738">
        <v>46066.724247685182</v>
      </c>
      <c r="B66" s="739">
        <v>46066.724247685182</v>
      </c>
      <c r="C66" s="611" t="s">
        <v>367</v>
      </c>
      <c r="D66" s="142" t="s">
        <v>388</v>
      </c>
      <c r="E66" s="142" t="s">
        <v>397</v>
      </c>
      <c r="F66" s="142" t="s">
        <v>4272</v>
      </c>
      <c r="G66" s="142" t="s">
        <v>371</v>
      </c>
      <c r="H66" s="740">
        <v>350</v>
      </c>
      <c r="I66" s="741">
        <v>153.19470000000001</v>
      </c>
      <c r="J66" s="142" t="s">
        <v>369</v>
      </c>
      <c r="K66" s="617">
        <f>Registro_Ordini[[#This Row],[Numero]]*Registro_Ordini[[#This Row],[Prezzo]]</f>
        <v>53618.145000000004</v>
      </c>
      <c r="L66" s="742">
        <v>1.00000014</v>
      </c>
      <c r="M66" s="617">
        <f>Registro_Ordini[[#This Row],[Importo]]*Registro_Ordini[[#This Row],[Cambio]]</f>
        <v>53618.152506540304</v>
      </c>
      <c r="N66" s="142">
        <f ca="1">IFERROR(_xlfn.NUMBERVALUE(OFFSET(Origine,MATCH(Registro_Ordini[[#This Row],[Titolo]],Descrizioni,0),MATCH("Price",Intestazioni,0)-1,1,1)),"")</f>
        <v>143.80000000000001</v>
      </c>
      <c r="O66" s="734">
        <f ca="1">IF(OR(Registro_Ordini[[#This Row],[Price]]=0,Registro_Ordini[[#This Row],[Price]]=""),"",IF(Registro_Ordini[[#This Row],[Tipo]]="Sell",Registro_Ordini[[#This Row],[Prezzo]]/Registro_Ordini[[#This Row],[Price]]-1,Registro_Ordini[[#This Row],[Price]]/Registro_Ordini[[#This Row],[Prezzo]]-1))</f>
        <v>-6.1325228614305893E-2</v>
      </c>
      <c r="P66" s="743">
        <v>1.4967638585219713E-2</v>
      </c>
      <c r="Q66" s="744">
        <v>9.3422849168664709E-2</v>
      </c>
      <c r="R66" s="744">
        <v>0.36399490449325234</v>
      </c>
      <c r="S66" s="744">
        <v>0.44477597070425184</v>
      </c>
      <c r="T66" s="744">
        <v>0</v>
      </c>
      <c r="U66" s="744">
        <v>9.7806275633831055E-2</v>
      </c>
      <c r="V66" s="744"/>
      <c r="W66" s="745"/>
    </row>
    <row r="67" spans="1:23" s="1" customFormat="1" ht="24.95" customHeight="1" x14ac:dyDescent="0.2">
      <c r="A67" s="738">
        <v>46066.723773148151</v>
      </c>
      <c r="B67" s="739">
        <v>46066.723773148151</v>
      </c>
      <c r="C67" s="611" t="s">
        <v>373</v>
      </c>
      <c r="D67" s="142" t="s">
        <v>388</v>
      </c>
      <c r="E67" s="142" t="s">
        <v>397</v>
      </c>
      <c r="F67" s="142" t="s">
        <v>4272</v>
      </c>
      <c r="G67" s="142" t="s">
        <v>371</v>
      </c>
      <c r="H67" s="740">
        <v>70</v>
      </c>
      <c r="I67" s="741">
        <v>153.31</v>
      </c>
      <c r="J67" s="142" t="s">
        <v>369</v>
      </c>
      <c r="K67" s="617">
        <f>Registro_Ordini[[#This Row],[Numero]]*Registro_Ordini[[#This Row],[Prezzo]]</f>
        <v>10731.7</v>
      </c>
      <c r="L67" s="742">
        <v>1.00000014</v>
      </c>
      <c r="M67" s="617">
        <f>Registro_Ordini[[#This Row],[Importo]]*Registro_Ordini[[#This Row],[Cambio]]</f>
        <v>10731.701502438002</v>
      </c>
      <c r="N67" s="142">
        <f ca="1">IFERROR(_xlfn.NUMBERVALUE(OFFSET(Origine,MATCH(Registro_Ordini[[#This Row],[Titolo]],Descrizioni,0),MATCH("Price",Intestazioni,0)-1,1,1)),"")</f>
        <v>143.80000000000001</v>
      </c>
      <c r="O67" s="734">
        <f ca="1">IF(OR(Registro_Ordini[[#This Row],[Price]]=0,Registro_Ordini[[#This Row],[Price]]=""),"",IF(Registro_Ordini[[#This Row],[Tipo]]="Sell",Registro_Ordini[[#This Row],[Prezzo]]/Registro_Ordini[[#This Row],[Price]]-1,Registro_Ordini[[#This Row],[Price]]/Registro_Ordini[[#This Row],[Prezzo]]-1))</f>
        <v>-6.2031178657621755E-2</v>
      </c>
      <c r="P67" s="743">
        <v>1.4786252177510922E-2</v>
      </c>
      <c r="Q67" s="744">
        <v>0.43717794159799606</v>
      </c>
      <c r="R67" s="744">
        <v>0.20658453108727093</v>
      </c>
      <c r="S67" s="744">
        <v>0.25443524473724233</v>
      </c>
      <c r="T67" s="744">
        <v>0</v>
      </c>
      <c r="U67" s="744">
        <v>0.10180228257749062</v>
      </c>
      <c r="V67" s="744"/>
      <c r="W67" s="745"/>
    </row>
    <row r="68" spans="1:23" s="1" customFormat="1" ht="24.95" customHeight="1" x14ac:dyDescent="0.2">
      <c r="A68" s="738">
        <v>46065.737002314818</v>
      </c>
      <c r="B68" s="739">
        <v>46065.737002314818</v>
      </c>
      <c r="C68" s="611" t="s">
        <v>106</v>
      </c>
      <c r="D68" s="142" t="s">
        <v>388</v>
      </c>
      <c r="E68" s="142" t="s">
        <v>389</v>
      </c>
      <c r="F68" s="142" t="s">
        <v>399</v>
      </c>
      <c r="G68" s="142" t="s">
        <v>365</v>
      </c>
      <c r="H68" s="740">
        <v>-10</v>
      </c>
      <c r="I68" s="741">
        <v>742.45</v>
      </c>
      <c r="J68" s="142" t="s">
        <v>366</v>
      </c>
      <c r="K68" s="617">
        <f>Registro_Ordini[[#This Row],[Numero]]*Registro_Ordini[[#This Row],[Prezzo]]</f>
        <v>-7424.5</v>
      </c>
      <c r="L68" s="742">
        <v>0.84209999999999996</v>
      </c>
      <c r="M68" s="617">
        <f>Registro_Ordini[[#This Row],[Importo]]*Registro_Ordini[[#This Row],[Cambio]]</f>
        <v>-6252.1714499999998</v>
      </c>
      <c r="N68" s="142">
        <f ca="1">IFERROR(_xlfn.NUMBERVALUE(OFFSET(Origine,MATCH(Registro_Ordini[[#This Row],[Titolo]],Descrizioni,0),MATCH("Price",Intestazioni,0)-1,1,1)),"")</f>
        <v>727.16</v>
      </c>
      <c r="O68" s="734">
        <f ca="1">IF(OR(Registro_Ordini[[#This Row],[Price]]=0,Registro_Ordini[[#This Row],[Price]]=""),"",IF(Registro_Ordini[[#This Row],[Tipo]]="Sell",Registro_Ordini[[#This Row],[Prezzo]]/Registro_Ordini[[#This Row],[Price]]-1,Registro_Ordini[[#This Row],[Price]]/Registro_Ordini[[#This Row],[Prezzo]]-1))</f>
        <v>2.1027009186423973E-2</v>
      </c>
      <c r="P68" s="743">
        <v>-3.9565736179783567E-2</v>
      </c>
      <c r="Q68" s="744">
        <v>0.11306708575672202</v>
      </c>
      <c r="R68" s="744">
        <v>0.26075772060462038</v>
      </c>
      <c r="S68" s="744">
        <v>0.44113379756244958</v>
      </c>
      <c r="T68" s="744">
        <v>0</v>
      </c>
      <c r="U68" s="744">
        <v>0.18504139607620801</v>
      </c>
      <c r="V68" s="744"/>
      <c r="W68" s="745"/>
    </row>
    <row r="69" spans="1:23" s="1" customFormat="1" ht="24.95" customHeight="1" x14ac:dyDescent="0.2">
      <c r="A69" s="738">
        <v>46065.735775462963</v>
      </c>
      <c r="B69" s="739">
        <v>46065.735775462963</v>
      </c>
      <c r="C69" s="611" t="s">
        <v>379</v>
      </c>
      <c r="D69" s="142" t="s">
        <v>388</v>
      </c>
      <c r="E69" s="142" t="s">
        <v>389</v>
      </c>
      <c r="F69" s="142" t="s">
        <v>430</v>
      </c>
      <c r="G69" s="142" t="s">
        <v>371</v>
      </c>
      <c r="H69" s="740">
        <v>390</v>
      </c>
      <c r="I69" s="741">
        <v>45.545000000000002</v>
      </c>
      <c r="J69" s="142" t="s">
        <v>366</v>
      </c>
      <c r="K69" s="617">
        <f>Registro_Ordini[[#This Row],[Numero]]*Registro_Ordini[[#This Row],[Prezzo]]</f>
        <v>17762.55</v>
      </c>
      <c r="L69" s="742">
        <v>0.84240000000000004</v>
      </c>
      <c r="M69" s="617">
        <f>Registro_Ordini[[#This Row],[Importo]]*Registro_Ordini[[#This Row],[Cambio]]</f>
        <v>14963.172119999999</v>
      </c>
      <c r="N69" s="142">
        <f ca="1">IFERROR(_xlfn.NUMBERVALUE(OFFSET(Origine,MATCH(Registro_Ordini[[#This Row],[Titolo]],Descrizioni,0),MATCH("Price",Intestazioni,0)-1,1,1)),"")</f>
        <v>46.79</v>
      </c>
      <c r="O69" s="734">
        <f ca="1">IF(OR(Registro_Ordini[[#This Row],[Price]]=0,Registro_Ordini[[#This Row],[Price]]=""),"",IF(Registro_Ordini[[#This Row],[Tipo]]="Sell",Registro_Ordini[[#This Row],[Prezzo]]/Registro_Ordini[[#This Row],[Price]]-1,Registro_Ordini[[#This Row],[Price]]/Registro_Ordini[[#This Row],[Prezzo]]-1))</f>
        <v>2.733560215171793E-2</v>
      </c>
      <c r="P69" s="743">
        <v>2.4935290409292373E-2</v>
      </c>
      <c r="Q69" s="744">
        <v>5.9575772362327695E-2</v>
      </c>
      <c r="R69" s="744">
        <v>0.34439225074581575</v>
      </c>
      <c r="S69" s="744">
        <v>0.44184956119134766</v>
      </c>
      <c r="T69" s="744">
        <v>0</v>
      </c>
      <c r="U69" s="744">
        <v>0.15418241570050881</v>
      </c>
      <c r="V69" s="744"/>
      <c r="W69" s="745"/>
    </row>
    <row r="70" spans="1:23" s="1" customFormat="1" ht="24.95" customHeight="1" x14ac:dyDescent="0.2">
      <c r="A70" s="738">
        <v>46065.735763888886</v>
      </c>
      <c r="B70" s="739">
        <v>46065.735763888886</v>
      </c>
      <c r="C70" s="611" t="s">
        <v>382</v>
      </c>
      <c r="D70" s="142" t="s">
        <v>388</v>
      </c>
      <c r="E70" s="142" t="s">
        <v>389</v>
      </c>
      <c r="F70" s="142" t="s">
        <v>430</v>
      </c>
      <c r="G70" s="142" t="s">
        <v>371</v>
      </c>
      <c r="H70" s="740">
        <v>650</v>
      </c>
      <c r="I70" s="741">
        <v>45.545000000000002</v>
      </c>
      <c r="J70" s="142" t="s">
        <v>366</v>
      </c>
      <c r="K70" s="617">
        <f>Registro_Ordini[[#This Row],[Numero]]*Registro_Ordini[[#This Row],[Prezzo]]</f>
        <v>29604.25</v>
      </c>
      <c r="L70" s="742">
        <v>0.84240000000000004</v>
      </c>
      <c r="M70" s="617">
        <f>Registro_Ordini[[#This Row],[Importo]]*Registro_Ordini[[#This Row],[Cambio]]</f>
        <v>24938.620200000001</v>
      </c>
      <c r="N70" s="142">
        <f ca="1">IFERROR(_xlfn.NUMBERVALUE(OFFSET(Origine,MATCH(Registro_Ordini[[#This Row],[Titolo]],Descrizioni,0),MATCH("Price",Intestazioni,0)-1,1,1)),"")</f>
        <v>46.79</v>
      </c>
      <c r="O70" s="734">
        <f ca="1">IF(OR(Registro_Ordini[[#This Row],[Price]]=0,Registro_Ordini[[#This Row],[Price]]=""),"",IF(Registro_Ordini[[#This Row],[Tipo]]="Sell",Registro_Ordini[[#This Row],[Prezzo]]/Registro_Ordini[[#This Row],[Price]]-1,Registro_Ordini[[#This Row],[Price]]/Registro_Ordini[[#This Row],[Prezzo]]-1))</f>
        <v>2.733560215171793E-2</v>
      </c>
      <c r="P70" s="743">
        <v>2.2649818047418648E-2</v>
      </c>
      <c r="Q70" s="744">
        <v>6.9385836071387583E-2</v>
      </c>
      <c r="R70" s="744">
        <v>0.33198783793902631</v>
      </c>
      <c r="S70" s="744">
        <v>0.43874686593519091</v>
      </c>
      <c r="T70" s="744">
        <v>0</v>
      </c>
      <c r="U70" s="744">
        <v>0.15987946005439513</v>
      </c>
      <c r="V70" s="744"/>
      <c r="W70" s="745"/>
    </row>
    <row r="71" spans="1:23" s="1" customFormat="1" ht="24.95" customHeight="1" x14ac:dyDescent="0.2">
      <c r="A71" s="738">
        <v>46065.73574074074</v>
      </c>
      <c r="B71" s="739">
        <v>46065.73574074074</v>
      </c>
      <c r="C71" s="611" t="s">
        <v>383</v>
      </c>
      <c r="D71" s="142" t="s">
        <v>388</v>
      </c>
      <c r="E71" s="142" t="s">
        <v>389</v>
      </c>
      <c r="F71" s="142" t="s">
        <v>430</v>
      </c>
      <c r="G71" s="142" t="s">
        <v>371</v>
      </c>
      <c r="H71" s="740">
        <v>440</v>
      </c>
      <c r="I71" s="741">
        <v>45.545000000000002</v>
      </c>
      <c r="J71" s="142" t="s">
        <v>366</v>
      </c>
      <c r="K71" s="617">
        <f>Registro_Ordini[[#This Row],[Numero]]*Registro_Ordini[[#This Row],[Prezzo]]</f>
        <v>20039.8</v>
      </c>
      <c r="L71" s="742">
        <v>0.84240000000000004</v>
      </c>
      <c r="M71" s="617">
        <f>Registro_Ordini[[#This Row],[Importo]]*Registro_Ordini[[#This Row],[Cambio]]</f>
        <v>16881.52752</v>
      </c>
      <c r="N71" s="142">
        <f ca="1">IFERROR(_xlfn.NUMBERVALUE(OFFSET(Origine,MATCH(Registro_Ordini[[#This Row],[Titolo]],Descrizioni,0),MATCH("Price",Intestazioni,0)-1,1,1)),"")</f>
        <v>46.79</v>
      </c>
      <c r="O71" s="734">
        <f ca="1">IF(OR(Registro_Ordini[[#This Row],[Price]]=0,Registro_Ordini[[#This Row],[Price]]=""),"",IF(Registro_Ordini[[#This Row],[Tipo]]="Sell",Registro_Ordini[[#This Row],[Prezzo]]/Registro_Ordini[[#This Row],[Price]]-1,Registro_Ordini[[#This Row],[Price]]/Registro_Ordini[[#This Row],[Prezzo]]-1))</f>
        <v>2.733560215171793E-2</v>
      </c>
      <c r="P71" s="743">
        <v>2.5260123664003944E-2</v>
      </c>
      <c r="Q71" s="744">
        <v>6.8460986219281331E-2</v>
      </c>
      <c r="R71" s="744">
        <v>0.33956394011249902</v>
      </c>
      <c r="S71" s="744">
        <v>0.43710191155163403</v>
      </c>
      <c r="T71" s="744">
        <v>0</v>
      </c>
      <c r="U71" s="744">
        <v>0.15487316211658556</v>
      </c>
      <c r="V71" s="744"/>
      <c r="W71" s="745"/>
    </row>
    <row r="72" spans="1:23" s="1" customFormat="1" ht="24.95" customHeight="1" x14ac:dyDescent="0.2">
      <c r="A72" s="738">
        <v>46065.735474537039</v>
      </c>
      <c r="B72" s="739">
        <v>46065.735474537039</v>
      </c>
      <c r="C72" s="611" t="s">
        <v>78</v>
      </c>
      <c r="D72" s="142" t="s">
        <v>388</v>
      </c>
      <c r="E72" s="142" t="s">
        <v>389</v>
      </c>
      <c r="F72" s="142" t="s">
        <v>430</v>
      </c>
      <c r="G72" s="142" t="s">
        <v>371</v>
      </c>
      <c r="H72" s="740">
        <v>450</v>
      </c>
      <c r="I72" s="741">
        <v>45.545000000000002</v>
      </c>
      <c r="J72" s="142" t="s">
        <v>366</v>
      </c>
      <c r="K72" s="617">
        <f>Registro_Ordini[[#This Row],[Numero]]*Registro_Ordini[[#This Row],[Prezzo]]</f>
        <v>20495.25</v>
      </c>
      <c r="L72" s="742">
        <v>0.76905000000000001</v>
      </c>
      <c r="M72" s="617">
        <f>Registro_Ordini[[#This Row],[Importo]]*Registro_Ordini[[#This Row],[Cambio]]</f>
        <v>15761.8720125</v>
      </c>
      <c r="N72" s="142">
        <f ca="1">IFERROR(_xlfn.NUMBERVALUE(OFFSET(Origine,MATCH(Registro_Ordini[[#This Row],[Titolo]],Descrizioni,0),MATCH("Price",Intestazioni,0)-1,1,1)),"")</f>
        <v>46.79</v>
      </c>
      <c r="O72" s="734">
        <f ca="1">IF(OR(Registro_Ordini[[#This Row],[Price]]=0,Registro_Ordini[[#This Row],[Price]]=""),"",IF(Registro_Ordini[[#This Row],[Tipo]]="Sell",Registro_Ordini[[#This Row],[Prezzo]]/Registro_Ordini[[#This Row],[Price]]-1,Registro_Ordini[[#This Row],[Price]]/Registro_Ordini[[#This Row],[Prezzo]]-1))</f>
        <v>2.733560215171793E-2</v>
      </c>
      <c r="P72" s="743">
        <v>2.4912967882482963E-2</v>
      </c>
      <c r="Q72" s="744">
        <v>8.5589409693446125E-2</v>
      </c>
      <c r="R72" s="744">
        <v>0.12643251233635944</v>
      </c>
      <c r="S72" s="744">
        <v>0.66851575909446781</v>
      </c>
      <c r="T72" s="744">
        <v>0</v>
      </c>
      <c r="U72" s="744">
        <v>0.11946231887572657</v>
      </c>
      <c r="V72" s="744"/>
      <c r="W72" s="745"/>
    </row>
    <row r="73" spans="1:23" s="1" customFormat="1" ht="24.95" customHeight="1" x14ac:dyDescent="0.2">
      <c r="A73" s="738">
        <v>46065.735208333332</v>
      </c>
      <c r="B73" s="739">
        <v>46065.735208333332</v>
      </c>
      <c r="C73" s="611" t="s">
        <v>375</v>
      </c>
      <c r="D73" s="142" t="s">
        <v>388</v>
      </c>
      <c r="E73" s="142" t="s">
        <v>389</v>
      </c>
      <c r="F73" s="142" t="s">
        <v>430</v>
      </c>
      <c r="G73" s="142" t="s">
        <v>371</v>
      </c>
      <c r="H73" s="740">
        <v>340</v>
      </c>
      <c r="I73" s="741">
        <v>45.545000000000002</v>
      </c>
      <c r="J73" s="142" t="s">
        <v>366</v>
      </c>
      <c r="K73" s="617">
        <f>Registro_Ordini[[#This Row],[Numero]]*Registro_Ordini[[#This Row],[Prezzo]]</f>
        <v>15485.300000000001</v>
      </c>
      <c r="L73" s="742">
        <v>0.76905000000000001</v>
      </c>
      <c r="M73" s="617">
        <f>Registro_Ordini[[#This Row],[Importo]]*Registro_Ordini[[#This Row],[Cambio]]</f>
        <v>11908.969965</v>
      </c>
      <c r="N73" s="142">
        <f ca="1">IFERROR(_xlfn.NUMBERVALUE(OFFSET(Origine,MATCH(Registro_Ordini[[#This Row],[Titolo]],Descrizioni,0),MATCH("Price",Intestazioni,0)-1,1,1)),"")</f>
        <v>46.79</v>
      </c>
      <c r="O73" s="734">
        <f ca="1">IF(OR(Registro_Ordini[[#This Row],[Price]]=0,Registro_Ordini[[#This Row],[Price]]=""),"",IF(Registro_Ordini[[#This Row],[Tipo]]="Sell",Registro_Ordini[[#This Row],[Prezzo]]/Registro_Ordini[[#This Row],[Price]]-1,Registro_Ordini[[#This Row],[Price]]/Registro_Ordini[[#This Row],[Prezzo]]-1))</f>
        <v>2.733560215171793E-2</v>
      </c>
      <c r="P73" s="743">
        <v>1.3457226347289282E-2</v>
      </c>
      <c r="Q73" s="744">
        <v>8.3553627241122572E-2</v>
      </c>
      <c r="R73" s="744">
        <v>0.3240699413328017</v>
      </c>
      <c r="S73" s="744">
        <v>0.44889200367676219</v>
      </c>
      <c r="T73" s="744">
        <v>0</v>
      </c>
      <c r="U73" s="744">
        <v>0.14348442774931355</v>
      </c>
      <c r="V73" s="744"/>
      <c r="W73" s="745"/>
    </row>
    <row r="74" spans="1:23" s="1" customFormat="1" ht="24.95" customHeight="1" x14ac:dyDescent="0.2">
      <c r="A74" s="738">
        <v>46065.735196759262</v>
      </c>
      <c r="B74" s="739">
        <v>46065.735196759262</v>
      </c>
      <c r="C74" s="611" t="s">
        <v>376</v>
      </c>
      <c r="D74" s="142" t="s">
        <v>388</v>
      </c>
      <c r="E74" s="142" t="s">
        <v>389</v>
      </c>
      <c r="F74" s="142" t="s">
        <v>430</v>
      </c>
      <c r="G74" s="142" t="s">
        <v>371</v>
      </c>
      <c r="H74" s="740">
        <v>120</v>
      </c>
      <c r="I74" s="741">
        <v>45.545000000000002</v>
      </c>
      <c r="J74" s="142" t="s">
        <v>366</v>
      </c>
      <c r="K74" s="617">
        <f>Registro_Ordini[[#This Row],[Numero]]*Registro_Ordini[[#This Row],[Prezzo]]</f>
        <v>5465.4000000000005</v>
      </c>
      <c r="L74" s="742">
        <v>0.76905000000000001</v>
      </c>
      <c r="M74" s="617">
        <f>Registro_Ordini[[#This Row],[Importo]]*Registro_Ordini[[#This Row],[Cambio]]</f>
        <v>4203.1658700000007</v>
      </c>
      <c r="N74" s="142">
        <f ca="1">IFERROR(_xlfn.NUMBERVALUE(OFFSET(Origine,MATCH(Registro_Ordini[[#This Row],[Titolo]],Descrizioni,0),MATCH("Price",Intestazioni,0)-1,1,1)),"")</f>
        <v>46.79</v>
      </c>
      <c r="O74" s="734">
        <f ca="1">IF(OR(Registro_Ordini[[#This Row],[Price]]=0,Registro_Ordini[[#This Row],[Price]]=""),"",IF(Registro_Ordini[[#This Row],[Tipo]]="Sell",Registro_Ordini[[#This Row],[Prezzo]]/Registro_Ordini[[#This Row],[Price]]-1,Registro_Ordini[[#This Row],[Price]]/Registro_Ordini[[#This Row],[Prezzo]]-1))</f>
        <v>2.733560215171793E-2</v>
      </c>
      <c r="P74" s="743">
        <v>1.482346245520531E-2</v>
      </c>
      <c r="Q74" s="744">
        <v>6.9320861764988681E-2</v>
      </c>
      <c r="R74" s="744">
        <v>0.26475393133985914</v>
      </c>
      <c r="S74" s="744">
        <v>0.48270483329286623</v>
      </c>
      <c r="T74" s="744">
        <v>0</v>
      </c>
      <c r="U74" s="744">
        <v>0.18322037360228607</v>
      </c>
      <c r="V74" s="744"/>
      <c r="W74" s="745"/>
    </row>
    <row r="75" spans="1:23" s="1" customFormat="1" ht="24.95" customHeight="1" x14ac:dyDescent="0.2">
      <c r="A75" s="738">
        <v>46065.735185185185</v>
      </c>
      <c r="B75" s="739">
        <v>46065.735185185185</v>
      </c>
      <c r="C75" s="611" t="s">
        <v>377</v>
      </c>
      <c r="D75" s="142" t="s">
        <v>388</v>
      </c>
      <c r="E75" s="142" t="s">
        <v>389</v>
      </c>
      <c r="F75" s="142" t="s">
        <v>430</v>
      </c>
      <c r="G75" s="142" t="s">
        <v>371</v>
      </c>
      <c r="H75" s="740">
        <v>745</v>
      </c>
      <c r="I75" s="741">
        <v>45.545000000000002</v>
      </c>
      <c r="J75" s="142" t="s">
        <v>366</v>
      </c>
      <c r="K75" s="617">
        <f>Registro_Ordini[[#This Row],[Numero]]*Registro_Ordini[[#This Row],[Prezzo]]</f>
        <v>33931.025000000001</v>
      </c>
      <c r="L75" s="742">
        <v>0.76905000000000001</v>
      </c>
      <c r="M75" s="617">
        <f>Registro_Ordini[[#This Row],[Importo]]*Registro_Ordini[[#This Row],[Cambio]]</f>
        <v>26094.654776250001</v>
      </c>
      <c r="N75" s="142">
        <f ca="1">IFERROR(_xlfn.NUMBERVALUE(OFFSET(Origine,MATCH(Registro_Ordini[[#This Row],[Titolo]],Descrizioni,0),MATCH("Price",Intestazioni,0)-1,1,1)),"")</f>
        <v>46.79</v>
      </c>
      <c r="O75" s="734">
        <f ca="1">IF(OR(Registro_Ordini[[#This Row],[Price]]=0,Registro_Ordini[[#This Row],[Price]]=""),"",IF(Registro_Ordini[[#This Row],[Tipo]]="Sell",Registro_Ordini[[#This Row],[Prezzo]]/Registro_Ordini[[#This Row],[Price]]-1,Registro_Ordini[[#This Row],[Price]]/Registro_Ordini[[#This Row],[Prezzo]]-1))</f>
        <v>2.733560215171793E-2</v>
      </c>
      <c r="P75" s="743">
        <v>1.512220593842771E-2</v>
      </c>
      <c r="Q75" s="744">
        <v>8.1055700250382015E-2</v>
      </c>
      <c r="R75" s="744">
        <v>0.29722872456685379</v>
      </c>
      <c r="S75" s="744">
        <v>0.47663202040887503</v>
      </c>
      <c r="T75" s="744">
        <v>0</v>
      </c>
      <c r="U75" s="744">
        <v>0.14508355477388918</v>
      </c>
      <c r="V75" s="744"/>
      <c r="W75" s="745"/>
    </row>
    <row r="76" spans="1:23" s="1" customFormat="1" ht="24.95" customHeight="1" x14ac:dyDescent="0.2">
      <c r="A76" s="738">
        <v>46065.735173611109</v>
      </c>
      <c r="B76" s="739">
        <v>46065.735173611109</v>
      </c>
      <c r="C76" s="611" t="s">
        <v>378</v>
      </c>
      <c r="D76" s="142" t="s">
        <v>388</v>
      </c>
      <c r="E76" s="142" t="s">
        <v>389</v>
      </c>
      <c r="F76" s="142" t="s">
        <v>430</v>
      </c>
      <c r="G76" s="142" t="s">
        <v>371</v>
      </c>
      <c r="H76" s="740">
        <v>240</v>
      </c>
      <c r="I76" s="741">
        <v>45.545000000000002</v>
      </c>
      <c r="J76" s="142" t="s">
        <v>366</v>
      </c>
      <c r="K76" s="617">
        <f>Registro_Ordini[[#This Row],[Numero]]*Registro_Ordini[[#This Row],[Prezzo]]</f>
        <v>10930.800000000001</v>
      </c>
      <c r="L76" s="742">
        <v>0.76905000000000001</v>
      </c>
      <c r="M76" s="617">
        <f>Registro_Ordini[[#This Row],[Importo]]*Registro_Ordini[[#This Row],[Cambio]]</f>
        <v>8406.3317400000014</v>
      </c>
      <c r="N76" s="142">
        <f ca="1">IFERROR(_xlfn.NUMBERVALUE(OFFSET(Origine,MATCH(Registro_Ordini[[#This Row],[Titolo]],Descrizioni,0),MATCH("Price",Intestazioni,0)-1,1,1)),"")</f>
        <v>46.79</v>
      </c>
      <c r="O76" s="734">
        <f ca="1">IF(OR(Registro_Ordini[[#This Row],[Price]]=0,Registro_Ordini[[#This Row],[Price]]=""),"",IF(Registro_Ordini[[#This Row],[Tipo]]="Sell",Registro_Ordini[[#This Row],[Prezzo]]/Registro_Ordini[[#This Row],[Price]]-1,Registro_Ordini[[#This Row],[Price]]/Registro_Ordini[[#This Row],[Prezzo]]-1))</f>
        <v>2.733560215171793E-2</v>
      </c>
      <c r="P76" s="743">
        <v>1.500337985111023E-2</v>
      </c>
      <c r="Q76" s="744">
        <v>9.1797531699839882E-2</v>
      </c>
      <c r="R76" s="744">
        <v>0.28697940571668762</v>
      </c>
      <c r="S76" s="744">
        <v>0.48521040133641896</v>
      </c>
      <c r="T76" s="744">
        <v>0</v>
      </c>
      <c r="U76" s="744">
        <v>0.1360126612470535</v>
      </c>
      <c r="V76" s="744"/>
      <c r="W76" s="745"/>
    </row>
    <row r="77" spans="1:23" s="1" customFormat="1" ht="24.95" customHeight="1" x14ac:dyDescent="0.2">
      <c r="A77" s="738">
        <v>46065.734664351854</v>
      </c>
      <c r="B77" s="739">
        <v>46065.734664351854</v>
      </c>
      <c r="C77" s="611" t="s">
        <v>379</v>
      </c>
      <c r="D77" s="142" t="s">
        <v>388</v>
      </c>
      <c r="E77" s="142" t="s">
        <v>389</v>
      </c>
      <c r="F77" s="142" t="s">
        <v>411</v>
      </c>
      <c r="G77" s="142" t="s">
        <v>365</v>
      </c>
      <c r="H77" s="740">
        <v>-320</v>
      </c>
      <c r="I77" s="741">
        <v>52.32</v>
      </c>
      <c r="J77" s="142" t="s">
        <v>366</v>
      </c>
      <c r="K77" s="617">
        <f>Registro_Ordini[[#This Row],[Numero]]*Registro_Ordini[[#This Row],[Prezzo]]</f>
        <v>-16742.400000000001</v>
      </c>
      <c r="L77" s="742">
        <v>0.84260000000000002</v>
      </c>
      <c r="M77" s="617">
        <f>Registro_Ordini[[#This Row],[Importo]]*Registro_Ordini[[#This Row],[Cambio]]</f>
        <v>-14107.146240000002</v>
      </c>
      <c r="N77" s="142">
        <f ca="1">IFERROR(_xlfn.NUMBERVALUE(OFFSET(Origine,MATCH(Registro_Ordini[[#This Row],[Titolo]],Descrizioni,0),MATCH("Price",Intestazioni,0)-1,1,1)),"")</f>
        <v>51.02</v>
      </c>
      <c r="O77" s="734">
        <f ca="1">IF(OR(Registro_Ordini[[#This Row],[Price]]=0,Registro_Ordini[[#This Row],[Price]]=""),"",IF(Registro_Ordini[[#This Row],[Tipo]]="Sell",Registro_Ordini[[#This Row],[Prezzo]]/Registro_Ordini[[#This Row],[Price]]-1,Registro_Ordini[[#This Row],[Price]]/Registro_Ordini[[#This Row],[Prezzo]]-1))</f>
        <v>2.5480203841630633E-2</v>
      </c>
      <c r="P77" s="743">
        <v>-2.2561083348161769E-2</v>
      </c>
      <c r="Q77" s="744">
        <v>8.1109310015011052E-2</v>
      </c>
      <c r="R77" s="744">
        <v>0.33050907848665201</v>
      </c>
      <c r="S77" s="744">
        <v>0.44049590933930688</v>
      </c>
      <c r="T77" s="744">
        <v>0</v>
      </c>
      <c r="U77" s="744">
        <v>0.14788570215902996</v>
      </c>
      <c r="V77" s="744"/>
      <c r="W77" s="745"/>
    </row>
    <row r="78" spans="1:23" s="1" customFormat="1" ht="24.95" customHeight="1" x14ac:dyDescent="0.2">
      <c r="A78" s="738">
        <v>46065.7346412037</v>
      </c>
      <c r="B78" s="739">
        <v>46065.7346412037</v>
      </c>
      <c r="C78" s="611" t="s">
        <v>382</v>
      </c>
      <c r="D78" s="142" t="s">
        <v>388</v>
      </c>
      <c r="E78" s="142" t="s">
        <v>389</v>
      </c>
      <c r="F78" s="142" t="s">
        <v>411</v>
      </c>
      <c r="G78" s="142" t="s">
        <v>365</v>
      </c>
      <c r="H78" s="740">
        <v>-580</v>
      </c>
      <c r="I78" s="741">
        <v>52.32</v>
      </c>
      <c r="J78" s="142" t="s">
        <v>366</v>
      </c>
      <c r="K78" s="617">
        <f>Registro_Ordini[[#This Row],[Numero]]*Registro_Ordini[[#This Row],[Prezzo]]</f>
        <v>-30345.599999999999</v>
      </c>
      <c r="L78" s="742">
        <v>0.84260000000000002</v>
      </c>
      <c r="M78" s="617">
        <f>Registro_Ordini[[#This Row],[Importo]]*Registro_Ordini[[#This Row],[Cambio]]</f>
        <v>-25569.202559999998</v>
      </c>
      <c r="N78" s="142">
        <f ca="1">IFERROR(_xlfn.NUMBERVALUE(OFFSET(Origine,MATCH(Registro_Ordini[[#This Row],[Titolo]],Descrizioni,0),MATCH("Price",Intestazioni,0)-1,1,1)),"")</f>
        <v>51.02</v>
      </c>
      <c r="O78" s="734">
        <f ca="1">IF(OR(Registro_Ordini[[#This Row],[Price]]=0,Registro_Ordini[[#This Row],[Price]]=""),"",IF(Registro_Ordini[[#This Row],[Tipo]]="Sell",Registro_Ordini[[#This Row],[Prezzo]]/Registro_Ordini[[#This Row],[Price]]-1,Registro_Ordini[[#This Row],[Price]]/Registro_Ordini[[#This Row],[Prezzo]]-1))</f>
        <v>2.5480203841630633E-2</v>
      </c>
      <c r="P78" s="743">
        <v>-2.2252120693355713E-2</v>
      </c>
      <c r="Q78" s="744">
        <v>8.8199732994861585E-2</v>
      </c>
      <c r="R78" s="744">
        <v>0.31811496565586622</v>
      </c>
      <c r="S78" s="744">
        <v>0.4404666857934143</v>
      </c>
      <c r="T78" s="744">
        <v>0</v>
      </c>
      <c r="U78" s="744">
        <v>0.15321861555585781</v>
      </c>
      <c r="V78" s="744"/>
      <c r="W78" s="745"/>
    </row>
    <row r="79" spans="1:23" s="1" customFormat="1" ht="24.95" customHeight="1" x14ac:dyDescent="0.2">
      <c r="A79" s="738">
        <v>46065.734618055554</v>
      </c>
      <c r="B79" s="739">
        <v>46065.734618055554</v>
      </c>
      <c r="C79" s="611" t="s">
        <v>383</v>
      </c>
      <c r="D79" s="142" t="s">
        <v>388</v>
      </c>
      <c r="E79" s="142" t="s">
        <v>389</v>
      </c>
      <c r="F79" s="142" t="s">
        <v>411</v>
      </c>
      <c r="G79" s="142" t="s">
        <v>365</v>
      </c>
      <c r="H79" s="740">
        <v>-350</v>
      </c>
      <c r="I79" s="741">
        <v>52.32</v>
      </c>
      <c r="J79" s="142" t="s">
        <v>366</v>
      </c>
      <c r="K79" s="617">
        <f>Registro_Ordini[[#This Row],[Numero]]*Registro_Ordini[[#This Row],[Prezzo]]</f>
        <v>-18312</v>
      </c>
      <c r="L79" s="742">
        <v>0.84260000000000002</v>
      </c>
      <c r="M79" s="617">
        <f>Registro_Ordini[[#This Row],[Importo]]*Registro_Ordini[[#This Row],[Cambio]]</f>
        <v>-15429.691200000001</v>
      </c>
      <c r="N79" s="142">
        <f ca="1">IFERROR(_xlfn.NUMBERVALUE(OFFSET(Origine,MATCH(Registro_Ordini[[#This Row],[Titolo]],Descrizioni,0),MATCH("Price",Intestazioni,0)-1,1,1)),"")</f>
        <v>51.02</v>
      </c>
      <c r="O79" s="734">
        <f ca="1">IF(OR(Registro_Ordini[[#This Row],[Price]]=0,Registro_Ordini[[#This Row],[Price]]=""),"",IF(Registro_Ordini[[#This Row],[Tipo]]="Sell",Registro_Ordini[[#This Row],[Prezzo]]/Registro_Ordini[[#This Row],[Price]]-1,Registro_Ordini[[#This Row],[Price]]/Registro_Ordini[[#This Row],[Prezzo]]-1))</f>
        <v>2.5480203841630633E-2</v>
      </c>
      <c r="P79" s="743">
        <v>-2.2165709014512334E-2</v>
      </c>
      <c r="Q79" s="744">
        <v>8.9989767685615965E-2</v>
      </c>
      <c r="R79" s="744">
        <v>0.3260034725449546</v>
      </c>
      <c r="S79" s="744">
        <v>0.43530266118150324</v>
      </c>
      <c r="T79" s="744">
        <v>0</v>
      </c>
      <c r="U79" s="744">
        <v>0.14870409858792621</v>
      </c>
      <c r="V79" s="744"/>
      <c r="W79" s="745"/>
    </row>
    <row r="80" spans="1:23" s="1" customFormat="1" ht="24.95" customHeight="1" x14ac:dyDescent="0.2">
      <c r="A80" s="738">
        <v>46065.734317129631</v>
      </c>
      <c r="B80" s="739">
        <v>46065.734317129631</v>
      </c>
      <c r="C80" s="611" t="s">
        <v>78</v>
      </c>
      <c r="D80" s="142" t="s">
        <v>388</v>
      </c>
      <c r="E80" s="142" t="s">
        <v>389</v>
      </c>
      <c r="F80" s="142" t="s">
        <v>411</v>
      </c>
      <c r="G80" s="142" t="s">
        <v>365</v>
      </c>
      <c r="H80" s="740">
        <v>-315</v>
      </c>
      <c r="I80" s="741">
        <v>52.32</v>
      </c>
      <c r="J80" s="142" t="s">
        <v>366</v>
      </c>
      <c r="K80" s="617">
        <f>Registro_Ordini[[#This Row],[Numero]]*Registro_Ordini[[#This Row],[Prezzo]]</f>
        <v>-16480.8</v>
      </c>
      <c r="L80" s="742">
        <v>0.76934999999999998</v>
      </c>
      <c r="M80" s="617">
        <f>Registro_Ordini[[#This Row],[Importo]]*Registro_Ordini[[#This Row],[Cambio]]</f>
        <v>-12679.503479999999</v>
      </c>
      <c r="N80" s="142">
        <f ca="1">IFERROR(_xlfn.NUMBERVALUE(OFFSET(Origine,MATCH(Registro_Ordini[[#This Row],[Titolo]],Descrizioni,0),MATCH("Price",Intestazioni,0)-1,1,1)),"")</f>
        <v>51.02</v>
      </c>
      <c r="O80" s="734">
        <f ca="1">IF(OR(Registro_Ordini[[#This Row],[Price]]=0,Registro_Ordini[[#This Row],[Price]]=""),"",IF(Registro_Ordini[[#This Row],[Tipo]]="Sell",Registro_Ordini[[#This Row],[Prezzo]]/Registro_Ordini[[#This Row],[Price]]-1,Registro_Ordini[[#This Row],[Price]]/Registro_Ordini[[#This Row],[Prezzo]]-1))</f>
        <v>2.5480203841630633E-2</v>
      </c>
      <c r="P80" s="743">
        <v>-2.0038666584880478E-2</v>
      </c>
      <c r="Q80" s="744">
        <v>0.11049989754622123</v>
      </c>
      <c r="R80" s="744">
        <v>0.1264176370745789</v>
      </c>
      <c r="S80" s="744">
        <v>0.6436342016957125</v>
      </c>
      <c r="T80" s="744">
        <v>0</v>
      </c>
      <c r="U80" s="744">
        <v>0.11944826368348727</v>
      </c>
      <c r="V80" s="744"/>
      <c r="W80" s="745"/>
    </row>
    <row r="81" spans="1:23" s="1" customFormat="1" ht="24.95" customHeight="1" x14ac:dyDescent="0.2">
      <c r="A81" s="738">
        <v>46065.734120370369</v>
      </c>
      <c r="B81" s="739">
        <v>46065.734120370369</v>
      </c>
      <c r="C81" s="611" t="s">
        <v>375</v>
      </c>
      <c r="D81" s="142" t="s">
        <v>388</v>
      </c>
      <c r="E81" s="142" t="s">
        <v>389</v>
      </c>
      <c r="F81" s="142" t="s">
        <v>411</v>
      </c>
      <c r="G81" s="142" t="s">
        <v>365</v>
      </c>
      <c r="H81" s="740">
        <v>-300</v>
      </c>
      <c r="I81" s="741">
        <v>52.32</v>
      </c>
      <c r="J81" s="142" t="s">
        <v>366</v>
      </c>
      <c r="K81" s="617">
        <f>Registro_Ordini[[#This Row],[Numero]]*Registro_Ordini[[#This Row],[Prezzo]]</f>
        <v>-15696</v>
      </c>
      <c r="L81" s="742">
        <v>0.76934999999999998</v>
      </c>
      <c r="M81" s="617">
        <f>Registro_Ordini[[#This Row],[Importo]]*Registro_Ordini[[#This Row],[Cambio]]</f>
        <v>-12075.7176</v>
      </c>
      <c r="N81" s="142">
        <f ca="1">IFERROR(_xlfn.NUMBERVALUE(OFFSET(Origine,MATCH(Registro_Ordini[[#This Row],[Titolo]],Descrizioni,0),MATCH("Price",Intestazioni,0)-1,1,1)),"")</f>
        <v>51.02</v>
      </c>
      <c r="O81" s="734">
        <f ca="1">IF(OR(Registro_Ordini[[#This Row],[Price]]=0,Registro_Ordini[[#This Row],[Price]]=""),"",IF(Registro_Ordini[[#This Row],[Tipo]]="Sell",Registro_Ordini[[#This Row],[Prezzo]]/Registro_Ordini[[#This Row],[Price]]-1,Registro_Ordini[[#This Row],[Price]]/Registro_Ordini[[#This Row],[Prezzo]]-1))</f>
        <v>2.5480203841630633E-2</v>
      </c>
      <c r="P81" s="743">
        <v>-1.3644484596403874E-2</v>
      </c>
      <c r="Q81" s="744">
        <v>9.7016432737640643E-2</v>
      </c>
      <c r="R81" s="744">
        <v>0.32404220629480979</v>
      </c>
      <c r="S81" s="744">
        <v>0.43546921311694708</v>
      </c>
      <c r="T81" s="744">
        <v>0</v>
      </c>
      <c r="U81" s="744">
        <v>0.14347214785060247</v>
      </c>
      <c r="V81" s="744"/>
      <c r="W81" s="745"/>
    </row>
    <row r="82" spans="1:23" s="1" customFormat="1" ht="24.95" customHeight="1" x14ac:dyDescent="0.2">
      <c r="A82" s="738">
        <v>46065.7341087963</v>
      </c>
      <c r="B82" s="739">
        <v>46065.7341087963</v>
      </c>
      <c r="C82" s="611" t="s">
        <v>376</v>
      </c>
      <c r="D82" s="142" t="s">
        <v>388</v>
      </c>
      <c r="E82" s="142" t="s">
        <v>389</v>
      </c>
      <c r="F82" s="142" t="s">
        <v>411</v>
      </c>
      <c r="G82" s="142" t="s">
        <v>365</v>
      </c>
      <c r="H82" s="740">
        <v>-100</v>
      </c>
      <c r="I82" s="741">
        <v>52.32</v>
      </c>
      <c r="J82" s="142" t="s">
        <v>366</v>
      </c>
      <c r="K82" s="617">
        <f>Registro_Ordini[[#This Row],[Numero]]*Registro_Ordini[[#This Row],[Prezzo]]</f>
        <v>-5232</v>
      </c>
      <c r="L82" s="742">
        <v>0.76934999999999998</v>
      </c>
      <c r="M82" s="617">
        <f>Registro_Ordini[[#This Row],[Importo]]*Registro_Ordini[[#This Row],[Cambio]]</f>
        <v>-4025.2392</v>
      </c>
      <c r="N82" s="142">
        <f ca="1">IFERROR(_xlfn.NUMBERVALUE(OFFSET(Origine,MATCH(Registro_Ordini[[#This Row],[Titolo]],Descrizioni,0),MATCH("Price",Intestazioni,0)-1,1,1)),"")</f>
        <v>51.02</v>
      </c>
      <c r="O82" s="734">
        <f ca="1">IF(OR(Registro_Ordini[[#This Row],[Price]]=0,Registro_Ordini[[#This Row],[Price]]=""),"",IF(Registro_Ordini[[#This Row],[Tipo]]="Sell",Registro_Ordini[[#This Row],[Prezzo]]/Registro_Ordini[[#This Row],[Price]]-1,Registro_Ordini[[#This Row],[Price]]/Registro_Ordini[[#This Row],[Prezzo]]-1))</f>
        <v>2.5480203841630633E-2</v>
      </c>
      <c r="P82" s="743">
        <v>-1.4194135083646954E-2</v>
      </c>
      <c r="Q82" s="744">
        <v>8.4146498125666297E-2</v>
      </c>
      <c r="R82" s="744">
        <v>0.26471986306699546</v>
      </c>
      <c r="S82" s="744">
        <v>0.46789444443109413</v>
      </c>
      <c r="T82" s="744">
        <v>0</v>
      </c>
      <c r="U82" s="744">
        <v>0.18323919437624425</v>
      </c>
      <c r="V82" s="744"/>
      <c r="W82" s="745"/>
    </row>
    <row r="83" spans="1:23" s="1" customFormat="1" ht="24.95" customHeight="1" x14ac:dyDescent="0.2">
      <c r="A83" s="738">
        <v>46065.734097222223</v>
      </c>
      <c r="B83" s="739">
        <v>46065.734097222223</v>
      </c>
      <c r="C83" s="611" t="s">
        <v>377</v>
      </c>
      <c r="D83" s="142" t="s">
        <v>388</v>
      </c>
      <c r="E83" s="142" t="s">
        <v>389</v>
      </c>
      <c r="F83" s="142" t="s">
        <v>411</v>
      </c>
      <c r="G83" s="142" t="s">
        <v>365</v>
      </c>
      <c r="H83" s="740">
        <v>-580</v>
      </c>
      <c r="I83" s="741">
        <v>52.32</v>
      </c>
      <c r="J83" s="142" t="s">
        <v>366</v>
      </c>
      <c r="K83" s="617">
        <f>Registro_Ordini[[#This Row],[Numero]]*Registro_Ordini[[#This Row],[Prezzo]]</f>
        <v>-30345.599999999999</v>
      </c>
      <c r="L83" s="742">
        <v>0.76934999999999998</v>
      </c>
      <c r="M83" s="617">
        <f>Registro_Ordini[[#This Row],[Importo]]*Registro_Ordini[[#This Row],[Cambio]]</f>
        <v>-23346.387359999997</v>
      </c>
      <c r="N83" s="142">
        <f ca="1">IFERROR(_xlfn.NUMBERVALUE(OFFSET(Origine,MATCH(Registro_Ordini[[#This Row],[Titolo]],Descrizioni,0),MATCH("Price",Intestazioni,0)-1,1,1)),"")</f>
        <v>51.02</v>
      </c>
      <c r="O83" s="734">
        <f ca="1">IF(OR(Registro_Ordini[[#This Row],[Price]]=0,Registro_Ordini[[#This Row],[Price]]=""),"",IF(Registro_Ordini[[#This Row],[Tipo]]="Sell",Registro_Ordini[[#This Row],[Prezzo]]/Registro_Ordini[[#This Row],[Price]]-1,Registro_Ordini[[#This Row],[Price]]/Registro_Ordini[[#This Row],[Prezzo]]-1))</f>
        <v>2.5480203841630633E-2</v>
      </c>
      <c r="P83" s="743">
        <v>-1.3528044035738656E-2</v>
      </c>
      <c r="Q83" s="744">
        <v>9.6194613346959959E-2</v>
      </c>
      <c r="R83" s="744">
        <v>0.29719568988155759</v>
      </c>
      <c r="S83" s="744">
        <v>0.46154226691815953</v>
      </c>
      <c r="T83" s="744">
        <v>0</v>
      </c>
      <c r="U83" s="744">
        <v>0.14506742985332302</v>
      </c>
      <c r="V83" s="744"/>
      <c r="W83" s="745"/>
    </row>
    <row r="84" spans="1:23" s="1" customFormat="1" ht="24.95" customHeight="1" x14ac:dyDescent="0.2">
      <c r="A84" s="738">
        <v>46065.734085648146</v>
      </c>
      <c r="B84" s="739">
        <v>46065.734085648146</v>
      </c>
      <c r="C84" s="611" t="s">
        <v>378</v>
      </c>
      <c r="D84" s="142" t="s">
        <v>388</v>
      </c>
      <c r="E84" s="142" t="s">
        <v>389</v>
      </c>
      <c r="F84" s="142" t="s">
        <v>411</v>
      </c>
      <c r="G84" s="142" t="s">
        <v>365</v>
      </c>
      <c r="H84" s="740">
        <v>-190</v>
      </c>
      <c r="I84" s="741">
        <v>52.32</v>
      </c>
      <c r="J84" s="142" t="s">
        <v>366</v>
      </c>
      <c r="K84" s="617">
        <f>Registro_Ordini[[#This Row],[Numero]]*Registro_Ordini[[#This Row],[Prezzo]]</f>
        <v>-9940.7999999999993</v>
      </c>
      <c r="L84" s="742">
        <v>0.76934999999999998</v>
      </c>
      <c r="M84" s="617">
        <f>Registro_Ordini[[#This Row],[Importo]]*Registro_Ordini[[#This Row],[Cambio]]</f>
        <v>-7647.9544799999994</v>
      </c>
      <c r="N84" s="142">
        <f ca="1">IFERROR(_xlfn.NUMBERVALUE(OFFSET(Origine,MATCH(Registro_Ordini[[#This Row],[Titolo]],Descrizioni,0),MATCH("Price",Intestazioni,0)-1,1,1)),"")</f>
        <v>51.02</v>
      </c>
      <c r="O84" s="734">
        <f ca="1">IF(OR(Registro_Ordini[[#This Row],[Price]]=0,Registro_Ordini[[#This Row],[Price]]=""),"",IF(Registro_Ordini[[#This Row],[Tipo]]="Sell",Registro_Ordini[[#This Row],[Prezzo]]/Registro_Ordini[[#This Row],[Price]]-1,Registro_Ordini[[#This Row],[Price]]/Registro_Ordini[[#This Row],[Prezzo]]-1))</f>
        <v>2.5480203841630633E-2</v>
      </c>
      <c r="P84" s="743">
        <v>-1.3648431425682866E-2</v>
      </c>
      <c r="Q84" s="744">
        <v>0.10680418737629099</v>
      </c>
      <c r="R84" s="744">
        <v>0.2869495839802107</v>
      </c>
      <c r="S84" s="744">
        <v>0.4702325555006327</v>
      </c>
      <c r="T84" s="744">
        <v>0</v>
      </c>
      <c r="U84" s="744">
        <v>0.13601367314286553</v>
      </c>
      <c r="V84" s="744"/>
      <c r="W84" s="745"/>
    </row>
    <row r="85" spans="1:23" s="1" customFormat="1" ht="24.95" customHeight="1" x14ac:dyDescent="0.2">
      <c r="A85" s="8">
        <v>46065.72960648148</v>
      </c>
      <c r="B85" s="7">
        <v>46065.72960648148</v>
      </c>
      <c r="C85" s="9" t="s">
        <v>106</v>
      </c>
      <c r="D85" s="1" t="s">
        <v>388</v>
      </c>
      <c r="E85" s="1" t="s">
        <v>389</v>
      </c>
      <c r="F85" s="1" t="s">
        <v>4439</v>
      </c>
      <c r="G85" s="1" t="s">
        <v>371</v>
      </c>
      <c r="H85" s="2">
        <v>690</v>
      </c>
      <c r="I85" s="17">
        <v>11.5913</v>
      </c>
      <c r="J85" s="1" t="s">
        <v>381</v>
      </c>
      <c r="K85" s="6">
        <f>Registro_Ordini[[#This Row],[Numero]]*Registro_Ordini[[#This Row],[Prezzo]]</f>
        <v>7997.9970000000003</v>
      </c>
      <c r="L85" s="10">
        <v>1</v>
      </c>
      <c r="M85" s="6">
        <f>Registro_Ordini[[#This Row],[Importo]]*Registro_Ordini[[#This Row],[Cambio]]</f>
        <v>7997.9970000000003</v>
      </c>
      <c r="N85" s="1">
        <f ca="1">IFERROR(_xlfn.NUMBERVALUE(OFFSET(Origine,MATCH(Registro_Ordini[[#This Row],[Titolo]],Descrizioni,0),MATCH("Price",Intestazioni,0)-1,1,1)),"")</f>
        <v>11.566000000000001</v>
      </c>
      <c r="O85" s="18">
        <f ca="1">IF(OR(Registro_Ordini[[#This Row],[Price]]=0,Registro_Ordini[[#This Row],[Price]]=""),"",IF(Registro_Ordini[[#This Row],[Tipo]]="Sell",Registro_Ordini[[#This Row],[Prezzo]]/Registro_Ordini[[#This Row],[Price]]-1,Registro_Ordini[[#This Row],[Price]]/Registro_Ordini[[#This Row],[Prezzo]]-1))</f>
        <v>-2.1826714863734109E-3</v>
      </c>
      <c r="P85" s="15">
        <v>5.0486874286153706E-2</v>
      </c>
      <c r="Q85" s="3">
        <v>7.3377052260251652E-2</v>
      </c>
      <c r="R85" s="3">
        <v>0.26010278179154095</v>
      </c>
      <c r="S85" s="3">
        <v>0.4793150120607203</v>
      </c>
      <c r="T85" s="3">
        <v>0</v>
      </c>
      <c r="U85" s="3">
        <v>0.18720515388748715</v>
      </c>
      <c r="V85" s="3"/>
      <c r="W85" s="4"/>
    </row>
    <row r="86" spans="1:23" s="1" customFormat="1" ht="24.95" customHeight="1" x14ac:dyDescent="0.2">
      <c r="A86" s="8">
        <v>46065.729583333334</v>
      </c>
      <c r="B86" s="7">
        <v>46065.729583333334</v>
      </c>
      <c r="C86" s="9" t="s">
        <v>379</v>
      </c>
      <c r="D86" s="1" t="s">
        <v>388</v>
      </c>
      <c r="E86" s="1" t="s">
        <v>389</v>
      </c>
      <c r="F86" s="1" t="s">
        <v>4439</v>
      </c>
      <c r="G86" s="1" t="s">
        <v>371</v>
      </c>
      <c r="H86" s="2">
        <v>1350</v>
      </c>
      <c r="I86" s="17">
        <v>11.5913</v>
      </c>
      <c r="J86" s="1" t="s">
        <v>381</v>
      </c>
      <c r="K86" s="6">
        <f>Registro_Ordini[[#This Row],[Numero]]*Registro_Ordini[[#This Row],[Prezzo]]</f>
        <v>15648.255000000001</v>
      </c>
      <c r="L86" s="10">
        <v>1</v>
      </c>
      <c r="M86" s="6">
        <f>Registro_Ordini[[#This Row],[Importo]]*Registro_Ordini[[#This Row],[Cambio]]</f>
        <v>15648.255000000001</v>
      </c>
      <c r="N86" s="1">
        <f ca="1">IFERROR(_xlfn.NUMBERVALUE(OFFSET(Origine,MATCH(Registro_Ordini[[#This Row],[Titolo]],Descrizioni,0),MATCH("Price",Intestazioni,0)-1,1,1)),"")</f>
        <v>11.566000000000001</v>
      </c>
      <c r="O86" s="18">
        <f ca="1">IF(OR(Registro_Ordini[[#This Row],[Price]]=0,Registro_Ordini[[#This Row],[Price]]=""),"",IF(Registro_Ordini[[#This Row],[Tipo]]="Sell",Registro_Ordini[[#This Row],[Prezzo]]/Registro_Ordini[[#This Row],[Price]]-1,Registro_Ordini[[#This Row],[Price]]/Registro_Ordini[[#This Row],[Prezzo]]-1))</f>
        <v>-2.1826714863734109E-3</v>
      </c>
      <c r="P86" s="15">
        <v>2.5026961616385884E-2</v>
      </c>
      <c r="Q86" s="3">
        <v>5.85688765809326E-2</v>
      </c>
      <c r="R86" s="3">
        <v>0.33052442908567092</v>
      </c>
      <c r="S86" s="3">
        <v>0.46313336181592379</v>
      </c>
      <c r="T86" s="3">
        <v>0</v>
      </c>
      <c r="U86" s="3">
        <v>0.14777333251747249</v>
      </c>
      <c r="V86" s="3"/>
      <c r="W86" s="4"/>
    </row>
    <row r="87" spans="1:23" s="1" customFormat="1" ht="24.95" customHeight="1" x14ac:dyDescent="0.2">
      <c r="A87" s="8">
        <v>46065.729560185187</v>
      </c>
      <c r="B87" s="7">
        <v>46065.729571759257</v>
      </c>
      <c r="C87" s="9" t="s">
        <v>382</v>
      </c>
      <c r="D87" s="1" t="s">
        <v>388</v>
      </c>
      <c r="E87" s="1" t="s">
        <v>389</v>
      </c>
      <c r="F87" s="1" t="s">
        <v>4439</v>
      </c>
      <c r="G87" s="1" t="s">
        <v>371</v>
      </c>
      <c r="H87" s="2">
        <v>2500</v>
      </c>
      <c r="I87" s="17">
        <v>11.5913</v>
      </c>
      <c r="J87" s="1" t="s">
        <v>381</v>
      </c>
      <c r="K87" s="6">
        <f>Registro_Ordini[[#This Row],[Numero]]*Registro_Ordini[[#This Row],[Prezzo]]</f>
        <v>28978.25</v>
      </c>
      <c r="L87" s="10">
        <v>1</v>
      </c>
      <c r="M87" s="6">
        <f>Registro_Ordini[[#This Row],[Importo]]*Registro_Ordini[[#This Row],[Cambio]]</f>
        <v>28978.25</v>
      </c>
      <c r="N87" s="1">
        <f ca="1">IFERROR(_xlfn.NUMBERVALUE(OFFSET(Origine,MATCH(Registro_Ordini[[#This Row],[Titolo]],Descrizioni,0),MATCH("Price",Intestazioni,0)-1,1,1)),"")</f>
        <v>11.566000000000001</v>
      </c>
      <c r="O87" s="18">
        <f ca="1">IF(OR(Registro_Ordini[[#This Row],[Price]]=0,Registro_Ordini[[#This Row],[Price]]=""),"",IF(Registro_Ordini[[#This Row],[Tipo]]="Sell",Registro_Ordini[[#This Row],[Prezzo]]/Registro_Ordini[[#This Row],[Price]]-1,Registro_Ordini[[#This Row],[Price]]/Registro_Ordini[[#This Row],[Prezzo]]-1))</f>
        <v>-2.1826714863734109E-3</v>
      </c>
      <c r="P87" s="15">
        <v>2.5162829272570086E-2</v>
      </c>
      <c r="Q87" s="3">
        <v>6.5827383442557466E-2</v>
      </c>
      <c r="R87" s="3">
        <v>0.31740672536401726</v>
      </c>
      <c r="S87" s="3">
        <v>0.46174627368118421</v>
      </c>
      <c r="T87" s="3">
        <v>0</v>
      </c>
      <c r="U87" s="3">
        <v>0.15501961751224114</v>
      </c>
      <c r="V87" s="3"/>
      <c r="W87" s="4"/>
    </row>
    <row r="88" spans="1:23" s="1" customFormat="1" ht="24.95" customHeight="1" x14ac:dyDescent="0.2">
      <c r="A88" s="8">
        <v>46065.729548611111</v>
      </c>
      <c r="B88" s="7">
        <v>46065.729548611111</v>
      </c>
      <c r="C88" s="9" t="s">
        <v>383</v>
      </c>
      <c r="D88" s="1" t="s">
        <v>388</v>
      </c>
      <c r="E88" s="1" t="s">
        <v>389</v>
      </c>
      <c r="F88" s="1" t="s">
        <v>4439</v>
      </c>
      <c r="G88" s="1" t="s">
        <v>371</v>
      </c>
      <c r="H88" s="2">
        <v>1500</v>
      </c>
      <c r="I88" s="17">
        <v>11.5913</v>
      </c>
      <c r="J88" s="1" t="s">
        <v>381</v>
      </c>
      <c r="K88" s="6">
        <f>Registro_Ordini[[#This Row],[Numero]]*Registro_Ordini[[#This Row],[Prezzo]]</f>
        <v>17386.95</v>
      </c>
      <c r="L88" s="10">
        <v>1</v>
      </c>
      <c r="M88" s="6">
        <f>Registro_Ordini[[#This Row],[Importo]]*Registro_Ordini[[#This Row],[Cambio]]</f>
        <v>17386.95</v>
      </c>
      <c r="N88" s="1">
        <f ca="1">IFERROR(_xlfn.NUMBERVALUE(OFFSET(Origine,MATCH(Registro_Ordini[[#This Row],[Titolo]],Descrizioni,0),MATCH("Price",Intestazioni,0)-1,1,1)),"")</f>
        <v>11.566000000000001</v>
      </c>
      <c r="O88" s="18">
        <f ca="1">IF(OR(Registro_Ordini[[#This Row],[Price]]=0,Registro_Ordini[[#This Row],[Price]]=""),"",IF(Registro_Ordini[[#This Row],[Tipo]]="Sell",Registro_Ordini[[#This Row],[Prezzo]]/Registro_Ordini[[#This Row],[Price]]-1,Registro_Ordini[[#This Row],[Price]]/Registro_Ordini[[#This Row],[Prezzo]]-1))</f>
        <v>-2.1826714863734109E-3</v>
      </c>
      <c r="P88" s="15">
        <v>2.4920195393041491E-2</v>
      </c>
      <c r="Q88" s="3">
        <v>6.7691903450184721E-2</v>
      </c>
      <c r="R88" s="3">
        <v>0.32525555509547999</v>
      </c>
      <c r="S88" s="3">
        <v>0.45647787831484138</v>
      </c>
      <c r="T88" s="3">
        <v>0</v>
      </c>
      <c r="U88" s="3">
        <v>0.15057466313949383</v>
      </c>
      <c r="V88" s="3"/>
      <c r="W88" s="4"/>
    </row>
    <row r="89" spans="1:23" s="1" customFormat="1" ht="24.95" customHeight="1" x14ac:dyDescent="0.2">
      <c r="A89" s="8">
        <v>46065.729375000003</v>
      </c>
      <c r="B89" s="7">
        <v>46065.729375000003</v>
      </c>
      <c r="C89" s="9" t="s">
        <v>385</v>
      </c>
      <c r="D89" s="1" t="s">
        <v>388</v>
      </c>
      <c r="E89" s="1" t="s">
        <v>389</v>
      </c>
      <c r="F89" s="1" t="s">
        <v>4439</v>
      </c>
      <c r="G89" s="1" t="s">
        <v>371</v>
      </c>
      <c r="H89" s="2">
        <v>600</v>
      </c>
      <c r="I89" s="17">
        <v>11.5913</v>
      </c>
      <c r="J89" s="1" t="s">
        <v>381</v>
      </c>
      <c r="K89" s="6">
        <f>Registro_Ordini[[#This Row],[Numero]]*Registro_Ordini[[#This Row],[Prezzo]]</f>
        <v>6954.7800000000007</v>
      </c>
      <c r="L89" s="10">
        <v>1</v>
      </c>
      <c r="M89" s="6">
        <f>Registro_Ordini[[#This Row],[Importo]]*Registro_Ordini[[#This Row],[Cambio]]</f>
        <v>6954.7800000000007</v>
      </c>
      <c r="N89" s="1">
        <f ca="1">IFERROR(_xlfn.NUMBERVALUE(OFFSET(Origine,MATCH(Registro_Ordini[[#This Row],[Titolo]],Descrizioni,0),MATCH("Price",Intestazioni,0)-1,1,1)),"")</f>
        <v>11.566000000000001</v>
      </c>
      <c r="O89" s="18">
        <f ca="1">IF(OR(Registro_Ordini[[#This Row],[Price]]=0,Registro_Ordini[[#This Row],[Price]]=""),"",IF(Registro_Ordini[[#This Row],[Tipo]]="Sell",Registro_Ordini[[#This Row],[Prezzo]]/Registro_Ordini[[#This Row],[Price]]-1,Registro_Ordini[[#This Row],[Price]]/Registro_Ordini[[#This Row],[Prezzo]]-1))</f>
        <v>-2.1826714863734109E-3</v>
      </c>
      <c r="P89" s="15">
        <v>5.1177794719959313E-2</v>
      </c>
      <c r="Q89" s="3">
        <v>8.1323298391567326E-3</v>
      </c>
      <c r="R89" s="3">
        <v>0.56016979456269178</v>
      </c>
      <c r="S89" s="3">
        <v>0.24628858392486108</v>
      </c>
      <c r="T89" s="3">
        <v>5.1976355462787976E-2</v>
      </c>
      <c r="U89" s="3">
        <v>0.13343293621050245</v>
      </c>
      <c r="V89" s="3"/>
      <c r="W89" s="4"/>
    </row>
    <row r="90" spans="1:23" s="1" customFormat="1" ht="24.95" customHeight="1" x14ac:dyDescent="0.2">
      <c r="A90" s="8">
        <v>46065.729178240741</v>
      </c>
      <c r="B90" s="7">
        <v>46065.729178240741</v>
      </c>
      <c r="C90" s="9" t="s">
        <v>78</v>
      </c>
      <c r="D90" s="1" t="s">
        <v>388</v>
      </c>
      <c r="E90" s="1" t="s">
        <v>389</v>
      </c>
      <c r="F90" s="1" t="s">
        <v>4300</v>
      </c>
      <c r="G90" s="1" t="s">
        <v>371</v>
      </c>
      <c r="H90" s="2">
        <v>3400</v>
      </c>
      <c r="I90" s="17">
        <v>9.4100999999999999</v>
      </c>
      <c r="J90" s="1" t="s">
        <v>369</v>
      </c>
      <c r="K90" s="6">
        <f>Registro_Ordini[[#This Row],[Numero]]*Registro_Ordini[[#This Row],[Prezzo]]</f>
        <v>31994.34</v>
      </c>
      <c r="L90" s="10">
        <v>1.00000014</v>
      </c>
      <c r="M90" s="6">
        <f>Registro_Ordini[[#This Row],[Importo]]*Registro_Ordini[[#This Row],[Cambio]]</f>
        <v>31994.344479207601</v>
      </c>
      <c r="N90" s="1">
        <f ca="1">IFERROR(_xlfn.NUMBERVALUE(OFFSET(Origine,MATCH(Registro_Ordini[[#This Row],[Titolo]],Descrizioni,0),MATCH("Price",Intestazioni,0)-1,1,1)),"")</f>
        <v>9.1999999999999993</v>
      </c>
      <c r="O90" s="18">
        <f ca="1">IF(OR(Registro_Ordini[[#This Row],[Price]]=0,Registro_Ordini[[#This Row],[Price]]=""),"",IF(Registro_Ordini[[#This Row],[Tipo]]="Sell",Registro_Ordini[[#This Row],[Prezzo]]/Registro_Ordini[[#This Row],[Price]]-1,Registro_Ordini[[#This Row],[Price]]/Registro_Ordini[[#This Row],[Prezzo]]-1))</f>
        <v>-2.2327074101231692E-2</v>
      </c>
      <c r="P90" s="15">
        <v>5.0482438963181123E-2</v>
      </c>
      <c r="Q90" s="3">
        <v>9.0303603801993759E-2</v>
      </c>
      <c r="R90" s="3">
        <v>0.12621419706511078</v>
      </c>
      <c r="S90" s="3">
        <v>0.66331636849453068</v>
      </c>
      <c r="T90" s="3">
        <v>0</v>
      </c>
      <c r="U90" s="3">
        <v>0.12016583063836475</v>
      </c>
      <c r="V90" s="3"/>
      <c r="W90" s="4"/>
    </row>
    <row r="91" spans="1:23" s="1" customFormat="1" ht="24.95" customHeight="1" x14ac:dyDescent="0.2">
      <c r="A91" s="8">
        <v>46065.728807870371</v>
      </c>
      <c r="B91" s="7">
        <v>46065.728807870371</v>
      </c>
      <c r="C91" s="9" t="s">
        <v>375</v>
      </c>
      <c r="D91" s="1" t="s">
        <v>388</v>
      </c>
      <c r="E91" s="1" t="s">
        <v>389</v>
      </c>
      <c r="F91" s="1" t="s">
        <v>4300</v>
      </c>
      <c r="G91" s="1" t="s">
        <v>371</v>
      </c>
      <c r="H91" s="2">
        <v>2800</v>
      </c>
      <c r="I91" s="17">
        <v>9.4100999999999999</v>
      </c>
      <c r="J91" s="1" t="s">
        <v>369</v>
      </c>
      <c r="K91" s="6">
        <f>Registro_Ordini[[#This Row],[Numero]]*Registro_Ordini[[#This Row],[Prezzo]]</f>
        <v>26348.28</v>
      </c>
      <c r="L91" s="10">
        <v>1.00000014</v>
      </c>
      <c r="M91" s="6">
        <f>Registro_Ordini[[#This Row],[Importo]]*Registro_Ordini[[#This Row],[Cambio]]</f>
        <v>26348.283688759198</v>
      </c>
      <c r="N91" s="1">
        <f ca="1">IFERROR(_xlfn.NUMBERVALUE(OFFSET(Origine,MATCH(Registro_Ordini[[#This Row],[Titolo]],Descrizioni,0),MATCH("Price",Intestazioni,0)-1,1,1)),"")</f>
        <v>9.1999999999999993</v>
      </c>
      <c r="O91" s="18">
        <f ca="1">IF(OR(Registro_Ordini[[#This Row],[Price]]=0,Registro_Ordini[[#This Row],[Price]]=""),"",IF(Registro_Ordini[[#This Row],[Tipo]]="Sell",Registro_Ordini[[#This Row],[Prezzo]]/Registro_Ordini[[#This Row],[Price]]-1,Registro_Ordini[[#This Row],[Price]]/Registro_Ordini[[#This Row],[Prezzo]]-1))</f>
        <v>-2.2327074101231692E-2</v>
      </c>
      <c r="P91" s="15">
        <v>2.9705610260650449E-2</v>
      </c>
      <c r="Q91" s="3">
        <v>8.3182133896992388E-2</v>
      </c>
      <c r="R91" s="3">
        <v>0.3233281677947562</v>
      </c>
      <c r="S91" s="3">
        <v>0.44864369200187398</v>
      </c>
      <c r="T91" s="3">
        <v>0</v>
      </c>
      <c r="U91" s="3">
        <v>0.1448460063063774</v>
      </c>
      <c r="V91" s="3"/>
      <c r="W91" s="4"/>
    </row>
    <row r="92" spans="1:23" s="1" customFormat="1" ht="24.95" customHeight="1" x14ac:dyDescent="0.2">
      <c r="A92" s="8">
        <v>46065.728796296295</v>
      </c>
      <c r="B92" s="7">
        <v>46065.728796296295</v>
      </c>
      <c r="C92" s="9" t="s">
        <v>376</v>
      </c>
      <c r="D92" s="1" t="s">
        <v>388</v>
      </c>
      <c r="E92" s="1" t="s">
        <v>389</v>
      </c>
      <c r="F92" s="1" t="s">
        <v>4300</v>
      </c>
      <c r="G92" s="1" t="s">
        <v>371</v>
      </c>
      <c r="H92" s="2">
        <v>900</v>
      </c>
      <c r="I92" s="17">
        <v>9.4100999999999999</v>
      </c>
      <c r="J92" s="1" t="s">
        <v>369</v>
      </c>
      <c r="K92" s="6">
        <f>Registro_Ordini[[#This Row],[Numero]]*Registro_Ordini[[#This Row],[Prezzo]]</f>
        <v>8469.09</v>
      </c>
      <c r="L92" s="10">
        <v>1.00000014</v>
      </c>
      <c r="M92" s="6">
        <f>Registro_Ordini[[#This Row],[Importo]]*Registro_Ordini[[#This Row],[Cambio]]</f>
        <v>8469.0911856725997</v>
      </c>
      <c r="N92" s="1">
        <f ca="1">IFERROR(_xlfn.NUMBERVALUE(OFFSET(Origine,MATCH(Registro_Ordini[[#This Row],[Titolo]],Descrizioni,0),MATCH("Price",Intestazioni,0)-1,1,1)),"")</f>
        <v>9.1999999999999993</v>
      </c>
      <c r="O92" s="18">
        <f ca="1">IF(OR(Registro_Ordini[[#This Row],[Price]]=0,Registro_Ordini[[#This Row],[Price]]=""),"",IF(Registro_Ordini[[#This Row],[Tipo]]="Sell",Registro_Ordini[[#This Row],[Prezzo]]/Registro_Ordini[[#This Row],[Price]]-1,Registro_Ordini[[#This Row],[Price]]/Registro_Ordini[[#This Row],[Prezzo]]-1))</f>
        <v>-2.2327074101231692E-2</v>
      </c>
      <c r="P92" s="15">
        <v>2.9782563358118706E-2</v>
      </c>
      <c r="Q92" s="3">
        <v>6.9745863267882735E-2</v>
      </c>
      <c r="R92" s="3">
        <v>0.26399430268559959</v>
      </c>
      <c r="S92" s="3">
        <v>0.48132155583548775</v>
      </c>
      <c r="T92" s="3">
        <v>0</v>
      </c>
      <c r="U92" s="3">
        <v>0.18493827821102984</v>
      </c>
      <c r="V92" s="3"/>
      <c r="W92" s="4"/>
    </row>
    <row r="93" spans="1:23" s="1" customFormat="1" ht="24.95" customHeight="1" x14ac:dyDescent="0.2">
      <c r="A93" s="8">
        <v>46065.728784722225</v>
      </c>
      <c r="B93" s="7">
        <v>46065.728784722225</v>
      </c>
      <c r="C93" s="9" t="s">
        <v>377</v>
      </c>
      <c r="D93" s="1" t="s">
        <v>388</v>
      </c>
      <c r="E93" s="1" t="s">
        <v>389</v>
      </c>
      <c r="F93" s="1" t="s">
        <v>4300</v>
      </c>
      <c r="G93" s="1" t="s">
        <v>371</v>
      </c>
      <c r="H93" s="2">
        <v>5500</v>
      </c>
      <c r="I93" s="17">
        <v>9.4100999999999999</v>
      </c>
      <c r="J93" s="1" t="s">
        <v>369</v>
      </c>
      <c r="K93" s="6">
        <f>Registro_Ordini[[#This Row],[Numero]]*Registro_Ordini[[#This Row],[Prezzo]]</f>
        <v>51755.55</v>
      </c>
      <c r="L93" s="10">
        <v>1.00000014</v>
      </c>
      <c r="M93" s="6">
        <f>Registro_Ordini[[#This Row],[Importo]]*Registro_Ordini[[#This Row],[Cambio]]</f>
        <v>51755.557245777003</v>
      </c>
      <c r="N93" s="1">
        <f ca="1">IFERROR(_xlfn.NUMBERVALUE(OFFSET(Origine,MATCH(Registro_Ordini[[#This Row],[Titolo]],Descrizioni,0),MATCH("Price",Intestazioni,0)-1,1,1)),"")</f>
        <v>9.1999999999999993</v>
      </c>
      <c r="O93" s="18">
        <f ca="1">IF(OR(Registro_Ordini[[#This Row],[Price]]=0,Registro_Ordini[[#This Row],[Price]]=""),"",IF(Registro_Ordini[[#This Row],[Tipo]]="Sell",Registro_Ordini[[#This Row],[Prezzo]]/Registro_Ordini[[#This Row],[Price]]-1,Registro_Ordini[[#This Row],[Price]]/Registro_Ordini[[#This Row],[Prezzo]]-1))</f>
        <v>-2.2327074101231692E-2</v>
      </c>
      <c r="P93" s="15">
        <v>2.9970116022590549E-2</v>
      </c>
      <c r="Q93" s="3">
        <v>8.2587283632408415E-2</v>
      </c>
      <c r="R93" s="3">
        <v>0.29700148495649958</v>
      </c>
      <c r="S93" s="3">
        <v>0.47543859704203151</v>
      </c>
      <c r="T93" s="3">
        <v>0</v>
      </c>
      <c r="U93" s="3">
        <v>0.1449726343690606</v>
      </c>
      <c r="V93" s="3"/>
      <c r="W93" s="4"/>
    </row>
    <row r="94" spans="1:23" s="1" customFormat="1" ht="24.95" customHeight="1" x14ac:dyDescent="0.2">
      <c r="A94" s="8">
        <v>46065.728773148148</v>
      </c>
      <c r="B94" s="7">
        <v>46065.728773148148</v>
      </c>
      <c r="C94" s="9" t="s">
        <v>378</v>
      </c>
      <c r="D94" s="1" t="s">
        <v>388</v>
      </c>
      <c r="E94" s="1" t="s">
        <v>389</v>
      </c>
      <c r="F94" s="1" t="s">
        <v>4300</v>
      </c>
      <c r="G94" s="1" t="s">
        <v>371</v>
      </c>
      <c r="H94" s="2">
        <v>1800</v>
      </c>
      <c r="I94" s="17">
        <v>9.4100999999999999</v>
      </c>
      <c r="J94" s="1" t="s">
        <v>369</v>
      </c>
      <c r="K94" s="6">
        <f>Registro_Ordini[[#This Row],[Numero]]*Registro_Ordini[[#This Row],[Prezzo]]</f>
        <v>16938.18</v>
      </c>
      <c r="L94" s="10">
        <v>1.00000014</v>
      </c>
      <c r="M94" s="6">
        <f>Registro_Ordini[[#This Row],[Importo]]*Registro_Ordini[[#This Row],[Cambio]]</f>
        <v>16938.182371345199</v>
      </c>
      <c r="N94" s="1">
        <f ca="1">IFERROR(_xlfn.NUMBERVALUE(OFFSET(Origine,MATCH(Registro_Ordini[[#This Row],[Titolo]],Descrizioni,0),MATCH("Price",Intestazioni,0)-1,1,1)),"")</f>
        <v>9.1999999999999993</v>
      </c>
      <c r="O94" s="18">
        <f ca="1">IF(OR(Registro_Ordini[[#This Row],[Price]]=0,Registro_Ordini[[#This Row],[Price]]=""),"",IF(Registro_Ordini[[#This Row],[Tipo]]="Sell",Registro_Ordini[[#This Row],[Prezzo]]/Registro_Ordini[[#This Row],[Price]]-1,Registro_Ordini[[#This Row],[Price]]/Registro_Ordini[[#This Row],[Prezzo]]-1))</f>
        <v>-2.2327074101231692E-2</v>
      </c>
      <c r="P94" s="15">
        <v>3.0158300914615247E-2</v>
      </c>
      <c r="Q94" s="3">
        <v>9.2931208711409835E-2</v>
      </c>
      <c r="R94" s="3">
        <v>0.28629134406092005</v>
      </c>
      <c r="S94" s="3">
        <v>0.48344020752015621</v>
      </c>
      <c r="T94" s="3">
        <v>0</v>
      </c>
      <c r="U94" s="3">
        <v>0.13733723970751405</v>
      </c>
      <c r="V94" s="3"/>
      <c r="W94" s="4"/>
    </row>
    <row r="95" spans="1:23" s="1" customFormat="1" ht="24.95" customHeight="1" x14ac:dyDescent="0.2">
      <c r="A95" s="8">
        <v>46065.727071759262</v>
      </c>
      <c r="B95" s="7">
        <v>46065.727071759262</v>
      </c>
      <c r="C95" s="9" t="s">
        <v>373</v>
      </c>
      <c r="D95" s="1" t="s">
        <v>362</v>
      </c>
      <c r="E95" s="1" t="s">
        <v>363</v>
      </c>
      <c r="F95" s="1" t="s">
        <v>364</v>
      </c>
      <c r="G95" s="1" t="s">
        <v>371</v>
      </c>
      <c r="H95" s="2">
        <v>14000</v>
      </c>
      <c r="I95" s="17">
        <v>1</v>
      </c>
      <c r="J95" s="1" t="s">
        <v>366</v>
      </c>
      <c r="K95" s="6">
        <f>Registro_Ordini[[#This Row],[Numero]]*Registro_Ordini[[#This Row],[Prezzo]]</f>
        <v>14000</v>
      </c>
      <c r="L95" s="10">
        <v>0.76915</v>
      </c>
      <c r="M95" s="6">
        <f>Registro_Ordini[[#This Row],[Importo]]*Registro_Ordini[[#This Row],[Cambio]]</f>
        <v>10768.1</v>
      </c>
      <c r="N95" s="1">
        <f ca="1">IFERROR(_xlfn.NUMBERVALUE(OFFSET(Origine,MATCH(Registro_Ordini[[#This Row],[Titolo]],Descrizioni,0),MATCH("Price",Intestazioni,0)-1,1,1)),"")</f>
        <v>0.78225</v>
      </c>
      <c r="O95" s="18">
        <f ca="1">IF(OR(Registro_Ordini[[#This Row],[Price]]=0,Registro_Ordini[[#This Row],[Price]]=""),"",IF(Registro_Ordini[[#This Row],[Tipo]]="Sell",Registro_Ordini[[#This Row],[Prezzo]]/Registro_Ordini[[#This Row],[Price]]-1,Registro_Ordini[[#This Row],[Price]]/Registro_Ordini[[#This Row],[Prezzo]]-1))</f>
        <v>-0.21775</v>
      </c>
      <c r="P95" s="15">
        <v>-1.5416245312210992E-2</v>
      </c>
      <c r="Q95" s="3">
        <v>0.46781692736986552</v>
      </c>
      <c r="R95" s="3">
        <v>0.2000204886572961</v>
      </c>
      <c r="S95" s="3">
        <v>0.23248532876558264</v>
      </c>
      <c r="T95" s="3">
        <v>0</v>
      </c>
      <c r="U95" s="3">
        <v>9.967725520725576E-2</v>
      </c>
      <c r="V95" s="3"/>
      <c r="W95" s="4"/>
    </row>
    <row r="96" spans="1:23" s="1" customFormat="1" ht="24.95" customHeight="1" x14ac:dyDescent="0.2">
      <c r="A96" s="8">
        <v>46065.725011574075</v>
      </c>
      <c r="B96" s="7">
        <v>46065.725011574075</v>
      </c>
      <c r="C96" s="9" t="s">
        <v>373</v>
      </c>
      <c r="D96" s="1" t="s">
        <v>388</v>
      </c>
      <c r="E96" s="1" t="s">
        <v>389</v>
      </c>
      <c r="F96" s="1" t="s">
        <v>4300</v>
      </c>
      <c r="G96" s="1" t="s">
        <v>371</v>
      </c>
      <c r="H96" s="2">
        <v>750</v>
      </c>
      <c r="I96" s="17">
        <v>9.4528999999999996</v>
      </c>
      <c r="J96" s="1" t="s">
        <v>369</v>
      </c>
      <c r="K96" s="6">
        <f>Registro_Ordini[[#This Row],[Numero]]*Registro_Ordini[[#This Row],[Prezzo]]</f>
        <v>7089.6749999999993</v>
      </c>
      <c r="L96" s="10">
        <v>1.00000014</v>
      </c>
      <c r="M96" s="6">
        <f>Registro_Ordini[[#This Row],[Importo]]*Registro_Ordini[[#This Row],[Cambio]]</f>
        <v>7089.6759925544993</v>
      </c>
      <c r="N96" s="1">
        <f ca="1">IFERROR(_xlfn.NUMBERVALUE(OFFSET(Origine,MATCH(Registro_Ordini[[#This Row],[Titolo]],Descrizioni,0),MATCH("Price",Intestazioni,0)-1,1,1)),"")</f>
        <v>9.1999999999999993</v>
      </c>
      <c r="O96" s="18">
        <f ca="1">IF(OR(Registro_Ordini[[#This Row],[Price]]=0,Registro_Ordini[[#This Row],[Price]]=""),"",IF(Registro_Ordini[[#This Row],[Tipo]]="Sell",Registro_Ordini[[#This Row],[Prezzo]]/Registro_Ordini[[#This Row],[Price]]-1,Registro_Ordini[[#This Row],[Price]]/Registro_Ordini[[#This Row],[Prezzo]]-1))</f>
        <v>-2.6753694633392944E-2</v>
      </c>
      <c r="P96" s="15">
        <v>9.7438559534510725E-3</v>
      </c>
      <c r="Q96" s="3">
        <v>0.45117573246102405</v>
      </c>
      <c r="R96" s="3">
        <v>0.20601765839861758</v>
      </c>
      <c r="S96" s="3">
        <v>0.23958392027920394</v>
      </c>
      <c r="T96" s="3">
        <v>0</v>
      </c>
      <c r="U96" s="3">
        <v>0.10322268886115449</v>
      </c>
      <c r="V96" s="3"/>
      <c r="W96" s="4"/>
    </row>
    <row r="97" spans="1:23" s="1" customFormat="1" ht="24.95" customHeight="1" x14ac:dyDescent="0.2">
      <c r="A97" s="8">
        <v>46065.724664351852</v>
      </c>
      <c r="B97" s="7">
        <v>46065.724664351852</v>
      </c>
      <c r="C97" s="9" t="s">
        <v>373</v>
      </c>
      <c r="D97" s="1" t="s">
        <v>388</v>
      </c>
      <c r="E97" s="1" t="s">
        <v>389</v>
      </c>
      <c r="F97" s="1" t="s">
        <v>430</v>
      </c>
      <c r="G97" s="1" t="s">
        <v>371</v>
      </c>
      <c r="H97" s="2">
        <v>310</v>
      </c>
      <c r="I97" s="17">
        <v>45.66</v>
      </c>
      <c r="J97" s="1" t="s">
        <v>366</v>
      </c>
      <c r="K97" s="6">
        <f>Registro_Ordini[[#This Row],[Numero]]*Registro_Ordini[[#This Row],[Prezzo]]</f>
        <v>14154.599999999999</v>
      </c>
      <c r="L97" s="10">
        <v>0.76905000000000001</v>
      </c>
      <c r="M97" s="6">
        <f>Registro_Ordini[[#This Row],[Importo]]*Registro_Ordini[[#This Row],[Cambio]]</f>
        <v>10885.59513</v>
      </c>
      <c r="N97" s="1">
        <f ca="1">IFERROR(_xlfn.NUMBERVALUE(OFFSET(Origine,MATCH(Registro_Ordini[[#This Row],[Titolo]],Descrizioni,0),MATCH("Price",Intestazioni,0)-1,1,1)),"")</f>
        <v>46.79</v>
      </c>
      <c r="O97" s="18">
        <f ca="1">IF(OR(Registro_Ordini[[#This Row],[Price]]=0,Registro_Ordini[[#This Row],[Price]]=""),"",IF(Registro_Ordini[[#This Row],[Tipo]]="Sell",Registro_Ordini[[#This Row],[Prezzo]]/Registro_Ordini[[#This Row],[Price]]-1,Registro_Ordini[[#This Row],[Price]]/Registro_Ordini[[#This Row],[Prezzo]]-1))</f>
        <v>2.4748138414367071E-2</v>
      </c>
      <c r="P97" s="15">
        <v>1.4962465550552485E-2</v>
      </c>
      <c r="Q97" s="3">
        <v>0.46096524293554431</v>
      </c>
      <c r="R97" s="3">
        <v>0.20603972685471944</v>
      </c>
      <c r="S97" s="3">
        <v>0.22973247268669997</v>
      </c>
      <c r="T97" s="3">
        <v>0</v>
      </c>
      <c r="U97" s="3">
        <v>0.10326255752303627</v>
      </c>
      <c r="V97" s="3"/>
      <c r="W97" s="4"/>
    </row>
    <row r="98" spans="1:23" s="1" customFormat="1" ht="24.95" customHeight="1" x14ac:dyDescent="0.2">
      <c r="A98" s="8">
        <v>46065.720856481479</v>
      </c>
      <c r="B98" s="7">
        <v>46065.720856481479</v>
      </c>
      <c r="C98" s="9" t="s">
        <v>367</v>
      </c>
      <c r="D98" s="1" t="s">
        <v>388</v>
      </c>
      <c r="E98" s="1" t="s">
        <v>389</v>
      </c>
      <c r="F98" s="1" t="s">
        <v>430</v>
      </c>
      <c r="G98" s="1" t="s">
        <v>371</v>
      </c>
      <c r="H98" s="2">
        <v>1550</v>
      </c>
      <c r="I98" s="17">
        <v>45.616500000000002</v>
      </c>
      <c r="J98" s="1" t="s">
        <v>366</v>
      </c>
      <c r="K98" s="6">
        <f>Registro_Ordini[[#This Row],[Numero]]*Registro_Ordini[[#This Row],[Prezzo]]</f>
        <v>70705.574999999997</v>
      </c>
      <c r="L98" s="10">
        <v>0.76915</v>
      </c>
      <c r="M98" s="6">
        <f>Registro_Ordini[[#This Row],[Importo]]*Registro_Ordini[[#This Row],[Cambio]]</f>
        <v>54383.193011249998</v>
      </c>
      <c r="N98" s="1">
        <f ca="1">IFERROR(_xlfn.NUMBERVALUE(OFFSET(Origine,MATCH(Registro_Ordini[[#This Row],[Titolo]],Descrizioni,0),MATCH("Price",Intestazioni,0)-1,1,1)),"")</f>
        <v>46.79</v>
      </c>
      <c r="O98" s="18">
        <f ca="1">IF(OR(Registro_Ordini[[#This Row],[Price]]=0,Registro_Ordini[[#This Row],[Price]]=""),"",IF(Registro_Ordini[[#This Row],[Tipo]]="Sell",Registro_Ordini[[#This Row],[Prezzo]]/Registro_Ordini[[#This Row],[Price]]-1,Registro_Ordini[[#This Row],[Price]]/Registro_Ordini[[#This Row],[Prezzo]]-1))</f>
        <v>2.5725340611401526E-2</v>
      </c>
      <c r="P98" s="15">
        <v>1.5141320635984451E-2</v>
      </c>
      <c r="Q98" s="3">
        <v>0.10861804700215101</v>
      </c>
      <c r="R98" s="3">
        <v>0.36300176394797667</v>
      </c>
      <c r="S98" s="3">
        <v>0.42923520117321795</v>
      </c>
      <c r="T98" s="3">
        <v>0</v>
      </c>
      <c r="U98" s="3">
        <v>9.9144987876654406E-2</v>
      </c>
      <c r="V98" s="3"/>
      <c r="W98" s="4"/>
    </row>
    <row r="99" spans="1:23" s="1" customFormat="1" ht="24.95" customHeight="1" x14ac:dyDescent="0.2">
      <c r="A99" s="8">
        <v>46065.711238425924</v>
      </c>
      <c r="B99" s="7">
        <v>46065.711238425924</v>
      </c>
      <c r="C99" s="9" t="s">
        <v>373</v>
      </c>
      <c r="D99" s="1" t="s">
        <v>388</v>
      </c>
      <c r="E99" s="1" t="s">
        <v>397</v>
      </c>
      <c r="F99" s="1" t="s">
        <v>485</v>
      </c>
      <c r="G99" s="1" t="s">
        <v>365</v>
      </c>
      <c r="H99" s="2">
        <v>-90</v>
      </c>
      <c r="I99" s="17">
        <v>70.900000000000006</v>
      </c>
      <c r="J99" s="1" t="s">
        <v>369</v>
      </c>
      <c r="K99" s="6">
        <f>Registro_Ordini[[#This Row],[Numero]]*Registro_Ordini[[#This Row],[Prezzo]]</f>
        <v>-6381.0000000000009</v>
      </c>
      <c r="L99" s="10">
        <v>1.00000014</v>
      </c>
      <c r="M99" s="6">
        <f>Registro_Ordini[[#This Row],[Importo]]*Registro_Ordini[[#This Row],[Cambio]]</f>
        <v>-6381.0008933400013</v>
      </c>
      <c r="N99" s="1">
        <f ca="1">IFERROR(_xlfn.NUMBERVALUE(OFFSET(Origine,MATCH(Registro_Ordini[[#This Row],[Titolo]],Descrizioni,0),MATCH("Price",Intestazioni,0)-1,1,1)),"")</f>
        <v>66.959999999999994</v>
      </c>
      <c r="O99" s="18">
        <f ca="1">IF(OR(Registro_Ordini[[#This Row],[Price]]=0,Registro_Ordini[[#This Row],[Price]]=""),"",IF(Registro_Ordini[[#This Row],[Tipo]]="Sell",Registro_Ordini[[#This Row],[Prezzo]]/Registro_Ordini[[#This Row],[Price]]-1,Registro_Ordini[[#This Row],[Price]]/Registro_Ordini[[#This Row],[Prezzo]]-1))</f>
        <v>5.8841099163680077E-2</v>
      </c>
      <c r="P99" s="15">
        <v>-8.8041296403749275E-3</v>
      </c>
      <c r="Q99" s="3">
        <v>0.47557402305888119</v>
      </c>
      <c r="R99" s="3">
        <v>0.20591373926276582</v>
      </c>
      <c r="S99" s="3">
        <v>0.21526612583010701</v>
      </c>
      <c r="T99" s="3">
        <v>0</v>
      </c>
      <c r="U99" s="3">
        <v>0.10324611184824596</v>
      </c>
      <c r="V99" s="3"/>
      <c r="W99" s="4"/>
    </row>
    <row r="100" spans="1:23" s="1" customFormat="1" ht="24.95" customHeight="1" x14ac:dyDescent="0.2">
      <c r="A100" s="8">
        <v>46065.687858796293</v>
      </c>
      <c r="B100" s="7">
        <v>46065.687858796293</v>
      </c>
      <c r="C100" s="9" t="s">
        <v>375</v>
      </c>
      <c r="D100" s="1" t="s">
        <v>388</v>
      </c>
      <c r="E100" s="1" t="s">
        <v>389</v>
      </c>
      <c r="F100" s="1" t="s">
        <v>462</v>
      </c>
      <c r="G100" s="1" t="s">
        <v>365</v>
      </c>
      <c r="H100" s="2">
        <v>-100</v>
      </c>
      <c r="I100" s="17">
        <v>53.12</v>
      </c>
      <c r="J100" s="1" t="s">
        <v>366</v>
      </c>
      <c r="K100" s="6">
        <f>Registro_Ordini[[#This Row],[Numero]]*Registro_Ordini[[#This Row],[Prezzo]]</f>
        <v>-5312</v>
      </c>
      <c r="L100" s="10">
        <v>0.76775000000000004</v>
      </c>
      <c r="M100" s="6">
        <f>Registro_Ordini[[#This Row],[Importo]]*Registro_Ordini[[#This Row],[Cambio]]</f>
        <v>-4078.288</v>
      </c>
      <c r="N100" s="1">
        <f ca="1">IFERROR(_xlfn.NUMBERVALUE(OFFSET(Origine,MATCH(Registro_Ordini[[#This Row],[Titolo]],Descrizioni,0),MATCH("Price",Intestazioni,0)-1,1,1)),"")</f>
        <v>53.88</v>
      </c>
      <c r="O100" s="18">
        <f ca="1">IF(OR(Registro_Ordini[[#This Row],[Price]]=0,Registro_Ordini[[#This Row],[Price]]=""),"",IF(Registro_Ordini[[#This Row],[Tipo]]="Sell",Registro_Ordini[[#This Row],[Prezzo]]/Registro_Ordini[[#This Row],[Price]]-1,Registro_Ordini[[#This Row],[Price]]/Registro_Ordini[[#This Row],[Prezzo]]-1))</f>
        <v>-1.4105419450631151E-2</v>
      </c>
      <c r="P100" s="15">
        <v>-4.5818029296043764E-3</v>
      </c>
      <c r="Q100" s="3">
        <v>0.11245163424447581</v>
      </c>
      <c r="R100" s="3">
        <v>0.32224902972348268</v>
      </c>
      <c r="S100" s="3">
        <v>0.41905316877741605</v>
      </c>
      <c r="T100" s="3">
        <v>0</v>
      </c>
      <c r="U100" s="3">
        <v>0.14624616725462539</v>
      </c>
      <c r="V100" s="3"/>
      <c r="W100" s="4"/>
    </row>
    <row r="101" spans="1:23" s="1" customFormat="1" ht="24.95" customHeight="1" x14ac:dyDescent="0.2">
      <c r="A101" s="8">
        <v>46065.687847222223</v>
      </c>
      <c r="B101" s="7">
        <v>46065.687847222223</v>
      </c>
      <c r="C101" s="9" t="s">
        <v>376</v>
      </c>
      <c r="D101" s="1" t="s">
        <v>388</v>
      </c>
      <c r="E101" s="1" t="s">
        <v>389</v>
      </c>
      <c r="F101" s="1" t="s">
        <v>462</v>
      </c>
      <c r="G101" s="1" t="s">
        <v>365</v>
      </c>
      <c r="H101" s="2">
        <v>-45</v>
      </c>
      <c r="I101" s="17">
        <v>53.12</v>
      </c>
      <c r="J101" s="1" t="s">
        <v>366</v>
      </c>
      <c r="K101" s="6">
        <f>Registro_Ordini[[#This Row],[Numero]]*Registro_Ordini[[#This Row],[Prezzo]]</f>
        <v>-2390.4</v>
      </c>
      <c r="L101" s="10">
        <v>0.76775000000000004</v>
      </c>
      <c r="M101" s="6">
        <f>Registro_Ordini[[#This Row],[Importo]]*Registro_Ordini[[#This Row],[Cambio]]</f>
        <v>-1835.2296000000001</v>
      </c>
      <c r="N101" s="1">
        <f ca="1">IFERROR(_xlfn.NUMBERVALUE(OFFSET(Origine,MATCH(Registro_Ordini[[#This Row],[Titolo]],Descrizioni,0),MATCH("Price",Intestazioni,0)-1,1,1)),"")</f>
        <v>53.88</v>
      </c>
      <c r="O101" s="18">
        <f ca="1">IF(OR(Registro_Ordini[[#This Row],[Price]]=0,Registro_Ordini[[#This Row],[Price]]=""),"",IF(Registro_Ordini[[#This Row],[Tipo]]="Sell",Registro_Ordini[[#This Row],[Prezzo]]/Registro_Ordini[[#This Row],[Price]]-1,Registro_Ordini[[#This Row],[Price]]/Registro_Ordini[[#This Row],[Prezzo]]-1))</f>
        <v>-1.4105419450631151E-2</v>
      </c>
      <c r="P101" s="15">
        <v>-6.4251540874124356E-3</v>
      </c>
      <c r="Q101" s="3">
        <v>9.9052025595401869E-2</v>
      </c>
      <c r="R101" s="3">
        <v>0.26290995801485018</v>
      </c>
      <c r="S101" s="3">
        <v>0.4513733008747377</v>
      </c>
      <c r="T101" s="3">
        <v>0</v>
      </c>
      <c r="U101" s="3">
        <v>0.18666471551501035</v>
      </c>
      <c r="V101" s="3"/>
      <c r="W101" s="4"/>
    </row>
    <row r="102" spans="1:23" s="1" customFormat="1" ht="24.95" customHeight="1" x14ac:dyDescent="0.2">
      <c r="A102" s="8">
        <v>46065.687835648147</v>
      </c>
      <c r="B102" s="7">
        <v>46065.687835648147</v>
      </c>
      <c r="C102" s="9" t="s">
        <v>377</v>
      </c>
      <c r="D102" s="1" t="s">
        <v>388</v>
      </c>
      <c r="E102" s="1" t="s">
        <v>389</v>
      </c>
      <c r="F102" s="1" t="s">
        <v>462</v>
      </c>
      <c r="G102" s="1" t="s">
        <v>365</v>
      </c>
      <c r="H102" s="2">
        <v>-225</v>
      </c>
      <c r="I102" s="17">
        <v>53.12</v>
      </c>
      <c r="J102" s="1" t="s">
        <v>366</v>
      </c>
      <c r="K102" s="6">
        <f>Registro_Ordini[[#This Row],[Numero]]*Registro_Ordini[[#This Row],[Prezzo]]</f>
        <v>-11952</v>
      </c>
      <c r="L102" s="10">
        <v>0.76775000000000004</v>
      </c>
      <c r="M102" s="6">
        <f>Registro_Ordini[[#This Row],[Importo]]*Registro_Ordini[[#This Row],[Cambio]]</f>
        <v>-9176.148000000001</v>
      </c>
      <c r="N102" s="1">
        <f ca="1">IFERROR(_xlfn.NUMBERVALUE(OFFSET(Origine,MATCH(Registro_Ordini[[#This Row],[Titolo]],Descrizioni,0),MATCH("Price",Intestazioni,0)-1,1,1)),"")</f>
        <v>53.88</v>
      </c>
      <c r="O102" s="18">
        <f ca="1">IF(OR(Registro_Ordini[[#This Row],[Price]]=0,Registro_Ordini[[#This Row],[Price]]=""),"",IF(Registro_Ordini[[#This Row],[Tipo]]="Sell",Registro_Ordini[[#This Row],[Prezzo]]/Registro_Ordini[[#This Row],[Price]]-1,Registro_Ordini[[#This Row],[Price]]/Registro_Ordini[[#This Row],[Prezzo]]-1))</f>
        <v>-1.4105419450631151E-2</v>
      </c>
      <c r="P102" s="15">
        <v>-5.3020825962454927E-3</v>
      </c>
      <c r="Q102" s="3">
        <v>0.11222882863915144</v>
      </c>
      <c r="R102" s="3">
        <v>0.29642791282072689</v>
      </c>
      <c r="S102" s="3">
        <v>0.44620395720796735</v>
      </c>
      <c r="T102" s="3">
        <v>0</v>
      </c>
      <c r="U102" s="3">
        <v>0.14513930133215441</v>
      </c>
      <c r="V102" s="3"/>
      <c r="W102" s="4"/>
    </row>
    <row r="103" spans="1:23" s="1" customFormat="1" ht="24.95" customHeight="1" x14ac:dyDescent="0.2">
      <c r="A103" s="8">
        <v>46065.687824074077</v>
      </c>
      <c r="B103" s="7">
        <v>46065.687824074077</v>
      </c>
      <c r="C103" s="9" t="s">
        <v>378</v>
      </c>
      <c r="D103" s="1" t="s">
        <v>388</v>
      </c>
      <c r="E103" s="1" t="s">
        <v>389</v>
      </c>
      <c r="F103" s="1" t="s">
        <v>462</v>
      </c>
      <c r="G103" s="1" t="s">
        <v>365</v>
      </c>
      <c r="H103" s="2">
        <v>-75</v>
      </c>
      <c r="I103" s="17">
        <v>53.12</v>
      </c>
      <c r="J103" s="1" t="s">
        <v>366</v>
      </c>
      <c r="K103" s="6">
        <f>Registro_Ordini[[#This Row],[Numero]]*Registro_Ordini[[#This Row],[Prezzo]]</f>
        <v>-3984</v>
      </c>
      <c r="L103" s="10">
        <v>0.76775000000000004</v>
      </c>
      <c r="M103" s="6">
        <f>Registro_Ordini[[#This Row],[Importo]]*Registro_Ordini[[#This Row],[Cambio]]</f>
        <v>-3058.7160000000003</v>
      </c>
      <c r="N103" s="1">
        <f ca="1">IFERROR(_xlfn.NUMBERVALUE(OFFSET(Origine,MATCH(Registro_Ordini[[#This Row],[Titolo]],Descrizioni,0),MATCH("Price",Intestazioni,0)-1,1,1)),"")</f>
        <v>53.88</v>
      </c>
      <c r="O103" s="18">
        <f ca="1">IF(OR(Registro_Ordini[[#This Row],[Price]]=0,Registro_Ordini[[#This Row],[Price]]=""),"",IF(Registro_Ordini[[#This Row],[Tipo]]="Sell",Registro_Ordini[[#This Row],[Prezzo]]/Registro_Ordini[[#This Row],[Price]]-1,Registro_Ordini[[#This Row],[Price]]/Registro_Ordini[[#This Row],[Prezzo]]-1))</f>
        <v>-1.4105419450631151E-2</v>
      </c>
      <c r="P103" s="15">
        <v>-5.4256821911363986E-3</v>
      </c>
      <c r="Q103" s="3">
        <v>0.12258785429496336</v>
      </c>
      <c r="R103" s="3">
        <v>0.28530203800903897</v>
      </c>
      <c r="S103" s="3">
        <v>0.45328739737091334</v>
      </c>
      <c r="T103" s="3">
        <v>0</v>
      </c>
      <c r="U103" s="3">
        <v>0.13882271032508436</v>
      </c>
      <c r="V103" s="3"/>
      <c r="W103" s="4"/>
    </row>
    <row r="104" spans="1:23" s="1" customFormat="1" ht="24.95" customHeight="1" x14ac:dyDescent="0.2">
      <c r="A104" s="8">
        <v>46065.683055555557</v>
      </c>
      <c r="B104" s="7">
        <v>46065.683055555557</v>
      </c>
      <c r="C104" s="9" t="s">
        <v>367</v>
      </c>
      <c r="D104" s="1" t="s">
        <v>388</v>
      </c>
      <c r="E104" s="1" t="s">
        <v>389</v>
      </c>
      <c r="F104" s="1" t="s">
        <v>4300</v>
      </c>
      <c r="G104" s="1" t="s">
        <v>371</v>
      </c>
      <c r="H104" s="2">
        <v>3800</v>
      </c>
      <c r="I104" s="17">
        <v>9.4489999999999998</v>
      </c>
      <c r="J104" s="1" t="s">
        <v>369</v>
      </c>
      <c r="K104" s="6">
        <f>Registro_Ordini[[#This Row],[Numero]]*Registro_Ordini[[#This Row],[Prezzo]]</f>
        <v>35906.199999999997</v>
      </c>
      <c r="L104" s="10">
        <v>1.00000014</v>
      </c>
      <c r="M104" s="6">
        <f>Registro_Ordini[[#This Row],[Importo]]*Registro_Ordini[[#This Row],[Cambio]]</f>
        <v>35906.205026867996</v>
      </c>
      <c r="N104" s="1">
        <f ca="1">IFERROR(_xlfn.NUMBERVALUE(OFFSET(Origine,MATCH(Registro_Ordini[[#This Row],[Titolo]],Descrizioni,0),MATCH("Price",Intestazioni,0)-1,1,1)),"")</f>
        <v>9.1999999999999993</v>
      </c>
      <c r="O104" s="18">
        <f ca="1">IF(OR(Registro_Ordini[[#This Row],[Price]]=0,Registro_Ordini[[#This Row],[Price]]=""),"",IF(Registro_Ordini[[#This Row],[Tipo]]="Sell",Registro_Ordini[[#This Row],[Prezzo]]/Registro_Ordini[[#This Row],[Price]]-1,Registro_Ordini[[#This Row],[Price]]/Registro_Ordini[[#This Row],[Prezzo]]-1))</f>
        <v>-2.6351994920097432E-2</v>
      </c>
      <c r="P104" s="15">
        <v>9.987210587716561E-3</v>
      </c>
      <c r="Q104" s="3">
        <v>0.12353855240727496</v>
      </c>
      <c r="R104" s="3">
        <v>0.36264029169352252</v>
      </c>
      <c r="S104" s="3">
        <v>0.41454546332901576</v>
      </c>
      <c r="T104" s="3">
        <v>0</v>
      </c>
      <c r="U104" s="3">
        <v>9.9275692570186841E-2</v>
      </c>
      <c r="V104" s="3"/>
      <c r="W104" s="4"/>
    </row>
    <row r="105" spans="1:23" s="1" customFormat="1" ht="24.95" customHeight="1" x14ac:dyDescent="0.2">
      <c r="A105" s="738">
        <v>46065.613668981481</v>
      </c>
      <c r="B105" s="739">
        <v>46065.613668981481</v>
      </c>
      <c r="C105" s="611" t="s">
        <v>373</v>
      </c>
      <c r="D105" s="142" t="s">
        <v>388</v>
      </c>
      <c r="E105" s="142" t="s">
        <v>397</v>
      </c>
      <c r="F105" s="142" t="s">
        <v>440</v>
      </c>
      <c r="G105" s="142" t="s">
        <v>371</v>
      </c>
      <c r="H105" s="740">
        <v>30</v>
      </c>
      <c r="I105" s="741">
        <v>136.4</v>
      </c>
      <c r="J105" s="142" t="s">
        <v>369</v>
      </c>
      <c r="K105" s="617">
        <f>Registro_Ordini[[#This Row],[Numero]]*Registro_Ordini[[#This Row],[Prezzo]]</f>
        <v>4092</v>
      </c>
      <c r="L105" s="742">
        <v>1.00000014</v>
      </c>
      <c r="M105" s="617">
        <f>Registro_Ordini[[#This Row],[Importo]]*Registro_Ordini[[#This Row],[Cambio]]</f>
        <v>4092.0005728800002</v>
      </c>
      <c r="N105" s="142">
        <f ca="1">IFERROR(_xlfn.NUMBERVALUE(OFFSET(Origine,MATCH(Registro_Ordini[[#This Row],[Titolo]],Descrizioni,0),MATCH("Price",Intestazioni,0)-1,1,1)),"")</f>
        <v>144.5</v>
      </c>
      <c r="O105" s="734">
        <f ca="1">IF(OR(Registro_Ordini[[#This Row],[Price]]=0,Registro_Ordini[[#This Row],[Price]]=""),"",IF(Registro_Ordini[[#This Row],[Tipo]]="Sell",Registro_Ordini[[#This Row],[Prezzo]]/Registro_Ordini[[#This Row],[Price]]-1,Registro_Ordini[[#This Row],[Price]]/Registro_Ordini[[#This Row],[Prezzo]]-1))</f>
        <v>5.9384164222873848E-2</v>
      </c>
      <c r="P105" s="743">
        <v>5.6153990114328192E-3</v>
      </c>
      <c r="Q105" s="744">
        <v>0.48631962510797366</v>
      </c>
      <c r="R105" s="744">
        <v>0.20578050740831039</v>
      </c>
      <c r="S105" s="744">
        <v>0.20451453080476334</v>
      </c>
      <c r="T105" s="744">
        <v>0</v>
      </c>
      <c r="U105" s="744">
        <v>0.1033853366789526</v>
      </c>
      <c r="V105" s="744"/>
      <c r="W105" s="745"/>
    </row>
    <row r="106" spans="1:23" s="1" customFormat="1" ht="24.95" customHeight="1" x14ac:dyDescent="0.2">
      <c r="A106" s="8">
        <v>46063.726631944446</v>
      </c>
      <c r="B106" s="7">
        <v>46063.726631944446</v>
      </c>
      <c r="C106" s="9" t="s">
        <v>78</v>
      </c>
      <c r="D106" s="1" t="s">
        <v>388</v>
      </c>
      <c r="E106" s="1" t="s">
        <v>397</v>
      </c>
      <c r="F106" s="1" t="s">
        <v>753</v>
      </c>
      <c r="G106" s="1" t="s">
        <v>365</v>
      </c>
      <c r="H106" s="2">
        <v>-150</v>
      </c>
      <c r="I106" s="17">
        <v>45.26</v>
      </c>
      <c r="J106" s="1" t="s">
        <v>369</v>
      </c>
      <c r="K106" s="6">
        <f>Registro_Ordini[[#This Row],[Numero]]*Registro_Ordini[[#This Row],[Prezzo]]</f>
        <v>-6789</v>
      </c>
      <c r="L106" s="10">
        <v>1.00000014</v>
      </c>
      <c r="M106" s="6">
        <f>Registro_Ordini[[#This Row],[Importo]]*Registro_Ordini[[#This Row],[Cambio]]</f>
        <v>-6789.0009504600002</v>
      </c>
      <c r="N106" s="1">
        <f ca="1">IFERROR(_xlfn.NUMBERVALUE(OFFSET(Origine,MATCH(Registro_Ordini[[#This Row],[Titolo]],Descrizioni,0),MATCH("Price",Intestazioni,0)-1,1,1)),"")</f>
        <v>47.8</v>
      </c>
      <c r="O106" s="18">
        <f ca="1">IF(OR(Registro_Ordini[[#This Row],[Price]]=0,Registro_Ordini[[#This Row],[Price]]=""),"",IF(Registro_Ordini[[#This Row],[Tipo]]="Sell",Registro_Ordini[[#This Row],[Prezzo]]/Registro_Ordini[[#This Row],[Price]]-1,Registro_Ordini[[#This Row],[Price]]/Registro_Ordini[[#This Row],[Prezzo]]-1))</f>
        <v>-5.3138075313807542E-2</v>
      </c>
      <c r="P106" s="15">
        <v>-1.0685170374071934E-2</v>
      </c>
      <c r="Q106" s="3">
        <v>0.14040126480208068</v>
      </c>
      <c r="R106" s="3">
        <v>0.12574229486699418</v>
      </c>
      <c r="S106" s="3">
        <v>0.61292373124793564</v>
      </c>
      <c r="T106" s="3">
        <v>0</v>
      </c>
      <c r="U106" s="3">
        <v>0.1209327090829895</v>
      </c>
      <c r="V106" s="3"/>
      <c r="W106" s="4"/>
    </row>
    <row r="107" spans="1:23" s="1" customFormat="1" ht="24.95" customHeight="1" x14ac:dyDescent="0.2">
      <c r="A107" s="8">
        <v>46063.726631944446</v>
      </c>
      <c r="B107" s="7">
        <v>46063.726631944446</v>
      </c>
      <c r="C107" s="611" t="s">
        <v>156</v>
      </c>
      <c r="D107" s="142" t="s">
        <v>388</v>
      </c>
      <c r="E107" s="142" t="s">
        <v>397</v>
      </c>
      <c r="F107" s="142" t="s">
        <v>753</v>
      </c>
      <c r="G107" s="142" t="s">
        <v>365</v>
      </c>
      <c r="H107" s="740">
        <v>-160</v>
      </c>
      <c r="I107" s="741">
        <v>45.26</v>
      </c>
      <c r="J107" s="142" t="s">
        <v>369</v>
      </c>
      <c r="K107" s="617">
        <f>Registro_Ordini[[#This Row],[Numero]]*Registro_Ordini[[#This Row],[Prezzo]]</f>
        <v>-7241.5999999999995</v>
      </c>
      <c r="L107" s="742">
        <v>1.00000014</v>
      </c>
      <c r="M107" s="617">
        <f>Registro_Ordini[[#This Row],[Importo]]*Registro_Ordini[[#This Row],[Cambio]]</f>
        <v>-7241.6010138239999</v>
      </c>
      <c r="N107" s="142">
        <f ca="1">IFERROR(_xlfn.NUMBERVALUE(OFFSET(Origine,MATCH(Registro_Ordini[[#This Row],[Titolo]],Descrizioni,0),MATCH("Price",Intestazioni,0)-1,1,1)),"")</f>
        <v>47.8</v>
      </c>
      <c r="O107" s="734">
        <f ca="1">IF(OR(Registro_Ordini[[#This Row],[Price]]=0,Registro_Ordini[[#This Row],[Price]]=""),"",IF(Registro_Ordini[[#This Row],[Tipo]]="Sell",Registro_Ordini[[#This Row],[Prezzo]]/Registro_Ordini[[#This Row],[Price]]-1,Registro_Ordini[[#This Row],[Price]]/Registro_Ordini[[#This Row],[Prezzo]]-1))</f>
        <v>-5.3138075313807542E-2</v>
      </c>
      <c r="P107" s="743">
        <v>-1.0099279949693873E-2</v>
      </c>
      <c r="Q107" s="744">
        <v>0.36355278881744713</v>
      </c>
      <c r="R107" s="744">
        <v>0.18807093255079227</v>
      </c>
      <c r="S107" s="744">
        <v>0.28042246523896164</v>
      </c>
      <c r="T107" s="744">
        <v>0</v>
      </c>
      <c r="U107" s="744">
        <v>0.16795381339279888</v>
      </c>
      <c r="V107" s="744"/>
      <c r="W107" s="745"/>
    </row>
    <row r="108" spans="1:23" s="1" customFormat="1" ht="24.95" customHeight="1" x14ac:dyDescent="0.2">
      <c r="A108" s="8">
        <v>46063.726574074077</v>
      </c>
      <c r="B108" s="7">
        <v>46063.726574074077</v>
      </c>
      <c r="C108" s="9" t="s">
        <v>373</v>
      </c>
      <c r="D108" s="1" t="s">
        <v>388</v>
      </c>
      <c r="E108" s="1" t="s">
        <v>397</v>
      </c>
      <c r="F108" s="1" t="s">
        <v>753</v>
      </c>
      <c r="G108" s="1" t="s">
        <v>365</v>
      </c>
      <c r="H108" s="2">
        <v>-90</v>
      </c>
      <c r="I108" s="17">
        <v>44.12</v>
      </c>
      <c r="J108" s="1" t="s">
        <v>369</v>
      </c>
      <c r="K108" s="6">
        <f>Registro_Ordini[[#This Row],[Numero]]*Registro_Ordini[[#This Row],[Prezzo]]</f>
        <v>-3970.7999999999997</v>
      </c>
      <c r="L108" s="10">
        <v>1.00000014</v>
      </c>
      <c r="M108" s="6">
        <f>Registro_Ordini[[#This Row],[Importo]]*Registro_Ordini[[#This Row],[Cambio]]</f>
        <v>-3970.8005559119997</v>
      </c>
      <c r="N108" s="1">
        <f ca="1">IFERROR(_xlfn.NUMBERVALUE(OFFSET(Origine,MATCH(Registro_Ordini[[#This Row],[Titolo]],Descrizioni,0),MATCH("Price",Intestazioni,0)-1,1,1)),"")</f>
        <v>47.8</v>
      </c>
      <c r="O108" s="18">
        <f ca="1">IF(OR(Registro_Ordini[[#This Row],[Price]]=0,Registro_Ordini[[#This Row],[Price]]=""),"",IF(Registro_Ordini[[#This Row],[Tipo]]="Sell",Registro_Ordini[[#This Row],[Prezzo]]/Registro_Ordini[[#This Row],[Price]]-1,Registro_Ordini[[#This Row],[Price]]/Registro_Ordini[[#This Row],[Prezzo]]-1))</f>
        <v>-7.6987447698744771E-2</v>
      </c>
      <c r="P108" s="15">
        <v>-5.600412155013299E-3</v>
      </c>
      <c r="Q108" s="3">
        <v>0.49276251544818478</v>
      </c>
      <c r="R108" s="3">
        <v>0.20586353080764902</v>
      </c>
      <c r="S108" s="3">
        <v>0.19924299103648044</v>
      </c>
      <c r="T108" s="3">
        <v>0</v>
      </c>
      <c r="U108" s="3">
        <v>0.10213096270768576</v>
      </c>
      <c r="V108" s="3"/>
      <c r="W108" s="4"/>
    </row>
    <row r="109" spans="1:23" s="1" customFormat="1" ht="24.95" customHeight="1" x14ac:dyDescent="0.2">
      <c r="A109" s="8">
        <v>46063.7265625</v>
      </c>
      <c r="B109" s="7">
        <v>46063.7265625</v>
      </c>
      <c r="C109" s="9" t="s">
        <v>367</v>
      </c>
      <c r="D109" s="1" t="s">
        <v>388</v>
      </c>
      <c r="E109" s="1" t="s">
        <v>397</v>
      </c>
      <c r="F109" s="1" t="s">
        <v>753</v>
      </c>
      <c r="G109" s="1" t="s">
        <v>365</v>
      </c>
      <c r="H109" s="2">
        <v>-875</v>
      </c>
      <c r="I109" s="17">
        <v>45.26</v>
      </c>
      <c r="J109" s="1" t="s">
        <v>369</v>
      </c>
      <c r="K109" s="6">
        <f>Registro_Ordini[[#This Row],[Numero]]*Registro_Ordini[[#This Row],[Prezzo]]</f>
        <v>-39602.5</v>
      </c>
      <c r="L109" s="10">
        <v>1.00000014</v>
      </c>
      <c r="M109" s="6">
        <f>Registro_Ordini[[#This Row],[Importo]]*Registro_Ordini[[#This Row],[Cambio]]</f>
        <v>-39602.505544350002</v>
      </c>
      <c r="N109" s="1">
        <f ca="1">IFERROR(_xlfn.NUMBERVALUE(OFFSET(Origine,MATCH(Registro_Ordini[[#This Row],[Titolo]],Descrizioni,0),MATCH("Price",Intestazioni,0)-1,1,1)),"")</f>
        <v>47.8</v>
      </c>
      <c r="O109" s="18">
        <f ca="1">IF(OR(Registro_Ordini[[#This Row],[Price]]=0,Registro_Ordini[[#This Row],[Price]]=""),"",IF(Registro_Ordini[[#This Row],[Tipo]]="Sell",Registro_Ordini[[#This Row],[Prezzo]]/Registro_Ordini[[#This Row],[Price]]-1,Registro_Ordini[[#This Row],[Price]]/Registro_Ordini[[#This Row],[Prezzo]]-1))</f>
        <v>-5.3138075313807542E-2</v>
      </c>
      <c r="P109" s="15">
        <v>-1.103208351147604E-2</v>
      </c>
      <c r="Q109" s="3">
        <v>0.13362600333190505</v>
      </c>
      <c r="R109" s="3">
        <v>0.36299828099758902</v>
      </c>
      <c r="S109" s="3">
        <v>0.40546357442732489</v>
      </c>
      <c r="T109" s="3">
        <v>0</v>
      </c>
      <c r="U109" s="3">
        <v>9.7912141243180983E-2</v>
      </c>
      <c r="V109" s="3"/>
      <c r="W109" s="4"/>
    </row>
    <row r="110" spans="1:23" s="1" customFormat="1" ht="24.95" customHeight="1" x14ac:dyDescent="0.2">
      <c r="A110" s="8">
        <v>46063.726550925923</v>
      </c>
      <c r="B110" s="7">
        <v>46063.726550925923</v>
      </c>
      <c r="C110" s="9" t="s">
        <v>375</v>
      </c>
      <c r="D110" s="1" t="s">
        <v>388</v>
      </c>
      <c r="E110" s="1" t="s">
        <v>397</v>
      </c>
      <c r="F110" s="1" t="s">
        <v>753</v>
      </c>
      <c r="G110" s="1" t="s">
        <v>365</v>
      </c>
      <c r="H110" s="2">
        <v>-200</v>
      </c>
      <c r="I110" s="17">
        <v>45.26</v>
      </c>
      <c r="J110" s="1" t="s">
        <v>369</v>
      </c>
      <c r="K110" s="6">
        <f>Registro_Ordini[[#This Row],[Numero]]*Registro_Ordini[[#This Row],[Prezzo]]</f>
        <v>-9052</v>
      </c>
      <c r="L110" s="10">
        <v>1.00000014</v>
      </c>
      <c r="M110" s="6">
        <f>Registro_Ordini[[#This Row],[Importo]]*Registro_Ordini[[#This Row],[Cambio]]</f>
        <v>-9052.0012672800003</v>
      </c>
      <c r="N110" s="1">
        <f ca="1">IFERROR(_xlfn.NUMBERVALUE(OFFSET(Origine,MATCH(Registro_Ordini[[#This Row],[Titolo]],Descrizioni,0),MATCH("Price",Intestazioni,0)-1,1,1)),"")</f>
        <v>47.8</v>
      </c>
      <c r="O110" s="18">
        <f ca="1">IF(OR(Registro_Ordini[[#This Row],[Price]]=0,Registro_Ordini[[#This Row],[Price]]=""),"",IF(Registro_Ordini[[#This Row],[Tipo]]="Sell",Registro_Ordini[[#This Row],[Prezzo]]/Registro_Ordini[[#This Row],[Price]]-1,Registro_Ordini[[#This Row],[Price]]/Registro_Ordini[[#This Row],[Prezzo]]-1))</f>
        <v>-5.3138075313807542E-2</v>
      </c>
      <c r="P110" s="15">
        <v>-1.0179313035155192E-2</v>
      </c>
      <c r="Q110" s="3">
        <v>0.1079389978576679</v>
      </c>
      <c r="R110" s="3">
        <v>0.32225425319518969</v>
      </c>
      <c r="S110" s="3">
        <v>0.42430622136432933</v>
      </c>
      <c r="T110" s="3">
        <v>0</v>
      </c>
      <c r="U110" s="3">
        <v>0.14550052758281318</v>
      </c>
      <c r="V110" s="3"/>
      <c r="W110" s="4"/>
    </row>
    <row r="111" spans="1:23" s="1" customFormat="1" ht="24.95" customHeight="1" x14ac:dyDescent="0.2">
      <c r="A111" s="8">
        <v>46063.726539351854</v>
      </c>
      <c r="B111" s="7">
        <v>46063.726550925923</v>
      </c>
      <c r="C111" s="9" t="s">
        <v>377</v>
      </c>
      <c r="D111" s="1" t="s">
        <v>388</v>
      </c>
      <c r="E111" s="1" t="s">
        <v>397</v>
      </c>
      <c r="F111" s="1" t="s">
        <v>753</v>
      </c>
      <c r="G111" s="1" t="s">
        <v>365</v>
      </c>
      <c r="H111" s="2">
        <v>-400</v>
      </c>
      <c r="I111" s="17">
        <v>45.26</v>
      </c>
      <c r="J111" s="1" t="s">
        <v>369</v>
      </c>
      <c r="K111" s="6">
        <f>Registro_Ordini[[#This Row],[Numero]]*Registro_Ordini[[#This Row],[Prezzo]]</f>
        <v>-18104</v>
      </c>
      <c r="L111" s="10">
        <v>1.00000014</v>
      </c>
      <c r="M111" s="6">
        <f>Registro_Ordini[[#This Row],[Importo]]*Registro_Ordini[[#This Row],[Cambio]]</f>
        <v>-18104.002534560001</v>
      </c>
      <c r="N111" s="1">
        <f ca="1">IFERROR(_xlfn.NUMBERVALUE(OFFSET(Origine,MATCH(Registro_Ordini[[#This Row],[Titolo]],Descrizioni,0),MATCH("Price",Intestazioni,0)-1,1,1)),"")</f>
        <v>47.8</v>
      </c>
      <c r="O111" s="18">
        <f ca="1">IF(OR(Registro_Ordini[[#This Row],[Price]]=0,Registro_Ordini[[#This Row],[Price]]=""),"",IF(Registro_Ordini[[#This Row],[Tipo]]="Sell",Registro_Ordini[[#This Row],[Prezzo]]/Registro_Ordini[[#This Row],[Price]]-1,Registro_Ordini[[#This Row],[Price]]/Registro_Ordini[[#This Row],[Prezzo]]-1))</f>
        <v>-5.3138075313807542E-2</v>
      </c>
      <c r="P111" s="15">
        <v>-1.0503795308657339E-2</v>
      </c>
      <c r="Q111" s="3">
        <v>0.10722784459691981</v>
      </c>
      <c r="R111" s="3">
        <v>0.29730562843957575</v>
      </c>
      <c r="S111" s="3">
        <v>0.45219508386091795</v>
      </c>
      <c r="T111" s="3">
        <v>0</v>
      </c>
      <c r="U111" s="3">
        <v>0.14327144310258649</v>
      </c>
      <c r="V111" s="3"/>
      <c r="W111" s="4"/>
    </row>
    <row r="112" spans="1:23" s="1" customFormat="1" ht="24.95" customHeight="1" x14ac:dyDescent="0.2">
      <c r="A112" s="8">
        <v>46063.726539351854</v>
      </c>
      <c r="B112" s="7">
        <v>46063.726539351854</v>
      </c>
      <c r="C112" s="9" t="s">
        <v>378</v>
      </c>
      <c r="D112" s="1" t="s">
        <v>388</v>
      </c>
      <c r="E112" s="1" t="s">
        <v>397</v>
      </c>
      <c r="F112" s="1" t="s">
        <v>753</v>
      </c>
      <c r="G112" s="1" t="s">
        <v>365</v>
      </c>
      <c r="H112" s="2">
        <v>-125</v>
      </c>
      <c r="I112" s="17">
        <v>45.26</v>
      </c>
      <c r="J112" s="1" t="s">
        <v>369</v>
      </c>
      <c r="K112" s="6">
        <f>Registro_Ordini[[#This Row],[Numero]]*Registro_Ordini[[#This Row],[Prezzo]]</f>
        <v>-5657.5</v>
      </c>
      <c r="L112" s="10">
        <v>1.00000014</v>
      </c>
      <c r="M112" s="6">
        <f>Registro_Ordini[[#This Row],[Importo]]*Registro_Ordini[[#This Row],[Cambio]]</f>
        <v>-5657.5007920500002</v>
      </c>
      <c r="N112" s="1">
        <f ca="1">IFERROR(_xlfn.NUMBERVALUE(OFFSET(Origine,MATCH(Registro_Ordini[[#This Row],[Titolo]],Descrizioni,0),MATCH("Price",Intestazioni,0)-1,1,1)),"")</f>
        <v>47.8</v>
      </c>
      <c r="O112" s="18">
        <f ca="1">IF(OR(Registro_Ordini[[#This Row],[Price]]=0,Registro_Ordini[[#This Row],[Price]]=""),"",IF(Registro_Ordini[[#This Row],[Tipo]]="Sell",Registro_Ordini[[#This Row],[Prezzo]]/Registro_Ordini[[#This Row],[Price]]-1,Registro_Ordini[[#This Row],[Price]]/Registro_Ordini[[#This Row],[Prezzo]]-1))</f>
        <v>-5.3138075313807542E-2</v>
      </c>
      <c r="P112" s="15">
        <v>-1.0056699117548985E-2</v>
      </c>
      <c r="Q112" s="3">
        <v>0.11737016293349389</v>
      </c>
      <c r="R112" s="3">
        <v>0.28555001942383584</v>
      </c>
      <c r="S112" s="3">
        <v>0.45942029487498964</v>
      </c>
      <c r="T112" s="3">
        <v>0</v>
      </c>
      <c r="U112" s="3">
        <v>0.13765952276768062</v>
      </c>
      <c r="V112" s="3"/>
      <c r="W112" s="4"/>
    </row>
    <row r="113" spans="1:23" s="1" customFormat="1" ht="24.95" customHeight="1" x14ac:dyDescent="0.2">
      <c r="A113" s="8">
        <v>46063.726458333331</v>
      </c>
      <c r="B113" s="7">
        <v>46063.726458333331</v>
      </c>
      <c r="C113" s="9" t="s">
        <v>376</v>
      </c>
      <c r="D113" s="1" t="s">
        <v>388</v>
      </c>
      <c r="E113" s="1" t="s">
        <v>397</v>
      </c>
      <c r="F113" s="1" t="s">
        <v>753</v>
      </c>
      <c r="G113" s="1" t="s">
        <v>365</v>
      </c>
      <c r="H113" s="2">
        <v>-70</v>
      </c>
      <c r="I113" s="17">
        <v>45.26</v>
      </c>
      <c r="J113" s="1" t="s">
        <v>369</v>
      </c>
      <c r="K113" s="6">
        <f>Registro_Ordini[[#This Row],[Numero]]*Registro_Ordini[[#This Row],[Prezzo]]</f>
        <v>-3168.2</v>
      </c>
      <c r="L113" s="10">
        <v>1.00000014</v>
      </c>
      <c r="M113" s="6">
        <f>Registro_Ordini[[#This Row],[Importo]]*Registro_Ordini[[#This Row],[Cambio]]</f>
        <v>-3168.2004435479998</v>
      </c>
      <c r="N113" s="1">
        <f ca="1">IFERROR(_xlfn.NUMBERVALUE(OFFSET(Origine,MATCH(Registro_Ordini[[#This Row],[Titolo]],Descrizioni,0),MATCH("Price",Intestazioni,0)-1,1,1)),"")</f>
        <v>47.8</v>
      </c>
      <c r="O113" s="18">
        <f ca="1">IF(OR(Registro_Ordini[[#This Row],[Price]]=0,Registro_Ordini[[#This Row],[Price]]=""),"",IF(Registro_Ordini[[#This Row],[Tipo]]="Sell",Registro_Ordini[[#This Row],[Prezzo]]/Registro_Ordini[[#This Row],[Price]]-1,Registro_Ordini[[#This Row],[Price]]/Registro_Ordini[[#This Row],[Prezzo]]-1))</f>
        <v>-5.3138075313807542E-2</v>
      </c>
      <c r="P113" s="15">
        <v>-1.1113996225179505E-2</v>
      </c>
      <c r="Q113" s="3">
        <v>9.2777083439637906E-2</v>
      </c>
      <c r="R113" s="3">
        <v>0.26314277841160344</v>
      </c>
      <c r="S113" s="3">
        <v>0.45896293014349426</v>
      </c>
      <c r="T113" s="3">
        <v>0</v>
      </c>
      <c r="U113" s="3">
        <v>0.18511720800526438</v>
      </c>
      <c r="V113" s="3"/>
      <c r="W113" s="4"/>
    </row>
    <row r="114" spans="1:23" s="1" customFormat="1" ht="24.95" customHeight="1" x14ac:dyDescent="0.2">
      <c r="A114" s="8">
        <v>46063.71297453704</v>
      </c>
      <c r="B114" s="7">
        <v>46063.71297453704</v>
      </c>
      <c r="C114" s="9" t="s">
        <v>373</v>
      </c>
      <c r="D114" s="1" t="s">
        <v>388</v>
      </c>
      <c r="E114" s="1" t="s">
        <v>420</v>
      </c>
      <c r="F114" s="1" t="s">
        <v>4254</v>
      </c>
      <c r="G114" s="1" t="s">
        <v>371</v>
      </c>
      <c r="H114" s="2">
        <v>350</v>
      </c>
      <c r="I114" s="17">
        <v>54.18</v>
      </c>
      <c r="J114" s="1" t="s">
        <v>366</v>
      </c>
      <c r="K114" s="6">
        <f>Registro_Ordini[[#This Row],[Numero]]*Registro_Ordini[[#This Row],[Prezzo]]</f>
        <v>18963</v>
      </c>
      <c r="L114" s="10">
        <v>0.76595000000000002</v>
      </c>
      <c r="M114" s="6">
        <f>Registro_Ordini[[#This Row],[Importo]]*Registro_Ordini[[#This Row],[Cambio]]</f>
        <v>14524.709850000001</v>
      </c>
      <c r="N114" s="1">
        <f ca="1">IFERROR(_xlfn.NUMBERVALUE(OFFSET(Origine,MATCH(Registro_Ordini[[#This Row],[Titolo]],Descrizioni,0),MATCH("Price",Intestazioni,0)-1,1,1)),"")</f>
        <v>48.134999999999998</v>
      </c>
      <c r="O114" s="18">
        <f ca="1">IF(OR(Registro_Ordini[[#This Row],[Price]]=0,Registro_Ordini[[#This Row],[Price]]=""),"",IF(Registro_Ordini[[#This Row],[Tipo]]="Sell",Registro_Ordini[[#This Row],[Prezzo]]/Registro_Ordini[[#This Row],[Price]]-1,Registro_Ordini[[#This Row],[Price]]/Registro_Ordini[[#This Row],[Prezzo]]-1))</f>
        <v>-0.1115725359911407</v>
      </c>
      <c r="P114" s="15">
        <v>1.9967028653462796E-2</v>
      </c>
      <c r="Q114" s="3">
        <v>0.48710265716314183</v>
      </c>
      <c r="R114" s="3">
        <v>0.20577470252603455</v>
      </c>
      <c r="S114" s="3">
        <v>0.20488498289759813</v>
      </c>
      <c r="T114" s="3">
        <v>0</v>
      </c>
      <c r="U114" s="3">
        <v>0.10223765741322541</v>
      </c>
      <c r="V114" s="3"/>
      <c r="W114" s="4"/>
    </row>
    <row r="115" spans="1:23" s="1" customFormat="1" ht="24.95" customHeight="1" x14ac:dyDescent="0.2">
      <c r="A115" s="738">
        <v>46063.711944444447</v>
      </c>
      <c r="B115" s="739">
        <v>46063.711944444447</v>
      </c>
      <c r="C115" s="611" t="s">
        <v>373</v>
      </c>
      <c r="D115" s="142" t="s">
        <v>388</v>
      </c>
      <c r="E115" s="142" t="s">
        <v>389</v>
      </c>
      <c r="F115" s="142" t="s">
        <v>4443</v>
      </c>
      <c r="G115" s="142" t="s">
        <v>371</v>
      </c>
      <c r="H115" s="740">
        <v>200</v>
      </c>
      <c r="I115" s="741">
        <v>51.564999999999998</v>
      </c>
      <c r="J115" s="142" t="s">
        <v>366</v>
      </c>
      <c r="K115" s="617">
        <f>Registro_Ordini[[#This Row],[Numero]]*Registro_Ordini[[#This Row],[Prezzo]]</f>
        <v>10313</v>
      </c>
      <c r="L115" s="742">
        <v>0.76495000000000002</v>
      </c>
      <c r="M115" s="617">
        <f>Registro_Ordini[[#This Row],[Importo]]*Registro_Ordini[[#This Row],[Cambio]]</f>
        <v>7888.9293500000003</v>
      </c>
      <c r="N115" s="142">
        <f ca="1">IFERROR(_xlfn.NUMBERVALUE(OFFSET(Origine,MATCH(Registro_Ordini[[#This Row],[Titolo]],Descrizioni,0),MATCH("Price",Intestazioni,0)-1,1,1)),"")</f>
        <v>50.185000000000002</v>
      </c>
      <c r="O115" s="734">
        <f ca="1">IF(OR(Registro_Ordini[[#This Row],[Price]]=0,Registro_Ordini[[#This Row],[Price]]=""),"",IF(Registro_Ordini[[#This Row],[Tipo]]="Sell",Registro_Ordini[[#This Row],[Prezzo]]/Registro_Ordini[[#This Row],[Price]]-1,Registro_Ordini[[#This Row],[Price]]/Registro_Ordini[[#This Row],[Prezzo]]-1))</f>
        <v>-2.6762338795694673E-2</v>
      </c>
      <c r="P115" s="743">
        <v>1.0847802226248211E-2</v>
      </c>
      <c r="Q115" s="744">
        <v>0.5071431746417886</v>
      </c>
      <c r="R115" s="744">
        <v>0.2058304857099853</v>
      </c>
      <c r="S115" s="744">
        <v>0.18489158062574187</v>
      </c>
      <c r="T115" s="744">
        <v>0</v>
      </c>
      <c r="U115" s="744">
        <v>0.10213475902248433</v>
      </c>
      <c r="V115" s="744"/>
      <c r="W115" s="745"/>
    </row>
    <row r="116" spans="1:23" s="1" customFormat="1" ht="24.95" customHeight="1" x14ac:dyDescent="0.2">
      <c r="A116" s="738">
        <v>46057.717534722222</v>
      </c>
      <c r="B116" s="739">
        <v>46057.717534722222</v>
      </c>
      <c r="C116" s="611" t="s">
        <v>413</v>
      </c>
      <c r="D116" s="142" t="s">
        <v>388</v>
      </c>
      <c r="E116" s="142" t="s">
        <v>420</v>
      </c>
      <c r="F116" s="142" t="s">
        <v>776</v>
      </c>
      <c r="G116" s="142" t="s">
        <v>371</v>
      </c>
      <c r="H116" s="740">
        <v>400</v>
      </c>
      <c r="I116" s="741">
        <v>119.99</v>
      </c>
      <c r="J116" s="142" t="s">
        <v>369</v>
      </c>
      <c r="K116" s="617">
        <f>Registro_Ordini[[#This Row],[Numero]]*Registro_Ordini[[#This Row],[Prezzo]]</f>
        <v>47996</v>
      </c>
      <c r="L116" s="742">
        <v>1.00000014</v>
      </c>
      <c r="M116" s="617">
        <f>Registro_Ordini[[#This Row],[Importo]]*Registro_Ordini[[#This Row],[Cambio]]</f>
        <v>47996.006719440004</v>
      </c>
      <c r="N116" s="142">
        <f ca="1">IFERROR(_xlfn.NUMBERVALUE(OFFSET(Origine,MATCH(Registro_Ordini[[#This Row],[Titolo]],Descrizioni,0),MATCH("Price",Intestazioni,0)-1,1,1)),"")</f>
        <v>123.21</v>
      </c>
      <c r="O116" s="734">
        <f ca="1">IF(OR(Registro_Ordini[[#This Row],[Price]]=0,Registro_Ordini[[#This Row],[Price]]=""),"",IF(Registro_Ordini[[#This Row],[Tipo]]="Sell",Registro_Ordini[[#This Row],[Prezzo]]/Registro_Ordini[[#This Row],[Price]]-1,Registro_Ordini[[#This Row],[Price]]/Registro_Ordini[[#This Row],[Prezzo]]-1))</f>
        <v>2.6835569630802469E-2</v>
      </c>
      <c r="P116" s="743">
        <v>8.5886806808195375E-3</v>
      </c>
      <c r="Q116" s="744">
        <v>9.836079584100163E-2</v>
      </c>
      <c r="R116" s="744">
        <v>0.14914749378850534</v>
      </c>
      <c r="S116" s="744">
        <v>0.31580355139522576</v>
      </c>
      <c r="T116" s="744">
        <v>0</v>
      </c>
      <c r="U116" s="744">
        <v>0.43668815897526714</v>
      </c>
      <c r="V116" s="744">
        <v>0</v>
      </c>
      <c r="W116" s="745"/>
    </row>
    <row r="117" spans="1:23" s="1" customFormat="1" ht="24.95" customHeight="1" x14ac:dyDescent="0.2">
      <c r="A117" s="738">
        <v>46057.716898148145</v>
      </c>
      <c r="B117" s="739">
        <v>46057.716898148145</v>
      </c>
      <c r="C117" s="611" t="s">
        <v>413</v>
      </c>
      <c r="D117" s="142" t="s">
        <v>388</v>
      </c>
      <c r="E117" s="142" t="s">
        <v>403</v>
      </c>
      <c r="F117" s="142" t="s">
        <v>757</v>
      </c>
      <c r="G117" s="142" t="s">
        <v>371</v>
      </c>
      <c r="H117" s="740">
        <v>10000</v>
      </c>
      <c r="I117" s="741">
        <v>9.6332000000000004</v>
      </c>
      <c r="J117" s="142" t="s">
        <v>369</v>
      </c>
      <c r="K117" s="617">
        <f>Registro_Ordini[[#This Row],[Numero]]*Registro_Ordini[[#This Row],[Prezzo]]</f>
        <v>96332</v>
      </c>
      <c r="L117" s="742">
        <v>1.00000014</v>
      </c>
      <c r="M117" s="617">
        <f>Registro_Ordini[[#This Row],[Importo]]*Registro_Ordini[[#This Row],[Cambio]]</f>
        <v>96332.013486480006</v>
      </c>
      <c r="N117" s="142">
        <f ca="1">IFERROR(_xlfn.NUMBERVALUE(OFFSET(Origine,MATCH(Registro_Ordini[[#This Row],[Titolo]],Descrizioni,0),MATCH("Price",Intestazioni,0)-1,1,1)),"")</f>
        <v>9.35</v>
      </c>
      <c r="O117" s="734">
        <f ca="1">IF(OR(Registro_Ordini[[#This Row],[Price]]=0,Registro_Ordini[[#This Row],[Price]]=""),"",IF(Registro_Ordini[[#This Row],[Tipo]]="Sell",Registro_Ordini[[#This Row],[Prezzo]]/Registro_Ordini[[#This Row],[Price]]-1,Registro_Ordini[[#This Row],[Price]]/Registro_Ordini[[#This Row],[Prezzo]]-1))</f>
        <v>-2.9398330772744341E-2</v>
      </c>
      <c r="P117" s="743">
        <v>1.6768144979095578E-2</v>
      </c>
      <c r="Q117" s="744">
        <v>0.10694947652182117</v>
      </c>
      <c r="R117" s="744">
        <v>0.14914749378850534</v>
      </c>
      <c r="S117" s="744">
        <v>0.30721487071440623</v>
      </c>
      <c r="T117" s="744">
        <v>0</v>
      </c>
      <c r="U117" s="744">
        <v>0.43668815897526714</v>
      </c>
      <c r="V117" s="744">
        <v>0</v>
      </c>
      <c r="W117" s="745"/>
    </row>
    <row r="118" spans="1:23" s="1" customFormat="1" ht="24.95" customHeight="1" x14ac:dyDescent="0.2">
      <c r="A118" s="738">
        <v>46057.716192129628</v>
      </c>
      <c r="B118" s="739">
        <v>46057.716192129628</v>
      </c>
      <c r="C118" s="611" t="s">
        <v>413</v>
      </c>
      <c r="D118" s="142" t="s">
        <v>388</v>
      </c>
      <c r="E118" s="142" t="s">
        <v>389</v>
      </c>
      <c r="F118" s="142" t="s">
        <v>472</v>
      </c>
      <c r="G118" s="142" t="s">
        <v>371</v>
      </c>
      <c r="H118" s="740">
        <v>420</v>
      </c>
      <c r="I118" s="741">
        <v>168.95747600000001</v>
      </c>
      <c r="J118" s="142" t="s">
        <v>366</v>
      </c>
      <c r="K118" s="617">
        <f>Registro_Ordini[[#This Row],[Numero]]*Registro_Ordini[[#This Row],[Prezzo]]</f>
        <v>70962.139920000001</v>
      </c>
      <c r="L118" s="742">
        <v>0.77695000000000003</v>
      </c>
      <c r="M118" s="617">
        <f>Registro_Ordini[[#This Row],[Importo]]*Registro_Ordini[[#This Row],[Cambio]]</f>
        <v>55134.034610844006</v>
      </c>
      <c r="N118" s="142">
        <f ca="1">IFERROR(_xlfn.NUMBERVALUE(OFFSET(Origine,MATCH(Registro_Ordini[[#This Row],[Titolo]],Descrizioni,0),MATCH("Price",Intestazioni,0)-1,1,1)),"")</f>
        <v>175.73</v>
      </c>
      <c r="O118" s="734">
        <f ca="1">IF(OR(Registro_Ordini[[#This Row],[Price]]=0,Registro_Ordini[[#This Row],[Price]]=""),"",IF(Registro_Ordini[[#This Row],[Tipo]]="Sell",Registro_Ordini[[#This Row],[Prezzo]]/Registro_Ordini[[#This Row],[Price]]-1,Registro_Ordini[[#This Row],[Price]]/Registro_Ordini[[#This Row],[Prezzo]]-1))</f>
        <v>4.0084192545584596E-2</v>
      </c>
      <c r="P118" s="743">
        <v>9.6102655678351381E-3</v>
      </c>
      <c r="Q118" s="744">
        <v>0.12377372726656756</v>
      </c>
      <c r="R118" s="744">
        <v>0.14921474971998092</v>
      </c>
      <c r="S118" s="744">
        <v>0.29054420901472694</v>
      </c>
      <c r="T118" s="744">
        <v>0</v>
      </c>
      <c r="U118" s="744">
        <v>0.43646731399872468</v>
      </c>
      <c r="V118" s="744">
        <v>0</v>
      </c>
      <c r="W118" s="745"/>
    </row>
    <row r="119" spans="1:23" s="1" customFormat="1" ht="24.95" customHeight="1" x14ac:dyDescent="0.2">
      <c r="A119" s="738">
        <v>46057.715370370373</v>
      </c>
      <c r="B119" s="739">
        <v>46057.715370370373</v>
      </c>
      <c r="C119" s="611" t="s">
        <v>413</v>
      </c>
      <c r="D119" s="142" t="s">
        <v>388</v>
      </c>
      <c r="E119" s="142" t="s">
        <v>389</v>
      </c>
      <c r="F119" s="142" t="s">
        <v>415</v>
      </c>
      <c r="G119" s="142" t="s">
        <v>371</v>
      </c>
      <c r="H119" s="740">
        <v>200</v>
      </c>
      <c r="I119" s="741">
        <v>117.1443</v>
      </c>
      <c r="J119" s="142" t="s">
        <v>366</v>
      </c>
      <c r="K119" s="617">
        <f>Registro_Ordini[[#This Row],[Numero]]*Registro_Ordini[[#This Row],[Prezzo]]</f>
        <v>23428.86</v>
      </c>
      <c r="L119" s="742">
        <v>0.77695000000000003</v>
      </c>
      <c r="M119" s="617">
        <f>Registro_Ordini[[#This Row],[Importo]]*Registro_Ordini[[#This Row],[Cambio]]</f>
        <v>18203.052777000001</v>
      </c>
      <c r="N119" s="142">
        <f ca="1">IFERROR(_xlfn.NUMBERVALUE(OFFSET(Origine,MATCH(Registro_Ordini[[#This Row],[Titolo]],Descrizioni,0),MATCH("Price",Intestazioni,0)-1,1,1)),"")</f>
        <v>117.35</v>
      </c>
      <c r="O119" s="734">
        <f ca="1">IF(OR(Registro_Ordini[[#This Row],[Price]]=0,Registro_Ordini[[#This Row],[Price]]=""),"",IF(Registro_Ordini[[#This Row],[Tipo]]="Sell",Registro_Ordini[[#This Row],[Prezzo]]/Registro_Ordini[[#This Row],[Price]]-1,Registro_Ordini[[#This Row],[Price]]/Registro_Ordini[[#This Row],[Prezzo]]-1))</f>
        <v>1.7559539815423797E-3</v>
      </c>
      <c r="P119" s="743">
        <v>3.1732875055688146E-3</v>
      </c>
      <c r="Q119" s="744">
        <v>0.13338399283440269</v>
      </c>
      <c r="R119" s="744">
        <v>0.14921474971998092</v>
      </c>
      <c r="S119" s="744">
        <v>0.28093394344689177</v>
      </c>
      <c r="T119" s="744">
        <v>0</v>
      </c>
      <c r="U119" s="744">
        <v>0.43646731399872468</v>
      </c>
      <c r="V119" s="744">
        <v>0</v>
      </c>
      <c r="W119" s="745"/>
    </row>
    <row r="120" spans="1:23" s="1" customFormat="1" ht="24.95" customHeight="1" x14ac:dyDescent="0.2">
      <c r="A120" s="738">
        <v>46057.715277777781</v>
      </c>
      <c r="B120" s="739">
        <v>46057.715277777781</v>
      </c>
      <c r="C120" s="611" t="s">
        <v>413</v>
      </c>
      <c r="D120" s="142" t="s">
        <v>388</v>
      </c>
      <c r="E120" s="142" t="s">
        <v>389</v>
      </c>
      <c r="F120" s="142" t="s">
        <v>462</v>
      </c>
      <c r="G120" s="142" t="s">
        <v>365</v>
      </c>
      <c r="H120" s="740">
        <v>-1800</v>
      </c>
      <c r="I120" s="741">
        <v>54.012920000000001</v>
      </c>
      <c r="J120" s="142" t="s">
        <v>366</v>
      </c>
      <c r="K120" s="617">
        <f>Registro_Ordini[[#This Row],[Numero]]*Registro_Ordini[[#This Row],[Prezzo]]</f>
        <v>-97223.256000000008</v>
      </c>
      <c r="L120" s="742">
        <v>0.77695000000000003</v>
      </c>
      <c r="M120" s="617">
        <f>Registro_Ordini[[#This Row],[Importo]]*Registro_Ordini[[#This Row],[Cambio]]</f>
        <v>-75537.608749200008</v>
      </c>
      <c r="N120" s="142">
        <f ca="1">IFERROR(_xlfn.NUMBERVALUE(OFFSET(Origine,MATCH(Registro_Ordini[[#This Row],[Titolo]],Descrizioni,0),MATCH("Price",Intestazioni,0)-1,1,1)),"")</f>
        <v>53.88</v>
      </c>
      <c r="O120" s="734">
        <f ca="1">IF(OR(Registro_Ordini[[#This Row],[Price]]=0,Registro_Ordini[[#This Row],[Price]]=""),"",IF(Registro_Ordini[[#This Row],[Tipo]]="Sell",Registro_Ordini[[#This Row],[Prezzo]]/Registro_Ordini[[#This Row],[Price]]-1,Registro_Ordini[[#This Row],[Price]]/Registro_Ordini[[#This Row],[Prezzo]]-1))</f>
        <v>2.4669636228655811E-3</v>
      </c>
      <c r="P120" s="743">
        <v>-1.3178917910508603E-2</v>
      </c>
      <c r="Q120" s="744">
        <v>0.13655728033997153</v>
      </c>
      <c r="R120" s="744">
        <v>0.14921474971998092</v>
      </c>
      <c r="S120" s="744">
        <v>0.27776065594132293</v>
      </c>
      <c r="T120" s="744">
        <v>0</v>
      </c>
      <c r="U120" s="744">
        <v>0.43646731399872468</v>
      </c>
      <c r="V120" s="744">
        <v>0</v>
      </c>
      <c r="W120" s="745"/>
    </row>
    <row r="121" spans="1:23" s="1" customFormat="1" ht="24.95" customHeight="1" x14ac:dyDescent="0.2">
      <c r="A121" s="8">
        <v>46056.75503472222</v>
      </c>
      <c r="B121" s="7">
        <v>46056.75503472222</v>
      </c>
      <c r="C121" s="9" t="s">
        <v>367</v>
      </c>
      <c r="D121" s="1" t="s">
        <v>388</v>
      </c>
      <c r="E121" s="1" t="s">
        <v>389</v>
      </c>
      <c r="F121" s="1" t="s">
        <v>4300</v>
      </c>
      <c r="G121" s="1" t="s">
        <v>371</v>
      </c>
      <c r="H121" s="2">
        <v>7700</v>
      </c>
      <c r="I121" s="17">
        <v>9.2393999999999998</v>
      </c>
      <c r="J121" s="1" t="s">
        <v>369</v>
      </c>
      <c r="K121" s="6">
        <f>Registro_Ordini[[#This Row],[Numero]]*Registro_Ordini[[#This Row],[Prezzo]]</f>
        <v>71143.38</v>
      </c>
      <c r="L121" s="10">
        <v>1.0000001300000001</v>
      </c>
      <c r="M121" s="6">
        <f>Registro_Ordini[[#This Row],[Importo]]*Registro_Ordini[[#This Row],[Cambio]]</f>
        <v>71143.389248639418</v>
      </c>
      <c r="N121" s="1">
        <f ca="1">IFERROR(_xlfn.NUMBERVALUE(OFFSET(Origine,MATCH(Registro_Ordini[[#This Row],[Titolo]],Descrizioni,0),MATCH("Price",Intestazioni,0)-1,1,1)),"")</f>
        <v>9.1999999999999993</v>
      </c>
      <c r="O121" s="18">
        <f ca="1">IF(OR(Registro_Ordini[[#This Row],[Price]]=0,Registro_Ordini[[#This Row],[Price]]=""),"",IF(Registro_Ordini[[#This Row],[Tipo]]="Sell",Registro_Ordini[[#This Row],[Prezzo]]/Registro_Ordini[[#This Row],[Price]]-1,Registro_Ordini[[#This Row],[Price]]/Registro_Ordini[[#This Row],[Prezzo]]-1))</f>
        <v>-4.2643461696647567E-3</v>
      </c>
      <c r="P121" s="15">
        <v>1.9990577622191048E-2</v>
      </c>
      <c r="Q121" s="3">
        <v>0.12433049778179646</v>
      </c>
      <c r="R121" s="3">
        <v>0.36578073691676272</v>
      </c>
      <c r="S121" s="3">
        <v>0.41547624901264602</v>
      </c>
      <c r="T121" s="3">
        <v>0</v>
      </c>
      <c r="U121" s="3">
        <v>9.4412516288794712E-2</v>
      </c>
      <c r="V121" s="3"/>
      <c r="W121" s="4"/>
    </row>
    <row r="122" spans="1:23" s="1" customFormat="1" ht="24.95" customHeight="1" x14ac:dyDescent="0.2">
      <c r="A122" s="8">
        <v>46056.753460648149</v>
      </c>
      <c r="B122" s="7">
        <v>46056.753460648149</v>
      </c>
      <c r="C122" s="9" t="s">
        <v>373</v>
      </c>
      <c r="D122" s="1" t="s">
        <v>388</v>
      </c>
      <c r="E122" s="1" t="s">
        <v>420</v>
      </c>
      <c r="F122" s="1" t="s">
        <v>4254</v>
      </c>
      <c r="G122" s="1" t="s">
        <v>365</v>
      </c>
      <c r="H122" s="2">
        <v>-340</v>
      </c>
      <c r="I122" s="17">
        <v>54.470999999999997</v>
      </c>
      <c r="J122" s="1" t="s">
        <v>366</v>
      </c>
      <c r="K122" s="6">
        <f>Registro_Ordini[[#This Row],[Numero]]*Registro_Ordini[[#This Row],[Prezzo]]</f>
        <v>-18520.14</v>
      </c>
      <c r="L122" s="10">
        <v>0.77454999999999996</v>
      </c>
      <c r="M122" s="6">
        <f>Registro_Ordini[[#This Row],[Importo]]*Registro_Ordini[[#This Row],[Cambio]]</f>
        <v>-14344.774436999998</v>
      </c>
      <c r="N122" s="1">
        <f ca="1">IFERROR(_xlfn.NUMBERVALUE(OFFSET(Origine,MATCH(Registro_Ordini[[#This Row],[Titolo]],Descrizioni,0),MATCH("Price",Intestazioni,0)-1,1,1)),"")</f>
        <v>48.134999999999998</v>
      </c>
      <c r="O122" s="18">
        <f ca="1">IF(OR(Registro_Ordini[[#This Row],[Price]]=0,Registro_Ordini[[#This Row],[Price]]=""),"",IF(Registro_Ordini[[#This Row],[Tipo]]="Sell",Registro_Ordini[[#This Row],[Prezzo]]/Registro_Ordini[[#This Row],[Price]]-1,Registro_Ordini[[#This Row],[Price]]/Registro_Ordini[[#This Row],[Prezzo]]-1))</f>
        <v>0.13162979121221552</v>
      </c>
      <c r="P122" s="15">
        <v>-1.9827329161129479E-2</v>
      </c>
      <c r="Q122" s="3">
        <v>0.52031937646802873</v>
      </c>
      <c r="R122" s="3">
        <v>0.206276578805346</v>
      </c>
      <c r="S122" s="3">
        <v>0.17125747887761733</v>
      </c>
      <c r="T122" s="3">
        <v>0</v>
      </c>
      <c r="U122" s="3">
        <v>0.10214656584900796</v>
      </c>
      <c r="V122" s="3"/>
      <c r="W122" s="4"/>
    </row>
    <row r="123" spans="1:23" s="1" customFormat="1" ht="24.95" customHeight="1" x14ac:dyDescent="0.2">
      <c r="A123" s="8">
        <v>46056.751273148147</v>
      </c>
      <c r="B123" s="7">
        <v>46056.751273148147</v>
      </c>
      <c r="C123" s="9" t="s">
        <v>373</v>
      </c>
      <c r="D123" s="1" t="s">
        <v>388</v>
      </c>
      <c r="E123" s="1" t="s">
        <v>389</v>
      </c>
      <c r="F123" s="1" t="s">
        <v>415</v>
      </c>
      <c r="G123" s="1" t="s">
        <v>371</v>
      </c>
      <c r="H123" s="2">
        <v>120</v>
      </c>
      <c r="I123" s="17">
        <v>118.53</v>
      </c>
      <c r="J123" s="1" t="s">
        <v>366</v>
      </c>
      <c r="K123" s="6">
        <f>Registro_Ordini[[#This Row],[Numero]]*Registro_Ordini[[#This Row],[Prezzo]]</f>
        <v>14223.6</v>
      </c>
      <c r="L123" s="10">
        <v>0.77444999999999997</v>
      </c>
      <c r="M123" s="6">
        <f>Registro_Ordini[[#This Row],[Importo]]*Registro_Ordini[[#This Row],[Cambio]]</f>
        <v>11015.46702</v>
      </c>
      <c r="N123" s="1">
        <f ca="1">IFERROR(_xlfn.NUMBERVALUE(OFFSET(Origine,MATCH(Registro_Ordini[[#This Row],[Titolo]],Descrizioni,0),MATCH("Price",Intestazioni,0)-1,1,1)),"")</f>
        <v>117.35</v>
      </c>
      <c r="O123" s="18">
        <f ca="1">IF(OR(Registro_Ordini[[#This Row],[Price]]=0,Registro_Ordini[[#This Row],[Price]]=""),"",IF(Registro_Ordini[[#This Row],[Tipo]]="Sell",Registro_Ordini[[#This Row],[Prezzo]]/Registro_Ordini[[#This Row],[Price]]-1,Registro_Ordini[[#This Row],[Price]]/Registro_Ordini[[#This Row],[Prezzo]]-1))</f>
        <v>-9.9552855817093278E-3</v>
      </c>
      <c r="P123" s="15">
        <v>1.5200333066405579E-2</v>
      </c>
      <c r="Q123" s="3">
        <v>0.50057837371473146</v>
      </c>
      <c r="R123" s="3">
        <v>0.20631280345344197</v>
      </c>
      <c r="S123" s="3">
        <v>0.19096755871127713</v>
      </c>
      <c r="T123" s="3">
        <v>0</v>
      </c>
      <c r="U123" s="3">
        <v>0.10214126412054943</v>
      </c>
      <c r="V123" s="3"/>
      <c r="W123" s="4"/>
    </row>
    <row r="124" spans="1:23" s="1" customFormat="1" ht="24.95" customHeight="1" x14ac:dyDescent="0.2">
      <c r="A124" s="8">
        <v>46056.74962962963</v>
      </c>
      <c r="B124" s="7">
        <v>46056.74962962963</v>
      </c>
      <c r="C124" s="9" t="s">
        <v>78</v>
      </c>
      <c r="D124" s="1" t="s">
        <v>388</v>
      </c>
      <c r="E124" s="1" t="s">
        <v>389</v>
      </c>
      <c r="F124" s="1" t="s">
        <v>472</v>
      </c>
      <c r="G124" s="1" t="s">
        <v>371</v>
      </c>
      <c r="H124" s="2">
        <v>120</v>
      </c>
      <c r="I124" s="16">
        <v>168.89</v>
      </c>
      <c r="J124" s="1" t="s">
        <v>366</v>
      </c>
      <c r="K124" s="6">
        <f>Registro_Ordini[[#This Row],[Numero]]*Registro_Ordini[[#This Row],[Prezzo]]</f>
        <v>20266.8</v>
      </c>
      <c r="L124" s="10">
        <v>0.77485000000000004</v>
      </c>
      <c r="M124" s="6">
        <f>Registro_Ordini[[#This Row],[Importo]]*Registro_Ordini[[#This Row],[Cambio]]</f>
        <v>15703.72998</v>
      </c>
      <c r="N124" s="1">
        <f ca="1">IFERROR(_xlfn.NUMBERVALUE(OFFSET(Origine,MATCH(Registro_Ordini[[#This Row],[Titolo]],Descrizioni,0),MATCH("Price",Intestazioni,0)-1,1,1)),"")</f>
        <v>175.73</v>
      </c>
      <c r="O124" s="18">
        <f ca="1">IF(OR(Registro_Ordini[[#This Row],[Price]]=0,Registro_Ordini[[#This Row],[Price]]=""),"",IF(Registro_Ordini[[#This Row],[Tipo]]="Sell",Registro_Ordini[[#This Row],[Prezzo]]/Registro_Ordini[[#This Row],[Price]]-1,Registro_Ordini[[#This Row],[Price]]/Registro_Ordini[[#This Row],[Prezzo]]-1))</f>
        <v>4.0499733554384632E-2</v>
      </c>
      <c r="P124" s="15">
        <v>2.495232395221695E-2</v>
      </c>
      <c r="Q124" s="3">
        <v>0.13125031471156517</v>
      </c>
      <c r="R124" s="3">
        <v>0.12688515340376283</v>
      </c>
      <c r="S124" s="3">
        <v>0.62060309697119931</v>
      </c>
      <c r="T124" s="3">
        <v>0</v>
      </c>
      <c r="U124" s="3">
        <v>0.12126143491347254</v>
      </c>
      <c r="V124" s="3"/>
      <c r="W124" s="4"/>
    </row>
    <row r="125" spans="1:23" s="1" customFormat="1" ht="24.95" customHeight="1" x14ac:dyDescent="0.2">
      <c r="A125" s="8">
        <v>46056.749363425923</v>
      </c>
      <c r="B125" s="7">
        <v>46056.749363425923</v>
      </c>
      <c r="C125" s="9" t="s">
        <v>373</v>
      </c>
      <c r="D125" s="1" t="s">
        <v>388</v>
      </c>
      <c r="E125" s="1" t="s">
        <v>389</v>
      </c>
      <c r="F125" s="1" t="s">
        <v>472</v>
      </c>
      <c r="G125" s="1" t="s">
        <v>371</v>
      </c>
      <c r="H125" s="2">
        <v>80</v>
      </c>
      <c r="I125" s="16">
        <v>169.20500000000001</v>
      </c>
      <c r="J125" s="1" t="s">
        <v>366</v>
      </c>
      <c r="K125" s="6">
        <f>Registro_Ordini[[#This Row],[Numero]]*Registro_Ordini[[#This Row],[Prezzo]]</f>
        <v>13536.400000000001</v>
      </c>
      <c r="L125" s="10">
        <v>0.77475000000000005</v>
      </c>
      <c r="M125" s="6">
        <f>Registro_Ordini[[#This Row],[Importo]]*Registro_Ordini[[#This Row],[Cambio]]</f>
        <v>10487.325900000002</v>
      </c>
      <c r="N125" s="1">
        <f ca="1">IFERROR(_xlfn.NUMBERVALUE(OFFSET(Origine,MATCH(Registro_Ordini[[#This Row],[Titolo]],Descrizioni,0),MATCH("Price",Intestazioni,0)-1,1,1)),"")</f>
        <v>175.73</v>
      </c>
      <c r="O125" s="18">
        <f ca="1">IF(OR(Registro_Ordini[[#This Row],[Price]]=0,Registro_Ordini[[#This Row],[Price]]=""),"",IF(Registro_Ordini[[#This Row],[Tipo]]="Sell",Registro_Ordini[[#This Row],[Prezzo]]/Registro_Ordini[[#This Row],[Price]]-1,Registro_Ordini[[#This Row],[Price]]/Registro_Ordini[[#This Row],[Prezzo]]-1))</f>
        <v>3.8562690227829988E-2</v>
      </c>
      <c r="P125" s="15">
        <v>1.4441257680954535E-2</v>
      </c>
      <c r="Q125" s="3">
        <v>0.51566973002251237</v>
      </c>
      <c r="R125" s="3">
        <v>0.20626497865651455</v>
      </c>
      <c r="S125" s="3">
        <v>0.1758859764597481</v>
      </c>
      <c r="T125" s="3">
        <v>0</v>
      </c>
      <c r="U125" s="3">
        <v>0.10217931486122503</v>
      </c>
      <c r="V125" s="3"/>
      <c r="W125" s="4"/>
    </row>
    <row r="126" spans="1:23" s="1" customFormat="1" ht="24.95" customHeight="1" x14ac:dyDescent="0.2">
      <c r="A126" s="8">
        <v>46056.749351851853</v>
      </c>
      <c r="B126" s="7">
        <v>46056.749351851853</v>
      </c>
      <c r="C126" s="9" t="s">
        <v>367</v>
      </c>
      <c r="D126" s="1" t="s">
        <v>388</v>
      </c>
      <c r="E126" s="1" t="s">
        <v>389</v>
      </c>
      <c r="F126" s="1" t="s">
        <v>472</v>
      </c>
      <c r="G126" s="1" t="s">
        <v>371</v>
      </c>
      <c r="H126" s="2">
        <v>400</v>
      </c>
      <c r="I126" s="16">
        <v>168.89</v>
      </c>
      <c r="J126" s="1" t="s">
        <v>366</v>
      </c>
      <c r="K126" s="6">
        <f>Registro_Ordini[[#This Row],[Numero]]*Registro_Ordini[[#This Row],[Prezzo]]</f>
        <v>67556</v>
      </c>
      <c r="L126" s="10">
        <v>0.77475000000000005</v>
      </c>
      <c r="M126" s="6">
        <f>Registro_Ordini[[#This Row],[Importo]]*Registro_Ordini[[#This Row],[Cambio]]</f>
        <v>52339.011000000006</v>
      </c>
      <c r="N126" s="1">
        <f ca="1">IFERROR(_xlfn.NUMBERVALUE(OFFSET(Origine,MATCH(Registro_Ordini[[#This Row],[Titolo]],Descrizioni,0),MATCH("Price",Intestazioni,0)-1,1,1)),"")</f>
        <v>175.73</v>
      </c>
      <c r="O126" s="18">
        <f ca="1">IF(OR(Registro_Ordini[[#This Row],[Price]]=0,Registro_Ordini[[#This Row],[Price]]=""),"",IF(Registro_Ordini[[#This Row],[Tipo]]="Sell",Registro_Ordini[[#This Row],[Prezzo]]/Registro_Ordini[[#This Row],[Price]]-1,Registro_Ordini[[#This Row],[Price]]/Registro_Ordini[[#This Row],[Prezzo]]-1))</f>
        <v>4.0499733554384632E-2</v>
      </c>
      <c r="P126" s="15">
        <v>1.4705249432238823E-2</v>
      </c>
      <c r="Q126" s="3">
        <v>0.14430634344192217</v>
      </c>
      <c r="R126" s="3">
        <v>0.36574375715334501</v>
      </c>
      <c r="S126" s="3">
        <v>0.39554692804863589</v>
      </c>
      <c r="T126" s="3">
        <v>0</v>
      </c>
      <c r="U126" s="3">
        <v>9.4402971356096876E-2</v>
      </c>
      <c r="V126" s="3"/>
      <c r="W126" s="4"/>
    </row>
    <row r="127" spans="1:23" s="1" customFormat="1" ht="24.95" customHeight="1" x14ac:dyDescent="0.2">
      <c r="A127" s="8">
        <v>46056.749340277776</v>
      </c>
      <c r="B127" s="7">
        <v>46056.749340277776</v>
      </c>
      <c r="C127" s="9" t="s">
        <v>375</v>
      </c>
      <c r="D127" s="1" t="s">
        <v>388</v>
      </c>
      <c r="E127" s="1" t="s">
        <v>389</v>
      </c>
      <c r="F127" s="1" t="s">
        <v>472</v>
      </c>
      <c r="G127" s="1" t="s">
        <v>371</v>
      </c>
      <c r="H127" s="2">
        <v>100</v>
      </c>
      <c r="I127" s="16">
        <v>168.89</v>
      </c>
      <c r="J127" s="1" t="s">
        <v>366</v>
      </c>
      <c r="K127" s="6">
        <f>Registro_Ordini[[#This Row],[Numero]]*Registro_Ordini[[#This Row],[Prezzo]]</f>
        <v>16889</v>
      </c>
      <c r="L127" s="10">
        <v>0.77475000000000005</v>
      </c>
      <c r="M127" s="6">
        <f>Registro_Ordini[[#This Row],[Importo]]*Registro_Ordini[[#This Row],[Cambio]]</f>
        <v>13084.752750000001</v>
      </c>
      <c r="N127" s="1">
        <f ca="1">IFERROR(_xlfn.NUMBERVALUE(OFFSET(Origine,MATCH(Registro_Ordini[[#This Row],[Titolo]],Descrizioni,0),MATCH("Price",Intestazioni,0)-1,1,1)),"")</f>
        <v>175.73</v>
      </c>
      <c r="O127" s="18">
        <f ca="1">IF(OR(Registro_Ordini[[#This Row],[Price]]=0,Registro_Ordini[[#This Row],[Price]]=""),"",IF(Registro_Ordini[[#This Row],[Tipo]]="Sell",Registro_Ordini[[#This Row],[Prezzo]]/Registro_Ordini[[#This Row],[Price]]-1,Registro_Ordini[[#This Row],[Price]]/Registro_Ordini[[#This Row],[Prezzo]]-1))</f>
        <v>4.0499733554384632E-2</v>
      </c>
      <c r="P127" s="15">
        <v>1.4814378731420278E-2</v>
      </c>
      <c r="Q127" s="3">
        <v>9.8701398204592034E-2</v>
      </c>
      <c r="R127" s="3">
        <v>0.32441687430576388</v>
      </c>
      <c r="S127" s="3">
        <v>0.43280759649148182</v>
      </c>
      <c r="T127" s="3">
        <v>0</v>
      </c>
      <c r="U127" s="3">
        <v>0.14407413099816213</v>
      </c>
      <c r="V127" s="3"/>
      <c r="W127" s="4"/>
    </row>
    <row r="128" spans="1:23" s="1" customFormat="1" ht="24.95" customHeight="1" x14ac:dyDescent="0.2">
      <c r="A128" s="8">
        <v>46056.749328703707</v>
      </c>
      <c r="B128" s="7">
        <v>46056.749328703707</v>
      </c>
      <c r="C128" s="9" t="s">
        <v>376</v>
      </c>
      <c r="D128" s="1" t="s">
        <v>388</v>
      </c>
      <c r="E128" s="1" t="s">
        <v>389</v>
      </c>
      <c r="F128" s="1" t="s">
        <v>472</v>
      </c>
      <c r="G128" s="1" t="s">
        <v>371</v>
      </c>
      <c r="H128" s="2">
        <v>35</v>
      </c>
      <c r="I128" s="16">
        <v>168.89</v>
      </c>
      <c r="J128" s="1" t="s">
        <v>366</v>
      </c>
      <c r="K128" s="6">
        <f>Registro_Ordini[[#This Row],[Numero]]*Registro_Ordini[[#This Row],[Prezzo]]</f>
        <v>5911.15</v>
      </c>
      <c r="L128" s="10">
        <v>0.77475000000000005</v>
      </c>
      <c r="M128" s="6">
        <f>Registro_Ordini[[#This Row],[Importo]]*Registro_Ordini[[#This Row],[Cambio]]</f>
        <v>4579.6634624999997</v>
      </c>
      <c r="N128" s="1">
        <f ca="1">IFERROR(_xlfn.NUMBERVALUE(OFFSET(Origine,MATCH(Registro_Ordini[[#This Row],[Titolo]],Descrizioni,0),MATCH("Price",Intestazioni,0)-1,1,1)),"")</f>
        <v>175.73</v>
      </c>
      <c r="O128" s="18">
        <f ca="1">IF(OR(Registro_Ordini[[#This Row],[Price]]=0,Registro_Ordini[[#This Row],[Price]]=""),"",IF(Registro_Ordini[[#This Row],[Tipo]]="Sell",Registro_Ordini[[#This Row],[Prezzo]]/Registro_Ordini[[#This Row],[Price]]-1,Registro_Ordini[[#This Row],[Price]]/Registro_Ordini[[#This Row],[Prezzo]]-1))</f>
        <v>4.0499733554384632E-2</v>
      </c>
      <c r="P128" s="15">
        <v>1.6164961194185739E-2</v>
      </c>
      <c r="Q128" s="3">
        <v>8.2476625273422061E-2</v>
      </c>
      <c r="R128" s="3">
        <v>0.26454308716277414</v>
      </c>
      <c r="S128" s="3">
        <v>0.46700401500607136</v>
      </c>
      <c r="T128" s="3">
        <v>0</v>
      </c>
      <c r="U128" s="3">
        <v>0.18597627255773239</v>
      </c>
      <c r="V128" s="3"/>
      <c r="W128" s="4"/>
    </row>
    <row r="129" spans="1:23" s="1" customFormat="1" ht="24.95" customHeight="1" x14ac:dyDescent="0.2">
      <c r="A129" s="8">
        <v>46056.74931712963</v>
      </c>
      <c r="B129" s="7">
        <v>46056.74931712963</v>
      </c>
      <c r="C129" s="9" t="s">
        <v>377</v>
      </c>
      <c r="D129" s="1" t="s">
        <v>388</v>
      </c>
      <c r="E129" s="1" t="s">
        <v>389</v>
      </c>
      <c r="F129" s="1" t="s">
        <v>472</v>
      </c>
      <c r="G129" s="1" t="s">
        <v>371</v>
      </c>
      <c r="H129" s="2">
        <v>195</v>
      </c>
      <c r="I129" s="16">
        <v>168.89</v>
      </c>
      <c r="J129" s="1" t="s">
        <v>366</v>
      </c>
      <c r="K129" s="6">
        <f>Registro_Ordini[[#This Row],[Numero]]*Registro_Ordini[[#This Row],[Prezzo]]</f>
        <v>32933.549999999996</v>
      </c>
      <c r="L129" s="10">
        <v>0.77475000000000005</v>
      </c>
      <c r="M129" s="6">
        <f>Registro_Ordini[[#This Row],[Importo]]*Registro_Ordini[[#This Row],[Cambio]]</f>
        <v>25515.267862499997</v>
      </c>
      <c r="N129" s="1">
        <f ca="1">IFERROR(_xlfn.NUMBERVALUE(OFFSET(Origine,MATCH(Registro_Ordini[[#This Row],[Titolo]],Descrizioni,0),MATCH("Price",Intestazioni,0)-1,1,1)),"")</f>
        <v>175.73</v>
      </c>
      <c r="O129" s="18">
        <f ca="1">IF(OR(Registro_Ordini[[#This Row],[Price]]=0,Registro_Ordini[[#This Row],[Price]]=""),"",IF(Registro_Ordini[[#This Row],[Tipo]]="Sell",Registro_Ordini[[#This Row],[Prezzo]]/Registro_Ordini[[#This Row],[Price]]-1,Registro_Ordini[[#This Row],[Price]]/Registro_Ordini[[#This Row],[Prezzo]]-1))</f>
        <v>4.0499733554384632E-2</v>
      </c>
      <c r="P129" s="15">
        <v>1.4974481102593144E-2</v>
      </c>
      <c r="Q129" s="3">
        <v>9.8514514843584686E-2</v>
      </c>
      <c r="R129" s="3">
        <v>0.30069267811591849</v>
      </c>
      <c r="S129" s="3">
        <v>0.463911681655652</v>
      </c>
      <c r="T129" s="3">
        <v>0</v>
      </c>
      <c r="U129" s="3">
        <v>0.1368811253848449</v>
      </c>
      <c r="V129" s="3"/>
      <c r="W129" s="4"/>
    </row>
    <row r="130" spans="1:23" s="1" customFormat="1" ht="24.95" customHeight="1" x14ac:dyDescent="0.2">
      <c r="A130" s="8">
        <v>46056.749305555553</v>
      </c>
      <c r="B130" s="7">
        <v>46056.749305555553</v>
      </c>
      <c r="C130" s="9" t="s">
        <v>378</v>
      </c>
      <c r="D130" s="1" t="s">
        <v>388</v>
      </c>
      <c r="E130" s="1" t="s">
        <v>389</v>
      </c>
      <c r="F130" s="1" t="s">
        <v>472</v>
      </c>
      <c r="G130" s="1" t="s">
        <v>371</v>
      </c>
      <c r="H130" s="2">
        <v>65</v>
      </c>
      <c r="I130" s="16">
        <v>168.89</v>
      </c>
      <c r="J130" s="1" t="s">
        <v>366</v>
      </c>
      <c r="K130" s="6">
        <f>Registro_Ordini[[#This Row],[Numero]]*Registro_Ordini[[#This Row],[Prezzo]]</f>
        <v>10977.849999999999</v>
      </c>
      <c r="L130" s="10">
        <v>0.77475000000000005</v>
      </c>
      <c r="M130" s="6">
        <f>Registro_Ordini[[#This Row],[Importo]]*Registro_Ordini[[#This Row],[Cambio]]</f>
        <v>8505.089287499999</v>
      </c>
      <c r="N130" s="1">
        <f ca="1">IFERROR(_xlfn.NUMBERVALUE(OFFSET(Origine,MATCH(Registro_Ordini[[#This Row],[Titolo]],Descrizioni,0),MATCH("Price",Intestazioni,0)-1,1,1)),"")</f>
        <v>175.73</v>
      </c>
      <c r="O130" s="18">
        <f ca="1">IF(OR(Registro_Ordini[[#This Row],[Price]]=0,Registro_Ordini[[#This Row],[Price]]=""),"",IF(Registro_Ordini[[#This Row],[Tipo]]="Sell",Registro_Ordini[[#This Row],[Prezzo]]/Registro_Ordini[[#This Row],[Price]]-1,Registro_Ordini[[#This Row],[Price]]/Registro_Ordini[[#This Row],[Prezzo]]-1))</f>
        <v>4.0499733554384632E-2</v>
      </c>
      <c r="P130" s="15">
        <v>1.5198833994478749E-2</v>
      </c>
      <c r="Q130" s="3">
        <v>0.10820657098415545</v>
      </c>
      <c r="R130" s="3">
        <v>0.28697983143713957</v>
      </c>
      <c r="S130" s="3">
        <v>0.46701279084558972</v>
      </c>
      <c r="T130" s="3">
        <v>0</v>
      </c>
      <c r="U130" s="3">
        <v>0.13780080673311537</v>
      </c>
      <c r="V130" s="3"/>
      <c r="W130" s="4"/>
    </row>
    <row r="131" spans="1:23" s="1" customFormat="1" ht="24.95" customHeight="1" x14ac:dyDescent="0.2">
      <c r="A131" s="8">
        <v>46056.745127314818</v>
      </c>
      <c r="B131" s="7">
        <v>46056.745127314818</v>
      </c>
      <c r="C131" s="9" t="s">
        <v>379</v>
      </c>
      <c r="D131" s="1" t="s">
        <v>388</v>
      </c>
      <c r="E131" s="1" t="s">
        <v>389</v>
      </c>
      <c r="F131" s="1" t="s">
        <v>472</v>
      </c>
      <c r="G131" s="1" t="s">
        <v>371</v>
      </c>
      <c r="H131" s="2">
        <v>100</v>
      </c>
      <c r="I131" s="16">
        <v>168.89</v>
      </c>
      <c r="J131" s="1" t="s">
        <v>366</v>
      </c>
      <c r="K131" s="6">
        <f>Registro_Ordini[[#This Row],[Numero]]*Registro_Ordini[[#This Row],[Prezzo]]</f>
        <v>16889</v>
      </c>
      <c r="L131" s="10">
        <v>0.84635000000000005</v>
      </c>
      <c r="M131" s="6">
        <f>Registro_Ordini[[#This Row],[Importo]]*Registro_Ordini[[#This Row],[Cambio]]</f>
        <v>14294.005150000001</v>
      </c>
      <c r="N131" s="1">
        <f ca="1">IFERROR(_xlfn.NUMBERVALUE(OFFSET(Origine,MATCH(Registro_Ordini[[#This Row],[Titolo]],Descrizioni,0),MATCH("Price",Intestazioni,0)-1,1,1)),"")</f>
        <v>175.73</v>
      </c>
      <c r="O131" s="18">
        <f ca="1">IF(OR(Registro_Ordini[[#This Row],[Price]]=0,Registro_Ordini[[#This Row],[Price]]=""),"",IF(Registro_Ordini[[#This Row],[Tipo]]="Sell",Registro_Ordini[[#This Row],[Prezzo]]/Registro_Ordini[[#This Row],[Price]]-1,Registro_Ordini[[#This Row],[Price]]/Registro_Ordini[[#This Row],[Prezzo]]-1))</f>
        <v>4.0499733554384632E-2</v>
      </c>
      <c r="P131" s="15">
        <v>2.2736430216845238E-2</v>
      </c>
      <c r="Q131" s="3">
        <v>9.6925390287858057E-2</v>
      </c>
      <c r="R131" s="3">
        <v>0.32798030967011843</v>
      </c>
      <c r="S131" s="3">
        <v>0.4258052487637406</v>
      </c>
      <c r="T131" s="3">
        <v>0</v>
      </c>
      <c r="U131" s="3">
        <v>0.14928905127828304</v>
      </c>
      <c r="V131" s="3"/>
      <c r="W131" s="4"/>
    </row>
    <row r="132" spans="1:23" s="1" customFormat="1" ht="24.95" customHeight="1" x14ac:dyDescent="0.2">
      <c r="A132" s="8">
        <v>46056.745115740741</v>
      </c>
      <c r="B132" s="7">
        <v>46056.745115740741</v>
      </c>
      <c r="C132" s="9" t="s">
        <v>382</v>
      </c>
      <c r="D132" s="1" t="s">
        <v>388</v>
      </c>
      <c r="E132" s="1" t="s">
        <v>389</v>
      </c>
      <c r="F132" s="1" t="s">
        <v>472</v>
      </c>
      <c r="G132" s="1" t="s">
        <v>371</v>
      </c>
      <c r="H132" s="2">
        <v>200</v>
      </c>
      <c r="I132" s="16">
        <v>168.89</v>
      </c>
      <c r="J132" s="1" t="s">
        <v>366</v>
      </c>
      <c r="K132" s="6">
        <f>Registro_Ordini[[#This Row],[Numero]]*Registro_Ordini[[#This Row],[Prezzo]]</f>
        <v>33778</v>
      </c>
      <c r="L132" s="10">
        <v>0.84635000000000005</v>
      </c>
      <c r="M132" s="6">
        <f>Registro_Ordini[[#This Row],[Importo]]*Registro_Ordini[[#This Row],[Cambio]]</f>
        <v>28588.010300000002</v>
      </c>
      <c r="N132" s="1">
        <f ca="1">IFERROR(_xlfn.NUMBERVALUE(OFFSET(Origine,MATCH(Registro_Ordini[[#This Row],[Titolo]],Descrizioni,0),MATCH("Price",Intestazioni,0)-1,1,1)),"")</f>
        <v>175.73</v>
      </c>
      <c r="O132" s="18">
        <f ca="1">IF(OR(Registro_Ordini[[#This Row],[Price]]=0,Registro_Ordini[[#This Row],[Price]]=""),"",IF(Registro_Ordini[[#This Row],[Tipo]]="Sell",Registro_Ordini[[#This Row],[Prezzo]]/Registro_Ordini[[#This Row],[Price]]-1,Registro_Ordini[[#This Row],[Price]]/Registro_Ordini[[#This Row],[Prezzo]]-1))</f>
        <v>4.0499733554384632E-2</v>
      </c>
      <c r="P132" s="15">
        <v>2.5079221976573828E-2</v>
      </c>
      <c r="Q132" s="3">
        <v>9.1987283307531337E-2</v>
      </c>
      <c r="R132" s="3">
        <v>0.31988951166499108</v>
      </c>
      <c r="S132" s="3">
        <v>0.43131013667620033</v>
      </c>
      <c r="T132" s="3">
        <v>0</v>
      </c>
      <c r="U132" s="3">
        <v>0.15681306835127737</v>
      </c>
      <c r="V132" s="3"/>
      <c r="W132" s="4"/>
    </row>
    <row r="133" spans="1:23" s="1" customFormat="1" ht="24.95" customHeight="1" x14ac:dyDescent="0.2">
      <c r="A133" s="8">
        <v>46056.745092592595</v>
      </c>
      <c r="B133" s="7">
        <v>46056.745092592595</v>
      </c>
      <c r="C133" s="9" t="s">
        <v>383</v>
      </c>
      <c r="D133" s="1" t="s">
        <v>388</v>
      </c>
      <c r="E133" s="1" t="s">
        <v>389</v>
      </c>
      <c r="F133" s="1" t="s">
        <v>472</v>
      </c>
      <c r="G133" s="1" t="s">
        <v>371</v>
      </c>
      <c r="H133" s="2">
        <v>120</v>
      </c>
      <c r="I133" s="16">
        <v>168.89</v>
      </c>
      <c r="J133" s="1" t="s">
        <v>366</v>
      </c>
      <c r="K133" s="6">
        <f>Registro_Ordini[[#This Row],[Numero]]*Registro_Ordini[[#This Row],[Prezzo]]</f>
        <v>20266.8</v>
      </c>
      <c r="L133" s="10">
        <v>0.84635000000000005</v>
      </c>
      <c r="M133" s="6">
        <f>Registro_Ordini[[#This Row],[Importo]]*Registro_Ordini[[#This Row],[Cambio]]</f>
        <v>17152.80618</v>
      </c>
      <c r="N133" s="1">
        <f ca="1">IFERROR(_xlfn.NUMBERVALUE(OFFSET(Origine,MATCH(Registro_Ordini[[#This Row],[Titolo]],Descrizioni,0),MATCH("Price",Intestazioni,0)-1,1,1)),"")</f>
        <v>175.73</v>
      </c>
      <c r="O133" s="18">
        <f ca="1">IF(OR(Registro_Ordini[[#This Row],[Price]]=0,Registro_Ordini[[#This Row],[Price]]=""),"",IF(Registro_Ordini[[#This Row],[Tipo]]="Sell",Registro_Ordini[[#This Row],[Prezzo]]/Registro_Ordini[[#This Row],[Price]]-1,Registro_Ordini[[#This Row],[Price]]/Registro_Ordini[[#This Row],[Prezzo]]-1))</f>
        <v>4.0499733554384632E-2</v>
      </c>
      <c r="P133" s="15">
        <v>2.4837204747339262E-2</v>
      </c>
      <c r="Q133" s="3">
        <v>9.3667530934902848E-2</v>
      </c>
      <c r="R133" s="3">
        <v>0.32780634741502135</v>
      </c>
      <c r="S133" s="3">
        <v>0.42643580085642718</v>
      </c>
      <c r="T133" s="3">
        <v>0</v>
      </c>
      <c r="U133" s="3">
        <v>0.15209032079364862</v>
      </c>
      <c r="V133" s="3"/>
      <c r="W133" s="4"/>
    </row>
    <row r="134" spans="1:23" s="1" customFormat="1" ht="24.95" customHeight="1" x14ac:dyDescent="0.2">
      <c r="A134" s="8">
        <v>46056.737395833334</v>
      </c>
      <c r="B134" s="7">
        <v>46056.737395833334</v>
      </c>
      <c r="C134" s="9" t="s">
        <v>385</v>
      </c>
      <c r="D134" s="1" t="s">
        <v>388</v>
      </c>
      <c r="E134" s="1" t="s">
        <v>389</v>
      </c>
      <c r="F134" s="1" t="s">
        <v>390</v>
      </c>
      <c r="G134" s="1" t="s">
        <v>365</v>
      </c>
      <c r="H134" s="2">
        <v>-15</v>
      </c>
      <c r="I134" s="16">
        <v>442.46769999999998</v>
      </c>
      <c r="J134" s="1" t="s">
        <v>381</v>
      </c>
      <c r="K134" s="6">
        <f>Registro_Ordini[[#This Row],[Numero]]*Registro_Ordini[[#This Row],[Prezzo]]</f>
        <v>-6637.0154999999995</v>
      </c>
      <c r="L134" s="10">
        <v>1</v>
      </c>
      <c r="M134" s="6">
        <f>Registro_Ordini[[#This Row],[Importo]]*Registro_Ordini[[#This Row],[Cambio]]</f>
        <v>-6637.0154999999995</v>
      </c>
      <c r="N134" s="1">
        <f ca="1">IFERROR(_xlfn.NUMBERVALUE(OFFSET(Origine,MATCH(Registro_Ordini[[#This Row],[Titolo]],Descrizioni,0),MATCH("Price",Intestazioni,0)-1,1,1)),"")</f>
        <v>422.85</v>
      </c>
      <c r="O134" s="18">
        <f ca="1">IF(OR(Registro_Ordini[[#This Row],[Price]]=0,Registro_Ordini[[#This Row],[Price]]=""),"",IF(Registro_Ordini[[#This Row],[Tipo]]="Sell",Registro_Ordini[[#This Row],[Prezzo]]/Registro_Ordini[[#This Row],[Price]]-1,Registro_Ordini[[#This Row],[Price]]/Registro_Ordini[[#This Row],[Prezzo]]-1))</f>
        <v>4.6393993141775836E-2</v>
      </c>
      <c r="P134" s="15">
        <v>-4.8984216378487995E-2</v>
      </c>
      <c r="Q134" s="3">
        <v>5.9837127126039676E-2</v>
      </c>
      <c r="R134" s="3">
        <v>0.56098902124636596</v>
      </c>
      <c r="S134" s="3">
        <v>0.19557166567453016</v>
      </c>
      <c r="T134" s="3">
        <v>5.0517761223772141E-2</v>
      </c>
      <c r="U134" s="3">
        <v>0.13308442472929219</v>
      </c>
      <c r="V134" s="3"/>
      <c r="W134" s="4"/>
    </row>
    <row r="135" spans="1:23" s="1" customFormat="1" ht="24.95" customHeight="1" x14ac:dyDescent="0.2">
      <c r="A135" s="8">
        <v>46056.737199074072</v>
      </c>
      <c r="B135" s="7">
        <v>46056.737199074072</v>
      </c>
      <c r="C135" s="9" t="s">
        <v>106</v>
      </c>
      <c r="D135" s="1" t="s">
        <v>388</v>
      </c>
      <c r="E135" s="1" t="s">
        <v>389</v>
      </c>
      <c r="F135" s="1" t="s">
        <v>390</v>
      </c>
      <c r="G135" s="1" t="s">
        <v>365</v>
      </c>
      <c r="H135" s="2">
        <v>-20</v>
      </c>
      <c r="I135" s="16">
        <v>442.46769999999998</v>
      </c>
      <c r="J135" s="1" t="s">
        <v>381</v>
      </c>
      <c r="K135" s="6">
        <f>Registro_Ordini[[#This Row],[Numero]]*Registro_Ordini[[#This Row],[Prezzo]]</f>
        <v>-8849.3539999999994</v>
      </c>
      <c r="L135" s="10">
        <v>1</v>
      </c>
      <c r="M135" s="6">
        <f>Registro_Ordini[[#This Row],[Importo]]*Registro_Ordini[[#This Row],[Cambio]]</f>
        <v>-8849.3539999999994</v>
      </c>
      <c r="N135" s="1">
        <f ca="1">IFERROR(_xlfn.NUMBERVALUE(OFFSET(Origine,MATCH(Registro_Ordini[[#This Row],[Titolo]],Descrizioni,0),MATCH("Price",Intestazioni,0)-1,1,1)),"")</f>
        <v>422.85</v>
      </c>
      <c r="O135" s="18">
        <f ca="1">IF(OR(Registro_Ordini[[#This Row],[Price]]=0,Registro_Ordini[[#This Row],[Price]]=""),"",IF(Registro_Ordini[[#This Row],[Tipo]]="Sell",Registro_Ordini[[#This Row],[Prezzo]]/Registro_Ordini[[#This Row],[Price]]-1,Registro_Ordini[[#This Row],[Price]]/Registro_Ordini[[#This Row],[Prezzo]]-1))</f>
        <v>4.6393993141775836E-2</v>
      </c>
      <c r="P135" s="15">
        <v>-5.6259026304078252E-2</v>
      </c>
      <c r="Q135" s="3">
        <v>0.12468013956261867</v>
      </c>
      <c r="R135" s="3">
        <v>0.26135886086803484</v>
      </c>
      <c r="S135" s="3">
        <v>0.42506449123808415</v>
      </c>
      <c r="T135" s="3">
        <v>0</v>
      </c>
      <c r="U135" s="3">
        <v>0.18889650833126245</v>
      </c>
      <c r="V135" s="3"/>
      <c r="W135" s="4"/>
    </row>
    <row r="136" spans="1:23" s="1" customFormat="1" ht="24.95" customHeight="1" x14ac:dyDescent="0.2">
      <c r="A136" s="8">
        <v>46056.737187500003</v>
      </c>
      <c r="B136" s="7">
        <v>46056.737187500003</v>
      </c>
      <c r="C136" s="9" t="s">
        <v>379</v>
      </c>
      <c r="D136" s="1" t="s">
        <v>388</v>
      </c>
      <c r="E136" s="1" t="s">
        <v>389</v>
      </c>
      <c r="F136" s="1" t="s">
        <v>390</v>
      </c>
      <c r="G136" s="1" t="s">
        <v>365</v>
      </c>
      <c r="H136" s="2">
        <v>-35</v>
      </c>
      <c r="I136" s="16">
        <v>442.46769999999998</v>
      </c>
      <c r="J136" s="1" t="s">
        <v>381</v>
      </c>
      <c r="K136" s="6">
        <f>Registro_Ordini[[#This Row],[Numero]]*Registro_Ordini[[#This Row],[Prezzo]]</f>
        <v>-15486.369499999999</v>
      </c>
      <c r="L136" s="10">
        <v>1</v>
      </c>
      <c r="M136" s="6">
        <f>Registro_Ordini[[#This Row],[Importo]]*Registro_Ordini[[#This Row],[Cambio]]</f>
        <v>-15486.369499999999</v>
      </c>
      <c r="N136" s="1">
        <f ca="1">IFERROR(_xlfn.NUMBERVALUE(OFFSET(Origine,MATCH(Registro_Ordini[[#This Row],[Titolo]],Descrizioni,0),MATCH("Price",Intestazioni,0)-1,1,1)),"")</f>
        <v>422.85</v>
      </c>
      <c r="O136" s="18">
        <f ca="1">IF(OR(Registro_Ordini[[#This Row],[Price]]=0,Registro_Ordini[[#This Row],[Price]]=""),"",IF(Registro_Ordini[[#This Row],[Tipo]]="Sell",Registro_Ordini[[#This Row],[Prezzo]]/Registro_Ordini[[#This Row],[Price]]-1,Registro_Ordini[[#This Row],[Price]]/Registro_Ordini[[#This Row],[Prezzo]]-1))</f>
        <v>4.6393993141775836E-2</v>
      </c>
      <c r="P136" s="15">
        <v>-2.4626224747866576E-2</v>
      </c>
      <c r="Q136" s="3">
        <v>0.11963524367129699</v>
      </c>
      <c r="R136" s="3">
        <v>0.32788960531197103</v>
      </c>
      <c r="S136" s="3">
        <v>0.40325410178907051</v>
      </c>
      <c r="T136" s="3">
        <v>0</v>
      </c>
      <c r="U136" s="3">
        <v>0.14922104922766138</v>
      </c>
      <c r="V136" s="3"/>
      <c r="W136" s="4"/>
    </row>
    <row r="137" spans="1:23" s="1" customFormat="1" ht="24.95" customHeight="1" x14ac:dyDescent="0.2">
      <c r="A137" s="8">
        <v>46056.737164351849</v>
      </c>
      <c r="B137" s="7">
        <v>46056.737164351849</v>
      </c>
      <c r="C137" s="9" t="s">
        <v>382</v>
      </c>
      <c r="D137" s="1" t="s">
        <v>388</v>
      </c>
      <c r="E137" s="1" t="s">
        <v>389</v>
      </c>
      <c r="F137" s="1" t="s">
        <v>390</v>
      </c>
      <c r="G137" s="1" t="s">
        <v>365</v>
      </c>
      <c r="H137" s="2">
        <v>-65</v>
      </c>
      <c r="I137" s="16">
        <v>442.46769999999998</v>
      </c>
      <c r="J137" s="1" t="s">
        <v>381</v>
      </c>
      <c r="K137" s="6">
        <f>Registro_Ordini[[#This Row],[Numero]]*Registro_Ordini[[#This Row],[Prezzo]]</f>
        <v>-28760.4005</v>
      </c>
      <c r="L137" s="10">
        <v>1</v>
      </c>
      <c r="M137" s="6">
        <f>Registro_Ordini[[#This Row],[Importo]]*Registro_Ordini[[#This Row],[Cambio]]</f>
        <v>-28760.4005</v>
      </c>
      <c r="N137" s="1">
        <f ca="1">IFERROR(_xlfn.NUMBERVALUE(OFFSET(Origine,MATCH(Registro_Ordini[[#This Row],[Titolo]],Descrizioni,0),MATCH("Price",Intestazioni,0)-1,1,1)),"")</f>
        <v>422.85</v>
      </c>
      <c r="O137" s="18">
        <f ca="1">IF(OR(Registro_Ordini[[#This Row],[Price]]=0,Registro_Ordini[[#This Row],[Price]]=""),"",IF(Registro_Ordini[[#This Row],[Tipo]]="Sell",Registro_Ordini[[#This Row],[Prezzo]]/Registro_Ordini[[#This Row],[Price]]-1,Registro_Ordini[[#This Row],[Price]]/Registro_Ordini[[#This Row],[Prezzo]]-1))</f>
        <v>4.6393993141775836E-2</v>
      </c>
      <c r="P137" s="15">
        <v>-2.522084377607926E-2</v>
      </c>
      <c r="Q137" s="3">
        <v>0.11703252070548681</v>
      </c>
      <c r="R137" s="3">
        <v>0.31976767113766813</v>
      </c>
      <c r="S137" s="3">
        <v>0.40637609636598876</v>
      </c>
      <c r="T137" s="3">
        <v>0</v>
      </c>
      <c r="U137" s="3">
        <v>0.15682371179085636</v>
      </c>
      <c r="V137" s="3"/>
      <c r="W137" s="4"/>
    </row>
    <row r="138" spans="1:23" s="1" customFormat="1" ht="24.95" customHeight="1" x14ac:dyDescent="0.2">
      <c r="A138" s="8">
        <v>46056.73715277778</v>
      </c>
      <c r="B138" s="7">
        <v>46056.73715277778</v>
      </c>
      <c r="C138" s="9" t="s">
        <v>383</v>
      </c>
      <c r="D138" s="1" t="s">
        <v>388</v>
      </c>
      <c r="E138" s="1" t="s">
        <v>389</v>
      </c>
      <c r="F138" s="1" t="s">
        <v>390</v>
      </c>
      <c r="G138" s="1" t="s">
        <v>365</v>
      </c>
      <c r="H138" s="2">
        <v>-40</v>
      </c>
      <c r="I138" s="16">
        <v>442.46769999999998</v>
      </c>
      <c r="J138" s="1" t="s">
        <v>381</v>
      </c>
      <c r="K138" s="6">
        <f>Registro_Ordini[[#This Row],[Numero]]*Registro_Ordini[[#This Row],[Prezzo]]</f>
        <v>-17698.707999999999</v>
      </c>
      <c r="L138" s="10">
        <v>1</v>
      </c>
      <c r="M138" s="6">
        <f>Registro_Ordini[[#This Row],[Importo]]*Registro_Ordini[[#This Row],[Cambio]]</f>
        <v>-17698.707999999999</v>
      </c>
      <c r="N138" s="1">
        <f ca="1">IFERROR(_xlfn.NUMBERVALUE(OFFSET(Origine,MATCH(Registro_Ordini[[#This Row],[Titolo]],Descrizioni,0),MATCH("Price",Intestazioni,0)-1,1,1)),"")</f>
        <v>422.85</v>
      </c>
      <c r="O138" s="18">
        <f ca="1">IF(OR(Registro_Ordini[[#This Row],[Price]]=0,Registro_Ordini[[#This Row],[Price]]=""),"",IF(Registro_Ordini[[#This Row],[Tipo]]="Sell",Registro_Ordini[[#This Row],[Prezzo]]/Registro_Ordini[[#This Row],[Price]]-1,Registro_Ordini[[#This Row],[Price]]/Registro_Ordini[[#This Row],[Prezzo]]-1))</f>
        <v>4.6393993141775836E-2</v>
      </c>
      <c r="P138" s="15">
        <v>-2.5617679009956002E-2</v>
      </c>
      <c r="Q138" s="3">
        <v>0.11846854170420854</v>
      </c>
      <c r="R138" s="3">
        <v>0.32767856795789696</v>
      </c>
      <c r="S138" s="3">
        <v>0.40173966325399496</v>
      </c>
      <c r="T138" s="3">
        <v>0</v>
      </c>
      <c r="U138" s="3">
        <v>0.1521132270838996</v>
      </c>
      <c r="V138" s="3"/>
      <c r="W138" s="4"/>
    </row>
    <row r="139" spans="1:23" s="1" customFormat="1" ht="24.95" customHeight="1" x14ac:dyDescent="0.2">
      <c r="A139" s="8">
        <v>46056.732141203705</v>
      </c>
      <c r="B139" s="7">
        <v>46056.732141203705</v>
      </c>
      <c r="C139" s="9" t="s">
        <v>78</v>
      </c>
      <c r="D139" s="1" t="s">
        <v>388</v>
      </c>
      <c r="E139" s="1" t="s">
        <v>389</v>
      </c>
      <c r="F139" s="1" t="s">
        <v>402</v>
      </c>
      <c r="G139" s="1" t="s">
        <v>365</v>
      </c>
      <c r="H139" s="2">
        <v>-70</v>
      </c>
      <c r="I139" s="17">
        <v>407.73379999999997</v>
      </c>
      <c r="J139" s="1" t="s">
        <v>369</v>
      </c>
      <c r="K139" s="6">
        <f>Registro_Ordini[[#This Row],[Numero]]*Registro_Ordini[[#This Row],[Prezzo]]</f>
        <v>-28541.365999999998</v>
      </c>
      <c r="L139" s="10">
        <v>1.00000014</v>
      </c>
      <c r="M139" s="6">
        <f>Registro_Ordini[[#This Row],[Importo]]*Registro_Ordini[[#This Row],[Cambio]]</f>
        <v>-28541.369995791239</v>
      </c>
      <c r="N139" s="1">
        <f ca="1">IFERROR(_xlfn.NUMBERVALUE(OFFSET(Origine,MATCH(Registro_Ordini[[#This Row],[Titolo]],Descrizioni,0),MATCH("Price",Intestazioni,0)-1,1,1)),"")</f>
        <v>392.75</v>
      </c>
      <c r="O139" s="18">
        <f ca="1">IF(OR(Registro_Ordini[[#This Row],[Price]]=0,Registro_Ordini[[#This Row],[Price]]=""),"",IF(Registro_Ordini[[#This Row],[Tipo]]="Sell",Registro_Ordini[[#This Row],[Prezzo]]/Registro_Ordini[[#This Row],[Price]]-1,Registro_Ordini[[#This Row],[Price]]/Registro_Ordini[[#This Row],[Prezzo]]-1))</f>
        <v>3.8150986632717876E-2</v>
      </c>
      <c r="P139" s="15">
        <v>-4.5361000698578513E-2</v>
      </c>
      <c r="Q139" s="3">
        <v>0.15625089263463834</v>
      </c>
      <c r="R139" s="3">
        <v>0.1269142651009369</v>
      </c>
      <c r="S139" s="3">
        <v>0.5957081720573606</v>
      </c>
      <c r="T139" s="3">
        <v>0</v>
      </c>
      <c r="U139" s="3">
        <v>0.12112667020706415</v>
      </c>
      <c r="V139" s="3"/>
      <c r="W139" s="4"/>
    </row>
    <row r="140" spans="1:23" s="1" customFormat="1" ht="24.95" customHeight="1" x14ac:dyDescent="0.2">
      <c r="A140" s="8">
        <v>46056.731956018521</v>
      </c>
      <c r="B140" s="7">
        <v>46056.731956018521</v>
      </c>
      <c r="C140" s="9" t="s">
        <v>367</v>
      </c>
      <c r="D140" s="1" t="s">
        <v>388</v>
      </c>
      <c r="E140" s="1" t="s">
        <v>389</v>
      </c>
      <c r="F140" s="1" t="s">
        <v>402</v>
      </c>
      <c r="G140" s="1" t="s">
        <v>365</v>
      </c>
      <c r="H140" s="2">
        <v>-180</v>
      </c>
      <c r="I140" s="17">
        <v>408.45800000000003</v>
      </c>
      <c r="J140" s="1" t="s">
        <v>369</v>
      </c>
      <c r="K140" s="6">
        <f>Registro_Ordini[[#This Row],[Numero]]*Registro_Ordini[[#This Row],[Prezzo]]</f>
        <v>-73522.44</v>
      </c>
      <c r="L140" s="10">
        <v>1.00000014</v>
      </c>
      <c r="M140" s="6">
        <f>Registro_Ordini[[#This Row],[Importo]]*Registro_Ordini[[#This Row],[Cambio]]</f>
        <v>-73522.450293141606</v>
      </c>
      <c r="N140" s="1">
        <f ca="1">IFERROR(_xlfn.NUMBERVALUE(OFFSET(Origine,MATCH(Registro_Ordini[[#This Row],[Titolo]],Descrizioni,0),MATCH("Price",Intestazioni,0)-1,1,1)),"")</f>
        <v>392.75</v>
      </c>
      <c r="O140" s="18">
        <f ca="1">IF(OR(Registro_Ordini[[#This Row],[Price]]=0,Registro_Ordini[[#This Row],[Price]]=""),"",IF(Registro_Ordini[[#This Row],[Tipo]]="Sell",Registro_Ordini[[#This Row],[Prezzo]]/Registro_Ordini[[#This Row],[Price]]-1,Registro_Ordini[[#This Row],[Price]]/Registro_Ordini[[#This Row],[Prezzo]]-1))</f>
        <v>3.9994907702100679E-2</v>
      </c>
      <c r="P140" s="15">
        <v>-2.0619497640626882E-2</v>
      </c>
      <c r="Q140" s="3">
        <v>0.15904062977766434</v>
      </c>
      <c r="R140" s="3">
        <v>0.36572853161035107</v>
      </c>
      <c r="S140" s="3">
        <v>0.38086270164365382</v>
      </c>
      <c r="T140" s="3">
        <v>0</v>
      </c>
      <c r="U140" s="3">
        <v>9.4368136968330588E-2</v>
      </c>
      <c r="V140" s="3"/>
      <c r="W140" s="4"/>
    </row>
    <row r="141" spans="1:23" s="1" customFormat="1" ht="24.95" customHeight="1" x14ac:dyDescent="0.2">
      <c r="A141" s="8">
        <v>46056.731944444444</v>
      </c>
      <c r="B141" s="7">
        <v>46056.731944444444</v>
      </c>
      <c r="C141" s="9" t="s">
        <v>375</v>
      </c>
      <c r="D141" s="1" t="s">
        <v>388</v>
      </c>
      <c r="E141" s="1" t="s">
        <v>389</v>
      </c>
      <c r="F141" s="1" t="s">
        <v>402</v>
      </c>
      <c r="G141" s="1" t="s">
        <v>365</v>
      </c>
      <c r="H141" s="2">
        <v>-40</v>
      </c>
      <c r="I141" s="17">
        <v>407.73379999999997</v>
      </c>
      <c r="J141" s="1" t="s">
        <v>369</v>
      </c>
      <c r="K141" s="6">
        <f>Registro_Ordini[[#This Row],[Numero]]*Registro_Ordini[[#This Row],[Prezzo]]</f>
        <v>-16309.351999999999</v>
      </c>
      <c r="L141" s="10">
        <v>1.00000014</v>
      </c>
      <c r="M141" s="6">
        <f>Registro_Ordini[[#This Row],[Importo]]*Registro_Ordini[[#This Row],[Cambio]]</f>
        <v>-16309.35428330928</v>
      </c>
      <c r="N141" s="1">
        <f ca="1">IFERROR(_xlfn.NUMBERVALUE(OFFSET(Origine,MATCH(Registro_Ordini[[#This Row],[Titolo]],Descrizioni,0),MATCH("Price",Intestazioni,0)-1,1,1)),"")</f>
        <v>392.75</v>
      </c>
      <c r="O141" s="18">
        <f ca="1">IF(OR(Registro_Ordini[[#This Row],[Price]]=0,Registro_Ordini[[#This Row],[Price]]=""),"",IF(Registro_Ordini[[#This Row],[Tipo]]="Sell",Registro_Ordini[[#This Row],[Prezzo]]/Registro_Ordini[[#This Row],[Price]]-1,Registro_Ordini[[#This Row],[Price]]/Registro_Ordini[[#This Row],[Prezzo]]-1))</f>
        <v>3.8150986632717876E-2</v>
      </c>
      <c r="P141" s="15">
        <v>-1.8465038603196871E-2</v>
      </c>
      <c r="Q141" s="3">
        <v>0.11353139730258108</v>
      </c>
      <c r="R141" s="3">
        <v>0.3244135387919771</v>
      </c>
      <c r="S141" s="3">
        <v>0.41802600294787651</v>
      </c>
      <c r="T141" s="3">
        <v>0</v>
      </c>
      <c r="U141" s="3">
        <v>0.14402906095756524</v>
      </c>
      <c r="V141" s="3"/>
      <c r="W141" s="4"/>
    </row>
    <row r="142" spans="1:23" s="1" customFormat="1" ht="24.95" customHeight="1" x14ac:dyDescent="0.2">
      <c r="A142" s="8">
        <v>46056.731932870367</v>
      </c>
      <c r="B142" s="7">
        <v>46056.731932870367</v>
      </c>
      <c r="C142" s="9" t="s">
        <v>376</v>
      </c>
      <c r="D142" s="1" t="s">
        <v>388</v>
      </c>
      <c r="E142" s="1" t="s">
        <v>389</v>
      </c>
      <c r="F142" s="1" t="s">
        <v>402</v>
      </c>
      <c r="G142" s="1" t="s">
        <v>365</v>
      </c>
      <c r="H142" s="2">
        <v>-15</v>
      </c>
      <c r="I142" s="17">
        <v>407.73379999999997</v>
      </c>
      <c r="J142" s="1" t="s">
        <v>369</v>
      </c>
      <c r="K142" s="6">
        <f>Registro_Ordini[[#This Row],[Numero]]*Registro_Ordini[[#This Row],[Prezzo]]</f>
        <v>-6116.0069999999996</v>
      </c>
      <c r="L142" s="10">
        <v>1.00000014</v>
      </c>
      <c r="M142" s="6">
        <f>Registro_Ordini[[#This Row],[Importo]]*Registro_Ordini[[#This Row],[Cambio]]</f>
        <v>-6116.0078562409799</v>
      </c>
      <c r="N142" s="1">
        <f ca="1">IFERROR(_xlfn.NUMBERVALUE(OFFSET(Origine,MATCH(Registro_Ordini[[#This Row],[Titolo]],Descrizioni,0),MATCH("Price",Intestazioni,0)-1,1,1)),"")</f>
        <v>392.75</v>
      </c>
      <c r="O142" s="18">
        <f ca="1">IF(OR(Registro_Ordini[[#This Row],[Price]]=0,Registro_Ordini[[#This Row],[Price]]=""),"",IF(Registro_Ordini[[#This Row],[Tipo]]="Sell",Registro_Ordini[[#This Row],[Prezzo]]/Registro_Ordini[[#This Row],[Price]]-1,Registro_Ordini[[#This Row],[Price]]/Registro_Ordini[[#This Row],[Prezzo]]-1))</f>
        <v>3.8150986632717876E-2</v>
      </c>
      <c r="P142" s="15">
        <v>-2.1596275310607024E-2</v>
      </c>
      <c r="Q142" s="3">
        <v>9.8697084563642887E-2</v>
      </c>
      <c r="R142" s="3">
        <v>0.26464649158500586</v>
      </c>
      <c r="S142" s="3">
        <v>0.45100027334566484</v>
      </c>
      <c r="T142" s="3">
        <v>0</v>
      </c>
      <c r="U142" s="3">
        <v>0.18565615050568632</v>
      </c>
      <c r="V142" s="3"/>
      <c r="W142" s="4"/>
    </row>
    <row r="143" spans="1:23" s="1" customFormat="1" ht="24.95" customHeight="1" x14ac:dyDescent="0.2">
      <c r="A143" s="8">
        <v>46056.731921296298</v>
      </c>
      <c r="B143" s="7">
        <v>46056.731921296298</v>
      </c>
      <c r="C143" s="9" t="s">
        <v>377</v>
      </c>
      <c r="D143" s="1" t="s">
        <v>388</v>
      </c>
      <c r="E143" s="1" t="s">
        <v>389</v>
      </c>
      <c r="F143" s="1" t="s">
        <v>402</v>
      </c>
      <c r="G143" s="1" t="s">
        <v>365</v>
      </c>
      <c r="H143" s="2">
        <v>-85</v>
      </c>
      <c r="I143" s="17">
        <v>407.73379999999997</v>
      </c>
      <c r="J143" s="1" t="s">
        <v>369</v>
      </c>
      <c r="K143" s="6">
        <f>Registro_Ordini[[#This Row],[Numero]]*Registro_Ordini[[#This Row],[Prezzo]]</f>
        <v>-34657.373</v>
      </c>
      <c r="L143" s="10">
        <v>1.00000014</v>
      </c>
      <c r="M143" s="6">
        <f>Registro_Ordini[[#This Row],[Importo]]*Registro_Ordini[[#This Row],[Cambio]]</f>
        <v>-34657.377852032223</v>
      </c>
      <c r="N143" s="1">
        <f ca="1">IFERROR(_xlfn.NUMBERVALUE(OFFSET(Origine,MATCH(Registro_Ordini[[#This Row],[Titolo]],Descrizioni,0),MATCH("Price",Intestazioni,0)-1,1,1)),"")</f>
        <v>392.75</v>
      </c>
      <c r="O143" s="18">
        <f ca="1">IF(OR(Registro_Ordini[[#This Row],[Price]]=0,Registro_Ordini[[#This Row],[Price]]=""),"",IF(Registro_Ordini[[#This Row],[Tipo]]="Sell",Registro_Ordini[[#This Row],[Prezzo]]/Registro_Ordini[[#This Row],[Price]]-1,Registro_Ordini[[#This Row],[Price]]/Registro_Ordini[[#This Row],[Prezzo]]-1))</f>
        <v>3.8150986632717876E-2</v>
      </c>
      <c r="P143" s="15">
        <v>-2.0333485180686957E-2</v>
      </c>
      <c r="Q143" s="3">
        <v>0.11348864721330594</v>
      </c>
      <c r="R143" s="3">
        <v>0.30059886027998534</v>
      </c>
      <c r="S143" s="3">
        <v>0.44907407481612549</v>
      </c>
      <c r="T143" s="3">
        <v>0</v>
      </c>
      <c r="U143" s="3">
        <v>0.13683841769058325</v>
      </c>
      <c r="V143" s="3"/>
      <c r="W143" s="4"/>
    </row>
    <row r="144" spans="1:23" s="1" customFormat="1" ht="24.95" customHeight="1" x14ac:dyDescent="0.2">
      <c r="A144" s="8">
        <v>46056.731909722221</v>
      </c>
      <c r="B144" s="7">
        <v>46056.731909722221</v>
      </c>
      <c r="C144" s="9" t="s">
        <v>378</v>
      </c>
      <c r="D144" s="1" t="s">
        <v>388</v>
      </c>
      <c r="E144" s="1" t="s">
        <v>389</v>
      </c>
      <c r="F144" s="1" t="s">
        <v>402</v>
      </c>
      <c r="G144" s="1" t="s">
        <v>365</v>
      </c>
      <c r="H144" s="2">
        <v>-30</v>
      </c>
      <c r="I144" s="17">
        <v>407.73379999999997</v>
      </c>
      <c r="J144" s="1" t="s">
        <v>369</v>
      </c>
      <c r="K144" s="6">
        <f>Registro_Ordini[[#This Row],[Numero]]*Registro_Ordini[[#This Row],[Prezzo]]</f>
        <v>-12232.013999999999</v>
      </c>
      <c r="L144" s="10">
        <v>1.00000014</v>
      </c>
      <c r="M144" s="6">
        <f>Registro_Ordini[[#This Row],[Importo]]*Registro_Ordini[[#This Row],[Cambio]]</f>
        <v>-12232.01571248196</v>
      </c>
      <c r="N144" s="1">
        <f ca="1">IFERROR(_xlfn.NUMBERVALUE(OFFSET(Origine,MATCH(Registro_Ordini[[#This Row],[Titolo]],Descrizioni,0),MATCH("Price",Intestazioni,0)-1,1,1)),"")</f>
        <v>392.75</v>
      </c>
      <c r="O144" s="18">
        <f ca="1">IF(OR(Registro_Ordini[[#This Row],[Price]]=0,Registro_Ordini[[#This Row],[Price]]=""),"",IF(Registro_Ordini[[#This Row],[Tipo]]="Sell",Registro_Ordini[[#This Row],[Prezzo]]/Registro_Ordini[[#This Row],[Price]]-1,Registro_Ordini[[#This Row],[Price]]/Registro_Ordini[[#This Row],[Prezzo]]-1))</f>
        <v>3.8150986632717876E-2</v>
      </c>
      <c r="P144" s="15">
        <v>-2.1862892989738245E-2</v>
      </c>
      <c r="Q144" s="3">
        <v>0.12344571631697031</v>
      </c>
      <c r="R144" s="3">
        <v>0.28703151614883826</v>
      </c>
      <c r="S144" s="3">
        <v>0.45193313996821999</v>
      </c>
      <c r="T144" s="3">
        <v>0</v>
      </c>
      <c r="U144" s="3">
        <v>0.13758962756597151</v>
      </c>
      <c r="V144" s="3"/>
      <c r="W144" s="4"/>
    </row>
    <row r="145" spans="1:23" s="1" customFormat="1" ht="24.95" customHeight="1" x14ac:dyDescent="0.2">
      <c r="A145" s="8">
        <v>46056.731006944443</v>
      </c>
      <c r="B145" s="7">
        <v>46056.731006944443</v>
      </c>
      <c r="C145" s="9" t="s">
        <v>379</v>
      </c>
      <c r="D145" s="1" t="s">
        <v>388</v>
      </c>
      <c r="E145" s="1" t="s">
        <v>389</v>
      </c>
      <c r="F145" s="1" t="s">
        <v>414</v>
      </c>
      <c r="G145" s="1" t="s">
        <v>365</v>
      </c>
      <c r="H145" s="2">
        <v>-120</v>
      </c>
      <c r="I145" s="17">
        <v>142.28</v>
      </c>
      <c r="J145" s="1" t="s">
        <v>366</v>
      </c>
      <c r="K145" s="6">
        <f>Registro_Ordini[[#This Row],[Numero]]*Registro_Ordini[[#This Row],[Prezzo]]</f>
        <v>-17073.599999999999</v>
      </c>
      <c r="L145" s="10">
        <v>0.84640000000000004</v>
      </c>
      <c r="M145" s="6">
        <f>Registro_Ordini[[#This Row],[Importo]]*Registro_Ordini[[#This Row],[Cambio]]</f>
        <v>-14451.09504</v>
      </c>
      <c r="N145" s="1">
        <f ca="1">IFERROR(_xlfn.NUMBERVALUE(OFFSET(Origine,MATCH(Registro_Ordini[[#This Row],[Titolo]],Descrizioni,0),MATCH("Price",Intestazioni,0)-1,1,1)),"")</f>
        <v>137.36000000000001</v>
      </c>
      <c r="O145" s="18">
        <f ca="1">IF(OR(Registro_Ordini[[#This Row],[Price]]=0,Registro_Ordini[[#This Row],[Price]]=""),"",IF(Registro_Ordini[[#This Row],[Tipo]]="Sell",Registro_Ordini[[#This Row],[Prezzo]]/Registro_Ordini[[#This Row],[Price]]-1,Registro_Ordini[[#This Row],[Price]]/Registro_Ordini[[#This Row],[Prezzo]]-1))</f>
        <v>3.5818287711123942E-2</v>
      </c>
      <c r="P145" s="15">
        <v>-2.2976870459111093E-2</v>
      </c>
      <c r="Q145" s="3">
        <v>9.499281610637772E-2</v>
      </c>
      <c r="R145" s="3">
        <v>0.32784574084445456</v>
      </c>
      <c r="S145" s="3">
        <v>0.4282381200242657</v>
      </c>
      <c r="T145" s="3">
        <v>0</v>
      </c>
      <c r="U145" s="3">
        <v>0.14892332302490208</v>
      </c>
      <c r="V145" s="3"/>
      <c r="W145" s="4"/>
    </row>
    <row r="146" spans="1:23" s="1" customFormat="1" ht="24.95" customHeight="1" x14ac:dyDescent="0.2">
      <c r="A146" s="8">
        <v>46056.730995370373</v>
      </c>
      <c r="B146" s="7">
        <v>46056.730995370373</v>
      </c>
      <c r="C146" s="9" t="s">
        <v>382</v>
      </c>
      <c r="D146" s="1" t="s">
        <v>388</v>
      </c>
      <c r="E146" s="1" t="s">
        <v>389</v>
      </c>
      <c r="F146" s="1" t="s">
        <v>414</v>
      </c>
      <c r="G146" s="1" t="s">
        <v>365</v>
      </c>
      <c r="H146" s="2">
        <v>-220</v>
      </c>
      <c r="I146" s="17">
        <v>142.28</v>
      </c>
      <c r="J146" s="1" t="s">
        <v>366</v>
      </c>
      <c r="K146" s="6">
        <f>Registro_Ordini[[#This Row],[Numero]]*Registro_Ordini[[#This Row],[Prezzo]]</f>
        <v>-31301.599999999999</v>
      </c>
      <c r="L146" s="10">
        <v>0.84640000000000004</v>
      </c>
      <c r="M146" s="6">
        <f>Registro_Ordini[[#This Row],[Importo]]*Registro_Ordini[[#This Row],[Cambio]]</f>
        <v>-26493.67424</v>
      </c>
      <c r="N146" s="1">
        <f ca="1">IFERROR(_xlfn.NUMBERVALUE(OFFSET(Origine,MATCH(Registro_Ordini[[#This Row],[Titolo]],Descrizioni,0),MATCH("Price",Intestazioni,0)-1,1,1)),"")</f>
        <v>137.36000000000001</v>
      </c>
      <c r="O146" s="18">
        <f ca="1">IF(OR(Registro_Ordini[[#This Row],[Price]]=0,Registro_Ordini[[#This Row],[Price]]=""),"",IF(Registro_Ordini[[#This Row],[Tipo]]="Sell",Registro_Ordini[[#This Row],[Prezzo]]/Registro_Ordini[[#This Row],[Price]]-1,Registro_Ordini[[#This Row],[Price]]/Registro_Ordini[[#This Row],[Prezzo]]-1))</f>
        <v>3.5818287711123942E-2</v>
      </c>
      <c r="P146" s="15">
        <v>-2.3236991495012231E-2</v>
      </c>
      <c r="Q146" s="3">
        <v>9.1821834565390781E-2</v>
      </c>
      <c r="R146" s="3">
        <v>0.31982144300403892</v>
      </c>
      <c r="S146" s="3">
        <v>0.43209459436589842</v>
      </c>
      <c r="T146" s="3">
        <v>0</v>
      </c>
      <c r="U146" s="3">
        <v>0.15626212806467199</v>
      </c>
      <c r="V146" s="3"/>
      <c r="W146" s="4"/>
    </row>
    <row r="147" spans="1:23" s="1" customFormat="1" ht="24.95" customHeight="1" x14ac:dyDescent="0.2">
      <c r="A147" s="8">
        <v>46056.730983796297</v>
      </c>
      <c r="B147" s="7">
        <v>46056.730983796297</v>
      </c>
      <c r="C147" s="9" t="s">
        <v>383</v>
      </c>
      <c r="D147" s="1" t="s">
        <v>388</v>
      </c>
      <c r="E147" s="1" t="s">
        <v>389</v>
      </c>
      <c r="F147" s="1" t="s">
        <v>414</v>
      </c>
      <c r="G147" s="1" t="s">
        <v>365</v>
      </c>
      <c r="H147" s="2">
        <v>-130</v>
      </c>
      <c r="I147" s="17">
        <v>142.28</v>
      </c>
      <c r="J147" s="1" t="s">
        <v>366</v>
      </c>
      <c r="K147" s="6">
        <f>Registro_Ordini[[#This Row],[Numero]]*Registro_Ordini[[#This Row],[Prezzo]]</f>
        <v>-18496.400000000001</v>
      </c>
      <c r="L147" s="10">
        <v>0.84640000000000004</v>
      </c>
      <c r="M147" s="6">
        <f>Registro_Ordini[[#This Row],[Importo]]*Registro_Ordini[[#This Row],[Cambio]]</f>
        <v>-15655.352960000002</v>
      </c>
      <c r="N147" s="1">
        <f ca="1">IFERROR(_xlfn.NUMBERVALUE(OFFSET(Origine,MATCH(Registro_Ordini[[#This Row],[Titolo]],Descrizioni,0),MATCH("Price",Intestazioni,0)-1,1,1)),"")</f>
        <v>137.36000000000001</v>
      </c>
      <c r="O147" s="18">
        <f ca="1">IF(OR(Registro_Ordini[[#This Row],[Price]]=0,Registro_Ordini[[#This Row],[Price]]=""),"",IF(Registro_Ordini[[#This Row],[Tipo]]="Sell",Registro_Ordini[[#This Row],[Prezzo]]/Registro_Ordini[[#This Row],[Price]]-1,Registro_Ordini[[#This Row],[Price]]/Registro_Ordini[[#This Row],[Prezzo]]-1))</f>
        <v>3.5818287711123942E-2</v>
      </c>
      <c r="P147" s="15">
        <v>-2.2664535536279156E-2</v>
      </c>
      <c r="Q147" s="3">
        <v>9.2864547358262314E-2</v>
      </c>
      <c r="R147" s="3">
        <v>0.32774326925232944</v>
      </c>
      <c r="S147" s="3">
        <v>0.42787237553433183</v>
      </c>
      <c r="T147" s="3">
        <v>0</v>
      </c>
      <c r="U147" s="3">
        <v>0.15151980785507649</v>
      </c>
      <c r="V147" s="3"/>
      <c r="W147" s="4"/>
    </row>
    <row r="148" spans="1:23" s="1" customFormat="1" ht="24.95" customHeight="1" x14ac:dyDescent="0.2">
      <c r="A148" s="8">
        <v>46056.730451388888</v>
      </c>
      <c r="B148" s="7">
        <v>46056.730451388888</v>
      </c>
      <c r="C148" s="9" t="s">
        <v>78</v>
      </c>
      <c r="D148" s="1" t="s">
        <v>388</v>
      </c>
      <c r="E148" s="1" t="s">
        <v>389</v>
      </c>
      <c r="F148" s="1" t="s">
        <v>414</v>
      </c>
      <c r="G148" s="1" t="s">
        <v>365</v>
      </c>
      <c r="H148" s="2">
        <v>-100</v>
      </c>
      <c r="I148" s="17">
        <v>142.28</v>
      </c>
      <c r="J148" s="1" t="s">
        <v>366</v>
      </c>
      <c r="K148" s="6">
        <f>Registro_Ordini[[#This Row],[Numero]]*Registro_Ordini[[#This Row],[Prezzo]]</f>
        <v>-14228</v>
      </c>
      <c r="L148" s="10">
        <v>0.77505000000000002</v>
      </c>
      <c r="M148" s="6">
        <f>Registro_Ordini[[#This Row],[Importo]]*Registro_Ordini[[#This Row],[Cambio]]</f>
        <v>-11027.411400000001</v>
      </c>
      <c r="N148" s="1">
        <f ca="1">IFERROR(_xlfn.NUMBERVALUE(OFFSET(Origine,MATCH(Registro_Ordini[[#This Row],[Titolo]],Descrizioni,0),MATCH("Price",Intestazioni,0)-1,1,1)),"")</f>
        <v>137.36000000000001</v>
      </c>
      <c r="O148" s="18">
        <f ca="1">IF(OR(Registro_Ordini[[#This Row],[Price]]=0,Registro_Ordini[[#This Row],[Price]]=""),"",IF(Registro_Ordini[[#This Row],[Tipo]]="Sell",Registro_Ordini[[#This Row],[Prezzo]]/Registro_Ordini[[#This Row],[Price]]-1,Registro_Ordini[[#This Row],[Price]]/Registro_Ordini[[#This Row],[Prezzo]]-1))</f>
        <v>3.5818287711123942E-2</v>
      </c>
      <c r="P148" s="15">
        <v>-1.7535520725043829E-2</v>
      </c>
      <c r="Q148" s="3">
        <v>0.11094321244877953</v>
      </c>
      <c r="R148" s="3">
        <v>0.12698362417432343</v>
      </c>
      <c r="S148" s="3">
        <v>0.64147184244882882</v>
      </c>
      <c r="T148" s="3">
        <v>0</v>
      </c>
      <c r="U148" s="3">
        <v>0.12060132092806829</v>
      </c>
      <c r="V148" s="3"/>
      <c r="W148" s="4"/>
    </row>
    <row r="149" spans="1:23" s="1" customFormat="1" ht="24.95" customHeight="1" x14ac:dyDescent="0.2">
      <c r="A149" s="8">
        <v>46056.730173611111</v>
      </c>
      <c r="B149" s="7">
        <v>46056.730173611111</v>
      </c>
      <c r="C149" s="9" t="s">
        <v>367</v>
      </c>
      <c r="D149" s="1" t="s">
        <v>388</v>
      </c>
      <c r="E149" s="1" t="s">
        <v>389</v>
      </c>
      <c r="F149" s="1" t="s">
        <v>414</v>
      </c>
      <c r="G149" s="1" t="s">
        <v>365</v>
      </c>
      <c r="H149" s="2">
        <v>-450</v>
      </c>
      <c r="I149" s="17">
        <v>142.771333</v>
      </c>
      <c r="J149" s="1" t="s">
        <v>366</v>
      </c>
      <c r="K149" s="6">
        <f>Registro_Ordini[[#This Row],[Numero]]*Registro_Ordini[[#This Row],[Prezzo]]</f>
        <v>-64247.099849999999</v>
      </c>
      <c r="L149" s="10">
        <v>0.77505000000000002</v>
      </c>
      <c r="M149" s="6">
        <f>Registro_Ordini[[#This Row],[Importo]]*Registro_Ordini[[#This Row],[Cambio]]</f>
        <v>-49794.714738742499</v>
      </c>
      <c r="N149" s="1">
        <f ca="1">IFERROR(_xlfn.NUMBERVALUE(OFFSET(Origine,MATCH(Registro_Ordini[[#This Row],[Titolo]],Descrizioni,0),MATCH("Price",Intestazioni,0)-1,1,1)),"")</f>
        <v>137.36000000000001</v>
      </c>
      <c r="O149" s="18">
        <f ca="1">IF(OR(Registro_Ordini[[#This Row],[Price]]=0,Registro_Ordini[[#This Row],[Price]]=""),"",IF(Registro_Ordini[[#This Row],[Tipo]]="Sell",Registro_Ordini[[#This Row],[Prezzo]]/Registro_Ordini[[#This Row],[Price]]-1,Registro_Ordini[[#This Row],[Price]]/Registro_Ordini[[#This Row],[Prezzo]]-1))</f>
        <v>3.9395260629004003E-2</v>
      </c>
      <c r="P149" s="15">
        <v>-1.3943216833514143E-2</v>
      </c>
      <c r="Q149" s="3">
        <v>0.13841752346019442</v>
      </c>
      <c r="R149" s="3">
        <v>0.36576903209219364</v>
      </c>
      <c r="S149" s="3">
        <v>0.40154724962741084</v>
      </c>
      <c r="T149" s="3">
        <v>0</v>
      </c>
      <c r="U149" s="3">
        <v>9.426619482020096E-2</v>
      </c>
      <c r="V149" s="3"/>
      <c r="W149" s="4"/>
    </row>
    <row r="150" spans="1:23" s="1" customFormat="1" ht="24.95" customHeight="1" x14ac:dyDescent="0.2">
      <c r="A150" s="8">
        <v>46056.730162037034</v>
      </c>
      <c r="B150" s="7">
        <v>46056.730162037034</v>
      </c>
      <c r="C150" s="9" t="s">
        <v>375</v>
      </c>
      <c r="D150" s="1" t="s">
        <v>388</v>
      </c>
      <c r="E150" s="1" t="s">
        <v>389</v>
      </c>
      <c r="F150" s="1" t="s">
        <v>414</v>
      </c>
      <c r="G150" s="1" t="s">
        <v>365</v>
      </c>
      <c r="H150" s="2">
        <v>-96</v>
      </c>
      <c r="I150" s="17">
        <v>142.28</v>
      </c>
      <c r="J150" s="1" t="s">
        <v>366</v>
      </c>
      <c r="K150" s="6">
        <f>Registro_Ordini[[#This Row],[Numero]]*Registro_Ordini[[#This Row],[Prezzo]]</f>
        <v>-13658.880000000001</v>
      </c>
      <c r="L150" s="10">
        <v>0.77505000000000002</v>
      </c>
      <c r="M150" s="6">
        <f>Registro_Ordini[[#This Row],[Importo]]*Registro_Ordini[[#This Row],[Cambio]]</f>
        <v>-10586.314944000002</v>
      </c>
      <c r="N150" s="1">
        <f ca="1">IFERROR(_xlfn.NUMBERVALUE(OFFSET(Origine,MATCH(Registro_Ordini[[#This Row],[Titolo]],Descrizioni,0),MATCH("Price",Intestazioni,0)-1,1,1)),"")</f>
        <v>137.36000000000001</v>
      </c>
      <c r="O150" s="18">
        <f ca="1">IF(OR(Registro_Ordini[[#This Row],[Price]]=0,Registro_Ordini[[#This Row],[Price]]=""),"",IF(Registro_Ordini[[#This Row],[Tipo]]="Sell",Registro_Ordini[[#This Row],[Prezzo]]/Registro_Ordini[[#This Row],[Price]]-1,Registro_Ordini[[#This Row],[Price]]/Registro_Ordini[[#This Row],[Prezzo]]-1))</f>
        <v>3.5818287711123942E-2</v>
      </c>
      <c r="P150" s="15">
        <v>-1.1987471908591797E-2</v>
      </c>
      <c r="Q150" s="3">
        <v>9.5077197695443622E-2</v>
      </c>
      <c r="R150" s="3">
        <v>0.32446533864013932</v>
      </c>
      <c r="S150" s="3">
        <v>0.43656393505047864</v>
      </c>
      <c r="T150" s="3">
        <v>0</v>
      </c>
      <c r="U150" s="3">
        <v>0.14389352861393845</v>
      </c>
      <c r="V150" s="3"/>
      <c r="W150" s="4"/>
    </row>
    <row r="151" spans="1:23" s="1" customFormat="1" ht="24.95" customHeight="1" x14ac:dyDescent="0.2">
      <c r="A151" s="8">
        <v>46056.730150462965</v>
      </c>
      <c r="B151" s="7">
        <v>46056.730150462965</v>
      </c>
      <c r="C151" s="9" t="s">
        <v>376</v>
      </c>
      <c r="D151" s="1" t="s">
        <v>388</v>
      </c>
      <c r="E151" s="1" t="s">
        <v>389</v>
      </c>
      <c r="F151" s="1" t="s">
        <v>414</v>
      </c>
      <c r="G151" s="1" t="s">
        <v>365</v>
      </c>
      <c r="H151" s="2">
        <v>-40</v>
      </c>
      <c r="I151" s="17">
        <v>142.28</v>
      </c>
      <c r="J151" s="1" t="s">
        <v>366</v>
      </c>
      <c r="K151" s="6">
        <f>Registro_Ordini[[#This Row],[Numero]]*Registro_Ordini[[#This Row],[Prezzo]]</f>
        <v>-5691.2</v>
      </c>
      <c r="L151" s="10">
        <v>0.77505000000000002</v>
      </c>
      <c r="M151" s="6">
        <f>Registro_Ordini[[#This Row],[Importo]]*Registro_Ordini[[#This Row],[Cambio]]</f>
        <v>-4410.9645600000003</v>
      </c>
      <c r="N151" s="1">
        <f ca="1">IFERROR(_xlfn.NUMBERVALUE(OFFSET(Origine,MATCH(Registro_Ordini[[#This Row],[Titolo]],Descrizioni,0),MATCH("Price",Intestazioni,0)-1,1,1)),"")</f>
        <v>137.36000000000001</v>
      </c>
      <c r="O151" s="18">
        <f ca="1">IF(OR(Registro_Ordini[[#This Row],[Price]]=0,Registro_Ordini[[#This Row],[Price]]=""),"",IF(Registro_Ordini[[#This Row],[Tipo]]="Sell",Registro_Ordini[[#This Row],[Prezzo]]/Registro_Ordini[[#This Row],[Price]]-1,Registro_Ordini[[#This Row],[Price]]/Registro_Ordini[[#This Row],[Prezzo]]-1))</f>
        <v>3.5818287711123942E-2</v>
      </c>
      <c r="P151" s="15">
        <v>-1.5588666535383015E-2</v>
      </c>
      <c r="Q151" s="3">
        <v>7.7157872294273455E-2</v>
      </c>
      <c r="R151" s="3">
        <v>0.2648687480636126</v>
      </c>
      <c r="S151" s="3">
        <v>0.47302039611914326</v>
      </c>
      <c r="T151" s="3">
        <v>0</v>
      </c>
      <c r="U151" s="3">
        <v>0.18495298352297071</v>
      </c>
      <c r="V151" s="3"/>
      <c r="W151" s="4"/>
    </row>
    <row r="152" spans="1:23" s="1" customFormat="1" ht="24.95" customHeight="1" x14ac:dyDescent="0.2">
      <c r="A152" s="8">
        <v>46056.730138888888</v>
      </c>
      <c r="B152" s="7">
        <v>46056.730138888888</v>
      </c>
      <c r="C152" s="9" t="s">
        <v>377</v>
      </c>
      <c r="D152" s="1" t="s">
        <v>388</v>
      </c>
      <c r="E152" s="1" t="s">
        <v>389</v>
      </c>
      <c r="F152" s="1" t="s">
        <v>414</v>
      </c>
      <c r="G152" s="1" t="s">
        <v>365</v>
      </c>
      <c r="H152" s="2">
        <v>-220</v>
      </c>
      <c r="I152" s="17">
        <v>142.28</v>
      </c>
      <c r="J152" s="1" t="s">
        <v>366</v>
      </c>
      <c r="K152" s="6">
        <f>Registro_Ordini[[#This Row],[Numero]]*Registro_Ordini[[#This Row],[Prezzo]]</f>
        <v>-31301.599999999999</v>
      </c>
      <c r="L152" s="10">
        <v>0.77505000000000002</v>
      </c>
      <c r="M152" s="6">
        <f>Registro_Ordini[[#This Row],[Importo]]*Registro_Ordini[[#This Row],[Cambio]]</f>
        <v>-24260.305079999998</v>
      </c>
      <c r="N152" s="1">
        <f ca="1">IFERROR(_xlfn.NUMBERVALUE(OFFSET(Origine,MATCH(Registro_Ordini[[#This Row],[Titolo]],Descrizioni,0),MATCH("Price",Intestazioni,0)-1,1,1)),"")</f>
        <v>137.36000000000001</v>
      </c>
      <c r="O152" s="18">
        <f ca="1">IF(OR(Registro_Ordini[[#This Row],[Price]]=0,Registro_Ordini[[#This Row],[Price]]=""),"",IF(Registro_Ordini[[#This Row],[Tipo]]="Sell",Registro_Ordini[[#This Row],[Prezzo]]/Registro_Ordini[[#This Row],[Price]]-1,Registro_Ordini[[#This Row],[Price]]/Registro_Ordini[[#This Row],[Prezzo]]-1))</f>
        <v>3.5818287711123942E-2</v>
      </c>
      <c r="P152" s="15">
        <v>-1.4233499104614284E-2</v>
      </c>
      <c r="Q152" s="3">
        <v>9.3145555159435692E-2</v>
      </c>
      <c r="R152" s="3">
        <v>0.30059837449351107</v>
      </c>
      <c r="S152" s="3">
        <v>0.46941787379587302</v>
      </c>
      <c r="T152" s="3">
        <v>0</v>
      </c>
      <c r="U152" s="3">
        <v>0.13683819655118035</v>
      </c>
      <c r="V152" s="3"/>
      <c r="W152" s="4"/>
    </row>
    <row r="153" spans="1:23" s="1" customFormat="1" ht="24.95" customHeight="1" x14ac:dyDescent="0.2">
      <c r="A153" s="8">
        <v>46056.730127314811</v>
      </c>
      <c r="B153" s="7">
        <v>46056.730127314811</v>
      </c>
      <c r="C153" s="9" t="s">
        <v>378</v>
      </c>
      <c r="D153" s="1" t="s">
        <v>388</v>
      </c>
      <c r="E153" s="1" t="s">
        <v>389</v>
      </c>
      <c r="F153" s="1" t="s">
        <v>414</v>
      </c>
      <c r="G153" s="1" t="s">
        <v>365</v>
      </c>
      <c r="H153" s="2">
        <v>-70</v>
      </c>
      <c r="I153" s="17">
        <v>142.28</v>
      </c>
      <c r="J153" s="1" t="s">
        <v>366</v>
      </c>
      <c r="K153" s="6">
        <f>Registro_Ordini[[#This Row],[Numero]]*Registro_Ordini[[#This Row],[Prezzo]]</f>
        <v>-9959.6</v>
      </c>
      <c r="L153" s="10">
        <v>0.77505000000000002</v>
      </c>
      <c r="M153" s="6">
        <f>Registro_Ordini[[#This Row],[Importo]]*Registro_Ordini[[#This Row],[Cambio]]</f>
        <v>-7719.1879800000006</v>
      </c>
      <c r="N153" s="1">
        <f ca="1">IFERROR(_xlfn.NUMBERVALUE(OFFSET(Origine,MATCH(Registro_Ordini[[#This Row],[Titolo]],Descrizioni,0),MATCH("Price",Intestazioni,0)-1,1,1)),"")</f>
        <v>137.36000000000001</v>
      </c>
      <c r="O153" s="18">
        <f ca="1">IF(OR(Registro_Ordini[[#This Row],[Price]]=0,Registro_Ordini[[#This Row],[Price]]=""),"",IF(Registro_Ordini[[#This Row],[Tipo]]="Sell",Registro_Ordini[[#This Row],[Prezzo]]/Registro_Ordini[[#This Row],[Price]]-1,Registro_Ordini[[#This Row],[Price]]/Registro_Ordini[[#This Row],[Prezzo]]-1))</f>
        <v>3.5818287711123942E-2</v>
      </c>
      <c r="P153" s="15">
        <v>-1.3805845508382399E-2</v>
      </c>
      <c r="Q153" s="3">
        <v>0.10164253280633012</v>
      </c>
      <c r="R153" s="3">
        <v>0.28721781782591099</v>
      </c>
      <c r="S153" s="3">
        <v>0.47411563185059674</v>
      </c>
      <c r="T153" s="3">
        <v>0</v>
      </c>
      <c r="U153" s="3">
        <v>0.13702401751716209</v>
      </c>
      <c r="V153" s="3"/>
      <c r="W153" s="4"/>
    </row>
    <row r="154" spans="1:23" s="1" customFormat="1" ht="24.95" customHeight="1" x14ac:dyDescent="0.2">
      <c r="A154" s="738">
        <v>46056</v>
      </c>
      <c r="B154" s="739">
        <v>46065.677905092591</v>
      </c>
      <c r="C154" s="611" t="s">
        <v>373</v>
      </c>
      <c r="D154" s="142" t="s">
        <v>388</v>
      </c>
      <c r="E154" s="142" t="s">
        <v>389</v>
      </c>
      <c r="F154" s="142" t="s">
        <v>4300</v>
      </c>
      <c r="G154" s="142" t="s">
        <v>371</v>
      </c>
      <c r="H154" s="740">
        <v>1570</v>
      </c>
      <c r="I154" s="741">
        <v>9.2325999999999997</v>
      </c>
      <c r="J154" s="142" t="s">
        <v>369</v>
      </c>
      <c r="K154" s="617">
        <f>Registro_Ordini[[#This Row],[Numero]]*Registro_Ordini[[#This Row],[Prezzo]]</f>
        <v>14495.181999999999</v>
      </c>
      <c r="L154" s="742">
        <v>1.00000014</v>
      </c>
      <c r="M154" s="617">
        <f>Registro_Ordini[[#This Row],[Importo]]*Registro_Ordini[[#This Row],[Cambio]]</f>
        <v>14495.184029325479</v>
      </c>
      <c r="N154" s="142">
        <f ca="1">IFERROR(_xlfn.NUMBERVALUE(OFFSET(Origine,MATCH(Registro_Ordini[[#This Row],[Titolo]],Descrizioni,0),MATCH("Price",Intestazioni,0)-1,1,1)),"")</f>
        <v>9.1999999999999993</v>
      </c>
      <c r="O154" s="734">
        <f ca="1">IF(OR(Registro_Ordini[[#This Row],[Price]]=0,Registro_Ordini[[#This Row],[Price]]=""),"",IF(Registro_Ordini[[#This Row],[Tipo]]="Sell",Registro_Ordini[[#This Row],[Prezzo]]/Registro_Ordini[[#This Row],[Price]]-1,Registro_Ordini[[#This Row],[Price]]/Registro_Ordini[[#This Row],[Prezzo]]-1))</f>
        <v>-3.5309663583389383E-3</v>
      </c>
      <c r="P154" s="743">
        <v>1.9908149521424948E-2</v>
      </c>
      <c r="Q154" s="744">
        <v>0.46674678491915522</v>
      </c>
      <c r="R154" s="744">
        <v>0.20595221105165484</v>
      </c>
      <c r="S154" s="744">
        <v>0.22441539378707517</v>
      </c>
      <c r="T154" s="744">
        <v>0</v>
      </c>
      <c r="U154" s="744">
        <v>0.10288561024211483</v>
      </c>
      <c r="V154" s="744"/>
      <c r="W154" s="745"/>
    </row>
    <row r="155" spans="1:23" s="1" customFormat="1" ht="24.95" customHeight="1" x14ac:dyDescent="0.2">
      <c r="A155" s="8">
        <v>46055.441817129627</v>
      </c>
      <c r="B155" s="7">
        <v>46055.441817129627</v>
      </c>
      <c r="C155" s="9" t="s">
        <v>379</v>
      </c>
      <c r="D155" s="1" t="s">
        <v>362</v>
      </c>
      <c r="E155" s="1" t="s">
        <v>363</v>
      </c>
      <c r="F155" s="1" t="s">
        <v>391</v>
      </c>
      <c r="G155" s="1" t="s">
        <v>365</v>
      </c>
      <c r="H155" s="2">
        <v>-15000</v>
      </c>
      <c r="I155" s="17">
        <v>1</v>
      </c>
      <c r="J155" s="1" t="s">
        <v>369</v>
      </c>
      <c r="K155" s="6">
        <f>Registro_Ordini[[#This Row],[Numero]]*Registro_Ordini[[#This Row],[Prezzo]]</f>
        <v>-15000</v>
      </c>
      <c r="L155" s="10">
        <v>1.0886796000000001</v>
      </c>
      <c r="M155" s="6">
        <f>Registro_Ordini[[#This Row],[Importo]]*Registro_Ordini[[#This Row],[Cambio]]</f>
        <v>-16330.194000000001</v>
      </c>
      <c r="N155" s="1">
        <f ca="1">IFERROR(_xlfn.NUMBERVALUE(OFFSET(Origine,MATCH(Registro_Ordini[[#This Row],[Titolo]],Descrizioni,0),MATCH("Price",Intestazioni,0)-1,1,1)),"")</f>
        <v>1.0000001300000001</v>
      </c>
      <c r="O155" s="18">
        <f ca="1">IF(OR(Registro_Ordini[[#This Row],[Price]]=0,Registro_Ordini[[#This Row],[Price]]=""),"",IF(Registro_Ordini[[#This Row],[Tipo]]="Sell",Registro_Ordini[[#This Row],[Prezzo]]/Registro_Ordini[[#This Row],[Price]]-1,Registro_Ordini[[#This Row],[Price]]/Registro_Ordini[[#This Row],[Prezzo]]-1))</f>
        <v>-1.2999998322271722E-7</v>
      </c>
      <c r="P155" s="15">
        <v>-4.031773850515652E-2</v>
      </c>
      <c r="Q155" s="3">
        <v>7.2873445945163137E-2</v>
      </c>
      <c r="R155" s="3">
        <v>0.33300778410146248</v>
      </c>
      <c r="S155" s="3">
        <v>0.45357182483284481</v>
      </c>
      <c r="T155" s="3">
        <v>0</v>
      </c>
      <c r="U155" s="3">
        <v>0.14054694512052965</v>
      </c>
      <c r="V155" s="3"/>
      <c r="W155" s="4"/>
    </row>
    <row r="156" spans="1:23" s="1" customFormat="1" ht="24.95" customHeight="1" x14ac:dyDescent="0.2">
      <c r="A156" s="8">
        <v>46051.732106481482</v>
      </c>
      <c r="B156" s="7">
        <v>46051.732106481482</v>
      </c>
      <c r="C156" s="9" t="s">
        <v>379</v>
      </c>
      <c r="D156" s="1" t="s">
        <v>388</v>
      </c>
      <c r="E156" s="1" t="s">
        <v>403</v>
      </c>
      <c r="F156" s="1" t="s">
        <v>824</v>
      </c>
      <c r="G156" s="1" t="s">
        <v>371</v>
      </c>
      <c r="H156" s="2">
        <v>610</v>
      </c>
      <c r="I156" s="17">
        <v>25.21</v>
      </c>
      <c r="J156" s="1" t="s">
        <v>381</v>
      </c>
      <c r="K156" s="6">
        <f>Registro_Ordini[[#This Row],[Numero]]*Registro_Ordini[[#This Row],[Prezzo]]</f>
        <v>15378.1</v>
      </c>
      <c r="L156" s="10">
        <v>1</v>
      </c>
      <c r="M156" s="6">
        <f>Registro_Ordini[[#This Row],[Importo]]*Registro_Ordini[[#This Row],[Cambio]]</f>
        <v>15378.1</v>
      </c>
      <c r="N156" s="1">
        <f ca="1">IFERROR(_xlfn.NUMBERVALUE(OFFSET(Origine,MATCH(Registro_Ordini[[#This Row],[Titolo]],Descrizioni,0),MATCH("Price",Intestazioni,0)-1,1,1)),"")</f>
        <v>28.844999999999999</v>
      </c>
      <c r="O156" s="18">
        <f ca="1">IF(OR(Registro_Ordini[[#This Row],[Price]]=0,Registro_Ordini[[#This Row],[Price]]=""),"",IF(Registro_Ordini[[#This Row],[Tipo]]="Sell",Registro_Ordini[[#This Row],[Prezzo]]/Registro_Ordini[[#This Row],[Price]]-1,Registro_Ordini[[#This Row],[Price]]/Registro_Ordini[[#This Row],[Prezzo]]-1))</f>
        <v>0.14418881396271321</v>
      </c>
      <c r="P156" s="15">
        <v>2.4744019031650688E-2</v>
      </c>
      <c r="Q156" s="3">
        <v>5.9095432288252515E-2</v>
      </c>
      <c r="R156" s="3">
        <v>0.33209863694393549</v>
      </c>
      <c r="S156" s="3">
        <v>0.45097168533222115</v>
      </c>
      <c r="T156" s="3">
        <v>0</v>
      </c>
      <c r="U156" s="3">
        <v>0.15783424543559085</v>
      </c>
      <c r="V156" s="3"/>
      <c r="W156" s="4"/>
    </row>
    <row r="157" spans="1:23" s="1" customFormat="1" ht="24.95" customHeight="1" x14ac:dyDescent="0.2">
      <c r="A157" s="8">
        <v>46051.732094907406</v>
      </c>
      <c r="B157" s="7">
        <v>46051.732094907406</v>
      </c>
      <c r="C157" s="9" t="s">
        <v>382</v>
      </c>
      <c r="D157" s="1" t="s">
        <v>388</v>
      </c>
      <c r="E157" s="1" t="s">
        <v>403</v>
      </c>
      <c r="F157" s="1" t="s">
        <v>824</v>
      </c>
      <c r="G157" s="1" t="s">
        <v>371</v>
      </c>
      <c r="H157" s="2">
        <v>1125</v>
      </c>
      <c r="I157" s="17">
        <v>25.21</v>
      </c>
      <c r="J157" s="1" t="s">
        <v>381</v>
      </c>
      <c r="K157" s="6">
        <f>Registro_Ordini[[#This Row],[Numero]]*Registro_Ordini[[#This Row],[Prezzo]]</f>
        <v>28361.25</v>
      </c>
      <c r="L157" s="10">
        <v>1</v>
      </c>
      <c r="M157" s="6">
        <f>Registro_Ordini[[#This Row],[Importo]]*Registro_Ordini[[#This Row],[Cambio]]</f>
        <v>28361.25</v>
      </c>
      <c r="N157" s="1">
        <f ca="1">IFERROR(_xlfn.NUMBERVALUE(OFFSET(Origine,MATCH(Registro_Ordini[[#This Row],[Titolo]],Descrizioni,0),MATCH("Price",Intestazioni,0)-1,1,1)),"")</f>
        <v>28.844999999999999</v>
      </c>
      <c r="O157" s="18">
        <f ca="1">IF(OR(Registro_Ordini[[#This Row],[Price]]=0,Registro_Ordini[[#This Row],[Price]]=""),"",IF(Registro_Ordini[[#This Row],[Tipo]]="Sell",Registro_Ordini[[#This Row],[Prezzo]]/Registro_Ordini[[#This Row],[Price]]-1,Registro_Ordini[[#This Row],[Price]]/Registro_Ordini[[#This Row],[Prezzo]]-1))</f>
        <v>0.14418881396271321</v>
      </c>
      <c r="P157" s="15">
        <v>2.4789964974506647E-2</v>
      </c>
      <c r="Q157" s="3">
        <v>6.8249589275228756E-2</v>
      </c>
      <c r="R157" s="3">
        <v>0.31904048090294163</v>
      </c>
      <c r="S157" s="3">
        <v>0.44844255770446723</v>
      </c>
      <c r="T157" s="3">
        <v>0</v>
      </c>
      <c r="U157" s="3">
        <v>0.16426737211736245</v>
      </c>
      <c r="V157" s="3"/>
      <c r="W157" s="4"/>
    </row>
    <row r="158" spans="1:23" s="1" customFormat="1" ht="24.95" customHeight="1" x14ac:dyDescent="0.2">
      <c r="A158" s="8">
        <v>46051.732071759259</v>
      </c>
      <c r="B158" s="7">
        <v>46051.732071759259</v>
      </c>
      <c r="C158" s="9" t="s">
        <v>383</v>
      </c>
      <c r="D158" s="1" t="s">
        <v>388</v>
      </c>
      <c r="E158" s="1" t="s">
        <v>403</v>
      </c>
      <c r="F158" s="1" t="s">
        <v>824</v>
      </c>
      <c r="G158" s="1" t="s">
        <v>371</v>
      </c>
      <c r="H158" s="2">
        <v>680</v>
      </c>
      <c r="I158" s="17">
        <v>25.21</v>
      </c>
      <c r="J158" s="1" t="s">
        <v>381</v>
      </c>
      <c r="K158" s="6">
        <f>Registro_Ordini[[#This Row],[Numero]]*Registro_Ordini[[#This Row],[Prezzo]]</f>
        <v>17142.8</v>
      </c>
      <c r="L158" s="10">
        <v>1</v>
      </c>
      <c r="M158" s="6">
        <f>Registro_Ordini[[#This Row],[Importo]]*Registro_Ordini[[#This Row],[Cambio]]</f>
        <v>17142.8</v>
      </c>
      <c r="N158" s="1">
        <f ca="1">IFERROR(_xlfn.NUMBERVALUE(OFFSET(Origine,MATCH(Registro_Ordini[[#This Row],[Titolo]],Descrizioni,0),MATCH("Price",Intestazioni,0)-1,1,1)),"")</f>
        <v>28.844999999999999</v>
      </c>
      <c r="O158" s="18">
        <f ca="1">IF(OR(Registro_Ordini[[#This Row],[Price]]=0,Registro_Ordini[[#This Row],[Price]]=""),"",IF(Registro_Ordini[[#This Row],[Tipo]]="Sell",Registro_Ordini[[#This Row],[Prezzo]]/Registro_Ordini[[#This Row],[Price]]-1,Registro_Ordini[[#This Row],[Price]]/Registro_Ordini[[#This Row],[Prezzo]]-1))</f>
        <v>0.14418881396271321</v>
      </c>
      <c r="P158" s="15">
        <v>2.4735832149770428E-2</v>
      </c>
      <c r="Q158" s="3">
        <v>6.9780961486873169E-2</v>
      </c>
      <c r="R158" s="3">
        <v>0.32698975125012963</v>
      </c>
      <c r="S158" s="3">
        <v>0.44370255563938465</v>
      </c>
      <c r="T158" s="3">
        <v>0</v>
      </c>
      <c r="U158" s="3">
        <v>0.15952673162361242</v>
      </c>
      <c r="V158" s="3"/>
      <c r="W158" s="4"/>
    </row>
    <row r="159" spans="1:23" s="1" customFormat="1" ht="24.95" customHeight="1" x14ac:dyDescent="0.2">
      <c r="A159" s="8">
        <v>46051.730196759258</v>
      </c>
      <c r="B159" s="7">
        <v>46051.730196759258</v>
      </c>
      <c r="C159" s="9" t="s">
        <v>373</v>
      </c>
      <c r="D159" s="1" t="s">
        <v>388</v>
      </c>
      <c r="E159" s="1" t="s">
        <v>403</v>
      </c>
      <c r="F159" s="1" t="s">
        <v>3016</v>
      </c>
      <c r="G159" s="1" t="s">
        <v>371</v>
      </c>
      <c r="H159" s="2">
        <v>210</v>
      </c>
      <c r="I159" s="17">
        <v>44.15</v>
      </c>
      <c r="J159" s="1" t="s">
        <v>381</v>
      </c>
      <c r="K159" s="6">
        <f>Registro_Ordini[[#This Row],[Numero]]*Registro_Ordini[[#This Row],[Prezzo]]</f>
        <v>9271.5</v>
      </c>
      <c r="L159" s="10">
        <v>0.91635</v>
      </c>
      <c r="M159" s="6">
        <f>Registro_Ordini[[#This Row],[Importo]]*Registro_Ordini[[#This Row],[Cambio]]</f>
        <v>8495.9390249999997</v>
      </c>
      <c r="N159" s="1">
        <f ca="1">IFERROR(_xlfn.NUMBERVALUE(OFFSET(Origine,MATCH(Registro_Ordini[[#This Row],[Titolo]],Descrizioni,0),MATCH("Price",Intestazioni,0)-1,1,1)),"")</f>
        <v>48.79</v>
      </c>
      <c r="O159" s="18">
        <f ca="1">IF(OR(Registro_Ordini[[#This Row],[Price]]=0,Registro_Ordini[[#This Row],[Price]]=""),"",IF(Registro_Ordini[[#This Row],[Tipo]]="Sell",Registro_Ordini[[#This Row],[Prezzo]]/Registro_Ordini[[#This Row],[Price]]-1,Registro_Ordini[[#This Row],[Price]]/Registro_Ordini[[#This Row],[Prezzo]]-1))</f>
        <v>0.10509626274065687</v>
      </c>
      <c r="P159" s="15">
        <v>1.9868399309908111E-2</v>
      </c>
      <c r="Q159" s="3">
        <v>0.19775821972027344</v>
      </c>
      <c r="R159" s="3">
        <v>0.34940857428588817</v>
      </c>
      <c r="S159" s="3">
        <v>0.27020707604140687</v>
      </c>
      <c r="T159" s="3">
        <v>0</v>
      </c>
      <c r="U159" s="3">
        <v>0.18262612995243152</v>
      </c>
      <c r="V159" s="3"/>
      <c r="W159" s="4"/>
    </row>
    <row r="160" spans="1:23" s="1" customFormat="1" ht="24.95" customHeight="1" x14ac:dyDescent="0.2">
      <c r="A160" s="8">
        <v>46051.730185185188</v>
      </c>
      <c r="B160" s="7">
        <v>46051.730185185188</v>
      </c>
      <c r="C160" s="9" t="s">
        <v>367</v>
      </c>
      <c r="D160" s="1" t="s">
        <v>388</v>
      </c>
      <c r="E160" s="1" t="s">
        <v>403</v>
      </c>
      <c r="F160" s="1" t="s">
        <v>3016</v>
      </c>
      <c r="G160" s="1" t="s">
        <v>371</v>
      </c>
      <c r="H160" s="2">
        <v>1750</v>
      </c>
      <c r="I160" s="17">
        <v>44.29</v>
      </c>
      <c r="J160" s="1" t="s">
        <v>381</v>
      </c>
      <c r="K160" s="6">
        <f>Registro_Ordini[[#This Row],[Numero]]*Registro_Ordini[[#This Row],[Prezzo]]</f>
        <v>77507.5</v>
      </c>
      <c r="L160" s="10">
        <v>0.91635</v>
      </c>
      <c r="M160" s="6">
        <f>Registro_Ordini[[#This Row],[Importo]]*Registro_Ordini[[#This Row],[Cambio]]</f>
        <v>71023.997625000004</v>
      </c>
      <c r="N160" s="1">
        <f ca="1">IFERROR(_xlfn.NUMBERVALUE(OFFSET(Origine,MATCH(Registro_Ordini[[#This Row],[Titolo]],Descrizioni,0),MATCH("Price",Intestazioni,0)-1,1,1)),"")</f>
        <v>48.79</v>
      </c>
      <c r="O160" s="18">
        <f ca="1">IF(OR(Registro_Ordini[[#This Row],[Price]]=0,Registro_Ordini[[#This Row],[Price]]=""),"",IF(Registro_Ordini[[#This Row],[Tipo]]="Sell",Registro_Ordini[[#This Row],[Prezzo]]/Registro_Ordini[[#This Row],[Price]]-1,Registro_Ordini[[#This Row],[Price]]/Registro_Ordini[[#This Row],[Prezzo]]-1))</f>
        <v>0.10160307067058016</v>
      </c>
      <c r="P160" s="15">
        <v>1.9845286241228426E-2</v>
      </c>
      <c r="Q160" s="3">
        <v>0.12406159675798387</v>
      </c>
      <c r="R160" s="3">
        <v>0.36425786677583316</v>
      </c>
      <c r="S160" s="3">
        <v>0.40917437713114307</v>
      </c>
      <c r="T160" s="3">
        <v>0</v>
      </c>
      <c r="U160" s="3">
        <v>0.10250615933503988</v>
      </c>
      <c r="V160" s="3"/>
      <c r="W160" s="4"/>
    </row>
    <row r="161" spans="1:23" s="1" customFormat="1" ht="24.95" customHeight="1" x14ac:dyDescent="0.2">
      <c r="A161" s="8">
        <v>46051.730173611111</v>
      </c>
      <c r="B161" s="7">
        <v>46051.730173611111</v>
      </c>
      <c r="C161" s="9" t="s">
        <v>375</v>
      </c>
      <c r="D161" s="1" t="s">
        <v>388</v>
      </c>
      <c r="E161" s="1" t="s">
        <v>403</v>
      </c>
      <c r="F161" s="1" t="s">
        <v>3016</v>
      </c>
      <c r="G161" s="1" t="s">
        <v>371</v>
      </c>
      <c r="H161" s="2">
        <v>300</v>
      </c>
      <c r="I161" s="17">
        <v>44.240900000000003</v>
      </c>
      <c r="J161" s="1" t="s">
        <v>381</v>
      </c>
      <c r="K161" s="6">
        <f>Registro_Ordini[[#This Row],[Numero]]*Registro_Ordini[[#This Row],[Prezzo]]</f>
        <v>13272.27</v>
      </c>
      <c r="L161" s="10">
        <v>0.91635</v>
      </c>
      <c r="M161" s="6">
        <f>Registro_Ordini[[#This Row],[Importo]]*Registro_Ordini[[#This Row],[Cambio]]</f>
        <v>12162.044614500001</v>
      </c>
      <c r="N161" s="1">
        <f ca="1">IFERROR(_xlfn.NUMBERVALUE(OFFSET(Origine,MATCH(Registro_Ordini[[#This Row],[Titolo]],Descrizioni,0),MATCH("Price",Intestazioni,0)-1,1,1)),"")</f>
        <v>48.79</v>
      </c>
      <c r="O161" s="18">
        <f ca="1">IF(OR(Registro_Ordini[[#This Row],[Price]]=0,Registro_Ordini[[#This Row],[Price]]=""),"",IF(Registro_Ordini[[#This Row],[Tipo]]="Sell",Registro_Ordini[[#This Row],[Prezzo]]/Registro_Ordini[[#This Row],[Price]]-1,Registro_Ordini[[#This Row],[Price]]/Registro_Ordini[[#This Row],[Prezzo]]-1))</f>
        <v>0.10282566584314501</v>
      </c>
      <c r="P161" s="15">
        <v>1.3727282298962619E-2</v>
      </c>
      <c r="Q161" s="3">
        <v>8.275538947202532E-2</v>
      </c>
      <c r="R161" s="3">
        <v>0.32355846164507718</v>
      </c>
      <c r="S161" s="3">
        <v>0.44169106410056758</v>
      </c>
      <c r="T161" s="3">
        <v>0</v>
      </c>
      <c r="U161" s="3">
        <v>0.15199508478232987</v>
      </c>
      <c r="V161" s="3"/>
      <c r="W161" s="4"/>
    </row>
    <row r="162" spans="1:23" s="1" customFormat="1" ht="24.95" customHeight="1" x14ac:dyDescent="0.2">
      <c r="A162" s="8">
        <v>46051.730162037034</v>
      </c>
      <c r="B162" s="7">
        <v>46051.730162037034</v>
      </c>
      <c r="C162" s="9" t="s">
        <v>376</v>
      </c>
      <c r="D162" s="1" t="s">
        <v>388</v>
      </c>
      <c r="E162" s="1" t="s">
        <v>403</v>
      </c>
      <c r="F162" s="1" t="s">
        <v>3016</v>
      </c>
      <c r="G162" s="1" t="s">
        <v>371</v>
      </c>
      <c r="H162" s="2">
        <v>140</v>
      </c>
      <c r="I162" s="17">
        <v>44.240900000000003</v>
      </c>
      <c r="J162" s="1" t="s">
        <v>381</v>
      </c>
      <c r="K162" s="6">
        <f>Registro_Ordini[[#This Row],[Numero]]*Registro_Ordini[[#This Row],[Prezzo]]</f>
        <v>6193.7260000000006</v>
      </c>
      <c r="L162" s="10">
        <v>0.91635</v>
      </c>
      <c r="M162" s="6">
        <f>Registro_Ordini[[#This Row],[Importo]]*Registro_Ordini[[#This Row],[Cambio]]</f>
        <v>5675.6208201000009</v>
      </c>
      <c r="N162" s="1">
        <f ca="1">IFERROR(_xlfn.NUMBERVALUE(OFFSET(Origine,MATCH(Registro_Ordini[[#This Row],[Titolo]],Descrizioni,0),MATCH("Price",Intestazioni,0)-1,1,1)),"")</f>
        <v>48.79</v>
      </c>
      <c r="O162" s="18">
        <f ca="1">IF(OR(Registro_Ordini[[#This Row],[Price]]=0,Registro_Ordini[[#This Row],[Price]]=""),"",IF(Registro_Ordini[[#This Row],[Tipo]]="Sell",Registro_Ordini[[#This Row],[Prezzo]]/Registro_Ordini[[#This Row],[Price]]-1,Registro_Ordini[[#This Row],[Price]]/Registro_Ordini[[#This Row],[Prezzo]]-1))</f>
        <v>0.10282566584314501</v>
      </c>
      <c r="P162" s="15">
        <v>1.9969721778268681E-2</v>
      </c>
      <c r="Q162" s="3">
        <v>6.1390594053970682E-2</v>
      </c>
      <c r="R162" s="3">
        <v>0.26395243387296313</v>
      </c>
      <c r="S162" s="3">
        <v>0.47971653006442111</v>
      </c>
      <c r="T162" s="3">
        <v>0</v>
      </c>
      <c r="U162" s="3">
        <v>0.1949404420086451</v>
      </c>
      <c r="V162" s="3"/>
      <c r="W162" s="4"/>
    </row>
    <row r="163" spans="1:23" s="1" customFormat="1" ht="24.95" customHeight="1" x14ac:dyDescent="0.2">
      <c r="A163" s="8">
        <v>46051.730150462965</v>
      </c>
      <c r="B163" s="7">
        <v>46051.730150462965</v>
      </c>
      <c r="C163" s="9" t="s">
        <v>377</v>
      </c>
      <c r="D163" s="1" t="s">
        <v>388</v>
      </c>
      <c r="E163" s="1" t="s">
        <v>403</v>
      </c>
      <c r="F163" s="1" t="s">
        <v>3016</v>
      </c>
      <c r="G163" s="1" t="s">
        <v>371</v>
      </c>
      <c r="H163" s="2">
        <v>850</v>
      </c>
      <c r="I163" s="17">
        <v>44.240900000000003</v>
      </c>
      <c r="J163" s="1" t="s">
        <v>381</v>
      </c>
      <c r="K163" s="6">
        <f>Registro_Ordini[[#This Row],[Numero]]*Registro_Ordini[[#This Row],[Prezzo]]</f>
        <v>37604.764999999999</v>
      </c>
      <c r="L163" s="10">
        <v>0.91635</v>
      </c>
      <c r="M163" s="6">
        <f>Registro_Ordini[[#This Row],[Importo]]*Registro_Ordini[[#This Row],[Cambio]]</f>
        <v>34459.126407750002</v>
      </c>
      <c r="N163" s="1">
        <f ca="1">IFERROR(_xlfn.NUMBERVALUE(OFFSET(Origine,MATCH(Registro_Ordini[[#This Row],[Titolo]],Descrizioni,0),MATCH("Price",Intestazioni,0)-1,1,1)),"")</f>
        <v>48.79</v>
      </c>
      <c r="O163" s="18">
        <f ca="1">IF(OR(Registro_Ordini[[#This Row],[Price]]=0,Registro_Ordini[[#This Row],[Price]]=""),"",IF(Registro_Ordini[[#This Row],[Tipo]]="Sell",Registro_Ordini[[#This Row],[Prezzo]]/Registro_Ordini[[#This Row],[Price]]-1,Registro_Ordini[[#This Row],[Price]]/Registro_Ordini[[#This Row],[Prezzo]]-1))</f>
        <v>0.10282566584314501</v>
      </c>
      <c r="P163" s="15">
        <v>2.0030915326044264E-2</v>
      </c>
      <c r="Q163" s="3">
        <v>7.7817884268714624E-2</v>
      </c>
      <c r="R163" s="3">
        <v>0.29800349517016272</v>
      </c>
      <c r="S163" s="3">
        <v>0.47501250878532253</v>
      </c>
      <c r="T163" s="3">
        <v>0</v>
      </c>
      <c r="U163" s="3">
        <v>0.14916611177580019</v>
      </c>
      <c r="V163" s="3"/>
      <c r="W163" s="4"/>
    </row>
    <row r="164" spans="1:23" s="1" customFormat="1" ht="24.95" customHeight="1" x14ac:dyDescent="0.2">
      <c r="A164" s="8">
        <v>46051.730138888888</v>
      </c>
      <c r="B164" s="7">
        <v>46051.730138888888</v>
      </c>
      <c r="C164" s="9" t="s">
        <v>378</v>
      </c>
      <c r="D164" s="1" t="s">
        <v>388</v>
      </c>
      <c r="E164" s="1" t="s">
        <v>403</v>
      </c>
      <c r="F164" s="1" t="s">
        <v>3016</v>
      </c>
      <c r="G164" s="1" t="s">
        <v>371</v>
      </c>
      <c r="H164" s="2">
        <v>275</v>
      </c>
      <c r="I164" s="17">
        <v>44.240900000000003</v>
      </c>
      <c r="J164" s="1" t="s">
        <v>381</v>
      </c>
      <c r="K164" s="6">
        <f>Registro_Ordini[[#This Row],[Numero]]*Registro_Ordini[[#This Row],[Prezzo]]</f>
        <v>12166.247500000001</v>
      </c>
      <c r="L164" s="10">
        <v>0.91635</v>
      </c>
      <c r="M164" s="6">
        <f>Registro_Ordini[[#This Row],[Importo]]*Registro_Ordini[[#This Row],[Cambio]]</f>
        <v>11148.540896625002</v>
      </c>
      <c r="N164" s="1">
        <f ca="1">IFERROR(_xlfn.NUMBERVALUE(OFFSET(Origine,MATCH(Registro_Ordini[[#This Row],[Titolo]],Descrizioni,0),MATCH("Price",Intestazioni,0)-1,1,1)),"")</f>
        <v>48.79</v>
      </c>
      <c r="O164" s="18">
        <f ca="1">IF(OR(Registro_Ordini[[#This Row],[Price]]=0,Registro_Ordini[[#This Row],[Price]]=""),"",IF(Registro_Ordini[[#This Row],[Tipo]]="Sell",Registro_Ordini[[#This Row],[Prezzo]]/Registro_Ordini[[#This Row],[Price]]-1,Registro_Ordini[[#This Row],[Price]]/Registro_Ordini[[#This Row],[Prezzo]]-1))</f>
        <v>0.10282566584314501</v>
      </c>
      <c r="P164" s="15">
        <v>1.9873715025734279E-2</v>
      </c>
      <c r="Q164" s="3">
        <v>8.7531990082978406E-2</v>
      </c>
      <c r="R164" s="3">
        <v>0.28643388740778397</v>
      </c>
      <c r="S164" s="3">
        <v>0.48081929401706841</v>
      </c>
      <c r="T164" s="3">
        <v>0</v>
      </c>
      <c r="U164" s="3">
        <v>0.14521482849216941</v>
      </c>
      <c r="V164" s="3"/>
      <c r="W164" s="4"/>
    </row>
    <row r="165" spans="1:23" s="1" customFormat="1" ht="24.95" customHeight="1" x14ac:dyDescent="0.2">
      <c r="A165" s="8">
        <v>46051.729618055557</v>
      </c>
      <c r="B165" s="7">
        <v>46051.729629629626</v>
      </c>
      <c r="C165" s="9" t="s">
        <v>78</v>
      </c>
      <c r="D165" s="1" t="s">
        <v>388</v>
      </c>
      <c r="E165" s="1" t="s">
        <v>403</v>
      </c>
      <c r="F165" s="1" t="s">
        <v>3016</v>
      </c>
      <c r="G165" s="1" t="s">
        <v>371</v>
      </c>
      <c r="H165" s="2">
        <v>310</v>
      </c>
      <c r="I165" s="17">
        <v>44.240900000000003</v>
      </c>
      <c r="J165" s="1" t="s">
        <v>381</v>
      </c>
      <c r="K165" s="6">
        <f>Registro_Ordini[[#This Row],[Numero]]*Registro_Ordini[[#This Row],[Prezzo]]</f>
        <v>13714.679000000002</v>
      </c>
      <c r="L165" s="10">
        <v>0.91635</v>
      </c>
      <c r="M165" s="6">
        <f>Registro_Ordini[[#This Row],[Importo]]*Registro_Ordini[[#This Row],[Cambio]]</f>
        <v>12567.446101650001</v>
      </c>
      <c r="N165" s="1">
        <f ca="1">IFERROR(_xlfn.NUMBERVALUE(OFFSET(Origine,MATCH(Registro_Ordini[[#This Row],[Titolo]],Descrizioni,0),MATCH("Price",Intestazioni,0)-1,1,1)),"")</f>
        <v>48.79</v>
      </c>
      <c r="O165" s="18">
        <f ca="1">IF(OR(Registro_Ordini[[#This Row],[Price]]=0,Registro_Ordini[[#This Row],[Price]]=""),"",IF(Registro_Ordini[[#This Row],[Tipo]]="Sell",Registro_Ordini[[#This Row],[Prezzo]]/Registro_Ordini[[#This Row],[Price]]-1,Registro_Ordini[[#This Row],[Price]]/Registro_Ordini[[#This Row],[Prezzo]]-1))</f>
        <v>0.10282566584314501</v>
      </c>
      <c r="P165" s="15">
        <v>1.9942901033724134E-2</v>
      </c>
      <c r="Q165" s="3">
        <v>9.2805087778171744E-2</v>
      </c>
      <c r="R165" s="3">
        <v>0.12692265367013206</v>
      </c>
      <c r="S165" s="3">
        <v>0.6517900554443109</v>
      </c>
      <c r="T165" s="3">
        <v>0</v>
      </c>
      <c r="U165" s="3">
        <v>0.12848220310738528</v>
      </c>
      <c r="V165" s="3"/>
      <c r="W165" s="4"/>
    </row>
    <row r="166" spans="1:23" s="1" customFormat="1" ht="24.95" customHeight="1" x14ac:dyDescent="0.2">
      <c r="A166" s="8">
        <v>46051.728750000002</v>
      </c>
      <c r="B166" s="7">
        <v>46051.728750000002</v>
      </c>
      <c r="C166" s="9" t="s">
        <v>379</v>
      </c>
      <c r="D166" s="1" t="s">
        <v>388</v>
      </c>
      <c r="E166" s="1" t="s">
        <v>403</v>
      </c>
      <c r="F166" s="1" t="s">
        <v>3016</v>
      </c>
      <c r="G166" s="1" t="s">
        <v>371</v>
      </c>
      <c r="H166" s="2">
        <v>350</v>
      </c>
      <c r="I166" s="17">
        <v>44.240900000000003</v>
      </c>
      <c r="J166" s="1" t="s">
        <v>381</v>
      </c>
      <c r="K166" s="6">
        <f>Registro_Ordini[[#This Row],[Numero]]*Registro_Ordini[[#This Row],[Prezzo]]</f>
        <v>15484.315000000001</v>
      </c>
      <c r="L166" s="10">
        <v>1</v>
      </c>
      <c r="M166" s="6">
        <f>Registro_Ordini[[#This Row],[Importo]]*Registro_Ordini[[#This Row],[Cambio]]</f>
        <v>15484.315000000001</v>
      </c>
      <c r="N166" s="1">
        <f ca="1">IFERROR(_xlfn.NUMBERVALUE(OFFSET(Origine,MATCH(Registro_Ordini[[#This Row],[Titolo]],Descrizioni,0),MATCH("Price",Intestazioni,0)-1,1,1)),"")</f>
        <v>48.79</v>
      </c>
      <c r="O166" s="18">
        <f ca="1">IF(OR(Registro_Ordini[[#This Row],[Price]]=0,Registro_Ordini[[#This Row],[Price]]=""),"",IF(Registro_Ordini[[#This Row],[Tipo]]="Sell",Registro_Ordini[[#This Row],[Prezzo]]/Registro_Ordini[[#This Row],[Price]]-1,Registro_Ordini[[#This Row],[Price]]/Registro_Ordini[[#This Row],[Prezzo]]-1))</f>
        <v>0.10282566584314501</v>
      </c>
      <c r="P166" s="15">
        <v>2.4925709907474374E-2</v>
      </c>
      <c r="Q166" s="3">
        <v>8.3874189478053238E-2</v>
      </c>
      <c r="R166" s="3">
        <v>0.3322433781325278</v>
      </c>
      <c r="S166" s="3">
        <v>0.42609160393001355</v>
      </c>
      <c r="T166" s="3">
        <v>0</v>
      </c>
      <c r="U166" s="3">
        <v>0.15779082845940537</v>
      </c>
      <c r="V166" s="3"/>
      <c r="W166" s="4"/>
    </row>
    <row r="167" spans="1:23" s="1" customFormat="1" ht="24.95" customHeight="1" x14ac:dyDescent="0.2">
      <c r="A167" s="8">
        <v>46051.728738425925</v>
      </c>
      <c r="B167" s="7">
        <v>46051.728738425925</v>
      </c>
      <c r="C167" s="9" t="s">
        <v>382</v>
      </c>
      <c r="D167" s="1" t="s">
        <v>388</v>
      </c>
      <c r="E167" s="1" t="s">
        <v>403</v>
      </c>
      <c r="F167" s="1" t="s">
        <v>3016</v>
      </c>
      <c r="G167" s="1" t="s">
        <v>371</v>
      </c>
      <c r="H167" s="2">
        <v>640</v>
      </c>
      <c r="I167" s="17">
        <v>44.240900000000003</v>
      </c>
      <c r="J167" s="1" t="s">
        <v>381</v>
      </c>
      <c r="K167" s="6">
        <f>Registro_Ordini[[#This Row],[Numero]]*Registro_Ordini[[#This Row],[Prezzo]]</f>
        <v>28314.176000000003</v>
      </c>
      <c r="L167" s="10">
        <v>1</v>
      </c>
      <c r="M167" s="6">
        <f>Registro_Ordini[[#This Row],[Importo]]*Registro_Ordini[[#This Row],[Cambio]]</f>
        <v>28314.176000000003</v>
      </c>
      <c r="N167" s="1">
        <f ca="1">IFERROR(_xlfn.NUMBERVALUE(OFFSET(Origine,MATCH(Registro_Ordini[[#This Row],[Titolo]],Descrizioni,0),MATCH("Price",Intestazioni,0)-1,1,1)),"")</f>
        <v>48.79</v>
      </c>
      <c r="O167" s="18">
        <f ca="1">IF(OR(Registro_Ordini[[#This Row],[Price]]=0,Registro_Ordini[[#This Row],[Price]]=""),"",IF(Registro_Ordini[[#This Row],[Tipo]]="Sell",Registro_Ordini[[#This Row],[Prezzo]]/Registro_Ordini[[#This Row],[Price]]-1,Registro_Ordini[[#This Row],[Price]]/Registro_Ordini[[#This Row],[Prezzo]]-1))</f>
        <v>0.10282566584314501</v>
      </c>
      <c r="P167" s="15">
        <v>2.4761246222849791E-2</v>
      </c>
      <c r="Q167" s="3">
        <v>9.3094765447559069E-2</v>
      </c>
      <c r="R167" s="3">
        <v>0.31920147428226903</v>
      </c>
      <c r="S167" s="3">
        <v>0.42354764252330818</v>
      </c>
      <c r="T167" s="3">
        <v>0</v>
      </c>
      <c r="U167" s="3">
        <v>0.16415611774686387</v>
      </c>
      <c r="V167" s="3"/>
      <c r="W167" s="4"/>
    </row>
    <row r="168" spans="1:23" s="1" customFormat="1" ht="24.95" customHeight="1" x14ac:dyDescent="0.2">
      <c r="A168" s="8">
        <v>46051.728715277779</v>
      </c>
      <c r="B168" s="7">
        <v>46051.728715277779</v>
      </c>
      <c r="C168" s="9" t="s">
        <v>383</v>
      </c>
      <c r="D168" s="1" t="s">
        <v>388</v>
      </c>
      <c r="E168" s="1" t="s">
        <v>403</v>
      </c>
      <c r="F168" s="1" t="s">
        <v>3016</v>
      </c>
      <c r="G168" s="1" t="s">
        <v>371</v>
      </c>
      <c r="H168" s="2">
        <v>390</v>
      </c>
      <c r="I168" s="17">
        <v>44.240900000000003</v>
      </c>
      <c r="J168" s="1" t="s">
        <v>381</v>
      </c>
      <c r="K168" s="6">
        <f>Registro_Ordini[[#This Row],[Numero]]*Registro_Ordini[[#This Row],[Prezzo]]</f>
        <v>17253.951000000001</v>
      </c>
      <c r="L168" s="10">
        <v>1</v>
      </c>
      <c r="M168" s="6">
        <f>Registro_Ordini[[#This Row],[Importo]]*Registro_Ordini[[#This Row],[Cambio]]</f>
        <v>17253.951000000001</v>
      </c>
      <c r="N168" s="1">
        <f ca="1">IFERROR(_xlfn.NUMBERVALUE(OFFSET(Origine,MATCH(Registro_Ordini[[#This Row],[Titolo]],Descrizioni,0),MATCH("Price",Intestazioni,0)-1,1,1)),"")</f>
        <v>48.79</v>
      </c>
      <c r="O168" s="18">
        <f ca="1">IF(OR(Registro_Ordini[[#This Row],[Price]]=0,Registro_Ordini[[#This Row],[Price]]=""),"",IF(Registro_Ordini[[#This Row],[Tipo]]="Sell",Registro_Ordini[[#This Row],[Prezzo]]/Registro_Ordini[[#This Row],[Price]]-1,Registro_Ordini[[#This Row],[Price]]/Registro_Ordini[[#This Row],[Prezzo]]-1))</f>
        <v>0.10282566584314501</v>
      </c>
      <c r="P168" s="15">
        <v>2.4907559102572238E-2</v>
      </c>
      <c r="Q168" s="3">
        <v>9.4569971920700796E-2</v>
      </c>
      <c r="R168" s="3">
        <v>0.32713961111142065</v>
      </c>
      <c r="S168" s="3">
        <v>0.41884328853709446</v>
      </c>
      <c r="T168" s="3">
        <v>0</v>
      </c>
      <c r="U168" s="3">
        <v>0.15944712843078415</v>
      </c>
      <c r="V168" s="3"/>
      <c r="W168" s="4"/>
    </row>
    <row r="169" spans="1:23" s="1" customFormat="1" ht="24.95" customHeight="1" x14ac:dyDescent="0.2">
      <c r="A169" s="8">
        <v>46051.728460648148</v>
      </c>
      <c r="B169" s="7">
        <v>46051.728460648148</v>
      </c>
      <c r="C169" s="9" t="s">
        <v>106</v>
      </c>
      <c r="D169" s="1" t="s">
        <v>388</v>
      </c>
      <c r="E169" s="1" t="s">
        <v>403</v>
      </c>
      <c r="F169" s="1" t="s">
        <v>3016</v>
      </c>
      <c r="G169" s="1" t="s">
        <v>371</v>
      </c>
      <c r="H169" s="2">
        <v>120</v>
      </c>
      <c r="I169" s="17">
        <v>44.29</v>
      </c>
      <c r="J169" s="1" t="s">
        <v>381</v>
      </c>
      <c r="K169" s="6">
        <f>Registro_Ordini[[#This Row],[Numero]]*Registro_Ordini[[#This Row],[Prezzo]]</f>
        <v>5314.8</v>
      </c>
      <c r="L169" s="10">
        <v>1</v>
      </c>
      <c r="M169" s="6">
        <f>Registro_Ordini[[#This Row],[Importo]]*Registro_Ordini[[#This Row],[Cambio]]</f>
        <v>5314.8</v>
      </c>
      <c r="N169" s="1">
        <f ca="1">IFERROR(_xlfn.NUMBERVALUE(OFFSET(Origine,MATCH(Registro_Ordini[[#This Row],[Titolo]],Descrizioni,0),MATCH("Price",Intestazioni,0)-1,1,1)),"")</f>
        <v>48.79</v>
      </c>
      <c r="O169" s="18">
        <f ca="1">IF(OR(Registro_Ordini[[#This Row],[Price]]=0,Registro_Ordini[[#This Row],[Price]]=""),"",IF(Registro_Ordini[[#This Row],[Tipo]]="Sell",Registro_Ordini[[#This Row],[Prezzo]]/Registro_Ordini[[#This Row],[Price]]-1,Registro_Ordini[[#This Row],[Price]]/Registro_Ordini[[#This Row],[Prezzo]]-1))</f>
        <v>0.10160307067058016</v>
      </c>
      <c r="P169" s="15">
        <v>3.3628860853820254E-2</v>
      </c>
      <c r="Q169" s="3">
        <v>6.8111017774661151E-2</v>
      </c>
      <c r="R169" s="3">
        <v>0.26038241328142586</v>
      </c>
      <c r="S169" s="3">
        <v>0.47420079753341732</v>
      </c>
      <c r="T169" s="3">
        <v>0</v>
      </c>
      <c r="U169" s="3">
        <v>0.19730577141049568</v>
      </c>
      <c r="V169" s="3"/>
      <c r="W169" s="4"/>
    </row>
    <row r="170" spans="1:23" s="1" customFormat="1" ht="24.95" customHeight="1" x14ac:dyDescent="0.2">
      <c r="A170" s="8">
        <v>46051.702650462961</v>
      </c>
      <c r="B170" s="7">
        <v>46051.702650462961</v>
      </c>
      <c r="C170" s="9" t="s">
        <v>78</v>
      </c>
      <c r="D170" s="1" t="s">
        <v>388</v>
      </c>
      <c r="E170" s="1" t="s">
        <v>397</v>
      </c>
      <c r="F170" s="1" t="s">
        <v>4426</v>
      </c>
      <c r="G170" s="1" t="s">
        <v>371</v>
      </c>
      <c r="H170" s="2">
        <v>360</v>
      </c>
      <c r="I170" s="17">
        <v>43.770800000000001</v>
      </c>
      <c r="J170" s="1" t="s">
        <v>369</v>
      </c>
      <c r="K170" s="6">
        <f>Registro_Ordini[[#This Row],[Numero]]*Registro_Ordini[[#This Row],[Prezzo]]</f>
        <v>15757.488000000001</v>
      </c>
      <c r="L170" s="10">
        <v>1.00000014</v>
      </c>
      <c r="M170" s="6">
        <f>Registro_Ordini[[#This Row],[Importo]]*Registro_Ordini[[#This Row],[Cambio]]</f>
        <v>15757.490206048322</v>
      </c>
      <c r="N170" s="1">
        <f ca="1">IFERROR(_xlfn.NUMBERVALUE(OFFSET(Origine,MATCH(Registro_Ordini[[#This Row],[Titolo]],Descrizioni,0),MATCH("Price",Intestazioni,0)-1,1,1)),"")</f>
        <v>48.66</v>
      </c>
      <c r="O170" s="18">
        <f ca="1">IF(OR(Registro_Ordini[[#This Row],[Price]]=0,Registro_Ordini[[#This Row],[Price]]=""),"",IF(Registro_Ordini[[#This Row],[Tipo]]="Sell",Registro_Ordini[[#This Row],[Prezzo]]/Registro_Ordini[[#This Row],[Price]]-1,Registro_Ordini[[#This Row],[Price]]/Registro_Ordini[[#This Row],[Prezzo]]-1))</f>
        <v>0.11170003746790091</v>
      </c>
      <c r="P170" s="15">
        <v>2.5088058586503949E-2</v>
      </c>
      <c r="Q170" s="3">
        <v>0.11312552527767596</v>
      </c>
      <c r="R170" s="3">
        <v>0.12724828504053501</v>
      </c>
      <c r="S170" s="3">
        <v>0.63333846662187521</v>
      </c>
      <c r="T170" s="3">
        <v>0</v>
      </c>
      <c r="U170" s="3">
        <v>0.12628772305991395</v>
      </c>
      <c r="V170" s="3"/>
      <c r="W170" s="4"/>
    </row>
    <row r="171" spans="1:23" s="1" customFormat="1" ht="24.95" customHeight="1" x14ac:dyDescent="0.2">
      <c r="A171" s="8">
        <v>46051.699861111112</v>
      </c>
      <c r="B171" s="7">
        <v>46051.699861111112</v>
      </c>
      <c r="C171" s="9" t="s">
        <v>78</v>
      </c>
      <c r="D171" s="1" t="s">
        <v>388</v>
      </c>
      <c r="E171" s="1" t="s">
        <v>397</v>
      </c>
      <c r="F171" s="1" t="s">
        <v>475</v>
      </c>
      <c r="G171" s="1" t="s">
        <v>371</v>
      </c>
      <c r="H171" s="2">
        <v>15</v>
      </c>
      <c r="I171" s="17">
        <v>538</v>
      </c>
      <c r="J171" s="1" t="s">
        <v>369</v>
      </c>
      <c r="K171" s="6">
        <f>Registro_Ordini[[#This Row],[Numero]]*Registro_Ordini[[#This Row],[Prezzo]]</f>
        <v>8070</v>
      </c>
      <c r="L171" s="10">
        <v>1.00000014</v>
      </c>
      <c r="M171" s="6">
        <f>Registro_Ordini[[#This Row],[Importo]]*Registro_Ordini[[#This Row],[Cambio]]</f>
        <v>8070.0011297999999</v>
      </c>
      <c r="N171" s="1">
        <f ca="1">IFERROR(_xlfn.NUMBERVALUE(OFFSET(Origine,MATCH(Registro_Ordini[[#This Row],[Titolo]],Descrizioni,0),MATCH("Price",Intestazioni,0)-1,1,1)),"")</f>
        <v>518.20000000000005</v>
      </c>
      <c r="O171" s="18">
        <f ca="1">IF(OR(Registro_Ordini[[#This Row],[Price]]=0,Registro_Ordini[[#This Row],[Price]]=""),"",IF(Registro_Ordini[[#This Row],[Tipo]]="Sell",Registro_Ordini[[#This Row],[Prezzo]]/Registro_Ordini[[#This Row],[Price]]-1,Registro_Ordini[[#This Row],[Price]]/Registro_Ordini[[#This Row],[Prezzo]]-1))</f>
        <v>-3.6802973977695053E-2</v>
      </c>
      <c r="P171" s="15">
        <v>1.2851797286377658E-2</v>
      </c>
      <c r="Q171" s="3">
        <v>0.13828040631417921</v>
      </c>
      <c r="R171" s="3">
        <v>0.12723281967768343</v>
      </c>
      <c r="S171" s="3">
        <v>0.60911486378862834</v>
      </c>
      <c r="T171" s="3">
        <v>0</v>
      </c>
      <c r="U171" s="3">
        <v>0.12537191021950903</v>
      </c>
      <c r="V171" s="3"/>
      <c r="W171" s="4"/>
    </row>
    <row r="172" spans="1:23" s="1" customFormat="1" ht="24.95" customHeight="1" x14ac:dyDescent="0.2">
      <c r="A172" s="8">
        <v>46051.697210648148</v>
      </c>
      <c r="B172" s="7">
        <v>46051.697222222225</v>
      </c>
      <c r="C172" s="9" t="s">
        <v>78</v>
      </c>
      <c r="D172" s="1" t="s">
        <v>388</v>
      </c>
      <c r="E172" s="1" t="s">
        <v>397</v>
      </c>
      <c r="F172" s="1" t="s">
        <v>476</v>
      </c>
      <c r="G172" s="1" t="s">
        <v>371</v>
      </c>
      <c r="H172" s="2">
        <v>10</v>
      </c>
      <c r="I172" s="17">
        <v>1336.4</v>
      </c>
      <c r="J172" s="1" t="s">
        <v>369</v>
      </c>
      <c r="K172" s="6">
        <f>Registro_Ordini[[#This Row],[Numero]]*Registro_Ordini[[#This Row],[Prezzo]]</f>
        <v>13364</v>
      </c>
      <c r="L172" s="10">
        <v>1.00000014</v>
      </c>
      <c r="M172" s="6">
        <f>Registro_Ordini[[#This Row],[Importo]]*Registro_Ordini[[#This Row],[Cambio]]</f>
        <v>13364.001870960001</v>
      </c>
      <c r="N172" s="1">
        <f ca="1">IFERROR(_xlfn.NUMBERVALUE(OFFSET(Origine,MATCH(Registro_Ordini[[#This Row],[Titolo]],Descrizioni,0),MATCH("Price",Intestazioni,0)-1,1,1)),"")</f>
        <v>1392</v>
      </c>
      <c r="O172" s="18">
        <f ca="1">IF(OR(Registro_Ordini[[#This Row],[Price]]=0,Registro_Ordini[[#This Row],[Price]]=""),"",IF(Registro_Ordini[[#This Row],[Tipo]]="Sell",Registro_Ordini[[#This Row],[Prezzo]]/Registro_Ordini[[#This Row],[Price]]-1,Registro_Ordini[[#This Row],[Price]]/Registro_Ordini[[#This Row],[Prezzo]]-1))</f>
        <v>4.1604310086800211E-2</v>
      </c>
      <c r="P172" s="15">
        <v>2.1243751222688106E-2</v>
      </c>
      <c r="Q172" s="3">
        <v>0.15085925219342294</v>
      </c>
      <c r="R172" s="3">
        <v>0.126968160391733</v>
      </c>
      <c r="S172" s="3">
        <v>0.59580310636880207</v>
      </c>
      <c r="T172" s="3">
        <v>0</v>
      </c>
      <c r="U172" s="3">
        <v>0.12636948104604181</v>
      </c>
      <c r="V172" s="3"/>
      <c r="W172" s="4"/>
    </row>
    <row r="173" spans="1:23" s="1" customFormat="1" ht="24.95" customHeight="1" x14ac:dyDescent="0.2">
      <c r="A173" s="8">
        <v>46051.696018518516</v>
      </c>
      <c r="B173" s="7">
        <v>46051.696018518516</v>
      </c>
      <c r="C173" s="9" t="s">
        <v>78</v>
      </c>
      <c r="D173" s="1" t="s">
        <v>388</v>
      </c>
      <c r="E173" s="1" t="s">
        <v>397</v>
      </c>
      <c r="F173" s="1" t="s">
        <v>440</v>
      </c>
      <c r="G173" s="1" t="s">
        <v>371</v>
      </c>
      <c r="H173" s="2">
        <v>50</v>
      </c>
      <c r="I173" s="17">
        <v>131.5</v>
      </c>
      <c r="J173" s="1" t="s">
        <v>369</v>
      </c>
      <c r="K173" s="6">
        <f>Registro_Ordini[[#This Row],[Numero]]*Registro_Ordini[[#This Row],[Prezzo]]</f>
        <v>6575</v>
      </c>
      <c r="L173" s="10">
        <v>1.00000014</v>
      </c>
      <c r="M173" s="6">
        <f>Registro_Ordini[[#This Row],[Importo]]*Registro_Ordini[[#This Row],[Cambio]]</f>
        <v>6575.0009205000006</v>
      </c>
      <c r="N173" s="1">
        <f ca="1">IFERROR(_xlfn.NUMBERVALUE(OFFSET(Origine,MATCH(Registro_Ordini[[#This Row],[Titolo]],Descrizioni,0),MATCH("Price",Intestazioni,0)-1,1,1)),"")</f>
        <v>144.5</v>
      </c>
      <c r="O173" s="18">
        <f ca="1">IF(OR(Registro_Ordini[[#This Row],[Price]]=0,Registro_Ordini[[#This Row],[Price]]=""),"",IF(Registro_Ordini[[#This Row],[Tipo]]="Sell",Registro_Ordini[[#This Row],[Prezzo]]/Registro_Ordini[[#This Row],[Price]]-1,Registro_Ordini[[#This Row],[Price]]/Registro_Ordini[[#This Row],[Prezzo]]-1))</f>
        <v>9.8859315589353569E-2</v>
      </c>
      <c r="P173" s="15">
        <v>1.0418732289818015E-2</v>
      </c>
      <c r="Q173" s="3">
        <v>0.17157547092327541</v>
      </c>
      <c r="R173" s="3">
        <v>0.12656662780708164</v>
      </c>
      <c r="S173" s="3">
        <v>0.57298491738637847</v>
      </c>
      <c r="T173" s="3">
        <v>0</v>
      </c>
      <c r="U173" s="3">
        <v>0.12887298388326454</v>
      </c>
      <c r="V173" s="3"/>
      <c r="W173" s="4"/>
    </row>
    <row r="174" spans="1:23" s="1" customFormat="1" ht="24.95" customHeight="1" x14ac:dyDescent="0.2">
      <c r="A174" s="8">
        <v>46051.695787037039</v>
      </c>
      <c r="B174" s="7">
        <v>46051.695787037039</v>
      </c>
      <c r="C174" s="9" t="s">
        <v>373</v>
      </c>
      <c r="D174" s="1" t="s">
        <v>388</v>
      </c>
      <c r="E174" s="1" t="s">
        <v>397</v>
      </c>
      <c r="F174" s="1" t="s">
        <v>440</v>
      </c>
      <c r="G174" s="1" t="s">
        <v>371</v>
      </c>
      <c r="H174" s="2">
        <v>50</v>
      </c>
      <c r="I174" s="17">
        <v>131.4</v>
      </c>
      <c r="J174" s="1" t="s">
        <v>369</v>
      </c>
      <c r="K174" s="6">
        <f>Registro_Ordini[[#This Row],[Numero]]*Registro_Ordini[[#This Row],[Prezzo]]</f>
        <v>6570</v>
      </c>
      <c r="L174" s="10">
        <v>1.00000014</v>
      </c>
      <c r="M174" s="6">
        <f>Registro_Ordini[[#This Row],[Importo]]*Registro_Ordini[[#This Row],[Cambio]]</f>
        <v>6570.0009197999998</v>
      </c>
      <c r="N174" s="1">
        <f ca="1">IFERROR(_xlfn.NUMBERVALUE(OFFSET(Origine,MATCH(Registro_Ordini[[#This Row],[Titolo]],Descrizioni,0),MATCH("Price",Intestazioni,0)-1,1,1)),"")</f>
        <v>144.5</v>
      </c>
      <c r="O174" s="18">
        <f ca="1">IF(OR(Registro_Ordini[[#This Row],[Price]]=0,Registro_Ordini[[#This Row],[Price]]=""),"",IF(Registro_Ordini[[#This Row],[Tipo]]="Sell",Registro_Ordini[[#This Row],[Prezzo]]/Registro_Ordini[[#This Row],[Price]]-1,Registro_Ordini[[#This Row],[Price]]/Registro_Ordini[[#This Row],[Prezzo]]-1))</f>
        <v>9.9695585996955716E-2</v>
      </c>
      <c r="P174" s="15">
        <v>1.5330393387058381E-2</v>
      </c>
      <c r="Q174" s="3">
        <v>0.21763354767345452</v>
      </c>
      <c r="R174" s="3">
        <v>0.34884146938984351</v>
      </c>
      <c r="S174" s="3">
        <v>0.25052340875890594</v>
      </c>
      <c r="T174" s="3">
        <v>0</v>
      </c>
      <c r="U174" s="3">
        <v>0.183001574177796</v>
      </c>
      <c r="V174" s="3"/>
      <c r="W174" s="4"/>
    </row>
    <row r="175" spans="1:23" s="1" customFormat="1" ht="24.95" customHeight="1" x14ac:dyDescent="0.2">
      <c r="A175" s="8">
        <v>46051.695775462962</v>
      </c>
      <c r="B175" s="7">
        <v>46051.695775462962</v>
      </c>
      <c r="C175" s="9" t="s">
        <v>367</v>
      </c>
      <c r="D175" s="1" t="s">
        <v>388</v>
      </c>
      <c r="E175" s="1" t="s">
        <v>397</v>
      </c>
      <c r="F175" s="1" t="s">
        <v>440</v>
      </c>
      <c r="G175" s="1" t="s">
        <v>371</v>
      </c>
      <c r="H175" s="2">
        <v>400</v>
      </c>
      <c r="I175" s="17">
        <v>131.43</v>
      </c>
      <c r="J175" s="1" t="s">
        <v>369</v>
      </c>
      <c r="K175" s="6">
        <f>Registro_Ordini[[#This Row],[Numero]]*Registro_Ordini[[#This Row],[Prezzo]]</f>
        <v>52572</v>
      </c>
      <c r="L175" s="10">
        <v>1.00000014</v>
      </c>
      <c r="M175" s="6">
        <f>Registro_Ordini[[#This Row],[Importo]]*Registro_Ordini[[#This Row],[Cambio]]</f>
        <v>52572.007360080002</v>
      </c>
      <c r="N175" s="1">
        <f ca="1">IFERROR(_xlfn.NUMBERVALUE(OFFSET(Origine,MATCH(Registro_Ordini[[#This Row],[Titolo]],Descrizioni,0),MATCH("Price",Intestazioni,0)-1,1,1)),"")</f>
        <v>144.5</v>
      </c>
      <c r="O175" s="18">
        <f ca="1">IF(OR(Registro_Ordini[[#This Row],[Price]]=0,Registro_Ordini[[#This Row],[Price]]=""),"",IF(Registro_Ordini[[#This Row],[Tipo]]="Sell",Registro_Ordini[[#This Row],[Prezzo]]/Registro_Ordini[[#This Row],[Price]]-1,Registro_Ordini[[#This Row],[Price]]/Registro_Ordini[[#This Row],[Prezzo]]-1))</f>
        <v>9.9444571254660108E-2</v>
      </c>
      <c r="P175" s="15">
        <v>1.4681889700426531E-2</v>
      </c>
      <c r="Q175" s="3">
        <v>0.14373845878821018</v>
      </c>
      <c r="R175" s="3">
        <v>0.36334372885550659</v>
      </c>
      <c r="S175" s="3">
        <v>0.3891351018189898</v>
      </c>
      <c r="T175" s="3">
        <v>0</v>
      </c>
      <c r="U175" s="3">
        <v>0.10378271053729327</v>
      </c>
      <c r="V175" s="3"/>
      <c r="W175" s="4"/>
    </row>
    <row r="176" spans="1:23" s="1" customFormat="1" ht="24.95" customHeight="1" x14ac:dyDescent="0.2">
      <c r="A176" s="8">
        <v>46051.695763888885</v>
      </c>
      <c r="B176" s="7">
        <v>46051.695763888885</v>
      </c>
      <c r="C176" s="9" t="s">
        <v>375</v>
      </c>
      <c r="D176" s="1" t="s">
        <v>388</v>
      </c>
      <c r="E176" s="1" t="s">
        <v>397</v>
      </c>
      <c r="F176" s="1" t="s">
        <v>440</v>
      </c>
      <c r="G176" s="1" t="s">
        <v>371</v>
      </c>
      <c r="H176" s="2">
        <v>100</v>
      </c>
      <c r="I176" s="17">
        <v>131.5</v>
      </c>
      <c r="J176" s="1" t="s">
        <v>369</v>
      </c>
      <c r="K176" s="6">
        <f>Registro_Ordini[[#This Row],[Numero]]*Registro_Ordini[[#This Row],[Prezzo]]</f>
        <v>13150</v>
      </c>
      <c r="L176" s="10">
        <v>1.00000014</v>
      </c>
      <c r="M176" s="6">
        <f>Registro_Ordini[[#This Row],[Importo]]*Registro_Ordini[[#This Row],[Cambio]]</f>
        <v>13150.001841000001</v>
      </c>
      <c r="N176" s="1">
        <f ca="1">IFERROR(_xlfn.NUMBERVALUE(OFFSET(Origine,MATCH(Registro_Ordini[[#This Row],[Titolo]],Descrizioni,0),MATCH("Price",Intestazioni,0)-1,1,1)),"")</f>
        <v>144.5</v>
      </c>
      <c r="O176" s="18">
        <f ca="1">IF(OR(Registro_Ordini[[#This Row],[Price]]=0,Registro_Ordini[[#This Row],[Price]]=""),"",IF(Registro_Ordini[[#This Row],[Tipo]]="Sell",Registro_Ordini[[#This Row],[Prezzo]]/Registro_Ordini[[#This Row],[Price]]-1,Registro_Ordini[[#This Row],[Price]]/Registro_Ordini[[#This Row],[Prezzo]]-1))</f>
        <v>9.8859315589353569E-2</v>
      </c>
      <c r="P176" s="15">
        <v>1.4783629738165348E-2</v>
      </c>
      <c r="Q176" s="3">
        <v>9.6149884127873897E-2</v>
      </c>
      <c r="R176" s="3">
        <v>0.32214826280306863</v>
      </c>
      <c r="S176" s="3">
        <v>0.42705890274065711</v>
      </c>
      <c r="T176" s="3">
        <v>0</v>
      </c>
      <c r="U176" s="3">
        <v>0.15464295032840039</v>
      </c>
      <c r="V176" s="3"/>
      <c r="W176" s="4"/>
    </row>
    <row r="177" spans="1:23" s="1" customFormat="1" ht="24.95" customHeight="1" x14ac:dyDescent="0.2">
      <c r="A177" s="8">
        <v>46051.695752314816</v>
      </c>
      <c r="B177" s="7">
        <v>46051.695752314816</v>
      </c>
      <c r="C177" s="9" t="s">
        <v>376</v>
      </c>
      <c r="D177" s="1" t="s">
        <v>388</v>
      </c>
      <c r="E177" s="1" t="s">
        <v>397</v>
      </c>
      <c r="F177" s="1" t="s">
        <v>440</v>
      </c>
      <c r="G177" s="1" t="s">
        <v>371</v>
      </c>
      <c r="H177" s="2">
        <v>35</v>
      </c>
      <c r="I177" s="17">
        <v>131.5</v>
      </c>
      <c r="J177" s="1" t="s">
        <v>369</v>
      </c>
      <c r="K177" s="6">
        <f>Registro_Ordini[[#This Row],[Numero]]*Registro_Ordini[[#This Row],[Prezzo]]</f>
        <v>4602.5</v>
      </c>
      <c r="L177" s="10">
        <v>1.00000014</v>
      </c>
      <c r="M177" s="6">
        <f>Registro_Ordini[[#This Row],[Importo]]*Registro_Ordini[[#This Row],[Cambio]]</f>
        <v>4602.5006443500006</v>
      </c>
      <c r="N177" s="1">
        <f ca="1">IFERROR(_xlfn.NUMBERVALUE(OFFSET(Origine,MATCH(Registro_Ordini[[#This Row],[Titolo]],Descrizioni,0),MATCH("Price",Intestazioni,0)-1,1,1)),"")</f>
        <v>144.5</v>
      </c>
      <c r="O177" s="18">
        <f ca="1">IF(OR(Registro_Ordini[[#This Row],[Price]]=0,Registro_Ordini[[#This Row],[Price]]=""),"",IF(Registro_Ordini[[#This Row],[Tipo]]="Sell",Registro_Ordini[[#This Row],[Prezzo]]/Registro_Ordini[[#This Row],[Price]]-1,Registro_Ordini[[#This Row],[Price]]/Registro_Ordini[[#This Row],[Prezzo]]-1))</f>
        <v>9.8859315589353569E-2</v>
      </c>
      <c r="P177" s="15">
        <v>1.6168272511631401E-2</v>
      </c>
      <c r="Q177" s="3">
        <v>8.1288649968350946E-2</v>
      </c>
      <c r="R177" s="3">
        <v>0.26335843737114162</v>
      </c>
      <c r="S177" s="3">
        <v>0.45997157965591284</v>
      </c>
      <c r="T177" s="3">
        <v>0</v>
      </c>
      <c r="U177" s="3">
        <v>0.19538133300459454</v>
      </c>
      <c r="V177" s="3"/>
      <c r="W177" s="4"/>
    </row>
    <row r="178" spans="1:23" s="1" customFormat="1" ht="24.95" customHeight="1" x14ac:dyDescent="0.2">
      <c r="A178" s="8">
        <v>46051.695740740739</v>
      </c>
      <c r="B178" s="7">
        <v>46051.695740740739</v>
      </c>
      <c r="C178" s="9" t="s">
        <v>377</v>
      </c>
      <c r="D178" s="1" t="s">
        <v>388</v>
      </c>
      <c r="E178" s="1" t="s">
        <v>397</v>
      </c>
      <c r="F178" s="1" t="s">
        <v>440</v>
      </c>
      <c r="G178" s="1" t="s">
        <v>371</v>
      </c>
      <c r="H178" s="2">
        <v>200</v>
      </c>
      <c r="I178" s="17">
        <v>131.5</v>
      </c>
      <c r="J178" s="1" t="s">
        <v>369</v>
      </c>
      <c r="K178" s="6">
        <f>Registro_Ordini[[#This Row],[Numero]]*Registro_Ordini[[#This Row],[Prezzo]]</f>
        <v>26300</v>
      </c>
      <c r="L178" s="10">
        <v>1.00000014</v>
      </c>
      <c r="M178" s="6">
        <f>Registro_Ordini[[#This Row],[Importo]]*Registro_Ordini[[#This Row],[Cambio]]</f>
        <v>26300.003682000002</v>
      </c>
      <c r="N178" s="1">
        <f ca="1">IFERROR(_xlfn.NUMBERVALUE(OFFSET(Origine,MATCH(Registro_Ordini[[#This Row],[Titolo]],Descrizioni,0),MATCH("Price",Intestazioni,0)-1,1,1)),"")</f>
        <v>144.5</v>
      </c>
      <c r="O178" s="18">
        <f ca="1">IF(OR(Registro_Ordini[[#This Row],[Price]]=0,Registro_Ordini[[#This Row],[Price]]=""),"",IF(Registro_Ordini[[#This Row],[Tipo]]="Sell",Registro_Ordini[[#This Row],[Prezzo]]/Registro_Ordini[[#This Row],[Price]]-1,Registro_Ordini[[#This Row],[Price]]/Registro_Ordini[[#This Row],[Prezzo]]-1))</f>
        <v>9.8859315589353569E-2</v>
      </c>
      <c r="P178" s="15">
        <v>1.5236910611511428E-2</v>
      </c>
      <c r="Q178" s="3">
        <v>9.7630350697973142E-2</v>
      </c>
      <c r="R178" s="3">
        <v>0.29684861498996118</v>
      </c>
      <c r="S178" s="3">
        <v>0.45420634558527656</v>
      </c>
      <c r="T178" s="3">
        <v>0</v>
      </c>
      <c r="U178" s="3">
        <v>0.15131468872678916</v>
      </c>
      <c r="V178" s="3"/>
      <c r="W178" s="4"/>
    </row>
    <row r="179" spans="1:23" s="1" customFormat="1" ht="24.95" customHeight="1" x14ac:dyDescent="0.2">
      <c r="A179" s="8">
        <v>46051.695729166669</v>
      </c>
      <c r="B179" s="7">
        <v>46051.695729166669</v>
      </c>
      <c r="C179" s="9" t="s">
        <v>378</v>
      </c>
      <c r="D179" s="1" t="s">
        <v>388</v>
      </c>
      <c r="E179" s="1" t="s">
        <v>397</v>
      </c>
      <c r="F179" s="1" t="s">
        <v>440</v>
      </c>
      <c r="G179" s="1" t="s">
        <v>371</v>
      </c>
      <c r="H179" s="2">
        <v>65</v>
      </c>
      <c r="I179" s="17">
        <v>131.5</v>
      </c>
      <c r="J179" s="1" t="s">
        <v>369</v>
      </c>
      <c r="K179" s="6">
        <f>Registro_Ordini[[#This Row],[Numero]]*Registro_Ordini[[#This Row],[Prezzo]]</f>
        <v>8547.5</v>
      </c>
      <c r="L179" s="10">
        <v>1.00000014</v>
      </c>
      <c r="M179" s="6">
        <f>Registro_Ordini[[#This Row],[Importo]]*Registro_Ordini[[#This Row],[Cambio]]</f>
        <v>8547.5011966500006</v>
      </c>
      <c r="N179" s="1">
        <f ca="1">IFERROR(_xlfn.NUMBERVALUE(OFFSET(Origine,MATCH(Registro_Ordini[[#This Row],[Titolo]],Descrizioni,0),MATCH("Price",Intestazioni,0)-1,1,1)),"")</f>
        <v>144.5</v>
      </c>
      <c r="O179" s="18">
        <f ca="1">IF(OR(Registro_Ordini[[#This Row],[Price]]=0,Registro_Ordini[[#This Row],[Price]]=""),"",IF(Registro_Ordini[[#This Row],[Tipo]]="Sell",Registro_Ordini[[#This Row],[Prezzo]]/Registro_Ordini[[#This Row],[Price]]-1,Registro_Ordini[[#This Row],[Price]]/Registro_Ordini[[#This Row],[Prezzo]]-1))</f>
        <v>9.8859315589353569E-2</v>
      </c>
      <c r="P179" s="15">
        <v>1.5215498509769094E-2</v>
      </c>
      <c r="Q179" s="3">
        <v>0.10731390987016887</v>
      </c>
      <c r="R179" s="3">
        <v>0.28588235044730553</v>
      </c>
      <c r="S179" s="3">
        <v>0.46118812440257262</v>
      </c>
      <c r="T179" s="3">
        <v>0</v>
      </c>
      <c r="U179" s="3">
        <v>0.14561561527995318</v>
      </c>
      <c r="V179" s="3"/>
      <c r="W179" s="4"/>
    </row>
    <row r="180" spans="1:23" s="1" customFormat="1" ht="24.95" customHeight="1" x14ac:dyDescent="0.2">
      <c r="A180" s="8">
        <v>46051.694895833331</v>
      </c>
      <c r="B180" s="7">
        <v>46051.694895833331</v>
      </c>
      <c r="C180" s="9" t="s">
        <v>373</v>
      </c>
      <c r="D180" s="1" t="s">
        <v>388</v>
      </c>
      <c r="E180" s="1" t="s">
        <v>397</v>
      </c>
      <c r="F180" s="1" t="s">
        <v>486</v>
      </c>
      <c r="G180" s="1" t="s">
        <v>371</v>
      </c>
      <c r="H180" s="2">
        <v>140</v>
      </c>
      <c r="I180" s="17">
        <v>61.66</v>
      </c>
      <c r="J180" s="1" t="s">
        <v>369</v>
      </c>
      <c r="K180" s="6">
        <f>Registro_Ordini[[#This Row],[Numero]]*Registro_Ordini[[#This Row],[Prezzo]]</f>
        <v>8632.4</v>
      </c>
      <c r="L180" s="10">
        <v>1.00000014</v>
      </c>
      <c r="M180" s="6">
        <f>Registro_Ordini[[#This Row],[Importo]]*Registro_Ordini[[#This Row],[Cambio]]</f>
        <v>8632.4012085359991</v>
      </c>
      <c r="N180" s="1">
        <f ca="1">IFERROR(_xlfn.NUMBERVALUE(OFFSET(Origine,MATCH(Registro_Ordini[[#This Row],[Titolo]],Descrizioni,0),MATCH("Price",Intestazioni,0)-1,1,1)),"")</f>
        <v>65.44</v>
      </c>
      <c r="O180" s="18">
        <f ca="1">IF(OR(Registro_Ordini[[#This Row],[Price]]=0,Registro_Ordini[[#This Row],[Price]]=""),"",IF(Registro_Ordini[[#This Row],[Tipo]]="Sell",Registro_Ordini[[#This Row],[Prezzo]]/Registro_Ordini[[#This Row],[Price]]-1,Registro_Ordini[[#This Row],[Price]]/Registro_Ordini[[#This Row],[Prezzo]]-1))</f>
        <v>6.1303924748621563E-2</v>
      </c>
      <c r="P180" s="15">
        <v>2.0110044942719011E-2</v>
      </c>
      <c r="Q180" s="3">
        <v>0.23282380054344629</v>
      </c>
      <c r="R180" s="3">
        <v>0.34861529853669859</v>
      </c>
      <c r="S180" s="3">
        <v>0.23487408975900995</v>
      </c>
      <c r="T180" s="3">
        <v>0</v>
      </c>
      <c r="U180" s="3">
        <v>0.18368681116084515</v>
      </c>
      <c r="V180" s="3"/>
      <c r="W180" s="4"/>
    </row>
    <row r="181" spans="1:23" s="1" customFormat="1" ht="24.95" customHeight="1" x14ac:dyDescent="0.2">
      <c r="A181" s="8">
        <v>46051.694884259261</v>
      </c>
      <c r="B181" s="7">
        <v>46051.694884259261</v>
      </c>
      <c r="C181" s="9" t="s">
        <v>367</v>
      </c>
      <c r="D181" s="1" t="s">
        <v>388</v>
      </c>
      <c r="E181" s="1" t="s">
        <v>397</v>
      </c>
      <c r="F181" s="1" t="s">
        <v>486</v>
      </c>
      <c r="G181" s="1" t="s">
        <v>371</v>
      </c>
      <c r="H181" s="2">
        <v>1000</v>
      </c>
      <c r="I181" s="17">
        <v>61.66</v>
      </c>
      <c r="J181" s="1" t="s">
        <v>369</v>
      </c>
      <c r="K181" s="6">
        <f>Registro_Ordini[[#This Row],[Numero]]*Registro_Ordini[[#This Row],[Prezzo]]</f>
        <v>61660</v>
      </c>
      <c r="L181" s="10">
        <v>1.00000014</v>
      </c>
      <c r="M181" s="6">
        <f>Registro_Ordini[[#This Row],[Importo]]*Registro_Ordini[[#This Row],[Cambio]]</f>
        <v>61660.0086324</v>
      </c>
      <c r="N181" s="1">
        <f ca="1">IFERROR(_xlfn.NUMBERVALUE(OFFSET(Origine,MATCH(Registro_Ordini[[#This Row],[Titolo]],Descrizioni,0),MATCH("Price",Intestazioni,0)-1,1,1)),"")</f>
        <v>65.44</v>
      </c>
      <c r="O181" s="18">
        <f ca="1">IF(OR(Registro_Ordini[[#This Row],[Price]]=0,Registro_Ordini[[#This Row],[Price]]=""),"",IF(Registro_Ordini[[#This Row],[Tipo]]="Sell",Registro_Ordini[[#This Row],[Prezzo]]/Registro_Ordini[[#This Row],[Price]]-1,Registro_Ordini[[#This Row],[Price]]/Registro_Ordini[[#This Row],[Prezzo]]-1))</f>
        <v>6.1303924748621563E-2</v>
      </c>
      <c r="P181" s="15">
        <v>1.7207732365716724E-2</v>
      </c>
      <c r="Q181" s="3">
        <v>0.15843711241811431</v>
      </c>
      <c r="R181" s="3">
        <v>0.36335904031983796</v>
      </c>
      <c r="S181" s="3">
        <v>0.3743553535447886</v>
      </c>
      <c r="T181" s="3">
        <v>0</v>
      </c>
      <c r="U181" s="3">
        <v>0.10384849371725918</v>
      </c>
      <c r="V181" s="3"/>
      <c r="W181" s="4"/>
    </row>
    <row r="182" spans="1:23" s="1" customFormat="1" ht="24.95" customHeight="1" x14ac:dyDescent="0.2">
      <c r="A182" s="8">
        <v>46051.694872685184</v>
      </c>
      <c r="B182" s="7">
        <v>46051.694872685184</v>
      </c>
      <c r="C182" s="9" t="s">
        <v>375</v>
      </c>
      <c r="D182" s="1" t="s">
        <v>388</v>
      </c>
      <c r="E182" s="1" t="s">
        <v>397</v>
      </c>
      <c r="F182" s="1" t="s">
        <v>486</v>
      </c>
      <c r="G182" s="1" t="s">
        <v>371</v>
      </c>
      <c r="H182" s="2">
        <v>280</v>
      </c>
      <c r="I182" s="17">
        <v>61.646599999999999</v>
      </c>
      <c r="J182" s="1" t="s">
        <v>369</v>
      </c>
      <c r="K182" s="6">
        <f>Registro_Ordini[[#This Row],[Numero]]*Registro_Ordini[[#This Row],[Prezzo]]</f>
        <v>17261.047999999999</v>
      </c>
      <c r="L182" s="10">
        <v>1.00000014</v>
      </c>
      <c r="M182" s="6">
        <f>Registro_Ordini[[#This Row],[Importo]]*Registro_Ordini[[#This Row],[Cambio]]</f>
        <v>17261.050416546721</v>
      </c>
      <c r="N182" s="1">
        <f ca="1">IFERROR(_xlfn.NUMBERVALUE(OFFSET(Origine,MATCH(Registro_Ordini[[#This Row],[Titolo]],Descrizioni,0),MATCH("Price",Intestazioni,0)-1,1,1)),"")</f>
        <v>65.44</v>
      </c>
      <c r="O182" s="18">
        <f ca="1">IF(OR(Registro_Ordini[[#This Row],[Price]]=0,Registro_Ordini[[#This Row],[Price]]=""),"",IF(Registro_Ordini[[#This Row],[Tipo]]="Sell",Registro_Ordini[[#This Row],[Prezzo]]/Registro_Ordini[[#This Row],[Price]]-1,Registro_Ordini[[#This Row],[Price]]/Registro_Ordini[[#This Row],[Prezzo]]-1))</f>
        <v>6.1534618292006238E-2</v>
      </c>
      <c r="P182" s="15">
        <v>1.9406416208600136E-2</v>
      </c>
      <c r="Q182" s="3">
        <v>0.11093989266208826</v>
      </c>
      <c r="R182" s="3">
        <v>0.32216521802841042</v>
      </c>
      <c r="S182" s="3">
        <v>0.41215722955593664</v>
      </c>
      <c r="T182" s="3">
        <v>0</v>
      </c>
      <c r="U182" s="3">
        <v>0.15473765975356477</v>
      </c>
      <c r="V182" s="3"/>
      <c r="W182" s="4"/>
    </row>
    <row r="183" spans="1:23" s="1" customFormat="1" ht="24.95" customHeight="1" x14ac:dyDescent="0.2">
      <c r="A183" s="8">
        <v>46051.694861111115</v>
      </c>
      <c r="B183" s="7">
        <v>46051.694861111115</v>
      </c>
      <c r="C183" s="9" t="s">
        <v>376</v>
      </c>
      <c r="D183" s="1" t="s">
        <v>388</v>
      </c>
      <c r="E183" s="1" t="s">
        <v>397</v>
      </c>
      <c r="F183" s="1" t="s">
        <v>486</v>
      </c>
      <c r="G183" s="1" t="s">
        <v>371</v>
      </c>
      <c r="H183" s="2">
        <v>90</v>
      </c>
      <c r="I183" s="17">
        <v>61.646599999999999</v>
      </c>
      <c r="J183" s="1" t="s">
        <v>369</v>
      </c>
      <c r="K183" s="6">
        <f>Registro_Ordini[[#This Row],[Numero]]*Registro_Ordini[[#This Row],[Prezzo]]</f>
        <v>5548.1939999999995</v>
      </c>
      <c r="L183" s="10">
        <v>1.00000014</v>
      </c>
      <c r="M183" s="6">
        <f>Registro_Ordini[[#This Row],[Importo]]*Registro_Ordini[[#This Row],[Cambio]]</f>
        <v>5548.1947767471593</v>
      </c>
      <c r="N183" s="1">
        <f ca="1">IFERROR(_xlfn.NUMBERVALUE(OFFSET(Origine,MATCH(Registro_Ordini[[#This Row],[Titolo]],Descrizioni,0),MATCH("Price",Intestazioni,0)-1,1,1)),"")</f>
        <v>65.44</v>
      </c>
      <c r="O183" s="18">
        <f ca="1">IF(OR(Registro_Ordini[[#This Row],[Price]]=0,Registro_Ordini[[#This Row],[Price]]=""),"",IF(Registro_Ordini[[#This Row],[Tipo]]="Sell",Registro_Ordini[[#This Row],[Prezzo]]/Registro_Ordini[[#This Row],[Price]]-1,Registro_Ordini[[#This Row],[Price]]/Registro_Ordini[[#This Row],[Prezzo]]-1))</f>
        <v>6.1534618292006238E-2</v>
      </c>
      <c r="P183" s="15">
        <v>1.9471214554080248E-2</v>
      </c>
      <c r="Q183" s="3">
        <v>9.7367385880349669E-2</v>
      </c>
      <c r="R183" s="3">
        <v>0.26309876974593466</v>
      </c>
      <c r="S183" s="3">
        <v>0.44321895354689611</v>
      </c>
      <c r="T183" s="3">
        <v>0</v>
      </c>
      <c r="U183" s="3">
        <v>0.19631489082681944</v>
      </c>
      <c r="V183" s="3"/>
      <c r="W183" s="4"/>
    </row>
    <row r="184" spans="1:23" s="1" customFormat="1" ht="24.95" customHeight="1" x14ac:dyDescent="0.2">
      <c r="A184" s="8">
        <v>46051.694849537038</v>
      </c>
      <c r="B184" s="7">
        <v>46051.694849537038</v>
      </c>
      <c r="C184" s="9" t="s">
        <v>377</v>
      </c>
      <c r="D184" s="1" t="s">
        <v>388</v>
      </c>
      <c r="E184" s="1" t="s">
        <v>397</v>
      </c>
      <c r="F184" s="1" t="s">
        <v>486</v>
      </c>
      <c r="G184" s="1" t="s">
        <v>371</v>
      </c>
      <c r="H184" s="2">
        <v>560</v>
      </c>
      <c r="I184" s="17">
        <v>61.646599999999999</v>
      </c>
      <c r="J184" s="1" t="s">
        <v>369</v>
      </c>
      <c r="K184" s="6">
        <f>Registro_Ordini[[#This Row],[Numero]]*Registro_Ordini[[#This Row],[Prezzo]]</f>
        <v>34522.095999999998</v>
      </c>
      <c r="L184" s="10">
        <v>1.00000014</v>
      </c>
      <c r="M184" s="6">
        <f>Registro_Ordini[[#This Row],[Importo]]*Registro_Ordini[[#This Row],[Cambio]]</f>
        <v>34522.100833093442</v>
      </c>
      <c r="N184" s="1">
        <f ca="1">IFERROR(_xlfn.NUMBERVALUE(OFFSET(Origine,MATCH(Registro_Ordini[[#This Row],[Titolo]],Descrizioni,0),MATCH("Price",Intestazioni,0)-1,1,1)),"")</f>
        <v>65.44</v>
      </c>
      <c r="O184" s="18">
        <f ca="1">IF(OR(Registro_Ordini[[#This Row],[Price]]=0,Registro_Ordini[[#This Row],[Price]]=""),"",IF(Registro_Ordini[[#This Row],[Tipo]]="Sell",Registro_Ordini[[#This Row],[Prezzo]]/Registro_Ordini[[#This Row],[Price]]-1,Registro_Ordini[[#This Row],[Price]]/Registro_Ordini[[#This Row],[Prezzo]]-1))</f>
        <v>6.1534618292006238E-2</v>
      </c>
      <c r="P184" s="15">
        <v>2.0001985832568191E-2</v>
      </c>
      <c r="Q184" s="3">
        <v>0.11287825958439826</v>
      </c>
      <c r="R184" s="3">
        <v>0.29687239432151713</v>
      </c>
      <c r="S184" s="3">
        <v>0.43892253616486826</v>
      </c>
      <c r="T184" s="3">
        <v>0</v>
      </c>
      <c r="U184" s="3">
        <v>0.15132680992921635</v>
      </c>
      <c r="V184" s="3"/>
      <c r="W184" s="4"/>
    </row>
    <row r="185" spans="1:23" s="1" customFormat="1" ht="24.95" customHeight="1" x14ac:dyDescent="0.2">
      <c r="A185" s="8">
        <v>46051.694837962961</v>
      </c>
      <c r="B185" s="7">
        <v>46051.694837962961</v>
      </c>
      <c r="C185" s="9" t="s">
        <v>378</v>
      </c>
      <c r="D185" s="1" t="s">
        <v>388</v>
      </c>
      <c r="E185" s="1" t="s">
        <v>397</v>
      </c>
      <c r="F185" s="1" t="s">
        <v>486</v>
      </c>
      <c r="G185" s="1" t="s">
        <v>371</v>
      </c>
      <c r="H185" s="2">
        <v>180</v>
      </c>
      <c r="I185" s="17">
        <v>61.646599999999999</v>
      </c>
      <c r="J185" s="1" t="s">
        <v>369</v>
      </c>
      <c r="K185" s="6">
        <f>Registro_Ordini[[#This Row],[Numero]]*Registro_Ordini[[#This Row],[Prezzo]]</f>
        <v>11096.387999999999</v>
      </c>
      <c r="L185" s="10">
        <v>1.00000014</v>
      </c>
      <c r="M185" s="6">
        <f>Registro_Ordini[[#This Row],[Importo]]*Registro_Ordini[[#This Row],[Cambio]]</f>
        <v>11096.389553494319</v>
      </c>
      <c r="N185" s="1">
        <f ca="1">IFERROR(_xlfn.NUMBERVALUE(OFFSET(Origine,MATCH(Registro_Ordini[[#This Row],[Titolo]],Descrizioni,0),MATCH("Price",Intestazioni,0)-1,1,1)),"")</f>
        <v>65.44</v>
      </c>
      <c r="O185" s="18">
        <f ca="1">IF(OR(Registro_Ordini[[#This Row],[Price]]=0,Registro_Ordini[[#This Row],[Price]]=""),"",IF(Registro_Ordini[[#This Row],[Tipo]]="Sell",Registro_Ordini[[#This Row],[Prezzo]]/Registro_Ordini[[#This Row],[Price]]-1,Registro_Ordini[[#This Row],[Price]]/Registro_Ordini[[#This Row],[Prezzo]]-1))</f>
        <v>6.1534618292006238E-2</v>
      </c>
      <c r="P185" s="15">
        <v>1.9743248493686E-2</v>
      </c>
      <c r="Q185" s="3">
        <v>0.12247393269713205</v>
      </c>
      <c r="R185" s="3">
        <v>0.28574408255671879</v>
      </c>
      <c r="S185" s="3">
        <v>0.44564333932655881</v>
      </c>
      <c r="T185" s="3">
        <v>0</v>
      </c>
      <c r="U185" s="3">
        <v>0.14613864541959043</v>
      </c>
      <c r="V185" s="3"/>
      <c r="W185" s="4"/>
    </row>
    <row r="186" spans="1:23" s="1" customFormat="1" ht="24.95" customHeight="1" x14ac:dyDescent="0.2">
      <c r="A186" s="8">
        <v>46051.694178240738</v>
      </c>
      <c r="B186" s="7">
        <v>46051.694178240738</v>
      </c>
      <c r="C186" s="9" t="s">
        <v>78</v>
      </c>
      <c r="D186" s="1" t="s">
        <v>388</v>
      </c>
      <c r="E186" s="1" t="s">
        <v>397</v>
      </c>
      <c r="F186" s="1" t="s">
        <v>474</v>
      </c>
      <c r="G186" s="1" t="s">
        <v>365</v>
      </c>
      <c r="H186" s="2">
        <v>-75</v>
      </c>
      <c r="I186" s="17">
        <v>123.504</v>
      </c>
      <c r="J186" s="1" t="s">
        <v>369</v>
      </c>
      <c r="K186" s="6">
        <f>Registro_Ordini[[#This Row],[Numero]]*Registro_Ordini[[#This Row],[Prezzo]]</f>
        <v>-9262.8000000000011</v>
      </c>
      <c r="L186" s="10">
        <v>1.00000014</v>
      </c>
      <c r="M186" s="6">
        <f>Registro_Ordini[[#This Row],[Importo]]*Registro_Ordini[[#This Row],[Cambio]]</f>
        <v>-9262.8012967920022</v>
      </c>
      <c r="N186" s="1">
        <f ca="1">IFERROR(_xlfn.NUMBERVALUE(OFFSET(Origine,MATCH(Registro_Ordini[[#This Row],[Titolo]],Descrizioni,0),MATCH("Price",Intestazioni,0)-1,1,1)),"")</f>
        <v>128.5</v>
      </c>
      <c r="O186" s="18">
        <f ca="1">IF(OR(Registro_Ordini[[#This Row],[Price]]=0,Registro_Ordini[[#This Row],[Price]]=""),"",IF(Registro_Ordini[[#This Row],[Tipo]]="Sell",Registro_Ordini[[#This Row],[Prezzo]]/Registro_Ordini[[#This Row],[Price]]-1,Registro_Ordini[[#This Row],[Price]]/Registro_Ordini[[#This Row],[Prezzo]]-1))</f>
        <v>-3.8879377431906614E-2</v>
      </c>
      <c r="P186" s="15">
        <v>-1.4661402105778367E-2</v>
      </c>
      <c r="Q186" s="3">
        <v>0.18178713739340754</v>
      </c>
      <c r="R186" s="3">
        <v>0.12642509983520017</v>
      </c>
      <c r="S186" s="3">
        <v>0.56174878064042244</v>
      </c>
      <c r="T186" s="3">
        <v>0</v>
      </c>
      <c r="U186" s="3">
        <v>0.13003898213096995</v>
      </c>
      <c r="V186" s="3"/>
      <c r="W186" s="4"/>
    </row>
    <row r="187" spans="1:23" s="1" customFormat="1" ht="24.95" customHeight="1" x14ac:dyDescent="0.2">
      <c r="A187" s="8">
        <v>46051.694004629629</v>
      </c>
      <c r="B187" s="7">
        <v>46051.694004629629</v>
      </c>
      <c r="C187" s="9" t="s">
        <v>367</v>
      </c>
      <c r="D187" s="1" t="s">
        <v>388</v>
      </c>
      <c r="E187" s="1" t="s">
        <v>397</v>
      </c>
      <c r="F187" s="1" t="s">
        <v>474</v>
      </c>
      <c r="G187" s="1" t="s">
        <v>365</v>
      </c>
      <c r="H187" s="2">
        <v>-520</v>
      </c>
      <c r="I187" s="17">
        <v>123.58</v>
      </c>
      <c r="J187" s="1" t="s">
        <v>369</v>
      </c>
      <c r="K187" s="6">
        <f>Registro_Ordini[[#This Row],[Numero]]*Registro_Ordini[[#This Row],[Prezzo]]</f>
        <v>-64261.599999999999</v>
      </c>
      <c r="L187" s="10">
        <v>1.00000014</v>
      </c>
      <c r="M187" s="6">
        <f>Registro_Ordini[[#This Row],[Importo]]*Registro_Ordini[[#This Row],[Cambio]]</f>
        <v>-64261.608996624003</v>
      </c>
      <c r="N187" s="1">
        <f ca="1">IFERROR(_xlfn.NUMBERVALUE(OFFSET(Origine,MATCH(Registro_Ordini[[#This Row],[Titolo]],Descrizioni,0),MATCH("Price",Intestazioni,0)-1,1,1)),"")</f>
        <v>128.5</v>
      </c>
      <c r="O187" s="18">
        <f ca="1">IF(OR(Registro_Ordini[[#This Row],[Price]]=0,Registro_Ordini[[#This Row],[Price]]=""),"",IF(Registro_Ordini[[#This Row],[Tipo]]="Sell",Registro_Ordini[[#This Row],[Prezzo]]/Registro_Ordini[[#This Row],[Price]]-1,Registro_Ordini[[#This Row],[Price]]/Registro_Ordini[[#This Row],[Prezzo]]-1))</f>
        <v>-3.8287937743190725E-2</v>
      </c>
      <c r="P187" s="15">
        <v>-1.7923202455837312E-2</v>
      </c>
      <c r="Q187" s="3">
        <v>0.17561117028353185</v>
      </c>
      <c r="R187" s="3">
        <v>0.36328658657594975</v>
      </c>
      <c r="S187" s="3">
        <v>0.35708667449116271</v>
      </c>
      <c r="T187" s="3">
        <v>0</v>
      </c>
      <c r="U187" s="3">
        <v>0.10401556864935578</v>
      </c>
      <c r="V187" s="3"/>
      <c r="W187" s="4"/>
    </row>
    <row r="188" spans="1:23" s="1" customFormat="1" ht="24.95" customHeight="1" x14ac:dyDescent="0.2">
      <c r="A188" s="8">
        <v>46051.693993055553</v>
      </c>
      <c r="B188" s="7">
        <v>46051.693993055553</v>
      </c>
      <c r="C188" s="9" t="s">
        <v>375</v>
      </c>
      <c r="D188" s="1" t="s">
        <v>388</v>
      </c>
      <c r="E188" s="1" t="s">
        <v>397</v>
      </c>
      <c r="F188" s="1" t="s">
        <v>474</v>
      </c>
      <c r="G188" s="1" t="s">
        <v>365</v>
      </c>
      <c r="H188" s="2">
        <v>-100</v>
      </c>
      <c r="I188" s="17">
        <v>123.504</v>
      </c>
      <c r="J188" s="1" t="s">
        <v>369</v>
      </c>
      <c r="K188" s="6">
        <f>Registro_Ordini[[#This Row],[Numero]]*Registro_Ordini[[#This Row],[Prezzo]]</f>
        <v>-12350.4</v>
      </c>
      <c r="L188" s="10">
        <v>1.00000014</v>
      </c>
      <c r="M188" s="6">
        <f>Registro_Ordini[[#This Row],[Importo]]*Registro_Ordini[[#This Row],[Cambio]]</f>
        <v>-12350.401729056</v>
      </c>
      <c r="N188" s="1">
        <f ca="1">IFERROR(_xlfn.NUMBERVALUE(OFFSET(Origine,MATCH(Registro_Ordini[[#This Row],[Titolo]],Descrizioni,0),MATCH("Price",Intestazioni,0)-1,1,1)),"")</f>
        <v>128.5</v>
      </c>
      <c r="O188" s="18">
        <f ca="1">IF(OR(Registro_Ordini[[#This Row],[Price]]=0,Registro_Ordini[[#This Row],[Price]]=""),"",IF(Registro_Ordini[[#This Row],[Tipo]]="Sell",Registro_Ordini[[#This Row],[Prezzo]]/Registro_Ordini[[#This Row],[Price]]-1,Registro_Ordini[[#This Row],[Price]]/Registro_Ordini[[#This Row],[Prezzo]]-1))</f>
        <v>-3.8879377431906614E-2</v>
      </c>
      <c r="P188" s="15">
        <v>-1.3823941786275037E-2</v>
      </c>
      <c r="Q188" s="3">
        <v>0.12976914071613083</v>
      </c>
      <c r="R188" s="3">
        <v>0.3207386835452854</v>
      </c>
      <c r="S188" s="3">
        <v>0.39108612690328848</v>
      </c>
      <c r="T188" s="3">
        <v>0</v>
      </c>
      <c r="U188" s="3">
        <v>0.15840604883529519</v>
      </c>
      <c r="V188" s="3"/>
      <c r="W188" s="4"/>
    </row>
    <row r="189" spans="1:23" s="1" customFormat="1" ht="24.95" customHeight="1" x14ac:dyDescent="0.2">
      <c r="A189" s="8">
        <v>46051.693981481483</v>
      </c>
      <c r="B189" s="7">
        <v>46051.693981481483</v>
      </c>
      <c r="C189" s="9" t="s">
        <v>376</v>
      </c>
      <c r="D189" s="1" t="s">
        <v>388</v>
      </c>
      <c r="E189" s="1" t="s">
        <v>397</v>
      </c>
      <c r="F189" s="1" t="s">
        <v>474</v>
      </c>
      <c r="G189" s="1" t="s">
        <v>365</v>
      </c>
      <c r="H189" s="2">
        <v>-40</v>
      </c>
      <c r="I189" s="17">
        <v>123.504</v>
      </c>
      <c r="J189" s="1" t="s">
        <v>369</v>
      </c>
      <c r="K189" s="6">
        <f>Registro_Ordini[[#This Row],[Numero]]*Registro_Ordini[[#This Row],[Prezzo]]</f>
        <v>-4940.16</v>
      </c>
      <c r="L189" s="10">
        <v>1.00000014</v>
      </c>
      <c r="M189" s="6">
        <f>Registro_Ordini[[#This Row],[Importo]]*Registro_Ordini[[#This Row],[Cambio]]</f>
        <v>-4940.1606916224</v>
      </c>
      <c r="N189" s="1">
        <f ca="1">IFERROR(_xlfn.NUMBERVALUE(OFFSET(Origine,MATCH(Registro_Ordini[[#This Row],[Titolo]],Descrizioni,0),MATCH("Price",Intestazioni,0)-1,1,1)),"")</f>
        <v>128.5</v>
      </c>
      <c r="O189" s="18">
        <f ca="1">IF(OR(Registro_Ordini[[#This Row],[Price]]=0,Registro_Ordini[[#This Row],[Price]]=""),"",IF(Registro_Ordini[[#This Row],[Tipo]]="Sell",Registro_Ordini[[#This Row],[Prezzo]]/Registro_Ordini[[#This Row],[Price]]-1,Registro_Ordini[[#This Row],[Price]]/Registro_Ordini[[#This Row],[Prezzo]]-1))</f>
        <v>-3.8879377431906614E-2</v>
      </c>
      <c r="P189" s="15">
        <v>-1.7306585030661844E-2</v>
      </c>
      <c r="Q189" s="3">
        <v>0.11663135137391893</v>
      </c>
      <c r="R189" s="3">
        <v>0.26263208345691125</v>
      </c>
      <c r="S189" s="3">
        <v>0.42301476082280287</v>
      </c>
      <c r="T189" s="3">
        <v>0</v>
      </c>
      <c r="U189" s="3">
        <v>0.19772180434636691</v>
      </c>
      <c r="V189" s="3"/>
      <c r="W189" s="4"/>
    </row>
    <row r="190" spans="1:23" s="1" customFormat="1" ht="24.95" customHeight="1" x14ac:dyDescent="0.2">
      <c r="A190" s="8">
        <v>46051.693969907406</v>
      </c>
      <c r="B190" s="7">
        <v>46051.693969907406</v>
      </c>
      <c r="C190" s="9" t="s">
        <v>377</v>
      </c>
      <c r="D190" s="1" t="s">
        <v>388</v>
      </c>
      <c r="E190" s="1" t="s">
        <v>397</v>
      </c>
      <c r="F190" s="1" t="s">
        <v>474</v>
      </c>
      <c r="G190" s="1" t="s">
        <v>365</v>
      </c>
      <c r="H190" s="2">
        <v>-230</v>
      </c>
      <c r="I190" s="17">
        <v>123.504</v>
      </c>
      <c r="J190" s="1" t="s">
        <v>369</v>
      </c>
      <c r="K190" s="6">
        <f>Registro_Ordini[[#This Row],[Numero]]*Registro_Ordini[[#This Row],[Prezzo]]</f>
        <v>-28405.920000000002</v>
      </c>
      <c r="L190" s="10">
        <v>1.00000014</v>
      </c>
      <c r="M190" s="6">
        <f>Registro_Ordini[[#This Row],[Importo]]*Registro_Ordini[[#This Row],[Cambio]]</f>
        <v>-28405.923976828803</v>
      </c>
      <c r="N190" s="1">
        <f ca="1">IFERROR(_xlfn.NUMBERVALUE(OFFSET(Origine,MATCH(Registro_Ordini[[#This Row],[Titolo]],Descrizioni,0),MATCH("Price",Intestazioni,0)-1,1,1)),"")</f>
        <v>128.5</v>
      </c>
      <c r="O190" s="18">
        <f ca="1">IF(OR(Registro_Ordini[[#This Row],[Price]]=0,Registro_Ordini[[#This Row],[Price]]=""),"",IF(Registro_Ordini[[#This Row],[Tipo]]="Sell",Registro_Ordini[[#This Row],[Prezzo]]/Registro_Ordini[[#This Row],[Price]]-1,Registro_Ordini[[#This Row],[Price]]/Registro_Ordini[[#This Row],[Prezzo]]-1))</f>
        <v>-3.8879377431906614E-2</v>
      </c>
      <c r="P190" s="15">
        <v>-1.6457049833769836E-2</v>
      </c>
      <c r="Q190" s="3">
        <v>0.13287253040060626</v>
      </c>
      <c r="R190" s="3">
        <v>0.29684995016904614</v>
      </c>
      <c r="S190" s="3">
        <v>0.41896215011352894</v>
      </c>
      <c r="T190" s="3">
        <v>0</v>
      </c>
      <c r="U190" s="3">
        <v>0.15131536931681869</v>
      </c>
      <c r="V190" s="3"/>
      <c r="W190" s="4"/>
    </row>
    <row r="191" spans="1:23" s="1" customFormat="1" ht="24.95" customHeight="1" x14ac:dyDescent="0.2">
      <c r="A191" s="8">
        <v>46051.693958333337</v>
      </c>
      <c r="B191" s="7">
        <v>46051.693958333337</v>
      </c>
      <c r="C191" s="9" t="s">
        <v>378</v>
      </c>
      <c r="D191" s="1" t="s">
        <v>388</v>
      </c>
      <c r="E191" s="1" t="s">
        <v>397</v>
      </c>
      <c r="F191" s="1" t="s">
        <v>474</v>
      </c>
      <c r="G191" s="1" t="s">
        <v>365</v>
      </c>
      <c r="H191" s="2">
        <v>-75</v>
      </c>
      <c r="I191" s="17">
        <v>123.504</v>
      </c>
      <c r="J191" s="1" t="s">
        <v>369</v>
      </c>
      <c r="K191" s="6">
        <f>Registro_Ordini[[#This Row],[Numero]]*Registro_Ordini[[#This Row],[Prezzo]]</f>
        <v>-9262.8000000000011</v>
      </c>
      <c r="L191" s="10">
        <v>1.00000014</v>
      </c>
      <c r="M191" s="6">
        <f>Registro_Ordini[[#This Row],[Importo]]*Registro_Ordini[[#This Row],[Cambio]]</f>
        <v>-9262.8012967920022</v>
      </c>
      <c r="N191" s="1">
        <f ca="1">IFERROR(_xlfn.NUMBERVALUE(OFFSET(Origine,MATCH(Registro_Ordini[[#This Row],[Titolo]],Descrizioni,0),MATCH("Price",Intestazioni,0)-1,1,1)),"")</f>
        <v>128.5</v>
      </c>
      <c r="O191" s="18">
        <f ca="1">IF(OR(Registro_Ordini[[#This Row],[Price]]=0,Registro_Ordini[[#This Row],[Price]]=""),"",IF(Registro_Ordini[[#This Row],[Tipo]]="Sell",Registro_Ordini[[#This Row],[Prezzo]]/Registro_Ordini[[#This Row],[Price]]-1,Registro_Ordini[[#This Row],[Price]]/Registro_Ordini[[#This Row],[Prezzo]]-1))</f>
        <v>-3.8879377431906614E-2</v>
      </c>
      <c r="P191" s="15">
        <v>-1.6459881639075899E-2</v>
      </c>
      <c r="Q191" s="3">
        <v>0.14203635206711107</v>
      </c>
      <c r="R191" s="3">
        <v>0.28538075900030641</v>
      </c>
      <c r="S191" s="3">
        <v>0.42542244465122908</v>
      </c>
      <c r="T191" s="3">
        <v>0</v>
      </c>
      <c r="U191" s="3">
        <v>0.14716044428135339</v>
      </c>
      <c r="V191" s="3"/>
      <c r="W191" s="4"/>
    </row>
    <row r="192" spans="1:23" s="1" customFormat="1" ht="24.95" customHeight="1" x14ac:dyDescent="0.2">
      <c r="A192" s="8">
        <v>46051.693356481483</v>
      </c>
      <c r="B192" s="7">
        <v>46051.693356481483</v>
      </c>
      <c r="C192" s="9" t="s">
        <v>78</v>
      </c>
      <c r="D192" s="1" t="s">
        <v>388</v>
      </c>
      <c r="E192" s="1" t="s">
        <v>397</v>
      </c>
      <c r="F192" s="1" t="s">
        <v>4417</v>
      </c>
      <c r="G192" s="1" t="s">
        <v>371</v>
      </c>
      <c r="H192" s="2">
        <v>100</v>
      </c>
      <c r="I192" s="17">
        <v>155.792</v>
      </c>
      <c r="J192" s="1" t="s">
        <v>369</v>
      </c>
      <c r="K192" s="6">
        <f>Registro_Ordini[[#This Row],[Numero]]*Registro_Ordini[[#This Row],[Prezzo]]</f>
        <v>15579.2</v>
      </c>
      <c r="L192" s="10">
        <v>1.00000014</v>
      </c>
      <c r="M192" s="6">
        <f>Registro_Ordini[[#This Row],[Importo]]*Registro_Ordini[[#This Row],[Cambio]]</f>
        <v>15579.202181088001</v>
      </c>
      <c r="N192" s="1">
        <f ca="1">IFERROR(_xlfn.NUMBERVALUE(OFFSET(Origine,MATCH(Registro_Ordini[[#This Row],[Titolo]],Descrizioni,0),MATCH("Price",Intestazioni,0)-1,1,1)),"")</f>
        <v>180.2</v>
      </c>
      <c r="O192" s="18">
        <f ca="1">IF(OR(Registro_Ordini[[#This Row],[Price]]=0,Registro_Ordini[[#This Row],[Price]]=""),"",IF(Registro_Ordini[[#This Row],[Tipo]]="Sell",Registro_Ordini[[#This Row],[Prezzo]]/Registro_Ordini[[#This Row],[Price]]-1,Registro_Ordini[[#This Row],[Price]]/Registro_Ordini[[#This Row],[Prezzo]]-1))</f>
        <v>0.1566704323713668</v>
      </c>
      <c r="P192" s="15">
        <v>2.4657556108457747E-2</v>
      </c>
      <c r="Q192" s="3">
        <v>0.16712401558270271</v>
      </c>
      <c r="R192" s="3">
        <v>0.12641685003167055</v>
      </c>
      <c r="S192" s="3">
        <v>0.57642863788017873</v>
      </c>
      <c r="T192" s="3">
        <v>0</v>
      </c>
      <c r="U192" s="3">
        <v>0.13003049650544807</v>
      </c>
      <c r="V192" s="3"/>
      <c r="W192" s="4"/>
    </row>
    <row r="193" spans="1:23" s="1" customFormat="1" ht="24.95" customHeight="1" x14ac:dyDescent="0.2">
      <c r="A193" s="8">
        <v>46051.693159722221</v>
      </c>
      <c r="B193" s="7">
        <v>46051.693159722221</v>
      </c>
      <c r="C193" s="9" t="s">
        <v>373</v>
      </c>
      <c r="D193" s="1" t="s">
        <v>388</v>
      </c>
      <c r="E193" s="1" t="s">
        <v>397</v>
      </c>
      <c r="F193" s="1" t="s">
        <v>4417</v>
      </c>
      <c r="G193" s="1" t="s">
        <v>371</v>
      </c>
      <c r="H193" s="2">
        <v>45</v>
      </c>
      <c r="I193" s="17">
        <v>155.6</v>
      </c>
      <c r="J193" s="1" t="s">
        <v>369</v>
      </c>
      <c r="K193" s="6">
        <f>Registro_Ordini[[#This Row],[Numero]]*Registro_Ordini[[#This Row],[Prezzo]]</f>
        <v>7002</v>
      </c>
      <c r="L193" s="10">
        <v>1.00000014</v>
      </c>
      <c r="M193" s="6">
        <f>Registro_Ordini[[#This Row],[Importo]]*Registro_Ordini[[#This Row],[Cambio]]</f>
        <v>7002.0009802800005</v>
      </c>
      <c r="N193" s="1">
        <f ca="1">IFERROR(_xlfn.NUMBERVALUE(OFFSET(Origine,MATCH(Registro_Ordini[[#This Row],[Titolo]],Descrizioni,0),MATCH("Price",Intestazioni,0)-1,1,1)),"")</f>
        <v>180.2</v>
      </c>
      <c r="O193" s="18">
        <f ca="1">IF(OR(Registro_Ordini[[#This Row],[Price]]=0,Registro_Ordini[[#This Row],[Price]]=""),"",IF(Registro_Ordini[[#This Row],[Tipo]]="Sell",Registro_Ordini[[#This Row],[Prezzo]]/Registro_Ordini[[#This Row],[Price]]-1,Registro_Ordini[[#This Row],[Price]]/Registro_Ordini[[#This Row],[Prezzo]]-1))</f>
        <v>0.1580976863753214</v>
      </c>
      <c r="P193" s="15">
        <v>1.6325111344298645E-2</v>
      </c>
      <c r="Q193" s="3">
        <v>0.25287424784831308</v>
      </c>
      <c r="R193" s="3">
        <v>0.34839270333808886</v>
      </c>
      <c r="S193" s="3">
        <v>0.21481446998724099</v>
      </c>
      <c r="T193" s="3">
        <v>0</v>
      </c>
      <c r="U193" s="3">
        <v>0.18391857882635709</v>
      </c>
      <c r="V193" s="3"/>
      <c r="W193" s="4"/>
    </row>
    <row r="194" spans="1:23" s="1" customFormat="1" ht="24.95" customHeight="1" x14ac:dyDescent="0.2">
      <c r="A194" s="8">
        <v>46051.693148148152</v>
      </c>
      <c r="B194" s="7">
        <v>46051.693148148152</v>
      </c>
      <c r="C194" s="9" t="s">
        <v>367</v>
      </c>
      <c r="D194" s="1" t="s">
        <v>388</v>
      </c>
      <c r="E194" s="1" t="s">
        <v>397</v>
      </c>
      <c r="F194" s="1" t="s">
        <v>4417</v>
      </c>
      <c r="G194" s="1" t="s">
        <v>371</v>
      </c>
      <c r="H194" s="2">
        <v>350</v>
      </c>
      <c r="I194" s="17">
        <v>155.6</v>
      </c>
      <c r="J194" s="1" t="s">
        <v>369</v>
      </c>
      <c r="K194" s="6">
        <f>Registro_Ordini[[#This Row],[Numero]]*Registro_Ordini[[#This Row],[Prezzo]]</f>
        <v>54460</v>
      </c>
      <c r="L194" s="10">
        <v>1.00000014</v>
      </c>
      <c r="M194" s="6">
        <f>Registro_Ordini[[#This Row],[Importo]]*Registro_Ordini[[#This Row],[Cambio]]</f>
        <v>54460.007624400001</v>
      </c>
      <c r="N194" s="1">
        <f ca="1">IFERROR(_xlfn.NUMBERVALUE(OFFSET(Origine,MATCH(Registro_Ordini[[#This Row],[Titolo]],Descrizioni,0),MATCH("Price",Intestazioni,0)-1,1,1)),"")</f>
        <v>180.2</v>
      </c>
      <c r="O194" s="18">
        <f ca="1">IF(OR(Registro_Ordini[[#This Row],[Price]]=0,Registro_Ordini[[#This Row],[Price]]=""),"",IF(Registro_Ordini[[#This Row],[Tipo]]="Sell",Registro_Ordini[[#This Row],[Prezzo]]/Registro_Ordini[[#This Row],[Price]]-1,Registro_Ordini[[#This Row],[Price]]/Registro_Ordini[[#This Row],[Prezzo]]-1))</f>
        <v>0.1580976863753214</v>
      </c>
      <c r="P194" s="15">
        <v>1.5217602329517733E-2</v>
      </c>
      <c r="Q194" s="3">
        <v>0.15775516649638269</v>
      </c>
      <c r="R194" s="3">
        <v>0.36329087517787989</v>
      </c>
      <c r="S194" s="3">
        <v>0.37518355367900147</v>
      </c>
      <c r="T194" s="3">
        <v>0</v>
      </c>
      <c r="U194" s="3">
        <v>0.10377040464673595</v>
      </c>
      <c r="V194" s="3"/>
      <c r="W194" s="4"/>
    </row>
    <row r="195" spans="1:23" s="1" customFormat="1" ht="24.95" customHeight="1" x14ac:dyDescent="0.2">
      <c r="A195" s="8">
        <v>46051.693136574075</v>
      </c>
      <c r="B195" s="7">
        <v>46051.693136574075</v>
      </c>
      <c r="C195" s="9" t="s">
        <v>375</v>
      </c>
      <c r="D195" s="1" t="s">
        <v>388</v>
      </c>
      <c r="E195" s="1" t="s">
        <v>397</v>
      </c>
      <c r="F195" s="1" t="s">
        <v>4417</v>
      </c>
      <c r="G195" s="1" t="s">
        <v>371</v>
      </c>
      <c r="H195" s="2">
        <v>80</v>
      </c>
      <c r="I195" s="17">
        <v>155.792</v>
      </c>
      <c r="J195" s="1" t="s">
        <v>369</v>
      </c>
      <c r="K195" s="6">
        <f>Registro_Ordini[[#This Row],[Numero]]*Registro_Ordini[[#This Row],[Prezzo]]</f>
        <v>12463.36</v>
      </c>
      <c r="L195" s="10">
        <v>1.00000014</v>
      </c>
      <c r="M195" s="6">
        <f>Registro_Ordini[[#This Row],[Importo]]*Registro_Ordini[[#This Row],[Cambio]]</f>
        <v>12463.361744870401</v>
      </c>
      <c r="N195" s="1">
        <f ca="1">IFERROR(_xlfn.NUMBERVALUE(OFFSET(Origine,MATCH(Registro_Ordini[[#This Row],[Titolo]],Descrizioni,0),MATCH("Price",Intestazioni,0)-1,1,1)),"")</f>
        <v>180.2</v>
      </c>
      <c r="O195" s="18">
        <f ca="1">IF(OR(Registro_Ordini[[#This Row],[Price]]=0,Registro_Ordini[[#This Row],[Price]]=""),"",IF(Registro_Ordini[[#This Row],[Tipo]]="Sell",Registro_Ordini[[#This Row],[Prezzo]]/Registro_Ordini[[#This Row],[Price]]-1,Registro_Ordini[[#This Row],[Price]]/Registro_Ordini[[#This Row],[Prezzo]]-1))</f>
        <v>0.1566704323713668</v>
      </c>
      <c r="P195" s="15">
        <v>1.3952155662632958E-2</v>
      </c>
      <c r="Q195" s="3">
        <v>0.11598650729055168</v>
      </c>
      <c r="R195" s="3">
        <v>0.32077952721706682</v>
      </c>
      <c r="S195" s="3">
        <v>0.40515253660102418</v>
      </c>
      <c r="T195" s="3">
        <v>0</v>
      </c>
      <c r="U195" s="3">
        <v>0.15808142889135737</v>
      </c>
      <c r="V195" s="3"/>
      <c r="W195" s="4"/>
    </row>
    <row r="196" spans="1:23" s="1" customFormat="1" ht="24.95" customHeight="1" x14ac:dyDescent="0.2">
      <c r="A196" s="8">
        <v>46051.693124999998</v>
      </c>
      <c r="B196" s="7">
        <v>46051.693124999998</v>
      </c>
      <c r="C196" s="9" t="s">
        <v>376</v>
      </c>
      <c r="D196" s="1" t="s">
        <v>388</v>
      </c>
      <c r="E196" s="1" t="s">
        <v>397</v>
      </c>
      <c r="F196" s="1" t="s">
        <v>4417</v>
      </c>
      <c r="G196" s="1" t="s">
        <v>371</v>
      </c>
      <c r="H196" s="2">
        <v>30</v>
      </c>
      <c r="I196" s="17">
        <v>155.792</v>
      </c>
      <c r="J196" s="1" t="s">
        <v>369</v>
      </c>
      <c r="K196" s="6">
        <f>Registro_Ordini[[#This Row],[Numero]]*Registro_Ordini[[#This Row],[Prezzo]]</f>
        <v>4673.76</v>
      </c>
      <c r="L196" s="10">
        <v>1.00000014</v>
      </c>
      <c r="M196" s="6">
        <f>Registro_Ordini[[#This Row],[Importo]]*Registro_Ordini[[#This Row],[Cambio]]</f>
        <v>4673.7606543264001</v>
      </c>
      <c r="N196" s="1">
        <f ca="1">IFERROR(_xlfn.NUMBERVALUE(OFFSET(Origine,MATCH(Registro_Ordini[[#This Row],[Titolo]],Descrizioni,0),MATCH("Price",Intestazioni,0)-1,1,1)),"")</f>
        <v>180.2</v>
      </c>
      <c r="O196" s="18">
        <f ca="1">IF(OR(Registro_Ordini[[#This Row],[Price]]=0,Registro_Ordini[[#This Row],[Price]]=""),"",IF(Registro_Ordini[[#This Row],[Tipo]]="Sell",Registro_Ordini[[#This Row],[Prezzo]]/Registro_Ordini[[#This Row],[Price]]-1,Registro_Ordini[[#This Row],[Price]]/Registro_Ordini[[#This Row],[Prezzo]]-1))</f>
        <v>0.1566704323713668</v>
      </c>
      <c r="P196" s="15">
        <v>1.6384488528835804E-2</v>
      </c>
      <c r="Q196" s="3">
        <v>9.9416269128665219E-2</v>
      </c>
      <c r="R196" s="3">
        <v>0.26281121536706537</v>
      </c>
      <c r="S196" s="3">
        <v>0.44081000463420289</v>
      </c>
      <c r="T196" s="3">
        <v>0</v>
      </c>
      <c r="U196" s="3">
        <v>0.19696251087006653</v>
      </c>
      <c r="V196" s="3"/>
      <c r="W196" s="4"/>
    </row>
    <row r="197" spans="1:23" s="1" customFormat="1" ht="24.95" customHeight="1" x14ac:dyDescent="0.2">
      <c r="A197" s="8">
        <v>46051.693113425928</v>
      </c>
      <c r="B197" s="7">
        <v>46051.693113425928</v>
      </c>
      <c r="C197" s="9" t="s">
        <v>377</v>
      </c>
      <c r="D197" s="1" t="s">
        <v>388</v>
      </c>
      <c r="E197" s="1" t="s">
        <v>397</v>
      </c>
      <c r="F197" s="1" t="s">
        <v>4417</v>
      </c>
      <c r="G197" s="1" t="s">
        <v>371</v>
      </c>
      <c r="H197" s="2">
        <v>165</v>
      </c>
      <c r="I197" s="17">
        <v>155.792</v>
      </c>
      <c r="J197" s="1" t="s">
        <v>369</v>
      </c>
      <c r="K197" s="6">
        <f>Registro_Ordini[[#This Row],[Numero]]*Registro_Ordini[[#This Row],[Prezzo]]</f>
        <v>25705.68</v>
      </c>
      <c r="L197" s="10">
        <v>1.00000014</v>
      </c>
      <c r="M197" s="6">
        <f>Registro_Ordini[[#This Row],[Importo]]*Registro_Ordini[[#This Row],[Cambio]]</f>
        <v>25705.6835987952</v>
      </c>
      <c r="N197" s="1">
        <f ca="1">IFERROR(_xlfn.NUMBERVALUE(OFFSET(Origine,MATCH(Registro_Ordini[[#This Row],[Titolo]],Descrizioni,0),MATCH("Price",Intestazioni,0)-1,1,1)),"")</f>
        <v>180.2</v>
      </c>
      <c r="O197" s="18">
        <f ca="1">IF(OR(Registro_Ordini[[#This Row],[Price]]=0,Registro_Ordini[[#This Row],[Price]]=""),"",IF(Registro_Ordini[[#This Row],[Tipo]]="Sell",Registro_Ordini[[#This Row],[Prezzo]]/Registro_Ordini[[#This Row],[Price]]-1,Registro_Ordini[[#This Row],[Price]]/Registro_Ordini[[#This Row],[Prezzo]]-1))</f>
        <v>0.1566704323713668</v>
      </c>
      <c r="P197" s="15">
        <v>1.4889248086384773E-2</v>
      </c>
      <c r="Q197" s="3">
        <v>0.11644822305396427</v>
      </c>
      <c r="R197" s="3">
        <v>0.29678197806507639</v>
      </c>
      <c r="S197" s="3">
        <v>0.43548907745277787</v>
      </c>
      <c r="T197" s="3">
        <v>0</v>
      </c>
      <c r="U197" s="3">
        <v>0.15128072142818144</v>
      </c>
      <c r="V197" s="3"/>
      <c r="W197" s="4"/>
    </row>
    <row r="198" spans="1:23" s="1" customFormat="1" ht="24.95" customHeight="1" x14ac:dyDescent="0.2">
      <c r="A198" s="8">
        <v>46051.693101851852</v>
      </c>
      <c r="B198" s="7">
        <v>46051.693101851852</v>
      </c>
      <c r="C198" s="9" t="s">
        <v>378</v>
      </c>
      <c r="D198" s="1" t="s">
        <v>388</v>
      </c>
      <c r="E198" s="1" t="s">
        <v>397</v>
      </c>
      <c r="F198" s="1" t="s">
        <v>4417</v>
      </c>
      <c r="G198" s="1" t="s">
        <v>371</v>
      </c>
      <c r="H198" s="2">
        <v>55</v>
      </c>
      <c r="I198" s="17">
        <v>155.792</v>
      </c>
      <c r="J198" s="1" t="s">
        <v>369</v>
      </c>
      <c r="K198" s="6">
        <f>Registro_Ordini[[#This Row],[Numero]]*Registro_Ordini[[#This Row],[Prezzo]]</f>
        <v>8568.56</v>
      </c>
      <c r="L198" s="10">
        <v>1.00000014</v>
      </c>
      <c r="M198" s="6">
        <f>Registro_Ordini[[#This Row],[Importo]]*Registro_Ordini[[#This Row],[Cambio]]</f>
        <v>8568.5611995984</v>
      </c>
      <c r="N198" s="1">
        <f ca="1">IFERROR(_xlfn.NUMBERVALUE(OFFSET(Origine,MATCH(Registro_Ordini[[#This Row],[Titolo]],Descrizioni,0),MATCH("Price",Intestazioni,0)-1,1,1)),"")</f>
        <v>180.2</v>
      </c>
      <c r="O198" s="18">
        <f ca="1">IF(OR(Registro_Ordini[[#This Row],[Price]]=0,Registro_Ordini[[#This Row],[Price]]=""),"",IF(Registro_Ordini[[#This Row],[Tipo]]="Sell",Registro_Ordini[[#This Row],[Prezzo]]/Registro_Ordini[[#This Row],[Price]]-1,Registro_Ordini[[#This Row],[Price]]/Registro_Ordini[[#This Row],[Prezzo]]-1))</f>
        <v>0.1566704323713668</v>
      </c>
      <c r="P198" s="15">
        <v>1.5239241995871785E-2</v>
      </c>
      <c r="Q198" s="3">
        <v>0.12571247031678115</v>
      </c>
      <c r="R198" s="3">
        <v>0.28562471967479258</v>
      </c>
      <c r="S198" s="3">
        <v>0.44245814094498831</v>
      </c>
      <c r="T198" s="3">
        <v>0</v>
      </c>
      <c r="U198" s="3">
        <v>0.14620466906343801</v>
      </c>
      <c r="V198" s="3"/>
      <c r="W198" s="4"/>
    </row>
    <row r="199" spans="1:23" s="1" customFormat="1" ht="24.95" customHeight="1" x14ac:dyDescent="0.2">
      <c r="A199" s="8">
        <v>46051.692314814813</v>
      </c>
      <c r="B199" s="7">
        <v>46051.692314814813</v>
      </c>
      <c r="C199" s="9" t="s">
        <v>78</v>
      </c>
      <c r="D199" s="1" t="s">
        <v>388</v>
      </c>
      <c r="E199" s="1" t="s">
        <v>397</v>
      </c>
      <c r="F199" s="1" t="s">
        <v>436</v>
      </c>
      <c r="G199" s="1" t="s">
        <v>365</v>
      </c>
      <c r="H199" s="2">
        <v>-20</v>
      </c>
      <c r="I199" s="17">
        <v>438.75900000000001</v>
      </c>
      <c r="J199" s="1" t="s">
        <v>369</v>
      </c>
      <c r="K199" s="6">
        <f>Registro_Ordini[[#This Row],[Numero]]*Registro_Ordini[[#This Row],[Prezzo]]</f>
        <v>-8775.18</v>
      </c>
      <c r="L199" s="10">
        <v>1.00000014</v>
      </c>
      <c r="M199" s="6">
        <f>Registro_Ordini[[#This Row],[Importo]]*Registro_Ordini[[#This Row],[Cambio]]</f>
        <v>-8775.1812285251999</v>
      </c>
      <c r="N199" s="1">
        <f ca="1">IFERROR(_xlfn.NUMBERVALUE(OFFSET(Origine,MATCH(Registro_Ordini[[#This Row],[Titolo]],Descrizioni,0),MATCH("Price",Intestazioni,0)-1,1,1)),"")</f>
        <v>407.4</v>
      </c>
      <c r="O199" s="18">
        <f ca="1">IF(OR(Registro_Ordini[[#This Row],[Price]]=0,Registro_Ordini[[#This Row],[Price]]=""),"",IF(Registro_Ordini[[#This Row],[Tipo]]="Sell",Registro_Ordini[[#This Row],[Prezzo]]/Registro_Ordini[[#This Row],[Price]]-1,Registro_Ordini[[#This Row],[Price]]/Registro_Ordini[[#This Row],[Prezzo]]-1))</f>
        <v>7.6973490427098668E-2</v>
      </c>
      <c r="P199" s="15">
        <v>-1.3902873275978514E-2</v>
      </c>
      <c r="Q199" s="3">
        <v>0.19200144416716364</v>
      </c>
      <c r="R199" s="3">
        <v>0.12654605704824745</v>
      </c>
      <c r="S199" s="3">
        <v>0.55258572614324319</v>
      </c>
      <c r="T199" s="3">
        <v>0</v>
      </c>
      <c r="U199" s="3">
        <v>0.12886677264134583</v>
      </c>
      <c r="V199" s="3"/>
      <c r="W199" s="4"/>
    </row>
    <row r="200" spans="1:23" s="1" customFormat="1" ht="24.95" customHeight="1" x14ac:dyDescent="0.2">
      <c r="A200" s="8">
        <v>46051.692106481481</v>
      </c>
      <c r="B200" s="7">
        <v>46051.692106481481</v>
      </c>
      <c r="C200" s="9" t="s">
        <v>373</v>
      </c>
      <c r="D200" s="1" t="s">
        <v>388</v>
      </c>
      <c r="E200" s="1" t="s">
        <v>397</v>
      </c>
      <c r="F200" s="1" t="s">
        <v>436</v>
      </c>
      <c r="G200" s="1" t="s">
        <v>365</v>
      </c>
      <c r="H200" s="2">
        <v>-24</v>
      </c>
      <c r="I200" s="17">
        <v>440.6</v>
      </c>
      <c r="J200" s="1" t="s">
        <v>369</v>
      </c>
      <c r="K200" s="6">
        <f>Registro_Ordini[[#This Row],[Numero]]*Registro_Ordini[[#This Row],[Prezzo]]</f>
        <v>-10574.400000000001</v>
      </c>
      <c r="L200" s="10">
        <v>1.00000014</v>
      </c>
      <c r="M200" s="6">
        <f>Registro_Ordini[[#This Row],[Importo]]*Registro_Ordini[[#This Row],[Cambio]]</f>
        <v>-10574.401480416002</v>
      </c>
      <c r="N200" s="1">
        <f ca="1">IFERROR(_xlfn.NUMBERVALUE(OFFSET(Origine,MATCH(Registro_Ordini[[#This Row],[Titolo]],Descrizioni,0),MATCH("Price",Intestazioni,0)-1,1,1)),"")</f>
        <v>407.4</v>
      </c>
      <c r="O200" s="18">
        <f ca="1">IF(OR(Registro_Ordini[[#This Row],[Price]]=0,Registro_Ordini[[#This Row],[Price]]=""),"",IF(Registro_Ordini[[#This Row],[Tipo]]="Sell",Registro_Ordini[[#This Row],[Prezzo]]/Registro_Ordini[[#This Row],[Price]]-1,Registro_Ordini[[#This Row],[Price]]/Registro_Ordini[[#This Row],[Prezzo]]-1))</f>
        <v>8.1492390770741441E-2</v>
      </c>
      <c r="P200" s="15">
        <v>-2.4520863812649788E-2</v>
      </c>
      <c r="Q200" s="3">
        <v>0.26919935919261173</v>
      </c>
      <c r="R200" s="3">
        <v>0.34839270333808886</v>
      </c>
      <c r="S200" s="3">
        <v>0.19848935864294237</v>
      </c>
      <c r="T200" s="3">
        <v>0</v>
      </c>
      <c r="U200" s="3">
        <v>0.18391857882635709</v>
      </c>
      <c r="V200" s="3"/>
      <c r="W200" s="4"/>
    </row>
    <row r="201" spans="1:23" s="1" customFormat="1" ht="24.95" customHeight="1" x14ac:dyDescent="0.2">
      <c r="A201" s="8">
        <v>46051.692094907405</v>
      </c>
      <c r="B201" s="7">
        <v>46051.692094907405</v>
      </c>
      <c r="C201" s="9" t="s">
        <v>367</v>
      </c>
      <c r="D201" s="1" t="s">
        <v>388</v>
      </c>
      <c r="E201" s="1" t="s">
        <v>397</v>
      </c>
      <c r="F201" s="1" t="s">
        <v>436</v>
      </c>
      <c r="G201" s="1" t="s">
        <v>365</v>
      </c>
      <c r="H201" s="2">
        <v>-90</v>
      </c>
      <c r="I201" s="17">
        <v>440.4</v>
      </c>
      <c r="J201" s="1" t="s">
        <v>369</v>
      </c>
      <c r="K201" s="6">
        <f>Registro_Ordini[[#This Row],[Numero]]*Registro_Ordini[[#This Row],[Prezzo]]</f>
        <v>-39636</v>
      </c>
      <c r="L201" s="10">
        <v>1.00000014</v>
      </c>
      <c r="M201" s="6">
        <f>Registro_Ordini[[#This Row],[Importo]]*Registro_Ordini[[#This Row],[Cambio]]</f>
        <v>-39636.005549040005</v>
      </c>
      <c r="N201" s="1">
        <f ca="1">IFERROR(_xlfn.NUMBERVALUE(OFFSET(Origine,MATCH(Registro_Ordini[[#This Row],[Titolo]],Descrizioni,0),MATCH("Price",Intestazioni,0)-1,1,1)),"")</f>
        <v>407.4</v>
      </c>
      <c r="O201" s="18">
        <f ca="1">IF(OR(Registro_Ordini[[#This Row],[Price]]=0,Registro_Ordini[[#This Row],[Price]]=""),"",IF(Registro_Ordini[[#This Row],[Tipo]]="Sell",Registro_Ordini[[#This Row],[Prezzo]]/Registro_Ordini[[#This Row],[Price]]-1,Registro_Ordini[[#This Row],[Price]]/Registro_Ordini[[#This Row],[Prezzo]]-1))</f>
        <v>8.1001472754050008E-2</v>
      </c>
      <c r="P201" s="15">
        <v>-1.1020507164217461E-2</v>
      </c>
      <c r="Q201" s="3">
        <v>0.17297276882590043</v>
      </c>
      <c r="R201" s="3">
        <v>0.36329087517787989</v>
      </c>
      <c r="S201" s="3">
        <v>0.35996595134948373</v>
      </c>
      <c r="T201" s="3">
        <v>0</v>
      </c>
      <c r="U201" s="3">
        <v>0.10377040464673595</v>
      </c>
      <c r="V201" s="3"/>
      <c r="W201" s="4"/>
    </row>
    <row r="202" spans="1:23" s="1" customFormat="1" ht="24.95" customHeight="1" x14ac:dyDescent="0.2">
      <c r="A202" s="8">
        <v>46051.692083333335</v>
      </c>
      <c r="B202" s="7">
        <v>46051.692083333335</v>
      </c>
      <c r="C202" s="9" t="s">
        <v>375</v>
      </c>
      <c r="D202" s="1" t="s">
        <v>388</v>
      </c>
      <c r="E202" s="1" t="s">
        <v>397</v>
      </c>
      <c r="F202" s="1" t="s">
        <v>436</v>
      </c>
      <c r="G202" s="1" t="s">
        <v>365</v>
      </c>
      <c r="H202" s="2">
        <v>-20</v>
      </c>
      <c r="I202" s="17">
        <v>438.75900000000001</v>
      </c>
      <c r="J202" s="1" t="s">
        <v>369</v>
      </c>
      <c r="K202" s="6">
        <f>Registro_Ordini[[#This Row],[Numero]]*Registro_Ordini[[#This Row],[Prezzo]]</f>
        <v>-8775.18</v>
      </c>
      <c r="L202" s="10">
        <v>1.00000014</v>
      </c>
      <c r="M202" s="6">
        <f>Registro_Ordini[[#This Row],[Importo]]*Registro_Ordini[[#This Row],[Cambio]]</f>
        <v>-8775.1812285251999</v>
      </c>
      <c r="N202" s="1">
        <f ca="1">IFERROR(_xlfn.NUMBERVALUE(OFFSET(Origine,MATCH(Registro_Ordini[[#This Row],[Titolo]],Descrizioni,0),MATCH("Price",Intestazioni,0)-1,1,1)),"")</f>
        <v>407.4</v>
      </c>
      <c r="O202" s="18">
        <f ca="1">IF(OR(Registro_Ordini[[#This Row],[Price]]=0,Registro_Ordini[[#This Row],[Price]]=""),"",IF(Registro_Ordini[[#This Row],[Tipo]]="Sell",Registro_Ordini[[#This Row],[Prezzo]]/Registro_Ordini[[#This Row],[Price]]-1,Registro_Ordini[[#This Row],[Price]]/Registro_Ordini[[#This Row],[Prezzo]]-1))</f>
        <v>7.6973490427098668E-2</v>
      </c>
      <c r="P202" s="15">
        <v>-9.8234085613850067E-3</v>
      </c>
      <c r="Q202" s="3">
        <v>0.1299386629531846</v>
      </c>
      <c r="R202" s="3">
        <v>0.32077952721706671</v>
      </c>
      <c r="S202" s="3">
        <v>0.39120038093839127</v>
      </c>
      <c r="T202" s="3">
        <v>0</v>
      </c>
      <c r="U202" s="3">
        <v>0.15808142889135735</v>
      </c>
      <c r="V202" s="3"/>
      <c r="W202" s="4"/>
    </row>
    <row r="203" spans="1:23" s="1" customFormat="1" ht="24.95" customHeight="1" x14ac:dyDescent="0.2">
      <c r="A203" s="8">
        <v>46051.692071759258</v>
      </c>
      <c r="B203" s="7">
        <v>46051.692071759258</v>
      </c>
      <c r="C203" s="9" t="s">
        <v>376</v>
      </c>
      <c r="D203" s="1" t="s">
        <v>388</v>
      </c>
      <c r="E203" s="1" t="s">
        <v>397</v>
      </c>
      <c r="F203" s="1" t="s">
        <v>436</v>
      </c>
      <c r="G203" s="1" t="s">
        <v>365</v>
      </c>
      <c r="H203" s="2">
        <v>-15</v>
      </c>
      <c r="I203" s="17">
        <v>438.75900000000001</v>
      </c>
      <c r="J203" s="1" t="s">
        <v>369</v>
      </c>
      <c r="K203" s="6">
        <f>Registro_Ordini[[#This Row],[Numero]]*Registro_Ordini[[#This Row],[Prezzo]]</f>
        <v>-6581.3850000000002</v>
      </c>
      <c r="L203" s="10">
        <v>1.00000014</v>
      </c>
      <c r="M203" s="6">
        <f>Registro_Ordini[[#This Row],[Importo]]*Registro_Ordini[[#This Row],[Cambio]]</f>
        <v>-6581.3859213939004</v>
      </c>
      <c r="N203" s="1">
        <f ca="1">IFERROR(_xlfn.NUMBERVALUE(OFFSET(Origine,MATCH(Registro_Ordini[[#This Row],[Titolo]],Descrizioni,0),MATCH("Price",Intestazioni,0)-1,1,1)),"")</f>
        <v>407.4</v>
      </c>
      <c r="O203" s="18">
        <f ca="1">IF(OR(Registro_Ordini[[#This Row],[Price]]=0,Registro_Ordini[[#This Row],[Price]]=""),"",IF(Registro_Ordini[[#This Row],[Tipo]]="Sell",Registro_Ordini[[#This Row],[Prezzo]]/Registro_Ordini[[#This Row],[Price]]-1,Registro_Ordini[[#This Row],[Price]]/Registro_Ordini[[#This Row],[Prezzo]]-1))</f>
        <v>7.6973490427098668E-2</v>
      </c>
      <c r="P203" s="15">
        <v>-2.3071922186066896E-2</v>
      </c>
      <c r="Q203" s="3">
        <v>0.115800757657501</v>
      </c>
      <c r="R203" s="3">
        <v>0.26281121536706537</v>
      </c>
      <c r="S203" s="3">
        <v>0.42442551610536705</v>
      </c>
      <c r="T203" s="3">
        <v>0</v>
      </c>
      <c r="U203" s="3">
        <v>0.19696251087006647</v>
      </c>
      <c r="V203" s="3"/>
      <c r="W203" s="4"/>
    </row>
    <row r="204" spans="1:23" s="1" customFormat="1" ht="24.95" customHeight="1" x14ac:dyDescent="0.2">
      <c r="A204" s="8">
        <v>46051.692060185182</v>
      </c>
      <c r="B204" s="7">
        <v>46051.692060185182</v>
      </c>
      <c r="C204" s="9" t="s">
        <v>377</v>
      </c>
      <c r="D204" s="1" t="s">
        <v>388</v>
      </c>
      <c r="E204" s="1" t="s">
        <v>397</v>
      </c>
      <c r="F204" s="1" t="s">
        <v>436</v>
      </c>
      <c r="G204" s="1" t="s">
        <v>365</v>
      </c>
      <c r="H204" s="2">
        <v>-40</v>
      </c>
      <c r="I204" s="17">
        <v>438.75900000000001</v>
      </c>
      <c r="J204" s="1" t="s">
        <v>369</v>
      </c>
      <c r="K204" s="6">
        <f>Registro_Ordini[[#This Row],[Numero]]*Registro_Ordini[[#This Row],[Prezzo]]</f>
        <v>-17550.36</v>
      </c>
      <c r="L204" s="10">
        <v>1.00000014</v>
      </c>
      <c r="M204" s="6">
        <f>Registro_Ordini[[#This Row],[Importo]]*Registro_Ordini[[#This Row],[Cambio]]</f>
        <v>-17550.3624570504</v>
      </c>
      <c r="N204" s="1">
        <f ca="1">IFERROR(_xlfn.NUMBERVALUE(OFFSET(Origine,MATCH(Registro_Ordini[[#This Row],[Titolo]],Descrizioni,0),MATCH("Price",Intestazioni,0)-1,1,1)),"")</f>
        <v>407.4</v>
      </c>
      <c r="O204" s="18">
        <f ca="1">IF(OR(Registro_Ordini[[#This Row],[Price]]=0,Registro_Ordini[[#This Row],[Price]]=""),"",IF(Registro_Ordini[[#This Row],[Tipo]]="Sell",Registro_Ordini[[#This Row],[Prezzo]]/Registro_Ordini[[#This Row],[Price]]-1,Registro_Ordini[[#This Row],[Price]]/Registro_Ordini[[#This Row],[Prezzo]]-1))</f>
        <v>7.6973490427098668E-2</v>
      </c>
      <c r="P204" s="15">
        <v>-1.0165522329903892E-2</v>
      </c>
      <c r="Q204" s="3">
        <v>0.13133747114034902</v>
      </c>
      <c r="R204" s="3">
        <v>0.29678197806507639</v>
      </c>
      <c r="S204" s="3">
        <v>0.42059982936639312</v>
      </c>
      <c r="T204" s="3">
        <v>0</v>
      </c>
      <c r="U204" s="3">
        <v>0.15128072142818144</v>
      </c>
      <c r="V204" s="3"/>
      <c r="W204" s="4"/>
    </row>
    <row r="205" spans="1:23" s="1" customFormat="1" ht="24.95" customHeight="1" x14ac:dyDescent="0.2">
      <c r="A205" s="8">
        <v>46051.692048611112</v>
      </c>
      <c r="B205" s="7">
        <v>46051.692048611112</v>
      </c>
      <c r="C205" s="9" t="s">
        <v>378</v>
      </c>
      <c r="D205" s="1" t="s">
        <v>388</v>
      </c>
      <c r="E205" s="1" t="s">
        <v>397</v>
      </c>
      <c r="F205" s="1" t="s">
        <v>436</v>
      </c>
      <c r="G205" s="1" t="s">
        <v>365</v>
      </c>
      <c r="H205" s="2">
        <v>-15</v>
      </c>
      <c r="I205" s="17">
        <v>438.75900000000001</v>
      </c>
      <c r="J205" s="1" t="s">
        <v>369</v>
      </c>
      <c r="K205" s="6">
        <f>Registro_Ordini[[#This Row],[Numero]]*Registro_Ordini[[#This Row],[Prezzo]]</f>
        <v>-6581.3850000000002</v>
      </c>
      <c r="L205" s="10">
        <v>1.00000014</v>
      </c>
      <c r="M205" s="6">
        <f>Registro_Ordini[[#This Row],[Importo]]*Registro_Ordini[[#This Row],[Cambio]]</f>
        <v>-6581.3859213939004</v>
      </c>
      <c r="N205" s="1">
        <f ca="1">IFERROR(_xlfn.NUMBERVALUE(OFFSET(Origine,MATCH(Registro_Ordini[[#This Row],[Titolo]],Descrizioni,0),MATCH("Price",Intestazioni,0)-1,1,1)),"")</f>
        <v>407.4</v>
      </c>
      <c r="O205" s="18">
        <f ca="1">IF(OR(Registro_Ordini[[#This Row],[Price]]=0,Registro_Ordini[[#This Row],[Price]]=""),"",IF(Registro_Ordini[[#This Row],[Tipo]]="Sell",Registro_Ordini[[#This Row],[Prezzo]]/Registro_Ordini[[#This Row],[Price]]-1,Registro_Ordini[[#This Row],[Price]]/Registro_Ordini[[#This Row],[Prezzo]]-1))</f>
        <v>7.6973490427098668E-2</v>
      </c>
      <c r="P205" s="15">
        <v>-1.1705037799000138E-2</v>
      </c>
      <c r="Q205" s="3">
        <v>0.14095171231265291</v>
      </c>
      <c r="R205" s="3">
        <v>0.28562471967479258</v>
      </c>
      <c r="S205" s="3">
        <v>0.42721889894911652</v>
      </c>
      <c r="T205" s="3">
        <v>0</v>
      </c>
      <c r="U205" s="3">
        <v>0.14620466906343801</v>
      </c>
      <c r="V205" s="3"/>
      <c r="W205" s="4"/>
    </row>
    <row r="206" spans="1:23" s="1" customFormat="1" ht="24.95" customHeight="1" x14ac:dyDescent="0.2">
      <c r="A206" s="8">
        <v>46051.691180555557</v>
      </c>
      <c r="B206" s="7">
        <v>46051.691180555557</v>
      </c>
      <c r="C206" s="9" t="s">
        <v>78</v>
      </c>
      <c r="D206" s="1" t="s">
        <v>388</v>
      </c>
      <c r="E206" s="1" t="s">
        <v>397</v>
      </c>
      <c r="F206" s="1" t="s">
        <v>4411</v>
      </c>
      <c r="G206" s="1" t="s">
        <v>371</v>
      </c>
      <c r="H206" s="2">
        <v>220</v>
      </c>
      <c r="I206" s="17">
        <v>72.722499999999997</v>
      </c>
      <c r="J206" s="1" t="s">
        <v>369</v>
      </c>
      <c r="K206" s="6">
        <f>Registro_Ordini[[#This Row],[Numero]]*Registro_Ordini[[#This Row],[Prezzo]]</f>
        <v>15998.949999999999</v>
      </c>
      <c r="L206" s="10">
        <v>1.00000014</v>
      </c>
      <c r="M206" s="6">
        <f>Registro_Ordini[[#This Row],[Importo]]*Registro_Ordini[[#This Row],[Cambio]]</f>
        <v>15998.952239852999</v>
      </c>
      <c r="N206" s="1">
        <f ca="1">IFERROR(_xlfn.NUMBERVALUE(OFFSET(Origine,MATCH(Registro_Ordini[[#This Row],[Titolo]],Descrizioni,0),MATCH("Price",Intestazioni,0)-1,1,1)),"")</f>
        <v>71.349999999999994</v>
      </c>
      <c r="O206" s="18">
        <f ca="1">IF(OR(Registro_Ordini[[#This Row],[Price]]=0,Registro_Ordini[[#This Row],[Price]]=""),"",IF(Registro_Ordini[[#This Row],[Tipo]]="Sell",Registro_Ordini[[#This Row],[Prezzo]]/Registro_Ordini[[#This Row],[Price]]-1,Registro_Ordini[[#This Row],[Price]]/Registro_Ordini[[#This Row],[Prezzo]]-1))</f>
        <v>-1.8873113548076637E-2</v>
      </c>
      <c r="P206" s="15">
        <v>2.5326232779129883E-2</v>
      </c>
      <c r="Q206" s="3">
        <v>0.17795260461170809</v>
      </c>
      <c r="R206" s="3">
        <v>0.1264384608286605</v>
      </c>
      <c r="S206" s="3">
        <v>0.56605675203240369</v>
      </c>
      <c r="T206" s="3">
        <v>0</v>
      </c>
      <c r="U206" s="3">
        <v>0.12955218252722772</v>
      </c>
      <c r="V206" s="3"/>
      <c r="W206" s="4"/>
    </row>
    <row r="207" spans="1:23" s="1" customFormat="1" ht="24.95" customHeight="1" x14ac:dyDescent="0.2">
      <c r="A207" s="8">
        <v>46051.690972222219</v>
      </c>
      <c r="B207" s="7">
        <v>46051.690972222219</v>
      </c>
      <c r="C207" s="9" t="s">
        <v>373</v>
      </c>
      <c r="D207" s="1" t="s">
        <v>388</v>
      </c>
      <c r="E207" s="1" t="s">
        <v>397</v>
      </c>
      <c r="F207" s="1" t="s">
        <v>4411</v>
      </c>
      <c r="G207" s="1" t="s">
        <v>371</v>
      </c>
      <c r="H207" s="2">
        <v>100</v>
      </c>
      <c r="I207" s="17">
        <v>72.849999999999994</v>
      </c>
      <c r="J207" s="1" t="s">
        <v>369</v>
      </c>
      <c r="K207" s="6">
        <f>Registro_Ordini[[#This Row],[Numero]]*Registro_Ordini[[#This Row],[Prezzo]]</f>
        <v>7284.9999999999991</v>
      </c>
      <c r="L207" s="10">
        <v>1.00000014</v>
      </c>
      <c r="M207" s="6">
        <f>Registro_Ordini[[#This Row],[Importo]]*Registro_Ordini[[#This Row],[Cambio]]</f>
        <v>7285.0010198999989</v>
      </c>
      <c r="N207" s="1">
        <f ca="1">IFERROR(_xlfn.NUMBERVALUE(OFFSET(Origine,MATCH(Registro_Ordini[[#This Row],[Titolo]],Descrizioni,0),MATCH("Price",Intestazioni,0)-1,1,1)),"")</f>
        <v>71.349999999999994</v>
      </c>
      <c r="O207" s="18">
        <f ca="1">IF(OR(Registro_Ordini[[#This Row],[Price]]=0,Registro_Ordini[[#This Row],[Price]]=""),"",IF(Registro_Ordini[[#This Row],[Tipo]]="Sell",Registro_Ordini[[#This Row],[Prezzo]]/Registro_Ordini[[#This Row],[Price]]-1,Registro_Ordini[[#This Row],[Price]]/Registro_Ordini[[#This Row],[Prezzo]]-1))</f>
        <v>-2.0590253946465298E-2</v>
      </c>
      <c r="P207" s="15">
        <v>1.6927493186883084E-2</v>
      </c>
      <c r="Q207" s="3">
        <v>0.24460741703108596</v>
      </c>
      <c r="R207" s="3">
        <v>0.34825263602834461</v>
      </c>
      <c r="S207" s="3">
        <v>0.22292775333899265</v>
      </c>
      <c r="T207" s="3">
        <v>0</v>
      </c>
      <c r="U207" s="3">
        <v>0.18421219360157684</v>
      </c>
      <c r="V207" s="3"/>
      <c r="W207" s="4"/>
    </row>
    <row r="208" spans="1:23" s="1" customFormat="1" ht="24.95" customHeight="1" x14ac:dyDescent="0.2">
      <c r="A208" s="8">
        <v>46051.690960648149</v>
      </c>
      <c r="B208" s="7">
        <v>46051.690960648149</v>
      </c>
      <c r="C208" s="9" t="s">
        <v>367</v>
      </c>
      <c r="D208" s="1" t="s">
        <v>388</v>
      </c>
      <c r="E208" s="1" t="s">
        <v>397</v>
      </c>
      <c r="F208" s="1" t="s">
        <v>4411</v>
      </c>
      <c r="G208" s="1" t="s">
        <v>371</v>
      </c>
      <c r="H208" s="2">
        <v>740</v>
      </c>
      <c r="I208" s="17">
        <v>72.900000000000006</v>
      </c>
      <c r="J208" s="1" t="s">
        <v>369</v>
      </c>
      <c r="K208" s="6">
        <f>Registro_Ordini[[#This Row],[Numero]]*Registro_Ordini[[#This Row],[Prezzo]]</f>
        <v>53946.000000000007</v>
      </c>
      <c r="L208" s="10">
        <v>1.00000014</v>
      </c>
      <c r="M208" s="6">
        <f>Registro_Ordini[[#This Row],[Importo]]*Registro_Ordini[[#This Row],[Cambio]]</f>
        <v>53946.007552440009</v>
      </c>
      <c r="N208" s="1">
        <f ca="1">IFERROR(_xlfn.NUMBERVALUE(OFFSET(Origine,MATCH(Registro_Ordini[[#This Row],[Titolo]],Descrizioni,0),MATCH("Price",Intestazioni,0)-1,1,1)),"")</f>
        <v>71.349999999999994</v>
      </c>
      <c r="O208" s="18">
        <f ca="1">IF(OR(Registro_Ordini[[#This Row],[Price]]=0,Registro_Ordini[[#This Row],[Price]]=""),"",IF(Registro_Ordini[[#This Row],[Tipo]]="Sell",Registro_Ordini[[#This Row],[Prezzo]]/Registro_Ordini[[#This Row],[Price]]-1,Registro_Ordini[[#This Row],[Price]]/Registro_Ordini[[#This Row],[Prezzo]]-1))</f>
        <v>-2.1262002743484332E-2</v>
      </c>
      <c r="P208" s="15">
        <v>1.5016397415000186E-2</v>
      </c>
      <c r="Q208" s="3">
        <v>0.1619439163777644</v>
      </c>
      <c r="R208" s="3">
        <v>0.3632313737001418</v>
      </c>
      <c r="S208" s="3">
        <v>0.37091982305638793</v>
      </c>
      <c r="T208" s="3">
        <v>0</v>
      </c>
      <c r="U208" s="3">
        <v>0.10390488686570594</v>
      </c>
      <c r="V208" s="3"/>
      <c r="W208" s="4"/>
    </row>
    <row r="209" spans="1:23" s="1" customFormat="1" ht="24.95" customHeight="1" x14ac:dyDescent="0.2">
      <c r="A209" s="8">
        <v>46051.690949074073</v>
      </c>
      <c r="B209" s="7">
        <v>46051.690949074073</v>
      </c>
      <c r="C209" s="9" t="s">
        <v>375</v>
      </c>
      <c r="D209" s="1" t="s">
        <v>388</v>
      </c>
      <c r="E209" s="1" t="s">
        <v>397</v>
      </c>
      <c r="F209" s="1" t="s">
        <v>4411</v>
      </c>
      <c r="G209" s="1" t="s">
        <v>371</v>
      </c>
      <c r="H209" s="2">
        <v>180</v>
      </c>
      <c r="I209" s="17">
        <v>72.722499999999997</v>
      </c>
      <c r="J209" s="1" t="s">
        <v>369</v>
      </c>
      <c r="K209" s="6">
        <f>Registro_Ordini[[#This Row],[Numero]]*Registro_Ordini[[#This Row],[Prezzo]]</f>
        <v>13090.05</v>
      </c>
      <c r="L209" s="10">
        <v>1.00000014</v>
      </c>
      <c r="M209" s="6">
        <f>Registro_Ordini[[#This Row],[Importo]]*Registro_Ordini[[#This Row],[Cambio]]</f>
        <v>13090.051832607</v>
      </c>
      <c r="N209" s="1">
        <f ca="1">IFERROR(_xlfn.NUMBERVALUE(OFFSET(Origine,MATCH(Registro_Ordini[[#This Row],[Titolo]],Descrizioni,0),MATCH("Price",Intestazioni,0)-1,1,1)),"")</f>
        <v>71.349999999999994</v>
      </c>
      <c r="O209" s="18">
        <f ca="1">IF(OR(Registro_Ordini[[#This Row],[Price]]=0,Registro_Ordini[[#This Row],[Price]]=""),"",IF(Registro_Ordini[[#This Row],[Tipo]]="Sell",Registro_Ordini[[#This Row],[Prezzo]]/Registro_Ordini[[#This Row],[Price]]-1,Registro_Ordini[[#This Row],[Price]]/Registro_Ordini[[#This Row],[Prezzo]]-1))</f>
        <v>-1.8873113548076637E-2</v>
      </c>
      <c r="P209" s="15">
        <v>1.4651422173752629E-2</v>
      </c>
      <c r="Q209" s="3">
        <v>0.12010433323463753</v>
      </c>
      <c r="R209" s="3">
        <v>0.32072952917063557</v>
      </c>
      <c r="S209" s="3">
        <v>0.40089780414963183</v>
      </c>
      <c r="T209" s="3">
        <v>0</v>
      </c>
      <c r="U209" s="3">
        <v>0.1582683334450953</v>
      </c>
      <c r="V209" s="3"/>
      <c r="W209" s="4"/>
    </row>
    <row r="210" spans="1:23" s="1" customFormat="1" ht="24.95" customHeight="1" x14ac:dyDescent="0.2">
      <c r="A210" s="8">
        <v>46051.690937500003</v>
      </c>
      <c r="B210" s="7">
        <v>46051.690937500003</v>
      </c>
      <c r="C210" s="9" t="s">
        <v>376</v>
      </c>
      <c r="D210" s="1" t="s">
        <v>388</v>
      </c>
      <c r="E210" s="1" t="s">
        <v>397</v>
      </c>
      <c r="F210" s="1" t="s">
        <v>4411</v>
      </c>
      <c r="G210" s="1" t="s">
        <v>371</v>
      </c>
      <c r="H210" s="2">
        <v>60</v>
      </c>
      <c r="I210" s="17">
        <v>72.722499999999997</v>
      </c>
      <c r="J210" s="1" t="s">
        <v>369</v>
      </c>
      <c r="K210" s="6">
        <f>Registro_Ordini[[#This Row],[Numero]]*Registro_Ordini[[#This Row],[Prezzo]]</f>
        <v>4363.3499999999995</v>
      </c>
      <c r="L210" s="10">
        <v>1.00000014</v>
      </c>
      <c r="M210" s="6">
        <f>Registro_Ordini[[#This Row],[Importo]]*Registro_Ordini[[#This Row],[Cambio]]</f>
        <v>4363.3506108689999</v>
      </c>
      <c r="N210" s="1">
        <f ca="1">IFERROR(_xlfn.NUMBERVALUE(OFFSET(Origine,MATCH(Registro_Ordini[[#This Row],[Titolo]],Descrizioni,0),MATCH("Price",Intestazioni,0)-1,1,1)),"")</f>
        <v>71.349999999999994</v>
      </c>
      <c r="O210" s="18">
        <f ca="1">IF(OR(Registro_Ordini[[#This Row],[Price]]=0,Registro_Ordini[[#This Row],[Price]]=""),"",IF(Registro_Ordini[[#This Row],[Tipo]]="Sell",Registro_Ordini[[#This Row],[Prezzo]]/Registro_Ordini[[#This Row],[Price]]-1,Registro_Ordini[[#This Row],[Price]]/Registro_Ordini[[#This Row],[Prezzo]]-1))</f>
        <v>-1.8873113548076637E-2</v>
      </c>
      <c r="P210" s="15">
        <v>1.5296824357784115E-2</v>
      </c>
      <c r="Q210" s="3">
        <v>9.2737147518289292E-2</v>
      </c>
      <c r="R210" s="3">
        <v>0.26282014023382172</v>
      </c>
      <c r="S210" s="3">
        <v>0.4474175563445939</v>
      </c>
      <c r="T210" s="3">
        <v>0</v>
      </c>
      <c r="U210" s="3">
        <v>0.19702515590329503</v>
      </c>
      <c r="V210" s="3"/>
      <c r="W210" s="4"/>
    </row>
    <row r="211" spans="1:23" s="1" customFormat="1" ht="24.95" customHeight="1" x14ac:dyDescent="0.2">
      <c r="A211" s="8">
        <v>46051.690925925926</v>
      </c>
      <c r="B211" s="7">
        <v>46051.690925925926</v>
      </c>
      <c r="C211" s="9" t="s">
        <v>377</v>
      </c>
      <c r="D211" s="1" t="s">
        <v>388</v>
      </c>
      <c r="E211" s="1" t="s">
        <v>397</v>
      </c>
      <c r="F211" s="1" t="s">
        <v>4411</v>
      </c>
      <c r="G211" s="1" t="s">
        <v>371</v>
      </c>
      <c r="H211" s="2">
        <v>360</v>
      </c>
      <c r="I211" s="17">
        <v>72.722499999999997</v>
      </c>
      <c r="J211" s="1" t="s">
        <v>369</v>
      </c>
      <c r="K211" s="6">
        <f>Registro_Ordini[[#This Row],[Numero]]*Registro_Ordini[[#This Row],[Prezzo]]</f>
        <v>26180.1</v>
      </c>
      <c r="L211" s="10">
        <v>1.00000014</v>
      </c>
      <c r="M211" s="6">
        <f>Registro_Ordini[[#This Row],[Importo]]*Registro_Ordini[[#This Row],[Cambio]]</f>
        <v>26180.103665213999</v>
      </c>
      <c r="N211" s="1">
        <f ca="1">IFERROR(_xlfn.NUMBERVALUE(OFFSET(Origine,MATCH(Registro_Ordini[[#This Row],[Titolo]],Descrizioni,0),MATCH("Price",Intestazioni,0)-1,1,1)),"")</f>
        <v>71.349999999999994</v>
      </c>
      <c r="O211" s="18">
        <f ca="1">IF(OR(Registro_Ordini[[#This Row],[Price]]=0,Registro_Ordini[[#This Row],[Price]]=""),"",IF(Registro_Ordini[[#This Row],[Tipo]]="Sell",Registro_Ordini[[#This Row],[Prezzo]]/Registro_Ordini[[#This Row],[Price]]-1,Registro_Ordini[[#This Row],[Price]]/Registro_Ordini[[#This Row],[Prezzo]]-1))</f>
        <v>-1.8873113548076637E-2</v>
      </c>
      <c r="P211" s="15">
        <v>1.5162432249028515E-2</v>
      </c>
      <c r="Q211" s="3">
        <v>0.12118563984316003</v>
      </c>
      <c r="R211" s="3">
        <v>0.29675047851941144</v>
      </c>
      <c r="S211" s="3">
        <v>0.43079921668957621</v>
      </c>
      <c r="T211" s="3">
        <v>0</v>
      </c>
      <c r="U211" s="3">
        <v>0.15126466494785229</v>
      </c>
      <c r="V211" s="3"/>
      <c r="W211" s="4"/>
    </row>
    <row r="212" spans="1:23" s="1" customFormat="1" ht="24.95" customHeight="1" x14ac:dyDescent="0.2">
      <c r="A212" s="8">
        <v>46051.69091435185</v>
      </c>
      <c r="B212" s="7">
        <v>46051.69091435185</v>
      </c>
      <c r="C212" s="9" t="s">
        <v>378</v>
      </c>
      <c r="D212" s="1" t="s">
        <v>388</v>
      </c>
      <c r="E212" s="1" t="s">
        <v>397</v>
      </c>
      <c r="F212" s="1" t="s">
        <v>4411</v>
      </c>
      <c r="G212" s="1" t="s">
        <v>371</v>
      </c>
      <c r="H212" s="2">
        <v>115</v>
      </c>
      <c r="I212" s="17">
        <v>72.722499999999997</v>
      </c>
      <c r="J212" s="1" t="s">
        <v>369</v>
      </c>
      <c r="K212" s="6">
        <f>Registro_Ordini[[#This Row],[Numero]]*Registro_Ordini[[#This Row],[Prezzo]]</f>
        <v>8363.0874999999996</v>
      </c>
      <c r="L212" s="10">
        <v>1.00000014</v>
      </c>
      <c r="M212" s="6">
        <f>Registro_Ordini[[#This Row],[Importo]]*Registro_Ordini[[#This Row],[Cambio]]</f>
        <v>8363.0886708322505</v>
      </c>
      <c r="N212" s="1">
        <f ca="1">IFERROR(_xlfn.NUMBERVALUE(OFFSET(Origine,MATCH(Registro_Ordini[[#This Row],[Titolo]],Descrizioni,0),MATCH("Price",Intestazioni,0)-1,1,1)),"")</f>
        <v>71.349999999999994</v>
      </c>
      <c r="O212" s="18">
        <f ca="1">IF(OR(Registro_Ordini[[#This Row],[Price]]=0,Registro_Ordini[[#This Row],[Price]]=""),"",IF(Registro_Ordini[[#This Row],[Tipo]]="Sell",Registro_Ordini[[#This Row],[Prezzo]]/Registro_Ordini[[#This Row],[Price]]-1,Registro_Ordini[[#This Row],[Price]]/Registro_Ordini[[#This Row],[Prezzo]]-1))</f>
        <v>-1.8873113548076637E-2</v>
      </c>
      <c r="P212" s="15">
        <v>1.4866888659969926E-2</v>
      </c>
      <c r="Q212" s="3">
        <v>0.12919400668842967</v>
      </c>
      <c r="R212" s="3">
        <v>0.28549185075006928</v>
      </c>
      <c r="S212" s="3">
        <v>0.43869047133907013</v>
      </c>
      <c r="T212" s="3">
        <v>0</v>
      </c>
      <c r="U212" s="3">
        <v>0.14662367122243095</v>
      </c>
      <c r="V212" s="3"/>
      <c r="W212" s="4"/>
    </row>
    <row r="213" spans="1:23" s="1" customFormat="1" ht="24.95" customHeight="1" x14ac:dyDescent="0.2">
      <c r="A213" s="8">
        <v>46051.69</v>
      </c>
      <c r="B213" s="7">
        <v>46051.69</v>
      </c>
      <c r="C213" s="9" t="s">
        <v>78</v>
      </c>
      <c r="D213" s="1" t="s">
        <v>388</v>
      </c>
      <c r="E213" s="1" t="s">
        <v>397</v>
      </c>
      <c r="F213" s="1" t="s">
        <v>437</v>
      </c>
      <c r="G213" s="1" t="s">
        <v>365</v>
      </c>
      <c r="H213" s="2">
        <v>-50</v>
      </c>
      <c r="I213" s="17">
        <v>151.72999999999999</v>
      </c>
      <c r="J213" s="1" t="s">
        <v>369</v>
      </c>
      <c r="K213" s="6">
        <f>Registro_Ordini[[#This Row],[Numero]]*Registro_Ordini[[#This Row],[Prezzo]]</f>
        <v>-7586.4999999999991</v>
      </c>
      <c r="L213" s="10">
        <v>1.00000014</v>
      </c>
      <c r="M213" s="6">
        <f>Registro_Ordini[[#This Row],[Importo]]*Registro_Ordini[[#This Row],[Cambio]]</f>
        <v>-7586.5010621099991</v>
      </c>
      <c r="N213" s="1">
        <f ca="1">IFERROR(_xlfn.NUMBERVALUE(OFFSET(Origine,MATCH(Registro_Ordini[[#This Row],[Titolo]],Descrizioni,0),MATCH("Price",Intestazioni,0)-1,1,1)),"")</f>
        <v>142.4</v>
      </c>
      <c r="O213" s="18">
        <f ca="1">IF(OR(Registro_Ordini[[#This Row],[Price]]=0,Registro_Ordini[[#This Row],[Price]]=""),"",IF(Registro_Ordini[[#This Row],[Tipo]]="Sell",Registro_Ordini[[#This Row],[Prezzo]]/Registro_Ordini[[#This Row],[Price]]-1,Registro_Ordini[[#This Row],[Price]]/Registro_Ordini[[#This Row],[Prezzo]]-1))</f>
        <v>6.5519662921348143E-2</v>
      </c>
      <c r="P213" s="15">
        <v>-1.2009379676720588E-2</v>
      </c>
      <c r="Q213" s="3">
        <v>0.20327883739083794</v>
      </c>
      <c r="R213" s="3">
        <v>0.1264384608286605</v>
      </c>
      <c r="S213" s="3">
        <v>0.54073051925327376</v>
      </c>
      <c r="T213" s="3">
        <v>0</v>
      </c>
      <c r="U213" s="3">
        <v>0.12955218252722772</v>
      </c>
      <c r="V213" s="3"/>
      <c r="W213" s="4"/>
    </row>
    <row r="214" spans="1:23" s="1" customFormat="1" ht="24.95" customHeight="1" x14ac:dyDescent="0.2">
      <c r="A214" s="8">
        <v>46051.689525462964</v>
      </c>
      <c r="B214" s="7">
        <v>46051.689525462964</v>
      </c>
      <c r="C214" s="9" t="s">
        <v>373</v>
      </c>
      <c r="D214" s="1" t="s">
        <v>388</v>
      </c>
      <c r="E214" s="1" t="s">
        <v>397</v>
      </c>
      <c r="F214" s="1" t="s">
        <v>437</v>
      </c>
      <c r="G214" s="1" t="s">
        <v>365</v>
      </c>
      <c r="H214" s="2">
        <v>-60</v>
      </c>
      <c r="I214" s="17">
        <v>151.80000000000001</v>
      </c>
      <c r="J214" s="1" t="s">
        <v>369</v>
      </c>
      <c r="K214" s="6">
        <f>Registro_Ordini[[#This Row],[Numero]]*Registro_Ordini[[#This Row],[Prezzo]]</f>
        <v>-9108</v>
      </c>
      <c r="L214" s="10">
        <v>1.00000014</v>
      </c>
      <c r="M214" s="6">
        <f>Registro_Ordini[[#This Row],[Importo]]*Registro_Ordini[[#This Row],[Cambio]]</f>
        <v>-9108.0012751200011</v>
      </c>
      <c r="N214" s="1">
        <f ca="1">IFERROR(_xlfn.NUMBERVALUE(OFFSET(Origine,MATCH(Registro_Ordini[[#This Row],[Titolo]],Descrizioni,0),MATCH("Price",Intestazioni,0)-1,1,1)),"")</f>
        <v>142.4</v>
      </c>
      <c r="O214" s="18">
        <f ca="1">IF(OR(Registro_Ordini[[#This Row],[Price]]=0,Registro_Ordini[[#This Row],[Price]]=""),"",IF(Registro_Ordini[[#This Row],[Tipo]]="Sell",Registro_Ordini[[#This Row],[Prezzo]]/Registro_Ordini[[#This Row],[Price]]-1,Registro_Ordini[[#This Row],[Price]]/Registro_Ordini[[#This Row],[Prezzo]]-1))</f>
        <v>6.6011235955056202E-2</v>
      </c>
      <c r="P214" s="15">
        <v>-2.119076110897538E-2</v>
      </c>
      <c r="Q214" s="3">
        <v>0.26153491021796904</v>
      </c>
      <c r="R214" s="3">
        <v>0.34825263602834455</v>
      </c>
      <c r="S214" s="3">
        <v>0.20600026015210954</v>
      </c>
      <c r="T214" s="3">
        <v>0</v>
      </c>
      <c r="U214" s="3">
        <v>0.18421219360157681</v>
      </c>
      <c r="V214" s="3"/>
      <c r="W214" s="4"/>
    </row>
    <row r="215" spans="1:23" s="1" customFormat="1" ht="24.95" customHeight="1" x14ac:dyDescent="0.2">
      <c r="A215" s="8">
        <v>46051.689513888887</v>
      </c>
      <c r="B215" s="7">
        <v>46051.689513888887</v>
      </c>
      <c r="C215" s="9" t="s">
        <v>367</v>
      </c>
      <c r="D215" s="1" t="s">
        <v>388</v>
      </c>
      <c r="E215" s="1" t="s">
        <v>397</v>
      </c>
      <c r="F215" s="1" t="s">
        <v>437</v>
      </c>
      <c r="G215" s="1" t="s">
        <v>365</v>
      </c>
      <c r="H215" s="2">
        <v>-220</v>
      </c>
      <c r="I215" s="17">
        <v>152</v>
      </c>
      <c r="J215" s="1" t="s">
        <v>369</v>
      </c>
      <c r="K215" s="6">
        <f>Registro_Ordini[[#This Row],[Numero]]*Registro_Ordini[[#This Row],[Prezzo]]</f>
        <v>-33440</v>
      </c>
      <c r="L215" s="10">
        <v>1.00000014</v>
      </c>
      <c r="M215" s="6">
        <f>Registro_Ordini[[#This Row],[Importo]]*Registro_Ordini[[#This Row],[Cambio]]</f>
        <v>-33440.004681600003</v>
      </c>
      <c r="N215" s="1">
        <f ca="1">IFERROR(_xlfn.NUMBERVALUE(OFFSET(Origine,MATCH(Registro_Ordini[[#This Row],[Titolo]],Descrizioni,0),MATCH("Price",Intestazioni,0)-1,1,1)),"")</f>
        <v>142.4</v>
      </c>
      <c r="O215" s="18">
        <f ca="1">IF(OR(Registro_Ordini[[#This Row],[Price]]=0,Registro_Ordini[[#This Row],[Price]]=""),"",IF(Registro_Ordini[[#This Row],[Tipo]]="Sell",Registro_Ordini[[#This Row],[Prezzo]]/Registro_Ordini[[#This Row],[Price]]-1,Registro_Ordini[[#This Row],[Price]]/Registro_Ordini[[#This Row],[Prezzo]]-1))</f>
        <v>6.7415730337078594E-2</v>
      </c>
      <c r="P215" s="15">
        <v>-9.3144962487195435E-3</v>
      </c>
      <c r="Q215" s="3">
        <v>0.17696031379276458</v>
      </c>
      <c r="R215" s="3">
        <v>0.3632313737001418</v>
      </c>
      <c r="S215" s="3">
        <v>0.35590342564138766</v>
      </c>
      <c r="T215" s="3">
        <v>0</v>
      </c>
      <c r="U215" s="3">
        <v>0.10390488686570594</v>
      </c>
      <c r="V215" s="3"/>
      <c r="W215" s="4"/>
    </row>
    <row r="216" spans="1:23" s="1" customFormat="1" ht="24.95" customHeight="1" x14ac:dyDescent="0.2">
      <c r="A216" s="8">
        <v>46051.689502314817</v>
      </c>
      <c r="B216" s="7">
        <v>46051.689502314817</v>
      </c>
      <c r="C216" s="9" t="s">
        <v>375</v>
      </c>
      <c r="D216" s="1" t="s">
        <v>388</v>
      </c>
      <c r="E216" s="1" t="s">
        <v>397</v>
      </c>
      <c r="F216" s="1" t="s">
        <v>437</v>
      </c>
      <c r="G216" s="1" t="s">
        <v>365</v>
      </c>
      <c r="H216" s="2">
        <v>-60</v>
      </c>
      <c r="I216" s="17">
        <v>151.72999999999999</v>
      </c>
      <c r="J216" s="1" t="s">
        <v>369</v>
      </c>
      <c r="K216" s="6">
        <f>Registro_Ordini[[#This Row],[Numero]]*Registro_Ordini[[#This Row],[Prezzo]]</f>
        <v>-9103.7999999999993</v>
      </c>
      <c r="L216" s="10">
        <v>1.00000014</v>
      </c>
      <c r="M216" s="6">
        <f>Registro_Ordini[[#This Row],[Importo]]*Registro_Ordini[[#This Row],[Cambio]]</f>
        <v>-9103.8012745319993</v>
      </c>
      <c r="N216" s="1">
        <f ca="1">IFERROR(_xlfn.NUMBERVALUE(OFFSET(Origine,MATCH(Registro_Ordini[[#This Row],[Titolo]],Descrizioni,0),MATCH("Price",Intestazioni,0)-1,1,1)),"")</f>
        <v>142.4</v>
      </c>
      <c r="O216" s="18">
        <f ca="1">IF(OR(Registro_Ordini[[#This Row],[Price]]=0,Registro_Ordini[[#This Row],[Price]]=""),"",IF(Registro_Ordini[[#This Row],[Tipo]]="Sell",Registro_Ordini[[#This Row],[Prezzo]]/Registro_Ordini[[#This Row],[Price]]-1,Registro_Ordini[[#This Row],[Price]]/Registro_Ordini[[#This Row],[Prezzo]]-1))</f>
        <v>6.5519662921348143E-2</v>
      </c>
      <c r="P216" s="15">
        <v>-1.0189695011509441E-2</v>
      </c>
      <c r="Q216" s="3">
        <v>0.1347557554083901</v>
      </c>
      <c r="R216" s="3">
        <v>0.32072952917063546</v>
      </c>
      <c r="S216" s="3">
        <v>0.38624638197587913</v>
      </c>
      <c r="T216" s="3">
        <v>0</v>
      </c>
      <c r="U216" s="3">
        <v>0.15826833344509525</v>
      </c>
      <c r="V216" s="3"/>
      <c r="W216" s="4"/>
    </row>
    <row r="217" spans="1:23" s="1" customFormat="1" ht="24.95" customHeight="1" x14ac:dyDescent="0.2">
      <c r="A217" s="8">
        <v>46051.68949074074</v>
      </c>
      <c r="B217" s="7">
        <v>46051.68949074074</v>
      </c>
      <c r="C217" s="9" t="s">
        <v>376</v>
      </c>
      <c r="D217" s="1" t="s">
        <v>388</v>
      </c>
      <c r="E217" s="1" t="s">
        <v>397</v>
      </c>
      <c r="F217" s="1" t="s">
        <v>437</v>
      </c>
      <c r="G217" s="1" t="s">
        <v>365</v>
      </c>
      <c r="H217" s="2">
        <v>-35</v>
      </c>
      <c r="I217" s="17">
        <v>151.72999999999999</v>
      </c>
      <c r="J217" s="1" t="s">
        <v>369</v>
      </c>
      <c r="K217" s="6">
        <f>Registro_Ordini[[#This Row],[Numero]]*Registro_Ordini[[#This Row],[Prezzo]]</f>
        <v>-5310.5499999999993</v>
      </c>
      <c r="L217" s="10">
        <v>1.00000014</v>
      </c>
      <c r="M217" s="6">
        <f>Registro_Ordini[[#This Row],[Importo]]*Registro_Ordini[[#This Row],[Cambio]]</f>
        <v>-5310.5507434769997</v>
      </c>
      <c r="N217" s="1">
        <f ca="1">IFERROR(_xlfn.NUMBERVALUE(OFFSET(Origine,MATCH(Registro_Ordini[[#This Row],[Titolo]],Descrizioni,0),MATCH("Price",Intestazioni,0)-1,1,1)),"")</f>
        <v>142.4</v>
      </c>
      <c r="O217" s="18">
        <f ca="1">IF(OR(Registro_Ordini[[#This Row],[Price]]=0,Registro_Ordini[[#This Row],[Price]]=""),"",IF(Registro_Ordini[[#This Row],[Tipo]]="Sell",Registro_Ordini[[#This Row],[Prezzo]]/Registro_Ordini[[#This Row],[Price]]-1,Registro_Ordini[[#This Row],[Price]]/Registro_Ordini[[#This Row],[Prezzo]]-1))</f>
        <v>6.5519662921348143E-2</v>
      </c>
      <c r="P217" s="15">
        <v>-1.8617472949277604E-2</v>
      </c>
      <c r="Q217" s="3">
        <v>0.1080339718760734</v>
      </c>
      <c r="R217" s="3">
        <v>0.26282014023382172</v>
      </c>
      <c r="S217" s="3">
        <v>0.43212073198680984</v>
      </c>
      <c r="T217" s="3">
        <v>0</v>
      </c>
      <c r="U217" s="3">
        <v>0.19702515590329503</v>
      </c>
      <c r="V217" s="3"/>
      <c r="W217" s="4"/>
    </row>
    <row r="218" spans="1:23" s="1" customFormat="1" ht="24.95" customHeight="1" x14ac:dyDescent="0.2">
      <c r="A218" s="8">
        <v>46051.689479166664</v>
      </c>
      <c r="B218" s="7">
        <v>46051.689479166664</v>
      </c>
      <c r="C218" s="9" t="s">
        <v>377</v>
      </c>
      <c r="D218" s="1" t="s">
        <v>388</v>
      </c>
      <c r="E218" s="1" t="s">
        <v>397</v>
      </c>
      <c r="F218" s="1" t="s">
        <v>437</v>
      </c>
      <c r="G218" s="1" t="s">
        <v>365</v>
      </c>
      <c r="H218" s="2">
        <v>-100</v>
      </c>
      <c r="I218" s="17">
        <v>151.72999999999999</v>
      </c>
      <c r="J218" s="1" t="s">
        <v>369</v>
      </c>
      <c r="K218" s="6">
        <f>Registro_Ordini[[#This Row],[Numero]]*Registro_Ordini[[#This Row],[Prezzo]]</f>
        <v>-15172.999999999998</v>
      </c>
      <c r="L218" s="10">
        <v>1.00000014</v>
      </c>
      <c r="M218" s="6">
        <f>Registro_Ordini[[#This Row],[Importo]]*Registro_Ordini[[#This Row],[Cambio]]</f>
        <v>-15173.002124219998</v>
      </c>
      <c r="N218" s="1">
        <f ca="1">IFERROR(_xlfn.NUMBERVALUE(OFFSET(Origine,MATCH(Registro_Ordini[[#This Row],[Titolo]],Descrizioni,0),MATCH("Price",Intestazioni,0)-1,1,1)),"")</f>
        <v>142.4</v>
      </c>
      <c r="O218" s="18">
        <f ca="1">IF(OR(Registro_Ordini[[#This Row],[Price]]=0,Registro_Ordini[[#This Row],[Price]]=""),"",IF(Registro_Ordini[[#This Row],[Tipo]]="Sell",Registro_Ordini[[#This Row],[Prezzo]]/Registro_Ordini[[#This Row],[Price]]-1,Registro_Ordini[[#This Row],[Price]]/Registro_Ordini[[#This Row],[Prezzo]]-1))</f>
        <v>6.5519662921348143E-2</v>
      </c>
      <c r="P218" s="15">
        <v>-8.7875747042413764E-3</v>
      </c>
      <c r="Q218" s="3">
        <v>0.13634807209218855</v>
      </c>
      <c r="R218" s="3">
        <v>0.29675047851941144</v>
      </c>
      <c r="S218" s="3">
        <v>0.41563678444054769</v>
      </c>
      <c r="T218" s="3">
        <v>0</v>
      </c>
      <c r="U218" s="3">
        <v>0.15126466494785229</v>
      </c>
      <c r="V218" s="3"/>
      <c r="W218" s="4"/>
    </row>
    <row r="219" spans="1:23" s="1" customFormat="1" ht="24.95" customHeight="1" x14ac:dyDescent="0.2">
      <c r="A219" s="8">
        <v>46051.689467592594</v>
      </c>
      <c r="B219" s="7">
        <v>46051.689467592594</v>
      </c>
      <c r="C219" s="9" t="s">
        <v>378</v>
      </c>
      <c r="D219" s="1" t="s">
        <v>388</v>
      </c>
      <c r="E219" s="1" t="s">
        <v>397</v>
      </c>
      <c r="F219" s="1" t="s">
        <v>437</v>
      </c>
      <c r="G219" s="1" t="s">
        <v>365</v>
      </c>
      <c r="H219" s="2">
        <v>-30</v>
      </c>
      <c r="I219" s="17">
        <v>151.72999999999999</v>
      </c>
      <c r="J219" s="1" t="s">
        <v>369</v>
      </c>
      <c r="K219" s="6">
        <f>Registro_Ordini[[#This Row],[Numero]]*Registro_Ordini[[#This Row],[Prezzo]]</f>
        <v>-4551.8999999999996</v>
      </c>
      <c r="L219" s="10">
        <v>1.00000014</v>
      </c>
      <c r="M219" s="6">
        <f>Registro_Ordini[[#This Row],[Importo]]*Registro_Ordini[[#This Row],[Cambio]]</f>
        <v>-4551.9006372659996</v>
      </c>
      <c r="N219" s="1">
        <f ca="1">IFERROR(_xlfn.NUMBERVALUE(OFFSET(Origine,MATCH(Registro_Ordini[[#This Row],[Titolo]],Descrizioni,0),MATCH("Price",Intestazioni,0)-1,1,1)),"")</f>
        <v>142.4</v>
      </c>
      <c r="O219" s="18">
        <f ca="1">IF(OR(Registro_Ordini[[#This Row],[Price]]=0,Registro_Ordini[[#This Row],[Price]]=""),"",IF(Registro_Ordini[[#This Row],[Tipo]]="Sell",Registro_Ordini[[#This Row],[Prezzo]]/Registro_Ordini[[#This Row],[Price]]-1,Registro_Ordini[[#This Row],[Price]]/Registro_Ordini[[#This Row],[Prezzo]]-1))</f>
        <v>6.5519662921348143E-2</v>
      </c>
      <c r="P219" s="15">
        <v>-8.0918190191501763E-3</v>
      </c>
      <c r="Q219" s="3">
        <v>0.14406089534839958</v>
      </c>
      <c r="R219" s="3">
        <v>0.28549185075006928</v>
      </c>
      <c r="S219" s="3">
        <v>0.4238235826791002</v>
      </c>
      <c r="T219" s="3">
        <v>0</v>
      </c>
      <c r="U219" s="3">
        <v>0.14662367122243095</v>
      </c>
      <c r="V219" s="3"/>
      <c r="W219" s="4"/>
    </row>
    <row r="220" spans="1:23" s="1" customFormat="1" ht="24.95" customHeight="1" x14ac:dyDescent="0.2">
      <c r="A220" s="8">
        <v>46050.725277777776</v>
      </c>
      <c r="B220" s="7">
        <v>46050.725277777776</v>
      </c>
      <c r="C220" s="9" t="s">
        <v>379</v>
      </c>
      <c r="D220" s="1" t="s">
        <v>388</v>
      </c>
      <c r="E220" s="1" t="s">
        <v>403</v>
      </c>
      <c r="F220" s="1" t="s">
        <v>468</v>
      </c>
      <c r="G220" s="1" t="s">
        <v>365</v>
      </c>
      <c r="H220" s="2">
        <v>-170</v>
      </c>
      <c r="I220" s="17">
        <v>59.4</v>
      </c>
      <c r="J220" s="1" t="s">
        <v>381</v>
      </c>
      <c r="K220" s="6">
        <f>Registro_Ordini[[#This Row],[Numero]]*Registro_Ordini[[#This Row],[Prezzo]]</f>
        <v>-10098</v>
      </c>
      <c r="L220" s="10">
        <v>1</v>
      </c>
      <c r="M220" s="6">
        <f>Registro_Ordini[[#This Row],[Importo]]*Registro_Ordini[[#This Row],[Cambio]]</f>
        <v>-10098</v>
      </c>
      <c r="N220" s="1">
        <f ca="1">IFERROR(_xlfn.NUMBERVALUE(OFFSET(Origine,MATCH(Registro_Ordini[[#This Row],[Titolo]],Descrizioni,0),MATCH("Price",Intestazioni,0)-1,1,1)),"")</f>
        <v>64.349999999999994</v>
      </c>
      <c r="O220" s="18">
        <f ca="1">IF(OR(Registro_Ordini[[#This Row],[Price]]=0,Registro_Ordini[[#This Row],[Price]]=""),"",IF(Registro_Ordini[[#This Row],[Tipo]]="Sell",Registro_Ordini[[#This Row],[Prezzo]]/Registro_Ordini[[#This Row],[Price]]-1,Registro_Ordini[[#This Row],[Price]]/Registro_Ordini[[#This Row],[Prezzo]]-1))</f>
        <v>-7.6923076923076872E-2</v>
      </c>
      <c r="P220" s="15">
        <v>-1.6250645045594099E-2</v>
      </c>
      <c r="Q220" s="3">
        <v>0.10861418313524937</v>
      </c>
      <c r="R220" s="3">
        <v>0.33196195770756193</v>
      </c>
      <c r="S220" s="3">
        <v>0.40053262093621428</v>
      </c>
      <c r="T220" s="3">
        <v>0</v>
      </c>
      <c r="U220" s="3">
        <v>0.15889123822097448</v>
      </c>
      <c r="V220" s="3"/>
      <c r="W220" s="4"/>
    </row>
    <row r="221" spans="1:23" s="1" customFormat="1" ht="24.95" customHeight="1" x14ac:dyDescent="0.2">
      <c r="A221" s="8">
        <v>46050.725266203706</v>
      </c>
      <c r="B221" s="7">
        <v>46050.725266203706</v>
      </c>
      <c r="C221" s="9" t="s">
        <v>382</v>
      </c>
      <c r="D221" s="1" t="s">
        <v>388</v>
      </c>
      <c r="E221" s="1" t="s">
        <v>403</v>
      </c>
      <c r="F221" s="1" t="s">
        <v>468</v>
      </c>
      <c r="G221" s="1" t="s">
        <v>365</v>
      </c>
      <c r="H221" s="2">
        <v>-315</v>
      </c>
      <c r="I221" s="17">
        <v>59.4</v>
      </c>
      <c r="J221" s="1" t="s">
        <v>381</v>
      </c>
      <c r="K221" s="6">
        <f>Registro_Ordini[[#This Row],[Numero]]*Registro_Ordini[[#This Row],[Prezzo]]</f>
        <v>-18711</v>
      </c>
      <c r="L221" s="10">
        <v>1</v>
      </c>
      <c r="M221" s="6">
        <f>Registro_Ordini[[#This Row],[Importo]]*Registro_Ordini[[#This Row],[Cambio]]</f>
        <v>-18711</v>
      </c>
      <c r="N221" s="1">
        <f ca="1">IFERROR(_xlfn.NUMBERVALUE(OFFSET(Origine,MATCH(Registro_Ordini[[#This Row],[Titolo]],Descrizioni,0),MATCH("Price",Intestazioni,0)-1,1,1)),"")</f>
        <v>64.349999999999994</v>
      </c>
      <c r="O221" s="18">
        <f ca="1">IF(OR(Registro_Ordini[[#This Row],[Price]]=0,Registro_Ordini[[#This Row],[Price]]=""),"",IF(Registro_Ordini[[#This Row],[Tipo]]="Sell",Registro_Ordini[[#This Row],[Prezzo]]/Registro_Ordini[[#This Row],[Price]]-1,Registro_Ordini[[#This Row],[Price]]/Registro_Ordini[[#This Row],[Prezzo]]-1))</f>
        <v>-7.6923076923076872E-2</v>
      </c>
      <c r="P221" s="15">
        <v>-1.6365462230765491E-2</v>
      </c>
      <c r="Q221" s="3">
        <v>0.11776140366830208</v>
      </c>
      <c r="R221" s="3">
        <v>0.3190791243738933</v>
      </c>
      <c r="S221" s="3">
        <v>0.39838737562042725</v>
      </c>
      <c r="T221" s="3">
        <v>0</v>
      </c>
      <c r="U221" s="3">
        <v>0.16477209633737727</v>
      </c>
      <c r="V221" s="3"/>
      <c r="W221" s="4"/>
    </row>
    <row r="222" spans="1:23" s="1" customFormat="1" ht="24.95" customHeight="1" x14ac:dyDescent="0.2">
      <c r="A222" s="8">
        <v>46050.725254629629</v>
      </c>
      <c r="B222" s="7">
        <v>46050.725254629629</v>
      </c>
      <c r="C222" s="9" t="s">
        <v>383</v>
      </c>
      <c r="D222" s="1" t="s">
        <v>388</v>
      </c>
      <c r="E222" s="1" t="s">
        <v>403</v>
      </c>
      <c r="F222" s="1" t="s">
        <v>468</v>
      </c>
      <c r="G222" s="1" t="s">
        <v>365</v>
      </c>
      <c r="H222" s="2">
        <v>-185</v>
      </c>
      <c r="I222" s="17">
        <v>59.4</v>
      </c>
      <c r="J222" s="1" t="s">
        <v>381</v>
      </c>
      <c r="K222" s="6">
        <f>Registro_Ordini[[#This Row],[Numero]]*Registro_Ordini[[#This Row],[Prezzo]]</f>
        <v>-10989</v>
      </c>
      <c r="L222" s="10">
        <v>1</v>
      </c>
      <c r="M222" s="6">
        <f>Registro_Ordini[[#This Row],[Importo]]*Registro_Ordini[[#This Row],[Cambio]]</f>
        <v>-10989</v>
      </c>
      <c r="N222" s="1">
        <f ca="1">IFERROR(_xlfn.NUMBERVALUE(OFFSET(Origine,MATCH(Registro_Ordini[[#This Row],[Titolo]],Descrizioni,0),MATCH("Price",Intestazioni,0)-1,1,1)),"")</f>
        <v>64.349999999999994</v>
      </c>
      <c r="O222" s="18">
        <f ca="1">IF(OR(Registro_Ordini[[#This Row],[Price]]=0,Registro_Ordini[[#This Row],[Price]]=""),"",IF(Registro_Ordini[[#This Row],[Tipo]]="Sell",Registro_Ordini[[#This Row],[Prezzo]]/Registro_Ordini[[#This Row],[Price]]-1,Registro_Ordini[[#This Row],[Price]]/Registro_Ordini[[#This Row],[Prezzo]]-1))</f>
        <v>-7.6923076923076872E-2</v>
      </c>
      <c r="P222" s="15">
        <v>-1.5867804125695002E-2</v>
      </c>
      <c r="Q222" s="3">
        <v>0.11940942238762564</v>
      </c>
      <c r="R222" s="3">
        <v>0.32701782906550225</v>
      </c>
      <c r="S222" s="3">
        <v>0.39361738847822891</v>
      </c>
      <c r="T222" s="3">
        <v>0</v>
      </c>
      <c r="U222" s="3">
        <v>0.15995536006864325</v>
      </c>
      <c r="V222" s="3"/>
      <c r="W222" s="4"/>
    </row>
    <row r="223" spans="1:23" s="1" customFormat="1" ht="24.95" customHeight="1" x14ac:dyDescent="0.2">
      <c r="A223" s="8">
        <v>46050.721006944441</v>
      </c>
      <c r="B223" s="7">
        <v>46050.721006944441</v>
      </c>
      <c r="C223" s="9" t="s">
        <v>106</v>
      </c>
      <c r="D223" s="1" t="s">
        <v>388</v>
      </c>
      <c r="E223" s="1" t="s">
        <v>403</v>
      </c>
      <c r="F223" s="1" t="s">
        <v>425</v>
      </c>
      <c r="G223" s="1" t="s">
        <v>365</v>
      </c>
      <c r="H223" s="2">
        <v>-25</v>
      </c>
      <c r="I223" s="17">
        <v>194.88</v>
      </c>
      <c r="J223" s="1" t="s">
        <v>381</v>
      </c>
      <c r="K223" s="6">
        <f>Registro_Ordini[[#This Row],[Numero]]*Registro_Ordini[[#This Row],[Prezzo]]</f>
        <v>-4872</v>
      </c>
      <c r="L223" s="10">
        <v>1</v>
      </c>
      <c r="M223" s="6">
        <f>Registro_Ordini[[#This Row],[Importo]]*Registro_Ordini[[#This Row],[Cambio]]</f>
        <v>-4872</v>
      </c>
      <c r="N223" s="1">
        <f ca="1">IFERROR(_xlfn.NUMBERVALUE(OFFSET(Origine,MATCH(Registro_Ordini[[#This Row],[Titolo]],Descrizioni,0),MATCH("Price",Intestazioni,0)-1,1,1)),"")</f>
        <v>174.92</v>
      </c>
      <c r="O223" s="18">
        <f ca="1">IF(OR(Registro_Ordini[[#This Row],[Price]]=0,Registro_Ordini[[#This Row],[Price]]=""),"",IF(Registro_Ordini[[#This Row],[Tipo]]="Sell",Registro_Ordini[[#This Row],[Prezzo]]/Registro_Ordini[[#This Row],[Price]]-1,Registro_Ordini[[#This Row],[Price]]/Registro_Ordini[[#This Row],[Prezzo]]-1))</f>
        <v>0.11410930711182266</v>
      </c>
      <c r="P223" s="15">
        <v>-3.0797062188025144E-2</v>
      </c>
      <c r="Q223" s="3">
        <v>0.10148859871655805</v>
      </c>
      <c r="R223" s="3">
        <v>0.25996294489015581</v>
      </c>
      <c r="S223" s="3">
        <v>0.44097844707657474</v>
      </c>
      <c r="T223" s="3">
        <v>0</v>
      </c>
      <c r="U223" s="3">
        <v>0.19757000931671148</v>
      </c>
      <c r="V223" s="3"/>
      <c r="W223" s="4"/>
    </row>
    <row r="224" spans="1:23" s="1" customFormat="1" ht="24.95" customHeight="1" x14ac:dyDescent="0.2">
      <c r="A224" s="8">
        <v>46050.720995370371</v>
      </c>
      <c r="B224" s="7">
        <v>46050.720995370371</v>
      </c>
      <c r="C224" s="9" t="s">
        <v>379</v>
      </c>
      <c r="D224" s="1" t="s">
        <v>388</v>
      </c>
      <c r="E224" s="1" t="s">
        <v>403</v>
      </c>
      <c r="F224" s="1" t="s">
        <v>425</v>
      </c>
      <c r="G224" s="1" t="s">
        <v>365</v>
      </c>
      <c r="H224" s="2">
        <v>-75</v>
      </c>
      <c r="I224" s="17">
        <v>194.88</v>
      </c>
      <c r="J224" s="1" t="s">
        <v>381</v>
      </c>
      <c r="K224" s="6">
        <f>Registro_Ordini[[#This Row],[Numero]]*Registro_Ordini[[#This Row],[Prezzo]]</f>
        <v>-14616</v>
      </c>
      <c r="L224" s="10">
        <v>1</v>
      </c>
      <c r="M224" s="6">
        <f>Registro_Ordini[[#This Row],[Importo]]*Registro_Ordini[[#This Row],[Cambio]]</f>
        <v>-14616</v>
      </c>
      <c r="N224" s="1">
        <f ca="1">IFERROR(_xlfn.NUMBERVALUE(OFFSET(Origine,MATCH(Registro_Ordini[[#This Row],[Titolo]],Descrizioni,0),MATCH("Price",Intestazioni,0)-1,1,1)),"")</f>
        <v>174.92</v>
      </c>
      <c r="O224" s="18">
        <f ca="1">IF(OR(Registro_Ordini[[#This Row],[Price]]=0,Registro_Ordini[[#This Row],[Price]]=""),"",IF(Registro_Ordini[[#This Row],[Tipo]]="Sell",Registro_Ordini[[#This Row],[Prezzo]]/Registro_Ordini[[#This Row],[Price]]-1,Registro_Ordini[[#This Row],[Price]]/Registro_Ordini[[#This Row],[Prezzo]]-1))</f>
        <v>0.11410930711182266</v>
      </c>
      <c r="P224" s="15">
        <v>-2.3534122328225306E-2</v>
      </c>
      <c r="Q224" s="3">
        <v>9.2410704139118519E-2</v>
      </c>
      <c r="R224" s="3">
        <v>0.33213468762480991</v>
      </c>
      <c r="S224" s="3">
        <v>0.41703377483915177</v>
      </c>
      <c r="T224" s="3">
        <v>0</v>
      </c>
      <c r="U224" s="3">
        <v>0.1584208333969199</v>
      </c>
      <c r="V224" s="3"/>
      <c r="W224" s="4"/>
    </row>
    <row r="225" spans="1:23" s="1" customFormat="1" ht="24.95" customHeight="1" x14ac:dyDescent="0.2">
      <c r="A225" s="8">
        <v>46050.720983796295</v>
      </c>
      <c r="B225" s="7">
        <v>46050.720983796295</v>
      </c>
      <c r="C225" s="9" t="s">
        <v>382</v>
      </c>
      <c r="D225" s="1" t="s">
        <v>388</v>
      </c>
      <c r="E225" s="1" t="s">
        <v>403</v>
      </c>
      <c r="F225" s="1" t="s">
        <v>425</v>
      </c>
      <c r="G225" s="1" t="s">
        <v>365</v>
      </c>
      <c r="H225" s="2">
        <v>-65</v>
      </c>
      <c r="I225" s="17">
        <v>194.88</v>
      </c>
      <c r="J225" s="1" t="s">
        <v>381</v>
      </c>
      <c r="K225" s="6">
        <f>Registro_Ordini[[#This Row],[Numero]]*Registro_Ordini[[#This Row],[Prezzo]]</f>
        <v>-12667.199999999999</v>
      </c>
      <c r="L225" s="10">
        <v>1</v>
      </c>
      <c r="M225" s="6">
        <f>Registro_Ordini[[#This Row],[Importo]]*Registro_Ordini[[#This Row],[Cambio]]</f>
        <v>-12667.199999999999</v>
      </c>
      <c r="N225" s="1">
        <f ca="1">IFERROR(_xlfn.NUMBERVALUE(OFFSET(Origine,MATCH(Registro_Ordini[[#This Row],[Titolo]],Descrizioni,0),MATCH("Price",Intestazioni,0)-1,1,1)),"")</f>
        <v>174.92</v>
      </c>
      <c r="O225" s="18">
        <f ca="1">IF(OR(Registro_Ordini[[#This Row],[Price]]=0,Registro_Ordini[[#This Row],[Price]]=""),"",IF(Registro_Ordini[[#This Row],[Tipo]]="Sell",Registro_Ordini[[#This Row],[Prezzo]]/Registro_Ordini[[#This Row],[Price]]-1,Registro_Ordini[[#This Row],[Price]]/Registro_Ordini[[#This Row],[Prezzo]]-1))</f>
        <v>0.11410930711182266</v>
      </c>
      <c r="P225" s="15">
        <v>-1.1081628076521941E-2</v>
      </c>
      <c r="Q225" s="3">
        <v>0.10140758662288463</v>
      </c>
      <c r="R225" s="3">
        <v>0.31914109835337917</v>
      </c>
      <c r="S225" s="3">
        <v>0.41486542038339352</v>
      </c>
      <c r="T225" s="3">
        <v>0</v>
      </c>
      <c r="U225" s="3">
        <v>0.16458589464034273</v>
      </c>
      <c r="V225" s="3"/>
      <c r="W225" s="4"/>
    </row>
    <row r="226" spans="1:23" s="1" customFormat="1" ht="24.95" customHeight="1" x14ac:dyDescent="0.2">
      <c r="A226" s="8">
        <v>46050.720972222225</v>
      </c>
      <c r="B226" s="7">
        <v>46050.720972222225</v>
      </c>
      <c r="C226" s="9" t="s">
        <v>383</v>
      </c>
      <c r="D226" s="1" t="s">
        <v>388</v>
      </c>
      <c r="E226" s="1" t="s">
        <v>403</v>
      </c>
      <c r="F226" s="1" t="s">
        <v>425</v>
      </c>
      <c r="G226" s="1" t="s">
        <v>365</v>
      </c>
      <c r="H226" s="2">
        <v>-55</v>
      </c>
      <c r="I226" s="17">
        <v>194.88</v>
      </c>
      <c r="J226" s="1" t="s">
        <v>381</v>
      </c>
      <c r="K226" s="6">
        <f>Registro_Ordini[[#This Row],[Numero]]*Registro_Ordini[[#This Row],[Prezzo]]</f>
        <v>-10718.4</v>
      </c>
      <c r="L226" s="10">
        <v>1</v>
      </c>
      <c r="M226" s="6">
        <f>Registro_Ordini[[#This Row],[Importo]]*Registro_Ordini[[#This Row],[Cambio]]</f>
        <v>-10718.4</v>
      </c>
      <c r="N226" s="1">
        <f ca="1">IFERROR(_xlfn.NUMBERVALUE(OFFSET(Origine,MATCH(Registro_Ordini[[#This Row],[Titolo]],Descrizioni,0),MATCH("Price",Intestazioni,0)-1,1,1)),"")</f>
        <v>174.92</v>
      </c>
      <c r="O226" s="18">
        <f ca="1">IF(OR(Registro_Ordini[[#This Row],[Price]]=0,Registro_Ordini[[#This Row],[Price]]=""),"",IF(Registro_Ordini[[#This Row],[Tipo]]="Sell",Registro_Ordini[[#This Row],[Prezzo]]/Registro_Ordini[[#This Row],[Price]]-1,Registro_Ordini[[#This Row],[Price]]/Registro_Ordini[[#This Row],[Prezzo]]-1))</f>
        <v>0.11410930711182266</v>
      </c>
      <c r="P226" s="15">
        <v>-1.5479758918959793E-2</v>
      </c>
      <c r="Q226" s="3">
        <v>0.1035488486270176</v>
      </c>
      <c r="R226" s="3">
        <v>0.32706831402692765</v>
      </c>
      <c r="S226" s="3">
        <v>0.40957336049931392</v>
      </c>
      <c r="T226" s="3">
        <v>0</v>
      </c>
      <c r="U226" s="3">
        <v>0.15980947684674096</v>
      </c>
      <c r="V226" s="3"/>
      <c r="W226" s="4"/>
    </row>
    <row r="227" spans="1:23" s="1" customFormat="1" ht="24.95" customHeight="1" x14ac:dyDescent="0.2">
      <c r="A227" s="8">
        <v>46050.720277777778</v>
      </c>
      <c r="B227" s="7">
        <v>46050.720277777778</v>
      </c>
      <c r="C227" s="9" t="s">
        <v>78</v>
      </c>
      <c r="D227" s="1" t="s">
        <v>388</v>
      </c>
      <c r="E227" s="1" t="s">
        <v>403</v>
      </c>
      <c r="F227" s="1" t="s">
        <v>425</v>
      </c>
      <c r="G227" s="1" t="s">
        <v>365</v>
      </c>
      <c r="H227" s="2">
        <v>-65</v>
      </c>
      <c r="I227" s="17">
        <v>194.88</v>
      </c>
      <c r="J227" s="1" t="s">
        <v>381</v>
      </c>
      <c r="K227" s="6">
        <f>Registro_Ordini[[#This Row],[Numero]]*Registro_Ordini[[#This Row],[Prezzo]]</f>
        <v>-12667.199999999999</v>
      </c>
      <c r="L227" s="10">
        <v>0.91874999999999996</v>
      </c>
      <c r="M227" s="6">
        <f>Registro_Ordini[[#This Row],[Importo]]*Registro_Ordini[[#This Row],[Cambio]]</f>
        <v>-11637.989999999998</v>
      </c>
      <c r="N227" s="1">
        <f ca="1">IFERROR(_xlfn.NUMBERVALUE(OFFSET(Origine,MATCH(Registro_Ordini[[#This Row],[Titolo]],Descrizioni,0),MATCH("Price",Intestazioni,0)-1,1,1)),"")</f>
        <v>174.92</v>
      </c>
      <c r="O227" s="18">
        <f ca="1">IF(OR(Registro_Ordini[[#This Row],[Price]]=0,Registro_Ordini[[#This Row],[Price]]=""),"",IF(Registro_Ordini[[#This Row],[Tipo]]="Sell",Registro_Ordini[[#This Row],[Prezzo]]/Registro_Ordini[[#This Row],[Price]]-1,Registro_Ordini[[#This Row],[Price]]/Registro_Ordini[[#This Row],[Prezzo]]-1))</f>
        <v>0.11410930711182266</v>
      </c>
      <c r="P227" s="15">
        <v>-1.8442071489318774E-2</v>
      </c>
      <c r="Q227" s="3">
        <v>0.19150090985804114</v>
      </c>
      <c r="R227" s="3">
        <v>0.12659128765114103</v>
      </c>
      <c r="S227" s="3">
        <v>0.55323738233611475</v>
      </c>
      <c r="T227" s="3">
        <v>0</v>
      </c>
      <c r="U227" s="3">
        <v>0.12867042015470304</v>
      </c>
      <c r="V227" s="3"/>
      <c r="W227" s="4"/>
    </row>
    <row r="228" spans="1:23" s="1" customFormat="1" ht="24.95" customHeight="1" x14ac:dyDescent="0.2">
      <c r="A228" s="8">
        <v>46050.71802083333</v>
      </c>
      <c r="B228" s="7">
        <v>46050.71802083333</v>
      </c>
      <c r="C228" s="9" t="s">
        <v>373</v>
      </c>
      <c r="D228" s="1" t="s">
        <v>388</v>
      </c>
      <c r="E228" s="1" t="s">
        <v>403</v>
      </c>
      <c r="F228" s="1" t="s">
        <v>425</v>
      </c>
      <c r="G228" s="1" t="s">
        <v>365</v>
      </c>
      <c r="H228" s="2">
        <v>-60</v>
      </c>
      <c r="I228" s="17">
        <v>195.12</v>
      </c>
      <c r="J228" s="1" t="s">
        <v>381</v>
      </c>
      <c r="K228" s="6">
        <f>Registro_Ordini[[#This Row],[Numero]]*Registro_Ordini[[#This Row],[Prezzo]]</f>
        <v>-11707.2</v>
      </c>
      <c r="L228" s="10">
        <v>0.91884999999999994</v>
      </c>
      <c r="M228" s="6">
        <f>Registro_Ordini[[#This Row],[Importo]]*Registro_Ordini[[#This Row],[Cambio]]</f>
        <v>-10757.16072</v>
      </c>
      <c r="N228" s="1">
        <f ca="1">IFERROR(_xlfn.NUMBERVALUE(OFFSET(Origine,MATCH(Registro_Ordini[[#This Row],[Titolo]],Descrizioni,0),MATCH("Price",Intestazioni,0)-1,1,1)),"")</f>
        <v>174.92</v>
      </c>
      <c r="O228" s="18">
        <f ca="1">IF(OR(Registro_Ordini[[#This Row],[Price]]=0,Registro_Ordini[[#This Row],[Price]]=""),"",IF(Registro_Ordini[[#This Row],[Tipo]]="Sell",Registro_Ordini[[#This Row],[Prezzo]]/Registro_Ordini[[#This Row],[Price]]-1,Registro_Ordini[[#This Row],[Price]]/Registro_Ordini[[#This Row],[Prezzo]]-1))</f>
        <v>0.11548136290875832</v>
      </c>
      <c r="P228" s="15">
        <v>-2.5010933091267711E-2</v>
      </c>
      <c r="Q228" s="3">
        <v>0.24043417141449455</v>
      </c>
      <c r="R228" s="3">
        <v>0.34812324574655401</v>
      </c>
      <c r="S228" s="3">
        <v>0.22863194222452304</v>
      </c>
      <c r="T228" s="3">
        <v>0</v>
      </c>
      <c r="U228" s="3">
        <v>0.18281064061442831</v>
      </c>
      <c r="V228" s="3"/>
      <c r="W228" s="4"/>
    </row>
    <row r="229" spans="1:23" s="1" customFormat="1" ht="24.95" customHeight="1" x14ac:dyDescent="0.2">
      <c r="A229" s="8">
        <v>46050.718009259261</v>
      </c>
      <c r="B229" s="7">
        <v>46050.718009259261</v>
      </c>
      <c r="C229" s="9" t="s">
        <v>367</v>
      </c>
      <c r="D229" s="1" t="s">
        <v>388</v>
      </c>
      <c r="E229" s="1" t="s">
        <v>403</v>
      </c>
      <c r="F229" s="1" t="s">
        <v>425</v>
      </c>
      <c r="G229" s="1" t="s">
        <v>365</v>
      </c>
      <c r="H229" s="2">
        <v>-220</v>
      </c>
      <c r="I229" s="17">
        <v>195.05</v>
      </c>
      <c r="J229" s="1" t="s">
        <v>381</v>
      </c>
      <c r="K229" s="6">
        <f>Registro_Ordini[[#This Row],[Numero]]*Registro_Ordini[[#This Row],[Prezzo]]</f>
        <v>-42911</v>
      </c>
      <c r="L229" s="10">
        <v>0.91884999999999994</v>
      </c>
      <c r="M229" s="6">
        <f>Registro_Ordini[[#This Row],[Importo]]*Registro_Ordini[[#This Row],[Cambio]]</f>
        <v>-39428.772349999999</v>
      </c>
      <c r="N229" s="1">
        <f ca="1">IFERROR(_xlfn.NUMBERVALUE(OFFSET(Origine,MATCH(Registro_Ordini[[#This Row],[Titolo]],Descrizioni,0),MATCH("Price",Intestazioni,0)-1,1,1)),"")</f>
        <v>174.92</v>
      </c>
      <c r="O229" s="18">
        <f ca="1">IF(OR(Registro_Ordini[[#This Row],[Price]]=0,Registro_Ordini[[#This Row],[Price]]=""),"",IF(Registro_Ordini[[#This Row],[Tipo]]="Sell",Registro_Ordini[[#This Row],[Prezzo]]/Registro_Ordini[[#This Row],[Price]]-1,Registro_Ordini[[#This Row],[Price]]/Registro_Ordini[[#This Row],[Prezzo]]-1))</f>
        <v>0.11508117996798561</v>
      </c>
      <c r="P229" s="15">
        <v>-1.0986495936904858E-2</v>
      </c>
      <c r="Q229" s="3">
        <v>0.16761434606090919</v>
      </c>
      <c r="R229" s="3">
        <v>0.3629095883976991</v>
      </c>
      <c r="S229" s="3">
        <v>0.36582114346417716</v>
      </c>
      <c r="T229" s="3">
        <v>0</v>
      </c>
      <c r="U229" s="3">
        <v>0.10365492207721466</v>
      </c>
      <c r="V229" s="3"/>
      <c r="W229" s="4"/>
    </row>
    <row r="230" spans="1:23" s="1" customFormat="1" ht="24.95" customHeight="1" x14ac:dyDescent="0.2">
      <c r="A230" s="8">
        <v>46050.717997685184</v>
      </c>
      <c r="B230" s="7">
        <v>46050.717997685184</v>
      </c>
      <c r="C230" s="9" t="s">
        <v>376</v>
      </c>
      <c r="D230" s="1" t="s">
        <v>388</v>
      </c>
      <c r="E230" s="1" t="s">
        <v>403</v>
      </c>
      <c r="F230" s="1" t="s">
        <v>425</v>
      </c>
      <c r="G230" s="1" t="s">
        <v>365</v>
      </c>
      <c r="H230" s="2">
        <v>-30</v>
      </c>
      <c r="I230" s="17">
        <v>194.88</v>
      </c>
      <c r="J230" s="1" t="s">
        <v>381</v>
      </c>
      <c r="K230" s="6">
        <f>Registro_Ordini[[#This Row],[Numero]]*Registro_Ordini[[#This Row],[Prezzo]]</f>
        <v>-5846.4</v>
      </c>
      <c r="L230" s="10">
        <v>0.91884999999999994</v>
      </c>
      <c r="M230" s="6">
        <f>Registro_Ordini[[#This Row],[Importo]]*Registro_Ordini[[#This Row],[Cambio]]</f>
        <v>-5371.9646399999992</v>
      </c>
      <c r="N230" s="1">
        <f ca="1">IFERROR(_xlfn.NUMBERVALUE(OFFSET(Origine,MATCH(Registro_Ordini[[#This Row],[Titolo]],Descrizioni,0),MATCH("Price",Intestazioni,0)-1,1,1)),"")</f>
        <v>174.92</v>
      </c>
      <c r="O230" s="18">
        <f ca="1">IF(OR(Registro_Ordini[[#This Row],[Price]]=0,Registro_Ordini[[#This Row],[Price]]=""),"",IF(Registro_Ordini[[#This Row],[Tipo]]="Sell",Registro_Ordini[[#This Row],[Prezzo]]/Registro_Ordini[[#This Row],[Price]]-1,Registro_Ordini[[#This Row],[Price]]/Registro_Ordini[[#This Row],[Prezzo]]-1))</f>
        <v>0.11410930711182266</v>
      </c>
      <c r="P230" s="15">
        <v>-1.8869414051306193E-2</v>
      </c>
      <c r="Q230" s="3">
        <v>8.963223889566159E-2</v>
      </c>
      <c r="R230" s="3">
        <v>0.26329113623033429</v>
      </c>
      <c r="S230" s="3">
        <v>0.45139254613840746</v>
      </c>
      <c r="T230" s="3">
        <v>0</v>
      </c>
      <c r="U230" s="3">
        <v>0.19568407873559654</v>
      </c>
      <c r="V230" s="3"/>
      <c r="W230" s="4"/>
    </row>
    <row r="231" spans="1:23" s="1" customFormat="1" ht="24.95" customHeight="1" x14ac:dyDescent="0.2">
      <c r="A231" s="8">
        <v>46050.717986111114</v>
      </c>
      <c r="B231" s="7">
        <v>46050.717986111114</v>
      </c>
      <c r="C231" s="9" t="s">
        <v>377</v>
      </c>
      <c r="D231" s="1" t="s">
        <v>388</v>
      </c>
      <c r="E231" s="1" t="s">
        <v>403</v>
      </c>
      <c r="F231" s="1" t="s">
        <v>425</v>
      </c>
      <c r="G231" s="1" t="s">
        <v>365</v>
      </c>
      <c r="H231" s="2">
        <v>-100</v>
      </c>
      <c r="I231" s="17">
        <v>194.88</v>
      </c>
      <c r="J231" s="1" t="s">
        <v>381</v>
      </c>
      <c r="K231" s="6">
        <f>Registro_Ordini[[#This Row],[Numero]]*Registro_Ordini[[#This Row],[Prezzo]]</f>
        <v>-19488</v>
      </c>
      <c r="L231" s="10">
        <v>0.91884999999999994</v>
      </c>
      <c r="M231" s="6">
        <f>Registro_Ordini[[#This Row],[Importo]]*Registro_Ordini[[#This Row],[Cambio]]</f>
        <v>-17906.5488</v>
      </c>
      <c r="N231" s="1">
        <f ca="1">IFERROR(_xlfn.NUMBERVALUE(OFFSET(Origine,MATCH(Registro_Ordini[[#This Row],[Titolo]],Descrizioni,0),MATCH("Price",Intestazioni,0)-1,1,1)),"")</f>
        <v>174.92</v>
      </c>
      <c r="O231" s="18">
        <f ca="1">IF(OR(Registro_Ordini[[#This Row],[Price]]=0,Registro_Ordini[[#This Row],[Price]]=""),"",IF(Registro_Ordini[[#This Row],[Tipo]]="Sell",Registro_Ordini[[#This Row],[Prezzo]]/Registro_Ordini[[#This Row],[Price]]-1,Registro_Ordini[[#This Row],[Price]]/Registro_Ordini[[#This Row],[Prezzo]]-1))</f>
        <v>0.11410930711182266</v>
      </c>
      <c r="P231" s="15">
        <v>-1.0377177090005463E-2</v>
      </c>
      <c r="Q231" s="3">
        <v>0.12763058228222118</v>
      </c>
      <c r="R231" s="3">
        <v>0.29691821484137454</v>
      </c>
      <c r="S231" s="3">
        <v>0.42409252834437033</v>
      </c>
      <c r="T231" s="3">
        <v>0</v>
      </c>
      <c r="U231" s="3">
        <v>0.15135867453203392</v>
      </c>
      <c r="V231" s="3"/>
      <c r="W231" s="4"/>
    </row>
    <row r="232" spans="1:23" s="1" customFormat="1" ht="24.95" customHeight="1" x14ac:dyDescent="0.2">
      <c r="A232" s="8">
        <v>46050.717974537038</v>
      </c>
      <c r="B232" s="7">
        <v>46050.717974537038</v>
      </c>
      <c r="C232" s="9" t="s">
        <v>378</v>
      </c>
      <c r="D232" s="1" t="s">
        <v>388</v>
      </c>
      <c r="E232" s="1" t="s">
        <v>403</v>
      </c>
      <c r="F232" s="1" t="s">
        <v>425</v>
      </c>
      <c r="G232" s="1" t="s">
        <v>365</v>
      </c>
      <c r="H232" s="2">
        <v>-30</v>
      </c>
      <c r="I232" s="17">
        <v>194.88</v>
      </c>
      <c r="J232" s="1" t="s">
        <v>381</v>
      </c>
      <c r="K232" s="6">
        <f>Registro_Ordini[[#This Row],[Numero]]*Registro_Ordini[[#This Row],[Prezzo]]</f>
        <v>-5846.4</v>
      </c>
      <c r="L232" s="10">
        <v>0.91884999999999994</v>
      </c>
      <c r="M232" s="6">
        <f>Registro_Ordini[[#This Row],[Importo]]*Registro_Ordini[[#This Row],[Cambio]]</f>
        <v>-5371.9646399999992</v>
      </c>
      <c r="N232" s="1">
        <f ca="1">IFERROR(_xlfn.NUMBERVALUE(OFFSET(Origine,MATCH(Registro_Ordini[[#This Row],[Titolo]],Descrizioni,0),MATCH("Price",Intestazioni,0)-1,1,1)),"")</f>
        <v>174.92</v>
      </c>
      <c r="O232" s="18">
        <f ca="1">IF(OR(Registro_Ordini[[#This Row],[Price]]=0,Registro_Ordini[[#This Row],[Price]]=""),"",IF(Registro_Ordini[[#This Row],[Tipo]]="Sell",Registro_Ordini[[#This Row],[Prezzo]]/Registro_Ordini[[#This Row],[Price]]-1,Registro_Ordini[[#This Row],[Price]]/Registro_Ordini[[#This Row],[Prezzo]]-1))</f>
        <v>0.11410930711182266</v>
      </c>
      <c r="P232" s="15">
        <v>-9.5626747579962267E-3</v>
      </c>
      <c r="Q232" s="3">
        <v>0.13617819024711356</v>
      </c>
      <c r="R232" s="3">
        <v>0.2858277787849457</v>
      </c>
      <c r="S232" s="3">
        <v>0.43238445072536391</v>
      </c>
      <c r="T232" s="3">
        <v>0</v>
      </c>
      <c r="U232" s="3">
        <v>0.14560958024257684</v>
      </c>
      <c r="V232" s="3"/>
      <c r="W232" s="4"/>
    </row>
    <row r="233" spans="1:23" s="1" customFormat="1" ht="24.95" customHeight="1" x14ac:dyDescent="0.2">
      <c r="A233" s="8">
        <v>46050.658576388887</v>
      </c>
      <c r="B233" s="7">
        <v>46050.658576388887</v>
      </c>
      <c r="C233" s="9" t="s">
        <v>373</v>
      </c>
      <c r="D233" s="1" t="s">
        <v>362</v>
      </c>
      <c r="E233" s="1" t="s">
        <v>363</v>
      </c>
      <c r="F233" s="1" t="s">
        <v>364</v>
      </c>
      <c r="G233" s="1" t="s">
        <v>371</v>
      </c>
      <c r="H233" s="2">
        <v>20000</v>
      </c>
      <c r="I233" s="17">
        <v>1</v>
      </c>
      <c r="J233" s="1" t="s">
        <v>366</v>
      </c>
      <c r="K233" s="6">
        <f>Registro_Ordini[[#This Row],[Numero]]*Registro_Ordini[[#This Row],[Prezzo]]</f>
        <v>20000</v>
      </c>
      <c r="L233" s="10">
        <v>0.76654999999999995</v>
      </c>
      <c r="M233" s="6">
        <f>Registro_Ordini[[#This Row],[Importo]]*Registro_Ordini[[#This Row],[Cambio]]</f>
        <v>15330.999999999998</v>
      </c>
      <c r="N233" s="1">
        <f ca="1">IFERROR(_xlfn.NUMBERVALUE(OFFSET(Origine,MATCH(Registro_Ordini[[#This Row],[Titolo]],Descrizioni,0),MATCH("Price",Intestazioni,0)-1,1,1)),"")</f>
        <v>0.78225</v>
      </c>
      <c r="O233" s="18">
        <f ca="1">IF(OR(Registro_Ordini[[#This Row],[Price]]=0,Registro_Ordini[[#This Row],[Price]]=""),"",IF(Registro_Ordini[[#This Row],[Tipo]]="Sell",Registro_Ordini[[#This Row],[Prezzo]]/Registro_Ordini[[#This Row],[Price]]-1,Registro_Ordini[[#This Row],[Price]]/Registro_Ordini[[#This Row],[Prezzo]]-1))</f>
        <v>-0.21775</v>
      </c>
      <c r="P233" s="15">
        <v>2.2419234346503513E-2</v>
      </c>
      <c r="Q233" s="3">
        <v>0.50796418834079526</v>
      </c>
      <c r="R233" s="3">
        <v>0.21870571090934177</v>
      </c>
      <c r="S233" s="3">
        <v>0.15907769641378983</v>
      </c>
      <c r="T233" s="3">
        <v>0</v>
      </c>
      <c r="U233" s="3">
        <v>0.11425240433607325</v>
      </c>
      <c r="V233" s="3"/>
      <c r="W233" s="4"/>
    </row>
    <row r="234" spans="1:23" s="1" customFormat="1" ht="24.95" customHeight="1" x14ac:dyDescent="0.2">
      <c r="A234" s="8">
        <v>46050.658078703702</v>
      </c>
      <c r="B234" s="7">
        <v>46050.658090277779</v>
      </c>
      <c r="C234" s="9" t="s">
        <v>373</v>
      </c>
      <c r="D234" s="1" t="s">
        <v>362</v>
      </c>
      <c r="E234" s="1" t="s">
        <v>363</v>
      </c>
      <c r="F234" s="1" t="s">
        <v>391</v>
      </c>
      <c r="G234" s="1" t="s">
        <v>365</v>
      </c>
      <c r="H234" s="2">
        <v>-15330.999999999998</v>
      </c>
      <c r="I234" s="17">
        <v>1</v>
      </c>
      <c r="J234" s="1" t="s">
        <v>369</v>
      </c>
      <c r="K234" s="6">
        <f>Registro_Ordini[[#This Row],[Numero]]*Registro_Ordini[[#This Row],[Prezzo]]</f>
        <v>-15330.999999999998</v>
      </c>
      <c r="L234" s="10">
        <v>1.00000014</v>
      </c>
      <c r="M234" s="6">
        <f>Registro_Ordini[[#This Row],[Importo]]*Registro_Ordini[[#This Row],[Cambio]]</f>
        <v>-15331.002146339999</v>
      </c>
      <c r="N234" s="1">
        <f ca="1">IFERROR(_xlfn.NUMBERVALUE(OFFSET(Origine,MATCH(Registro_Ordini[[#This Row],[Titolo]],Descrizioni,0),MATCH("Price",Intestazioni,0)-1,1,1)),"")</f>
        <v>1.0000001300000001</v>
      </c>
      <c r="O234" s="18">
        <f ca="1">IF(OR(Registro_Ordini[[#This Row],[Price]]=0,Registro_Ordini[[#This Row],[Price]]=""),"",IF(Registro_Ordini[[#This Row],[Tipo]]="Sell",Registro_Ordini[[#This Row],[Prezzo]]/Registro_Ordini[[#This Row],[Price]]-1,Registro_Ordini[[#This Row],[Price]]/Registro_Ordini[[#This Row],[Prezzo]]-1))</f>
        <v>-1.2999998322271722E-7</v>
      </c>
      <c r="P234" s="15">
        <v>-2.2419237414829225E-2</v>
      </c>
      <c r="Q234" s="3">
        <v>0.50796418988514447</v>
      </c>
      <c r="R234" s="3">
        <v>0.21870571022289173</v>
      </c>
      <c r="S234" s="3">
        <v>0.15907769591449381</v>
      </c>
      <c r="T234" s="3">
        <v>0</v>
      </c>
      <c r="U234" s="3">
        <v>0.11425240397747007</v>
      </c>
      <c r="V234" s="3"/>
      <c r="W234" s="4"/>
    </row>
    <row r="235" spans="1:23" s="1" customFormat="1" ht="24.95" customHeight="1" x14ac:dyDescent="0.2">
      <c r="A235" s="8">
        <v>46050.65792824074</v>
      </c>
      <c r="B235" s="7">
        <v>46050.65792824074</v>
      </c>
      <c r="C235" s="9" t="s">
        <v>373</v>
      </c>
      <c r="D235" s="1" t="s">
        <v>362</v>
      </c>
      <c r="E235" s="1" t="s">
        <v>363</v>
      </c>
      <c r="F235" s="1" t="s">
        <v>427</v>
      </c>
      <c r="G235" s="1" t="s">
        <v>371</v>
      </c>
      <c r="H235" s="2">
        <v>30000</v>
      </c>
      <c r="I235" s="17">
        <v>1</v>
      </c>
      <c r="J235" s="1" t="s">
        <v>381</v>
      </c>
      <c r="K235" s="6">
        <f>Registro_Ordini[[#This Row],[Numero]]*Registro_Ordini[[#This Row],[Prezzo]]</f>
        <v>30000</v>
      </c>
      <c r="L235" s="10">
        <v>0.91835</v>
      </c>
      <c r="M235" s="6">
        <f>Registro_Ordini[[#This Row],[Importo]]*Registro_Ordini[[#This Row],[Cambio]]</f>
        <v>27550.5</v>
      </c>
      <c r="N235" s="1">
        <f ca="1">IFERROR(_xlfn.NUMBERVALUE(OFFSET(Origine,MATCH(Registro_Ordini[[#This Row],[Titolo]],Descrizioni,0),MATCH("Price",Intestazioni,0)-1,1,1)),"")</f>
        <v>1</v>
      </c>
      <c r="O235" s="18">
        <f ca="1">IF(OR(Registro_Ordini[[#This Row],[Price]]=0,Registro_Ordini[[#This Row],[Price]]=""),"",IF(Registro_Ordini[[#This Row],[Tipo]]="Sell",Registro_Ordini[[#This Row],[Prezzo]]/Registro_Ordini[[#This Row],[Price]]-1,Registro_Ordini[[#This Row],[Price]]/Registro_Ordini[[#This Row],[Prezzo]]-1))</f>
        <v>0</v>
      </c>
      <c r="P235" s="15">
        <v>3.9398955782444109E-2</v>
      </c>
      <c r="Q235" s="3">
        <v>0.5187505435315547</v>
      </c>
      <c r="R235" s="3">
        <v>0.21387747937363821</v>
      </c>
      <c r="S235" s="3">
        <v>0.15561628006026171</v>
      </c>
      <c r="T235" s="3">
        <v>0</v>
      </c>
      <c r="U235" s="3">
        <v>0.1117556970345454</v>
      </c>
      <c r="V235" s="3"/>
      <c r="W235" s="4"/>
    </row>
    <row r="236" spans="1:23" s="1" customFormat="1" ht="24.95" customHeight="1" x14ac:dyDescent="0.2">
      <c r="A236" s="8">
        <v>46050.648726851854</v>
      </c>
      <c r="B236" s="7">
        <v>46050.648726851854</v>
      </c>
      <c r="C236" s="9" t="s">
        <v>373</v>
      </c>
      <c r="D236" s="1" t="s">
        <v>362</v>
      </c>
      <c r="E236" s="1" t="s">
        <v>363</v>
      </c>
      <c r="F236" s="1" t="s">
        <v>427</v>
      </c>
      <c r="G236" s="1" t="s">
        <v>371</v>
      </c>
      <c r="H236" s="2">
        <v>30000</v>
      </c>
      <c r="I236" s="17">
        <v>1</v>
      </c>
      <c r="J236" s="1" t="s">
        <v>381</v>
      </c>
      <c r="K236" s="6">
        <f>Registro_Ordini[[#This Row],[Numero]]*Registro_Ordini[[#This Row],[Prezzo]]</f>
        <v>30000</v>
      </c>
      <c r="L236" s="10">
        <v>0.91900000000000004</v>
      </c>
      <c r="M236" s="6">
        <f>Registro_Ordini[[#This Row],[Importo]]*Registro_Ordini[[#This Row],[Cambio]]</f>
        <v>27570</v>
      </c>
      <c r="N236" s="1">
        <f ca="1">IFERROR(_xlfn.NUMBERVALUE(OFFSET(Origine,MATCH(Registro_Ordini[[#This Row],[Titolo]],Descrizioni,0),MATCH("Price",Intestazioni,0)-1,1,1)),"")</f>
        <v>1</v>
      </c>
      <c r="O236" s="18">
        <f ca="1">IF(OR(Registro_Ordini[[#This Row],[Price]]=0,Registro_Ordini[[#This Row],[Price]]=""),"",IF(Registro_Ordini[[#This Row],[Tipo]]="Sell",Registro_Ordini[[#This Row],[Prezzo]]/Registro_Ordini[[#This Row],[Price]]-1,Registro_Ordini[[#This Row],[Price]]/Registro_Ordini[[#This Row],[Prezzo]]-1))</f>
        <v>0</v>
      </c>
      <c r="P236" s="15">
        <v>3.7812886881509002E-2</v>
      </c>
      <c r="Q236" s="3">
        <v>0.53871829256633985</v>
      </c>
      <c r="R236" s="3">
        <v>0.20531043822067752</v>
      </c>
      <c r="S236" s="3">
        <v>0.14926087497854151</v>
      </c>
      <c r="T236" s="3">
        <v>0</v>
      </c>
      <c r="U236" s="3">
        <v>0.10671039423444124</v>
      </c>
      <c r="V236" s="3"/>
      <c r="W236" s="4"/>
    </row>
    <row r="237" spans="1:23" s="1" customFormat="1" ht="24.95" customHeight="1" x14ac:dyDescent="0.2">
      <c r="A237" s="738">
        <v>46029.710347222222</v>
      </c>
      <c r="B237" s="739">
        <v>46029.710358796299</v>
      </c>
      <c r="C237" s="611" t="s">
        <v>413</v>
      </c>
      <c r="D237" s="142" t="s">
        <v>393</v>
      </c>
      <c r="E237" s="142" t="s">
        <v>901</v>
      </c>
      <c r="F237" s="142" t="s">
        <v>797</v>
      </c>
      <c r="G237" s="142" t="s">
        <v>365</v>
      </c>
      <c r="H237" s="740">
        <v>-175</v>
      </c>
      <c r="I237" s="741">
        <v>525.875</v>
      </c>
      <c r="J237" s="142" t="s">
        <v>369</v>
      </c>
      <c r="K237" s="617">
        <f>Registro_Ordini[[#This Row],[Numero]]*Registro_Ordini[[#This Row],[Prezzo]]</f>
        <v>-92028.125</v>
      </c>
      <c r="L237" s="742">
        <v>1.0000001300000001</v>
      </c>
      <c r="M237" s="617">
        <f>Registro_Ordini[[#This Row],[Importo]]*Registro_Ordini[[#This Row],[Cambio]]</f>
        <v>-92028.136963656259</v>
      </c>
      <c r="N237" s="142">
        <f ca="1">IFERROR(_xlfn.NUMBERVALUE(OFFSET(Origine,MATCH(Registro_Ordini[[#This Row],[Titolo]],Descrizioni,0),MATCH("Price",Intestazioni,0)-1,1,1)),"")</f>
        <v>471.75</v>
      </c>
      <c r="O237" s="734">
        <f ca="1">IF(OR(Registro_Ordini[[#This Row],[Price]]=0,Registro_Ordini[[#This Row],[Price]]=""),"",IF(Registro_Ordini[[#This Row],[Tipo]]="Sell",Registro_Ordini[[#This Row],[Prezzo]]/Registro_Ordini[[#This Row],[Price]]-1,Registro_Ordini[[#This Row],[Price]]/Registro_Ordini[[#This Row],[Prezzo]]-1))</f>
        <v>0.11473237943826176</v>
      </c>
      <c r="P237" s="743">
        <v>-1.6455302983902832E-2</v>
      </c>
      <c r="Q237" s="744">
        <v>0.1294061572855007</v>
      </c>
      <c r="R237" s="744">
        <v>0.15405349324073003</v>
      </c>
      <c r="S237" s="744">
        <v>0.29814423688945541</v>
      </c>
      <c r="T237" s="744">
        <v>0</v>
      </c>
      <c r="U237" s="744">
        <v>0.41839611258431386</v>
      </c>
      <c r="V237" s="744">
        <v>0</v>
      </c>
      <c r="W237" s="745"/>
    </row>
    <row r="238" spans="1:23" s="1" customFormat="1" ht="24.95" customHeight="1" x14ac:dyDescent="0.2">
      <c r="A238" s="738">
        <v>46029.709907407407</v>
      </c>
      <c r="B238" s="739">
        <v>46029.709907407407</v>
      </c>
      <c r="C238" s="611" t="s">
        <v>413</v>
      </c>
      <c r="D238" s="142" t="s">
        <v>393</v>
      </c>
      <c r="E238" s="142" t="s">
        <v>542</v>
      </c>
      <c r="F238" s="142" t="s">
        <v>543</v>
      </c>
      <c r="G238" s="142" t="s">
        <v>371</v>
      </c>
      <c r="H238" s="740">
        <v>3500</v>
      </c>
      <c r="I238" s="741">
        <v>18.405000000000001</v>
      </c>
      <c r="J238" s="142" t="s">
        <v>366</v>
      </c>
      <c r="K238" s="617">
        <f>Registro_Ordini[[#This Row],[Numero]]*Registro_Ordini[[#This Row],[Prezzo]]</f>
        <v>64417.500000000007</v>
      </c>
      <c r="L238" s="742">
        <v>0.79635</v>
      </c>
      <c r="M238" s="617">
        <f>Registro_Ordini[[#This Row],[Importo]]*Registro_Ordini[[#This Row],[Cambio]]</f>
        <v>51298.876125000003</v>
      </c>
      <c r="N238" s="142">
        <f ca="1">IFERROR(_xlfn.NUMBERVALUE(OFFSET(Origine,MATCH(Registro_Ordini[[#This Row],[Titolo]],Descrizioni,0),MATCH("Price",Intestazioni,0)-1,1,1)),"")</f>
        <v>18.46</v>
      </c>
      <c r="O238" s="734">
        <f ca="1">IF(OR(Registro_Ordini[[#This Row],[Price]]=0,Registro_Ordini[[#This Row],[Price]]=""),"",IF(Registro_Ordini[[#This Row],[Tipo]]="Sell",Registro_Ordini[[#This Row],[Prezzo]]/Registro_Ordini[[#This Row],[Price]]-1,Registro_Ordini[[#This Row],[Price]]/Registro_Ordini[[#This Row],[Prezzo]]-1))</f>
        <v>2.9883183917414069E-3</v>
      </c>
      <c r="P238" s="743">
        <v>9.1714538838605E-3</v>
      </c>
      <c r="Q238" s="744">
        <v>0.11293587892502804</v>
      </c>
      <c r="R238" s="744">
        <v>0.15403630307092847</v>
      </c>
      <c r="S238" s="744">
        <v>0.29812578116761507</v>
      </c>
      <c r="T238" s="744">
        <v>0</v>
      </c>
      <c r="U238" s="744">
        <v>0.43490203683642842</v>
      </c>
      <c r="V238" s="744">
        <v>0</v>
      </c>
      <c r="W238" s="745"/>
    </row>
    <row r="239" spans="1:23" s="1" customFormat="1" ht="24.95" customHeight="1" x14ac:dyDescent="0.2">
      <c r="A239" s="738">
        <v>46029.709641203706</v>
      </c>
      <c r="B239" s="739">
        <v>46029.709641203706</v>
      </c>
      <c r="C239" s="611" t="s">
        <v>413</v>
      </c>
      <c r="D239" s="142" t="s">
        <v>393</v>
      </c>
      <c r="E239" s="142" t="s">
        <v>542</v>
      </c>
      <c r="F239" s="142" t="s">
        <v>4402</v>
      </c>
      <c r="G239" s="142" t="s">
        <v>371</v>
      </c>
      <c r="H239" s="740">
        <v>1250</v>
      </c>
      <c r="I239" s="741">
        <v>51.29</v>
      </c>
      <c r="J239" s="142" t="s">
        <v>366</v>
      </c>
      <c r="K239" s="617">
        <f>Registro_Ordini[[#This Row],[Numero]]*Registro_Ordini[[#This Row],[Prezzo]]</f>
        <v>64112.5</v>
      </c>
      <c r="L239" s="742">
        <v>0.79635</v>
      </c>
      <c r="M239" s="617">
        <f>Registro_Ordini[[#This Row],[Importo]]*Registro_Ordini[[#This Row],[Cambio]]</f>
        <v>51055.989374999997</v>
      </c>
      <c r="N239" s="142">
        <f ca="1">IFERROR(_xlfn.NUMBERVALUE(OFFSET(Origine,MATCH(Registro_Ordini[[#This Row],[Titolo]],Descrizioni,0),MATCH("Price",Intestazioni,0)-1,1,1)),"")</f>
        <v>50.81</v>
      </c>
      <c r="O239" s="734">
        <f ca="1">IF(OR(Registro_Ordini[[#This Row],[Price]]=0,Registro_Ordini[[#This Row],[Price]]=""),"",IF(Registro_Ordini[[#This Row],[Tipo]]="Sell",Registro_Ordini[[#This Row],[Prezzo]]/Registro_Ordini[[#This Row],[Price]]-1,Registro_Ordini[[#This Row],[Price]]/Registro_Ordini[[#This Row],[Prezzo]]-1))</f>
        <v>-9.3585494248390466E-3</v>
      </c>
      <c r="P239" s="743">
        <v>9.1282568870531319E-3</v>
      </c>
      <c r="Q239" s="744">
        <v>0.12211037526929473</v>
      </c>
      <c r="R239" s="744">
        <v>0.1540401410824748</v>
      </c>
      <c r="S239" s="744">
        <v>0.29813320935283871</v>
      </c>
      <c r="T239" s="744">
        <v>0</v>
      </c>
      <c r="U239" s="744">
        <v>0.42571627429539172</v>
      </c>
      <c r="V239" s="744">
        <v>0</v>
      </c>
      <c r="W239" s="745"/>
    </row>
    <row r="240" spans="1:23" s="1" customFormat="1" ht="24.95" customHeight="1" x14ac:dyDescent="0.2">
      <c r="A240" s="738">
        <v>46029.709155092591</v>
      </c>
      <c r="B240" s="739">
        <v>46029.709155092591</v>
      </c>
      <c r="C240" s="611" t="s">
        <v>413</v>
      </c>
      <c r="D240" s="142" t="s">
        <v>393</v>
      </c>
      <c r="E240" s="142" t="s">
        <v>514</v>
      </c>
      <c r="F240" s="142" t="s">
        <v>515</v>
      </c>
      <c r="G240" s="142" t="s">
        <v>365</v>
      </c>
      <c r="H240" s="740">
        <v>-22000</v>
      </c>
      <c r="I240" s="741">
        <v>5.9966340000000002</v>
      </c>
      <c r="J240" s="142" t="s">
        <v>366</v>
      </c>
      <c r="K240" s="617">
        <f>Registro_Ordini[[#This Row],[Numero]]*Registro_Ordini[[#This Row],[Prezzo]]</f>
        <v>-131925.948</v>
      </c>
      <c r="L240" s="742">
        <v>0.79635</v>
      </c>
      <c r="M240" s="617">
        <f>Registro_Ordini[[#This Row],[Importo]]*Registro_Ordini[[#This Row],[Cambio]]</f>
        <v>-105059.2286898</v>
      </c>
      <c r="N240" s="142">
        <f ca="1">IFERROR(_xlfn.NUMBERVALUE(OFFSET(Origine,MATCH(Registro_Ordini[[#This Row],[Titolo]],Descrizioni,0),MATCH("Price",Intestazioni,0)-1,1,1)),"")</f>
        <v>5.9637500000000001</v>
      </c>
      <c r="O240" s="734">
        <f ca="1">IF(OR(Registro_Ordini[[#This Row],[Price]]=0,Registro_Ordini[[#This Row],[Price]]=""),"",IF(Registro_Ordini[[#This Row],[Tipo]]="Sell",Registro_Ordini[[#This Row],[Prezzo]]/Registro_Ordini[[#This Row],[Price]]-1,Registro_Ordini[[#This Row],[Price]]/Registro_Ordini[[#This Row],[Prezzo]]-1))</f>
        <v>5.5139802976316155E-3</v>
      </c>
      <c r="P240" s="743">
        <v>-1.8783450082464629E-2</v>
      </c>
      <c r="Q240" s="744">
        <v>0.13123863215634787</v>
      </c>
      <c r="R240" s="744">
        <v>0.1540401410824748</v>
      </c>
      <c r="S240" s="744">
        <v>0.29813320935283871</v>
      </c>
      <c r="T240" s="744">
        <v>0</v>
      </c>
      <c r="U240" s="744">
        <v>0.41658801740833862</v>
      </c>
      <c r="V240" s="744">
        <v>0</v>
      </c>
      <c r="W240" s="745"/>
    </row>
    <row r="241" spans="1:23" s="1" customFormat="1" ht="24.95" customHeight="1" x14ac:dyDescent="0.2">
      <c r="A241" s="8">
        <v>46001.443912037037</v>
      </c>
      <c r="B241" s="7">
        <v>46001.443912037037</v>
      </c>
      <c r="C241" s="9" t="s">
        <v>18</v>
      </c>
      <c r="D241" s="1" t="s">
        <v>362</v>
      </c>
      <c r="E241" s="1" t="s">
        <v>363</v>
      </c>
      <c r="F241" s="1" t="s">
        <v>364</v>
      </c>
      <c r="G241" s="1" t="s">
        <v>365</v>
      </c>
      <c r="H241" s="2">
        <v>-170000</v>
      </c>
      <c r="I241" s="16">
        <v>1</v>
      </c>
      <c r="J241" s="1" t="s">
        <v>366</v>
      </c>
      <c r="K241" s="6">
        <f>Registro_Ordini[[#This Row],[Numero]]*Registro_Ordini[[#This Row],[Prezzo]]</f>
        <v>-170000</v>
      </c>
      <c r="L241" s="10">
        <v>0.80310000000000004</v>
      </c>
      <c r="M241" s="6">
        <f>Registro_Ordini[[#This Row],[Importo]]*Registro_Ordini[[#This Row],[Cambio]]</f>
        <v>-136527</v>
      </c>
      <c r="N241" s="1">
        <f ca="1">IFERROR(_xlfn.NUMBERVALUE(OFFSET(Origine,MATCH(Registro_Ordini[[#This Row],[Titolo]],Descrizioni,0),MATCH("Price",Intestazioni,0)-1,1,1)),"")</f>
        <v>0.78225</v>
      </c>
      <c r="O241" s="18">
        <f ca="1">IF(OR(Registro_Ordini[[#This Row],[Price]]=0,Registro_Ordini[[#This Row],[Price]]=""),"",IF(Registro_Ordini[[#This Row],[Tipo]]="Sell",Registro_Ordini[[#This Row],[Prezzo]]/Registro_Ordini[[#This Row],[Price]]-1,Registro_Ordini[[#This Row],[Price]]/Registro_Ordini[[#This Row],[Prezzo]]-1))</f>
        <v>0.27836369447107701</v>
      </c>
      <c r="P241" s="15">
        <v>-3.1156514911958078E-2</v>
      </c>
      <c r="Q241" s="3">
        <v>0.5750620118339147</v>
      </c>
      <c r="R241" s="3">
        <v>0.18147790745146172</v>
      </c>
      <c r="S241" s="3">
        <v>6.5694782152501907E-2</v>
      </c>
      <c r="T241" s="3"/>
      <c r="U241" s="3">
        <v>0.17776529856212184</v>
      </c>
      <c r="V241" s="3"/>
      <c r="W241" s="4"/>
    </row>
    <row r="242" spans="1:23" s="1" customFormat="1" ht="24.95" customHeight="1" x14ac:dyDescent="0.2">
      <c r="A242" s="8">
        <v>46001.443113425928</v>
      </c>
      <c r="B242" s="7">
        <v>46001.443113425928</v>
      </c>
      <c r="C242" s="9" t="s">
        <v>18</v>
      </c>
      <c r="D242" s="1" t="s">
        <v>362</v>
      </c>
      <c r="E242" s="1" t="s">
        <v>363</v>
      </c>
      <c r="F242" s="1" t="s">
        <v>427</v>
      </c>
      <c r="G242" s="1" t="s">
        <v>365</v>
      </c>
      <c r="H242" s="2">
        <v>-410000</v>
      </c>
      <c r="I242" s="16">
        <v>1</v>
      </c>
      <c r="J242" s="1" t="s">
        <v>381</v>
      </c>
      <c r="K242" s="6">
        <f>Registro_Ordini[[#This Row],[Numero]]*Registro_Ordini[[#This Row],[Prezzo]]</f>
        <v>-410000</v>
      </c>
      <c r="L242" s="10">
        <v>0.93520000000000003</v>
      </c>
      <c r="M242" s="6">
        <f>Registro_Ordini[[#This Row],[Importo]]*Registro_Ordini[[#This Row],[Cambio]]</f>
        <v>-383432</v>
      </c>
      <c r="N242" s="1">
        <f ca="1">IFERROR(_xlfn.NUMBERVALUE(OFFSET(Origine,MATCH(Registro_Ordini[[#This Row],[Titolo]],Descrizioni,0),MATCH("Price",Intestazioni,0)-1,1,1)),"")</f>
        <v>1</v>
      </c>
      <c r="O242" s="18">
        <f ca="1">IF(OR(Registro_Ordini[[#This Row],[Price]]=0,Registro_Ordini[[#This Row],[Price]]=""),"",IF(Registro_Ordini[[#This Row],[Tipo]]="Sell",Registro_Ordini[[#This Row],[Prezzo]]/Registro_Ordini[[#This Row],[Price]]-1,Registro_Ordini[[#This Row],[Price]]/Registro_Ordini[[#This Row],[Prezzo]]-1))</f>
        <v>0</v>
      </c>
      <c r="P242" s="15">
        <v>-8.7476604226849344E-2</v>
      </c>
      <c r="Q242" s="3">
        <v>0.5750668320442609</v>
      </c>
      <c r="R242" s="3">
        <v>0.18146936458329846</v>
      </c>
      <c r="S242" s="3">
        <v>6.5695786667055611E-2</v>
      </c>
      <c r="T242" s="3"/>
      <c r="U242" s="3">
        <v>0.17776801670538522</v>
      </c>
      <c r="V242" s="3"/>
      <c r="W242" s="4"/>
    </row>
    <row r="243" spans="1:23" s="1" customFormat="1" ht="24.95" customHeight="1" x14ac:dyDescent="0.2">
      <c r="A243" s="8">
        <v>46001.431550925925</v>
      </c>
      <c r="B243" s="7">
        <v>46001.431550925925</v>
      </c>
      <c r="C243" s="9" t="s">
        <v>18</v>
      </c>
      <c r="D243" s="1" t="s">
        <v>388</v>
      </c>
      <c r="E243" s="1" t="s">
        <v>403</v>
      </c>
      <c r="F243" s="1" t="s">
        <v>756</v>
      </c>
      <c r="G243" s="1" t="s">
        <v>365</v>
      </c>
      <c r="H243" s="2">
        <v>-8000</v>
      </c>
      <c r="I243" s="16">
        <v>48.8</v>
      </c>
      <c r="J243" s="1" t="s">
        <v>381</v>
      </c>
      <c r="K243" s="6">
        <f>Registro_Ordini[[#This Row],[Numero]]*Registro_Ordini[[#This Row],[Prezzo]]</f>
        <v>-390400</v>
      </c>
      <c r="L243" s="10">
        <v>0.93694999999999995</v>
      </c>
      <c r="M243" s="6">
        <f>Registro_Ordini[[#This Row],[Importo]]*Registro_Ordini[[#This Row],[Cambio]]</f>
        <v>-365785.27999999997</v>
      </c>
      <c r="N243" s="1">
        <f ca="1">IFERROR(_xlfn.NUMBERVALUE(OFFSET(Origine,MATCH(Registro_Ordini[[#This Row],[Titolo]],Descrizioni,0),MATCH("Price",Intestazioni,0)-1,1,1)),"")</f>
        <v>52.9</v>
      </c>
      <c r="O243" s="18">
        <f ca="1">IF(OR(Registro_Ordini[[#This Row],[Price]]=0,Registro_Ordini[[#This Row],[Price]]=""),"",IF(Registro_Ordini[[#This Row],[Tipo]]="Sell",Registro_Ordini[[#This Row],[Prezzo]]/Registro_Ordini[[#This Row],[Price]]-1,Registro_Ordini[[#This Row],[Price]]/Registro_Ordini[[#This Row],[Prezzo]]-1))</f>
        <v>-7.7504725897920679E-2</v>
      </c>
      <c r="P243" s="15">
        <v>-9.128115797376081E-2</v>
      </c>
      <c r="Q243" s="3">
        <v>0.50000973185637032</v>
      </c>
      <c r="R243" s="3">
        <v>0.19885636876732779</v>
      </c>
      <c r="S243" s="3">
        <v>0.10632136332362789</v>
      </c>
      <c r="T243" s="3"/>
      <c r="U243" s="3">
        <v>0.19481253605267404</v>
      </c>
      <c r="V243" s="3"/>
      <c r="W243" s="4"/>
    </row>
    <row r="244" spans="1:23" s="1" customFormat="1" ht="24.95" customHeight="1" x14ac:dyDescent="0.2">
      <c r="A244" s="8">
        <v>46000.755555555559</v>
      </c>
      <c r="B244" s="7">
        <v>46000.755555555559</v>
      </c>
      <c r="C244" s="9" t="s">
        <v>18</v>
      </c>
      <c r="D244" s="1" t="s">
        <v>388</v>
      </c>
      <c r="E244" s="1" t="s">
        <v>420</v>
      </c>
      <c r="F244" s="1" t="s">
        <v>422</v>
      </c>
      <c r="G244" s="1" t="s">
        <v>365</v>
      </c>
      <c r="H244" s="2">
        <v>-2500</v>
      </c>
      <c r="I244" s="16">
        <v>68.38</v>
      </c>
      <c r="J244" s="1" t="s">
        <v>366</v>
      </c>
      <c r="K244" s="6">
        <f>Registro_Ordini[[#This Row],[Numero]]*Registro_Ordini[[#This Row],[Prezzo]]</f>
        <v>-170950</v>
      </c>
      <c r="L244" s="10">
        <v>0.80474999999999997</v>
      </c>
      <c r="M244" s="6">
        <f>Registro_Ordini[[#This Row],[Importo]]*Registro_Ordini[[#This Row],[Cambio]]</f>
        <v>-137572.01249999998</v>
      </c>
      <c r="N244" s="1">
        <f ca="1">IFERROR(_xlfn.NUMBERVALUE(OFFSET(Origine,MATCH(Registro_Ordini[[#This Row],[Titolo]],Descrizioni,0),MATCH("Price",Intestazioni,0)-1,1,1)),"")</f>
        <v>71.75</v>
      </c>
      <c r="O244" s="18">
        <f ca="1">IF(OR(Registro_Ordini[[#This Row],[Price]]=0,Registro_Ordini[[#This Row],[Price]]=""),"",IF(Registro_Ordini[[#This Row],[Tipo]]="Sell",Registro_Ordini[[#This Row],[Prezzo]]/Registro_Ordini[[#This Row],[Price]]-1,Registro_Ordini[[#This Row],[Price]]/Registro_Ordini[[#This Row],[Prezzo]]-1))</f>
        <v>-4.6968641114982668E-2</v>
      </c>
      <c r="P244" s="15">
        <v>-3.4330310500253973E-2</v>
      </c>
      <c r="Q244" s="3">
        <v>0.53433174949857853</v>
      </c>
      <c r="R244" s="3">
        <v>0.19886544025650438</v>
      </c>
      <c r="S244" s="3">
        <v>7.1993537689081691E-2</v>
      </c>
      <c r="T244" s="3"/>
      <c r="U244" s="3">
        <v>0.19480927255583541</v>
      </c>
      <c r="V244" s="3"/>
      <c r="W244" s="4"/>
    </row>
    <row r="245" spans="1:23" s="1" customFormat="1" ht="24.95" customHeight="1" x14ac:dyDescent="0.2">
      <c r="A245" s="8">
        <v>45995.788888888892</v>
      </c>
      <c r="B245" s="7">
        <v>45995.788888888892</v>
      </c>
      <c r="C245" s="9" t="s">
        <v>106</v>
      </c>
      <c r="D245" s="1" t="s">
        <v>388</v>
      </c>
      <c r="E245" s="1" t="s">
        <v>403</v>
      </c>
      <c r="F245" s="1" t="s">
        <v>2943</v>
      </c>
      <c r="G245" s="1" t="s">
        <v>371</v>
      </c>
      <c r="H245" s="2">
        <v>50</v>
      </c>
      <c r="I245" s="16">
        <v>104.96</v>
      </c>
      <c r="J245" s="1" t="s">
        <v>381</v>
      </c>
      <c r="K245" s="6">
        <f>Registro_Ordini[[#This Row],[Numero]]*Registro_Ordini[[#This Row],[Prezzo]]</f>
        <v>5248</v>
      </c>
      <c r="L245" s="10">
        <v>1</v>
      </c>
      <c r="M245" s="6">
        <f>Registro_Ordini[[#This Row],[Importo]]*Registro_Ordini[[#This Row],[Cambio]]</f>
        <v>5248</v>
      </c>
      <c r="N245" s="1">
        <f ca="1">IFERROR(_xlfn.NUMBERVALUE(OFFSET(Origine,MATCH(Registro_Ordini[[#This Row],[Titolo]],Descrizioni,0),MATCH("Price",Intestazioni,0)-1,1,1)),"")</f>
        <v>112.2</v>
      </c>
      <c r="O245" s="18">
        <f ca="1">IF(OR(Registro_Ordini[[#This Row],[Price]]=0,Registro_Ordini[[#This Row],[Price]]=""),"",IF(Registro_Ordini[[#This Row],[Tipo]]="Sell",Registro_Ordini[[#This Row],[Prezzo]]/Registro_Ordini[[#This Row],[Price]]-1,Registro_Ordini[[#This Row],[Price]]/Registro_Ordini[[#This Row],[Prezzo]]-1))</f>
        <v>6.8978658536585469E-2</v>
      </c>
      <c r="P245" s="15">
        <v>3.5105248614949042E-2</v>
      </c>
      <c r="Q245" s="3">
        <v>6.830705239432848E-2</v>
      </c>
      <c r="R245" s="3">
        <v>0.27332022538576717</v>
      </c>
      <c r="S245" s="3">
        <v>0.48837051209823013</v>
      </c>
      <c r="T245" s="3">
        <v>0</v>
      </c>
      <c r="U245" s="3">
        <v>0.17000221012167421</v>
      </c>
      <c r="V245" s="3"/>
      <c r="W245" s="4"/>
    </row>
    <row r="246" spans="1:23" s="1" customFormat="1" ht="24.95" customHeight="1" x14ac:dyDescent="0.2">
      <c r="A246" s="8">
        <v>45995.788877314815</v>
      </c>
      <c r="B246" s="7">
        <v>45995.788877314815</v>
      </c>
      <c r="C246" s="9" t="s">
        <v>379</v>
      </c>
      <c r="D246" s="1" t="s">
        <v>388</v>
      </c>
      <c r="E246" s="1" t="s">
        <v>403</v>
      </c>
      <c r="F246" s="1" t="s">
        <v>2943</v>
      </c>
      <c r="G246" s="1" t="s">
        <v>371</v>
      </c>
      <c r="H246" s="2">
        <v>145</v>
      </c>
      <c r="I246" s="16">
        <v>104.96</v>
      </c>
      <c r="J246" s="1" t="s">
        <v>381</v>
      </c>
      <c r="K246" s="6">
        <f>Registro_Ordini[[#This Row],[Numero]]*Registro_Ordini[[#This Row],[Prezzo]]</f>
        <v>15219.199999999999</v>
      </c>
      <c r="L246" s="10">
        <v>1</v>
      </c>
      <c r="M246" s="6">
        <f>Registro_Ordini[[#This Row],[Importo]]*Registro_Ordini[[#This Row],[Cambio]]</f>
        <v>15219.199999999999</v>
      </c>
      <c r="N246" s="1">
        <f ca="1">IFERROR(_xlfn.NUMBERVALUE(OFFSET(Origine,MATCH(Registro_Ordini[[#This Row],[Titolo]],Descrizioni,0),MATCH("Price",Intestazioni,0)-1,1,1)),"")</f>
        <v>112.2</v>
      </c>
      <c r="O246" s="18">
        <f ca="1">IF(OR(Registro_Ordini[[#This Row],[Price]]=0,Registro_Ordini[[#This Row],[Price]]=""),"",IF(Registro_Ordini[[#This Row],[Tipo]]="Sell",Registro_Ordini[[#This Row],[Prezzo]]/Registro_Ordini[[#This Row],[Price]]-1,Registro_Ordini[[#This Row],[Price]]/Registro_Ordini[[#This Row],[Prezzo]]-1))</f>
        <v>6.8978658536585469E-2</v>
      </c>
      <c r="P246" s="15">
        <v>2.5550452485129525E-2</v>
      </c>
      <c r="Q246" s="3">
        <v>7.7568586650681587E-2</v>
      </c>
      <c r="R246" s="3">
        <v>0.34398870229851719</v>
      </c>
      <c r="S246" s="3">
        <v>0.44299756409972069</v>
      </c>
      <c r="T246" s="3">
        <v>0</v>
      </c>
      <c r="U246" s="3">
        <v>0.13544514695108056</v>
      </c>
      <c r="V246" s="3"/>
      <c r="W246" s="4"/>
    </row>
    <row r="247" spans="1:23" s="1" customFormat="1" ht="24.95" customHeight="1" x14ac:dyDescent="0.2">
      <c r="A247" s="8">
        <v>45995.788854166669</v>
      </c>
      <c r="B247" s="7">
        <v>45995.788854166669</v>
      </c>
      <c r="C247" s="9" t="s">
        <v>382</v>
      </c>
      <c r="D247" s="1" t="s">
        <v>388</v>
      </c>
      <c r="E247" s="1" t="s">
        <v>403</v>
      </c>
      <c r="F247" s="1" t="s">
        <v>2943</v>
      </c>
      <c r="G247" s="1" t="s">
        <v>371</v>
      </c>
      <c r="H247" s="2">
        <v>260</v>
      </c>
      <c r="I247" s="16">
        <v>104.96</v>
      </c>
      <c r="J247" s="1" t="s">
        <v>381</v>
      </c>
      <c r="K247" s="6">
        <f>Registro_Ordini[[#This Row],[Numero]]*Registro_Ordini[[#This Row],[Prezzo]]</f>
        <v>27289.599999999999</v>
      </c>
      <c r="L247" s="10">
        <v>1</v>
      </c>
      <c r="M247" s="6">
        <f>Registro_Ordini[[#This Row],[Importo]]*Registro_Ordini[[#This Row],[Cambio]]</f>
        <v>27289.599999999999</v>
      </c>
      <c r="N247" s="1">
        <f ca="1">IFERROR(_xlfn.NUMBERVALUE(OFFSET(Origine,MATCH(Registro_Ordini[[#This Row],[Titolo]],Descrizioni,0),MATCH("Price",Intestazioni,0)-1,1,1)),"")</f>
        <v>112.2</v>
      </c>
      <c r="O247" s="18">
        <f ca="1">IF(OR(Registro_Ordini[[#This Row],[Price]]=0,Registro_Ordini[[#This Row],[Price]]=""),"",IF(Registro_Ordini[[#This Row],[Tipo]]="Sell",Registro_Ordini[[#This Row],[Prezzo]]/Registro_Ordini[[#This Row],[Price]]-1,Registro_Ordini[[#This Row],[Price]]/Registro_Ordini[[#This Row],[Prezzo]]-1))</f>
        <v>6.8978658536585469E-2</v>
      </c>
      <c r="P247" s="15">
        <v>2.5046238007478658E-2</v>
      </c>
      <c r="Q247" s="3">
        <v>9.7920670903531043E-2</v>
      </c>
      <c r="R247" s="3">
        <v>0.3326034258745334</v>
      </c>
      <c r="S247" s="3">
        <v>0.42910894533583416</v>
      </c>
      <c r="T247" s="3">
        <v>0</v>
      </c>
      <c r="U247" s="3">
        <v>0.14036695788610143</v>
      </c>
      <c r="V247" s="3"/>
      <c r="W247" s="4"/>
    </row>
    <row r="248" spans="1:23" s="1" customFormat="1" ht="24.95" customHeight="1" x14ac:dyDescent="0.2">
      <c r="A248" s="8">
        <v>45995.788842592592</v>
      </c>
      <c r="B248" s="7">
        <v>45995.788842592592</v>
      </c>
      <c r="C248" s="9" t="s">
        <v>383</v>
      </c>
      <c r="D248" s="1" t="s">
        <v>388</v>
      </c>
      <c r="E248" s="1" t="s">
        <v>403</v>
      </c>
      <c r="F248" s="1" t="s">
        <v>2943</v>
      </c>
      <c r="G248" s="1" t="s">
        <v>371</v>
      </c>
      <c r="H248" s="2">
        <v>160</v>
      </c>
      <c r="I248" s="16">
        <v>104.96</v>
      </c>
      <c r="J248" s="1" t="s">
        <v>381</v>
      </c>
      <c r="K248" s="6">
        <f>Registro_Ordini[[#This Row],[Numero]]*Registro_Ordini[[#This Row],[Prezzo]]</f>
        <v>16793.599999999999</v>
      </c>
      <c r="L248" s="10">
        <v>1</v>
      </c>
      <c r="M248" s="6">
        <f>Registro_Ordini[[#This Row],[Importo]]*Registro_Ordini[[#This Row],[Cambio]]</f>
        <v>16793.599999999999</v>
      </c>
      <c r="N248" s="1">
        <f ca="1">IFERROR(_xlfn.NUMBERVALUE(OFFSET(Origine,MATCH(Registro_Ordini[[#This Row],[Titolo]],Descrizioni,0),MATCH("Price",Intestazioni,0)-1,1,1)),"")</f>
        <v>112.2</v>
      </c>
      <c r="O248" s="18">
        <f ca="1">IF(OR(Registro_Ordini[[#This Row],[Price]]=0,Registro_Ordini[[#This Row],[Price]]=""),"",IF(Registro_Ordini[[#This Row],[Tipo]]="Sell",Registro_Ordini[[#This Row],[Prezzo]]/Registro_Ordini[[#This Row],[Price]]-1,Registro_Ordini[[#This Row],[Price]]/Registro_Ordini[[#This Row],[Prezzo]]-1))</f>
        <v>6.8978658536585469E-2</v>
      </c>
      <c r="P248" s="15">
        <v>2.5395012605901802E-2</v>
      </c>
      <c r="Q248" s="3">
        <v>9.5718669358758862E-2</v>
      </c>
      <c r="R248" s="3">
        <v>0.34016298854034627</v>
      </c>
      <c r="S248" s="3">
        <v>0.42836241512540429</v>
      </c>
      <c r="T248" s="3">
        <v>0</v>
      </c>
      <c r="U248" s="3">
        <v>0.13575592697549049</v>
      </c>
      <c r="V248" s="3"/>
      <c r="W248" s="4"/>
    </row>
    <row r="249" spans="1:23" s="1" customFormat="1" ht="24.95" customHeight="1" x14ac:dyDescent="0.2">
      <c r="A249" s="8">
        <v>45995.788587962961</v>
      </c>
      <c r="B249" s="7">
        <v>45995.788587962961</v>
      </c>
      <c r="C249" s="9" t="s">
        <v>385</v>
      </c>
      <c r="D249" s="1" t="s">
        <v>388</v>
      </c>
      <c r="E249" s="1" t="s">
        <v>403</v>
      </c>
      <c r="F249" s="1" t="s">
        <v>2943</v>
      </c>
      <c r="G249" s="1" t="s">
        <v>371</v>
      </c>
      <c r="H249" s="2">
        <v>55</v>
      </c>
      <c r="I249" s="16">
        <v>104.9</v>
      </c>
      <c r="J249" s="1" t="s">
        <v>381</v>
      </c>
      <c r="K249" s="6">
        <f>Registro_Ordini[[#This Row],[Numero]]*Registro_Ordini[[#This Row],[Prezzo]]</f>
        <v>5769.5</v>
      </c>
      <c r="L249" s="10">
        <v>1</v>
      </c>
      <c r="M249" s="6">
        <f>Registro_Ordini[[#This Row],[Importo]]*Registro_Ordini[[#This Row],[Cambio]]</f>
        <v>5769.5</v>
      </c>
      <c r="N249" s="1">
        <f ca="1">IFERROR(_xlfn.NUMBERVALUE(OFFSET(Origine,MATCH(Registro_Ordini[[#This Row],[Titolo]],Descrizioni,0),MATCH("Price",Intestazioni,0)-1,1,1)),"")</f>
        <v>112.2</v>
      </c>
      <c r="O249" s="18">
        <f ca="1">IF(OR(Registro_Ordini[[#This Row],[Price]]=0,Registro_Ordini[[#This Row],[Price]]=""),"",IF(Registro_Ordini[[#This Row],[Tipo]]="Sell",Registro_Ordini[[#This Row],[Prezzo]]/Registro_Ordini[[#This Row],[Price]]-1,Registro_Ordini[[#This Row],[Price]]/Registro_Ordini[[#This Row],[Prezzo]]-1))</f>
        <v>6.9590085795996126E-2</v>
      </c>
      <c r="P249" s="15">
        <v>4.3764143478767892E-2</v>
      </c>
      <c r="Q249" s="3">
        <v>1.439324079563167E-2</v>
      </c>
      <c r="R249" s="3">
        <v>0.57508817035305426</v>
      </c>
      <c r="S249" s="3">
        <v>0.24396186951205218</v>
      </c>
      <c r="T249" s="3">
        <v>5.0272063904733565E-2</v>
      </c>
      <c r="U249" s="3">
        <v>0.11628465543452843</v>
      </c>
      <c r="V249" s="3"/>
      <c r="W249" s="4"/>
    </row>
    <row r="250" spans="1:23" s="1" customFormat="1" ht="24.95" customHeight="1" x14ac:dyDescent="0.2">
      <c r="A250" s="8">
        <v>45995.7653587963</v>
      </c>
      <c r="B250" s="7">
        <v>45995.7653587963</v>
      </c>
      <c r="C250" s="9" t="s">
        <v>78</v>
      </c>
      <c r="D250" s="1" t="s">
        <v>388</v>
      </c>
      <c r="E250" s="1" t="s">
        <v>403</v>
      </c>
      <c r="F250" s="1" t="s">
        <v>2943</v>
      </c>
      <c r="G250" s="1" t="s">
        <v>371</v>
      </c>
      <c r="H250" s="2">
        <v>115</v>
      </c>
      <c r="I250" s="16">
        <v>104.96</v>
      </c>
      <c r="J250" s="1" t="s">
        <v>381</v>
      </c>
      <c r="K250" s="6">
        <f>Registro_Ordini[[#This Row],[Numero]]*Registro_Ordini[[#This Row],[Prezzo]]</f>
        <v>12070.4</v>
      </c>
      <c r="L250" s="10">
        <v>0.93525000000000003</v>
      </c>
      <c r="M250" s="6">
        <f>Registro_Ordini[[#This Row],[Importo]]*Registro_Ordini[[#This Row],[Cambio]]</f>
        <v>11288.8416</v>
      </c>
      <c r="N250" s="1">
        <f ca="1">IFERROR(_xlfn.NUMBERVALUE(OFFSET(Origine,MATCH(Registro_Ordini[[#This Row],[Titolo]],Descrizioni,0),MATCH("Price",Intestazioni,0)-1,1,1)),"")</f>
        <v>112.2</v>
      </c>
      <c r="O250" s="18">
        <f ca="1">IF(OR(Registro_Ordini[[#This Row],[Price]]=0,Registro_Ordini[[#This Row],[Price]]=""),"",IF(Registro_Ordini[[#This Row],[Tipo]]="Sell",Registro_Ordini[[#This Row],[Prezzo]]/Registro_Ordini[[#This Row],[Price]]-1,Registro_Ordini[[#This Row],[Price]]/Registro_Ordini[[#This Row],[Prezzo]]-1))</f>
        <v>6.8978658536585469E-2</v>
      </c>
      <c r="P250" s="14">
        <v>2.0160294695290456E-2</v>
      </c>
      <c r="Q250" s="18">
        <v>0.1104168017052404</v>
      </c>
      <c r="R250" s="15">
        <v>0.14296503560682919</v>
      </c>
      <c r="S250" s="3">
        <v>0.62994342571527395</v>
      </c>
      <c r="T250" s="3">
        <v>0</v>
      </c>
      <c r="U250" s="3">
        <v>0.1166747369726565</v>
      </c>
      <c r="V250" s="3"/>
      <c r="W250" s="4"/>
    </row>
    <row r="251" spans="1:23" s="1" customFormat="1" ht="24.95" customHeight="1" x14ac:dyDescent="0.2">
      <c r="A251" s="8">
        <v>45995.740648148145</v>
      </c>
      <c r="B251" s="7">
        <v>45995.740648148145</v>
      </c>
      <c r="C251" s="9" t="s">
        <v>375</v>
      </c>
      <c r="D251" s="1" t="s">
        <v>388</v>
      </c>
      <c r="E251" s="1" t="s">
        <v>403</v>
      </c>
      <c r="F251" s="1" t="s">
        <v>2943</v>
      </c>
      <c r="G251" s="1" t="s">
        <v>371</v>
      </c>
      <c r="H251" s="2">
        <v>160</v>
      </c>
      <c r="I251" s="16">
        <v>104.96</v>
      </c>
      <c r="J251" s="1" t="s">
        <v>381</v>
      </c>
      <c r="K251" s="6">
        <f>Registro_Ordini[[#This Row],[Numero]]*Registro_Ordini[[#This Row],[Prezzo]]</f>
        <v>16793.599999999999</v>
      </c>
      <c r="L251" s="10">
        <v>0.93505000000000005</v>
      </c>
      <c r="M251" s="6">
        <f>Registro_Ordini[[#This Row],[Importo]]*Registro_Ordini[[#This Row],[Cambio]]</f>
        <v>15702.855679999999</v>
      </c>
      <c r="N251" s="1">
        <f ca="1">IFERROR(_xlfn.NUMBERVALUE(OFFSET(Origine,MATCH(Registro_Ordini[[#This Row],[Titolo]],Descrizioni,0),MATCH("Price",Intestazioni,0)-1,1,1)),"")</f>
        <v>112.2</v>
      </c>
      <c r="O251" s="18">
        <f ca="1">IF(OR(Registro_Ordini[[#This Row],[Price]]=0,Registro_Ordini[[#This Row],[Price]]=""),"",IF(Registro_Ordini[[#This Row],[Tipo]]="Sell",Registro_Ordini[[#This Row],[Prezzo]]/Registro_Ordini[[#This Row],[Price]]-1,Registro_Ordini[[#This Row],[Price]]/Registro_Ordini[[#This Row],[Prezzo]]-1))</f>
        <v>6.8978658536585469E-2</v>
      </c>
      <c r="P251" s="15">
        <v>1.8313157717313896E-2</v>
      </c>
      <c r="Q251" s="3">
        <v>0.13285108823603828</v>
      </c>
      <c r="R251" s="3">
        <v>0.33407857431195065</v>
      </c>
      <c r="S251" s="3">
        <v>0.40490910995022167</v>
      </c>
      <c r="T251" s="3">
        <v>0</v>
      </c>
      <c r="U251" s="3">
        <v>0.12816122750178932</v>
      </c>
      <c r="V251" s="3"/>
      <c r="W251" s="4"/>
    </row>
    <row r="252" spans="1:23" s="1" customFormat="1" ht="24.95" customHeight="1" x14ac:dyDescent="0.2">
      <c r="A252" s="8">
        <v>45995.740636574075</v>
      </c>
      <c r="B252" s="7">
        <v>45995.740636574075</v>
      </c>
      <c r="C252" s="9" t="s">
        <v>376</v>
      </c>
      <c r="D252" s="1" t="s">
        <v>388</v>
      </c>
      <c r="E252" s="1" t="s">
        <v>403</v>
      </c>
      <c r="F252" s="1" t="s">
        <v>2943</v>
      </c>
      <c r="G252" s="1" t="s">
        <v>371</v>
      </c>
      <c r="H252" s="2">
        <v>55</v>
      </c>
      <c r="I252" s="16">
        <v>104.96</v>
      </c>
      <c r="J252" s="1" t="s">
        <v>381</v>
      </c>
      <c r="K252" s="6">
        <f>Registro_Ordini[[#This Row],[Numero]]*Registro_Ordini[[#This Row],[Prezzo]]</f>
        <v>5772.7999999999993</v>
      </c>
      <c r="L252" s="10">
        <v>0.93505000000000005</v>
      </c>
      <c r="M252" s="6">
        <f>Registro_Ordini[[#This Row],[Importo]]*Registro_Ordini[[#This Row],[Cambio]]</f>
        <v>5397.85664</v>
      </c>
      <c r="N252" s="1">
        <f ca="1">IFERROR(_xlfn.NUMBERVALUE(OFFSET(Origine,MATCH(Registro_Ordini[[#This Row],[Titolo]],Descrizioni,0),MATCH("Price",Intestazioni,0)-1,1,1)),"")</f>
        <v>112.2</v>
      </c>
      <c r="O252" s="18">
        <f ca="1">IF(OR(Registro_Ordini[[#This Row],[Price]]=0,Registro_Ordini[[#This Row],[Price]]=""),"",IF(Registro_Ordini[[#This Row],[Tipo]]="Sell",Registro_Ordini[[#This Row],[Prezzo]]/Registro_Ordini[[#This Row],[Price]]-1,Registro_Ordini[[#This Row],[Price]]/Registro_Ordini[[#This Row],[Prezzo]]-1))</f>
        <v>6.8978658536585469E-2</v>
      </c>
      <c r="P252" s="15">
        <v>1.9676843343797164E-2</v>
      </c>
      <c r="Q252" s="3">
        <v>7.7083678754885435E-2</v>
      </c>
      <c r="R252" s="3">
        <v>0.27341409263758004</v>
      </c>
      <c r="S252" s="3">
        <v>0.48280589219680958</v>
      </c>
      <c r="T252" s="3">
        <v>0</v>
      </c>
      <c r="U252" s="3">
        <v>0.16669633641072498</v>
      </c>
      <c r="V252" s="3"/>
      <c r="W252" s="4"/>
    </row>
    <row r="253" spans="1:23" s="1" customFormat="1" ht="24.95" customHeight="1" x14ac:dyDescent="0.2">
      <c r="A253" s="8">
        <v>45995.740624999999</v>
      </c>
      <c r="B253" s="7">
        <v>45995.740624999999</v>
      </c>
      <c r="C253" s="9" t="s">
        <v>377</v>
      </c>
      <c r="D253" s="1" t="s">
        <v>388</v>
      </c>
      <c r="E253" s="1" t="s">
        <v>403</v>
      </c>
      <c r="F253" s="1" t="s">
        <v>2943</v>
      </c>
      <c r="G253" s="1" t="s">
        <v>371</v>
      </c>
      <c r="H253" s="2">
        <v>340</v>
      </c>
      <c r="I253" s="16">
        <v>104.96</v>
      </c>
      <c r="J253" s="1" t="s">
        <v>381</v>
      </c>
      <c r="K253" s="6">
        <f>Registro_Ordini[[#This Row],[Numero]]*Registro_Ordini[[#This Row],[Prezzo]]</f>
        <v>35686.400000000001</v>
      </c>
      <c r="L253" s="10">
        <v>0.93505000000000005</v>
      </c>
      <c r="M253" s="6">
        <f>Registro_Ordini[[#This Row],[Importo]]*Registro_Ordini[[#This Row],[Cambio]]</f>
        <v>33368.568320000006</v>
      </c>
      <c r="N253" s="1">
        <f ca="1">IFERROR(_xlfn.NUMBERVALUE(OFFSET(Origine,MATCH(Registro_Ordini[[#This Row],[Titolo]],Descrizioni,0),MATCH("Price",Intestazioni,0)-1,1,1)),"")</f>
        <v>112.2</v>
      </c>
      <c r="O253" s="18">
        <f ca="1">IF(OR(Registro_Ordini[[#This Row],[Price]]=0,Registro_Ordini[[#This Row],[Price]]=""),"",IF(Registro_Ordini[[#This Row],[Tipo]]="Sell",Registro_Ordini[[#This Row],[Prezzo]]/Registro_Ordini[[#This Row],[Price]]-1,Registro_Ordini[[#This Row],[Price]]/Registro_Ordini[[#This Row],[Prezzo]]-1))</f>
        <v>6.8978658536585469E-2</v>
      </c>
      <c r="P253" s="15">
        <v>1.9943181369557351E-2</v>
      </c>
      <c r="Q253" s="3">
        <v>0.12576580148666</v>
      </c>
      <c r="R253" s="3">
        <v>0.30607877651137322</v>
      </c>
      <c r="S253" s="3">
        <v>0.43870145188311271</v>
      </c>
      <c r="T253" s="3">
        <v>0</v>
      </c>
      <c r="U253" s="3">
        <v>0.12945397011885415</v>
      </c>
      <c r="V253" s="3"/>
      <c r="W253" s="4"/>
    </row>
    <row r="254" spans="1:23" s="1" customFormat="1" ht="24.95" customHeight="1" x14ac:dyDescent="0.2">
      <c r="A254" s="8">
        <v>45995.740613425929</v>
      </c>
      <c r="B254" s="7">
        <v>45995.740613425929</v>
      </c>
      <c r="C254" s="9" t="s">
        <v>378</v>
      </c>
      <c r="D254" s="1" t="s">
        <v>388</v>
      </c>
      <c r="E254" s="1" t="s">
        <v>403</v>
      </c>
      <c r="F254" s="1" t="s">
        <v>2943</v>
      </c>
      <c r="G254" s="1" t="s">
        <v>371</v>
      </c>
      <c r="H254" s="2">
        <v>110</v>
      </c>
      <c r="I254" s="16">
        <v>104.96</v>
      </c>
      <c r="J254" s="1" t="s">
        <v>381</v>
      </c>
      <c r="K254" s="6">
        <f>Registro_Ordini[[#This Row],[Numero]]*Registro_Ordini[[#This Row],[Prezzo]]</f>
        <v>11545.599999999999</v>
      </c>
      <c r="L254" s="10">
        <v>0.93505000000000005</v>
      </c>
      <c r="M254" s="6">
        <f>Registro_Ordini[[#This Row],[Importo]]*Registro_Ordini[[#This Row],[Cambio]]</f>
        <v>10795.71328</v>
      </c>
      <c r="N254" s="1">
        <f ca="1">IFERROR(_xlfn.NUMBERVALUE(OFFSET(Origine,MATCH(Registro_Ordini[[#This Row],[Titolo]],Descrizioni,0),MATCH("Price",Intestazioni,0)-1,1,1)),"")</f>
        <v>112.2</v>
      </c>
      <c r="O254" s="18">
        <f ca="1">IF(OR(Registro_Ordini[[#This Row],[Price]]=0,Registro_Ordini[[#This Row],[Price]]=""),"",IF(Registro_Ordini[[#This Row],[Tipo]]="Sell",Registro_Ordini[[#This Row],[Prezzo]]/Registro_Ordini[[#This Row],[Price]]-1,Registro_Ordini[[#This Row],[Price]]/Registro_Ordini[[#This Row],[Prezzo]]-1))</f>
        <v>6.8978658536585469E-2</v>
      </c>
      <c r="P254" s="15">
        <v>1.9839598761316274E-2</v>
      </c>
      <c r="Q254" s="3">
        <v>0.13436769985587046</v>
      </c>
      <c r="R254" s="3">
        <v>0.29500287906024036</v>
      </c>
      <c r="S254" s="3">
        <v>0.44850518260742872</v>
      </c>
      <c r="T254" s="3">
        <v>0</v>
      </c>
      <c r="U254" s="3">
        <v>0.12212423847646055</v>
      </c>
      <c r="V254" s="3"/>
      <c r="W254" s="4"/>
    </row>
    <row r="255" spans="1:23" s="1" customFormat="1" ht="24.95" customHeight="1" x14ac:dyDescent="0.2">
      <c r="A255" s="8">
        <v>45995.711689814816</v>
      </c>
      <c r="B255" s="7">
        <v>45995.711689814816</v>
      </c>
      <c r="C255" s="9" t="s">
        <v>367</v>
      </c>
      <c r="D255" s="1" t="s">
        <v>388</v>
      </c>
      <c r="E255" s="1" t="s">
        <v>403</v>
      </c>
      <c r="F255" s="1" t="s">
        <v>2943</v>
      </c>
      <c r="G255" s="1" t="s">
        <v>371</v>
      </c>
      <c r="H255" s="2">
        <v>715</v>
      </c>
      <c r="I255" s="16">
        <v>104.9</v>
      </c>
      <c r="J255" s="1" t="s">
        <v>381</v>
      </c>
      <c r="K255" s="6">
        <f>Registro_Ordini[[#This Row],[Numero]]*Registro_Ordini[[#This Row],[Prezzo]]</f>
        <v>75003.5</v>
      </c>
      <c r="L255" s="10">
        <v>0.93474999999999997</v>
      </c>
      <c r="M255" s="6">
        <f>Registro_Ordini[[#This Row],[Importo]]*Registro_Ordini[[#This Row],[Cambio]]</f>
        <v>70109.521624999994</v>
      </c>
      <c r="N255" s="1">
        <f ca="1">IFERROR(_xlfn.NUMBERVALUE(OFFSET(Origine,MATCH(Registro_Ordini[[#This Row],[Titolo]],Descrizioni,0),MATCH("Price",Intestazioni,0)-1,1,1)),"")</f>
        <v>112.2</v>
      </c>
      <c r="O255" s="18">
        <f ca="1">IF(OR(Registro_Ordini[[#This Row],[Price]]=0,Registro_Ordini[[#This Row],[Price]]=""),"",IF(Registro_Ordini[[#This Row],[Tipo]]="Sell",Registro_Ordini[[#This Row],[Prezzo]]/Registro_Ordini[[#This Row],[Price]]-1,Registro_Ordini[[#This Row],[Price]]/Registro_Ordini[[#This Row],[Prezzo]]-1))</f>
        <v>6.9590085795996126E-2</v>
      </c>
      <c r="P255" s="15">
        <v>2.0036548358825637E-2</v>
      </c>
      <c r="Q255" s="3">
        <v>0.1486035813228066</v>
      </c>
      <c r="R255" s="3">
        <v>0.38679354700207103</v>
      </c>
      <c r="S255" s="3">
        <v>0.37717438538351783</v>
      </c>
      <c r="T255" s="3">
        <v>0</v>
      </c>
      <c r="U255" s="3">
        <v>8.7428486291604574E-2</v>
      </c>
      <c r="V255" s="3"/>
      <c r="W255" s="4"/>
    </row>
    <row r="256" spans="1:23" s="1" customFormat="1" ht="24.95" customHeight="1" x14ac:dyDescent="0.2">
      <c r="A256" s="8">
        <v>45995.711527777778</v>
      </c>
      <c r="B256" s="7">
        <v>45995.711527777778</v>
      </c>
      <c r="C256" s="9" t="s">
        <v>373</v>
      </c>
      <c r="D256" s="1" t="s">
        <v>388</v>
      </c>
      <c r="E256" s="1" t="s">
        <v>403</v>
      </c>
      <c r="F256" s="1" t="s">
        <v>2943</v>
      </c>
      <c r="G256" s="1" t="s">
        <v>371</v>
      </c>
      <c r="H256" s="2">
        <v>140</v>
      </c>
      <c r="I256" s="16">
        <v>104.9</v>
      </c>
      <c r="J256" s="1" t="s">
        <v>381</v>
      </c>
      <c r="K256" s="6">
        <f>Registro_Ordini[[#This Row],[Numero]]*Registro_Ordini[[#This Row],[Prezzo]]</f>
        <v>14686</v>
      </c>
      <c r="L256" s="10">
        <v>0.93474999999999997</v>
      </c>
      <c r="M256" s="6">
        <f>Registro_Ordini[[#This Row],[Importo]]*Registro_Ordini[[#This Row],[Cambio]]</f>
        <v>13727.738499999999</v>
      </c>
      <c r="N256" s="1">
        <f ca="1">IFERROR(_xlfn.NUMBERVALUE(OFFSET(Origine,MATCH(Registro_Ordini[[#This Row],[Titolo]],Descrizioni,0),MATCH("Price",Intestazioni,0)-1,1,1)),"")</f>
        <v>112.2</v>
      </c>
      <c r="O256" s="18">
        <f ca="1">IF(OR(Registro_Ordini[[#This Row],[Price]]=0,Registro_Ordini[[#This Row],[Price]]=""),"",IF(Registro_Ordini[[#This Row],[Tipo]]="Sell",Registro_Ordini[[#This Row],[Prezzo]]/Registro_Ordini[[#This Row],[Price]]-1,Registro_Ordini[[#This Row],[Price]]/Registro_Ordini[[#This Row],[Prezzo]]-1))</f>
        <v>6.9590085795996126E-2</v>
      </c>
      <c r="P256" s="15">
        <v>1.9254943043846499E-2</v>
      </c>
      <c r="Q256" s="3">
        <v>0.55128007091174824</v>
      </c>
      <c r="R256" s="3">
        <v>0.20976808745055969</v>
      </c>
      <c r="S256" s="3">
        <v>0.14956316932576239</v>
      </c>
      <c r="T256" s="3">
        <v>0</v>
      </c>
      <c r="U256" s="3">
        <v>8.9388672311929512E-2</v>
      </c>
      <c r="V256" s="3"/>
      <c r="W256" s="4"/>
    </row>
    <row r="257" spans="1:23" s="1" customFormat="1" ht="24.95" customHeight="1" x14ac:dyDescent="0.2">
      <c r="A257" s="8">
        <v>45995.706111111111</v>
      </c>
      <c r="B257" s="7">
        <v>45995.706111111111</v>
      </c>
      <c r="C257" s="9" t="s">
        <v>385</v>
      </c>
      <c r="D257" s="1" t="s">
        <v>388</v>
      </c>
      <c r="E257" s="1" t="s">
        <v>403</v>
      </c>
      <c r="F257" s="1" t="s">
        <v>416</v>
      </c>
      <c r="G257" s="1" t="s">
        <v>365</v>
      </c>
      <c r="H257" s="2">
        <v>-100</v>
      </c>
      <c r="I257" s="16">
        <v>50.07</v>
      </c>
      <c r="J257" s="1" t="s">
        <v>381</v>
      </c>
      <c r="K257" s="6">
        <f>Registro_Ordini[[#This Row],[Numero]]*Registro_Ordini[[#This Row],[Prezzo]]</f>
        <v>-5007</v>
      </c>
      <c r="L257" s="10">
        <v>1</v>
      </c>
      <c r="M257" s="6">
        <f>Registro_Ordini[[#This Row],[Importo]]*Registro_Ordini[[#This Row],[Cambio]]</f>
        <v>-5007</v>
      </c>
      <c r="N257" s="1">
        <f ca="1">IFERROR(_xlfn.NUMBERVALUE(OFFSET(Origine,MATCH(Registro_Ordini[[#This Row],[Titolo]],Descrizioni,0),MATCH("Price",Intestazioni,0)-1,1,1)),"")</f>
        <v>56.29</v>
      </c>
      <c r="O257" s="18">
        <f ca="1">IF(OR(Registro_Ordini[[#This Row],[Price]]=0,Registro_Ordini[[#This Row],[Price]]=""),"",IF(Registro_Ordini[[#This Row],[Tipo]]="Sell",Registro_Ordini[[#This Row],[Prezzo]]/Registro_Ordini[[#This Row],[Price]]-1,Registro_Ordini[[#This Row],[Price]]/Registro_Ordini[[#This Row],[Prezzo]]-1))</f>
        <v>-0.11049920056848461</v>
      </c>
      <c r="P257" s="15">
        <v>-3.8002197076412017E-2</v>
      </c>
      <c r="Q257" s="3">
        <v>5.8183874232310022E-2</v>
      </c>
      <c r="R257" s="3">
        <v>0.57552101612009243</v>
      </c>
      <c r="S257" s="3">
        <v>0.20027969969332479</v>
      </c>
      <c r="T257" s="3">
        <v>5.0301110647906301E-2</v>
      </c>
      <c r="U257" s="3">
        <v>0.11571429930636662</v>
      </c>
      <c r="V257" s="3"/>
      <c r="W257" s="4"/>
    </row>
    <row r="258" spans="1:23" s="1" customFormat="1" ht="24.95" customHeight="1" x14ac:dyDescent="0.2">
      <c r="A258" s="8">
        <v>45995.689409722225</v>
      </c>
      <c r="B258" s="7">
        <v>45995.689409722225</v>
      </c>
      <c r="C258" s="9" t="s">
        <v>379</v>
      </c>
      <c r="D258" s="1" t="s">
        <v>388</v>
      </c>
      <c r="E258" s="1" t="s">
        <v>389</v>
      </c>
      <c r="F258" s="1" t="s">
        <v>414</v>
      </c>
      <c r="G258" s="1" t="s">
        <v>371</v>
      </c>
      <c r="H258" s="2">
        <v>120</v>
      </c>
      <c r="I258" s="16">
        <v>145.19999999999999</v>
      </c>
      <c r="J258" s="1" t="s">
        <v>366</v>
      </c>
      <c r="K258" s="6">
        <f>Registro_Ordini[[#This Row],[Numero]]*Registro_Ordini[[#This Row],[Prezzo]]</f>
        <v>17424</v>
      </c>
      <c r="L258" s="10">
        <v>0.85680000000000001</v>
      </c>
      <c r="M258" s="6">
        <f>Registro_Ordini[[#This Row],[Importo]]*Registro_Ordini[[#This Row],[Cambio]]</f>
        <v>14928.8832</v>
      </c>
      <c r="N258" s="1">
        <f ca="1">IFERROR(_xlfn.NUMBERVALUE(OFFSET(Origine,MATCH(Registro_Ordini[[#This Row],[Titolo]],Descrizioni,0),MATCH("Price",Intestazioni,0)-1,1,1)),"")</f>
        <v>137.36000000000001</v>
      </c>
      <c r="O258" s="18">
        <f ca="1">IF(OR(Registro_Ordini[[#This Row],[Price]]=0,Registro_Ordini[[#This Row],[Price]]=""),"",IF(Registro_Ordini[[#This Row],[Tipo]]="Sell",Registro_Ordini[[#This Row],[Prezzo]]/Registro_Ordini[[#This Row],[Price]]-1,Registro_Ordini[[#This Row],[Price]]/Registro_Ordini[[#This Row],[Prezzo]]-1))</f>
        <v>-5.3994490358126535E-2</v>
      </c>
      <c r="P258" s="15">
        <v>2.5075632006657047E-2</v>
      </c>
      <c r="Q258" s="3">
        <v>0.10324793084339387</v>
      </c>
      <c r="R258" s="3">
        <v>0.34421105618263881</v>
      </c>
      <c r="S258" s="3">
        <v>0.41762651410178675</v>
      </c>
      <c r="T258" s="3">
        <v>0</v>
      </c>
      <c r="U258" s="3">
        <v>0.13491449887218057</v>
      </c>
      <c r="V258" s="3"/>
      <c r="W258" s="4"/>
    </row>
    <row r="259" spans="1:23" s="1" customFormat="1" ht="24.95" customHeight="1" x14ac:dyDescent="0.2">
      <c r="A259" s="8">
        <v>45995.689398148148</v>
      </c>
      <c r="B259" s="7">
        <v>45995.689398148148</v>
      </c>
      <c r="C259" s="9" t="s">
        <v>382</v>
      </c>
      <c r="D259" s="1" t="s">
        <v>388</v>
      </c>
      <c r="E259" s="1" t="s">
        <v>389</v>
      </c>
      <c r="F259" s="1" t="s">
        <v>414</v>
      </c>
      <c r="G259" s="1" t="s">
        <v>371</v>
      </c>
      <c r="H259" s="2">
        <v>220</v>
      </c>
      <c r="I259" s="16">
        <v>145.19999999999999</v>
      </c>
      <c r="J259" s="1" t="s">
        <v>366</v>
      </c>
      <c r="K259" s="6">
        <f>Registro_Ordini[[#This Row],[Numero]]*Registro_Ordini[[#This Row],[Prezzo]]</f>
        <v>31943.999999999996</v>
      </c>
      <c r="L259" s="10">
        <v>0.85680000000000001</v>
      </c>
      <c r="M259" s="6">
        <f>Registro_Ordini[[#This Row],[Importo]]*Registro_Ordini[[#This Row],[Cambio]]</f>
        <v>27369.619199999997</v>
      </c>
      <c r="N259" s="1">
        <f ca="1">IFERROR(_xlfn.NUMBERVALUE(OFFSET(Origine,MATCH(Registro_Ordini[[#This Row],[Titolo]],Descrizioni,0),MATCH("Price",Intestazioni,0)-1,1,1)),"")</f>
        <v>137.36000000000001</v>
      </c>
      <c r="O259" s="18">
        <f ca="1">IF(OR(Registro_Ordini[[#This Row],[Price]]=0,Registro_Ordini[[#This Row],[Price]]=""),"",IF(Registro_Ordini[[#This Row],[Tipo]]="Sell",Registro_Ordini[[#This Row],[Prezzo]]/Registro_Ordini[[#This Row],[Price]]-1,Registro_Ordini[[#This Row],[Price]]/Registro_Ordini[[#This Row],[Prezzo]]-1))</f>
        <v>-5.3994490358126535E-2</v>
      </c>
      <c r="P259" s="15">
        <v>2.5133130791962725E-2</v>
      </c>
      <c r="Q259" s="3">
        <v>0.12305875635262199</v>
      </c>
      <c r="R259" s="3">
        <v>0.33282203186684867</v>
      </c>
      <c r="S259" s="3">
        <v>0.40424605248024809</v>
      </c>
      <c r="T259" s="3">
        <v>0</v>
      </c>
      <c r="U259" s="3">
        <v>0.13987315930028119</v>
      </c>
      <c r="V259" s="3"/>
      <c r="W259" s="4"/>
    </row>
    <row r="260" spans="1:23" s="1" customFormat="1" ht="24.95" customHeight="1" x14ac:dyDescent="0.2">
      <c r="A260" s="8">
        <v>45995.689386574071</v>
      </c>
      <c r="B260" s="7">
        <v>45995.689386574071</v>
      </c>
      <c r="C260" s="9" t="s">
        <v>383</v>
      </c>
      <c r="D260" s="1" t="s">
        <v>388</v>
      </c>
      <c r="E260" s="1" t="s">
        <v>389</v>
      </c>
      <c r="F260" s="1" t="s">
        <v>414</v>
      </c>
      <c r="G260" s="1" t="s">
        <v>371</v>
      </c>
      <c r="H260" s="2">
        <v>130</v>
      </c>
      <c r="I260" s="16">
        <v>145.19999999999999</v>
      </c>
      <c r="J260" s="1" t="s">
        <v>366</v>
      </c>
      <c r="K260" s="6">
        <f>Registro_Ordini[[#This Row],[Numero]]*Registro_Ordini[[#This Row],[Prezzo]]</f>
        <v>18876</v>
      </c>
      <c r="L260" s="10">
        <v>0.85680000000000001</v>
      </c>
      <c r="M260" s="6">
        <f>Registro_Ordini[[#This Row],[Importo]]*Registro_Ordini[[#This Row],[Cambio]]</f>
        <v>16172.9568</v>
      </c>
      <c r="N260" s="1">
        <f ca="1">IFERROR(_xlfn.NUMBERVALUE(OFFSET(Origine,MATCH(Registro_Ordini[[#This Row],[Titolo]],Descrizioni,0),MATCH("Price",Intestazioni,0)-1,1,1)),"")</f>
        <v>137.36000000000001</v>
      </c>
      <c r="O260" s="18">
        <f ca="1">IF(OR(Registro_Ordini[[#This Row],[Price]]=0,Registro_Ordini[[#This Row],[Price]]=""),"",IF(Registro_Ordini[[#This Row],[Tipo]]="Sell",Registro_Ordini[[#This Row],[Prezzo]]/Registro_Ordini[[#This Row],[Price]]-1,Registro_Ordini[[#This Row],[Price]]/Registro_Ordini[[#This Row],[Prezzo]]-1))</f>
        <v>-5.3994490358126535E-2</v>
      </c>
      <c r="P260" s="15">
        <v>2.4470566515074722E-2</v>
      </c>
      <c r="Q260" s="3">
        <v>0.12120239807697246</v>
      </c>
      <c r="R260" s="3">
        <v>0.34040460424148661</v>
      </c>
      <c r="S260" s="3">
        <v>0.40314582795134069</v>
      </c>
      <c r="T260" s="3">
        <v>0</v>
      </c>
      <c r="U260" s="3">
        <v>0.13524716973020018</v>
      </c>
      <c r="V260" s="3"/>
      <c r="W260" s="4"/>
    </row>
    <row r="261" spans="1:23" s="1" customFormat="1" ht="24.95" customHeight="1" x14ac:dyDescent="0.2">
      <c r="A261" s="8">
        <v>45995.68922453704</v>
      </c>
      <c r="B261" s="7">
        <v>45995.68922453704</v>
      </c>
      <c r="C261" s="9" t="s">
        <v>78</v>
      </c>
      <c r="D261" s="1" t="s">
        <v>388</v>
      </c>
      <c r="E261" s="1" t="s">
        <v>389</v>
      </c>
      <c r="F261" s="1" t="s">
        <v>414</v>
      </c>
      <c r="G261" s="1" t="s">
        <v>371</v>
      </c>
      <c r="H261" s="2">
        <v>100</v>
      </c>
      <c r="I261" s="16">
        <v>145.19999999999999</v>
      </c>
      <c r="J261" s="1" t="s">
        <v>366</v>
      </c>
      <c r="K261" s="6">
        <f>Registro_Ordini[[#This Row],[Numero]]*Registro_Ordini[[#This Row],[Prezzo]]</f>
        <v>14519.999999999998</v>
      </c>
      <c r="L261" s="10">
        <v>0.80044999999999999</v>
      </c>
      <c r="M261" s="6">
        <f>Registro_Ordini[[#This Row],[Importo]]*Registro_Ordini[[#This Row],[Cambio]]</f>
        <v>11622.533999999998</v>
      </c>
      <c r="N261" s="1">
        <f ca="1">IFERROR(_xlfn.NUMBERVALUE(OFFSET(Origine,MATCH(Registro_Ordini[[#This Row],[Titolo]],Descrizioni,0),MATCH("Price",Intestazioni,0)-1,1,1)),"")</f>
        <v>137.36000000000001</v>
      </c>
      <c r="O261" s="18">
        <f ca="1">IF(OR(Registro_Ordini[[#This Row],[Price]]=0,Registro_Ordini[[#This Row],[Price]]=""),"",IF(Registro_Ordini[[#This Row],[Tipo]]="Sell",Registro_Ordini[[#This Row],[Prezzo]]/Registro_Ordini[[#This Row],[Price]]-1,Registro_Ordini[[#This Row],[Price]]/Registro_Ordini[[#This Row],[Prezzo]]-1))</f>
        <v>-5.3994490358126535E-2</v>
      </c>
      <c r="P261" s="15">
        <v>2.0771633898114056E-2</v>
      </c>
      <c r="Q261" s="3">
        <v>0.130587724918416</v>
      </c>
      <c r="R261" s="3">
        <v>0.14306939774614347</v>
      </c>
      <c r="S261" s="3">
        <v>0.61001365288772569</v>
      </c>
      <c r="T261" s="3">
        <v>0</v>
      </c>
      <c r="U261" s="3">
        <v>0.11632922444771489</v>
      </c>
      <c r="V261" s="3"/>
      <c r="W261" s="4"/>
    </row>
    <row r="262" spans="1:23" s="1" customFormat="1" ht="24.95" customHeight="1" x14ac:dyDescent="0.2">
      <c r="A262" s="8">
        <v>45995.689074074071</v>
      </c>
      <c r="B262" s="7">
        <v>45995.689074074071</v>
      </c>
      <c r="C262" s="9" t="s">
        <v>375</v>
      </c>
      <c r="D262" s="1" t="s">
        <v>388</v>
      </c>
      <c r="E262" s="1" t="s">
        <v>389</v>
      </c>
      <c r="F262" s="1" t="s">
        <v>414</v>
      </c>
      <c r="G262" s="1" t="s">
        <v>371</v>
      </c>
      <c r="H262" s="2">
        <v>96</v>
      </c>
      <c r="I262" s="16">
        <v>145.19999999999999</v>
      </c>
      <c r="J262" s="1" t="s">
        <v>366</v>
      </c>
      <c r="K262" s="6">
        <f>Registro_Ordini[[#This Row],[Numero]]*Registro_Ordini[[#This Row],[Prezzo]]</f>
        <v>13939.199999999999</v>
      </c>
      <c r="L262" s="10">
        <v>0.80044999999999999</v>
      </c>
      <c r="M262" s="6">
        <f>Registro_Ordini[[#This Row],[Importo]]*Registro_Ordini[[#This Row],[Cambio]]</f>
        <v>11157.63264</v>
      </c>
      <c r="N262" s="1">
        <f ca="1">IFERROR(_xlfn.NUMBERVALUE(OFFSET(Origine,MATCH(Registro_Ordini[[#This Row],[Titolo]],Descrizioni,0),MATCH("Price",Intestazioni,0)-1,1,1)),"")</f>
        <v>137.36000000000001</v>
      </c>
      <c r="O262" s="18">
        <f ca="1">IF(OR(Registro_Ordini[[#This Row],[Price]]=0,Registro_Ordini[[#This Row],[Price]]=""),"",IF(Registro_Ordini[[#This Row],[Tipo]]="Sell",Registro_Ordini[[#This Row],[Prezzo]]/Registro_Ordini[[#This Row],[Price]]-1,Registro_Ordini[[#This Row],[Price]]/Registro_Ordini[[#This Row],[Prezzo]]-1))</f>
        <v>-5.3994490358126535E-2</v>
      </c>
      <c r="P262" s="15">
        <v>1.3019740770430936E-2</v>
      </c>
      <c r="Q262" s="3">
        <v>0.15116587804980883</v>
      </c>
      <c r="R262" s="3">
        <v>0.33429328926361873</v>
      </c>
      <c r="S262" s="3">
        <v>0.38677033901672719</v>
      </c>
      <c r="T262" s="3">
        <v>0</v>
      </c>
      <c r="U262" s="3">
        <v>0.12777049366984511</v>
      </c>
      <c r="V262" s="3"/>
      <c r="W262" s="4"/>
    </row>
    <row r="263" spans="1:23" s="1" customFormat="1" ht="24.95" customHeight="1" x14ac:dyDescent="0.2">
      <c r="A263" s="8">
        <v>45995.689062500001</v>
      </c>
      <c r="B263" s="7">
        <v>45995.689062500001</v>
      </c>
      <c r="C263" s="9" t="s">
        <v>376</v>
      </c>
      <c r="D263" s="1" t="s">
        <v>388</v>
      </c>
      <c r="E263" s="1" t="s">
        <v>389</v>
      </c>
      <c r="F263" s="1" t="s">
        <v>414</v>
      </c>
      <c r="G263" s="1" t="s">
        <v>371</v>
      </c>
      <c r="H263" s="2">
        <v>40</v>
      </c>
      <c r="I263" s="16">
        <v>145.19999999999999</v>
      </c>
      <c r="J263" s="1" t="s">
        <v>366</v>
      </c>
      <c r="K263" s="6">
        <f>Registro_Ordini[[#This Row],[Numero]]*Registro_Ordini[[#This Row],[Prezzo]]</f>
        <v>5808</v>
      </c>
      <c r="L263" s="10">
        <v>0.80044999999999999</v>
      </c>
      <c r="M263" s="6">
        <f>Registro_Ordini[[#This Row],[Importo]]*Registro_Ordini[[#This Row],[Cambio]]</f>
        <v>4649.0136000000002</v>
      </c>
      <c r="N263" s="1">
        <f ca="1">IFERROR(_xlfn.NUMBERVALUE(OFFSET(Origine,MATCH(Registro_Ordini[[#This Row],[Titolo]],Descrizioni,0),MATCH("Price",Intestazioni,0)-1,1,1)),"")</f>
        <v>137.36000000000001</v>
      </c>
      <c r="O263" s="18">
        <f ca="1">IF(OR(Registro_Ordini[[#This Row],[Price]]=0,Registro_Ordini[[#This Row],[Price]]=""),"",IF(Registro_Ordini[[#This Row],[Tipo]]="Sell",Registro_Ordini[[#This Row],[Prezzo]]/Registro_Ordini[[#This Row],[Price]]-1,Registro_Ordini[[#This Row],[Price]]/Registro_Ordini[[#This Row],[Prezzo]]-1))</f>
        <v>-5.3994490358126535E-2</v>
      </c>
      <c r="P263" s="15">
        <v>1.6958466279711169E-2</v>
      </c>
      <c r="Q263" s="3">
        <v>9.6750767140293001E-2</v>
      </c>
      <c r="R263" s="3">
        <v>0.27362878604468216</v>
      </c>
      <c r="S263" s="3">
        <v>0.46348203430168389</v>
      </c>
      <c r="T263" s="3">
        <v>0</v>
      </c>
      <c r="U263" s="3">
        <v>0.16613841251334091</v>
      </c>
      <c r="V263" s="3"/>
      <c r="W263" s="4"/>
    </row>
    <row r="264" spans="1:23" s="1" customFormat="1" ht="24.95" customHeight="1" x14ac:dyDescent="0.2">
      <c r="A264" s="8">
        <v>45995.689050925925</v>
      </c>
      <c r="B264" s="7">
        <v>45995.689050925925</v>
      </c>
      <c r="C264" s="9" t="s">
        <v>377</v>
      </c>
      <c r="D264" s="1" t="s">
        <v>388</v>
      </c>
      <c r="E264" s="1" t="s">
        <v>389</v>
      </c>
      <c r="F264" s="1" t="s">
        <v>414</v>
      </c>
      <c r="G264" s="1" t="s">
        <v>371</v>
      </c>
      <c r="H264" s="2">
        <v>220</v>
      </c>
      <c r="I264" s="16">
        <v>145.19999999999999</v>
      </c>
      <c r="J264" s="1" t="s">
        <v>366</v>
      </c>
      <c r="K264" s="6">
        <f>Registro_Ordini[[#This Row],[Numero]]*Registro_Ordini[[#This Row],[Prezzo]]</f>
        <v>31943.999999999996</v>
      </c>
      <c r="L264" s="10">
        <v>0.80044999999999999</v>
      </c>
      <c r="M264" s="6">
        <f>Registro_Ordini[[#This Row],[Importo]]*Registro_Ordini[[#This Row],[Cambio]]</f>
        <v>25569.574799999999</v>
      </c>
      <c r="N264" s="1">
        <f ca="1">IFERROR(_xlfn.NUMBERVALUE(OFFSET(Origine,MATCH(Registro_Ordini[[#This Row],[Titolo]],Descrizioni,0),MATCH("Price",Intestazioni,0)-1,1,1)),"")</f>
        <v>137.36000000000001</v>
      </c>
      <c r="O264" s="18">
        <f ca="1">IF(OR(Registro_Ordini[[#This Row],[Price]]=0,Registro_Ordini[[#This Row],[Price]]=""),"",IF(Registro_Ordini[[#This Row],[Tipo]]="Sell",Registro_Ordini[[#This Row],[Prezzo]]/Registro_Ordini[[#This Row],[Price]]-1,Registro_Ordini[[#This Row],[Price]]/Registro_Ordini[[#This Row],[Prezzo]]-1))</f>
        <v>-5.3994490358126535E-2</v>
      </c>
      <c r="P264" s="15">
        <v>1.5280577964626839E-2</v>
      </c>
      <c r="Q264" s="3">
        <v>0.14552972932744021</v>
      </c>
      <c r="R264" s="3">
        <v>0.30607945369877437</v>
      </c>
      <c r="S264" s="3">
        <v>0.41852703422311699</v>
      </c>
      <c r="T264" s="3">
        <v>0</v>
      </c>
      <c r="U264" s="3">
        <v>0.1298637827506684</v>
      </c>
      <c r="V264" s="3"/>
      <c r="W264" s="4"/>
    </row>
    <row r="265" spans="1:23" s="1" customFormat="1" ht="24.95" customHeight="1" x14ac:dyDescent="0.2">
      <c r="A265" s="8">
        <v>45995.689039351855</v>
      </c>
      <c r="B265" s="7">
        <v>45995.689039351855</v>
      </c>
      <c r="C265" s="9" t="s">
        <v>378</v>
      </c>
      <c r="D265" s="1" t="s">
        <v>388</v>
      </c>
      <c r="E265" s="1" t="s">
        <v>389</v>
      </c>
      <c r="F265" s="1" t="s">
        <v>414</v>
      </c>
      <c r="G265" s="1" t="s">
        <v>371</v>
      </c>
      <c r="H265" s="2">
        <v>70</v>
      </c>
      <c r="I265" s="16">
        <v>145.19999999999999</v>
      </c>
      <c r="J265" s="1" t="s">
        <v>366</v>
      </c>
      <c r="K265" s="6">
        <f>Registro_Ordini[[#This Row],[Numero]]*Registro_Ordini[[#This Row],[Prezzo]]</f>
        <v>10164</v>
      </c>
      <c r="L265" s="10">
        <v>0.80044999999999999</v>
      </c>
      <c r="M265" s="6">
        <f>Registro_Ordini[[#This Row],[Importo]]*Registro_Ordini[[#This Row],[Cambio]]</f>
        <v>8135.7737999999999</v>
      </c>
      <c r="N265" s="1">
        <f ca="1">IFERROR(_xlfn.NUMBERVALUE(OFFSET(Origine,MATCH(Registro_Ordini[[#This Row],[Titolo]],Descrizioni,0),MATCH("Price",Intestazioni,0)-1,1,1)),"")</f>
        <v>137.36000000000001</v>
      </c>
      <c r="O265" s="18">
        <f ca="1">IF(OR(Registro_Ordini[[#This Row],[Price]]=0,Registro_Ordini[[#This Row],[Price]]=""),"",IF(Registro_Ordini[[#This Row],[Tipo]]="Sell",Registro_Ordini[[#This Row],[Prezzo]]/Registro_Ordini[[#This Row],[Price]]-1,Registro_Ordini[[#This Row],[Price]]/Registro_Ordini[[#This Row],[Prezzo]]-1))</f>
        <v>-5.3994490358126535E-2</v>
      </c>
      <c r="P265" s="15">
        <v>1.4960351459019007E-2</v>
      </c>
      <c r="Q265" s="3">
        <v>0.15421182923074933</v>
      </c>
      <c r="R265" s="3">
        <v>0.29521450388192472</v>
      </c>
      <c r="S265" s="3">
        <v>0.42884686363703889</v>
      </c>
      <c r="T265" s="3">
        <v>0</v>
      </c>
      <c r="U265" s="3">
        <v>0.12172680325028692</v>
      </c>
      <c r="V265" s="3"/>
      <c r="W265" s="4"/>
    </row>
    <row r="266" spans="1:23" s="1" customFormat="1" ht="24.95" customHeight="1" x14ac:dyDescent="0.2">
      <c r="A266" s="8">
        <v>45995.685358796298</v>
      </c>
      <c r="B266" s="7">
        <v>45995.685358796298</v>
      </c>
      <c r="C266" s="9" t="s">
        <v>367</v>
      </c>
      <c r="D266" s="1" t="s">
        <v>388</v>
      </c>
      <c r="E266" s="1" t="s">
        <v>389</v>
      </c>
      <c r="F266" s="1" t="s">
        <v>414</v>
      </c>
      <c r="G266" s="1" t="s">
        <v>371</v>
      </c>
      <c r="H266" s="2">
        <v>450</v>
      </c>
      <c r="I266" s="16">
        <v>145.1</v>
      </c>
      <c r="J266" s="1" t="s">
        <v>366</v>
      </c>
      <c r="K266" s="6">
        <f>Registro_Ordini[[#This Row],[Numero]]*Registro_Ordini[[#This Row],[Prezzo]]</f>
        <v>65295</v>
      </c>
      <c r="L266" s="10">
        <v>0.80084999999999995</v>
      </c>
      <c r="M266" s="6">
        <f>Registro_Ordini[[#This Row],[Importo]]*Registro_Ordini[[#This Row],[Cambio]]</f>
        <v>52291.500749999999</v>
      </c>
      <c r="N266" s="1">
        <f ca="1">IFERROR(_xlfn.NUMBERVALUE(OFFSET(Origine,MATCH(Registro_Ordini[[#This Row],[Titolo]],Descrizioni,0),MATCH("Price",Intestazioni,0)-1,1,1)),"")</f>
        <v>137.36000000000001</v>
      </c>
      <c r="O266" s="18">
        <f ca="1">IF(OR(Registro_Ordini[[#This Row],[Price]]=0,Registro_Ordini[[#This Row],[Price]]=""),"",IF(Registro_Ordini[[#This Row],[Tipo]]="Sell",Registro_Ordini[[#This Row],[Prezzo]]/Registro_Ordini[[#This Row],[Price]]-1,Registro_Ordini[[#This Row],[Price]]/Registro_Ordini[[#This Row],[Prezzo]]-1))</f>
        <v>-5.3342522398345804E-2</v>
      </c>
      <c r="P266" s="15">
        <v>1.4941813011962905E-2</v>
      </c>
      <c r="Q266" s="3">
        <v>0.16855200390223349</v>
      </c>
      <c r="R266" s="3">
        <v>0.38672790098443049</v>
      </c>
      <c r="S266" s="3">
        <v>0.35711536938326804</v>
      </c>
      <c r="T266" s="3">
        <v>0</v>
      </c>
      <c r="U266" s="3">
        <v>8.7604725730068014E-2</v>
      </c>
      <c r="V266" s="3"/>
      <c r="W266" s="4"/>
    </row>
    <row r="267" spans="1:23" s="1" customFormat="1" ht="24.95" customHeight="1" x14ac:dyDescent="0.2">
      <c r="A267" s="8">
        <v>45995.684131944443</v>
      </c>
      <c r="B267" s="7">
        <v>45995.684131944443</v>
      </c>
      <c r="C267" s="9" t="s">
        <v>367</v>
      </c>
      <c r="D267" s="1" t="s">
        <v>388</v>
      </c>
      <c r="E267" s="1" t="s">
        <v>389</v>
      </c>
      <c r="F267" s="1" t="s">
        <v>409</v>
      </c>
      <c r="G267" s="1" t="s">
        <v>365</v>
      </c>
      <c r="H267" s="2">
        <v>-440</v>
      </c>
      <c r="I267" s="16">
        <v>204.15</v>
      </c>
      <c r="J267" s="1" t="s">
        <v>366</v>
      </c>
      <c r="K267" s="6">
        <f>Registro_Ordini[[#This Row],[Numero]]*Registro_Ordini[[#This Row],[Prezzo]]</f>
        <v>-89826</v>
      </c>
      <c r="L267" s="10">
        <v>0.80084999999999995</v>
      </c>
      <c r="M267" s="6">
        <f>Registro_Ordini[[#This Row],[Importo]]*Registro_Ordini[[#This Row],[Cambio]]</f>
        <v>-71937.152099999992</v>
      </c>
      <c r="N267" s="1">
        <f ca="1">IFERROR(_xlfn.NUMBERVALUE(OFFSET(Origine,MATCH(Registro_Ordini[[#This Row],[Titolo]],Descrizioni,0),MATCH("Price",Intestazioni,0)-1,1,1)),"")</f>
        <v>245.69</v>
      </c>
      <c r="O267" s="18">
        <f ca="1">IF(OR(Registro_Ordini[[#This Row],[Price]]=0,Registro_Ordini[[#This Row],[Price]]=""),"",IF(Registro_Ordini[[#This Row],[Tipo]]="Sell",Registro_Ordini[[#This Row],[Prezzo]]/Registro_Ordini[[#This Row],[Price]]-1,Registro_Ordini[[#This Row],[Price]]/Registro_Ordini[[#This Row],[Prezzo]]-1))</f>
        <v>-0.16907485042126258</v>
      </c>
      <c r="P267" s="15">
        <v>-2.0555376301593993E-2</v>
      </c>
      <c r="Q267" s="3">
        <v>0.18349381691419636</v>
      </c>
      <c r="R267" s="3">
        <v>0.38672790098443049</v>
      </c>
      <c r="S267" s="3">
        <v>0.34217355637130525</v>
      </c>
      <c r="T267" s="3">
        <v>0</v>
      </c>
      <c r="U267" s="3">
        <v>8.7604725730068014E-2</v>
      </c>
      <c r="V267" s="3"/>
      <c r="W267" s="4"/>
    </row>
    <row r="268" spans="1:23" s="1" customFormat="1" ht="24.95" customHeight="1" x14ac:dyDescent="0.2">
      <c r="A268" s="8">
        <v>45995.497719907406</v>
      </c>
      <c r="B268" s="7">
        <v>45995.497719907406</v>
      </c>
      <c r="C268" s="9" t="s">
        <v>78</v>
      </c>
      <c r="D268" s="1" t="s">
        <v>368</v>
      </c>
      <c r="E268" s="1" t="s">
        <v>369</v>
      </c>
      <c r="F268" s="1" t="s">
        <v>4322</v>
      </c>
      <c r="G268" s="1" t="s">
        <v>371</v>
      </c>
      <c r="H268" s="2">
        <v>10000</v>
      </c>
      <c r="I268" s="16">
        <v>0.98750000000000004</v>
      </c>
      <c r="J268" s="1" t="s">
        <v>369</v>
      </c>
      <c r="K268" s="6">
        <f>Registro_Ordini[[#This Row],[Numero]]*Registro_Ordini[[#This Row],[Prezzo]]</f>
        <v>9875</v>
      </c>
      <c r="L268" s="10">
        <v>1.0000001300000001</v>
      </c>
      <c r="M268" s="6">
        <f>Registro_Ordini[[#This Row],[Importo]]*Registro_Ordini[[#This Row],[Cambio]]</f>
        <v>9875.0012837500017</v>
      </c>
      <c r="N268" s="1">
        <f ca="1">IFERROR(_xlfn.NUMBERVALUE(OFFSET(Origine,MATCH(Registro_Ordini[[#This Row],[Titolo]],Descrizioni,0),MATCH("Price",Intestazioni,0)-1,1,1)),"")</f>
        <v>0.98951250000000002</v>
      </c>
      <c r="O268" s="18">
        <f ca="1">IF(OR(Registro_Ordini[[#This Row],[Price]]=0,Registro_Ordini[[#This Row],[Price]]=""),"",IF(Registro_Ordini[[#This Row],[Tipo]]="Sell",Registro_Ordini[[#This Row],[Prezzo]]/Registro_Ordini[[#This Row],[Price]]-1,Registro_Ordini[[#This Row],[Price]]/Registro_Ordini[[#This Row],[Prezzo]]-1))</f>
        <v>2.0379746835443857E-3</v>
      </c>
      <c r="P268" s="15">
        <v>1.7649013600877665E-2</v>
      </c>
      <c r="Q268" s="3">
        <v>0.1511025758328475</v>
      </c>
      <c r="R268" s="3">
        <v>0.14307382628242782</v>
      </c>
      <c r="S268" s="3">
        <v>0.58949077260972227</v>
      </c>
      <c r="T268" s="3">
        <v>0</v>
      </c>
      <c r="U268" s="3">
        <v>0.11633282527500229</v>
      </c>
      <c r="V268" s="3"/>
      <c r="W268" s="4"/>
    </row>
    <row r="269" spans="1:23" s="1" customFormat="1" ht="24.95" customHeight="1" x14ac:dyDescent="0.2">
      <c r="A269" s="8">
        <v>45995.49728009259</v>
      </c>
      <c r="B269" s="7">
        <v>45995.497291666667</v>
      </c>
      <c r="C269" s="9" t="s">
        <v>375</v>
      </c>
      <c r="D269" s="1" t="s">
        <v>368</v>
      </c>
      <c r="E269" s="1" t="s">
        <v>369</v>
      </c>
      <c r="F269" s="1" t="s">
        <v>4322</v>
      </c>
      <c r="G269" s="1" t="s">
        <v>371</v>
      </c>
      <c r="H269" s="2">
        <v>40000</v>
      </c>
      <c r="I269" s="16">
        <v>0.98750000000000004</v>
      </c>
      <c r="J269" s="1" t="s">
        <v>369</v>
      </c>
      <c r="K269" s="6">
        <f>Registro_Ordini[[#This Row],[Numero]]*Registro_Ordini[[#This Row],[Prezzo]]</f>
        <v>39500</v>
      </c>
      <c r="L269" s="10">
        <v>1.0000001300000001</v>
      </c>
      <c r="M269" s="6">
        <f>Registro_Ordini[[#This Row],[Importo]]*Registro_Ordini[[#This Row],[Cambio]]</f>
        <v>39500.005135000007</v>
      </c>
      <c r="N269" s="1">
        <f ca="1">IFERROR(_xlfn.NUMBERVALUE(OFFSET(Origine,MATCH(Registro_Ordini[[#This Row],[Titolo]],Descrizioni,0),MATCH("Price",Intestazioni,0)-1,1,1)),"")</f>
        <v>0.98951250000000002</v>
      </c>
      <c r="O269" s="18">
        <f ca="1">IF(OR(Registro_Ordini[[#This Row],[Price]]=0,Registro_Ordini[[#This Row],[Price]]=""),"",IF(Registro_Ordini[[#This Row],[Tipo]]="Sell",Registro_Ordini[[#This Row],[Prezzo]]/Registro_Ordini[[#This Row],[Price]]-1,Registro_Ordini[[#This Row],[Price]]/Registro_Ordini[[#This Row],[Prezzo]]-1))</f>
        <v>2.0379746835443857E-3</v>
      </c>
      <c r="P269" s="15">
        <v>4.6104010051151778E-2</v>
      </c>
      <c r="Q269" s="3">
        <v>0.12927526390701347</v>
      </c>
      <c r="R269" s="3">
        <v>0.36929704518664741</v>
      </c>
      <c r="S269" s="3">
        <v>0.37390224831966146</v>
      </c>
      <c r="T269" s="3">
        <v>0</v>
      </c>
      <c r="U269" s="3">
        <v>0.12752544258667761</v>
      </c>
      <c r="V269" s="3"/>
      <c r="W269" s="4"/>
    </row>
    <row r="270" spans="1:23" s="1" customFormat="1" ht="24.95" customHeight="1" x14ac:dyDescent="0.2">
      <c r="A270" s="8">
        <v>45995.49726851852</v>
      </c>
      <c r="B270" s="7">
        <v>45995.49728009259</v>
      </c>
      <c r="C270" s="9" t="s">
        <v>376</v>
      </c>
      <c r="D270" s="1" t="s">
        <v>368</v>
      </c>
      <c r="E270" s="1" t="s">
        <v>369</v>
      </c>
      <c r="F270" s="1" t="s">
        <v>4322</v>
      </c>
      <c r="G270" s="1" t="s">
        <v>371</v>
      </c>
      <c r="H270" s="2">
        <v>10000</v>
      </c>
      <c r="I270" s="16">
        <v>0.98750000000000004</v>
      </c>
      <c r="J270" s="1" t="s">
        <v>369</v>
      </c>
      <c r="K270" s="6">
        <f>Registro_Ordini[[#This Row],[Numero]]*Registro_Ordini[[#This Row],[Prezzo]]</f>
        <v>9875</v>
      </c>
      <c r="L270" s="10">
        <v>1.0000001300000001</v>
      </c>
      <c r="M270" s="6">
        <f>Registro_Ordini[[#This Row],[Importo]]*Registro_Ordini[[#This Row],[Cambio]]</f>
        <v>9875.0012837500017</v>
      </c>
      <c r="N270" s="1">
        <f ca="1">IFERROR(_xlfn.NUMBERVALUE(OFFSET(Origine,MATCH(Registro_Ordini[[#This Row],[Titolo]],Descrizioni,0),MATCH("Price",Intestazioni,0)-1,1,1)),"")</f>
        <v>0.98951250000000002</v>
      </c>
      <c r="O270" s="18">
        <f ca="1">IF(OR(Registro_Ordini[[#This Row],[Price]]=0,Registro_Ordini[[#This Row],[Price]]=""),"",IF(Registro_Ordini[[#This Row],[Tipo]]="Sell",Registro_Ordini[[#This Row],[Prezzo]]/Registro_Ordini[[#This Row],[Price]]-1,Registro_Ordini[[#This Row],[Price]]/Registro_Ordini[[#This Row],[Prezzo]]-1))</f>
        <v>2.0379746835443857E-3</v>
      </c>
      <c r="P270" s="15">
        <v>3.6007622895207245E-2</v>
      </c>
      <c r="Q270" s="3">
        <v>7.7323977424573018E-2</v>
      </c>
      <c r="R270" s="3">
        <v>0.3099038706415001</v>
      </c>
      <c r="S270" s="3">
        <v>0.44666084909023845</v>
      </c>
      <c r="T270" s="3">
        <v>0</v>
      </c>
      <c r="U270" s="3">
        <v>0.16611130284368844</v>
      </c>
      <c r="V270" s="3"/>
      <c r="W270" s="4"/>
    </row>
    <row r="271" spans="1:23" s="1" customFormat="1" ht="24.95" customHeight="1" x14ac:dyDescent="0.2">
      <c r="A271" s="8">
        <v>45995.497256944444</v>
      </c>
      <c r="B271" s="7">
        <v>45995.49726851852</v>
      </c>
      <c r="C271" s="9" t="s">
        <v>377</v>
      </c>
      <c r="D271" s="1" t="s">
        <v>368</v>
      </c>
      <c r="E271" s="1" t="s">
        <v>369</v>
      </c>
      <c r="F271" s="1" t="s">
        <v>4322</v>
      </c>
      <c r="G271" s="1" t="s">
        <v>371</v>
      </c>
      <c r="H271" s="2">
        <v>50000</v>
      </c>
      <c r="I271" s="16">
        <v>0.98750000000000004</v>
      </c>
      <c r="J271" s="1" t="s">
        <v>369</v>
      </c>
      <c r="K271" s="6">
        <f>Registro_Ordini[[#This Row],[Numero]]*Registro_Ordini[[#This Row],[Prezzo]]</f>
        <v>49375</v>
      </c>
      <c r="L271" s="10">
        <v>1.0000001300000001</v>
      </c>
      <c r="M271" s="6">
        <f>Registro_Ordini[[#This Row],[Importo]]*Registro_Ordini[[#This Row],[Cambio]]</f>
        <v>49375.006418750003</v>
      </c>
      <c r="N271" s="1">
        <f ca="1">IFERROR(_xlfn.NUMBERVALUE(OFFSET(Origine,MATCH(Registro_Ordini[[#This Row],[Titolo]],Descrizioni,0),MATCH("Price",Intestazioni,0)-1,1,1)),"")</f>
        <v>0.98951250000000002</v>
      </c>
      <c r="O271" s="18">
        <f ca="1">IF(OR(Registro_Ordini[[#This Row],[Price]]=0,Registro_Ordini[[#This Row],[Price]]=""),"",IF(Registro_Ordini[[#This Row],[Tipo]]="Sell",Registro_Ordini[[#This Row],[Prezzo]]/Registro_Ordini[[#This Row],[Price]]-1,Registro_Ordini[[#This Row],[Price]]/Registro_Ordini[[#This Row],[Prezzo]]-1))</f>
        <v>2.0379746835443857E-3</v>
      </c>
      <c r="P271" s="15">
        <v>2.9507954496170868E-2</v>
      </c>
      <c r="Q271" s="3">
        <v>0.13104091057664352</v>
      </c>
      <c r="R271" s="3">
        <v>0.33590758499385887</v>
      </c>
      <c r="S271" s="3">
        <v>0.40318303739668954</v>
      </c>
      <c r="T271" s="3">
        <v>0</v>
      </c>
      <c r="U271" s="3">
        <v>0.12986846703280824</v>
      </c>
      <c r="V271" s="3"/>
      <c r="W271" s="4"/>
    </row>
    <row r="272" spans="1:23" s="1" customFormat="1" ht="24.95" customHeight="1" x14ac:dyDescent="0.2">
      <c r="A272" s="8">
        <v>45995.497245370374</v>
      </c>
      <c r="B272" s="7">
        <v>45995.497256944444</v>
      </c>
      <c r="C272" s="9" t="s">
        <v>378</v>
      </c>
      <c r="D272" s="1" t="s">
        <v>368</v>
      </c>
      <c r="E272" s="1" t="s">
        <v>369</v>
      </c>
      <c r="F272" s="1" t="s">
        <v>4322</v>
      </c>
      <c r="G272" s="1" t="s">
        <v>371</v>
      </c>
      <c r="H272" s="2">
        <v>20000</v>
      </c>
      <c r="I272" s="16">
        <v>0.98750000000000004</v>
      </c>
      <c r="J272" s="1" t="s">
        <v>369</v>
      </c>
      <c r="K272" s="6">
        <f>Registro_Ordini[[#This Row],[Numero]]*Registro_Ordini[[#This Row],[Prezzo]]</f>
        <v>19750</v>
      </c>
      <c r="L272" s="10">
        <v>1.0000001300000001</v>
      </c>
      <c r="M272" s="6">
        <f>Registro_Ordini[[#This Row],[Importo]]*Registro_Ordini[[#This Row],[Cambio]]</f>
        <v>19750.002567500003</v>
      </c>
      <c r="N272" s="1">
        <f ca="1">IFERROR(_xlfn.NUMBERVALUE(OFFSET(Origine,MATCH(Registro_Ordini[[#This Row],[Titolo]],Descrizioni,0),MATCH("Price",Intestazioni,0)-1,1,1)),"")</f>
        <v>0.98951250000000002</v>
      </c>
      <c r="O272" s="18">
        <f ca="1">IF(OR(Registro_Ordini[[#This Row],[Price]]=0,Registro_Ordini[[#This Row],[Price]]=""),"",IF(Registro_Ordini[[#This Row],[Tipo]]="Sell",Registro_Ordini[[#This Row],[Prezzo]]/Registro_Ordini[[#This Row],[Price]]-1,Registro_Ordini[[#This Row],[Price]]/Registro_Ordini[[#This Row],[Prezzo]]-1))</f>
        <v>2.0379746835443857E-3</v>
      </c>
      <c r="P272" s="15">
        <v>3.6317553116681799E-2</v>
      </c>
      <c r="Q272" s="3">
        <v>0.1323783030713</v>
      </c>
      <c r="R272" s="3">
        <v>0.3318957998663371</v>
      </c>
      <c r="S272" s="3">
        <v>0.4139839874963942</v>
      </c>
      <c r="T272" s="3">
        <v>0</v>
      </c>
      <c r="U272" s="3">
        <v>0.12174190956596889</v>
      </c>
      <c r="V272" s="3"/>
      <c r="W272" s="4"/>
    </row>
    <row r="273" spans="1:23" s="1" customFormat="1" ht="24.95" customHeight="1" x14ac:dyDescent="0.2">
      <c r="A273" s="8">
        <v>45995.474722222221</v>
      </c>
      <c r="B273" s="7">
        <v>45995.474722222221</v>
      </c>
      <c r="C273" s="9" t="s">
        <v>373</v>
      </c>
      <c r="D273" s="1" t="s">
        <v>368</v>
      </c>
      <c r="E273" s="1" t="s">
        <v>369</v>
      </c>
      <c r="F273" s="1" t="s">
        <v>4322</v>
      </c>
      <c r="G273" s="1" t="s">
        <v>371</v>
      </c>
      <c r="H273" s="2">
        <v>30000</v>
      </c>
      <c r="I273" s="16">
        <v>0.98699999999999999</v>
      </c>
      <c r="J273" s="1" t="s">
        <v>369</v>
      </c>
      <c r="K273" s="6">
        <f>Registro_Ordini[[#This Row],[Numero]]*Registro_Ordini[[#This Row],[Prezzo]]</f>
        <v>29610</v>
      </c>
      <c r="L273" s="10">
        <v>1.0000001300000001</v>
      </c>
      <c r="M273" s="6">
        <f>Registro_Ordini[[#This Row],[Importo]]*Registro_Ordini[[#This Row],[Cambio]]</f>
        <v>29610.003849300003</v>
      </c>
      <c r="N273" s="1">
        <f ca="1">IFERROR(_xlfn.NUMBERVALUE(OFFSET(Origine,MATCH(Registro_Ordini[[#This Row],[Titolo]],Descrizioni,0),MATCH("Price",Intestazioni,0)-1,1,1)),"")</f>
        <v>0.98951250000000002</v>
      </c>
      <c r="O273" s="18">
        <f ca="1">IF(OR(Registro_Ordini[[#This Row],[Price]]=0,Registro_Ordini[[#This Row],[Price]]=""),"",IF(Registro_Ordini[[#This Row],[Tipo]]="Sell",Registro_Ordini[[#This Row],[Prezzo]]/Registro_Ordini[[#This Row],[Price]]-1,Registro_Ordini[[#This Row],[Price]]/Registro_Ordini[[#This Row],[Prezzo]]-1))</f>
        <v>2.5455927051671878E-3</v>
      </c>
      <c r="P273" s="15">
        <v>4.1551131838791139E-2</v>
      </c>
      <c r="Q273" s="3">
        <v>0.57076627218787435</v>
      </c>
      <c r="R273" s="3">
        <v>0.20966605001176536</v>
      </c>
      <c r="S273" s="3">
        <v>0.13023098218846185</v>
      </c>
      <c r="T273" s="3">
        <v>0</v>
      </c>
      <c r="U273" s="3">
        <v>8.9336695611898234E-2</v>
      </c>
      <c r="V273" s="3"/>
      <c r="W273" s="4"/>
    </row>
    <row r="274" spans="1:23" s="1" customFormat="1" ht="24.95" customHeight="1" x14ac:dyDescent="0.2">
      <c r="A274" s="8">
        <v>45993.739224537036</v>
      </c>
      <c r="B274" s="7">
        <v>45993.734027777777</v>
      </c>
      <c r="C274" s="9" t="s">
        <v>413</v>
      </c>
      <c r="D274" s="1" t="s">
        <v>388</v>
      </c>
      <c r="E274" s="1" t="s">
        <v>389</v>
      </c>
      <c r="F274" s="1" t="s">
        <v>512</v>
      </c>
      <c r="G274" s="1" t="s">
        <v>371</v>
      </c>
      <c r="H274" s="2">
        <v>800</v>
      </c>
      <c r="I274" s="16">
        <v>88.034999999999997</v>
      </c>
      <c r="J274" s="1" t="s">
        <v>366</v>
      </c>
      <c r="K274" s="6">
        <f>Registro_Ordini[[#This Row],[Numero]]*Registro_Ordini[[#This Row],[Prezzo]]</f>
        <v>70428</v>
      </c>
      <c r="L274" s="10">
        <v>0.80425000000000002</v>
      </c>
      <c r="M274" s="6">
        <f>Registro_Ordini[[#This Row],[Importo]]*Registro_Ordini[[#This Row],[Cambio]]</f>
        <v>56641.719000000005</v>
      </c>
      <c r="N274" s="1">
        <f ca="1">IFERROR(_xlfn.NUMBERVALUE(OFFSET(Origine,MATCH(Registro_Ordini[[#This Row],[Titolo]],Descrizioni,0),MATCH("Price",Intestazioni,0)-1,1,1)),"")</f>
        <v>51.86</v>
      </c>
      <c r="O274" s="18">
        <f ca="1">IF(OR(Registro_Ordini[[#This Row],[Price]]=0,Registro_Ordini[[#This Row],[Price]]=""),"",IF(Registro_Ordini[[#This Row],[Tipo]]="Sell",Registro_Ordini[[#This Row],[Prezzo]]/Registro_Ordini[[#This Row],[Price]]-1,Registro_Ordini[[#This Row],[Price]]/Registro_Ordini[[#This Row],[Prezzo]]-1))</f>
        <v>-0.41091611290963814</v>
      </c>
      <c r="P274" s="15">
        <v>1.0534272432077423E-2</v>
      </c>
      <c r="Q274" s="3">
        <v>0.11893626103052353</v>
      </c>
      <c r="R274" s="3">
        <v>0.16038357310873749</v>
      </c>
      <c r="S274" s="3">
        <v>0.29252805042363317</v>
      </c>
      <c r="T274" s="3">
        <v>0</v>
      </c>
      <c r="U274" s="3">
        <v>0.42815211543710591</v>
      </c>
      <c r="V274" s="3">
        <v>0</v>
      </c>
      <c r="W274" s="4"/>
    </row>
    <row r="275" spans="1:23" s="1" customFormat="1" ht="24.95" customHeight="1" x14ac:dyDescent="0.2">
      <c r="A275" s="8">
        <v>45993.732928240737</v>
      </c>
      <c r="B275" s="7">
        <v>45993.732928240737</v>
      </c>
      <c r="C275" s="9" t="s">
        <v>413</v>
      </c>
      <c r="D275" s="1" t="s">
        <v>388</v>
      </c>
      <c r="E275" s="1" t="s">
        <v>389</v>
      </c>
      <c r="F275" s="1" t="s">
        <v>411</v>
      </c>
      <c r="G275" s="1" t="s">
        <v>365</v>
      </c>
      <c r="H275" s="2">
        <v>-1000</v>
      </c>
      <c r="I275" s="16">
        <v>52.940399999999997</v>
      </c>
      <c r="J275" s="1" t="s">
        <v>366</v>
      </c>
      <c r="K275" s="6">
        <f>Registro_Ordini[[#This Row],[Numero]]*Registro_Ordini[[#This Row],[Prezzo]]</f>
        <v>-52940.399999999994</v>
      </c>
      <c r="L275" s="10">
        <v>0.80405000000000004</v>
      </c>
      <c r="M275" s="6">
        <f>Registro_Ordini[[#This Row],[Importo]]*Registro_Ordini[[#This Row],[Cambio]]</f>
        <v>-42566.728619999994</v>
      </c>
      <c r="N275" s="1">
        <f ca="1">IFERROR(_xlfn.NUMBERVALUE(OFFSET(Origine,MATCH(Registro_Ordini[[#This Row],[Titolo]],Descrizioni,0),MATCH("Price",Intestazioni,0)-1,1,1)),"")</f>
        <v>51.02</v>
      </c>
      <c r="O275" s="18">
        <f ca="1">IF(OR(Registro_Ordini[[#This Row],[Price]]=0,Registro_Ordini[[#This Row],[Price]]=""),"",IF(Registro_Ordini[[#This Row],[Tipo]]="Sell",Registro_Ordini[[#This Row],[Prezzo]]/Registro_Ordini[[#This Row],[Price]]-1,Registro_Ordini[[#This Row],[Price]]/Registro_Ordini[[#This Row],[Prezzo]]-1))</f>
        <v>3.7640141121128901E-2</v>
      </c>
      <c r="P275" s="15">
        <v>-7.918699827605704E-3</v>
      </c>
      <c r="Q275" s="3">
        <v>0.12950411988172833</v>
      </c>
      <c r="R275" s="3">
        <v>0.16042219155410525</v>
      </c>
      <c r="S275" s="3">
        <v>0.28219106188804599</v>
      </c>
      <c r="T275" s="3">
        <v>0</v>
      </c>
      <c r="U275" s="3">
        <v>0.42788262667612031</v>
      </c>
      <c r="V275" s="3">
        <v>0</v>
      </c>
      <c r="W275" s="4"/>
    </row>
    <row r="276" spans="1:23" s="1" customFormat="1" ht="24.95" customHeight="1" x14ac:dyDescent="0.2">
      <c r="A276" s="8">
        <v>45939.431851851848</v>
      </c>
      <c r="B276" s="7">
        <v>45939.431851851848</v>
      </c>
      <c r="C276" s="9" t="s">
        <v>413</v>
      </c>
      <c r="D276" s="1" t="s">
        <v>393</v>
      </c>
      <c r="E276" s="1" t="s">
        <v>901</v>
      </c>
      <c r="F276" s="19" t="s">
        <v>798</v>
      </c>
      <c r="G276" s="1" t="s">
        <v>365</v>
      </c>
      <c r="H276" s="2">
        <v>-45</v>
      </c>
      <c r="I276" s="16">
        <v>3154</v>
      </c>
      <c r="J276" s="1" t="s">
        <v>369</v>
      </c>
      <c r="K276" s="6">
        <f>Registro_Ordini[[#This Row],[Numero]]*Registro_Ordini[[#This Row],[Prezzo]]</f>
        <v>-141930</v>
      </c>
      <c r="L276" s="10">
        <v>1.0000001300000001</v>
      </c>
      <c r="M276" s="6">
        <f>Registro_Ordini[[#This Row],[Importo]]*Registro_Ordini[[#This Row],[Cambio]]</f>
        <v>-141930.01845090001</v>
      </c>
      <c r="N276" s="1">
        <f ca="1">IFERROR(_xlfn.NUMBERVALUE(OFFSET(Origine,MATCH(Registro_Ordini[[#This Row],[Titolo]],Descrizioni,0),MATCH("Price",Intestazioni,0)-1,1,1)),"")</f>
        <v>5207.5</v>
      </c>
      <c r="O276" s="18">
        <f ca="1">IF(OR(Registro_Ordini[[#This Row],[Price]]=0,Registro_Ordini[[#This Row],[Price]]=""),"",IF(Registro_Ordini[[#This Row],[Tipo]]="Sell",Registro_Ordini[[#This Row],[Prezzo]]/Registro_Ordini[[#This Row],[Price]]-1,Registro_Ordini[[#This Row],[Price]]/Registro_Ordini[[#This Row],[Prezzo]]-1))</f>
        <v>-0.39433509361497843</v>
      </c>
      <c r="P276" s="15">
        <v>-2.6679683986248905E-2</v>
      </c>
      <c r="Q276" s="3">
        <v>0.10757676558344062</v>
      </c>
      <c r="R276" s="3">
        <v>0.18158878771445827</v>
      </c>
      <c r="S276" s="3">
        <v>0.29364043168835913</v>
      </c>
      <c r="T276" s="3">
        <v>0</v>
      </c>
      <c r="U276" s="3">
        <v>0.41719401501374198</v>
      </c>
      <c r="V276" s="3">
        <v>0</v>
      </c>
      <c r="W276" s="5"/>
    </row>
    <row r="277" spans="1:23" s="1" customFormat="1" ht="24.95" customHeight="1" x14ac:dyDescent="0.2">
      <c r="A277" s="8">
        <v>45939.43173611111</v>
      </c>
      <c r="B277" s="7">
        <v>45939.43173611111</v>
      </c>
      <c r="C277" s="9" t="s">
        <v>413</v>
      </c>
      <c r="D277" s="1" t="s">
        <v>393</v>
      </c>
      <c r="E277" s="1" t="s">
        <v>901</v>
      </c>
      <c r="F277" s="19" t="s">
        <v>595</v>
      </c>
      <c r="G277" s="1" t="s">
        <v>365</v>
      </c>
      <c r="H277" s="2">
        <v>-8</v>
      </c>
      <c r="I277" s="16">
        <v>10378</v>
      </c>
      <c r="J277" s="1" t="s">
        <v>369</v>
      </c>
      <c r="K277" s="6">
        <f>Registro_Ordini[[#This Row],[Numero]]*Registro_Ordini[[#This Row],[Prezzo]]</f>
        <v>-83024</v>
      </c>
      <c r="L277" s="10">
        <v>1.0000001300000001</v>
      </c>
      <c r="M277" s="6">
        <f>Registro_Ordini[[#This Row],[Importo]]*Registro_Ordini[[#This Row],[Cambio]]</f>
        <v>-83024.010793120004</v>
      </c>
      <c r="N277" s="1">
        <f ca="1">IFERROR(_xlfn.NUMBERVALUE(OFFSET(Origine,MATCH(Registro_Ordini[[#This Row],[Titolo]],Descrizioni,0),MATCH("Price",Intestazioni,0)-1,1,1)),"")</f>
        <v>12834.3</v>
      </c>
      <c r="O277" s="18">
        <f ca="1">IF(OR(Registro_Ordini[[#This Row],[Price]]=0,Registro_Ordini[[#This Row],[Price]]=""),"",IF(Registro_Ordini[[#This Row],[Tipo]]="Sell",Registro_Ordini[[#This Row],[Prezzo]]/Registro_Ordini[[#This Row],[Price]]-1,Registro_Ordini[[#This Row],[Price]]/Registro_Ordini[[#This Row],[Prezzo]]-1))</f>
        <v>-0.19138558394302763</v>
      </c>
      <c r="P277" s="15">
        <v>-1.5656305366654858E-2</v>
      </c>
      <c r="Q277" s="3">
        <v>8.0897081597191722E-2</v>
      </c>
      <c r="R277" s="3">
        <v>0.1815887877144583</v>
      </c>
      <c r="S277" s="3">
        <v>0.29364043168835913</v>
      </c>
      <c r="T277" s="3">
        <v>0</v>
      </c>
      <c r="U277" s="3">
        <v>0.44387369899999096</v>
      </c>
      <c r="V277" s="3">
        <v>0</v>
      </c>
      <c r="W277" s="5"/>
    </row>
    <row r="278" spans="1:23" s="1" customFormat="1" ht="24.95" customHeight="1" x14ac:dyDescent="0.2">
      <c r="A278" s="8">
        <v>45939</v>
      </c>
      <c r="B278" s="7">
        <v>0.40277777777777779</v>
      </c>
      <c r="C278" s="9" t="s">
        <v>18</v>
      </c>
      <c r="D278" s="1" t="s">
        <v>393</v>
      </c>
      <c r="E278" s="1" t="s">
        <v>394</v>
      </c>
      <c r="F278" s="1" t="s">
        <v>791</v>
      </c>
      <c r="G278" s="1" t="s">
        <v>365</v>
      </c>
      <c r="H278" s="2">
        <v>-777</v>
      </c>
      <c r="I278" s="16">
        <v>840</v>
      </c>
      <c r="J278" s="1" t="s">
        <v>369</v>
      </c>
      <c r="K278" s="6">
        <f>Registro_Ordini[[#This Row],[Numero]]*Registro_Ordini[[#This Row],[Prezzo]]</f>
        <v>-652680</v>
      </c>
      <c r="L278" s="10">
        <v>1.0000001300000001</v>
      </c>
      <c r="M278" s="6">
        <f>Registro_Ordini[[#This Row],[Importo]]*Registro_Ordini[[#This Row],[Cambio]]</f>
        <v>-652680.08484840009</v>
      </c>
      <c r="N278" s="1">
        <f ca="1">IFERROR(_xlfn.NUMBERVALUE(OFFSET(Origine,MATCH(Registro_Ordini[[#This Row],[Titolo]],Descrizioni,0),MATCH("Price",Intestazioni,0)-1,1,1)),"")</f>
        <v>1043.2</v>
      </c>
      <c r="O278" s="18">
        <f ca="1">IF(OR(Registro_Ordini[[#This Row],[Price]]=0,Registro_Ordini[[#This Row],[Price]]=""),"",IF(Registro_Ordini[[#This Row],[Tipo]]="Sell",Registro_Ordini[[#This Row],[Prezzo]]/Registro_Ordini[[#This Row],[Price]]-1,Registro_Ordini[[#This Row],[Price]]/Registro_Ordini[[#This Row],[Prezzo]]-1))</f>
        <v>-0.19478527607361962</v>
      </c>
      <c r="P278" s="15">
        <v>-0.15024799712650894</v>
      </c>
      <c r="Q278" s="3">
        <v>0.46730846932716669</v>
      </c>
      <c r="R278" s="3">
        <v>0.18318605952430506</v>
      </c>
      <c r="S278" s="3">
        <v>0.17547304204446407</v>
      </c>
      <c r="T278" s="3">
        <v>0</v>
      </c>
      <c r="U278" s="3">
        <v>0.17403242910406438</v>
      </c>
      <c r="V278" s="3"/>
      <c r="W278" s="4"/>
    </row>
    <row r="279" spans="1:23" s="1" customFormat="1" ht="24.95" customHeight="1" x14ac:dyDescent="0.2">
      <c r="A279" s="8">
        <v>45908.710821759261</v>
      </c>
      <c r="B279" s="7">
        <v>45908.710821759261</v>
      </c>
      <c r="C279" s="9" t="s">
        <v>106</v>
      </c>
      <c r="D279" s="1" t="s">
        <v>388</v>
      </c>
      <c r="E279" s="1" t="s">
        <v>403</v>
      </c>
      <c r="F279" s="1" t="s">
        <v>2802</v>
      </c>
      <c r="G279" s="1" t="s">
        <v>371</v>
      </c>
      <c r="H279" s="2">
        <v>50</v>
      </c>
      <c r="I279" s="17">
        <v>84.97</v>
      </c>
      <c r="J279" s="1" t="s">
        <v>381</v>
      </c>
      <c r="K279" s="6">
        <f>Registro_Ordini[[#This Row],[Numero]]*Registro_Ordini[[#This Row],[Prezzo]]</f>
        <v>4248.5</v>
      </c>
      <c r="L279" s="10">
        <v>1</v>
      </c>
      <c r="M279" s="6">
        <f>Registro_Ordini[[#This Row],[Importo]]*Registro_Ordini[[#This Row],[Cambio]]</f>
        <v>4248.5</v>
      </c>
      <c r="N279" s="1">
        <f ca="1">IFERROR(_xlfn.NUMBERVALUE(OFFSET(Origine,MATCH(Registro_Ordini[[#This Row],[Titolo]],Descrizioni,0),MATCH("Price",Intestazioni,0)-1,1,1)),"")</f>
        <v>90.18</v>
      </c>
      <c r="O279" s="18">
        <f ca="1">IF(OR(Registro_Ordini[[#This Row],[Price]]=0,Registro_Ordini[[#This Row],[Price]]=""),"",IF(Registro_Ordini[[#This Row],[Tipo]]="Sell",Registro_Ordini[[#This Row],[Prezzo]]/Registro_Ordini[[#This Row],[Price]]-1,Registro_Ordini[[#This Row],[Price]]/Registro_Ordini[[#This Row],[Prezzo]]-1))</f>
        <v>6.1315758503001083E-2</v>
      </c>
      <c r="P279" s="15">
        <v>0.28406329350342752</v>
      </c>
      <c r="Q279" s="3">
        <v>0.44861142858382758</v>
      </c>
      <c r="R279" s="3">
        <v>0</v>
      </c>
      <c r="S279" s="3">
        <v>0.15262116887572427</v>
      </c>
      <c r="T279" s="3"/>
      <c r="U279" s="3"/>
      <c r="V279" s="3"/>
      <c r="W279" s="4"/>
    </row>
    <row r="280" spans="1:23" s="1" customFormat="1" ht="24.95" customHeight="1" x14ac:dyDescent="0.2">
      <c r="A280" s="8">
        <v>45908.710810185185</v>
      </c>
      <c r="B280" s="7">
        <v>45908.710810185185</v>
      </c>
      <c r="C280" s="9" t="s">
        <v>379</v>
      </c>
      <c r="D280" s="1" t="s">
        <v>388</v>
      </c>
      <c r="E280" s="1" t="s">
        <v>403</v>
      </c>
      <c r="F280" s="1" t="s">
        <v>2802</v>
      </c>
      <c r="G280" s="1" t="s">
        <v>371</v>
      </c>
      <c r="H280" s="2">
        <v>175</v>
      </c>
      <c r="I280" s="17">
        <v>84.97</v>
      </c>
      <c r="J280" s="1" t="s">
        <v>381</v>
      </c>
      <c r="K280" s="6">
        <f>Registro_Ordini[[#This Row],[Numero]]*Registro_Ordini[[#This Row],[Prezzo]]</f>
        <v>14869.75</v>
      </c>
      <c r="L280" s="10">
        <v>1</v>
      </c>
      <c r="M280" s="6">
        <f>Registro_Ordini[[#This Row],[Importo]]*Registro_Ordini[[#This Row],[Cambio]]</f>
        <v>14869.75</v>
      </c>
      <c r="N280" s="1">
        <f ca="1">IFERROR(_xlfn.NUMBERVALUE(OFFSET(Origine,MATCH(Registro_Ordini[[#This Row],[Titolo]],Descrizioni,0),MATCH("Price",Intestazioni,0)-1,1,1)),"")</f>
        <v>90.18</v>
      </c>
      <c r="O280" s="18">
        <f ca="1">IF(OR(Registro_Ordini[[#This Row],[Price]]=0,Registro_Ordini[[#This Row],[Price]]=""),"",IF(Registro_Ordini[[#This Row],[Tipo]]="Sell",Registro_Ordini[[#This Row],[Prezzo]]/Registro_Ordini[[#This Row],[Price]]-1,Registro_Ordini[[#This Row],[Price]]/Registro_Ordini[[#This Row],[Prezzo]]-1))</f>
        <v>6.1315758503001083E-2</v>
      </c>
      <c r="P280" s="15">
        <v>0.34739211099367323</v>
      </c>
      <c r="Q280" s="3">
        <v>0.37975272768308294</v>
      </c>
      <c r="R280" s="3">
        <v>0</v>
      </c>
      <c r="S280" s="3">
        <v>0.11762659718401075</v>
      </c>
      <c r="T280" s="3"/>
      <c r="U280" s="3"/>
      <c r="V280" s="3"/>
      <c r="W280" s="4"/>
    </row>
    <row r="281" spans="1:23" s="1" customFormat="1" ht="24.95" customHeight="1" x14ac:dyDescent="0.2">
      <c r="A281" s="8">
        <v>45908.710798611108</v>
      </c>
      <c r="B281" s="7">
        <v>45908.710798611108</v>
      </c>
      <c r="C281" s="9" t="s">
        <v>382</v>
      </c>
      <c r="D281" s="1" t="s">
        <v>388</v>
      </c>
      <c r="E281" s="1" t="s">
        <v>403</v>
      </c>
      <c r="F281" s="1" t="s">
        <v>2802</v>
      </c>
      <c r="G281" s="1" t="s">
        <v>371</v>
      </c>
      <c r="H281" s="2">
        <v>315</v>
      </c>
      <c r="I281" s="17">
        <v>84.97</v>
      </c>
      <c r="J281" s="1" t="s">
        <v>381</v>
      </c>
      <c r="K281" s="6">
        <f>Registro_Ordini[[#This Row],[Numero]]*Registro_Ordini[[#This Row],[Prezzo]]</f>
        <v>26765.55</v>
      </c>
      <c r="L281" s="10">
        <v>1</v>
      </c>
      <c r="M281" s="6">
        <f>Registro_Ordini[[#This Row],[Importo]]*Registro_Ordini[[#This Row],[Cambio]]</f>
        <v>26765.55</v>
      </c>
      <c r="N281" s="1">
        <f ca="1">IFERROR(_xlfn.NUMBERVALUE(OFFSET(Origine,MATCH(Registro_Ordini[[#This Row],[Titolo]],Descrizioni,0),MATCH("Price",Intestazioni,0)-1,1,1)),"")</f>
        <v>90.18</v>
      </c>
      <c r="O281" s="18">
        <f ca="1">IF(OR(Registro_Ordini[[#This Row],[Price]]=0,Registro_Ordini[[#This Row],[Price]]=""),"",IF(Registro_Ordini[[#This Row],[Tipo]]="Sell",Registro_Ordini[[#This Row],[Prezzo]]/Registro_Ordini[[#This Row],[Price]]-1,Registro_Ordini[[#This Row],[Price]]/Registro_Ordini[[#This Row],[Prezzo]]-1))</f>
        <v>6.1315758503001083E-2</v>
      </c>
      <c r="P281" s="15">
        <v>0.34391689150484689</v>
      </c>
      <c r="Q281" s="3">
        <v>0.37481609882924855</v>
      </c>
      <c r="R281" s="3">
        <v>0</v>
      </c>
      <c r="S281" s="3">
        <v>0.12543493447134921</v>
      </c>
      <c r="T281" s="3"/>
      <c r="U281" s="3"/>
      <c r="V281" s="3"/>
      <c r="W281" s="4"/>
    </row>
    <row r="282" spans="1:23" s="1" customFormat="1" ht="24.95" customHeight="1" x14ac:dyDescent="0.2">
      <c r="A282" s="8">
        <v>45908.710775462961</v>
      </c>
      <c r="B282" s="7">
        <v>45908.710775462961</v>
      </c>
      <c r="C282" s="9" t="s">
        <v>383</v>
      </c>
      <c r="D282" s="1" t="s">
        <v>388</v>
      </c>
      <c r="E282" s="1" t="s">
        <v>403</v>
      </c>
      <c r="F282" s="1" t="s">
        <v>2802</v>
      </c>
      <c r="G282" s="1" t="s">
        <v>371</v>
      </c>
      <c r="H282" s="2">
        <v>190</v>
      </c>
      <c r="I282" s="17">
        <v>84.97</v>
      </c>
      <c r="J282" s="1" t="s">
        <v>381</v>
      </c>
      <c r="K282" s="6">
        <f>Registro_Ordini[[#This Row],[Numero]]*Registro_Ordini[[#This Row],[Prezzo]]</f>
        <v>16144.3</v>
      </c>
      <c r="L282" s="10">
        <v>1</v>
      </c>
      <c r="M282" s="6">
        <f>Registro_Ordini[[#This Row],[Importo]]*Registro_Ordini[[#This Row],[Cambio]]</f>
        <v>16144.3</v>
      </c>
      <c r="N282" s="1">
        <f ca="1">IFERROR(_xlfn.NUMBERVALUE(OFFSET(Origine,MATCH(Registro_Ordini[[#This Row],[Titolo]],Descrizioni,0),MATCH("Price",Intestazioni,0)-1,1,1)),"")</f>
        <v>90.18</v>
      </c>
      <c r="O282" s="18">
        <f ca="1">IF(OR(Registro_Ordini[[#This Row],[Price]]=0,Registro_Ordini[[#This Row],[Price]]=""),"",IF(Registro_Ordini[[#This Row],[Tipo]]="Sell",Registro_Ordini[[#This Row],[Prezzo]]/Registro_Ordini[[#This Row],[Price]]-1,Registro_Ordini[[#This Row],[Price]]/Registro_Ordini[[#This Row],[Prezzo]]-1))</f>
        <v>6.1315758503001083E-2</v>
      </c>
      <c r="P282" s="15">
        <v>0.34651844091597828</v>
      </c>
      <c r="Q282" s="3">
        <v>0.36940002408642897</v>
      </c>
      <c r="R282" s="3">
        <v>0</v>
      </c>
      <c r="S282" s="3">
        <v>0.11963985480485489</v>
      </c>
      <c r="T282" s="3"/>
      <c r="U282" s="3"/>
      <c r="V282" s="3"/>
      <c r="W282" s="4"/>
    </row>
    <row r="283" spans="1:23" s="1" customFormat="1" ht="24.95" customHeight="1" x14ac:dyDescent="0.2">
      <c r="A283" s="8">
        <v>45908.710416666669</v>
      </c>
      <c r="B283" s="7">
        <v>45908.710416666669</v>
      </c>
      <c r="C283" s="9" t="s">
        <v>78</v>
      </c>
      <c r="D283" s="1" t="s">
        <v>388</v>
      </c>
      <c r="E283" s="1" t="s">
        <v>403</v>
      </c>
      <c r="F283" s="1" t="s">
        <v>2802</v>
      </c>
      <c r="G283" s="1" t="s">
        <v>371</v>
      </c>
      <c r="H283" s="2">
        <v>135</v>
      </c>
      <c r="I283" s="17">
        <v>84.97</v>
      </c>
      <c r="J283" s="1" t="s">
        <v>381</v>
      </c>
      <c r="K283" s="6">
        <f>Registro_Ordini[[#This Row],[Numero]]*Registro_Ordini[[#This Row],[Prezzo]]</f>
        <v>11470.95</v>
      </c>
      <c r="L283" s="10">
        <v>0.93225000000000002</v>
      </c>
      <c r="M283" s="6">
        <f>Registro_Ordini[[#This Row],[Importo]]*Registro_Ordini[[#This Row],[Cambio]]</f>
        <v>10693.793137500001</v>
      </c>
      <c r="N283" s="1">
        <f ca="1">IFERROR(_xlfn.NUMBERVALUE(OFFSET(Origine,MATCH(Registro_Ordini[[#This Row],[Titolo]],Descrizioni,0),MATCH("Price",Intestazioni,0)-1,1,1)),"")</f>
        <v>90.18</v>
      </c>
      <c r="O283" s="18">
        <f ca="1">IF(OR(Registro_Ordini[[#This Row],[Price]]=0,Registro_Ordini[[#This Row],[Price]]=""),"",IF(Registro_Ordini[[#This Row],[Tipo]]="Sell",Registro_Ordini[[#This Row],[Prezzo]]/Registro_Ordini[[#This Row],[Price]]-1,Registro_Ordini[[#This Row],[Price]]/Registro_Ordini[[#This Row],[Prezzo]]-1))</f>
        <v>6.1315758503001083E-2</v>
      </c>
      <c r="P283" s="15">
        <v>0.12961676172768333</v>
      </c>
      <c r="Q283" s="3">
        <v>0.58752285085634504</v>
      </c>
      <c r="R283" s="3">
        <v>0</v>
      </c>
      <c r="S283" s="3">
        <v>0.10539015091112557</v>
      </c>
      <c r="T283" s="3"/>
      <c r="U283" s="3"/>
      <c r="V283" s="3"/>
      <c r="W283" s="4"/>
    </row>
    <row r="284" spans="1:23" s="1" customFormat="1" ht="24.95" customHeight="1" x14ac:dyDescent="0.2">
      <c r="A284" s="8">
        <v>45908.70925925926</v>
      </c>
      <c r="B284" s="7">
        <v>45908.70925925926</v>
      </c>
      <c r="C284" s="9" t="s">
        <v>373</v>
      </c>
      <c r="D284" s="1" t="s">
        <v>388</v>
      </c>
      <c r="E284" s="1" t="s">
        <v>403</v>
      </c>
      <c r="F284" s="1" t="s">
        <v>2802</v>
      </c>
      <c r="G284" s="1" t="s">
        <v>371</v>
      </c>
      <c r="H284" s="2">
        <v>180</v>
      </c>
      <c r="I284" s="17">
        <v>84.97</v>
      </c>
      <c r="J284" s="1" t="s">
        <v>381</v>
      </c>
      <c r="K284" s="6">
        <f>Registro_Ordini[[#This Row],[Numero]]*Registro_Ordini[[#This Row],[Prezzo]]</f>
        <v>15294.6</v>
      </c>
      <c r="L284" s="10">
        <v>0.93215000000000003</v>
      </c>
      <c r="M284" s="6">
        <f>Registro_Ordini[[#This Row],[Importo]]*Registro_Ordini[[#This Row],[Cambio]]</f>
        <v>14256.86139</v>
      </c>
      <c r="N284" s="1">
        <f ca="1">IFERROR(_xlfn.NUMBERVALUE(OFFSET(Origine,MATCH(Registro_Ordini[[#This Row],[Titolo]],Descrizioni,0),MATCH("Price",Intestazioni,0)-1,1,1)),"")</f>
        <v>90.18</v>
      </c>
      <c r="O284" s="18">
        <f ca="1">IF(OR(Registro_Ordini[[#This Row],[Price]]=0,Registro_Ordini[[#This Row],[Price]]=""),"",IF(Registro_Ordini[[#This Row],[Tipo]]="Sell",Registro_Ordini[[#This Row],[Prezzo]]/Registro_Ordini[[#This Row],[Price]]-1,Registro_Ordini[[#This Row],[Price]]/Registro_Ordini[[#This Row],[Prezzo]]-1))</f>
        <v>6.1315758503001083E-2</v>
      </c>
      <c r="P284" s="15">
        <v>0.16871030673685378</v>
      </c>
      <c r="Q284" s="3">
        <v>0.17303760303304841</v>
      </c>
      <c r="R284" s="3">
        <v>0</v>
      </c>
      <c r="S284" s="3">
        <v>7.8410774900818853E-2</v>
      </c>
      <c r="T284" s="3"/>
      <c r="U284" s="3"/>
      <c r="V284" s="3"/>
      <c r="W284" s="4"/>
    </row>
    <row r="285" spans="1:23" s="1" customFormat="1" ht="24.95" customHeight="1" x14ac:dyDescent="0.2">
      <c r="A285" s="8">
        <v>45908.709247685183</v>
      </c>
      <c r="B285" s="7">
        <v>45908.709247685183</v>
      </c>
      <c r="C285" s="9" t="s">
        <v>367</v>
      </c>
      <c r="D285" s="1" t="s">
        <v>388</v>
      </c>
      <c r="E285" s="1" t="s">
        <v>403</v>
      </c>
      <c r="F285" s="1" t="s">
        <v>2802</v>
      </c>
      <c r="G285" s="1" t="s">
        <v>371</v>
      </c>
      <c r="H285" s="2">
        <v>880</v>
      </c>
      <c r="I285" s="17">
        <v>84.97</v>
      </c>
      <c r="J285" s="1" t="s">
        <v>381</v>
      </c>
      <c r="K285" s="6">
        <f>Registro_Ordini[[#This Row],[Numero]]*Registro_Ordini[[#This Row],[Prezzo]]</f>
        <v>74773.600000000006</v>
      </c>
      <c r="L285" s="10">
        <v>0.93215000000000003</v>
      </c>
      <c r="M285" s="6">
        <f>Registro_Ordini[[#This Row],[Importo]]*Registro_Ordini[[#This Row],[Cambio]]</f>
        <v>69700.211240000004</v>
      </c>
      <c r="N285" s="1">
        <f ca="1">IFERROR(_xlfn.NUMBERVALUE(OFFSET(Origine,MATCH(Registro_Ordini[[#This Row],[Titolo]],Descrizioni,0),MATCH("Price",Intestazioni,0)-1,1,1)),"")</f>
        <v>90.18</v>
      </c>
      <c r="O285" s="18">
        <f ca="1">IF(OR(Registro_Ordini[[#This Row],[Price]]=0,Registro_Ordini[[#This Row],[Price]]=""),"",IF(Registro_Ordini[[#This Row],[Tipo]]="Sell",Registro_Ordini[[#This Row],[Prezzo]]/Registro_Ordini[[#This Row],[Price]]-1,Registro_Ordini[[#This Row],[Price]]/Registro_Ordini[[#This Row],[Prezzo]]-1))</f>
        <v>6.1315758503001083E-2</v>
      </c>
      <c r="P285" s="15">
        <v>0.40112655422418275</v>
      </c>
      <c r="Q285" s="3">
        <v>0.35503456429876484</v>
      </c>
      <c r="R285" s="3">
        <v>0</v>
      </c>
      <c r="S285" s="3">
        <v>7.5627589137857457E-2</v>
      </c>
      <c r="T285" s="3"/>
      <c r="U285" s="3"/>
      <c r="V285" s="3"/>
      <c r="W285" s="4"/>
    </row>
    <row r="286" spans="1:23" s="1" customFormat="1" ht="24.95" customHeight="1" x14ac:dyDescent="0.2">
      <c r="A286" s="8">
        <v>45908.709236111114</v>
      </c>
      <c r="B286" s="7">
        <v>45908.709236111114</v>
      </c>
      <c r="C286" s="9" t="s">
        <v>375</v>
      </c>
      <c r="D286" s="1" t="s">
        <v>388</v>
      </c>
      <c r="E286" s="1" t="s">
        <v>403</v>
      </c>
      <c r="F286" s="1" t="s">
        <v>2802</v>
      </c>
      <c r="G286" s="1" t="s">
        <v>371</v>
      </c>
      <c r="H286" s="2">
        <v>200</v>
      </c>
      <c r="I286" s="17">
        <v>84.97</v>
      </c>
      <c r="J286" s="1" t="s">
        <v>381</v>
      </c>
      <c r="K286" s="6">
        <f>Registro_Ordini[[#This Row],[Numero]]*Registro_Ordini[[#This Row],[Prezzo]]</f>
        <v>16994</v>
      </c>
      <c r="L286" s="10">
        <v>0.93215000000000003</v>
      </c>
      <c r="M286" s="6">
        <f>Registro_Ordini[[#This Row],[Importo]]*Registro_Ordini[[#This Row],[Cambio]]</f>
        <v>15840.957100000001</v>
      </c>
      <c r="N286" s="1">
        <f ca="1">IFERROR(_xlfn.NUMBERVALUE(OFFSET(Origine,MATCH(Registro_Ordini[[#This Row],[Titolo]],Descrizioni,0),MATCH("Price",Intestazioni,0)-1,1,1)),"")</f>
        <v>90.18</v>
      </c>
      <c r="O286" s="18">
        <f ca="1">IF(OR(Registro_Ordini[[#This Row],[Price]]=0,Registro_Ordini[[#This Row],[Price]]=""),"",IF(Registro_Ordini[[#This Row],[Tipo]]="Sell",Registro_Ordini[[#This Row],[Prezzo]]/Registro_Ordini[[#This Row],[Price]]-1,Registro_Ordini[[#This Row],[Price]]/Registro_Ordini[[#This Row],[Prezzo]]-1))</f>
        <v>6.1315758503001083E-2</v>
      </c>
      <c r="P286" s="15">
        <v>0.37294353031268118</v>
      </c>
      <c r="Q286" s="3">
        <v>0.37299150899867906</v>
      </c>
      <c r="R286" s="3">
        <v>0</v>
      </c>
      <c r="S286" s="3">
        <v>0.11441656999847938</v>
      </c>
      <c r="T286" s="3"/>
      <c r="U286" s="3"/>
      <c r="V286" s="3"/>
      <c r="W286" s="4"/>
    </row>
    <row r="287" spans="1:23" s="1" customFormat="1" ht="24.95" customHeight="1" x14ac:dyDescent="0.2">
      <c r="A287" s="8">
        <v>45908.709224537037</v>
      </c>
      <c r="B287" s="7">
        <v>45908.709224537037</v>
      </c>
      <c r="C287" s="9" t="s">
        <v>376</v>
      </c>
      <c r="D287" s="1" t="s">
        <v>388</v>
      </c>
      <c r="E287" s="1" t="s">
        <v>403</v>
      </c>
      <c r="F287" s="1" t="s">
        <v>2802</v>
      </c>
      <c r="G287" s="1" t="s">
        <v>371</v>
      </c>
      <c r="H287" s="2">
        <v>70</v>
      </c>
      <c r="I287" s="17">
        <v>84.97</v>
      </c>
      <c r="J287" s="1" t="s">
        <v>381</v>
      </c>
      <c r="K287" s="6">
        <f>Registro_Ordini[[#This Row],[Numero]]*Registro_Ordini[[#This Row],[Prezzo]]</f>
        <v>5947.9</v>
      </c>
      <c r="L287" s="10">
        <v>0.93215000000000003</v>
      </c>
      <c r="M287" s="6">
        <f>Registro_Ordini[[#This Row],[Importo]]*Registro_Ordini[[#This Row],[Cambio]]</f>
        <v>5544.3349849999995</v>
      </c>
      <c r="N287" s="1">
        <f ca="1">IFERROR(_xlfn.NUMBERVALUE(OFFSET(Origine,MATCH(Registro_Ordini[[#This Row],[Titolo]],Descrizioni,0),MATCH("Price",Intestazioni,0)-1,1,1)),"")</f>
        <v>90.18</v>
      </c>
      <c r="O287" s="18">
        <f ca="1">IF(OR(Registro_Ordini[[#This Row],[Price]]=0,Registro_Ordini[[#This Row],[Price]]=""),"",IF(Registro_Ordini[[#This Row],[Tipo]]="Sell",Registro_Ordini[[#This Row],[Prezzo]]/Registro_Ordini[[#This Row],[Price]]-1,Registro_Ordini[[#This Row],[Price]]/Registro_Ordini[[#This Row],[Prezzo]]-1))</f>
        <v>6.1315758503001083E-2</v>
      </c>
      <c r="P287" s="15">
        <v>0.31952301194503596</v>
      </c>
      <c r="Q287" s="3">
        <v>0.45057797312835451</v>
      </c>
      <c r="R287" s="3">
        <v>0</v>
      </c>
      <c r="S287" s="3">
        <v>0.1482203984915263</v>
      </c>
      <c r="T287" s="3"/>
      <c r="U287" s="3"/>
      <c r="V287" s="3"/>
      <c r="W287" s="4"/>
    </row>
    <row r="288" spans="1:23" s="1" customFormat="1" ht="24.95" customHeight="1" x14ac:dyDescent="0.2">
      <c r="A288" s="8">
        <v>45908.70921296296</v>
      </c>
      <c r="B288" s="7">
        <v>45908.70921296296</v>
      </c>
      <c r="C288" s="9" t="s">
        <v>377</v>
      </c>
      <c r="D288" s="1" t="s">
        <v>388</v>
      </c>
      <c r="E288" s="1" t="s">
        <v>403</v>
      </c>
      <c r="F288" s="1" t="s">
        <v>2802</v>
      </c>
      <c r="G288" s="1" t="s">
        <v>371</v>
      </c>
      <c r="H288" s="2">
        <v>415</v>
      </c>
      <c r="I288" s="17">
        <v>84.97</v>
      </c>
      <c r="J288" s="1" t="s">
        <v>381</v>
      </c>
      <c r="K288" s="6">
        <f>Registro_Ordini[[#This Row],[Numero]]*Registro_Ordini[[#This Row],[Prezzo]]</f>
        <v>35262.550000000003</v>
      </c>
      <c r="L288" s="10">
        <v>0.93215000000000003</v>
      </c>
      <c r="M288" s="6">
        <f>Registro_Ordini[[#This Row],[Importo]]*Registro_Ordini[[#This Row],[Cambio]]</f>
        <v>32869.985982500002</v>
      </c>
      <c r="N288" s="1">
        <f ca="1">IFERROR(_xlfn.NUMBERVALUE(OFFSET(Origine,MATCH(Registro_Ordini[[#This Row],[Titolo]],Descrizioni,0),MATCH("Price",Intestazioni,0)-1,1,1)),"")</f>
        <v>90.18</v>
      </c>
      <c r="O288" s="18">
        <f ca="1">IF(OR(Registro_Ordini[[#This Row],[Price]]=0,Registro_Ordini[[#This Row],[Price]]=""),"",IF(Registro_Ordini[[#This Row],[Tipo]]="Sell",Registro_Ordini[[#This Row],[Prezzo]]/Registro_Ordini[[#This Row],[Price]]-1,Registro_Ordini[[#This Row],[Price]]/Registro_Ordini[[#This Row],[Prezzo]]-1))</f>
        <v>6.1315758503001083E-2</v>
      </c>
      <c r="P288" s="15">
        <v>0.35206650707268072</v>
      </c>
      <c r="Q288" s="3">
        <v>0.40350933598516914</v>
      </c>
      <c r="R288" s="3">
        <v>0</v>
      </c>
      <c r="S288" s="3">
        <v>0.11441512093835543</v>
      </c>
      <c r="T288" s="3"/>
      <c r="U288" s="3"/>
      <c r="V288" s="3"/>
      <c r="W288" s="4"/>
    </row>
    <row r="289" spans="1:23" s="1" customFormat="1" ht="24.95" customHeight="1" x14ac:dyDescent="0.2">
      <c r="A289" s="8">
        <v>45908.709201388891</v>
      </c>
      <c r="B289" s="7">
        <v>45908.709201388891</v>
      </c>
      <c r="C289" s="9" t="s">
        <v>378</v>
      </c>
      <c r="D289" s="1" t="s">
        <v>388</v>
      </c>
      <c r="E289" s="1" t="s">
        <v>403</v>
      </c>
      <c r="F289" s="1" t="s">
        <v>2802</v>
      </c>
      <c r="G289" s="1" t="s">
        <v>371</v>
      </c>
      <c r="H289" s="2">
        <v>135</v>
      </c>
      <c r="I289" s="17">
        <v>84.97</v>
      </c>
      <c r="J289" s="1" t="s">
        <v>381</v>
      </c>
      <c r="K289" s="6">
        <f>Registro_Ordini[[#This Row],[Numero]]*Registro_Ordini[[#This Row],[Prezzo]]</f>
        <v>11470.95</v>
      </c>
      <c r="L289" s="10">
        <v>0.93215000000000003</v>
      </c>
      <c r="M289" s="6">
        <f>Registro_Ordini[[#This Row],[Importo]]*Registro_Ordini[[#This Row],[Cambio]]</f>
        <v>10692.6460425</v>
      </c>
      <c r="N289" s="1">
        <f ca="1">IFERROR(_xlfn.NUMBERVALUE(OFFSET(Origine,MATCH(Registro_Ordini[[#This Row],[Titolo]],Descrizioni,0),MATCH("Price",Intestazioni,0)-1,1,1)),"")</f>
        <v>90.18</v>
      </c>
      <c r="O289" s="18">
        <f ca="1">IF(OR(Registro_Ordini[[#This Row],[Price]]=0,Registro_Ordini[[#This Row],[Price]]=""),"",IF(Registro_Ordini[[#This Row],[Tipo]]="Sell",Registro_Ordini[[#This Row],[Prezzo]]/Registro_Ordini[[#This Row],[Price]]-1,Registro_Ordini[[#This Row],[Price]]/Registro_Ordini[[#This Row],[Prezzo]]-1))</f>
        <v>6.1315758503001083E-2</v>
      </c>
      <c r="P289" s="15">
        <v>0.34062201397438086</v>
      </c>
      <c r="Q289" s="3">
        <v>0.41284738875600724</v>
      </c>
      <c r="R289" s="3">
        <v>0</v>
      </c>
      <c r="S289" s="3">
        <v>0.1087954586693181</v>
      </c>
      <c r="T289" s="3"/>
      <c r="U289" s="3"/>
      <c r="V289" s="3"/>
      <c r="W289" s="4"/>
    </row>
    <row r="290" spans="1:23" s="1" customFormat="1" ht="24.95" customHeight="1" x14ac:dyDescent="0.2">
      <c r="A290" s="8">
        <v>45908.698136574072</v>
      </c>
      <c r="B290" s="7">
        <v>45908.698136574072</v>
      </c>
      <c r="C290" s="9" t="s">
        <v>106</v>
      </c>
      <c r="D290" s="1" t="s">
        <v>388</v>
      </c>
      <c r="E290" s="1" t="s">
        <v>403</v>
      </c>
      <c r="F290" s="1" t="s">
        <v>506</v>
      </c>
      <c r="G290" s="1" t="s">
        <v>365</v>
      </c>
      <c r="H290" s="2">
        <v>-25</v>
      </c>
      <c r="I290" s="16">
        <v>196.66</v>
      </c>
      <c r="J290" s="1" t="s">
        <v>381</v>
      </c>
      <c r="K290" s="6">
        <f>Registro_Ordini[[#This Row],[Numero]]*Registro_Ordini[[#This Row],[Prezzo]]</f>
        <v>-4916.5</v>
      </c>
      <c r="L290" s="10">
        <v>1</v>
      </c>
      <c r="M290" s="6">
        <f>Registro_Ordini[[#This Row],[Importo]]*Registro_Ordini[[#This Row],[Cambio]]</f>
        <v>-4916.5</v>
      </c>
      <c r="N290" s="1">
        <f ca="1">IFERROR(_xlfn.NUMBERVALUE(OFFSET(Origine,MATCH(Registro_Ordini[[#This Row],[Titolo]],Descrizioni,0),MATCH("Price",Intestazioni,0)-1,1,1)),"")</f>
        <v>250.75</v>
      </c>
      <c r="O290" s="18">
        <f ca="1">IF(OR(Registro_Ordini[[#This Row],[Price]]=0,Registro_Ordini[[#This Row],[Price]]=""),"",IF(Registro_Ordini[[#This Row],[Tipo]]="Sell",Registro_Ordini[[#This Row],[Prezzo]]/Registro_Ordini[[#This Row],[Price]]-1,Registro_Ordini[[#This Row],[Price]]/Registro_Ordini[[#This Row],[Prezzo]]-1))</f>
        <v>-0.21571286141575274</v>
      </c>
      <c r="P290" s="15">
        <v>0.28408116760340529</v>
      </c>
      <c r="Q290" s="3">
        <v>0.41893137054338486</v>
      </c>
      <c r="R290" s="3">
        <v>0</v>
      </c>
      <c r="S290" s="3">
        <v>0.15264259143234407</v>
      </c>
      <c r="T290" s="3"/>
      <c r="U290" s="3"/>
      <c r="V290" s="3"/>
      <c r="W290" s="4"/>
    </row>
    <row r="291" spans="1:23" s="1" customFormat="1" ht="24.95" customHeight="1" x14ac:dyDescent="0.2">
      <c r="A291" s="8">
        <v>45904.780810185184</v>
      </c>
      <c r="B291" s="7">
        <v>45904.780810185184</v>
      </c>
      <c r="C291" s="9" t="s">
        <v>413</v>
      </c>
      <c r="D291" s="1" t="s">
        <v>388</v>
      </c>
      <c r="E291" s="1" t="s">
        <v>491</v>
      </c>
      <c r="F291" s="19" t="s">
        <v>780</v>
      </c>
      <c r="G291" s="1" t="s">
        <v>365</v>
      </c>
      <c r="H291" s="2">
        <v>-700</v>
      </c>
      <c r="I291" s="16">
        <v>33.064</v>
      </c>
      <c r="J291" s="1" t="s">
        <v>366</v>
      </c>
      <c r="K291" s="6">
        <f>Registro_Ordini[[#This Row],[Numero]]*Registro_Ordini[[#This Row],[Prezzo]]</f>
        <v>-23144.799999999999</v>
      </c>
      <c r="L291" s="10">
        <v>0.80635000000000001</v>
      </c>
      <c r="M291" s="6">
        <f>Registro_Ordini[[#This Row],[Importo]]*Registro_Ordini[[#This Row],[Cambio]]</f>
        <v>-18662.80948</v>
      </c>
      <c r="N291" s="1">
        <f ca="1">IFERROR(_xlfn.NUMBERVALUE(OFFSET(Origine,MATCH(Registro_Ordini[[#This Row],[Titolo]],Descrizioni,0),MATCH("Price",Intestazioni,0)-1,1,1)),"")</f>
        <v>36.729999999999997</v>
      </c>
      <c r="O291" s="18">
        <f ca="1">IF(OR(Registro_Ordini[[#This Row],[Price]]=0,Registro_Ordini[[#This Row],[Price]]=""),"",IF(Registro_Ordini[[#This Row],[Tipo]]="Sell",Registro_Ordini[[#This Row],[Prezzo]]/Registro_Ordini[[#This Row],[Price]]-1,Registro_Ordini[[#This Row],[Price]]/Registro_Ordini[[#This Row],[Prezzo]]-1))</f>
        <v>-9.9809420092567325E-2</v>
      </c>
      <c r="P291" s="15">
        <v>-3.736458042600289E-3</v>
      </c>
      <c r="Q291" s="3">
        <v>6.9347860614484169E-2</v>
      </c>
      <c r="R291" s="3">
        <v>0.19300512209228349</v>
      </c>
      <c r="S291" s="3">
        <v>0.30147572069664946</v>
      </c>
      <c r="T291" s="3">
        <v>0</v>
      </c>
      <c r="U291" s="3">
        <v>0.43617129659658294</v>
      </c>
      <c r="V291" s="3">
        <v>0</v>
      </c>
      <c r="W291" s="5"/>
    </row>
    <row r="292" spans="1:23" s="1" customFormat="1" ht="24.95" customHeight="1" x14ac:dyDescent="0.2">
      <c r="A292" s="8">
        <v>45904.740717592591</v>
      </c>
      <c r="B292" s="7">
        <v>45904.740717592591</v>
      </c>
      <c r="C292" s="9" t="s">
        <v>413</v>
      </c>
      <c r="D292" s="1" t="s">
        <v>362</v>
      </c>
      <c r="E292" s="1" t="s">
        <v>363</v>
      </c>
      <c r="F292" s="19" t="s">
        <v>364</v>
      </c>
      <c r="G292" s="1" t="s">
        <v>371</v>
      </c>
      <c r="H292" s="2">
        <v>14000</v>
      </c>
      <c r="I292" s="17">
        <v>1</v>
      </c>
      <c r="J292" s="1" t="s">
        <v>478</v>
      </c>
      <c r="K292" s="6">
        <v>21622</v>
      </c>
      <c r="L292" s="10">
        <f>Registro_Ordini[[#This Row],[Numero]]/Registro_Ordini[[#This Row],[Importo]]</f>
        <v>0.64748866894829338</v>
      </c>
      <c r="M292" s="6">
        <f>Registro_Ordini[[#This Row],[Importo]]*Registro_Ordini[[#This Row],[Cambio]]</f>
        <v>14000</v>
      </c>
      <c r="N292" s="1">
        <f ca="1">IFERROR(_xlfn.NUMBERVALUE(OFFSET(Origine,MATCH(Registro_Ordini[[#This Row],[Titolo]],Descrizioni,0),MATCH("Price",Intestazioni,0)-1,1,1)),"")</f>
        <v>0.78225</v>
      </c>
      <c r="O292" s="18">
        <f ca="1">IF(OR(Registro_Ordini[[#This Row],[Price]]=0,Registro_Ordini[[#This Row],[Price]]=""),"",IF(Registro_Ordini[[#This Row],[Tipo]]="Sell",Registro_Ordini[[#This Row],[Prezzo]]/Registro_Ordini[[#This Row],[Price]]-1,Registro_Ordini[[#This Row],[Price]]/Registro_Ordini[[#This Row],[Prezzo]]-1))</f>
        <v>-0.21775</v>
      </c>
      <c r="P292" s="15">
        <v>2.2598263792683627E-3</v>
      </c>
      <c r="Q292" s="3">
        <v>6.5706069328315006E-2</v>
      </c>
      <c r="R292" s="3">
        <v>0.19302218027820051</v>
      </c>
      <c r="S292" s="3">
        <v>0.30526624110671424</v>
      </c>
      <c r="T292" s="3">
        <v>0</v>
      </c>
      <c r="U292" s="3">
        <v>0.43600550928677034</v>
      </c>
      <c r="V292" s="3">
        <v>0</v>
      </c>
      <c r="W292" s="5"/>
    </row>
    <row r="293" spans="1:23" s="1" customFormat="1" ht="24.95" customHeight="1" x14ac:dyDescent="0.2">
      <c r="A293" s="8">
        <v>45904.661620370367</v>
      </c>
      <c r="B293" s="7">
        <v>45904.661620370367</v>
      </c>
      <c r="C293" s="9" t="s">
        <v>413</v>
      </c>
      <c r="D293" s="1" t="s">
        <v>388</v>
      </c>
      <c r="E293" s="1" t="s">
        <v>420</v>
      </c>
      <c r="F293" s="19" t="s">
        <v>4254</v>
      </c>
      <c r="G293" s="1" t="s">
        <v>371</v>
      </c>
      <c r="H293" s="2">
        <v>1500</v>
      </c>
      <c r="I293" s="17">
        <v>49.92</v>
      </c>
      <c r="J293" s="1" t="s">
        <v>366</v>
      </c>
      <c r="K293" s="6">
        <f>Registro_Ordini[[#This Row],[Numero]]*Registro_Ordini[[#This Row],[Prezzo]]</f>
        <v>74880</v>
      </c>
      <c r="L293" s="10">
        <v>0.80505000000000004</v>
      </c>
      <c r="M293" s="6">
        <f>Registro_Ordini[[#This Row],[Importo]]*Registro_Ordini[[#This Row],[Cambio]]</f>
        <v>60282.144</v>
      </c>
      <c r="N293" s="1">
        <f ca="1">IFERROR(_xlfn.NUMBERVALUE(OFFSET(Origine,MATCH(Registro_Ordini[[#This Row],[Titolo]],Descrizioni,0),MATCH("Price",Intestazioni,0)-1,1,1)),"")</f>
        <v>48.134999999999998</v>
      </c>
      <c r="O293" s="18">
        <f ca="1">IF(OR(Registro_Ordini[[#This Row],[Price]]=0,Registro_Ordini[[#This Row],[Price]]=""),"",IF(Registro_Ordini[[#This Row],[Tipo]]="Sell",Registro_Ordini[[#This Row],[Prezzo]]/Registro_Ordini[[#This Row],[Price]]-1,Registro_Ordini[[#This Row],[Price]]/Registro_Ordini[[#This Row],[Prezzo]]-1))</f>
        <v>-3.5757211538461564E-2</v>
      </c>
      <c r="P293" s="15">
        <v>1.2121481802332973E-2</v>
      </c>
      <c r="Q293" s="3">
        <v>6.5773725167251162E-2</v>
      </c>
      <c r="R293" s="3">
        <v>0.1932451195902225</v>
      </c>
      <c r="S293" s="3">
        <v>0.30511074892043827</v>
      </c>
      <c r="T293" s="3">
        <v>0</v>
      </c>
      <c r="U293" s="3">
        <v>0.43587040632208807</v>
      </c>
      <c r="V293" s="3">
        <v>0</v>
      </c>
      <c r="W293" s="5"/>
    </row>
    <row r="294" spans="1:23" s="1" customFormat="1" ht="24.95" customHeight="1" x14ac:dyDescent="0.2">
      <c r="A294" s="8">
        <v>45904.661493055559</v>
      </c>
      <c r="B294" s="7">
        <v>45904.661493055559</v>
      </c>
      <c r="C294" s="9" t="s">
        <v>413</v>
      </c>
      <c r="D294" s="1" t="s">
        <v>388</v>
      </c>
      <c r="E294" s="1" t="s">
        <v>389</v>
      </c>
      <c r="F294" s="19" t="s">
        <v>4259</v>
      </c>
      <c r="G294" s="1" t="s">
        <v>371</v>
      </c>
      <c r="H294" s="2">
        <v>1500</v>
      </c>
      <c r="I294" s="17">
        <v>48.89</v>
      </c>
      <c r="J294" s="1" t="s">
        <v>366</v>
      </c>
      <c r="K294" s="6">
        <f>Registro_Ordini[[#This Row],[Numero]]*Registro_Ordini[[#This Row],[Prezzo]]</f>
        <v>73335</v>
      </c>
      <c r="L294" s="10">
        <v>0.80505000000000004</v>
      </c>
      <c r="M294" s="6">
        <f>Registro_Ordini[[#This Row],[Importo]]*Registro_Ordini[[#This Row],[Cambio]]</f>
        <v>59038.34175</v>
      </c>
      <c r="N294" s="1">
        <f ca="1">IFERROR(_xlfn.NUMBERVALUE(OFFSET(Origine,MATCH(Registro_Ordini[[#This Row],[Titolo]],Descrizioni,0),MATCH("Price",Intestazioni,0)-1,1,1)),"")</f>
        <v>56.935000000000002</v>
      </c>
      <c r="O294" s="18">
        <f ca="1">IF(OR(Registro_Ordini[[#This Row],[Price]]=0,Registro_Ordini[[#This Row],[Price]]=""),"",IF(Registro_Ordini[[#This Row],[Tipo]]="Sell",Registro_Ordini[[#This Row],[Prezzo]]/Registro_Ordini[[#This Row],[Price]]-1,Registro_Ordini[[#This Row],[Price]]/Registro_Ordini[[#This Row],[Prezzo]]-1))</f>
        <v>0.16455307833912869</v>
      </c>
      <c r="P294" s="15">
        <v>1.1849102554802272E-2</v>
      </c>
      <c r="Q294" s="3">
        <v>7.789520696958413E-2</v>
      </c>
      <c r="R294" s="3">
        <v>0.1932451195902225</v>
      </c>
      <c r="S294" s="3">
        <v>0.2929892671181053</v>
      </c>
      <c r="T294" s="3">
        <v>0</v>
      </c>
      <c r="U294" s="3">
        <v>0.43587040632208807</v>
      </c>
      <c r="V294" s="3">
        <v>0</v>
      </c>
      <c r="W294" s="5"/>
    </row>
    <row r="295" spans="1:23" s="1" customFormat="1" ht="24.95" customHeight="1" x14ac:dyDescent="0.2">
      <c r="A295" s="8">
        <v>45904.661400462966</v>
      </c>
      <c r="B295" s="7">
        <v>45904.661400462966</v>
      </c>
      <c r="C295" s="9" t="s">
        <v>413</v>
      </c>
      <c r="D295" s="1" t="s">
        <v>388</v>
      </c>
      <c r="E295" s="1" t="s">
        <v>389</v>
      </c>
      <c r="F295" s="19" t="s">
        <v>414</v>
      </c>
      <c r="G295" s="1" t="s">
        <v>365</v>
      </c>
      <c r="H295" s="2">
        <v>-940</v>
      </c>
      <c r="I295" s="17">
        <v>129.88999999999999</v>
      </c>
      <c r="J295" s="1" t="s">
        <v>366</v>
      </c>
      <c r="K295" s="6">
        <f>Registro_Ordini[[#This Row],[Numero]]*Registro_Ordini[[#This Row],[Prezzo]]</f>
        <v>-122096.59999999999</v>
      </c>
      <c r="L295" s="10">
        <v>0.80505000000000004</v>
      </c>
      <c r="M295" s="6">
        <f>Registro_Ordini[[#This Row],[Importo]]*Registro_Ordini[[#This Row],[Cambio]]</f>
        <v>-98293.867830000003</v>
      </c>
      <c r="N295" s="1">
        <f ca="1">IFERROR(_xlfn.NUMBERVALUE(OFFSET(Origine,MATCH(Registro_Ordini[[#This Row],[Titolo]],Descrizioni,0),MATCH("Price",Intestazioni,0)-1,1,1)),"")</f>
        <v>137.36000000000001</v>
      </c>
      <c r="O295" s="18">
        <f ca="1">IF(OR(Registro_Ordini[[#This Row],[Price]]=0,Registro_Ordini[[#This Row],[Price]]=""),"",IF(Registro_Ordini[[#This Row],[Tipo]]="Sell",Registro_Ordini[[#This Row],[Prezzo]]/Registro_Ordini[[#This Row],[Price]]-1,Registro_Ordini[[#This Row],[Price]]/Registro_Ordini[[#This Row],[Prezzo]]-1))</f>
        <v>-5.4382644146767856E-2</v>
      </c>
      <c r="P295" s="15">
        <v>-1.9748280843048922E-2</v>
      </c>
      <c r="Q295" s="3">
        <v>8.9742509639583148E-2</v>
      </c>
      <c r="R295" s="3">
        <v>0.19323930631460715</v>
      </c>
      <c r="S295" s="3">
        <v>0.28109785633171158</v>
      </c>
      <c r="T295" s="3">
        <v>0</v>
      </c>
      <c r="U295" s="3">
        <v>0.43592032771409811</v>
      </c>
      <c r="V295" s="3">
        <v>0</v>
      </c>
      <c r="W295" s="5"/>
    </row>
    <row r="296" spans="1:23" s="1" customFormat="1" ht="24.95" customHeight="1" x14ac:dyDescent="0.2">
      <c r="A296" s="8">
        <v>45903.739895833336</v>
      </c>
      <c r="B296" s="7">
        <v>45903.739895833336</v>
      </c>
      <c r="C296" s="9" t="s">
        <v>106</v>
      </c>
      <c r="D296" s="1" t="s">
        <v>388</v>
      </c>
      <c r="E296" s="1" t="s">
        <v>403</v>
      </c>
      <c r="F296" s="1" t="s">
        <v>434</v>
      </c>
      <c r="G296" s="1" t="s">
        <v>365</v>
      </c>
      <c r="H296" s="2">
        <v>-400</v>
      </c>
      <c r="I296" s="17">
        <v>13.465400000000001</v>
      </c>
      <c r="J296" s="1" t="s">
        <v>381</v>
      </c>
      <c r="K296" s="6">
        <f>Registro_Ordini[[#This Row],[Numero]]*Registro_Ordini[[#This Row],[Prezzo]]</f>
        <v>-5386.16</v>
      </c>
      <c r="L296" s="10">
        <v>1</v>
      </c>
      <c r="M296" s="6">
        <f>Registro_Ordini[[#This Row],[Importo]]*Registro_Ordini[[#This Row],[Cambio]]</f>
        <v>-5386.16</v>
      </c>
      <c r="N296" s="1">
        <f ca="1">IFERROR(_xlfn.NUMBERVALUE(OFFSET(Origine,MATCH(Registro_Ordini[[#This Row],[Titolo]],Descrizioni,0),MATCH("Price",Intestazioni,0)-1,1,1)),"")</f>
        <v>14.614000000000001</v>
      </c>
      <c r="O296" s="18">
        <f ca="1">IF(OR(Registro_Ordini[[#This Row],[Price]]=0,Registro_Ordini[[#This Row],[Price]]=""),"",IF(Registro_Ordini[[#This Row],[Tipo]]="Sell",Registro_Ordini[[#This Row],[Prezzo]]/Registro_Ordini[[#This Row],[Price]]-1,Registro_Ordini[[#This Row],[Price]]/Registro_Ordini[[#This Row],[Prezzo]]-1))</f>
        <v>-7.8595866976871487E-2</v>
      </c>
      <c r="P296" s="15">
        <v>-3.7482253778068332E-2</v>
      </c>
      <c r="Q296" s="3">
        <v>0.11067093669996102</v>
      </c>
      <c r="R296" s="3">
        <v>0.28521184768701086</v>
      </c>
      <c r="S296" s="3">
        <v>0.45260785898636491</v>
      </c>
      <c r="T296" s="3">
        <v>0</v>
      </c>
      <c r="U296" s="3">
        <v>0.15150935662666315</v>
      </c>
      <c r="V296" s="3"/>
      <c r="W296" s="4"/>
    </row>
    <row r="297" spans="1:23" s="1" customFormat="1" ht="24.95" customHeight="1" x14ac:dyDescent="0.2">
      <c r="A297" s="8">
        <v>45903.739884259259</v>
      </c>
      <c r="B297" s="7">
        <v>45903.739884259259</v>
      </c>
      <c r="C297" s="9" t="s">
        <v>379</v>
      </c>
      <c r="D297" s="1" t="s">
        <v>388</v>
      </c>
      <c r="E297" s="1" t="s">
        <v>403</v>
      </c>
      <c r="F297" s="1" t="s">
        <v>434</v>
      </c>
      <c r="G297" s="1" t="s">
        <v>365</v>
      </c>
      <c r="H297" s="2">
        <v>-1015</v>
      </c>
      <c r="I297" s="17">
        <v>13.465400000000001</v>
      </c>
      <c r="J297" s="1" t="s">
        <v>381</v>
      </c>
      <c r="K297" s="6">
        <f>Registro_Ordini[[#This Row],[Numero]]*Registro_Ordini[[#This Row],[Prezzo]]</f>
        <v>-13667.381000000001</v>
      </c>
      <c r="L297" s="10">
        <v>1</v>
      </c>
      <c r="M297" s="6">
        <f>Registro_Ordini[[#This Row],[Importo]]*Registro_Ordini[[#This Row],[Cambio]]</f>
        <v>-13667.381000000001</v>
      </c>
      <c r="N297" s="1">
        <f ca="1">IFERROR(_xlfn.NUMBERVALUE(OFFSET(Origine,MATCH(Registro_Ordini[[#This Row],[Titolo]],Descrizioni,0),MATCH("Price",Intestazioni,0)-1,1,1)),"")</f>
        <v>14.614000000000001</v>
      </c>
      <c r="O297" s="18">
        <f ca="1">IF(OR(Registro_Ordini[[#This Row],[Price]]=0,Registro_Ordini[[#This Row],[Price]]=""),"",IF(Registro_Ordini[[#This Row],[Tipo]]="Sell",Registro_Ordini[[#This Row],[Prezzo]]/Registro_Ordini[[#This Row],[Price]]-1,Registro_Ordini[[#This Row],[Price]]/Registro_Ordini[[#This Row],[Prezzo]]-1))</f>
        <v>-7.8595866976871487E-2</v>
      </c>
      <c r="P297" s="15">
        <v>-2.3144467655705433E-2</v>
      </c>
      <c r="Q297" s="3">
        <v>0.18153543188055821</v>
      </c>
      <c r="R297" s="3">
        <v>0.34808197045071448</v>
      </c>
      <c r="S297" s="3">
        <v>0.35365139956879449</v>
      </c>
      <c r="T297" s="3">
        <v>0</v>
      </c>
      <c r="U297" s="3">
        <v>0.11673119809993285</v>
      </c>
      <c r="V297" s="3"/>
      <c r="W297" s="4"/>
    </row>
    <row r="298" spans="1:23" s="1" customFormat="1" ht="24.95" customHeight="1" x14ac:dyDescent="0.2">
      <c r="A298" s="8">
        <v>45903.739872685182</v>
      </c>
      <c r="B298" s="7">
        <v>45903.739872685182</v>
      </c>
      <c r="C298" s="9" t="s">
        <v>382</v>
      </c>
      <c r="D298" s="1" t="s">
        <v>388</v>
      </c>
      <c r="E298" s="1" t="s">
        <v>403</v>
      </c>
      <c r="F298" s="1" t="s">
        <v>434</v>
      </c>
      <c r="G298" s="1" t="s">
        <v>365</v>
      </c>
      <c r="H298" s="2">
        <v>-1900</v>
      </c>
      <c r="I298" s="17">
        <v>13.465400000000001</v>
      </c>
      <c r="J298" s="1" t="s">
        <v>381</v>
      </c>
      <c r="K298" s="6">
        <f>Registro_Ordini[[#This Row],[Numero]]*Registro_Ordini[[#This Row],[Prezzo]]</f>
        <v>-25584.260000000002</v>
      </c>
      <c r="L298" s="10">
        <v>1</v>
      </c>
      <c r="M298" s="6">
        <f>Registro_Ordini[[#This Row],[Importo]]*Registro_Ordini[[#This Row],[Cambio]]</f>
        <v>-25584.260000000002</v>
      </c>
      <c r="N298" s="1">
        <f ca="1">IFERROR(_xlfn.NUMBERVALUE(OFFSET(Origine,MATCH(Registro_Ordini[[#This Row],[Titolo]],Descrizioni,0),MATCH("Price",Intestazioni,0)-1,1,1)),"")</f>
        <v>14.614000000000001</v>
      </c>
      <c r="O298" s="18">
        <f ca="1">IF(OR(Registro_Ordini[[#This Row],[Price]]=0,Registro_Ordini[[#This Row],[Price]]=""),"",IF(Registro_Ordini[[#This Row],[Tipo]]="Sell",Registro_Ordini[[#This Row],[Prezzo]]/Registro_Ordini[[#This Row],[Price]]-1,Registro_Ordini[[#This Row],[Price]]/Registro_Ordini[[#This Row],[Prezzo]]-1))</f>
        <v>-7.8595866976871487E-2</v>
      </c>
      <c r="P298" s="15">
        <v>-2.4255920651303487E-2</v>
      </c>
      <c r="Q298" s="3">
        <v>0.18249735856742208</v>
      </c>
      <c r="R298" s="3">
        <v>0.3445442607961664</v>
      </c>
      <c r="S298" s="3">
        <v>0.34872722009700224</v>
      </c>
      <c r="T298" s="3">
        <v>0</v>
      </c>
      <c r="U298" s="3">
        <v>0.12423116053940926</v>
      </c>
      <c r="V298" s="3"/>
      <c r="W298" s="4"/>
    </row>
    <row r="299" spans="1:23" s="1" customFormat="1" ht="24.95" customHeight="1" x14ac:dyDescent="0.2">
      <c r="A299" s="8">
        <v>45903.739849537036</v>
      </c>
      <c r="B299" s="7">
        <v>45903.739849537036</v>
      </c>
      <c r="C299" s="9" t="s">
        <v>383</v>
      </c>
      <c r="D299" s="1" t="s">
        <v>388</v>
      </c>
      <c r="E299" s="1" t="s">
        <v>403</v>
      </c>
      <c r="F299" s="1" t="s">
        <v>434</v>
      </c>
      <c r="G299" s="1" t="s">
        <v>365</v>
      </c>
      <c r="H299" s="2">
        <v>-1120</v>
      </c>
      <c r="I299" s="17">
        <v>13.465400000000001</v>
      </c>
      <c r="J299" s="1" t="s">
        <v>381</v>
      </c>
      <c r="K299" s="6">
        <f>Registro_Ordini[[#This Row],[Numero]]*Registro_Ordini[[#This Row],[Prezzo]]</f>
        <v>-15081.248000000001</v>
      </c>
      <c r="L299" s="10">
        <v>1</v>
      </c>
      <c r="M299" s="6">
        <f>Registro_Ordini[[#This Row],[Importo]]*Registro_Ordini[[#This Row],[Cambio]]</f>
        <v>-15081.248000000001</v>
      </c>
      <c r="N299" s="1">
        <f ca="1">IFERROR(_xlfn.NUMBERVALUE(OFFSET(Origine,MATCH(Registro_Ordini[[#This Row],[Titolo]],Descrizioni,0),MATCH("Price",Intestazioni,0)-1,1,1)),"")</f>
        <v>14.614000000000001</v>
      </c>
      <c r="O299" s="18">
        <f ca="1">IF(OR(Registro_Ordini[[#This Row],[Price]]=0,Registro_Ordini[[#This Row],[Price]]=""),"",IF(Registro_Ordini[[#This Row],[Tipo]]="Sell",Registro_Ordini[[#This Row],[Prezzo]]/Registro_Ordini[[#This Row],[Price]]-1,Registro_Ordini[[#This Row],[Price]]/Registro_Ordini[[#This Row],[Prezzo]]-1))</f>
        <v>-7.8595866976871487E-2</v>
      </c>
      <c r="P299" s="15">
        <v>-2.3198093281347486E-2</v>
      </c>
      <c r="Q299" s="3">
        <v>0.19057978367779091</v>
      </c>
      <c r="R299" s="3">
        <v>0.34720515184814599</v>
      </c>
      <c r="S299" s="3">
        <v>0.34379292865862993</v>
      </c>
      <c r="T299" s="3">
        <v>0</v>
      </c>
      <c r="U299" s="3">
        <v>0.11842213581543319</v>
      </c>
      <c r="V299" s="3"/>
      <c r="W299" s="4"/>
    </row>
    <row r="300" spans="1:23" s="1" customFormat="1" ht="24.95" customHeight="1" x14ac:dyDescent="0.2">
      <c r="A300" s="8">
        <v>45903.739050925928</v>
      </c>
      <c r="B300" s="7">
        <v>45903.739050925928</v>
      </c>
      <c r="C300" s="9" t="s">
        <v>78</v>
      </c>
      <c r="D300" s="1" t="s">
        <v>388</v>
      </c>
      <c r="E300" s="1" t="s">
        <v>403</v>
      </c>
      <c r="F300" s="1" t="s">
        <v>434</v>
      </c>
      <c r="G300" s="1" t="s">
        <v>365</v>
      </c>
      <c r="H300" s="2">
        <v>-790</v>
      </c>
      <c r="I300" s="17">
        <v>13.465400000000001</v>
      </c>
      <c r="J300" s="1" t="s">
        <v>381</v>
      </c>
      <c r="K300" s="6">
        <f>Registro_Ordini[[#This Row],[Numero]]*Registro_Ordini[[#This Row],[Prezzo]]</f>
        <v>-10637.666000000001</v>
      </c>
      <c r="L300" s="10">
        <v>0.93764999999999998</v>
      </c>
      <c r="M300" s="6">
        <f>Registro_Ordini[[#This Row],[Importo]]*Registro_Ordini[[#This Row],[Cambio]]</f>
        <v>-9974.4075249000016</v>
      </c>
      <c r="N300" s="1">
        <f ca="1">IFERROR(_xlfn.NUMBERVALUE(OFFSET(Origine,MATCH(Registro_Ordini[[#This Row],[Titolo]],Descrizioni,0),MATCH("Price",Intestazioni,0)-1,1,1)),"")</f>
        <v>14.614000000000001</v>
      </c>
      <c r="O300" s="18">
        <f ca="1">IF(OR(Registro_Ordini[[#This Row],[Price]]=0,Registro_Ordini[[#This Row],[Price]]=""),"",IF(Registro_Ordini[[#This Row],[Tipo]]="Sell",Registro_Ordini[[#This Row],[Prezzo]]/Registro_Ordini[[#This Row],[Price]]-1,Registro_Ordini[[#This Row],[Price]]/Registro_Ordini[[#This Row],[Prezzo]]-1))</f>
        <v>-7.8595866976871487E-2</v>
      </c>
      <c r="P300" s="15">
        <v>-1.8529809022151497E-2</v>
      </c>
      <c r="Q300" s="3">
        <v>0.19912320736830408</v>
      </c>
      <c r="R300" s="3">
        <v>0.13010921831448521</v>
      </c>
      <c r="S300" s="3">
        <v>0.56684677661987504</v>
      </c>
      <c r="T300" s="3">
        <v>0</v>
      </c>
      <c r="U300" s="3">
        <v>0.10392079769733577</v>
      </c>
      <c r="V300" s="3"/>
      <c r="W300" s="4"/>
    </row>
    <row r="301" spans="1:23" s="1" customFormat="1" ht="24.95" customHeight="1" x14ac:dyDescent="0.2">
      <c r="A301" s="8">
        <v>45903.737453703703</v>
      </c>
      <c r="B301" s="7">
        <v>45903.737453703703</v>
      </c>
      <c r="C301" s="9" t="s">
        <v>367</v>
      </c>
      <c r="D301" s="1" t="s">
        <v>388</v>
      </c>
      <c r="E301" s="1" t="s">
        <v>403</v>
      </c>
      <c r="F301" s="1" t="s">
        <v>434</v>
      </c>
      <c r="G301" s="1" t="s">
        <v>365</v>
      </c>
      <c r="H301" s="2">
        <v>-5200</v>
      </c>
      <c r="I301" s="17">
        <v>13.47</v>
      </c>
      <c r="J301" s="1" t="s">
        <v>381</v>
      </c>
      <c r="K301" s="6">
        <f>Registro_Ordini[[#This Row],[Numero]]*Registro_Ordini[[#This Row],[Prezzo]]</f>
        <v>-70044</v>
      </c>
      <c r="L301" s="10">
        <v>0.93764999999999998</v>
      </c>
      <c r="M301" s="6">
        <f>Registro_Ordini[[#This Row],[Importo]]*Registro_Ordini[[#This Row],[Cambio]]</f>
        <v>-65676.756599999993</v>
      </c>
      <c r="N301" s="1">
        <f ca="1">IFERROR(_xlfn.NUMBERVALUE(OFFSET(Origine,MATCH(Registro_Ordini[[#This Row],[Titolo]],Descrizioni,0),MATCH("Price",Intestazioni,0)-1,1,1)),"")</f>
        <v>14.614000000000001</v>
      </c>
      <c r="O301" s="18">
        <f ca="1">IF(OR(Registro_Ordini[[#This Row],[Price]]=0,Registro_Ordini[[#This Row],[Price]]=""),"",IF(Registro_Ordini[[#This Row],[Tipo]]="Sell",Registro_Ordini[[#This Row],[Prezzo]]/Registro_Ordini[[#This Row],[Price]]-1,Registro_Ordini[[#This Row],[Price]]/Registro_Ordini[[#This Row],[Prezzo]]-1))</f>
        <v>-7.828110031476665E-2</v>
      </c>
      <c r="P301" s="15">
        <v>-1.8682939543420051E-2</v>
      </c>
      <c r="Q301" s="3">
        <v>0.18986539286301127</v>
      </c>
      <c r="R301" s="3">
        <v>0.4021407740834943</v>
      </c>
      <c r="S301" s="3">
        <v>0.33310988346215209</v>
      </c>
      <c r="T301" s="3">
        <v>0</v>
      </c>
      <c r="U301" s="3">
        <v>7.4883949591342328E-2</v>
      </c>
      <c r="V301" s="3"/>
      <c r="W301" s="4"/>
    </row>
    <row r="302" spans="1:23" s="1" customFormat="1" ht="24.95" customHeight="1" x14ac:dyDescent="0.2">
      <c r="A302" s="8">
        <v>45903.737442129626</v>
      </c>
      <c r="B302" s="7">
        <v>45903.737442129626</v>
      </c>
      <c r="C302" s="9" t="s">
        <v>375</v>
      </c>
      <c r="D302" s="1" t="s">
        <v>388</v>
      </c>
      <c r="E302" s="1" t="s">
        <v>403</v>
      </c>
      <c r="F302" s="1" t="s">
        <v>434</v>
      </c>
      <c r="G302" s="1" t="s">
        <v>365</v>
      </c>
      <c r="H302" s="2">
        <v>-1200</v>
      </c>
      <c r="I302" s="17">
        <v>13.465400000000001</v>
      </c>
      <c r="J302" s="1" t="s">
        <v>381</v>
      </c>
      <c r="K302" s="6">
        <f>Registro_Ordini[[#This Row],[Numero]]*Registro_Ordini[[#This Row],[Prezzo]]</f>
        <v>-16158.480000000001</v>
      </c>
      <c r="L302" s="10">
        <v>0.93764999999999998</v>
      </c>
      <c r="M302" s="6">
        <f>Registro_Ordini[[#This Row],[Importo]]*Registro_Ordini[[#This Row],[Cambio]]</f>
        <v>-15150.998772000001</v>
      </c>
      <c r="N302" s="1">
        <f ca="1">IFERROR(_xlfn.NUMBERVALUE(OFFSET(Origine,MATCH(Registro_Ordini[[#This Row],[Titolo]],Descrizioni,0),MATCH("Price",Intestazioni,0)-1,1,1)),"")</f>
        <v>14.614000000000001</v>
      </c>
      <c r="O302" s="18">
        <f ca="1">IF(OR(Registro_Ordini[[#This Row],[Price]]=0,Registro_Ordini[[#This Row],[Price]]=""),"",IF(Registro_Ordini[[#This Row],[Tipo]]="Sell",Registro_Ordini[[#This Row],[Prezzo]]/Registro_Ordini[[#This Row],[Price]]-1,Registro_Ordini[[#This Row],[Price]]/Registro_Ordini[[#This Row],[Prezzo]]-1))</f>
        <v>-7.8595866976871487E-2</v>
      </c>
      <c r="P302" s="15">
        <v>-1.8025081524410146E-2</v>
      </c>
      <c r="Q302" s="3">
        <v>0.16007133416897898</v>
      </c>
      <c r="R302" s="3">
        <v>0.37447806653291682</v>
      </c>
      <c r="S302" s="3">
        <v>0.35262743334367275</v>
      </c>
      <c r="T302" s="3">
        <v>0</v>
      </c>
      <c r="U302" s="3">
        <v>0.11282316595443151</v>
      </c>
      <c r="V302" s="3"/>
      <c r="W302" s="4"/>
    </row>
    <row r="303" spans="1:23" s="1" customFormat="1" ht="24.95" customHeight="1" x14ac:dyDescent="0.2">
      <c r="A303" s="8">
        <v>45903.737430555557</v>
      </c>
      <c r="B303" s="7">
        <v>45903.737430555557</v>
      </c>
      <c r="C303" s="9" t="s">
        <v>376</v>
      </c>
      <c r="D303" s="1" t="s">
        <v>388</v>
      </c>
      <c r="E303" s="1" t="s">
        <v>403</v>
      </c>
      <c r="F303" s="1" t="s">
        <v>434</v>
      </c>
      <c r="G303" s="1" t="s">
        <v>365</v>
      </c>
      <c r="H303" s="2">
        <v>-420</v>
      </c>
      <c r="I303" s="17">
        <v>13.465400000000001</v>
      </c>
      <c r="J303" s="1" t="s">
        <v>381</v>
      </c>
      <c r="K303" s="6">
        <f>Registro_Ordini[[#This Row],[Numero]]*Registro_Ordini[[#This Row],[Prezzo]]</f>
        <v>-5655.4679999999998</v>
      </c>
      <c r="L303" s="10">
        <v>0.93764999999999998</v>
      </c>
      <c r="M303" s="6">
        <f>Registro_Ordini[[#This Row],[Importo]]*Registro_Ordini[[#This Row],[Cambio]]</f>
        <v>-5302.8495702</v>
      </c>
      <c r="N303" s="1">
        <f ca="1">IFERROR(_xlfn.NUMBERVALUE(OFFSET(Origine,MATCH(Registro_Ordini[[#This Row],[Titolo]],Descrizioni,0),MATCH("Price",Intestazioni,0)-1,1,1)),"")</f>
        <v>14.614000000000001</v>
      </c>
      <c r="O303" s="18">
        <f ca="1">IF(OR(Registro_Ordini[[#This Row],[Price]]=0,Registro_Ordini[[#This Row],[Price]]=""),"",IF(Registro_Ordini[[#This Row],[Tipo]]="Sell",Registro_Ordini[[#This Row],[Prezzo]]/Registro_Ordini[[#This Row],[Price]]-1,Registro_Ordini[[#This Row],[Price]]/Registro_Ordini[[#This Row],[Prezzo]]-1))</f>
        <v>-7.8595866976871487E-2</v>
      </c>
      <c r="P303" s="15">
        <v>-1.9838894586928155E-2</v>
      </c>
      <c r="Q303" s="3">
        <v>0.10383826693448642</v>
      </c>
      <c r="R303" s="3">
        <v>0.32126640636309828</v>
      </c>
      <c r="S303" s="3">
        <v>0.42772041088399443</v>
      </c>
      <c r="T303" s="3">
        <v>0</v>
      </c>
      <c r="U303" s="3">
        <v>0.14717491581842079</v>
      </c>
      <c r="V303" s="3"/>
      <c r="W303" s="4"/>
    </row>
    <row r="304" spans="1:23" s="1" customFormat="1" ht="24.95" customHeight="1" x14ac:dyDescent="0.2">
      <c r="A304" s="8">
        <v>45903.73741898148</v>
      </c>
      <c r="B304" s="7">
        <v>45903.73741898148</v>
      </c>
      <c r="C304" s="9" t="s">
        <v>377</v>
      </c>
      <c r="D304" s="1" t="s">
        <v>388</v>
      </c>
      <c r="E304" s="1" t="s">
        <v>403</v>
      </c>
      <c r="F304" s="1" t="s">
        <v>434</v>
      </c>
      <c r="G304" s="1" t="s">
        <v>365</v>
      </c>
      <c r="H304" s="2">
        <v>-2400</v>
      </c>
      <c r="I304" s="17">
        <v>13.465400000000001</v>
      </c>
      <c r="J304" s="1" t="s">
        <v>381</v>
      </c>
      <c r="K304" s="6">
        <f>Registro_Ordini[[#This Row],[Numero]]*Registro_Ordini[[#This Row],[Prezzo]]</f>
        <v>-32316.960000000003</v>
      </c>
      <c r="L304" s="10">
        <v>0.93764999999999998</v>
      </c>
      <c r="M304" s="6">
        <f>Registro_Ordini[[#This Row],[Importo]]*Registro_Ordini[[#This Row],[Cambio]]</f>
        <v>-30301.997544000002</v>
      </c>
      <c r="N304" s="1">
        <f ca="1">IFERROR(_xlfn.NUMBERVALUE(OFFSET(Origine,MATCH(Registro_Ordini[[#This Row],[Titolo]],Descrizioni,0),MATCH("Price",Intestazioni,0)-1,1,1)),"")</f>
        <v>14.614000000000001</v>
      </c>
      <c r="O304" s="18">
        <f ca="1">IF(OR(Registro_Ordini[[#This Row],[Price]]=0,Registro_Ordini[[#This Row],[Price]]=""),"",IF(Registro_Ordini[[#This Row],[Tipo]]="Sell",Registro_Ordini[[#This Row],[Prezzo]]/Registro_Ordini[[#This Row],[Price]]-1,Registro_Ordini[[#This Row],[Price]]/Registro_Ordini[[#This Row],[Prezzo]]-1))</f>
        <v>-7.8595866976871487E-2</v>
      </c>
      <c r="P304" s="15">
        <v>-1.8502983759777315E-2</v>
      </c>
      <c r="Q304" s="3">
        <v>0.15184028309774236</v>
      </c>
      <c r="R304" s="3">
        <v>0.35287864875228392</v>
      </c>
      <c r="S304" s="3">
        <v>0.38180460993994331</v>
      </c>
      <c r="T304" s="3">
        <v>0</v>
      </c>
      <c r="U304" s="3">
        <v>0.11347645821003041</v>
      </c>
      <c r="V304" s="3"/>
      <c r="W304" s="4"/>
    </row>
    <row r="305" spans="1:23" s="1" customFormat="1" ht="24.95" customHeight="1" x14ac:dyDescent="0.2">
      <c r="A305" s="8">
        <v>45903.737407407411</v>
      </c>
      <c r="B305" s="7">
        <v>45903.73741898148</v>
      </c>
      <c r="C305" s="9" t="s">
        <v>378</v>
      </c>
      <c r="D305" s="1" t="s">
        <v>388</v>
      </c>
      <c r="E305" s="1" t="s">
        <v>403</v>
      </c>
      <c r="F305" s="1" t="s">
        <v>434</v>
      </c>
      <c r="G305" s="1" t="s">
        <v>365</v>
      </c>
      <c r="H305" s="2">
        <v>-790</v>
      </c>
      <c r="I305" s="17">
        <v>13.465400000000001</v>
      </c>
      <c r="J305" s="1" t="s">
        <v>381</v>
      </c>
      <c r="K305" s="6">
        <f>Registro_Ordini[[#This Row],[Numero]]*Registro_Ordini[[#This Row],[Prezzo]]</f>
        <v>-10637.666000000001</v>
      </c>
      <c r="L305" s="10">
        <v>0.93764999999999998</v>
      </c>
      <c r="M305" s="6">
        <f>Registro_Ordini[[#This Row],[Importo]]*Registro_Ordini[[#This Row],[Cambio]]</f>
        <v>-9974.4075249000016</v>
      </c>
      <c r="N305" s="1">
        <f ca="1">IFERROR(_xlfn.NUMBERVALUE(OFFSET(Origine,MATCH(Registro_Ordini[[#This Row],[Titolo]],Descrizioni,0),MATCH("Price",Intestazioni,0)-1,1,1)),"")</f>
        <v>14.614000000000001</v>
      </c>
      <c r="O305" s="18">
        <f ca="1">IF(OR(Registro_Ordini[[#This Row],[Price]]=0,Registro_Ordini[[#This Row],[Price]]=""),"",IF(Registro_Ordini[[#This Row],[Tipo]]="Sell",Registro_Ordini[[#This Row],[Prezzo]]/Registro_Ordini[[#This Row],[Price]]-1,Registro_Ordini[[#This Row],[Price]]/Registro_Ordini[[#This Row],[Prezzo]]-1))</f>
        <v>-7.8595866976871487E-2</v>
      </c>
      <c r="P305" s="15">
        <v>-1.8698376677648759E-2</v>
      </c>
      <c r="Q305" s="3">
        <v>0.15938781826696063</v>
      </c>
      <c r="R305" s="3">
        <v>0.34194116084542153</v>
      </c>
      <c r="S305" s="3">
        <v>0.39115333863632079</v>
      </c>
      <c r="T305" s="3">
        <v>0</v>
      </c>
      <c r="U305" s="3">
        <v>0.1075176822512969</v>
      </c>
      <c r="V305" s="3"/>
      <c r="W305" s="4"/>
    </row>
    <row r="306" spans="1:23" s="1" customFormat="1" ht="24.95" customHeight="1" x14ac:dyDescent="0.2">
      <c r="A306" s="8">
        <v>45903.733067129629</v>
      </c>
      <c r="B306" s="7">
        <v>45903.733067129629</v>
      </c>
      <c r="C306" s="9" t="s">
        <v>379</v>
      </c>
      <c r="D306" s="1" t="s">
        <v>388</v>
      </c>
      <c r="E306" s="1" t="s">
        <v>389</v>
      </c>
      <c r="F306" s="1" t="s">
        <v>414</v>
      </c>
      <c r="G306" s="1" t="s">
        <v>365</v>
      </c>
      <c r="H306" s="2">
        <v>-130</v>
      </c>
      <c r="I306" s="16">
        <v>130.61000000000001</v>
      </c>
      <c r="J306" s="1" t="s">
        <v>366</v>
      </c>
      <c r="K306" s="6">
        <f>Registro_Ordini[[#This Row],[Numero]]*Registro_Ordini[[#This Row],[Prezzo]]</f>
        <v>-16979.300000000003</v>
      </c>
      <c r="L306" s="10">
        <v>0.85619999999999996</v>
      </c>
      <c r="M306" s="6">
        <f>Registro_Ordini[[#This Row],[Importo]]*Registro_Ordini[[#This Row],[Cambio]]</f>
        <v>-14537.676660000001</v>
      </c>
      <c r="N306" s="1">
        <f ca="1">IFERROR(_xlfn.NUMBERVALUE(OFFSET(Origine,MATCH(Registro_Ordini[[#This Row],[Titolo]],Descrizioni,0),MATCH("Price",Intestazioni,0)-1,1,1)),"")</f>
        <v>137.36000000000001</v>
      </c>
      <c r="O306" s="18">
        <f ca="1">IF(OR(Registro_Ordini[[#This Row],[Price]]=0,Registro_Ordini[[#This Row],[Price]]=""),"",IF(Registro_Ordini[[#This Row],[Tipo]]="Sell",Registro_Ordini[[#This Row],[Prezzo]]/Registro_Ordini[[#This Row],[Price]]-1,Registro_Ordini[[#This Row],[Price]]/Registro_Ordini[[#This Row],[Prezzo]]-1))</f>
        <v>-4.9140943506115309E-2</v>
      </c>
      <c r="P306" s="15">
        <v>-2.4894979234317136E-2</v>
      </c>
      <c r="Q306" s="3">
        <v>0.15838598457065239</v>
      </c>
      <c r="R306" s="3">
        <v>0.34814743359396394</v>
      </c>
      <c r="S306" s="3">
        <v>0.37682307756948663</v>
      </c>
      <c r="T306" s="3">
        <v>0</v>
      </c>
      <c r="U306" s="3">
        <v>0.1166435042658971</v>
      </c>
      <c r="V306" s="3"/>
      <c r="W306" s="4"/>
    </row>
    <row r="307" spans="1:23" s="1" customFormat="1" ht="24.95" customHeight="1" x14ac:dyDescent="0.2">
      <c r="A307" s="8">
        <v>45903.733055555553</v>
      </c>
      <c r="B307" s="7">
        <v>45903.733055555553</v>
      </c>
      <c r="C307" s="9" t="s">
        <v>382</v>
      </c>
      <c r="D307" s="1" t="s">
        <v>388</v>
      </c>
      <c r="E307" s="1" t="s">
        <v>389</v>
      </c>
      <c r="F307" s="1" t="s">
        <v>414</v>
      </c>
      <c r="G307" s="1" t="s">
        <v>365</v>
      </c>
      <c r="H307" s="2">
        <v>-240</v>
      </c>
      <c r="I307" s="16">
        <v>130.61000000000001</v>
      </c>
      <c r="J307" s="1" t="s">
        <v>366</v>
      </c>
      <c r="K307" s="6">
        <f>Registro_Ordini[[#This Row],[Numero]]*Registro_Ordini[[#This Row],[Prezzo]]</f>
        <v>-31346.400000000001</v>
      </c>
      <c r="L307" s="10">
        <v>0.85619999999999996</v>
      </c>
      <c r="M307" s="6">
        <f>Registro_Ordini[[#This Row],[Importo]]*Registro_Ordini[[#This Row],[Cambio]]</f>
        <v>-26838.787680000001</v>
      </c>
      <c r="N307" s="1">
        <f ca="1">IFERROR(_xlfn.NUMBERVALUE(OFFSET(Origine,MATCH(Registro_Ordini[[#This Row],[Titolo]],Descrizioni,0),MATCH("Price",Intestazioni,0)-1,1,1)),"")</f>
        <v>137.36000000000001</v>
      </c>
      <c r="O307" s="18">
        <f ca="1">IF(OR(Registro_Ordini[[#This Row],[Price]]=0,Registro_Ordini[[#This Row],[Price]]=""),"",IF(Registro_Ordini[[#This Row],[Tipo]]="Sell",Registro_Ordini[[#This Row],[Prezzo]]/Registro_Ordini[[#This Row],[Price]]-1,Registro_Ordini[[#This Row],[Price]]/Registro_Ordini[[#This Row],[Prezzo]]-1))</f>
        <v>-4.9140943506115309E-2</v>
      </c>
      <c r="P307" s="15">
        <v>-2.5732185354343896E-2</v>
      </c>
      <c r="Q307" s="3">
        <v>0.15824277900062586</v>
      </c>
      <c r="R307" s="3">
        <v>0.34461932358025277</v>
      </c>
      <c r="S307" s="3">
        <v>0.37300743851132534</v>
      </c>
      <c r="T307" s="3">
        <v>0</v>
      </c>
      <c r="U307" s="3">
        <v>0.12413045890779609</v>
      </c>
      <c r="V307" s="3"/>
      <c r="W307" s="4"/>
    </row>
    <row r="308" spans="1:23" s="1" customFormat="1" ht="24.95" customHeight="1" x14ac:dyDescent="0.2">
      <c r="A308" s="8">
        <v>45903.733032407406</v>
      </c>
      <c r="B308" s="7">
        <v>45903.733032407406</v>
      </c>
      <c r="C308" s="9" t="s">
        <v>383</v>
      </c>
      <c r="D308" s="1" t="s">
        <v>388</v>
      </c>
      <c r="E308" s="1" t="s">
        <v>389</v>
      </c>
      <c r="F308" s="1" t="s">
        <v>414</v>
      </c>
      <c r="G308" s="1" t="s">
        <v>365</v>
      </c>
      <c r="H308" s="2">
        <v>-150</v>
      </c>
      <c r="I308" s="16">
        <v>130.61000000000001</v>
      </c>
      <c r="J308" s="1" t="s">
        <v>366</v>
      </c>
      <c r="K308" s="6">
        <f>Registro_Ordini[[#This Row],[Numero]]*Registro_Ordini[[#This Row],[Prezzo]]</f>
        <v>-19591.500000000004</v>
      </c>
      <c r="L308" s="10">
        <v>0.85619999999999996</v>
      </c>
      <c r="M308" s="6">
        <f>Registro_Ordini[[#This Row],[Importo]]*Registro_Ordini[[#This Row],[Cambio]]</f>
        <v>-16774.242300000002</v>
      </c>
      <c r="N308" s="1">
        <f ca="1">IFERROR(_xlfn.NUMBERVALUE(OFFSET(Origine,MATCH(Registro_Ordini[[#This Row],[Titolo]],Descrizioni,0),MATCH("Price",Intestazioni,0)-1,1,1)),"")</f>
        <v>137.36000000000001</v>
      </c>
      <c r="O308" s="18">
        <f ca="1">IF(OR(Registro_Ordini[[#This Row],[Price]]=0,Registro_Ordini[[#This Row],[Price]]=""),"",IF(Registro_Ordini[[#This Row],[Tipo]]="Sell",Registro_Ordini[[#This Row],[Prezzo]]/Registro_Ordini[[#This Row],[Price]]-1,Registro_Ordini[[#This Row],[Price]]/Registro_Ordini[[#This Row],[Prezzo]]-1))</f>
        <v>-4.9140943506115309E-2</v>
      </c>
      <c r="P308" s="15">
        <v>-2.6092783309306748E-2</v>
      </c>
      <c r="Q308" s="3">
        <v>0.16737986294002175</v>
      </c>
      <c r="R308" s="3">
        <v>0.34727603841039678</v>
      </c>
      <c r="S308" s="3">
        <v>0.36701377593656165</v>
      </c>
      <c r="T308" s="3">
        <v>0</v>
      </c>
      <c r="U308" s="3">
        <v>0.1183303227130197</v>
      </c>
      <c r="V308" s="3"/>
      <c r="W308" s="4"/>
    </row>
    <row r="309" spans="1:23" s="1" customFormat="1" ht="24.95" customHeight="1" x14ac:dyDescent="0.2">
      <c r="A309" s="8">
        <v>45903.732488425929</v>
      </c>
      <c r="B309" s="7">
        <v>45903.732488425929</v>
      </c>
      <c r="C309" s="9" t="s">
        <v>78</v>
      </c>
      <c r="D309" s="1" t="s">
        <v>388</v>
      </c>
      <c r="E309" s="1" t="s">
        <v>389</v>
      </c>
      <c r="F309" s="1" t="s">
        <v>414</v>
      </c>
      <c r="G309" s="1" t="s">
        <v>365</v>
      </c>
      <c r="H309" s="2">
        <v>-130</v>
      </c>
      <c r="I309" s="16">
        <v>130.61000000000001</v>
      </c>
      <c r="J309" s="1" t="s">
        <v>366</v>
      </c>
      <c r="K309" s="6">
        <f>Registro_Ordini[[#This Row],[Numero]]*Registro_Ordini[[#This Row],[Prezzo]]</f>
        <v>-16979.300000000003</v>
      </c>
      <c r="L309" s="10">
        <v>0.80295000000000005</v>
      </c>
      <c r="M309" s="6">
        <f>Registro_Ordini[[#This Row],[Importo]]*Registro_Ordini[[#This Row],[Cambio]]</f>
        <v>-13633.528935000004</v>
      </c>
      <c r="N309" s="1">
        <f ca="1">IFERROR(_xlfn.NUMBERVALUE(OFFSET(Origine,MATCH(Registro_Ordini[[#This Row],[Titolo]],Descrizioni,0),MATCH("Price",Intestazioni,0)-1,1,1)),"")</f>
        <v>137.36000000000001</v>
      </c>
      <c r="O309" s="18">
        <f ca="1">IF(OR(Registro_Ordini[[#This Row],[Price]]=0,Registro_Ordini[[#This Row],[Price]]=""),"",IF(Registro_Ordini[[#This Row],[Tipo]]="Sell",Registro_Ordini[[#This Row],[Prezzo]]/Registro_Ordini[[#This Row],[Price]]-1,Registro_Ordini[[#This Row],[Price]]/Registro_Ordini[[#This Row],[Prezzo]]-1))</f>
        <v>-4.9140943506115309E-2</v>
      </c>
      <c r="P309" s="15">
        <v>-2.5328584606988596E-2</v>
      </c>
      <c r="Q309" s="3">
        <v>0.18060075691817795</v>
      </c>
      <c r="R309" s="3">
        <v>0.13011485007291518</v>
      </c>
      <c r="S309" s="3">
        <v>0.58539365249194197</v>
      </c>
      <c r="T309" s="3">
        <v>0</v>
      </c>
      <c r="U309" s="3">
        <v>0.10389074051696488</v>
      </c>
      <c r="V309" s="3"/>
      <c r="W309" s="4"/>
    </row>
    <row r="310" spans="1:23" s="1" customFormat="1" ht="24.95" customHeight="1" x14ac:dyDescent="0.2">
      <c r="A310" s="8">
        <v>45903.732187499998</v>
      </c>
      <c r="B310" s="7">
        <v>45903.732187499998</v>
      </c>
      <c r="C310" s="9" t="s">
        <v>373</v>
      </c>
      <c r="D310" s="1" t="s">
        <v>388</v>
      </c>
      <c r="E310" s="1" t="s">
        <v>389</v>
      </c>
      <c r="F310" s="1" t="s">
        <v>414</v>
      </c>
      <c r="G310" s="1" t="s">
        <v>365</v>
      </c>
      <c r="H310" s="2">
        <v>-80</v>
      </c>
      <c r="I310" s="16">
        <v>130.61000000000001</v>
      </c>
      <c r="J310" s="1" t="s">
        <v>366</v>
      </c>
      <c r="K310" s="6">
        <f>Registro_Ordini[[#This Row],[Numero]]*Registro_Ordini[[#This Row],[Prezzo]]</f>
        <v>-10448.800000000001</v>
      </c>
      <c r="L310" s="10">
        <v>0.80295000000000005</v>
      </c>
      <c r="M310" s="6">
        <f>Registro_Ordini[[#This Row],[Importo]]*Registro_Ordini[[#This Row],[Cambio]]</f>
        <v>-8389.8639600000006</v>
      </c>
      <c r="N310" s="1">
        <f ca="1">IFERROR(_xlfn.NUMBERVALUE(OFFSET(Origine,MATCH(Registro_Ordini[[#This Row],[Titolo]],Descrizioni,0),MATCH("Price",Intestazioni,0)-1,1,1)),"")</f>
        <v>137.36000000000001</v>
      </c>
      <c r="O310" s="18">
        <f ca="1">IF(OR(Registro_Ordini[[#This Row],[Price]]=0,Registro_Ordini[[#This Row],[Price]]=""),"",IF(Registro_Ordini[[#This Row],[Tipo]]="Sell",Registro_Ordini[[#This Row],[Prezzo]]/Registro_Ordini[[#This Row],[Price]]-1,Registro_Ordini[[#This Row],[Price]]/Registro_Ordini[[#This Row],[Prezzo]]-1))</f>
        <v>-4.9140943506115309E-2</v>
      </c>
      <c r="P310" s="15">
        <v>-1.2131627415532403E-2</v>
      </c>
      <c r="Q310" s="3">
        <v>0.59410625185598265</v>
      </c>
      <c r="R310" s="3">
        <v>0.1723591644600625</v>
      </c>
      <c r="S310" s="3">
        <v>0.15472188401007686</v>
      </c>
      <c r="T310" s="3">
        <v>0</v>
      </c>
      <c r="U310" s="3">
        <v>7.881269967387812E-2</v>
      </c>
      <c r="V310" s="3"/>
      <c r="W310" s="4"/>
    </row>
    <row r="311" spans="1:23" s="1" customFormat="1" ht="24.95" customHeight="1" x14ac:dyDescent="0.2">
      <c r="A311" s="8">
        <v>45903.732175925928</v>
      </c>
      <c r="B311" s="7">
        <v>45903.732175925928</v>
      </c>
      <c r="C311" s="9" t="s">
        <v>367</v>
      </c>
      <c r="D311" s="1" t="s">
        <v>388</v>
      </c>
      <c r="E311" s="1" t="s">
        <v>389</v>
      </c>
      <c r="F311" s="1" t="s">
        <v>414</v>
      </c>
      <c r="G311" s="1" t="s">
        <v>365</v>
      </c>
      <c r="H311" s="2">
        <v>-690</v>
      </c>
      <c r="I311" s="16">
        <v>130.67500000000001</v>
      </c>
      <c r="J311" s="1" t="s">
        <v>366</v>
      </c>
      <c r="K311" s="6">
        <f>Registro_Ordini[[#This Row],[Numero]]*Registro_Ordini[[#This Row],[Prezzo]]</f>
        <v>-90165.750000000015</v>
      </c>
      <c r="L311" s="10">
        <v>0.80295000000000005</v>
      </c>
      <c r="M311" s="6">
        <f>Registro_Ordini[[#This Row],[Importo]]*Registro_Ordini[[#This Row],[Cambio]]</f>
        <v>-72398.588962500013</v>
      </c>
      <c r="N311" s="1">
        <f ca="1">IFERROR(_xlfn.NUMBERVALUE(OFFSET(Origine,MATCH(Registro_Ordini[[#This Row],[Titolo]],Descrizioni,0),MATCH("Price",Intestazioni,0)-1,1,1)),"")</f>
        <v>137.36000000000001</v>
      </c>
      <c r="O311" s="18">
        <f ca="1">IF(OR(Registro_Ordini[[#This Row],[Price]]=0,Registro_Ordini[[#This Row],[Price]]=""),"",IF(Registro_Ordini[[#This Row],[Tipo]]="Sell",Registro_Ordini[[#This Row],[Prezzo]]/Registro_Ordini[[#This Row],[Price]]-1,Registro_Ordini[[#This Row],[Price]]/Registro_Ordini[[#This Row],[Prezzo]]-1))</f>
        <v>-4.8667734420500874E-2</v>
      </c>
      <c r="P311" s="15">
        <v>-2.0815844040355677E-2</v>
      </c>
      <c r="Q311" s="3">
        <v>0.17115412610131828</v>
      </c>
      <c r="R311" s="3">
        <v>0.40206476158282195</v>
      </c>
      <c r="S311" s="3">
        <v>0.35191707046869308</v>
      </c>
      <c r="T311" s="3">
        <v>0</v>
      </c>
      <c r="U311" s="3">
        <v>7.4864041847166704E-2</v>
      </c>
      <c r="V311" s="3"/>
      <c r="W311" s="4"/>
    </row>
    <row r="312" spans="1:23" s="1" customFormat="1" ht="24.95" customHeight="1" x14ac:dyDescent="0.2">
      <c r="A312" s="8">
        <v>45903.732164351852</v>
      </c>
      <c r="B312" s="7">
        <v>45903.732164351852</v>
      </c>
      <c r="C312" s="9" t="s">
        <v>375</v>
      </c>
      <c r="D312" s="1" t="s">
        <v>388</v>
      </c>
      <c r="E312" s="1" t="s">
        <v>389</v>
      </c>
      <c r="F312" s="1" t="s">
        <v>414</v>
      </c>
      <c r="G312" s="1" t="s">
        <v>365</v>
      </c>
      <c r="H312" s="2">
        <v>-160</v>
      </c>
      <c r="I312" s="16">
        <v>130.61000000000001</v>
      </c>
      <c r="J312" s="1" t="s">
        <v>366</v>
      </c>
      <c r="K312" s="6">
        <f>Registro_Ordini[[#This Row],[Numero]]*Registro_Ordini[[#This Row],[Prezzo]]</f>
        <v>-20897.600000000002</v>
      </c>
      <c r="L312" s="10">
        <v>0.80295000000000005</v>
      </c>
      <c r="M312" s="6">
        <f>Registro_Ordini[[#This Row],[Importo]]*Registro_Ordini[[#This Row],[Cambio]]</f>
        <v>-16779.727920000001</v>
      </c>
      <c r="N312" s="1">
        <f ca="1">IFERROR(_xlfn.NUMBERVALUE(OFFSET(Origine,MATCH(Registro_Ordini[[#This Row],[Titolo]],Descrizioni,0),MATCH("Price",Intestazioni,0)-1,1,1)),"")</f>
        <v>137.36000000000001</v>
      </c>
      <c r="O312" s="18">
        <f ca="1">IF(OR(Registro_Ordini[[#This Row],[Price]]=0,Registro_Ordini[[#This Row],[Price]]=""),"",IF(Registro_Ordini[[#This Row],[Tipo]]="Sell",Registro_Ordini[[#This Row],[Prezzo]]/Registro_Ordini[[#This Row],[Price]]-1,Registro_Ordini[[#This Row],[Price]]/Registro_Ordini[[#This Row],[Prezzo]]-1))</f>
        <v>-4.9140943506115309E-2</v>
      </c>
      <c r="P312" s="15">
        <v>-2.0182728590973302E-2</v>
      </c>
      <c r="Q312" s="3">
        <v>0.1420386239700448</v>
      </c>
      <c r="R312" s="3">
        <v>0.37445973350423828</v>
      </c>
      <c r="S312" s="3">
        <v>0.37069241959742055</v>
      </c>
      <c r="T312" s="3">
        <v>0</v>
      </c>
      <c r="U312" s="3">
        <v>0.11280922292829645</v>
      </c>
      <c r="V312" s="3"/>
      <c r="W312" s="4"/>
    </row>
    <row r="313" spans="1:23" s="1" customFormat="1" ht="24.95" customHeight="1" x14ac:dyDescent="0.2">
      <c r="A313" s="8">
        <v>45903.732152777775</v>
      </c>
      <c r="B313" s="7">
        <v>45903.732164351852</v>
      </c>
      <c r="C313" s="9" t="s">
        <v>376</v>
      </c>
      <c r="D313" s="1" t="s">
        <v>388</v>
      </c>
      <c r="E313" s="1" t="s">
        <v>389</v>
      </c>
      <c r="F313" s="1" t="s">
        <v>414</v>
      </c>
      <c r="G313" s="1" t="s">
        <v>365</v>
      </c>
      <c r="H313" s="2">
        <v>-60</v>
      </c>
      <c r="I313" s="16">
        <v>130.61000000000001</v>
      </c>
      <c r="J313" s="1" t="s">
        <v>366</v>
      </c>
      <c r="K313" s="6">
        <f>Registro_Ordini[[#This Row],[Numero]]*Registro_Ordini[[#This Row],[Prezzo]]</f>
        <v>-7836.6</v>
      </c>
      <c r="L313" s="10">
        <v>0.80295000000000005</v>
      </c>
      <c r="M313" s="6">
        <f>Registro_Ordini[[#This Row],[Importo]]*Registro_Ordini[[#This Row],[Cambio]]</f>
        <v>-6292.3979700000009</v>
      </c>
      <c r="N313" s="1">
        <f ca="1">IFERROR(_xlfn.NUMBERVALUE(OFFSET(Origine,MATCH(Registro_Ordini[[#This Row],[Titolo]],Descrizioni,0),MATCH("Price",Intestazioni,0)-1,1,1)),"")</f>
        <v>137.36000000000001</v>
      </c>
      <c r="O313" s="18">
        <f ca="1">IF(OR(Registro_Ordini[[#This Row],[Price]]=0,Registro_Ordini[[#This Row],[Price]]=""),"",IF(Registro_Ordini[[#This Row],[Tipo]]="Sell",Registro_Ordini[[#This Row],[Prezzo]]/Registro_Ordini[[#This Row],[Price]]-1,Registro_Ordini[[#This Row],[Price]]/Registro_Ordini[[#This Row],[Prezzo]]-1))</f>
        <v>-4.9140943506115309E-2</v>
      </c>
      <c r="P313" s="15">
        <v>-2.3800503670835582E-2</v>
      </c>
      <c r="Q313" s="3">
        <v>8.3996238004151333E-2</v>
      </c>
      <c r="R313" s="3">
        <v>0.32125275857064856</v>
      </c>
      <c r="S313" s="3">
        <v>0.44761296762901792</v>
      </c>
      <c r="T313" s="3">
        <v>0</v>
      </c>
      <c r="U313" s="3">
        <v>0.14713803579618215</v>
      </c>
      <c r="V313" s="3"/>
      <c r="W313" s="4"/>
    </row>
    <row r="314" spans="1:23" s="1" customFormat="1" ht="24.95" customHeight="1" x14ac:dyDescent="0.2">
      <c r="A314" s="8">
        <v>45903.732152777775</v>
      </c>
      <c r="B314" s="7">
        <v>45903.732152777775</v>
      </c>
      <c r="C314" s="9" t="s">
        <v>377</v>
      </c>
      <c r="D314" s="1" t="s">
        <v>388</v>
      </c>
      <c r="E314" s="1" t="s">
        <v>389</v>
      </c>
      <c r="F314" s="1" t="s">
        <v>414</v>
      </c>
      <c r="G314" s="1" t="s">
        <v>365</v>
      </c>
      <c r="H314" s="2">
        <v>-320</v>
      </c>
      <c r="I314" s="16">
        <v>130.61000000000001</v>
      </c>
      <c r="J314" s="1" t="s">
        <v>366</v>
      </c>
      <c r="K314" s="6">
        <f>Registro_Ordini[[#This Row],[Numero]]*Registro_Ordini[[#This Row],[Prezzo]]</f>
        <v>-41795.200000000004</v>
      </c>
      <c r="L314" s="10">
        <v>0.80295000000000005</v>
      </c>
      <c r="M314" s="6">
        <f>Registro_Ordini[[#This Row],[Importo]]*Registro_Ordini[[#This Row],[Cambio]]</f>
        <v>-33559.455840000002</v>
      </c>
      <c r="N314" s="1">
        <f ca="1">IFERROR(_xlfn.NUMBERVALUE(OFFSET(Origine,MATCH(Registro_Ordini[[#This Row],[Titolo]],Descrizioni,0),MATCH("Price",Intestazioni,0)-1,1,1)),"")</f>
        <v>137.36000000000001</v>
      </c>
      <c r="O314" s="18">
        <f ca="1">IF(OR(Registro_Ordini[[#This Row],[Price]]=0,Registro_Ordini[[#This Row],[Price]]=""),"",IF(Registro_Ordini[[#This Row],[Tipo]]="Sell",Registro_Ordini[[#This Row],[Prezzo]]/Registro_Ordini[[#This Row],[Price]]-1,Registro_Ordini[[#This Row],[Price]]/Registro_Ordini[[#This Row],[Prezzo]]-1))</f>
        <v>-4.9140943506115309E-2</v>
      </c>
      <c r="P314" s="15">
        <v>-2.0717207347623202E-2</v>
      </c>
      <c r="Q314" s="3">
        <v>0.13332260463720549</v>
      </c>
      <c r="R314" s="3">
        <v>0.35285065055688203</v>
      </c>
      <c r="S314" s="3">
        <v>0.40035929007643178</v>
      </c>
      <c r="T314" s="3">
        <v>0</v>
      </c>
      <c r="U314" s="3">
        <v>0.11346745472948064</v>
      </c>
      <c r="V314" s="3"/>
      <c r="W314" s="4"/>
    </row>
    <row r="315" spans="1:23" s="1" customFormat="1" ht="24.95" customHeight="1" x14ac:dyDescent="0.2">
      <c r="A315" s="8">
        <v>45903.732141203705</v>
      </c>
      <c r="B315" s="7">
        <v>45903.732141203705</v>
      </c>
      <c r="C315" s="9" t="s">
        <v>378</v>
      </c>
      <c r="D315" s="1" t="s">
        <v>388</v>
      </c>
      <c r="E315" s="1" t="s">
        <v>389</v>
      </c>
      <c r="F315" s="1" t="s">
        <v>414</v>
      </c>
      <c r="G315" s="1" t="s">
        <v>365</v>
      </c>
      <c r="H315" s="2">
        <v>-100</v>
      </c>
      <c r="I315" s="16">
        <v>130.61000000000001</v>
      </c>
      <c r="J315" s="1" t="s">
        <v>366</v>
      </c>
      <c r="K315" s="6">
        <f>Registro_Ordini[[#This Row],[Numero]]*Registro_Ordini[[#This Row],[Prezzo]]</f>
        <v>-13061.000000000002</v>
      </c>
      <c r="L315" s="10">
        <v>0.80295000000000005</v>
      </c>
      <c r="M315" s="6">
        <f>Registro_Ordini[[#This Row],[Importo]]*Registro_Ordini[[#This Row],[Cambio]]</f>
        <v>-10487.329950000003</v>
      </c>
      <c r="N315" s="1">
        <f ca="1">IFERROR(_xlfn.NUMBERVALUE(OFFSET(Origine,MATCH(Registro_Ordini[[#This Row],[Titolo]],Descrizioni,0),MATCH("Price",Intestazioni,0)-1,1,1)),"")</f>
        <v>137.36000000000001</v>
      </c>
      <c r="O315" s="18">
        <f ca="1">IF(OR(Registro_Ordini[[#This Row],[Price]]=0,Registro_Ordini[[#This Row],[Price]]=""),"",IF(Registro_Ordini[[#This Row],[Tipo]]="Sell",Registro_Ordini[[#This Row],[Prezzo]]/Registro_Ordini[[#This Row],[Price]]-1,Registro_Ordini[[#This Row],[Price]]/Registro_Ordini[[#This Row],[Prezzo]]-1))</f>
        <v>-4.9140943506115309E-2</v>
      </c>
      <c r="P315" s="15">
        <v>-1.9876374097177286E-2</v>
      </c>
      <c r="Q315" s="3">
        <v>0.14068139482835956</v>
      </c>
      <c r="R315" s="3">
        <v>0.34192162042908608</v>
      </c>
      <c r="S315" s="3">
        <v>0.40991471962050952</v>
      </c>
      <c r="T315" s="3">
        <v>0</v>
      </c>
      <c r="U315" s="3">
        <v>0.10748226512204476</v>
      </c>
      <c r="V315" s="3"/>
      <c r="W315" s="4"/>
    </row>
    <row r="316" spans="1:23" s="1" customFormat="1" ht="24.95" customHeight="1" x14ac:dyDescent="0.2">
      <c r="A316" s="8">
        <v>45902.72892361111</v>
      </c>
      <c r="B316" s="7">
        <v>45902.72892361111</v>
      </c>
      <c r="C316" s="9" t="s">
        <v>367</v>
      </c>
      <c r="D316" s="1" t="s">
        <v>388</v>
      </c>
      <c r="E316" s="1" t="s">
        <v>389</v>
      </c>
      <c r="F316" s="1" t="s">
        <v>410</v>
      </c>
      <c r="G316" s="1" t="s">
        <v>365</v>
      </c>
      <c r="H316" s="2">
        <v>-1000</v>
      </c>
      <c r="I316" s="16">
        <v>81.73</v>
      </c>
      <c r="J316" s="1" t="s">
        <v>366</v>
      </c>
      <c r="K316" s="6">
        <f>Registro_Ordini[[#This Row],[Numero]]*Registro_Ordini[[#This Row],[Prezzo]]</f>
        <v>-81730</v>
      </c>
      <c r="L316" s="10">
        <v>0.80274999999999996</v>
      </c>
      <c r="M316" s="6">
        <f>Registro_Ordini[[#This Row],[Importo]]*Registro_Ordini[[#This Row],[Cambio]]</f>
        <v>-65608.757499999992</v>
      </c>
      <c r="N316" s="1">
        <f ca="1">IFERROR(_xlfn.NUMBERVALUE(OFFSET(Origine,MATCH(Registro_Ordini[[#This Row],[Titolo]],Descrizioni,0),MATCH("Price",Intestazioni,0)-1,1,1)),"")</f>
        <v>96.11</v>
      </c>
      <c r="O316" s="18">
        <f ca="1">IF(OR(Registro_Ordini[[#This Row],[Price]]=0,Registro_Ordini[[#This Row],[Price]]=""),"",IF(Registro_Ordini[[#This Row],[Tipo]]="Sell",Registro_Ordini[[#This Row],[Prezzo]]/Registro_Ordini[[#This Row],[Price]]-1,Registro_Ordini[[#This Row],[Price]]/Registro_Ordini[[#This Row],[Prezzo]]-1))</f>
        <v>-0.14962022682343146</v>
      </c>
      <c r="P316" s="15">
        <v>-1.8914211827388002E-2</v>
      </c>
      <c r="Q316" s="3">
        <v>0.15050402716275249</v>
      </c>
      <c r="R316" s="3">
        <v>0.40291171319225993</v>
      </c>
      <c r="S316" s="3">
        <v>0.37259040397226173</v>
      </c>
      <c r="T316" s="3">
        <v>0</v>
      </c>
      <c r="U316" s="3">
        <v>7.3993855672725831E-2</v>
      </c>
      <c r="V316" s="3"/>
      <c r="W316" s="4"/>
    </row>
    <row r="317" spans="1:23" s="1" customFormat="1" ht="24.95" customHeight="1" x14ac:dyDescent="0.2">
      <c r="A317" s="8">
        <v>45902.725752314815</v>
      </c>
      <c r="B317" s="7">
        <v>45902.725752314815</v>
      </c>
      <c r="C317" s="9" t="s">
        <v>382</v>
      </c>
      <c r="D317" s="1" t="s">
        <v>388</v>
      </c>
      <c r="E317" s="1" t="s">
        <v>389</v>
      </c>
      <c r="F317" s="1" t="s">
        <v>430</v>
      </c>
      <c r="G317" s="1" t="s">
        <v>365</v>
      </c>
      <c r="H317" s="2">
        <v>-250</v>
      </c>
      <c r="I317" s="16">
        <v>84.03</v>
      </c>
      <c r="J317" s="1" t="s">
        <v>366</v>
      </c>
      <c r="K317" s="6">
        <f>Registro_Ordini[[#This Row],[Numero]]*Registro_Ordini[[#This Row],[Prezzo]]</f>
        <v>-21007.5</v>
      </c>
      <c r="L317" s="10">
        <v>0.85775000000000001</v>
      </c>
      <c r="M317" s="6">
        <f>Registro_Ordini[[#This Row],[Importo]]*Registro_Ordini[[#This Row],[Cambio]]</f>
        <v>-18019.183125</v>
      </c>
      <c r="N317" s="1">
        <f ca="1">IFERROR(_xlfn.NUMBERVALUE(OFFSET(Origine,MATCH(Registro_Ordini[[#This Row],[Titolo]],Descrizioni,0),MATCH("Price",Intestazioni,0)-1,1,1)),"")</f>
        <v>46.79</v>
      </c>
      <c r="O317" s="18">
        <f ca="1">IF(OR(Registro_Ordini[[#This Row],[Price]]=0,Registro_Ordini[[#This Row],[Price]]=""),"",IF(Registro_Ordini[[#This Row],[Tipo]]="Sell",Registro_Ordini[[#This Row],[Prezzo]]/Registro_Ordini[[#This Row],[Price]]-1,Registro_Ordini[[#This Row],[Price]]/Registro_Ordini[[#This Row],[Prezzo]]-1))</f>
        <v>0.79589655909382362</v>
      </c>
      <c r="P317" s="15">
        <v>-1.7276209779784057E-2</v>
      </c>
      <c r="Q317" s="3">
        <v>0.13266165087214385</v>
      </c>
      <c r="R317" s="3">
        <v>0.34491721400964781</v>
      </c>
      <c r="S317" s="3">
        <v>0.39978673939091453</v>
      </c>
      <c r="T317" s="3">
        <v>0</v>
      </c>
      <c r="U317" s="3">
        <v>0.12263439572729386</v>
      </c>
      <c r="V317" s="3"/>
      <c r="W317" s="4"/>
    </row>
    <row r="318" spans="1:23" s="1" customFormat="1" ht="24.95" customHeight="1" x14ac:dyDescent="0.2">
      <c r="A318" s="8">
        <v>45902.725740740738</v>
      </c>
      <c r="B318" s="7">
        <v>45902.725740740738</v>
      </c>
      <c r="C318" s="9" t="s">
        <v>383</v>
      </c>
      <c r="D318" s="1" t="s">
        <v>388</v>
      </c>
      <c r="E318" s="1" t="s">
        <v>389</v>
      </c>
      <c r="F318" s="1" t="s">
        <v>430</v>
      </c>
      <c r="G318" s="1" t="s">
        <v>365</v>
      </c>
      <c r="H318" s="2">
        <v>-220</v>
      </c>
      <c r="I318" s="16">
        <v>84.03</v>
      </c>
      <c r="J318" s="1" t="s">
        <v>366</v>
      </c>
      <c r="K318" s="6">
        <f>Registro_Ordini[[#This Row],[Numero]]*Registro_Ordini[[#This Row],[Prezzo]]</f>
        <v>-18486.599999999999</v>
      </c>
      <c r="L318" s="10">
        <v>0.85775000000000001</v>
      </c>
      <c r="M318" s="6">
        <f>Registro_Ordini[[#This Row],[Importo]]*Registro_Ordini[[#This Row],[Cambio]]</f>
        <v>-15856.881149999999</v>
      </c>
      <c r="N318" s="1">
        <f ca="1">IFERROR(_xlfn.NUMBERVALUE(OFFSET(Origine,MATCH(Registro_Ordini[[#This Row],[Titolo]],Descrizioni,0),MATCH("Price",Intestazioni,0)-1,1,1)),"")</f>
        <v>46.79</v>
      </c>
      <c r="O318" s="18">
        <f ca="1">IF(OR(Registro_Ordini[[#This Row],[Price]]=0,Registro_Ordini[[#This Row],[Price]]=""),"",IF(Registro_Ordini[[#This Row],[Tipo]]="Sell",Registro_Ordini[[#This Row],[Prezzo]]/Registro_Ordini[[#This Row],[Price]]-1,Registro_Ordini[[#This Row],[Price]]/Registro_Ordini[[#This Row],[Prezzo]]-1))</f>
        <v>0.79589655909382362</v>
      </c>
      <c r="P318" s="15">
        <v>-2.4670097085162455E-2</v>
      </c>
      <c r="Q318" s="3">
        <v>0.14148094755149274</v>
      </c>
      <c r="R318" s="3">
        <v>0.34754906110408845</v>
      </c>
      <c r="S318" s="3">
        <v>0.3940543169311585</v>
      </c>
      <c r="T318" s="3">
        <v>0</v>
      </c>
      <c r="U318" s="3">
        <v>0.11691567441326041</v>
      </c>
      <c r="V318" s="3"/>
      <c r="W318" s="4"/>
    </row>
    <row r="319" spans="1:23" s="1" customFormat="1" ht="24.95" customHeight="1" x14ac:dyDescent="0.2">
      <c r="A319" s="8">
        <v>45902.724953703706</v>
      </c>
      <c r="B319" s="7">
        <v>45902.724953703706</v>
      </c>
      <c r="C319" s="9" t="s">
        <v>375</v>
      </c>
      <c r="D319" s="1" t="s">
        <v>388</v>
      </c>
      <c r="E319" s="1" t="s">
        <v>389</v>
      </c>
      <c r="F319" s="1" t="s">
        <v>430</v>
      </c>
      <c r="G319" s="1" t="s">
        <v>365</v>
      </c>
      <c r="H319" s="2">
        <v>-180</v>
      </c>
      <c r="I319" s="16">
        <v>84.03</v>
      </c>
      <c r="J319" s="1" t="s">
        <v>366</v>
      </c>
      <c r="K319" s="6">
        <f>Registro_Ordini[[#This Row],[Numero]]*Registro_Ordini[[#This Row],[Prezzo]]</f>
        <v>-15125.4</v>
      </c>
      <c r="L319" s="10">
        <v>0.80284999999999995</v>
      </c>
      <c r="M319" s="6">
        <f>Registro_Ordini[[#This Row],[Importo]]*Registro_Ordini[[#This Row],[Cambio]]</f>
        <v>-12143.427389999999</v>
      </c>
      <c r="N319" s="1">
        <f ca="1">IFERROR(_xlfn.NUMBERVALUE(OFFSET(Origine,MATCH(Registro_Ordini[[#This Row],[Titolo]],Descrizioni,0),MATCH("Price",Intestazioni,0)-1,1,1)),"")</f>
        <v>46.79</v>
      </c>
      <c r="O319" s="18">
        <f ca="1">IF(OR(Registro_Ordini[[#This Row],[Price]]=0,Registro_Ordini[[#This Row],[Price]]=""),"",IF(Registro_Ordini[[#This Row],[Tipo]]="Sell",Registro_Ordini[[#This Row],[Prezzo]]/Registro_Ordini[[#This Row],[Price]]-1,Registro_Ordini[[#This Row],[Price]]/Registro_Ordini[[#This Row],[Prezzo]]-1))</f>
        <v>0.79589655909382362</v>
      </c>
      <c r="P319" s="15">
        <v>-1.4639390624555432E-2</v>
      </c>
      <c r="Q319" s="3">
        <v>0.12206324334251717</v>
      </c>
      <c r="R319" s="3">
        <v>0.37549653877430644</v>
      </c>
      <c r="S319" s="3">
        <v>0.39133520190994747</v>
      </c>
      <c r="T319" s="3">
        <v>0</v>
      </c>
      <c r="U319" s="3">
        <v>0.11110501597322892</v>
      </c>
      <c r="V319" s="3"/>
      <c r="W319" s="4"/>
    </row>
    <row r="320" spans="1:23" s="1" customFormat="1" ht="24.95" customHeight="1" x14ac:dyDescent="0.2">
      <c r="A320" s="8">
        <v>45902.724942129629</v>
      </c>
      <c r="B320" s="7">
        <v>45902.724942129629</v>
      </c>
      <c r="C320" s="9" t="s">
        <v>377</v>
      </c>
      <c r="D320" s="1" t="s">
        <v>388</v>
      </c>
      <c r="E320" s="1" t="s">
        <v>389</v>
      </c>
      <c r="F320" s="1" t="s">
        <v>430</v>
      </c>
      <c r="G320" s="1" t="s">
        <v>365</v>
      </c>
      <c r="H320" s="2">
        <v>-365</v>
      </c>
      <c r="I320" s="16">
        <v>84.03</v>
      </c>
      <c r="J320" s="1" t="s">
        <v>366</v>
      </c>
      <c r="K320" s="6">
        <f>Registro_Ordini[[#This Row],[Numero]]*Registro_Ordini[[#This Row],[Prezzo]]</f>
        <v>-30670.95</v>
      </c>
      <c r="L320" s="10">
        <v>0.80284999999999995</v>
      </c>
      <c r="M320" s="6">
        <f>Registro_Ordini[[#This Row],[Importo]]*Registro_Ordini[[#This Row],[Cambio]]</f>
        <v>-24624.1722075</v>
      </c>
      <c r="N320" s="1">
        <f ca="1">IFERROR(_xlfn.NUMBERVALUE(OFFSET(Origine,MATCH(Registro_Ordini[[#This Row],[Titolo]],Descrizioni,0),MATCH("Price",Intestazioni,0)-1,1,1)),"")</f>
        <v>46.79</v>
      </c>
      <c r="O320" s="18">
        <f ca="1">IF(OR(Registro_Ordini[[#This Row],[Price]]=0,Registro_Ordini[[#This Row],[Price]]=""),"",IF(Registro_Ordini[[#This Row],[Tipo]]="Sell",Registro_Ordini[[#This Row],[Prezzo]]/Registro_Ordini[[#This Row],[Price]]-1,Registro_Ordini[[#This Row],[Price]]/Registro_Ordini[[#This Row],[Prezzo]]-1))</f>
        <v>0.79589655909382362</v>
      </c>
      <c r="P320" s="15">
        <v>-1.5238450117010836E-2</v>
      </c>
      <c r="Q320" s="3">
        <v>0.11278266495762357</v>
      </c>
      <c r="R320" s="3">
        <v>0.35387531986999959</v>
      </c>
      <c r="S320" s="3">
        <v>0.42117952436123041</v>
      </c>
      <c r="T320" s="3">
        <v>0</v>
      </c>
      <c r="U320" s="3">
        <v>0.11216249081114632</v>
      </c>
      <c r="V320" s="3"/>
      <c r="W320" s="4"/>
    </row>
    <row r="321" spans="1:23" s="1" customFormat="1" ht="24.95" customHeight="1" x14ac:dyDescent="0.2">
      <c r="A321" s="8">
        <v>45902.724930555552</v>
      </c>
      <c r="B321" s="7">
        <v>45902.724930555552</v>
      </c>
      <c r="C321" s="9" t="s">
        <v>378</v>
      </c>
      <c r="D321" s="1" t="s">
        <v>388</v>
      </c>
      <c r="E321" s="1" t="s">
        <v>389</v>
      </c>
      <c r="F321" s="1" t="s">
        <v>430</v>
      </c>
      <c r="G321" s="1" t="s">
        <v>365</v>
      </c>
      <c r="H321" s="2">
        <v>-120</v>
      </c>
      <c r="I321" s="16">
        <v>84.03</v>
      </c>
      <c r="J321" s="1" t="s">
        <v>366</v>
      </c>
      <c r="K321" s="6">
        <f>Registro_Ordini[[#This Row],[Numero]]*Registro_Ordini[[#This Row],[Prezzo]]</f>
        <v>-10083.6</v>
      </c>
      <c r="L321" s="10">
        <v>0.80284999999999995</v>
      </c>
      <c r="M321" s="6">
        <f>Registro_Ordini[[#This Row],[Importo]]*Registro_Ordini[[#This Row],[Cambio]]</f>
        <v>-8095.6182600000002</v>
      </c>
      <c r="N321" s="1">
        <f ca="1">IFERROR(_xlfn.NUMBERVALUE(OFFSET(Origine,MATCH(Registro_Ordini[[#This Row],[Titolo]],Descrizioni,0),MATCH("Price",Intestazioni,0)-1,1,1)),"")</f>
        <v>46.79</v>
      </c>
      <c r="O321" s="18">
        <f ca="1">IF(OR(Registro_Ordini[[#This Row],[Price]]=0,Registro_Ordini[[#This Row],[Price]]=""),"",IF(Registro_Ordini[[#This Row],[Tipo]]="Sell",Registro_Ordini[[#This Row],[Prezzo]]/Registro_Ordini[[#This Row],[Price]]-1,Registro_Ordini[[#This Row],[Price]]/Registro_Ordini[[#This Row],[Prezzo]]-1))</f>
        <v>0.79589655909382362</v>
      </c>
      <c r="P321" s="15">
        <v>-1.5377001484582717E-2</v>
      </c>
      <c r="Q321" s="3">
        <v>0.12098550226188944</v>
      </c>
      <c r="R321" s="3">
        <v>0.34281255533547234</v>
      </c>
      <c r="S321" s="3">
        <v>0.42994461752000646</v>
      </c>
      <c r="T321" s="3">
        <v>0</v>
      </c>
      <c r="U321" s="3">
        <v>0.10625732488263186</v>
      </c>
      <c r="V321" s="3"/>
      <c r="W321" s="4"/>
    </row>
    <row r="322" spans="1:23" s="1" customFormat="1" ht="24.95" customHeight="1" x14ac:dyDescent="0.2">
      <c r="A322" s="8">
        <v>45902.702696759261</v>
      </c>
      <c r="B322" s="7">
        <v>45902.702696759261</v>
      </c>
      <c r="C322" s="9" t="s">
        <v>106</v>
      </c>
      <c r="D322" s="1" t="s">
        <v>388</v>
      </c>
      <c r="E322" s="1" t="s">
        <v>420</v>
      </c>
      <c r="F322" s="1" t="s">
        <v>4254</v>
      </c>
      <c r="G322" s="1" t="s">
        <v>371</v>
      </c>
      <c r="H322" s="2">
        <v>100</v>
      </c>
      <c r="I322" s="17">
        <v>52.187899999999999</v>
      </c>
      <c r="J322" s="1" t="s">
        <v>366</v>
      </c>
      <c r="K322" s="6">
        <f>Registro_Ordini[[#This Row],[Numero]]*Registro_Ordini[[#This Row],[Prezzo]]</f>
        <v>5218.79</v>
      </c>
      <c r="L322" s="10">
        <v>0.85714999999999997</v>
      </c>
      <c r="M322" s="6">
        <f>Registro_Ordini[[#This Row],[Importo]]*Registro_Ordini[[#This Row],[Cambio]]</f>
        <v>4473.2858484999997</v>
      </c>
      <c r="N322" s="1">
        <f ca="1">IFERROR(_xlfn.NUMBERVALUE(OFFSET(Origine,MATCH(Registro_Ordini[[#This Row],[Titolo]],Descrizioni,0),MATCH("Price",Intestazioni,0)-1,1,1)),"")</f>
        <v>48.134999999999998</v>
      </c>
      <c r="O322" s="18">
        <f ca="1">IF(OR(Registro_Ordini[[#This Row],[Price]]=0,Registro_Ordini[[#This Row],[Price]]=""),"",IF(Registro_Ordini[[#This Row],[Tipo]]="Sell",Registro_Ordini[[#This Row],[Prezzo]]/Registro_Ordini[[#This Row],[Price]]-1,Registro_Ordini[[#This Row],[Price]]/Registro_Ordini[[#This Row],[Prezzo]]-1))</f>
        <v>-7.7659764044922364E-2</v>
      </c>
      <c r="P322" s="15">
        <v>3.145775438306668E-2</v>
      </c>
      <c r="Q322" s="3">
        <v>7.3233193360053003E-2</v>
      </c>
      <c r="R322" s="3">
        <v>0.2853079529653863</v>
      </c>
      <c r="S322" s="3">
        <v>0.49297621336678504</v>
      </c>
      <c r="T322" s="3">
        <v>0</v>
      </c>
      <c r="U322" s="3">
        <v>0.14848264030777569</v>
      </c>
      <c r="V322" s="3"/>
      <c r="W322" s="4"/>
    </row>
    <row r="323" spans="1:23" s="1" customFormat="1" ht="24.95" customHeight="1" x14ac:dyDescent="0.2">
      <c r="A323" s="8">
        <v>45902.702685185184</v>
      </c>
      <c r="B323" s="7">
        <v>45902.702685185184</v>
      </c>
      <c r="C323" s="9" t="s">
        <v>379</v>
      </c>
      <c r="D323" s="1" t="s">
        <v>388</v>
      </c>
      <c r="E323" s="1" t="s">
        <v>420</v>
      </c>
      <c r="F323" s="1" t="s">
        <v>4254</v>
      </c>
      <c r="G323" s="1" t="s">
        <v>371</v>
      </c>
      <c r="H323" s="2">
        <v>300</v>
      </c>
      <c r="I323" s="17">
        <v>52.187899999999999</v>
      </c>
      <c r="J323" s="1" t="s">
        <v>366</v>
      </c>
      <c r="K323" s="6">
        <f>Registro_Ordini[[#This Row],[Numero]]*Registro_Ordini[[#This Row],[Prezzo]]</f>
        <v>15656.369999999999</v>
      </c>
      <c r="L323" s="10">
        <v>0.85714999999999997</v>
      </c>
      <c r="M323" s="6">
        <f>Registro_Ordini[[#This Row],[Importo]]*Registro_Ordini[[#This Row],[Cambio]]</f>
        <v>13419.857545499999</v>
      </c>
      <c r="N323" s="1">
        <f ca="1">IFERROR(_xlfn.NUMBERVALUE(OFFSET(Origine,MATCH(Registro_Ordini[[#This Row],[Titolo]],Descrizioni,0),MATCH("Price",Intestazioni,0)-1,1,1)),"")</f>
        <v>48.134999999999998</v>
      </c>
      <c r="O323" s="18">
        <f ca="1">IF(OR(Registro_Ordini[[#This Row],[Price]]=0,Registro_Ordini[[#This Row],[Price]]=""),"",IF(Registro_Ordini[[#This Row],[Tipo]]="Sell",Registro_Ordini[[#This Row],[Prezzo]]/Registro_Ordini[[#This Row],[Price]]-1,Registro_Ordini[[#This Row],[Price]]/Registro_Ordini[[#This Row],[Prezzo]]-1))</f>
        <v>-7.7659764044922364E-2</v>
      </c>
      <c r="P323" s="15">
        <v>2.5000000000000001E-2</v>
      </c>
      <c r="Q323" s="3">
        <v>0.13371437882403001</v>
      </c>
      <c r="R323" s="3">
        <v>0.34871404512806464</v>
      </c>
      <c r="S323" s="3">
        <v>0.40274751406344672</v>
      </c>
      <c r="T323" s="3">
        <v>0</v>
      </c>
      <c r="U323" s="3">
        <v>0.11482406198445858</v>
      </c>
      <c r="V323" s="3"/>
      <c r="W323" s="4"/>
    </row>
    <row r="324" spans="1:23" s="1" customFormat="1" ht="24.95" customHeight="1" x14ac:dyDescent="0.2">
      <c r="A324" s="8">
        <v>45902.702662037038</v>
      </c>
      <c r="B324" s="7">
        <v>45902.702673611115</v>
      </c>
      <c r="C324" s="9" t="s">
        <v>382</v>
      </c>
      <c r="D324" s="1" t="s">
        <v>388</v>
      </c>
      <c r="E324" s="1" t="s">
        <v>420</v>
      </c>
      <c r="F324" s="1" t="s">
        <v>4254</v>
      </c>
      <c r="G324" s="1" t="s">
        <v>371</v>
      </c>
      <c r="H324" s="2">
        <v>585</v>
      </c>
      <c r="I324" s="17">
        <v>52.187899999999999</v>
      </c>
      <c r="J324" s="1" t="s">
        <v>366</v>
      </c>
      <c r="K324" s="6">
        <f>Registro_Ordini[[#This Row],[Numero]]*Registro_Ordini[[#This Row],[Prezzo]]</f>
        <v>30529.9215</v>
      </c>
      <c r="L324" s="10">
        <v>0.85714999999999997</v>
      </c>
      <c r="M324" s="6">
        <f>Registro_Ordini[[#This Row],[Importo]]*Registro_Ordini[[#This Row],[Cambio]]</f>
        <v>26168.722213724999</v>
      </c>
      <c r="N324" s="1">
        <f ca="1">IFERROR(_xlfn.NUMBERVALUE(OFFSET(Origine,MATCH(Registro_Ordini[[#This Row],[Titolo]],Descrizioni,0),MATCH("Price",Intestazioni,0)-1,1,1)),"")</f>
        <v>48.134999999999998</v>
      </c>
      <c r="O324" s="18">
        <f ca="1">IF(OR(Registro_Ordini[[#This Row],[Price]]=0,Registro_Ordini[[#This Row],[Price]]=""),"",IF(Registro_Ordini[[#This Row],[Tipo]]="Sell",Registro_Ordini[[#This Row],[Prezzo]]/Registro_Ordini[[#This Row],[Price]]-1,Registro_Ordini[[#This Row],[Price]]/Registro_Ordini[[#This Row],[Prezzo]]-1))</f>
        <v>-7.7659764044922364E-2</v>
      </c>
      <c r="P324" s="15">
        <v>2.5102422587566432E-2</v>
      </c>
      <c r="Q324" s="3">
        <v>0.11543320460566452</v>
      </c>
      <c r="R324" s="3">
        <v>0.34521018752011218</v>
      </c>
      <c r="S324" s="3">
        <v>0.4174714695374161</v>
      </c>
      <c r="T324" s="3">
        <v>0</v>
      </c>
      <c r="U324" s="3">
        <v>0.12188513833680722</v>
      </c>
      <c r="V324" s="3"/>
      <c r="W324" s="4"/>
    </row>
    <row r="325" spans="1:23" s="1" customFormat="1" ht="24.95" customHeight="1" x14ac:dyDescent="0.2">
      <c r="A325" s="8">
        <v>45902.702650462961</v>
      </c>
      <c r="B325" s="7">
        <v>45902.702650462961</v>
      </c>
      <c r="C325" s="9" t="s">
        <v>383</v>
      </c>
      <c r="D325" s="1" t="s">
        <v>388</v>
      </c>
      <c r="E325" s="1" t="s">
        <v>420</v>
      </c>
      <c r="F325" s="1" t="s">
        <v>4254</v>
      </c>
      <c r="G325" s="1" t="s">
        <v>371</v>
      </c>
      <c r="H325" s="2">
        <v>360</v>
      </c>
      <c r="I325" s="17">
        <v>52.187899999999999</v>
      </c>
      <c r="J325" s="1" t="s">
        <v>366</v>
      </c>
      <c r="K325" s="6">
        <f>Registro_Ordini[[#This Row],[Numero]]*Registro_Ordini[[#This Row],[Prezzo]]</f>
        <v>18787.644</v>
      </c>
      <c r="L325" s="10">
        <v>0.85714999999999997</v>
      </c>
      <c r="M325" s="6">
        <f>Registro_Ordini[[#This Row],[Importo]]*Registro_Ordini[[#This Row],[Cambio]]</f>
        <v>16103.829054599999</v>
      </c>
      <c r="N325" s="1">
        <f ca="1">IFERROR(_xlfn.NUMBERVALUE(OFFSET(Origine,MATCH(Registro_Ordini[[#This Row],[Titolo]],Descrizioni,0),MATCH("Price",Intestazioni,0)-1,1,1)),"")</f>
        <v>48.134999999999998</v>
      </c>
      <c r="O325" s="18">
        <f ca="1">IF(OR(Registro_Ordini[[#This Row],[Price]]=0,Registro_Ordini[[#This Row],[Price]]=""),"",IF(Registro_Ordini[[#This Row],[Tipo]]="Sell",Registro_Ordini[[#This Row],[Prezzo]]/Registro_Ordini[[#This Row],[Price]]-1,Registro_Ordini[[#This Row],[Price]]/Registro_Ordini[[#This Row],[Prezzo]]-1))</f>
        <v>-7.7659764044922364E-2</v>
      </c>
      <c r="P325" s="15">
        <v>2.5068769410958366E-2</v>
      </c>
      <c r="Q325" s="3">
        <v>0.11686579924180641</v>
      </c>
      <c r="R325" s="3">
        <v>0.34786912175465279</v>
      </c>
      <c r="S325" s="3">
        <v>0.4191591077260523</v>
      </c>
      <c r="T325" s="3">
        <v>0</v>
      </c>
      <c r="U325" s="3">
        <v>0.11610597127748837</v>
      </c>
      <c r="V325" s="3"/>
      <c r="W325" s="4"/>
    </row>
    <row r="326" spans="1:23" s="1" customFormat="1" ht="24.95" customHeight="1" x14ac:dyDescent="0.2">
      <c r="A326" s="8">
        <v>45902.702592592592</v>
      </c>
      <c r="B326" s="7">
        <v>45902.702592592592</v>
      </c>
      <c r="C326" s="9" t="s">
        <v>78</v>
      </c>
      <c r="D326" s="1" t="s">
        <v>388</v>
      </c>
      <c r="E326" s="1" t="s">
        <v>420</v>
      </c>
      <c r="F326" s="1" t="s">
        <v>4254</v>
      </c>
      <c r="G326" s="1" t="s">
        <v>371</v>
      </c>
      <c r="H326" s="2">
        <v>320</v>
      </c>
      <c r="I326" s="17">
        <v>52.187899999999999</v>
      </c>
      <c r="J326" s="1" t="s">
        <v>366</v>
      </c>
      <c r="K326" s="6">
        <f>Registro_Ordini[[#This Row],[Numero]]*Registro_Ordini[[#This Row],[Prezzo]]</f>
        <v>16700.128000000001</v>
      </c>
      <c r="L326" s="10">
        <v>0.80284999999999995</v>
      </c>
      <c r="M326" s="6">
        <f>Registro_Ordini[[#This Row],[Importo]]*Registro_Ordini[[#This Row],[Cambio]]</f>
        <v>13407.697764799999</v>
      </c>
      <c r="N326" s="1">
        <f ca="1">IFERROR(_xlfn.NUMBERVALUE(OFFSET(Origine,MATCH(Registro_Ordini[[#This Row],[Titolo]],Descrizioni,0),MATCH("Price",Intestazioni,0)-1,1,1)),"")</f>
        <v>48.134999999999998</v>
      </c>
      <c r="O326" s="18">
        <f ca="1">IF(OR(Registro_Ordini[[#This Row],[Price]]=0,Registro_Ordini[[#This Row],[Price]]=""),"",IF(Registro_Ordini[[#This Row],[Tipo]]="Sell",Registro_Ordini[[#This Row],[Prezzo]]/Registro_Ordini[[#This Row],[Price]]-1,Registro_Ordini[[#This Row],[Price]]/Registro_Ordini[[#This Row],[Prezzo]]-1))</f>
        <v>-7.7659764044922364E-2</v>
      </c>
      <c r="P326" s="15">
        <v>2.4987958818615812E-2</v>
      </c>
      <c r="Q326" s="3">
        <v>0.15577190528394486</v>
      </c>
      <c r="R326" s="3">
        <v>0.13058561557530446</v>
      </c>
      <c r="S326" s="3">
        <v>0.61124199779822352</v>
      </c>
      <c r="T326" s="3">
        <v>0</v>
      </c>
      <c r="U326" s="3">
        <v>0.10240048134252715</v>
      </c>
      <c r="V326" s="3"/>
      <c r="W326" s="4"/>
    </row>
    <row r="327" spans="1:23" s="1" customFormat="1" ht="24.95" customHeight="1" x14ac:dyDescent="0.2">
      <c r="A327" s="8">
        <v>45902.702164351853</v>
      </c>
      <c r="B327" s="7">
        <v>45902.702164351853</v>
      </c>
      <c r="C327" s="9" t="s">
        <v>375</v>
      </c>
      <c r="D327" s="1" t="s">
        <v>388</v>
      </c>
      <c r="E327" s="1" t="s">
        <v>420</v>
      </c>
      <c r="F327" s="1" t="s">
        <v>4254</v>
      </c>
      <c r="G327" s="1" t="s">
        <v>371</v>
      </c>
      <c r="H327" s="2">
        <v>380</v>
      </c>
      <c r="I327" s="17">
        <v>52.187899999999999</v>
      </c>
      <c r="J327" s="1" t="s">
        <v>366</v>
      </c>
      <c r="K327" s="6">
        <f>Registro_Ordini[[#This Row],[Numero]]*Registro_Ordini[[#This Row],[Prezzo]]</f>
        <v>19831.401999999998</v>
      </c>
      <c r="L327" s="10">
        <v>0.80284999999999995</v>
      </c>
      <c r="M327" s="6">
        <f>Registro_Ordini[[#This Row],[Importo]]*Registro_Ordini[[#This Row],[Cambio]]</f>
        <v>15921.641095699997</v>
      </c>
      <c r="N327" s="1">
        <f ca="1">IFERROR(_xlfn.NUMBERVALUE(OFFSET(Origine,MATCH(Registro_Ordini[[#This Row],[Titolo]],Descrizioni,0),MATCH("Price",Intestazioni,0)-1,1,1)),"")</f>
        <v>48.134999999999998</v>
      </c>
      <c r="O327" s="18">
        <f ca="1">IF(OR(Registro_Ordini[[#This Row],[Price]]=0,Registro_Ordini[[#This Row],[Price]]=""),"",IF(Registro_Ordini[[#This Row],[Tipo]]="Sell",Registro_Ordini[[#This Row],[Prezzo]]/Registro_Ordini[[#This Row],[Price]]-1,Registro_Ordini[[#This Row],[Price]]/Registro_Ordini[[#This Row],[Prezzo]]-1))</f>
        <v>-7.7659764044922364E-2</v>
      </c>
      <c r="P327" s="15">
        <v>1.919411242293188E-2</v>
      </c>
      <c r="Q327" s="3">
        <v>0.1074536569453271</v>
      </c>
      <c r="R327" s="3">
        <v>0.37540481028719497</v>
      </c>
      <c r="S327" s="3">
        <v>0.40614660917033857</v>
      </c>
      <c r="T327" s="3">
        <v>0</v>
      </c>
      <c r="U327" s="3">
        <v>0.11099492359713937</v>
      </c>
      <c r="V327" s="3"/>
      <c r="W327" s="4"/>
    </row>
    <row r="328" spans="1:23" s="1" customFormat="1" ht="24.95" customHeight="1" x14ac:dyDescent="0.2">
      <c r="A328" s="8">
        <v>45902.702152777776</v>
      </c>
      <c r="B328" s="7">
        <v>45902.702152777776</v>
      </c>
      <c r="C328" s="9" t="s">
        <v>377</v>
      </c>
      <c r="D328" s="1" t="s">
        <v>388</v>
      </c>
      <c r="E328" s="1" t="s">
        <v>420</v>
      </c>
      <c r="F328" s="1" t="s">
        <v>4254</v>
      </c>
      <c r="G328" s="1" t="s">
        <v>371</v>
      </c>
      <c r="H328" s="2">
        <v>775</v>
      </c>
      <c r="I328" s="17">
        <v>52.187899999999999</v>
      </c>
      <c r="J328" s="1" t="s">
        <v>366</v>
      </c>
      <c r="K328" s="6">
        <f>Registro_Ordini[[#This Row],[Numero]]*Registro_Ordini[[#This Row],[Prezzo]]</f>
        <v>40445.622499999998</v>
      </c>
      <c r="L328" s="10">
        <v>0.80284999999999995</v>
      </c>
      <c r="M328" s="6">
        <f>Registro_Ordini[[#This Row],[Importo]]*Registro_Ordini[[#This Row],[Cambio]]</f>
        <v>32471.768024124995</v>
      </c>
      <c r="N328" s="1">
        <f ca="1">IFERROR(_xlfn.NUMBERVALUE(OFFSET(Origine,MATCH(Registro_Ordini[[#This Row],[Titolo]],Descrizioni,0),MATCH("Price",Intestazioni,0)-1,1,1)),"")</f>
        <v>48.134999999999998</v>
      </c>
      <c r="O328" s="18">
        <f ca="1">IF(OR(Registro_Ordini[[#This Row],[Price]]=0,Registro_Ordini[[#This Row],[Price]]=""),"",IF(Registro_Ordini[[#This Row],[Tipo]]="Sell",Registro_Ordini[[#This Row],[Prezzo]]/Registro_Ordini[[#This Row],[Price]]-1,Registro_Ordini[[#This Row],[Price]]/Registro_Ordini[[#This Row],[Prezzo]]-1))</f>
        <v>-7.7659764044922364E-2</v>
      </c>
      <c r="P328" s="15">
        <v>2.0117046855675474E-2</v>
      </c>
      <c r="Q328" s="3">
        <v>9.7685554870533278E-2</v>
      </c>
      <c r="R328" s="3">
        <v>0.35418850279269198</v>
      </c>
      <c r="S328" s="3">
        <v>0.43732402175097462</v>
      </c>
      <c r="T328" s="3">
        <v>0</v>
      </c>
      <c r="U328" s="3">
        <v>0.11080192058580002</v>
      </c>
      <c r="V328" s="3"/>
      <c r="W328" s="4"/>
    </row>
    <row r="329" spans="1:23" s="1" customFormat="1" ht="24.95" customHeight="1" x14ac:dyDescent="0.2">
      <c r="A329" s="8">
        <v>45902.702141203707</v>
      </c>
      <c r="B329" s="7">
        <v>45902.702141203707</v>
      </c>
      <c r="C329" s="9" t="s">
        <v>378</v>
      </c>
      <c r="D329" s="1" t="s">
        <v>388</v>
      </c>
      <c r="E329" s="1" t="s">
        <v>420</v>
      </c>
      <c r="F329" s="1" t="s">
        <v>4254</v>
      </c>
      <c r="G329" s="1" t="s">
        <v>371</v>
      </c>
      <c r="H329" s="2">
        <v>250</v>
      </c>
      <c r="I329" s="17">
        <v>52.187899999999999</v>
      </c>
      <c r="J329" s="1" t="s">
        <v>366</v>
      </c>
      <c r="K329" s="6">
        <f>Registro_Ordini[[#This Row],[Numero]]*Registro_Ordini[[#This Row],[Prezzo]]</f>
        <v>13046.975</v>
      </c>
      <c r="L329" s="10">
        <v>0.80284999999999995</v>
      </c>
      <c r="M329" s="6">
        <f>Registro_Ordini[[#This Row],[Importo]]*Registro_Ordini[[#This Row],[Cambio]]</f>
        <v>10474.76387875</v>
      </c>
      <c r="N329" s="1">
        <f ca="1">IFERROR(_xlfn.NUMBERVALUE(OFFSET(Origine,MATCH(Registro_Ordini[[#This Row],[Titolo]],Descrizioni,0),MATCH("Price",Intestazioni,0)-1,1,1)),"")</f>
        <v>48.134999999999998</v>
      </c>
      <c r="O329" s="18">
        <f ca="1">IF(OR(Registro_Ordini[[#This Row],[Price]]=0,Registro_Ordini[[#This Row],[Price]]=""),"",IF(Registro_Ordini[[#This Row],[Tipo]]="Sell",Registro_Ordini[[#This Row],[Prezzo]]/Registro_Ordini[[#This Row],[Price]]-1,Registro_Ordini[[#This Row],[Price]]/Registro_Ordini[[#This Row],[Prezzo]]-1))</f>
        <v>-7.7659764044922364E-2</v>
      </c>
      <c r="P329" s="15">
        <v>1.9899896074974829E-2</v>
      </c>
      <c r="Q329" s="3">
        <v>0.1056655290620515</v>
      </c>
      <c r="R329" s="3">
        <v>0.34281785621077987</v>
      </c>
      <c r="S329" s="3">
        <v>0.44568384661672844</v>
      </c>
      <c r="T329" s="3">
        <v>0</v>
      </c>
      <c r="U329" s="3">
        <v>0.10583276811044015</v>
      </c>
      <c r="V329" s="3"/>
      <c r="W329" s="4"/>
    </row>
    <row r="330" spans="1:23" s="1" customFormat="1" ht="24.95" customHeight="1" x14ac:dyDescent="0.2">
      <c r="A330" s="8">
        <v>45902.696331018517</v>
      </c>
      <c r="B330" s="7">
        <v>45902.696331018517</v>
      </c>
      <c r="C330" s="9" t="s">
        <v>373</v>
      </c>
      <c r="D330" s="1" t="s">
        <v>388</v>
      </c>
      <c r="E330" s="1" t="s">
        <v>420</v>
      </c>
      <c r="F330" s="1" t="s">
        <v>4254</v>
      </c>
      <c r="G330" s="1" t="s">
        <v>371</v>
      </c>
      <c r="H330" s="2">
        <v>340</v>
      </c>
      <c r="I330" s="17">
        <v>52.176000000000002</v>
      </c>
      <c r="J330" s="1" t="s">
        <v>366</v>
      </c>
      <c r="K330" s="6">
        <f>Registro_Ordini[[#This Row],[Numero]]*Registro_Ordini[[#This Row],[Prezzo]]</f>
        <v>17739.84</v>
      </c>
      <c r="L330" s="10">
        <v>0.80274999999999996</v>
      </c>
      <c r="M330" s="6">
        <f>Registro_Ordini[[#This Row],[Importo]]*Registro_Ordini[[#This Row],[Cambio]]</f>
        <v>14240.656559999999</v>
      </c>
      <c r="N330" s="1">
        <f ca="1">IFERROR(_xlfn.NUMBERVALUE(OFFSET(Origine,MATCH(Registro_Ordini[[#This Row],[Titolo]],Descrizioni,0),MATCH("Price",Intestazioni,0)-1,1,1)),"")</f>
        <v>48.134999999999998</v>
      </c>
      <c r="O330" s="18">
        <f ca="1">IF(OR(Registro_Ordini[[#This Row],[Price]]=0,Registro_Ordini[[#This Row],[Price]]=""),"",IF(Registro_Ordini[[#This Row],[Tipo]]="Sell",Registro_Ordini[[#This Row],[Prezzo]]/Registro_Ordini[[#This Row],[Price]]-1,Registro_Ordini[[#This Row],[Price]]/Registro_Ordini[[#This Row],[Prezzo]]-1))</f>
        <v>-7.7449402023919145E-2</v>
      </c>
      <c r="P330" s="15">
        <v>2.0252304689433176E-2</v>
      </c>
      <c r="Q330" s="3">
        <v>0.57238476252878967</v>
      </c>
      <c r="R330" s="3">
        <v>0.16950143714517812</v>
      </c>
      <c r="S330" s="3">
        <v>0.18197168688872539</v>
      </c>
      <c r="T330" s="3">
        <v>0</v>
      </c>
      <c r="U330" s="3">
        <v>7.6142113437306785E-2</v>
      </c>
      <c r="V330" s="3"/>
      <c r="W330" s="4"/>
    </row>
    <row r="331" spans="1:23" s="1" customFormat="1" ht="24.95" customHeight="1" x14ac:dyDescent="0.2">
      <c r="A331" s="8">
        <v>45902.695671296293</v>
      </c>
      <c r="B331" s="7">
        <v>45902.695671296293</v>
      </c>
      <c r="C331" s="9" t="s">
        <v>367</v>
      </c>
      <c r="D331" s="1" t="s">
        <v>388</v>
      </c>
      <c r="E331" s="1" t="s">
        <v>420</v>
      </c>
      <c r="F331" s="1" t="s">
        <v>4254</v>
      </c>
      <c r="G331" s="1" t="s">
        <v>371</v>
      </c>
      <c r="H331" s="2">
        <v>1650</v>
      </c>
      <c r="I331" s="17">
        <v>52.18</v>
      </c>
      <c r="J331" s="1" t="s">
        <v>366</v>
      </c>
      <c r="K331" s="6">
        <f>Registro_Ordini[[#This Row],[Numero]]*Registro_Ordini[[#This Row],[Prezzo]]</f>
        <v>86097</v>
      </c>
      <c r="L331" s="10">
        <v>0.80274999999999996</v>
      </c>
      <c r="M331" s="6">
        <f>Registro_Ordini[[#This Row],[Importo]]*Registro_Ordini[[#This Row],[Cambio]]</f>
        <v>69114.366750000001</v>
      </c>
      <c r="N331" s="1">
        <f ca="1">IFERROR(_xlfn.NUMBERVALUE(OFFSET(Origine,MATCH(Registro_Ordini[[#This Row],[Titolo]],Descrizioni,0),MATCH("Price",Intestazioni,0)-1,1,1)),"")</f>
        <v>48.134999999999998</v>
      </c>
      <c r="O331" s="18">
        <f ca="1">IF(OR(Registro_Ordini[[#This Row],[Price]]=0,Registro_Ordini[[#This Row],[Price]]=""),"",IF(Registro_Ordini[[#This Row],[Tipo]]="Sell",Registro_Ordini[[#This Row],[Prezzo]]/Registro_Ordini[[#This Row],[Price]]-1,Registro_Ordini[[#This Row],[Price]]/Registro_Ordini[[#This Row],[Prezzo]]-1))</f>
        <v>-7.7520122652357304E-2</v>
      </c>
      <c r="P331" s="15">
        <v>1.9929011714333967E-2</v>
      </c>
      <c r="Q331" s="3">
        <v>0.13171820385487507</v>
      </c>
      <c r="R331" s="3">
        <v>0.40300334922211212</v>
      </c>
      <c r="S331" s="3">
        <v>0.39211065198006939</v>
      </c>
      <c r="T331" s="3">
        <v>0</v>
      </c>
      <c r="U331" s="3">
        <v>7.3167794942943357E-2</v>
      </c>
      <c r="V331" s="3"/>
      <c r="W331" s="4"/>
    </row>
    <row r="332" spans="1:23" s="1" customFormat="1" ht="24.95" customHeight="1" x14ac:dyDescent="0.2">
      <c r="A332" s="8">
        <v>45902.58965277778</v>
      </c>
      <c r="B332" s="7">
        <v>45902.58965277778</v>
      </c>
      <c r="C332" s="9" t="s">
        <v>376</v>
      </c>
      <c r="D332" s="1" t="s">
        <v>362</v>
      </c>
      <c r="E332" s="1" t="s">
        <v>363</v>
      </c>
      <c r="F332" s="1" t="s">
        <v>364</v>
      </c>
      <c r="G332" s="1" t="s">
        <v>365</v>
      </c>
      <c r="H332" s="2">
        <v>-5000</v>
      </c>
      <c r="I332" s="16">
        <v>1</v>
      </c>
      <c r="J332" s="1" t="s">
        <v>366</v>
      </c>
      <c r="K332" s="6">
        <f>Registro_Ordini[[#This Row],[Numero]]*Registro_Ordini[[#This Row],[Prezzo]]</f>
        <v>-5000</v>
      </c>
      <c r="L332" s="10">
        <v>0.80189999999999995</v>
      </c>
      <c r="M332" s="6">
        <f>Registro_Ordini[[#This Row],[Importo]]*Registro_Ordini[[#This Row],[Cambio]]</f>
        <v>-4009.4999999999995</v>
      </c>
      <c r="N332" s="1">
        <f ca="1">IFERROR(_xlfn.NUMBERVALUE(OFFSET(Origine,MATCH(Registro_Ordini[[#This Row],[Titolo]],Descrizioni,0),MATCH("Price",Intestazioni,0)-1,1,1)),"")</f>
        <v>0.78225</v>
      </c>
      <c r="O332" s="18">
        <f ca="1">IF(OR(Registro_Ordini[[#This Row],[Price]]=0,Registro_Ordini[[#This Row],[Price]]=""),"",IF(Registro_Ordini[[#This Row],[Tipo]]="Sell",Registro_Ordini[[#This Row],[Prezzo]]/Registro_Ordini[[#This Row],[Price]]-1,Registro_Ordini[[#This Row],[Price]]/Registro_Ordini[[#This Row],[Prezzo]]-1))</f>
        <v>0.27836369447107701</v>
      </c>
      <c r="P332" s="15">
        <v>-1.4179164651654912E-2</v>
      </c>
      <c r="Q332" s="3">
        <v>0.12667787281135909</v>
      </c>
      <c r="R332" s="3">
        <v>0.29971234617716014</v>
      </c>
      <c r="S332" s="3">
        <v>0.43914796395122696</v>
      </c>
      <c r="T332" s="3">
        <v>0</v>
      </c>
      <c r="U332" s="3">
        <v>0.1344618170602539</v>
      </c>
      <c r="V332" s="3"/>
      <c r="W332" s="4"/>
    </row>
    <row r="333" spans="1:23" s="1" customFormat="1" ht="24.95" customHeight="1" x14ac:dyDescent="0.2">
      <c r="A333" s="8">
        <v>45896.75204861111</v>
      </c>
      <c r="B333" s="7">
        <v>45896.75204861111</v>
      </c>
      <c r="C333" s="9" t="s">
        <v>379</v>
      </c>
      <c r="D333" s="1" t="s">
        <v>388</v>
      </c>
      <c r="E333" s="1" t="s">
        <v>397</v>
      </c>
      <c r="F333" s="1" t="s">
        <v>431</v>
      </c>
      <c r="G333" s="1" t="s">
        <v>365</v>
      </c>
      <c r="H333" s="2">
        <v>-20</v>
      </c>
      <c r="I333" s="16">
        <v>393</v>
      </c>
      <c r="J333" s="1" t="s">
        <v>369</v>
      </c>
      <c r="K333" s="6">
        <f>Registro_Ordini[[#This Row],[Numero]]*Registro_Ordini[[#This Row],[Prezzo]]</f>
        <v>-7860</v>
      </c>
      <c r="L333" s="10">
        <v>1.0729401000000001</v>
      </c>
      <c r="M333" s="6">
        <f>Registro_Ordini[[#This Row],[Importo]]*Registro_Ordini[[#This Row],[Cambio]]</f>
        <v>-8433.3091860000004</v>
      </c>
      <c r="N333" s="1">
        <f ca="1">IFERROR(_xlfn.NUMBERVALUE(OFFSET(Origine,MATCH(Registro_Ordini[[#This Row],[Titolo]],Descrizioni,0),MATCH("Price",Intestazioni,0)-1,1,1)),"")</f>
        <v>269</v>
      </c>
      <c r="O333" s="18">
        <f ca="1">IF(OR(Registro_Ordini[[#This Row],[Price]]=0,Registro_Ordini[[#This Row],[Price]]=""),"",IF(Registro_Ordini[[#This Row],[Tipo]]="Sell",Registro_Ordini[[#This Row],[Prezzo]]/Registro_Ordini[[#This Row],[Price]]-1,Registro_Ordini[[#This Row],[Price]]/Registro_Ordini[[#This Row],[Prezzo]]-1))</f>
        <v>0.4609665427509293</v>
      </c>
      <c r="P333" s="15">
        <v>-1.4770544706796071E-2</v>
      </c>
      <c r="Q333" s="3">
        <v>0.13759043127925252</v>
      </c>
      <c r="R333" s="3">
        <v>0.3565671027036727</v>
      </c>
      <c r="S333" s="3">
        <v>0.39174503528581422</v>
      </c>
      <c r="T333" s="3">
        <v>0</v>
      </c>
      <c r="U333" s="3">
        <v>0.11409743073126041</v>
      </c>
      <c r="V333" s="3"/>
      <c r="W333" s="4"/>
    </row>
    <row r="334" spans="1:23" s="1" customFormat="1" ht="24.95" customHeight="1" x14ac:dyDescent="0.2">
      <c r="A334" s="8">
        <v>45896.752025462964</v>
      </c>
      <c r="B334" s="7">
        <v>45896.752025462964</v>
      </c>
      <c r="C334" s="9" t="s">
        <v>382</v>
      </c>
      <c r="D334" s="1" t="s">
        <v>388</v>
      </c>
      <c r="E334" s="1" t="s">
        <v>397</v>
      </c>
      <c r="F334" s="1" t="s">
        <v>431</v>
      </c>
      <c r="G334" s="1" t="s">
        <v>365</v>
      </c>
      <c r="H334" s="2">
        <v>-35</v>
      </c>
      <c r="I334" s="16">
        <v>393</v>
      </c>
      <c r="J334" s="1" t="s">
        <v>369</v>
      </c>
      <c r="K334" s="6">
        <f>Registro_Ordini[[#This Row],[Numero]]*Registro_Ordini[[#This Row],[Prezzo]]</f>
        <v>-13755</v>
      </c>
      <c r="L334" s="10">
        <v>1.0729401000000001</v>
      </c>
      <c r="M334" s="6">
        <f>Registro_Ordini[[#This Row],[Importo]]*Registro_Ordini[[#This Row],[Cambio]]</f>
        <v>-14758.291075500001</v>
      </c>
      <c r="N334" s="1">
        <f ca="1">IFERROR(_xlfn.NUMBERVALUE(OFFSET(Origine,MATCH(Registro_Ordini[[#This Row],[Titolo]],Descrizioni,0),MATCH("Price",Intestazioni,0)-1,1,1)),"")</f>
        <v>269</v>
      </c>
      <c r="O334" s="18">
        <f ca="1">IF(OR(Registro_Ordini[[#This Row],[Price]]=0,Registro_Ordini[[#This Row],[Price]]=""),"",IF(Registro_Ordini[[#This Row],[Tipo]]="Sell",Registro_Ordini[[#This Row],[Prezzo]]/Registro_Ordini[[#This Row],[Price]]-1,Registro_Ordini[[#This Row],[Price]]/Registro_Ordini[[#This Row],[Prezzo]]-1))</f>
        <v>0.4609665427509293</v>
      </c>
      <c r="P334" s="15">
        <v>-1.4141244119691787E-2</v>
      </c>
      <c r="Q334" s="3">
        <v>0.14081097985069277</v>
      </c>
      <c r="R334" s="3">
        <v>0.34494406593275068</v>
      </c>
      <c r="S334" s="3">
        <v>0.39585125165741164</v>
      </c>
      <c r="T334" s="3">
        <v>0</v>
      </c>
      <c r="U334" s="3">
        <v>0.11839370255914497</v>
      </c>
      <c r="V334" s="3"/>
      <c r="W334" s="4"/>
    </row>
    <row r="335" spans="1:23" s="1" customFormat="1" ht="24.95" customHeight="1" x14ac:dyDescent="0.2">
      <c r="A335" s="8">
        <v>45896.752002314817</v>
      </c>
      <c r="B335" s="7">
        <v>45896.752013888887</v>
      </c>
      <c r="C335" s="9" t="s">
        <v>383</v>
      </c>
      <c r="D335" s="1" t="s">
        <v>388</v>
      </c>
      <c r="E335" s="1" t="s">
        <v>397</v>
      </c>
      <c r="F335" s="1" t="s">
        <v>431</v>
      </c>
      <c r="G335" s="1" t="s">
        <v>365</v>
      </c>
      <c r="H335" s="2">
        <v>-20</v>
      </c>
      <c r="I335" s="16">
        <v>393</v>
      </c>
      <c r="J335" s="1" t="s">
        <v>369</v>
      </c>
      <c r="K335" s="6">
        <f>Registro_Ordini[[#This Row],[Numero]]*Registro_Ordini[[#This Row],[Prezzo]]</f>
        <v>-7860</v>
      </c>
      <c r="L335" s="10">
        <v>1.0729401000000001</v>
      </c>
      <c r="M335" s="6">
        <f>Registro_Ordini[[#This Row],[Importo]]*Registro_Ordini[[#This Row],[Cambio]]</f>
        <v>-8433.3091860000004</v>
      </c>
      <c r="N335" s="1">
        <f ca="1">IFERROR(_xlfn.NUMBERVALUE(OFFSET(Origine,MATCH(Registro_Ordini[[#This Row],[Titolo]],Descrizioni,0),MATCH("Price",Intestazioni,0)-1,1,1)),"")</f>
        <v>269</v>
      </c>
      <c r="O335" s="18">
        <f ca="1">IF(OR(Registro_Ordini[[#This Row],[Price]]=0,Registro_Ordini[[#This Row],[Price]]=""),"",IF(Registro_Ordini[[#This Row],[Tipo]]="Sell",Registro_Ordini[[#This Row],[Prezzo]]/Registro_Ordini[[#This Row],[Price]]-1,Registro_Ordini[[#This Row],[Price]]/Registro_Ordini[[#This Row],[Prezzo]]-1))</f>
        <v>0.4609665427509293</v>
      </c>
      <c r="P335" s="15">
        <v>-1.3109854430771554E-2</v>
      </c>
      <c r="Q335" s="3">
        <v>0.14217701353212986</v>
      </c>
      <c r="R335" s="3">
        <v>0.34751631546245881</v>
      </c>
      <c r="S335" s="3">
        <v>0.39751588230682211</v>
      </c>
      <c r="T335" s="3">
        <v>0</v>
      </c>
      <c r="U335" s="3">
        <v>0.11279078869858923</v>
      </c>
      <c r="V335" s="3"/>
      <c r="W335" s="4"/>
    </row>
    <row r="336" spans="1:23" s="1" customFormat="1" ht="24.95" customHeight="1" x14ac:dyDescent="0.2">
      <c r="A336" s="8">
        <v>45896.711550925924</v>
      </c>
      <c r="B336" s="7">
        <v>45896.711550925924</v>
      </c>
      <c r="C336" s="9" t="s">
        <v>78</v>
      </c>
      <c r="D336" s="1" t="s">
        <v>388</v>
      </c>
      <c r="E336" s="1" t="s">
        <v>397</v>
      </c>
      <c r="F336" s="1" t="s">
        <v>431</v>
      </c>
      <c r="G336" s="1" t="s">
        <v>365</v>
      </c>
      <c r="H336" s="2">
        <v>-25</v>
      </c>
      <c r="I336" s="16">
        <v>393</v>
      </c>
      <c r="J336" s="1" t="s">
        <v>369</v>
      </c>
      <c r="K336" s="6">
        <f>Registro_Ordini[[#This Row],[Numero]]*Registro_Ordini[[#This Row],[Prezzo]]</f>
        <v>-9825</v>
      </c>
      <c r="L336" s="10">
        <v>1.0000001300000001</v>
      </c>
      <c r="M336" s="6">
        <f>Registro_Ordini[[#This Row],[Importo]]*Registro_Ordini[[#This Row],[Cambio]]</f>
        <v>-9825.0012772500013</v>
      </c>
      <c r="N336" s="1">
        <f ca="1">IFERROR(_xlfn.NUMBERVALUE(OFFSET(Origine,MATCH(Registro_Ordini[[#This Row],[Titolo]],Descrizioni,0),MATCH("Price",Intestazioni,0)-1,1,1)),"")</f>
        <v>269</v>
      </c>
      <c r="O336" s="18">
        <f ca="1">IF(OR(Registro_Ordini[[#This Row],[Price]]=0,Registro_Ordini[[#This Row],[Price]]=""),"",IF(Registro_Ordini[[#This Row],[Tipo]]="Sell",Registro_Ordini[[#This Row],[Prezzo]]/Registro_Ordini[[#This Row],[Price]]-1,Registro_Ordini[[#This Row],[Price]]/Registro_Ordini[[#This Row],[Prezzo]]-1))</f>
        <v>0.4609665427509293</v>
      </c>
      <c r="P336" s="15">
        <v>-1.8274157883793499E-2</v>
      </c>
      <c r="Q336" s="3">
        <v>0.18016709957891019</v>
      </c>
      <c r="R336" s="3">
        <v>0.13032132771385968</v>
      </c>
      <c r="S336" s="3">
        <v>0.59086292553930642</v>
      </c>
      <c r="T336" s="3">
        <v>0</v>
      </c>
      <c r="U336" s="3">
        <v>9.8648647167923778E-2</v>
      </c>
      <c r="V336" s="3"/>
      <c r="W336" s="4"/>
    </row>
    <row r="337" spans="1:23" s="1" customFormat="1" ht="24.95" customHeight="1" x14ac:dyDescent="0.2">
      <c r="A337" s="8">
        <v>45896.711388888885</v>
      </c>
      <c r="B337" s="7">
        <v>45896.711388888885</v>
      </c>
      <c r="C337" s="9" t="s">
        <v>373</v>
      </c>
      <c r="D337" s="1" t="s">
        <v>388</v>
      </c>
      <c r="E337" s="1" t="s">
        <v>397</v>
      </c>
      <c r="F337" s="1" t="s">
        <v>431</v>
      </c>
      <c r="G337" s="1" t="s">
        <v>365</v>
      </c>
      <c r="H337" s="2">
        <v>-24</v>
      </c>
      <c r="I337" s="16">
        <v>393</v>
      </c>
      <c r="J337" s="1" t="s">
        <v>369</v>
      </c>
      <c r="K337" s="6">
        <f>Registro_Ordini[[#This Row],[Numero]]*Registro_Ordini[[#This Row],[Prezzo]]</f>
        <v>-9432</v>
      </c>
      <c r="L337" s="10">
        <v>1.0000001300000001</v>
      </c>
      <c r="M337" s="6">
        <f>Registro_Ordini[[#This Row],[Importo]]*Registro_Ordini[[#This Row],[Cambio]]</f>
        <v>-9432.0012261600004</v>
      </c>
      <c r="N337" s="1">
        <f ca="1">IFERROR(_xlfn.NUMBERVALUE(OFFSET(Origine,MATCH(Registro_Ordini[[#This Row],[Titolo]],Descrizioni,0),MATCH("Price",Intestazioni,0)-1,1,1)),"")</f>
        <v>269</v>
      </c>
      <c r="O337" s="18">
        <f ca="1">IF(OR(Registro_Ordini[[#This Row],[Price]]=0,Registro_Ordini[[#This Row],[Price]]=""),"",IF(Registro_Ordini[[#This Row],[Tipo]]="Sell",Registro_Ordini[[#This Row],[Prezzo]]/Registro_Ordini[[#This Row],[Price]]-1,Registro_Ordini[[#This Row],[Price]]/Registro_Ordini[[#This Row],[Prezzo]]-1))</f>
        <v>0.4609665427509293</v>
      </c>
      <c r="P337" s="15">
        <v>-1.3414224441302636E-2</v>
      </c>
      <c r="Q337" s="3">
        <v>0.59266061053867414</v>
      </c>
      <c r="R337" s="3">
        <v>0.16977460770424549</v>
      </c>
      <c r="S337" s="3">
        <v>0.16398081256031555</v>
      </c>
      <c r="T337" s="3">
        <v>0</v>
      </c>
      <c r="U337" s="3">
        <v>7.3583969196764687E-2</v>
      </c>
      <c r="V337" s="3"/>
      <c r="W337" s="4"/>
    </row>
    <row r="338" spans="1:23" s="1" customFormat="1" ht="24.95" customHeight="1" x14ac:dyDescent="0.2">
      <c r="A338" s="8">
        <v>45896.711377314816</v>
      </c>
      <c r="B338" s="7">
        <v>45896.711377314816</v>
      </c>
      <c r="C338" s="9" t="s">
        <v>367</v>
      </c>
      <c r="D338" s="1" t="s">
        <v>388</v>
      </c>
      <c r="E338" s="1" t="s">
        <v>397</v>
      </c>
      <c r="F338" s="1" t="s">
        <v>431</v>
      </c>
      <c r="G338" s="1" t="s">
        <v>365</v>
      </c>
      <c r="H338" s="2">
        <v>-120</v>
      </c>
      <c r="I338" s="16">
        <v>393</v>
      </c>
      <c r="J338" s="1" t="s">
        <v>369</v>
      </c>
      <c r="K338" s="6">
        <f>Registro_Ordini[[#This Row],[Numero]]*Registro_Ordini[[#This Row],[Prezzo]]</f>
        <v>-47160</v>
      </c>
      <c r="L338" s="10">
        <v>1.0000001300000001</v>
      </c>
      <c r="M338" s="6">
        <f>Registro_Ordini[[#This Row],[Importo]]*Registro_Ordini[[#This Row],[Cambio]]</f>
        <v>-47160.006130800008</v>
      </c>
      <c r="N338" s="1">
        <f ca="1">IFERROR(_xlfn.NUMBERVALUE(OFFSET(Origine,MATCH(Registro_Ordini[[#This Row],[Titolo]],Descrizioni,0),MATCH("Price",Intestazioni,0)-1,1,1)),"")</f>
        <v>269</v>
      </c>
      <c r="O338" s="18">
        <f ca="1">IF(OR(Registro_Ordini[[#This Row],[Price]]=0,Registro_Ordini[[#This Row],[Price]]=""),"",IF(Registro_Ordini[[#This Row],[Tipo]]="Sell",Registro_Ordini[[#This Row],[Prezzo]]/Registro_Ordini[[#This Row],[Price]]-1,Registro_Ordini[[#This Row],[Price]]/Registro_Ordini[[#This Row],[Prezzo]]-1))</f>
        <v>0.4609665427509293</v>
      </c>
      <c r="P338" s="15">
        <v>-1.3575090081600868E-2</v>
      </c>
      <c r="Q338" s="3">
        <v>0.15094141139333397</v>
      </c>
      <c r="R338" s="3">
        <v>0.40245069703737513</v>
      </c>
      <c r="S338" s="3">
        <v>0.37534364372717605</v>
      </c>
      <c r="T338" s="3">
        <v>0</v>
      </c>
      <c r="U338" s="3">
        <v>7.1264247842114797E-2</v>
      </c>
      <c r="V338" s="3"/>
      <c r="W338" s="4"/>
    </row>
    <row r="339" spans="1:23" s="1" customFormat="1" ht="24.95" customHeight="1" x14ac:dyDescent="0.2">
      <c r="A339" s="8">
        <v>45896.711365740739</v>
      </c>
      <c r="B339" s="7">
        <v>45896.711365740739</v>
      </c>
      <c r="C339" s="9" t="s">
        <v>375</v>
      </c>
      <c r="D339" s="1" t="s">
        <v>388</v>
      </c>
      <c r="E339" s="1" t="s">
        <v>397</v>
      </c>
      <c r="F339" s="1" t="s">
        <v>431</v>
      </c>
      <c r="G339" s="1" t="s">
        <v>365</v>
      </c>
      <c r="H339" s="2">
        <v>-28</v>
      </c>
      <c r="I339" s="16">
        <v>393</v>
      </c>
      <c r="J339" s="1" t="s">
        <v>369</v>
      </c>
      <c r="K339" s="6">
        <f>Registro_Ordini[[#This Row],[Numero]]*Registro_Ordini[[#This Row],[Prezzo]]</f>
        <v>-11004</v>
      </c>
      <c r="L339" s="10">
        <v>1.0000001300000001</v>
      </c>
      <c r="M339" s="6">
        <f>Registro_Ordini[[#This Row],[Importo]]*Registro_Ordini[[#This Row],[Cambio]]</f>
        <v>-11004.00143052</v>
      </c>
      <c r="N339" s="1">
        <f ca="1">IFERROR(_xlfn.NUMBERVALUE(OFFSET(Origine,MATCH(Registro_Ordini[[#This Row],[Titolo]],Descrizioni,0),MATCH("Price",Intestazioni,0)-1,1,1)),"")</f>
        <v>269</v>
      </c>
      <c r="O339" s="18">
        <f ca="1">IF(OR(Registro_Ordini[[#This Row],[Price]]=0,Registro_Ordini[[#This Row],[Price]]=""),"",IF(Registro_Ordini[[#This Row],[Tipo]]="Sell",Registro_Ordini[[#This Row],[Prezzo]]/Registro_Ordini[[#This Row],[Price]]-1,Registro_Ordini[[#This Row],[Price]]/Registro_Ordini[[#This Row],[Prezzo]]-1))</f>
        <v>0.4609665427509293</v>
      </c>
      <c r="P339" s="15">
        <v>-1.3254703726544727E-2</v>
      </c>
      <c r="Q339" s="3">
        <v>0.1263866716529608</v>
      </c>
      <c r="R339" s="3">
        <v>0.37540974442227226</v>
      </c>
      <c r="S339" s="3">
        <v>0.390593433600322</v>
      </c>
      <c r="T339" s="3">
        <v>0</v>
      </c>
      <c r="U339" s="3">
        <v>0.10761015032444471</v>
      </c>
      <c r="V339" s="3"/>
      <c r="W339" s="4"/>
    </row>
    <row r="340" spans="1:23" s="1" customFormat="1" ht="24.95" customHeight="1" x14ac:dyDescent="0.2">
      <c r="A340" s="8">
        <v>45896.711354166669</v>
      </c>
      <c r="B340" s="7">
        <v>45896.711354166669</v>
      </c>
      <c r="C340" s="9" t="s">
        <v>376</v>
      </c>
      <c r="D340" s="1" t="s">
        <v>388</v>
      </c>
      <c r="E340" s="1" t="s">
        <v>397</v>
      </c>
      <c r="F340" s="1" t="s">
        <v>431</v>
      </c>
      <c r="G340" s="1" t="s">
        <v>365</v>
      </c>
      <c r="H340" s="2">
        <v>-10</v>
      </c>
      <c r="I340" s="16">
        <v>393</v>
      </c>
      <c r="J340" s="1" t="s">
        <v>369</v>
      </c>
      <c r="K340" s="6">
        <f>Registro_Ordini[[#This Row],[Numero]]*Registro_Ordini[[#This Row],[Prezzo]]</f>
        <v>-3930</v>
      </c>
      <c r="L340" s="10">
        <v>1.0000001300000001</v>
      </c>
      <c r="M340" s="6">
        <f>Registro_Ordini[[#This Row],[Importo]]*Registro_Ordini[[#This Row],[Cambio]]</f>
        <v>-3930.0005109000003</v>
      </c>
      <c r="N340" s="1">
        <f ca="1">IFERROR(_xlfn.NUMBERVALUE(OFFSET(Origine,MATCH(Registro_Ordini[[#This Row],[Titolo]],Descrizioni,0),MATCH("Price",Intestazioni,0)-1,1,1)),"")</f>
        <v>269</v>
      </c>
      <c r="O340" s="18">
        <f ca="1">IF(OR(Registro_Ordini[[#This Row],[Price]]=0,Registro_Ordini[[#This Row],[Price]]=""),"",IF(Registro_Ordini[[#This Row],[Tipo]]="Sell",Registro_Ordini[[#This Row],[Prezzo]]/Registro_Ordini[[#This Row],[Price]]-1,Registro_Ordini[[#This Row],[Price]]/Registro_Ordini[[#This Row],[Prezzo]]-1))</f>
        <v>0.4609665427509293</v>
      </c>
      <c r="P340" s="15">
        <v>-1.3872158473126129E-2</v>
      </c>
      <c r="Q340" s="3">
        <v>0.12653972814650816</v>
      </c>
      <c r="R340" s="3">
        <v>0.30018912650945723</v>
      </c>
      <c r="S340" s="3">
        <v>0.44280586266575728</v>
      </c>
      <c r="T340" s="3">
        <v>0</v>
      </c>
      <c r="U340" s="3">
        <v>0.13046528267827739</v>
      </c>
      <c r="V340" s="3"/>
      <c r="W340" s="4"/>
    </row>
    <row r="341" spans="1:23" s="1" customFormat="1" ht="24.95" customHeight="1" x14ac:dyDescent="0.2">
      <c r="A341" s="8">
        <v>45896.711342592593</v>
      </c>
      <c r="B341" s="7">
        <v>45896.711342592593</v>
      </c>
      <c r="C341" s="9" t="s">
        <v>377</v>
      </c>
      <c r="D341" s="1" t="s">
        <v>388</v>
      </c>
      <c r="E341" s="1" t="s">
        <v>397</v>
      </c>
      <c r="F341" s="1" t="s">
        <v>431</v>
      </c>
      <c r="G341" s="1" t="s">
        <v>365</v>
      </c>
      <c r="H341" s="2">
        <v>-40</v>
      </c>
      <c r="I341" s="16">
        <v>393</v>
      </c>
      <c r="J341" s="1" t="s">
        <v>369</v>
      </c>
      <c r="K341" s="6">
        <f>Registro_Ordini[[#This Row],[Numero]]*Registro_Ordini[[#This Row],[Prezzo]]</f>
        <v>-15720</v>
      </c>
      <c r="L341" s="10">
        <v>1.0000001300000001</v>
      </c>
      <c r="M341" s="6">
        <f>Registro_Ordini[[#This Row],[Importo]]*Registro_Ordini[[#This Row],[Cambio]]</f>
        <v>-15720.002043600001</v>
      </c>
      <c r="N341" s="1">
        <f ca="1">IFERROR(_xlfn.NUMBERVALUE(OFFSET(Origine,MATCH(Registro_Ordini[[#This Row],[Titolo]],Descrizioni,0),MATCH("Price",Intestazioni,0)-1,1,1)),"")</f>
        <v>269</v>
      </c>
      <c r="O341" s="18">
        <f ca="1">IF(OR(Registro_Ordini[[#This Row],[Price]]=0,Registro_Ordini[[#This Row],[Price]]=""),"",IF(Registro_Ordini[[#This Row],[Tipo]]="Sell",Registro_Ordini[[#This Row],[Prezzo]]/Registro_Ordini[[#This Row],[Price]]-1,Registro_Ordini[[#This Row],[Price]]/Registro_Ordini[[#This Row],[Prezzo]]-1))</f>
        <v>0.4609665427509293</v>
      </c>
      <c r="P341" s="15">
        <v>-9.7223423521145755E-3</v>
      </c>
      <c r="Q341" s="3">
        <v>0.1174507018958339</v>
      </c>
      <c r="R341" s="3">
        <v>0.35392217292403438</v>
      </c>
      <c r="S341" s="3">
        <v>0.42039123168940884</v>
      </c>
      <c r="T341" s="3">
        <v>0</v>
      </c>
      <c r="U341" s="3">
        <v>0.10823589349072286</v>
      </c>
      <c r="V341" s="3"/>
      <c r="W341" s="4"/>
    </row>
    <row r="342" spans="1:23" s="1" customFormat="1" ht="24.95" customHeight="1" x14ac:dyDescent="0.2">
      <c r="A342" s="8">
        <v>45896.711331018516</v>
      </c>
      <c r="B342" s="7">
        <v>45896.711331018516</v>
      </c>
      <c r="C342" s="9" t="s">
        <v>378</v>
      </c>
      <c r="D342" s="1" t="s">
        <v>388</v>
      </c>
      <c r="E342" s="1" t="s">
        <v>397</v>
      </c>
      <c r="F342" s="1" t="s">
        <v>431</v>
      </c>
      <c r="G342" s="1" t="s">
        <v>365</v>
      </c>
      <c r="H342" s="2">
        <v>-20</v>
      </c>
      <c r="I342" s="16">
        <v>393</v>
      </c>
      <c r="J342" s="1" t="s">
        <v>369</v>
      </c>
      <c r="K342" s="6">
        <f>Registro_Ordini[[#This Row],[Numero]]*Registro_Ordini[[#This Row],[Prezzo]]</f>
        <v>-7860</v>
      </c>
      <c r="L342" s="10">
        <v>1.0000001300000001</v>
      </c>
      <c r="M342" s="6">
        <f>Registro_Ordini[[#This Row],[Importo]]*Registro_Ordini[[#This Row],[Cambio]]</f>
        <v>-7860.0010218000007</v>
      </c>
      <c r="N342" s="1">
        <f ca="1">IFERROR(_xlfn.NUMBERVALUE(OFFSET(Origine,MATCH(Registro_Ordini[[#This Row],[Titolo]],Descrizioni,0),MATCH("Price",Intestazioni,0)-1,1,1)),"")</f>
        <v>269</v>
      </c>
      <c r="O342" s="18">
        <f ca="1">IF(OR(Registro_Ordini[[#This Row],[Price]]=0,Registro_Ordini[[#This Row],[Price]]=""),"",IF(Registro_Ordini[[#This Row],[Tipo]]="Sell",Registro_Ordini[[#This Row],[Prezzo]]/Registro_Ordini[[#This Row],[Price]]-1,Registro_Ordini[[#This Row],[Price]]/Registro_Ordini[[#This Row],[Prezzo]]-1))</f>
        <v>0.4609665427509293</v>
      </c>
      <c r="P342" s="15">
        <v>-1.4922235738645101E-2</v>
      </c>
      <c r="Q342" s="3">
        <v>0.12528951721910139</v>
      </c>
      <c r="R342" s="3">
        <v>0.34297498977419838</v>
      </c>
      <c r="S342" s="3">
        <v>0.42953237782638681</v>
      </c>
      <c r="T342" s="3">
        <v>0</v>
      </c>
      <c r="U342" s="3">
        <v>0.10220311518031336</v>
      </c>
      <c r="V342" s="3"/>
      <c r="W342" s="4"/>
    </row>
    <row r="343" spans="1:23" s="1" customFormat="1" ht="24.95" customHeight="1" x14ac:dyDescent="0.2">
      <c r="A343" s="8">
        <v>45889.549907407411</v>
      </c>
      <c r="B343" s="7">
        <v>45889.549907407411</v>
      </c>
      <c r="C343" s="9" t="s">
        <v>78</v>
      </c>
      <c r="D343" s="1" t="s">
        <v>388</v>
      </c>
      <c r="E343" s="1" t="s">
        <v>397</v>
      </c>
      <c r="F343" s="1" t="s">
        <v>573</v>
      </c>
      <c r="G343" s="1" t="s">
        <v>371</v>
      </c>
      <c r="H343" s="2">
        <v>45</v>
      </c>
      <c r="I343" s="16">
        <v>297.97000000000003</v>
      </c>
      <c r="J343" s="1" t="s">
        <v>369</v>
      </c>
      <c r="K343" s="6">
        <f>Registro_Ordini[[#This Row],[Numero]]*Registro_Ordini[[#This Row],[Prezzo]]</f>
        <v>13408.650000000001</v>
      </c>
      <c r="L343" s="10">
        <v>1.0000001300000001</v>
      </c>
      <c r="M343" s="6">
        <f>Registro_Ordini[[#This Row],[Importo]]*Registro_Ordini[[#This Row],[Cambio]]</f>
        <v>13408.651743124503</v>
      </c>
      <c r="N343" s="1">
        <f ca="1">IFERROR(_xlfn.NUMBERVALUE(OFFSET(Origine,MATCH(Registro_Ordini[[#This Row],[Titolo]],Descrizioni,0),MATCH("Price",Intestazioni,0)-1,1,1)),"")</f>
        <v>275.5</v>
      </c>
      <c r="O343" s="18">
        <f ca="1">IF(OR(Registro_Ordini[[#This Row],[Price]]=0,Registro_Ordini[[#This Row],[Price]]=""),"",IF(Registro_Ordini[[#This Row],[Tipo]]="Sell",Registro_Ordini[[#This Row],[Prezzo]]/Registro_Ordini[[#This Row],[Price]]-1,Registro_Ordini[[#This Row],[Price]]/Registro_Ordini[[#This Row],[Prezzo]]-1))</f>
        <v>-7.541027620230234E-2</v>
      </c>
      <c r="P343" s="15">
        <v>2.4387806107770971E-2</v>
      </c>
      <c r="Q343" s="3">
        <v>0.15908259454256538</v>
      </c>
      <c r="R343" s="3">
        <v>0.14540382015053385</v>
      </c>
      <c r="S343" s="3">
        <v>0.6002655218110543</v>
      </c>
      <c r="T343" s="3">
        <v>0</v>
      </c>
      <c r="U343" s="3">
        <v>9.5248063495846524E-2</v>
      </c>
      <c r="V343" s="3"/>
      <c r="W343" s="4"/>
    </row>
    <row r="344" spans="1:23" s="1" customFormat="1" ht="24.95" customHeight="1" x14ac:dyDescent="0.2">
      <c r="A344" s="8">
        <v>45889.549675925926</v>
      </c>
      <c r="B344" s="7">
        <v>45889.549675925926</v>
      </c>
      <c r="C344" s="9" t="s">
        <v>373</v>
      </c>
      <c r="D344" s="1" t="s">
        <v>388</v>
      </c>
      <c r="E344" s="1" t="s">
        <v>397</v>
      </c>
      <c r="F344" s="1" t="s">
        <v>573</v>
      </c>
      <c r="G344" s="1" t="s">
        <v>371</v>
      </c>
      <c r="H344" s="2">
        <v>50</v>
      </c>
      <c r="I344" s="16">
        <v>298.2</v>
      </c>
      <c r="J344" s="1" t="s">
        <v>369</v>
      </c>
      <c r="K344" s="6">
        <f>Registro_Ordini[[#This Row],[Numero]]*Registro_Ordini[[#This Row],[Prezzo]]</f>
        <v>14910</v>
      </c>
      <c r="L344" s="10">
        <v>1.0000001300000001</v>
      </c>
      <c r="M344" s="6">
        <f>Registro_Ordini[[#This Row],[Importo]]*Registro_Ordini[[#This Row],[Cambio]]</f>
        <v>14910.001938300002</v>
      </c>
      <c r="N344" s="1">
        <f ca="1">IFERROR(_xlfn.NUMBERVALUE(OFFSET(Origine,MATCH(Registro_Ordini[[#This Row],[Titolo]],Descrizioni,0),MATCH("Price",Intestazioni,0)-1,1,1)),"")</f>
        <v>275.5</v>
      </c>
      <c r="O344" s="18">
        <f ca="1">IF(OR(Registro_Ordini[[#This Row],[Price]]=0,Registro_Ordini[[#This Row],[Price]]=""),"",IF(Registro_Ordini[[#This Row],[Tipo]]="Sell",Registro_Ordini[[#This Row],[Prezzo]]/Registro_Ordini[[#This Row],[Price]]-1,Registro_Ordini[[#This Row],[Price]]/Registro_Ordini[[#This Row],[Prezzo]]-1))</f>
        <v>-7.6123407109322527E-2</v>
      </c>
      <c r="P344" s="15">
        <v>2.1180110712332452E-2</v>
      </c>
      <c r="Q344" s="3">
        <v>0.5790141505408346</v>
      </c>
      <c r="R344" s="3">
        <v>0.16931578251733789</v>
      </c>
      <c r="S344" s="3">
        <v>0.1791097726179488</v>
      </c>
      <c r="T344" s="3">
        <v>0</v>
      </c>
      <c r="U344" s="3">
        <v>7.2560294323878671E-2</v>
      </c>
      <c r="V344" s="3"/>
      <c r="W344" s="4"/>
    </row>
    <row r="345" spans="1:23" s="1" customFormat="1" ht="24.95" customHeight="1" x14ac:dyDescent="0.2">
      <c r="A345" s="8">
        <v>45889.549664351849</v>
      </c>
      <c r="B345" s="7">
        <v>45889.549664351849</v>
      </c>
      <c r="C345" s="9" t="s">
        <v>375</v>
      </c>
      <c r="D345" s="1" t="s">
        <v>388</v>
      </c>
      <c r="E345" s="1" t="s">
        <v>397</v>
      </c>
      <c r="F345" s="1" t="s">
        <v>573</v>
      </c>
      <c r="G345" s="1" t="s">
        <v>371</v>
      </c>
      <c r="H345" s="2">
        <v>60</v>
      </c>
      <c r="I345" s="16">
        <v>297.97000000000003</v>
      </c>
      <c r="J345" s="1" t="s">
        <v>369</v>
      </c>
      <c r="K345" s="6">
        <f>Registro_Ordini[[#This Row],[Numero]]*Registro_Ordini[[#This Row],[Prezzo]]</f>
        <v>17878.2</v>
      </c>
      <c r="L345" s="10">
        <v>1.0000001300000001</v>
      </c>
      <c r="M345" s="6">
        <f>Registro_Ordini[[#This Row],[Importo]]*Registro_Ordini[[#This Row],[Cambio]]</f>
        <v>17878.202324166003</v>
      </c>
      <c r="N345" s="1">
        <f ca="1">IFERROR(_xlfn.NUMBERVALUE(OFFSET(Origine,MATCH(Registro_Ordini[[#This Row],[Titolo]],Descrizioni,0),MATCH("Price",Intestazioni,0)-1,1,1)),"")</f>
        <v>275.5</v>
      </c>
      <c r="O345" s="18">
        <f ca="1">IF(OR(Registro_Ordini[[#This Row],[Price]]=0,Registro_Ordini[[#This Row],[Price]]=""),"",IF(Registro_Ordini[[#This Row],[Tipo]]="Sell",Registro_Ordini[[#This Row],[Prezzo]]/Registro_Ordini[[#This Row],[Price]]-1,Registro_Ordini[[#This Row],[Price]]/Registro_Ordini[[#This Row],[Prezzo]]-1))</f>
        <v>-7.541027620230234E-2</v>
      </c>
      <c r="P345" s="15">
        <v>2.2280957186106908E-2</v>
      </c>
      <c r="Q345" s="3">
        <v>0.11750312375544815</v>
      </c>
      <c r="R345" s="3">
        <v>0.35081334118913082</v>
      </c>
      <c r="S345" s="3">
        <v>0.42210016397243794</v>
      </c>
      <c r="T345" s="3">
        <v>0</v>
      </c>
      <c r="U345" s="3">
        <v>0.10958337108298302</v>
      </c>
      <c r="V345" s="3"/>
      <c r="W345" s="4"/>
    </row>
    <row r="346" spans="1:23" s="1" customFormat="1" ht="24.95" customHeight="1" x14ac:dyDescent="0.2">
      <c r="A346" s="8">
        <v>45889.549664351849</v>
      </c>
      <c r="B346" s="7">
        <v>45889.549664351849</v>
      </c>
      <c r="C346" s="9" t="s">
        <v>367</v>
      </c>
      <c r="D346" s="1" t="s">
        <v>388</v>
      </c>
      <c r="E346" s="1" t="s">
        <v>397</v>
      </c>
      <c r="F346" s="1" t="s">
        <v>573</v>
      </c>
      <c r="G346" s="1" t="s">
        <v>371</v>
      </c>
      <c r="H346" s="2">
        <v>180</v>
      </c>
      <c r="I346" s="16">
        <v>297.5</v>
      </c>
      <c r="J346" s="1" t="s">
        <v>369</v>
      </c>
      <c r="K346" s="6">
        <f>Registro_Ordini[[#This Row],[Numero]]*Registro_Ordini[[#This Row],[Prezzo]]</f>
        <v>53550</v>
      </c>
      <c r="L346" s="10">
        <v>1.0000001300000001</v>
      </c>
      <c r="M346" s="6">
        <f>Registro_Ordini[[#This Row],[Importo]]*Registro_Ordini[[#This Row],[Cambio]]</f>
        <v>53550.006961500003</v>
      </c>
      <c r="N346" s="1">
        <f ca="1">IFERROR(_xlfn.NUMBERVALUE(OFFSET(Origine,MATCH(Registro_Ordini[[#This Row],[Titolo]],Descrizioni,0),MATCH("Price",Intestazioni,0)-1,1,1)),"")</f>
        <v>275.5</v>
      </c>
      <c r="O346" s="18">
        <f ca="1">IF(OR(Registro_Ordini[[#This Row],[Price]]=0,Registro_Ordini[[#This Row],[Price]]=""),"",IF(Registro_Ordini[[#This Row],[Tipo]]="Sell",Registro_Ordini[[#This Row],[Prezzo]]/Registro_Ordini[[#This Row],[Price]]-1,Registro_Ordini[[#This Row],[Price]]/Registro_Ordini[[#This Row],[Prezzo]]-1))</f>
        <v>-7.3949579831932732E-2</v>
      </c>
      <c r="P346" s="15">
        <v>1.5395706016009952E-2</v>
      </c>
      <c r="Q346" s="3">
        <v>0.1378149179611495</v>
      </c>
      <c r="R346" s="3">
        <v>0.40139056023443359</v>
      </c>
      <c r="S346" s="3">
        <v>0.39077113641345168</v>
      </c>
      <c r="T346" s="3">
        <v>0</v>
      </c>
      <c r="U346" s="3">
        <v>7.0023385390965032E-2</v>
      </c>
      <c r="V346" s="3"/>
      <c r="W346" s="4"/>
    </row>
    <row r="347" spans="1:23" s="1" customFormat="1" ht="24.95" customHeight="1" x14ac:dyDescent="0.2">
      <c r="A347" s="8">
        <v>45889.54965277778</v>
      </c>
      <c r="B347" s="7">
        <v>45889.54965277778</v>
      </c>
      <c r="C347" s="9" t="s">
        <v>376</v>
      </c>
      <c r="D347" s="1" t="s">
        <v>388</v>
      </c>
      <c r="E347" s="1" t="s">
        <v>397</v>
      </c>
      <c r="F347" s="1" t="s">
        <v>573</v>
      </c>
      <c r="G347" s="1" t="s">
        <v>371</v>
      </c>
      <c r="H347" s="2">
        <v>20</v>
      </c>
      <c r="I347" s="16">
        <v>297.97000000000003</v>
      </c>
      <c r="J347" s="1" t="s">
        <v>369</v>
      </c>
      <c r="K347" s="6">
        <f>Registro_Ordini[[#This Row],[Numero]]*Registro_Ordini[[#This Row],[Prezzo]]</f>
        <v>5959.4000000000005</v>
      </c>
      <c r="L347" s="10">
        <v>1.0000001300000001</v>
      </c>
      <c r="M347" s="6">
        <f>Registro_Ordini[[#This Row],[Importo]]*Registro_Ordini[[#This Row],[Cambio]]</f>
        <v>5959.4007747220012</v>
      </c>
      <c r="N347" s="1">
        <f ca="1">IFERROR(_xlfn.NUMBERVALUE(OFFSET(Origine,MATCH(Registro_Ordini[[#This Row],[Titolo]],Descrizioni,0),MATCH("Price",Intestazioni,0)-1,1,1)),"")</f>
        <v>275.5</v>
      </c>
      <c r="O347" s="18">
        <f ca="1">IF(OR(Registro_Ordini[[#This Row],[Price]]=0,Registro_Ordini[[#This Row],[Price]]=""),"",IF(Registro_Ordini[[#This Row],[Tipo]]="Sell",Registro_Ordini[[#This Row],[Prezzo]]/Registro_Ordini[[#This Row],[Price]]-1,Registro_Ordini[[#This Row],[Price]]/Registro_Ordini[[#This Row],[Prezzo]]-1))</f>
        <v>-7.541027620230234E-2</v>
      </c>
      <c r="P347" s="15">
        <v>2.1709890875661237E-2</v>
      </c>
      <c r="Q347" s="3">
        <v>0.11677888450346165</v>
      </c>
      <c r="R347" s="3">
        <v>0.27312707637954708</v>
      </c>
      <c r="S347" s="3">
        <v>0.47718724500921539</v>
      </c>
      <c r="T347" s="3">
        <v>0</v>
      </c>
      <c r="U347" s="3">
        <v>0.13290679410777601</v>
      </c>
      <c r="V347" s="3"/>
      <c r="W347" s="4"/>
    </row>
    <row r="348" spans="1:23" s="1" customFormat="1" ht="24.95" customHeight="1" x14ac:dyDescent="0.2">
      <c r="A348" s="8">
        <v>45889.549641203703</v>
      </c>
      <c r="B348" s="7">
        <v>45889.549641203703</v>
      </c>
      <c r="C348" s="9" t="s">
        <v>377</v>
      </c>
      <c r="D348" s="1" t="s">
        <v>388</v>
      </c>
      <c r="E348" s="1" t="s">
        <v>397</v>
      </c>
      <c r="F348" s="1" t="s">
        <v>573</v>
      </c>
      <c r="G348" s="1" t="s">
        <v>371</v>
      </c>
      <c r="H348" s="2">
        <v>100</v>
      </c>
      <c r="I348" s="16">
        <v>297.97000000000003</v>
      </c>
      <c r="J348" s="1" t="s">
        <v>369</v>
      </c>
      <c r="K348" s="6">
        <f>Registro_Ordini[[#This Row],[Numero]]*Registro_Ordini[[#This Row],[Prezzo]]</f>
        <v>29797.000000000004</v>
      </c>
      <c r="L348" s="10">
        <v>1.0000001300000001</v>
      </c>
      <c r="M348" s="6">
        <f>Registro_Ordini[[#This Row],[Importo]]*Registro_Ordini[[#This Row],[Cambio]]</f>
        <v>29797.003873610007</v>
      </c>
      <c r="N348" s="1">
        <f ca="1">IFERROR(_xlfn.NUMBERVALUE(OFFSET(Origine,MATCH(Registro_Ordini[[#This Row],[Titolo]],Descrizioni,0),MATCH("Price",Intestazioni,0)-1,1,1)),"")</f>
        <v>275.5</v>
      </c>
      <c r="O348" s="18">
        <f ca="1">IF(OR(Registro_Ordini[[#This Row],[Price]]=0,Registro_Ordini[[#This Row],[Price]]=""),"",IF(Registro_Ordini[[#This Row],[Tipo]]="Sell",Registro_Ordini[[#This Row],[Prezzo]]/Registro_Ordini[[#This Row],[Price]]-1,Registro_Ordini[[#This Row],[Price]]/Registro_Ordini[[#This Row],[Prezzo]]-1))</f>
        <v>-7.541027620230234E-2</v>
      </c>
      <c r="P348" s="15">
        <v>1.9157943348558207E-2</v>
      </c>
      <c r="Q348" s="3">
        <v>0.11262810944733405</v>
      </c>
      <c r="R348" s="3">
        <v>0.32589317371750415</v>
      </c>
      <c r="S348" s="3">
        <v>0.4506767901636704</v>
      </c>
      <c r="T348" s="3">
        <v>0</v>
      </c>
      <c r="U348" s="3">
        <v>0.11080192667149141</v>
      </c>
      <c r="V348" s="3"/>
      <c r="W348" s="4"/>
    </row>
    <row r="349" spans="1:23" s="1" customFormat="1" ht="24.95" customHeight="1" x14ac:dyDescent="0.2">
      <c r="A349" s="8">
        <v>45889.549629629626</v>
      </c>
      <c r="B349" s="7">
        <v>45889.549629629626</v>
      </c>
      <c r="C349" s="9" t="s">
        <v>378</v>
      </c>
      <c r="D349" s="1" t="s">
        <v>388</v>
      </c>
      <c r="E349" s="1" t="s">
        <v>397</v>
      </c>
      <c r="F349" s="1" t="s">
        <v>573</v>
      </c>
      <c r="G349" s="1" t="s">
        <v>371</v>
      </c>
      <c r="H349" s="2">
        <v>35</v>
      </c>
      <c r="I349" s="16">
        <v>297.97000000000003</v>
      </c>
      <c r="J349" s="1" t="s">
        <v>369</v>
      </c>
      <c r="K349" s="6">
        <f>Registro_Ordini[[#This Row],[Numero]]*Registro_Ordini[[#This Row],[Prezzo]]</f>
        <v>10428.950000000001</v>
      </c>
      <c r="L349" s="10">
        <v>1.0000001300000001</v>
      </c>
      <c r="M349" s="6">
        <f>Registro_Ordini[[#This Row],[Importo]]*Registro_Ordini[[#This Row],[Cambio]]</f>
        <v>10428.951355763502</v>
      </c>
      <c r="N349" s="1">
        <f ca="1">IFERROR(_xlfn.NUMBERVALUE(OFFSET(Origine,MATCH(Registro_Ordini[[#This Row],[Titolo]],Descrizioni,0),MATCH("Price",Intestazioni,0)-1,1,1)),"")</f>
        <v>275.5</v>
      </c>
      <c r="O349" s="18">
        <f ca="1">IF(OR(Registro_Ordini[[#This Row],[Price]]=0,Registro_Ordini[[#This Row],[Price]]=""),"",IF(Registro_Ordini[[#This Row],[Tipo]]="Sell",Registro_Ordini[[#This Row],[Prezzo]]/Registro_Ordini[[#This Row],[Price]]-1,Registro_Ordini[[#This Row],[Price]]/Registro_Ordini[[#This Row],[Prezzo]]-1))</f>
        <v>-7.541027620230234E-2</v>
      </c>
      <c r="P349" s="15">
        <v>2.0509405445803805E-2</v>
      </c>
      <c r="Q349" s="3">
        <v>0.11481272999125701</v>
      </c>
      <c r="R349" s="3">
        <v>0.31566324458899847</v>
      </c>
      <c r="S349" s="3">
        <v>0.46500804306372534</v>
      </c>
      <c r="T349" s="3">
        <v>0</v>
      </c>
      <c r="U349" s="3">
        <v>0.10451598235601911</v>
      </c>
      <c r="V349" s="3"/>
      <c r="W349" s="4"/>
    </row>
    <row r="350" spans="1:23" s="1" customFormat="1" ht="24.95" customHeight="1" x14ac:dyDescent="0.2">
      <c r="A350" s="8">
        <v>45881.458541666667</v>
      </c>
      <c r="B350" s="7">
        <v>45881.458541666667</v>
      </c>
      <c r="C350" s="9" t="s">
        <v>379</v>
      </c>
      <c r="D350" s="1" t="s">
        <v>388</v>
      </c>
      <c r="E350" s="1" t="s">
        <v>397</v>
      </c>
      <c r="F350" s="1" t="s">
        <v>432</v>
      </c>
      <c r="G350" s="1" t="s">
        <v>365</v>
      </c>
      <c r="H350" s="2">
        <v>-30</v>
      </c>
      <c r="I350" s="16">
        <v>188.892562</v>
      </c>
      <c r="J350" s="1" t="s">
        <v>369</v>
      </c>
      <c r="K350" s="6">
        <f>Registro_Ordini[[#This Row],[Numero]]*Registro_Ordini[[#This Row],[Prezzo]]</f>
        <v>-5666.7768599999999</v>
      </c>
      <c r="L350" s="10">
        <v>1.06277014</v>
      </c>
      <c r="M350" s="6">
        <f>Registro_Ordini[[#This Row],[Importo]]*Registro_Ordini[[#This Row],[Cambio]]</f>
        <v>-6022.4812368509602</v>
      </c>
      <c r="N350" s="1">
        <f ca="1">IFERROR(_xlfn.NUMBERVALUE(OFFSET(Origine,MATCH(Registro_Ordini[[#This Row],[Titolo]],Descrizioni,0),MATCH("Price",Intestazioni,0)-1,1,1)),"")</f>
        <v>278.60000000000002</v>
      </c>
      <c r="O350" s="18">
        <f ca="1">IF(OR(Registro_Ordini[[#This Row],[Price]]=0,Registro_Ordini[[#This Row],[Price]]=""),"",IF(Registro_Ordini[[#This Row],[Tipo]]="Sell",Registro_Ordini[[#This Row],[Prezzo]]/Registro_Ordini[[#This Row],[Price]]-1,Registro_Ordini[[#This Row],[Price]]/Registro_Ordini[[#This Row],[Prezzo]]-1))</f>
        <v>-0.32199367552045954</v>
      </c>
      <c r="P350" s="15">
        <v>-1.0548753772234961E-2</v>
      </c>
      <c r="Q350" s="3">
        <v>0.12390949606713854</v>
      </c>
      <c r="R350" s="3">
        <v>0.35694563354876585</v>
      </c>
      <c r="S350" s="3">
        <v>0.40615285100124937</v>
      </c>
      <c r="T350" s="3">
        <v>0</v>
      </c>
      <c r="U350" s="3">
        <v>0.11299201938284631</v>
      </c>
      <c r="V350" s="3"/>
      <c r="W350" s="4"/>
    </row>
    <row r="351" spans="1:23" s="1" customFormat="1" ht="24.95" customHeight="1" x14ac:dyDescent="0.2">
      <c r="A351" s="8">
        <v>45881.458506944444</v>
      </c>
      <c r="B351" s="7">
        <v>45881.458506944444</v>
      </c>
      <c r="C351" s="9" t="s">
        <v>382</v>
      </c>
      <c r="D351" s="1" t="s">
        <v>388</v>
      </c>
      <c r="E351" s="1" t="s">
        <v>397</v>
      </c>
      <c r="F351" s="1" t="s">
        <v>432</v>
      </c>
      <c r="G351" s="1" t="s">
        <v>365</v>
      </c>
      <c r="H351" s="2">
        <v>-60</v>
      </c>
      <c r="I351" s="16">
        <v>188.892562</v>
      </c>
      <c r="J351" s="1" t="s">
        <v>369</v>
      </c>
      <c r="K351" s="6">
        <f>Registro_Ordini[[#This Row],[Numero]]*Registro_Ordini[[#This Row],[Prezzo]]</f>
        <v>-11333.55372</v>
      </c>
      <c r="L351" s="10">
        <v>1.06277014</v>
      </c>
      <c r="M351" s="6">
        <f>Registro_Ordini[[#This Row],[Importo]]*Registro_Ordini[[#This Row],[Cambio]]</f>
        <v>-12044.96247370192</v>
      </c>
      <c r="N351" s="1">
        <f ca="1">IFERROR(_xlfn.NUMBERVALUE(OFFSET(Origine,MATCH(Registro_Ordini[[#This Row],[Titolo]],Descrizioni,0),MATCH("Price",Intestazioni,0)-1,1,1)),"")</f>
        <v>278.60000000000002</v>
      </c>
      <c r="O351" s="18">
        <f ca="1">IF(OR(Registro_Ordini[[#This Row],[Price]]=0,Registro_Ordini[[#This Row],[Price]]=""),"",IF(Registro_Ordini[[#This Row],[Tipo]]="Sell",Registro_Ordini[[#This Row],[Prezzo]]/Registro_Ordini[[#This Row],[Price]]-1,Registro_Ordini[[#This Row],[Price]]/Registro_Ordini[[#This Row],[Prezzo]]-1))</f>
        <v>-0.32199367552045954</v>
      </c>
      <c r="P351" s="15">
        <v>-1.1572094645229118E-2</v>
      </c>
      <c r="Q351" s="3">
        <v>0.12643307186966898</v>
      </c>
      <c r="R351" s="3">
        <v>0.34626112610532328</v>
      </c>
      <c r="S351" s="3">
        <v>0.40994053164335781</v>
      </c>
      <c r="T351" s="3">
        <v>0</v>
      </c>
      <c r="U351" s="3">
        <v>0.11736527038164993</v>
      </c>
      <c r="V351" s="3"/>
      <c r="W351" s="4"/>
    </row>
    <row r="352" spans="1:23" s="1" customFormat="1" ht="24.95" customHeight="1" x14ac:dyDescent="0.2">
      <c r="A352" s="8">
        <v>45881.458472222221</v>
      </c>
      <c r="B352" s="7">
        <v>45881.458472222221</v>
      </c>
      <c r="C352" s="9" t="s">
        <v>383</v>
      </c>
      <c r="D352" s="1" t="s">
        <v>388</v>
      </c>
      <c r="E352" s="1" t="s">
        <v>397</v>
      </c>
      <c r="F352" s="1" t="s">
        <v>432</v>
      </c>
      <c r="G352" s="1" t="s">
        <v>365</v>
      </c>
      <c r="H352" s="2">
        <v>-35</v>
      </c>
      <c r="I352" s="16">
        <v>188.892562</v>
      </c>
      <c r="J352" s="1" t="s">
        <v>369</v>
      </c>
      <c r="K352" s="6">
        <f>Registro_Ordini[[#This Row],[Numero]]*Registro_Ordini[[#This Row],[Prezzo]]</f>
        <v>-6611.2396699999999</v>
      </c>
      <c r="L352" s="10">
        <v>1.06277014</v>
      </c>
      <c r="M352" s="6">
        <f>Registro_Ordini[[#This Row],[Importo]]*Registro_Ordini[[#This Row],[Cambio]]</f>
        <v>-7026.2281096594543</v>
      </c>
      <c r="N352" s="1">
        <f ca="1">IFERROR(_xlfn.NUMBERVALUE(OFFSET(Origine,MATCH(Registro_Ordini[[#This Row],[Titolo]],Descrizioni,0),MATCH("Price",Intestazioni,0)-1,1,1)),"")</f>
        <v>278.60000000000002</v>
      </c>
      <c r="O352" s="18">
        <f ca="1">IF(OR(Registro_Ordini[[#This Row],[Price]]=0,Registro_Ordini[[#This Row],[Price]]=""),"",IF(Registro_Ordini[[#This Row],[Tipo]]="Sell",Registro_Ordini[[#This Row],[Prezzo]]/Registro_Ordini[[#This Row],[Price]]-1,Registro_Ordini[[#This Row],[Price]]/Registro_Ordini[[#This Row],[Prezzo]]-1))</f>
        <v>-0.32199367552045954</v>
      </c>
      <c r="P352" s="15">
        <v>-1.1091433780538711E-2</v>
      </c>
      <c r="Q352" s="3">
        <v>0.11717866679319192</v>
      </c>
      <c r="R352" s="3">
        <v>0.35320812116880224</v>
      </c>
      <c r="S352" s="3">
        <v>0.41639313874656314</v>
      </c>
      <c r="T352" s="3">
        <v>0</v>
      </c>
      <c r="U352" s="3">
        <v>0.11322007329144279</v>
      </c>
      <c r="V352" s="3"/>
      <c r="W352" s="4"/>
    </row>
    <row r="353" spans="1:23" s="1" customFormat="1" ht="24.95" customHeight="1" x14ac:dyDescent="0.2">
      <c r="A353" s="8">
        <v>45881.458252314813</v>
      </c>
      <c r="B353" s="7">
        <v>45881.458252314813</v>
      </c>
      <c r="C353" s="9" t="s">
        <v>78</v>
      </c>
      <c r="D353" s="1" t="s">
        <v>388</v>
      </c>
      <c r="E353" s="1" t="s">
        <v>397</v>
      </c>
      <c r="F353" s="1" t="s">
        <v>432</v>
      </c>
      <c r="G353" s="1" t="s">
        <v>365</v>
      </c>
      <c r="H353" s="2">
        <v>-40</v>
      </c>
      <c r="I353" s="16">
        <v>188.892562</v>
      </c>
      <c r="J353" s="1" t="s">
        <v>369</v>
      </c>
      <c r="K353" s="6">
        <f>Registro_Ordini[[#This Row],[Numero]]*Registro_Ordini[[#This Row],[Prezzo]]</f>
        <v>-7555.7024799999999</v>
      </c>
      <c r="L353" s="10">
        <v>1.0000001300000001</v>
      </c>
      <c r="M353" s="6">
        <f>Registro_Ordini[[#This Row],[Importo]]*Registro_Ordini[[#This Row],[Cambio]]</f>
        <v>-7555.703462241323</v>
      </c>
      <c r="N353" s="1">
        <f ca="1">IFERROR(_xlfn.NUMBERVALUE(OFFSET(Origine,MATCH(Registro_Ordini[[#This Row],[Titolo]],Descrizioni,0),MATCH("Price",Intestazioni,0)-1,1,1)),"")</f>
        <v>278.60000000000002</v>
      </c>
      <c r="O353" s="18">
        <f ca="1">IF(OR(Registro_Ordini[[#This Row],[Price]]=0,Registro_Ordini[[#This Row],[Price]]=""),"",IF(Registro_Ordini[[#This Row],[Tipo]]="Sell",Registro_Ordini[[#This Row],[Prezzo]]/Registro_Ordini[[#This Row],[Price]]-1,Registro_Ordini[[#This Row],[Price]]/Registro_Ordini[[#This Row],[Prezzo]]-1))</f>
        <v>-0.32199367552045954</v>
      </c>
      <c r="P353" s="15">
        <v>-1.3771838065263324E-2</v>
      </c>
      <c r="Q353" s="3">
        <v>0.18400723286832962</v>
      </c>
      <c r="R353" s="3">
        <v>0.14613089154280867</v>
      </c>
      <c r="S353" s="3">
        <v>0.57373171786547195</v>
      </c>
      <c r="T353" s="3">
        <v>0</v>
      </c>
      <c r="U353" s="3">
        <v>9.6130157723389786E-2</v>
      </c>
      <c r="V353" s="3"/>
      <c r="W353" s="4"/>
    </row>
    <row r="354" spans="1:23" s="1" customFormat="1" ht="24.95" customHeight="1" x14ac:dyDescent="0.2">
      <c r="A354" s="8">
        <v>45881.458009259259</v>
      </c>
      <c r="B354" s="7">
        <v>45881.458009259259</v>
      </c>
      <c r="C354" s="9" t="s">
        <v>373</v>
      </c>
      <c r="D354" s="1" t="s">
        <v>388</v>
      </c>
      <c r="E354" s="1" t="s">
        <v>397</v>
      </c>
      <c r="F354" s="1" t="s">
        <v>432</v>
      </c>
      <c r="G354" s="1" t="s">
        <v>365</v>
      </c>
      <c r="H354" s="2">
        <v>-40</v>
      </c>
      <c r="I354" s="16">
        <v>189.45</v>
      </c>
      <c r="J354" s="1" t="s">
        <v>369</v>
      </c>
      <c r="K354" s="6">
        <f>Registro_Ordini[[#This Row],[Numero]]*Registro_Ordini[[#This Row],[Prezzo]]</f>
        <v>-7578</v>
      </c>
      <c r="L354" s="10">
        <v>1.0000001300000001</v>
      </c>
      <c r="M354" s="6">
        <f>Registro_Ordini[[#This Row],[Importo]]*Registro_Ordini[[#This Row],[Cambio]]</f>
        <v>-7578.0009851400009</v>
      </c>
      <c r="N354" s="1">
        <f ca="1">IFERROR(_xlfn.NUMBERVALUE(OFFSET(Origine,MATCH(Registro_Ordini[[#This Row],[Titolo]],Descrizioni,0),MATCH("Price",Intestazioni,0)-1,1,1)),"")</f>
        <v>278.60000000000002</v>
      </c>
      <c r="O354" s="18">
        <f ca="1">IF(OR(Registro_Ordini[[#This Row],[Price]]=0,Registro_Ordini[[#This Row],[Price]]=""),"",IF(Registro_Ordini[[#This Row],[Tipo]]="Sell",Registro_Ordini[[#This Row],[Prezzo]]/Registro_Ordini[[#This Row],[Price]]-1,Registro_Ordini[[#This Row],[Price]]/Registro_Ordini[[#This Row],[Prezzo]]-1))</f>
        <v>-0.31999282124910278</v>
      </c>
      <c r="P354" s="15">
        <v>-1.0723711756150211E-2</v>
      </c>
      <c r="Q354" s="3">
        <v>0.5992077021983423</v>
      </c>
      <c r="R354" s="3">
        <v>0.16954000532476499</v>
      </c>
      <c r="S354" s="3">
        <v>0.15812797271088619</v>
      </c>
      <c r="T354" s="3">
        <v>0</v>
      </c>
      <c r="U354" s="3">
        <v>7.3124319766006626E-2</v>
      </c>
      <c r="V354" s="3"/>
      <c r="W354" s="4"/>
    </row>
    <row r="355" spans="1:23" s="1" customFormat="1" ht="24.95" customHeight="1" x14ac:dyDescent="0.2">
      <c r="A355" s="8">
        <v>45881.457986111112</v>
      </c>
      <c r="B355" s="7">
        <v>45881.457986111112</v>
      </c>
      <c r="C355" s="9" t="s">
        <v>367</v>
      </c>
      <c r="D355" s="1" t="s">
        <v>388</v>
      </c>
      <c r="E355" s="1" t="s">
        <v>397</v>
      </c>
      <c r="F355" s="1" t="s">
        <v>432</v>
      </c>
      <c r="G355" s="1" t="s">
        <v>365</v>
      </c>
      <c r="H355" s="2">
        <v>-200</v>
      </c>
      <c r="I355" s="16">
        <v>189.55</v>
      </c>
      <c r="J355" s="1" t="s">
        <v>369</v>
      </c>
      <c r="K355" s="6">
        <f>Registro_Ordini[[#This Row],[Numero]]*Registro_Ordini[[#This Row],[Prezzo]]</f>
        <v>-37910</v>
      </c>
      <c r="L355" s="10">
        <v>1.0000001300000001</v>
      </c>
      <c r="M355" s="6">
        <f>Registro_Ordini[[#This Row],[Importo]]*Registro_Ordini[[#This Row],[Cambio]]</f>
        <v>-37910.004928300004</v>
      </c>
      <c r="N355" s="1">
        <f ca="1">IFERROR(_xlfn.NUMBERVALUE(OFFSET(Origine,MATCH(Registro_Ordini[[#This Row],[Titolo]],Descrizioni,0),MATCH("Price",Intestazioni,0)-1,1,1)),"")</f>
        <v>278.60000000000002</v>
      </c>
      <c r="O355" s="18">
        <f ca="1">IF(OR(Registro_Ordini[[#This Row],[Price]]=0,Registro_Ordini[[#This Row],[Price]]=""),"",IF(Registro_Ordini[[#This Row],[Tipo]]="Sell",Registro_Ordini[[#This Row],[Prezzo]]/Registro_Ordini[[#This Row],[Price]]-1,Registro_Ordini[[#This Row],[Price]]/Registro_Ordini[[#This Row],[Prezzo]]-1))</f>
        <v>-0.31963388370423551</v>
      </c>
      <c r="P355" s="15">
        <v>-1.0851452828246328E-2</v>
      </c>
      <c r="Q355" s="3">
        <v>0.1534155541318041</v>
      </c>
      <c r="R355" s="3">
        <v>0.40201971111266449</v>
      </c>
      <c r="S355" s="3">
        <v>0.37357554350765121</v>
      </c>
      <c r="T355" s="3">
        <v>0</v>
      </c>
      <c r="U355" s="3">
        <v>7.0989191247879932E-2</v>
      </c>
      <c r="V355" s="3"/>
      <c r="W355" s="4"/>
    </row>
    <row r="356" spans="1:23" s="1" customFormat="1" ht="24.95" customHeight="1" x14ac:dyDescent="0.2">
      <c r="A356" s="8">
        <v>45881.457962962966</v>
      </c>
      <c r="B356" s="7">
        <v>45881.457962962966</v>
      </c>
      <c r="C356" s="9" t="s">
        <v>375</v>
      </c>
      <c r="D356" s="1" t="s">
        <v>388</v>
      </c>
      <c r="E356" s="1" t="s">
        <v>397</v>
      </c>
      <c r="F356" s="1" t="s">
        <v>432</v>
      </c>
      <c r="G356" s="1" t="s">
        <v>365</v>
      </c>
      <c r="H356" s="2">
        <v>-48</v>
      </c>
      <c r="I356" s="16">
        <v>188.892562</v>
      </c>
      <c r="J356" s="1" t="s">
        <v>369</v>
      </c>
      <c r="K356" s="6">
        <f>Registro_Ordini[[#This Row],[Numero]]*Registro_Ordini[[#This Row],[Prezzo]]</f>
        <v>-9066.8429759999999</v>
      </c>
      <c r="L356" s="10">
        <v>1.0000001300000001</v>
      </c>
      <c r="M356" s="6">
        <f>Registro_Ordini[[#This Row],[Importo]]*Registro_Ordini[[#This Row],[Cambio]]</f>
        <v>-9066.8441546895883</v>
      </c>
      <c r="N356" s="1">
        <f ca="1">IFERROR(_xlfn.NUMBERVALUE(OFFSET(Origine,MATCH(Registro_Ordini[[#This Row],[Titolo]],Descrizioni,0),MATCH("Price",Intestazioni,0)-1,1,1)),"")</f>
        <v>278.60000000000002</v>
      </c>
      <c r="O356" s="18">
        <f ca="1">IF(OR(Registro_Ordini[[#This Row],[Price]]=0,Registro_Ordini[[#This Row],[Price]]=""),"",IF(Registro_Ordini[[#This Row],[Tipo]]="Sell",Registro_Ordini[[#This Row],[Prezzo]]/Registro_Ordini[[#This Row],[Price]]-1,Registro_Ordini[[#This Row],[Price]]/Registro_Ordini[[#This Row],[Prezzo]]-1))</f>
        <v>-0.32199367552045954</v>
      </c>
      <c r="P356" s="15">
        <v>-1.1316324022592599E-2</v>
      </c>
      <c r="Q356" s="3">
        <v>0.14007672916858063</v>
      </c>
      <c r="R356" s="3">
        <v>0.35163111622166482</v>
      </c>
      <c r="S356" s="3">
        <v>0.3979058485557686</v>
      </c>
      <c r="T356" s="3">
        <v>0</v>
      </c>
      <c r="U356" s="3">
        <v>0.11038630605398592</v>
      </c>
      <c r="V356" s="3"/>
      <c r="W356" s="4"/>
    </row>
    <row r="357" spans="1:23" s="1" customFormat="1" ht="24.95" customHeight="1" x14ac:dyDescent="0.2">
      <c r="A357" s="8">
        <v>45881.457939814813</v>
      </c>
      <c r="B357" s="7">
        <v>45881.457939814813</v>
      </c>
      <c r="C357" s="9" t="s">
        <v>376</v>
      </c>
      <c r="D357" s="1" t="s">
        <v>388</v>
      </c>
      <c r="E357" s="1" t="s">
        <v>397</v>
      </c>
      <c r="F357" s="1" t="s">
        <v>432</v>
      </c>
      <c r="G357" s="1" t="s">
        <v>365</v>
      </c>
      <c r="H357" s="2">
        <v>-20</v>
      </c>
      <c r="I357" s="16">
        <v>188.892562</v>
      </c>
      <c r="J357" s="1" t="s">
        <v>369</v>
      </c>
      <c r="K357" s="6">
        <f>Registro_Ordini[[#This Row],[Numero]]*Registro_Ordini[[#This Row],[Prezzo]]</f>
        <v>-3777.85124</v>
      </c>
      <c r="L357" s="10">
        <v>1.0000001300000001</v>
      </c>
      <c r="M357" s="6">
        <f>Registro_Ordini[[#This Row],[Importo]]*Registro_Ordini[[#This Row],[Cambio]]</f>
        <v>-3777.8517311206615</v>
      </c>
      <c r="N357" s="1">
        <f ca="1">IFERROR(_xlfn.NUMBERVALUE(OFFSET(Origine,MATCH(Registro_Ordini[[#This Row],[Titolo]],Descrizioni,0),MATCH("Price",Intestazioni,0)-1,1,1)),"")</f>
        <v>278.60000000000002</v>
      </c>
      <c r="O357" s="18">
        <f ca="1">IF(OR(Registro_Ordini[[#This Row],[Price]]=0,Registro_Ordini[[#This Row],[Price]]=""),"",IF(Registro_Ordini[[#This Row],[Tipo]]="Sell",Registro_Ordini[[#This Row],[Prezzo]]/Registro_Ordini[[#This Row],[Price]]-1,Registro_Ordini[[#This Row],[Price]]/Registro_Ordini[[#This Row],[Prezzo]]-1))</f>
        <v>-0.32199367552045954</v>
      </c>
      <c r="P357" s="15">
        <v>-1.3779839305852432E-2</v>
      </c>
      <c r="Q357" s="3">
        <v>0.13875885885005565</v>
      </c>
      <c r="R357" s="3">
        <v>0.2736262169556215</v>
      </c>
      <c r="S357" s="3">
        <v>0.45316471228508143</v>
      </c>
      <c r="T357" s="3">
        <v>0</v>
      </c>
      <c r="U357" s="3">
        <v>0.13445021190924128</v>
      </c>
      <c r="V357" s="3"/>
      <c r="W357" s="4"/>
    </row>
    <row r="358" spans="1:23" s="1" customFormat="1" ht="24.95" customHeight="1" x14ac:dyDescent="0.2">
      <c r="A358" s="8">
        <v>45881.457928240743</v>
      </c>
      <c r="B358" s="7">
        <v>45881.457928240743</v>
      </c>
      <c r="C358" s="9" t="s">
        <v>377</v>
      </c>
      <c r="D358" s="1" t="s">
        <v>388</v>
      </c>
      <c r="E358" s="1" t="s">
        <v>397</v>
      </c>
      <c r="F358" s="1" t="s">
        <v>432</v>
      </c>
      <c r="G358" s="1" t="s">
        <v>365</v>
      </c>
      <c r="H358" s="2">
        <v>-100</v>
      </c>
      <c r="I358" s="16">
        <v>188.892562</v>
      </c>
      <c r="J358" s="1" t="s">
        <v>369</v>
      </c>
      <c r="K358" s="6">
        <f>Registro_Ordini[[#This Row],[Numero]]*Registro_Ordini[[#This Row],[Prezzo]]</f>
        <v>-18889.2562</v>
      </c>
      <c r="L358" s="10">
        <v>1.0000001300000001</v>
      </c>
      <c r="M358" s="6">
        <f>Registro_Ordini[[#This Row],[Importo]]*Registro_Ordini[[#This Row],[Cambio]]</f>
        <v>-18889.258655603309</v>
      </c>
      <c r="N358" s="1">
        <f ca="1">IFERROR(_xlfn.NUMBERVALUE(OFFSET(Origine,MATCH(Registro_Ordini[[#This Row],[Titolo]],Descrizioni,0),MATCH("Price",Intestazioni,0)-1,1,1)),"")</f>
        <v>278.60000000000002</v>
      </c>
      <c r="O358" s="18">
        <f ca="1">IF(OR(Registro_Ordini[[#This Row],[Price]]=0,Registro_Ordini[[#This Row],[Price]]=""),"",IF(Registro_Ordini[[#This Row],[Tipo]]="Sell",Registro_Ordini[[#This Row],[Prezzo]]/Registro_Ordini[[#This Row],[Price]]-1,Registro_Ordini[[#This Row],[Price]]/Registro_Ordini[[#This Row],[Prezzo]]-1))</f>
        <v>-0.32199367552045954</v>
      </c>
      <c r="P358" s="15">
        <v>-1.2140661574823314E-2</v>
      </c>
      <c r="Q358" s="3">
        <v>0.13199955497221089</v>
      </c>
      <c r="R358" s="3">
        <v>0.32617031303698962</v>
      </c>
      <c r="S358" s="3">
        <v>0.42941307697695263</v>
      </c>
      <c r="T358" s="3">
        <v>0</v>
      </c>
      <c r="U358" s="3">
        <v>0.11241705501384677</v>
      </c>
      <c r="V358" s="3"/>
      <c r="W358" s="4"/>
    </row>
    <row r="359" spans="1:23" s="1" customFormat="1" ht="24.95" customHeight="1" x14ac:dyDescent="0.2">
      <c r="A359" s="8">
        <v>45881.457905092589</v>
      </c>
      <c r="B359" s="7">
        <v>45881.457905092589</v>
      </c>
      <c r="C359" s="9" t="s">
        <v>378</v>
      </c>
      <c r="D359" s="1" t="s">
        <v>388</v>
      </c>
      <c r="E359" s="1" t="s">
        <v>397</v>
      </c>
      <c r="F359" s="1" t="s">
        <v>432</v>
      </c>
      <c r="G359" s="1" t="s">
        <v>365</v>
      </c>
      <c r="H359" s="2">
        <v>-30</v>
      </c>
      <c r="I359" s="16">
        <v>188.892562</v>
      </c>
      <c r="J359" s="1" t="s">
        <v>369</v>
      </c>
      <c r="K359" s="6">
        <f>Registro_Ordini[[#This Row],[Numero]]*Registro_Ordini[[#This Row],[Prezzo]]</f>
        <v>-5666.7768599999999</v>
      </c>
      <c r="L359" s="10">
        <v>1.0000001300000001</v>
      </c>
      <c r="M359" s="6">
        <f>Registro_Ordini[[#This Row],[Importo]]*Registro_Ordini[[#This Row],[Cambio]]</f>
        <v>-5666.7775966809922</v>
      </c>
      <c r="N359" s="1">
        <f ca="1">IFERROR(_xlfn.NUMBERVALUE(OFFSET(Origine,MATCH(Registro_Ordini[[#This Row],[Titolo]],Descrizioni,0),MATCH("Price",Intestazioni,0)-1,1,1)),"")</f>
        <v>278.60000000000002</v>
      </c>
      <c r="O359" s="18">
        <f ca="1">IF(OR(Registro_Ordini[[#This Row],[Price]]=0,Registro_Ordini[[#This Row],[Price]]=""),"",IF(Registro_Ordini[[#This Row],[Tipo]]="Sell",Registro_Ordini[[#This Row],[Prezzo]]/Registro_Ordini[[#This Row],[Price]]-1,Registro_Ordini[[#This Row],[Price]]/Registro_Ordini[[#This Row],[Prezzo]]-1))</f>
        <v>-0.32199367552045954</v>
      </c>
      <c r="P359" s="15">
        <v>-1.1162716665850551E-2</v>
      </c>
      <c r="Q359" s="3">
        <v>0.13564171444476913</v>
      </c>
      <c r="R359" s="3">
        <v>0.31662167198187802</v>
      </c>
      <c r="S359" s="3">
        <v>0.4421387470317476</v>
      </c>
      <c r="T359" s="3">
        <v>0</v>
      </c>
      <c r="U359" s="3">
        <v>0.10559786654160519</v>
      </c>
      <c r="V359" s="3"/>
      <c r="W359" s="4"/>
    </row>
    <row r="360" spans="1:23" s="1" customFormat="1" ht="24.95" customHeight="1" x14ac:dyDescent="0.2">
      <c r="A360" s="8">
        <v>45880.730879629627</v>
      </c>
      <c r="B360" s="7">
        <v>45880.730879629627</v>
      </c>
      <c r="C360" s="9" t="s">
        <v>367</v>
      </c>
      <c r="D360" s="1" t="s">
        <v>450</v>
      </c>
      <c r="E360" s="1" t="s">
        <v>803</v>
      </c>
      <c r="F360" s="1" t="s">
        <v>381</v>
      </c>
      <c r="G360" s="1" t="s">
        <v>371</v>
      </c>
      <c r="H360" s="2">
        <v>4</v>
      </c>
      <c r="I360" s="16">
        <v>125000</v>
      </c>
      <c r="J360" s="1" t="s">
        <v>381</v>
      </c>
      <c r="K360" s="6">
        <f>Registro_Ordini[[#This Row],[Numero]]*Registro_Ordini[[#This Row],[Prezzo]]</f>
        <v>500000</v>
      </c>
      <c r="L360" s="10">
        <v>0.94084999999999996</v>
      </c>
      <c r="M360" s="6">
        <f>Registro_Ordini[[#This Row],[Importo]]*Registro_Ordini[[#This Row],[Cambio]]</f>
        <v>470425</v>
      </c>
      <c r="N360" s="1" t="str">
        <f ca="1">IFERROR(_xlfn.NUMBERVALUE(OFFSET(Origine,MATCH(Registro_Ordini[[#This Row],[Titolo]],Descrizioni,0),MATCH("Price",Intestazioni,0)-1,1,1)),"")</f>
        <v/>
      </c>
      <c r="O360" s="18" t="str">
        <f ca="1">IF(OR(Registro_Ordini[[#This Row],[Price]]=0,Registro_Ordini[[#This Row],[Price]]=""),"",IF(Registro_Ordini[[#This Row],[Tipo]]="Sell",Registro_Ordini[[#This Row],[Prezzo]]/Registro_Ordini[[#This Row],[Price]]-1,Registro_Ordini[[#This Row],[Price]]/Registro_Ordini[[#This Row],[Prezzo]]-1))</f>
        <v/>
      </c>
      <c r="P360" s="15">
        <v>0.15624676643094801</v>
      </c>
      <c r="Q360" s="3">
        <v>8.5138980887630635E-3</v>
      </c>
      <c r="R360" s="3">
        <v>0.46477200202719343</v>
      </c>
      <c r="S360" s="3">
        <v>0.44390900571451941</v>
      </c>
      <c r="T360" s="3">
        <v>0</v>
      </c>
      <c r="U360" s="3">
        <v>8.2805094169524071E-2</v>
      </c>
      <c r="V360" s="3"/>
      <c r="W360" s="4"/>
    </row>
    <row r="361" spans="1:23" s="1" customFormat="1" ht="24.95" customHeight="1" x14ac:dyDescent="0.2">
      <c r="A361" s="8">
        <v>45876.695462962962</v>
      </c>
      <c r="B361" s="7">
        <v>45876.695462962962</v>
      </c>
      <c r="C361" s="9" t="s">
        <v>18</v>
      </c>
      <c r="D361" s="1" t="s">
        <v>362</v>
      </c>
      <c r="E361" s="1" t="s">
        <v>363</v>
      </c>
      <c r="F361" s="1" t="s">
        <v>364</v>
      </c>
      <c r="G361" s="1" t="s">
        <v>365</v>
      </c>
      <c r="H361" s="2">
        <v>-10000</v>
      </c>
      <c r="I361" s="16">
        <v>1</v>
      </c>
      <c r="J361" s="1" t="s">
        <v>366</v>
      </c>
      <c r="K361" s="6">
        <f>Registro_Ordini[[#This Row],[Numero]]*Registro_Ordini[[#This Row],[Prezzo]]</f>
        <v>-10000</v>
      </c>
      <c r="L361" s="10">
        <v>0.80674999999999997</v>
      </c>
      <c r="M361" s="6">
        <f>Registro_Ordini[[#This Row],[Importo]]*Registro_Ordini[[#This Row],[Cambio]]</f>
        <v>-8067.5</v>
      </c>
      <c r="N361" s="1">
        <f ca="1">IFERROR(_xlfn.NUMBERVALUE(OFFSET(Origine,MATCH(Registro_Ordini[[#This Row],[Titolo]],Descrizioni,0),MATCH("Price",Intestazioni,0)-1,1,1)),"")</f>
        <v>0.78225</v>
      </c>
      <c r="O361" s="18">
        <f ca="1">IF(OR(Registro_Ordini[[#This Row],[Price]]=0,Registro_Ordini[[#This Row],[Price]]=""),"",IF(Registro_Ordini[[#This Row],[Tipo]]="Sell",Registro_Ordini[[#This Row],[Prezzo]]/Registro_Ordini[[#This Row],[Price]]-1,Registro_Ordini[[#This Row],[Price]]/Registro_Ordini[[#This Row],[Prezzo]]-1))</f>
        <v>0.27836369447107701</v>
      </c>
      <c r="P361" s="15">
        <v>-1.9740397916466045E-3</v>
      </c>
      <c r="Q361" s="3">
        <v>0.31184789645463928</v>
      </c>
      <c r="R361" s="3">
        <v>0.21868658457044013</v>
      </c>
      <c r="S361" s="3">
        <v>0.17746341069685659</v>
      </c>
      <c r="T361" s="3">
        <v>0</v>
      </c>
      <c r="U361" s="3">
        <v>0.29200210827806389</v>
      </c>
      <c r="V361" s="3"/>
      <c r="W361" s="4"/>
    </row>
    <row r="362" spans="1:23" s="1" customFormat="1" ht="24.95" customHeight="1" x14ac:dyDescent="0.2">
      <c r="A362" s="8">
        <v>45868.609548611108</v>
      </c>
      <c r="B362" s="7">
        <v>45868.609548611108</v>
      </c>
      <c r="C362" s="9" t="s">
        <v>367</v>
      </c>
      <c r="D362" s="1" t="s">
        <v>368</v>
      </c>
      <c r="E362" s="1" t="s">
        <v>369</v>
      </c>
      <c r="F362" s="1" t="s">
        <v>370</v>
      </c>
      <c r="G362" s="1" t="s">
        <v>371</v>
      </c>
      <c r="H362" s="2">
        <v>50000</v>
      </c>
      <c r="I362" s="16">
        <v>0.97552499999999998</v>
      </c>
      <c r="J362" s="1" t="s">
        <v>369</v>
      </c>
      <c r="K362" s="6">
        <f>Registro_Ordini[[#This Row],[Numero]]*Registro_Ordini[[#This Row],[Prezzo]]</f>
        <v>48776.25</v>
      </c>
      <c r="L362" s="10">
        <v>1.0000001300000001</v>
      </c>
      <c r="M362" s="6">
        <f>Registro_Ordini[[#This Row],[Importo]]*Registro_Ordini[[#This Row],[Cambio]]</f>
        <v>48776.256340912507</v>
      </c>
      <c r="N362" s="1">
        <f ca="1">IFERROR(_xlfn.NUMBERVALUE(OFFSET(Origine,MATCH(Registro_Ordini[[#This Row],[Titolo]],Descrizioni,0),MATCH("Price",Intestazioni,0)-1,1,1)),"")</f>
        <v>1.0388916666700001</v>
      </c>
      <c r="O362" s="18">
        <f ca="1">IF(OR(Registro_Ordini[[#This Row],[Price]]=0,Registro_Ordini[[#This Row],[Price]]=""),"",IF(Registro_Ordini[[#This Row],[Tipo]]="Sell",Registro_Ordini[[#This Row],[Prezzo]]/Registro_Ordini[[#This Row],[Price]]-1,Registro_Ordini[[#This Row],[Price]]/Registro_Ordini[[#This Row],[Prezzo]]-1))</f>
        <v>6.4956476430640064E-2</v>
      </c>
      <c r="P362" s="15">
        <v>1.4190319329081484E-2</v>
      </c>
      <c r="Q362" s="3">
        <v>0.12998803036355527</v>
      </c>
      <c r="R362" s="3">
        <v>0.40692922728290254</v>
      </c>
      <c r="S362" s="3">
        <v>0.39194902051455188</v>
      </c>
      <c r="T362" s="3">
        <v>0</v>
      </c>
      <c r="U362" s="3">
        <v>7.1133721838990319E-2</v>
      </c>
      <c r="V362" s="3"/>
      <c r="W362" s="4"/>
    </row>
    <row r="363" spans="1:23" s="1" customFormat="1" ht="24.95" customHeight="1" x14ac:dyDescent="0.2">
      <c r="A363" s="8">
        <v>45868.609432870369</v>
      </c>
      <c r="B363" s="7">
        <v>45868.609432870369</v>
      </c>
      <c r="C363" s="9" t="s">
        <v>367</v>
      </c>
      <c r="D363" s="1" t="s">
        <v>368</v>
      </c>
      <c r="E363" s="1" t="s">
        <v>369</v>
      </c>
      <c r="F363" s="1" t="s">
        <v>372</v>
      </c>
      <c r="G363" s="1" t="s">
        <v>371</v>
      </c>
      <c r="H363" s="2">
        <v>50000</v>
      </c>
      <c r="I363" s="16">
        <v>0.99239999999999995</v>
      </c>
      <c r="J363" s="1" t="s">
        <v>369</v>
      </c>
      <c r="K363" s="6">
        <f>Registro_Ordini[[#This Row],[Numero]]*Registro_Ordini[[#This Row],[Prezzo]]</f>
        <v>49620</v>
      </c>
      <c r="L363" s="10">
        <v>1.0000001300000001</v>
      </c>
      <c r="M363" s="6">
        <f>Registro_Ordini[[#This Row],[Importo]]*Registro_Ordini[[#This Row],[Cambio]]</f>
        <v>49620.006450600005</v>
      </c>
      <c r="N363" s="1">
        <f ca="1">IFERROR(_xlfn.NUMBERVALUE(OFFSET(Origine,MATCH(Registro_Ordini[[#This Row],[Titolo]],Descrizioni,0),MATCH("Price",Intestazioni,0)-1,1,1)),"")</f>
        <v>0.99063333333000003</v>
      </c>
      <c r="O363" s="18">
        <f ca="1">IF(OR(Registro_Ordini[[#This Row],[Price]]=0,Registro_Ordini[[#This Row],[Price]]=""),"",IF(Registro_Ordini[[#This Row],[Tipo]]="Sell",Registro_Ordini[[#This Row],[Prezzo]]/Registro_Ordini[[#This Row],[Price]]-1,Registro_Ordini[[#This Row],[Price]]/Registro_Ordini[[#This Row],[Prezzo]]-1))</f>
        <v>-1.780196160822145E-3</v>
      </c>
      <c r="P363" s="15">
        <v>1.443578883388992E-2</v>
      </c>
      <c r="Q363" s="3">
        <v>0.14417834969263674</v>
      </c>
      <c r="R363" s="3">
        <v>0.39273890795382105</v>
      </c>
      <c r="S363" s="3">
        <v>0.39194902051455188</v>
      </c>
      <c r="T363" s="3">
        <v>0</v>
      </c>
      <c r="U363" s="3">
        <v>7.1133721838990319E-2</v>
      </c>
      <c r="V363" s="3"/>
      <c r="W363" s="4"/>
    </row>
    <row r="364" spans="1:23" s="1" customFormat="1" ht="24.95" customHeight="1" x14ac:dyDescent="0.2">
      <c r="A364" s="8">
        <v>45868.605173611111</v>
      </c>
      <c r="B364" s="7">
        <v>45868.605173611111</v>
      </c>
      <c r="C364" s="9" t="s">
        <v>373</v>
      </c>
      <c r="D364" s="1" t="s">
        <v>368</v>
      </c>
      <c r="E364" s="1" t="s">
        <v>369</v>
      </c>
      <c r="F364" s="1" t="s">
        <v>374</v>
      </c>
      <c r="G364" s="1" t="s">
        <v>371</v>
      </c>
      <c r="H364" s="2">
        <v>30000</v>
      </c>
      <c r="I364" s="16">
        <v>0.98599999999999999</v>
      </c>
      <c r="J364" s="1" t="s">
        <v>369</v>
      </c>
      <c r="K364" s="6">
        <f>Registro_Ordini[[#This Row],[Numero]]*Registro_Ordini[[#This Row],[Prezzo]]</f>
        <v>29580</v>
      </c>
      <c r="L364" s="10">
        <v>1.0000001300000001</v>
      </c>
      <c r="M364" s="6">
        <f>Registro_Ordini[[#This Row],[Importo]]*Registro_Ordini[[#This Row],[Cambio]]</f>
        <v>29580.003845400002</v>
      </c>
      <c r="N364" s="1">
        <f ca="1">IFERROR(_xlfn.NUMBERVALUE(OFFSET(Origine,MATCH(Registro_Ordini[[#This Row],[Titolo]],Descrizioni,0),MATCH("Price",Intestazioni,0)-1,1,1)),"")</f>
        <v>0.99599166667000005</v>
      </c>
      <c r="O364" s="18">
        <f ca="1">IF(OR(Registro_Ordini[[#This Row],[Price]]=0,Registro_Ordini[[#This Row],[Price]]=""),"",IF(Registro_Ordini[[#This Row],[Tipo]]="Sell",Registro_Ordini[[#This Row],[Prezzo]]/Registro_Ordini[[#This Row],[Price]]-1,Registro_Ordini[[#This Row],[Price]]/Registro_Ordini[[#This Row],[Prezzo]]-1))</f>
        <v>1.0133536176470725E-2</v>
      </c>
      <c r="P364" s="15">
        <v>4.1801491020024846E-2</v>
      </c>
      <c r="Q364" s="3">
        <v>0.6108478529238659</v>
      </c>
      <c r="R364" s="3">
        <v>0.16871569789506535</v>
      </c>
      <c r="S364" s="3">
        <v>0.17260638612955551</v>
      </c>
      <c r="T364" s="3">
        <v>0</v>
      </c>
      <c r="U364" s="3">
        <v>4.7830063051513216E-2</v>
      </c>
      <c r="V364" s="3"/>
      <c r="W364" s="4"/>
    </row>
    <row r="365" spans="1:23" s="1" customFormat="1" ht="24.95" customHeight="1" x14ac:dyDescent="0.2">
      <c r="A365" s="8">
        <v>45868.605162037034</v>
      </c>
      <c r="B365" s="7">
        <v>45868.605162037034</v>
      </c>
      <c r="C365" s="9" t="s">
        <v>375</v>
      </c>
      <c r="D365" s="1" t="s">
        <v>368</v>
      </c>
      <c r="E365" s="1" t="s">
        <v>369</v>
      </c>
      <c r="F365" s="1" t="s">
        <v>374</v>
      </c>
      <c r="G365" s="1" t="s">
        <v>371</v>
      </c>
      <c r="H365" s="2">
        <v>20000</v>
      </c>
      <c r="I365" s="16">
        <v>0.98599999999999999</v>
      </c>
      <c r="J365" s="1" t="s">
        <v>369</v>
      </c>
      <c r="K365" s="6">
        <f>Registro_Ordini[[#This Row],[Numero]]*Registro_Ordini[[#This Row],[Prezzo]]</f>
        <v>19720</v>
      </c>
      <c r="L365" s="10">
        <v>1.0000001300000001</v>
      </c>
      <c r="M365" s="6">
        <f>Registro_Ordini[[#This Row],[Importo]]*Registro_Ordini[[#This Row],[Cambio]]</f>
        <v>19720.002563600003</v>
      </c>
      <c r="N365" s="1">
        <f ca="1">IFERROR(_xlfn.NUMBERVALUE(OFFSET(Origine,MATCH(Registro_Ordini[[#This Row],[Titolo]],Descrizioni,0),MATCH("Price",Intestazioni,0)-1,1,1)),"")</f>
        <v>0.99599166667000005</v>
      </c>
      <c r="O365" s="18">
        <f ca="1">IF(OR(Registro_Ordini[[#This Row],[Price]]=0,Registro_Ordini[[#This Row],[Price]]=""),"",IF(Registro_Ordini[[#This Row],[Tipo]]="Sell",Registro_Ordini[[#This Row],[Prezzo]]/Registro_Ordini[[#This Row],[Price]]-1,Registro_Ordini[[#This Row],[Price]]/Registro_Ordini[[#This Row],[Prezzo]]-1))</f>
        <v>1.0133536176470725E-2</v>
      </c>
      <c r="P365" s="15">
        <v>2.3723362224974114E-2</v>
      </c>
      <c r="Q365" s="3">
        <v>0.12378349510285239</v>
      </c>
      <c r="R365" s="3">
        <v>0.37462901576546959</v>
      </c>
      <c r="S365" s="3">
        <v>0.39539717243393074</v>
      </c>
      <c r="T365" s="3">
        <v>0</v>
      </c>
      <c r="U365" s="3">
        <v>0.10619031669774734</v>
      </c>
      <c r="V365" s="3"/>
      <c r="W365" s="4"/>
    </row>
    <row r="366" spans="1:23" s="1" customFormat="1" ht="24.95" customHeight="1" x14ac:dyDescent="0.2">
      <c r="A366" s="8">
        <v>45868.605150462965</v>
      </c>
      <c r="B366" s="7">
        <v>45868.605150462965</v>
      </c>
      <c r="C366" s="9" t="s">
        <v>376</v>
      </c>
      <c r="D366" s="1" t="s">
        <v>368</v>
      </c>
      <c r="E366" s="1" t="s">
        <v>369</v>
      </c>
      <c r="F366" s="1" t="s">
        <v>374</v>
      </c>
      <c r="G366" s="1" t="s">
        <v>371</v>
      </c>
      <c r="H366" s="2">
        <v>10000</v>
      </c>
      <c r="I366" s="16">
        <v>0.98599999999999999</v>
      </c>
      <c r="J366" s="1" t="s">
        <v>369</v>
      </c>
      <c r="K366" s="6">
        <f>Registro_Ordini[[#This Row],[Numero]]*Registro_Ordini[[#This Row],[Prezzo]]</f>
        <v>9860</v>
      </c>
      <c r="L366" s="10">
        <v>1.0000001300000001</v>
      </c>
      <c r="M366" s="6">
        <f>Registro_Ordini[[#This Row],[Importo]]*Registro_Ordini[[#This Row],[Cambio]]</f>
        <v>9860.0012818000014</v>
      </c>
      <c r="N366" s="1">
        <f ca="1">IFERROR(_xlfn.NUMBERVALUE(OFFSET(Origine,MATCH(Registro_Ordini[[#This Row],[Titolo]],Descrizioni,0),MATCH("Price",Intestazioni,0)-1,1,1)),"")</f>
        <v>0.99599166667000005</v>
      </c>
      <c r="O366" s="18">
        <f ca="1">IF(OR(Registro_Ordini[[#This Row],[Price]]=0,Registro_Ordini[[#This Row],[Price]]=""),"",IF(Registro_Ordini[[#This Row],[Tipo]]="Sell",Registro_Ordini[[#This Row],[Prezzo]]/Registro_Ordini[[#This Row],[Price]]-1,Registro_Ordini[[#This Row],[Price]]/Registro_Ordini[[#This Row],[Prezzo]]-1))</f>
        <v>1.0133536176470725E-2</v>
      </c>
      <c r="P366" s="15">
        <v>3.4699776300708675E-2</v>
      </c>
      <c r="Q366" s="3">
        <v>0.12027082423438361</v>
      </c>
      <c r="R366" s="3">
        <v>0.29891229578573031</v>
      </c>
      <c r="S366" s="3">
        <v>0.45215170630184293</v>
      </c>
      <c r="T366" s="3">
        <v>0</v>
      </c>
      <c r="U366" s="3">
        <v>0.1286651736780432</v>
      </c>
      <c r="V366" s="3"/>
      <c r="W366" s="4"/>
    </row>
    <row r="367" spans="1:23" s="1" customFormat="1" ht="24.95" customHeight="1" x14ac:dyDescent="0.2">
      <c r="A367" s="8">
        <v>45868.605138888888</v>
      </c>
      <c r="B367" s="7">
        <v>45868.605138888888</v>
      </c>
      <c r="C367" s="9" t="s">
        <v>377</v>
      </c>
      <c r="D367" s="1" t="s">
        <v>368</v>
      </c>
      <c r="E367" s="1" t="s">
        <v>369</v>
      </c>
      <c r="F367" s="1" t="s">
        <v>374</v>
      </c>
      <c r="G367" s="1" t="s">
        <v>371</v>
      </c>
      <c r="H367" s="2">
        <v>50000</v>
      </c>
      <c r="I367" s="16">
        <v>0.98599999999999999</v>
      </c>
      <c r="J367" s="1" t="s">
        <v>369</v>
      </c>
      <c r="K367" s="6">
        <f>Registro_Ordini[[#This Row],[Numero]]*Registro_Ordini[[#This Row],[Prezzo]]</f>
        <v>49300</v>
      </c>
      <c r="L367" s="10">
        <v>1.0000001300000001</v>
      </c>
      <c r="M367" s="6">
        <f>Registro_Ordini[[#This Row],[Importo]]*Registro_Ordini[[#This Row],[Cambio]]</f>
        <v>49300.006409000001</v>
      </c>
      <c r="N367" s="1">
        <f ca="1">IFERROR(_xlfn.NUMBERVALUE(OFFSET(Origine,MATCH(Registro_Ordini[[#This Row],[Titolo]],Descrizioni,0),MATCH("Price",Intestazioni,0)-1,1,1)),"")</f>
        <v>0.99599166667000005</v>
      </c>
      <c r="O367" s="18">
        <f ca="1">IF(OR(Registro_Ordini[[#This Row],[Price]]=0,Registro_Ordini[[#This Row],[Price]]=""),"",IF(Registro_Ordini[[#This Row],[Tipo]]="Sell",Registro_Ordini[[#This Row],[Prezzo]]/Registro_Ordini[[#This Row],[Price]]-1,Registro_Ordini[[#This Row],[Price]]/Registro_Ordini[[#This Row],[Prezzo]]-1))</f>
        <v>1.0133536176470725E-2</v>
      </c>
      <c r="P367" s="15">
        <v>3.0404575538841655E-2</v>
      </c>
      <c r="Q367" s="3">
        <v>0.11458676910586718</v>
      </c>
      <c r="R367" s="3">
        <v>0.35269224538404909</v>
      </c>
      <c r="S367" s="3">
        <v>0.42617545873340446</v>
      </c>
      <c r="T367" s="3">
        <v>0</v>
      </c>
      <c r="U367" s="3">
        <v>0.10654552677667921</v>
      </c>
      <c r="V367" s="3"/>
      <c r="W367" s="4"/>
    </row>
    <row r="368" spans="1:23" s="1" customFormat="1" ht="24.95" customHeight="1" x14ac:dyDescent="0.2">
      <c r="A368" s="8">
        <v>45868.605127314811</v>
      </c>
      <c r="B368" s="7">
        <v>45868.605138888888</v>
      </c>
      <c r="C368" s="9" t="s">
        <v>378</v>
      </c>
      <c r="D368" s="1" t="s">
        <v>368</v>
      </c>
      <c r="E368" s="1" t="s">
        <v>369</v>
      </c>
      <c r="F368" s="1" t="s">
        <v>374</v>
      </c>
      <c r="G368" s="1" t="s">
        <v>371</v>
      </c>
      <c r="H368" s="2">
        <v>15000</v>
      </c>
      <c r="I368" s="16">
        <v>0.98599999999999999</v>
      </c>
      <c r="J368" s="1" t="s">
        <v>369</v>
      </c>
      <c r="K368" s="6">
        <f>Registro_Ordini[[#This Row],[Numero]]*Registro_Ordini[[#This Row],[Prezzo]]</f>
        <v>14790</v>
      </c>
      <c r="L368" s="10">
        <v>1.0000001300000001</v>
      </c>
      <c r="M368" s="6">
        <f>Registro_Ordini[[#This Row],[Importo]]*Registro_Ordini[[#This Row],[Cambio]]</f>
        <v>14790.001922700001</v>
      </c>
      <c r="N368" s="1">
        <f ca="1">IFERROR(_xlfn.NUMBERVALUE(OFFSET(Origine,MATCH(Registro_Ordini[[#This Row],[Titolo]],Descrizioni,0),MATCH("Price",Intestazioni,0)-1,1,1)),"")</f>
        <v>0.99599166667000005</v>
      </c>
      <c r="O368" s="18">
        <f ca="1">IF(OR(Registro_Ordini[[#This Row],[Price]]=0,Registro_Ordini[[#This Row],[Price]]=""),"",IF(Registro_Ordini[[#This Row],[Tipo]]="Sell",Registro_Ordini[[#This Row],[Prezzo]]/Registro_Ordini[[#This Row],[Price]]-1,Registro_Ordini[[#This Row],[Price]]/Registro_Ordini[[#This Row],[Prezzo]]-1))</f>
        <v>1.0133536176470725E-2</v>
      </c>
      <c r="P368" s="15">
        <v>2.8036430286865473E-2</v>
      </c>
      <c r="Q368" s="3">
        <v>0.11940162278717784</v>
      </c>
      <c r="R368" s="3">
        <v>0.34226079138939286</v>
      </c>
      <c r="S368" s="3">
        <v>0.43739664471973955</v>
      </c>
      <c r="T368" s="3">
        <v>0</v>
      </c>
      <c r="U368" s="3">
        <v>0.1009409411036896</v>
      </c>
      <c r="V368" s="3"/>
      <c r="W368" s="4"/>
    </row>
    <row r="369" spans="1:23" s="1" customFormat="1" ht="24.95" customHeight="1" x14ac:dyDescent="0.2">
      <c r="A369" s="8">
        <v>45868.583587962959</v>
      </c>
      <c r="B369" s="7">
        <v>45868.583587962959</v>
      </c>
      <c r="C369" s="9" t="s">
        <v>379</v>
      </c>
      <c r="D369" s="1" t="s">
        <v>368</v>
      </c>
      <c r="E369" s="1" t="s">
        <v>363</v>
      </c>
      <c r="F369" s="1" t="s">
        <v>380</v>
      </c>
      <c r="G369" s="1" t="s">
        <v>371</v>
      </c>
      <c r="H369" s="2">
        <v>15000</v>
      </c>
      <c r="I369" s="16">
        <v>0.86599999999999999</v>
      </c>
      <c r="J369" s="1" t="s">
        <v>381</v>
      </c>
      <c r="K369" s="6">
        <f>Registro_Ordini[[#This Row],[Numero]]*Registro_Ordini[[#This Row],[Prezzo]]</f>
        <v>12990</v>
      </c>
      <c r="L369" s="10">
        <v>1</v>
      </c>
      <c r="M369" s="6">
        <f>Registro_Ordini[[#This Row],[Importo]]*Registro_Ordini[[#This Row],[Cambio]]</f>
        <v>12990</v>
      </c>
      <c r="N369" s="1" t="str">
        <f ca="1">IFERROR(_xlfn.NUMBERVALUE(OFFSET(Origine,MATCH(Registro_Ordini[[#This Row],[Titolo]],Descrizioni,0),MATCH("Price",Intestazioni,0)-1,1,1)),"")</f>
        <v/>
      </c>
      <c r="O369" s="18" t="str">
        <f ca="1">IF(OR(Registro_Ordini[[#This Row],[Price]]=0,Registro_Ordini[[#This Row],[Price]]=""),"",IF(Registro_Ordini[[#This Row],[Tipo]]="Sell",Registro_Ordini[[#This Row],[Prezzo]]/Registro_Ordini[[#This Row],[Price]]-1,Registro_Ordini[[#This Row],[Price]]/Registro_Ordini[[#This Row],[Prezzo]]-1))</f>
        <v/>
      </c>
      <c r="P369" s="15">
        <v>2.2687436593185884E-2</v>
      </c>
      <c r="Q369" s="3">
        <v>0.11372374990146576</v>
      </c>
      <c r="R369" s="3">
        <v>0.35569766865795088</v>
      </c>
      <c r="S369" s="3">
        <v>0.41790750573769558</v>
      </c>
      <c r="T369" s="3">
        <v>0</v>
      </c>
      <c r="U369" s="3">
        <v>0.1126710757028878</v>
      </c>
      <c r="V369" s="3"/>
      <c r="W369" s="4"/>
    </row>
    <row r="370" spans="1:23" s="1" customFormat="1" ht="24.95" customHeight="1" x14ac:dyDescent="0.2">
      <c r="A370" s="8">
        <v>45868.583564814813</v>
      </c>
      <c r="B370" s="7">
        <v>45868.583564814813</v>
      </c>
      <c r="C370" s="9" t="s">
        <v>382</v>
      </c>
      <c r="D370" s="1" t="s">
        <v>368</v>
      </c>
      <c r="E370" s="1" t="s">
        <v>363</v>
      </c>
      <c r="F370" s="1" t="s">
        <v>380</v>
      </c>
      <c r="G370" s="1" t="s">
        <v>371</v>
      </c>
      <c r="H370" s="2">
        <v>25000</v>
      </c>
      <c r="I370" s="16">
        <v>0.86599999999999999</v>
      </c>
      <c r="J370" s="1" t="s">
        <v>381</v>
      </c>
      <c r="K370" s="6">
        <f>Registro_Ordini[[#This Row],[Numero]]*Registro_Ordini[[#This Row],[Prezzo]]</f>
        <v>21650</v>
      </c>
      <c r="L370" s="10">
        <v>1</v>
      </c>
      <c r="M370" s="6">
        <f>Registro_Ordini[[#This Row],[Importo]]*Registro_Ordini[[#This Row],[Cambio]]</f>
        <v>21650</v>
      </c>
      <c r="N370" s="1" t="str">
        <f ca="1">IFERROR(_xlfn.NUMBERVALUE(OFFSET(Origine,MATCH(Registro_Ordini[[#This Row],[Titolo]],Descrizioni,0),MATCH("Price",Intestazioni,0)-1,1,1)),"")</f>
        <v/>
      </c>
      <c r="O370" s="18" t="str">
        <f ca="1">IF(OR(Registro_Ordini[[#This Row],[Price]]=0,Registro_Ordini[[#This Row],[Price]]=""),"",IF(Registro_Ordini[[#This Row],[Tipo]]="Sell",Registro_Ordini[[#This Row],[Prezzo]]/Registro_Ordini[[#This Row],[Price]]-1,Registro_Ordini[[#This Row],[Price]]/Registro_Ordini[[#This Row],[Prezzo]]-1))</f>
        <v/>
      </c>
      <c r="P370" s="15">
        <v>2.0755103927536194E-2</v>
      </c>
      <c r="Q370" s="3">
        <v>0.11516882934768823</v>
      </c>
      <c r="R370" s="3">
        <v>0.34528066230920251</v>
      </c>
      <c r="S370" s="3">
        <v>0.42256793593043901</v>
      </c>
      <c r="T370" s="3">
        <v>0</v>
      </c>
      <c r="U370" s="3">
        <v>0.11698257241267029</v>
      </c>
      <c r="V370" s="3"/>
      <c r="W370" s="4"/>
    </row>
    <row r="371" spans="1:23" s="1" customFormat="1" ht="24.95" customHeight="1" x14ac:dyDescent="0.2">
      <c r="A371" s="8">
        <v>45868.583541666667</v>
      </c>
      <c r="B371" s="7">
        <v>45868.583541666667</v>
      </c>
      <c r="C371" s="9" t="s">
        <v>383</v>
      </c>
      <c r="D371" s="1" t="s">
        <v>368</v>
      </c>
      <c r="E371" s="1" t="s">
        <v>363</v>
      </c>
      <c r="F371" s="1" t="s">
        <v>380</v>
      </c>
      <c r="G371" s="1" t="s">
        <v>371</v>
      </c>
      <c r="H371" s="2">
        <v>20000</v>
      </c>
      <c r="I371" s="16">
        <v>0.86599999999999999</v>
      </c>
      <c r="J371" s="1" t="s">
        <v>381</v>
      </c>
      <c r="K371" s="6">
        <f>Registro_Ordini[[#This Row],[Numero]]*Registro_Ordini[[#This Row],[Prezzo]]</f>
        <v>17320</v>
      </c>
      <c r="L371" s="10">
        <v>1</v>
      </c>
      <c r="M371" s="6">
        <f>Registro_Ordini[[#This Row],[Importo]]*Registro_Ordini[[#This Row],[Cambio]]</f>
        <v>17320</v>
      </c>
      <c r="N371" s="1" t="str">
        <f ca="1">IFERROR(_xlfn.NUMBERVALUE(OFFSET(Origine,MATCH(Registro_Ordini[[#This Row],[Titolo]],Descrizioni,0),MATCH("Price",Intestazioni,0)-1,1,1)),"")</f>
        <v/>
      </c>
      <c r="O371" s="18" t="str">
        <f ca="1">IF(OR(Registro_Ordini[[#This Row],[Price]]=0,Registro_Ordini[[#This Row],[Price]]=""),"",IF(Registro_Ordini[[#This Row],[Tipo]]="Sell",Registro_Ordini[[#This Row],[Prezzo]]/Registro_Ordini[[#This Row],[Price]]-1,Registro_Ordini[[#This Row],[Price]]/Registro_Ordini[[#This Row],[Prezzo]]-1))</f>
        <v/>
      </c>
      <c r="P371" s="15">
        <v>2.7280201466224275E-2</v>
      </c>
      <c r="Q371" s="3">
        <v>0.10632722938765675</v>
      </c>
      <c r="R371" s="3">
        <v>0.35228955985071714</v>
      </c>
      <c r="S371" s="3">
        <v>0.42856680451623624</v>
      </c>
      <c r="T371" s="3">
        <v>0</v>
      </c>
      <c r="U371" s="3">
        <v>0.11281640624538995</v>
      </c>
      <c r="V371" s="3"/>
      <c r="W371" s="4"/>
    </row>
    <row r="372" spans="1:23" s="1" customFormat="1" ht="24.95" customHeight="1" x14ac:dyDescent="0.2">
      <c r="A372" s="8">
        <v>45868.583425925928</v>
      </c>
      <c r="B372" s="7">
        <v>45868.583425925928</v>
      </c>
      <c r="C372" s="9" t="s">
        <v>106</v>
      </c>
      <c r="D372" s="1" t="s">
        <v>368</v>
      </c>
      <c r="E372" s="1" t="s">
        <v>363</v>
      </c>
      <c r="F372" s="1" t="s">
        <v>384</v>
      </c>
      <c r="G372" s="1" t="s">
        <v>371</v>
      </c>
      <c r="H372" s="2">
        <v>5000</v>
      </c>
      <c r="I372" s="16">
        <v>0.86250000000000004</v>
      </c>
      <c r="J372" s="1" t="s">
        <v>381</v>
      </c>
      <c r="K372" s="6">
        <f>Registro_Ordini[[#This Row],[Numero]]*Registro_Ordini[[#This Row],[Prezzo]]</f>
        <v>4312.5</v>
      </c>
      <c r="L372" s="10">
        <v>1</v>
      </c>
      <c r="M372" s="6">
        <f>Registro_Ordini[[#This Row],[Importo]]*Registro_Ordini[[#This Row],[Cambio]]</f>
        <v>4312.5</v>
      </c>
      <c r="N372" s="1">
        <f ca="1">IFERROR(_xlfn.NUMBERVALUE(OFFSET(Origine,MATCH(Registro_Ordini[[#This Row],[Titolo]],Descrizioni,0),MATCH("Price",Intestazioni,0)-1,1,1)),"")</f>
        <v>0.86787904110000003</v>
      </c>
      <c r="O372" s="18">
        <f ca="1">IF(OR(Registro_Ordini[[#This Row],[Price]]=0,Registro_Ordini[[#This Row],[Price]]=""),"",IF(Registro_Ordini[[#This Row],[Tipo]]="Sell",Registro_Ordini[[#This Row],[Prezzo]]/Registro_Ordini[[#This Row],[Price]]-1,Registro_Ordini[[#This Row],[Price]]/Registro_Ordini[[#This Row],[Prezzo]]-1))</f>
        <v>6.2365693913042364E-3</v>
      </c>
      <c r="P372" s="15">
        <v>3.0350853138794518E-2</v>
      </c>
      <c r="Q372" s="3">
        <v>0.10532243289028846</v>
      </c>
      <c r="R372" s="3">
        <v>0.28593029245717644</v>
      </c>
      <c r="S372" s="3">
        <v>0.46603716203482093</v>
      </c>
      <c r="T372" s="3">
        <v>0</v>
      </c>
      <c r="U372" s="3">
        <v>0.14271011261771419</v>
      </c>
      <c r="V372" s="3"/>
      <c r="W372" s="4"/>
    </row>
    <row r="373" spans="1:23" s="1" customFormat="1" ht="24.95" customHeight="1" x14ac:dyDescent="0.2">
      <c r="A373" s="8">
        <v>45868.583402777775</v>
      </c>
      <c r="B373" s="7">
        <v>45868.583402777775</v>
      </c>
      <c r="C373" s="9" t="s">
        <v>379</v>
      </c>
      <c r="D373" s="1" t="s">
        <v>368</v>
      </c>
      <c r="E373" s="1" t="s">
        <v>363</v>
      </c>
      <c r="F373" s="1" t="s">
        <v>384</v>
      </c>
      <c r="G373" s="1" t="s">
        <v>371</v>
      </c>
      <c r="H373" s="2">
        <v>15000</v>
      </c>
      <c r="I373" s="16">
        <v>0.86250000000000004</v>
      </c>
      <c r="J373" s="1" t="s">
        <v>381</v>
      </c>
      <c r="K373" s="6">
        <f>Registro_Ordini[[#This Row],[Numero]]*Registro_Ordini[[#This Row],[Prezzo]]</f>
        <v>12937.5</v>
      </c>
      <c r="L373" s="10">
        <v>1</v>
      </c>
      <c r="M373" s="6">
        <f>Registro_Ordini[[#This Row],[Importo]]*Registro_Ordini[[#This Row],[Cambio]]</f>
        <v>12937.5</v>
      </c>
      <c r="N373" s="1">
        <f ca="1">IFERROR(_xlfn.NUMBERVALUE(OFFSET(Origine,MATCH(Registro_Ordini[[#This Row],[Titolo]],Descrizioni,0),MATCH("Price",Intestazioni,0)-1,1,1)),"")</f>
        <v>0.86787904110000003</v>
      </c>
      <c r="O373" s="18">
        <f ca="1">IF(OR(Registro_Ordini[[#This Row],[Price]]=0,Registro_Ordini[[#This Row],[Price]]=""),"",IF(Registro_Ordini[[#This Row],[Tipo]]="Sell",Registro_Ordini[[#This Row],[Prezzo]]/Registro_Ordini[[#This Row],[Price]]-1,Registro_Ordini[[#This Row],[Price]]/Registro_Ordini[[#This Row],[Prezzo]]-1))</f>
        <v>6.2365693913042364E-3</v>
      </c>
      <c r="P373" s="15">
        <v>2.2595743720118737E-2</v>
      </c>
      <c r="Q373" s="3">
        <v>0.13641118649465164</v>
      </c>
      <c r="R373" s="3">
        <v>0.33301023206476504</v>
      </c>
      <c r="S373" s="3">
        <v>0.41790750573769558</v>
      </c>
      <c r="T373" s="3">
        <v>0</v>
      </c>
      <c r="U373" s="3">
        <v>0.1126710757028878</v>
      </c>
      <c r="V373" s="3"/>
      <c r="W373" s="4"/>
    </row>
    <row r="374" spans="1:23" s="1" customFormat="1" ht="24.95" customHeight="1" x14ac:dyDescent="0.2">
      <c r="A374" s="8">
        <v>45868.583379629628</v>
      </c>
      <c r="B374" s="7">
        <v>45868.583379629628</v>
      </c>
      <c r="C374" s="9" t="s">
        <v>382</v>
      </c>
      <c r="D374" s="1" t="s">
        <v>368</v>
      </c>
      <c r="E374" s="1" t="s">
        <v>363</v>
      </c>
      <c r="F374" s="1" t="s">
        <v>384</v>
      </c>
      <c r="G374" s="1" t="s">
        <v>371</v>
      </c>
      <c r="H374" s="2">
        <v>25000</v>
      </c>
      <c r="I374" s="16">
        <v>0.86250000000000004</v>
      </c>
      <c r="J374" s="1" t="s">
        <v>381</v>
      </c>
      <c r="K374" s="6">
        <f>Registro_Ordini[[#This Row],[Numero]]*Registro_Ordini[[#This Row],[Prezzo]]</f>
        <v>21562.5</v>
      </c>
      <c r="L374" s="10">
        <v>1</v>
      </c>
      <c r="M374" s="6">
        <f>Registro_Ordini[[#This Row],[Importo]]*Registro_Ordini[[#This Row],[Cambio]]</f>
        <v>21562.5</v>
      </c>
      <c r="N374" s="1">
        <f ca="1">IFERROR(_xlfn.NUMBERVALUE(OFFSET(Origine,MATCH(Registro_Ordini[[#This Row],[Titolo]],Descrizioni,0),MATCH("Price",Intestazioni,0)-1,1,1)),"")</f>
        <v>0.86787904110000003</v>
      </c>
      <c r="O374" s="18">
        <f ca="1">IF(OR(Registro_Ordini[[#This Row],[Price]]=0,Registro_Ordini[[#This Row],[Price]]=""),"",IF(Registro_Ordini[[#This Row],[Tipo]]="Sell",Registro_Ordini[[#This Row],[Prezzo]]/Registro_Ordini[[#This Row],[Price]]-1,Registro_Ordini[[#This Row],[Price]]/Registro_Ordini[[#This Row],[Prezzo]]-1))</f>
        <v>6.2365693913042364E-3</v>
      </c>
      <c r="P374" s="15">
        <v>2.0671220713048461E-2</v>
      </c>
      <c r="Q374" s="3">
        <v>0.13592393327522442</v>
      </c>
      <c r="R374" s="3">
        <v>0.32452555838166636</v>
      </c>
      <c r="S374" s="3">
        <v>0.42256793593043901</v>
      </c>
      <c r="T374" s="3">
        <v>0</v>
      </c>
      <c r="U374" s="3">
        <v>0.11698257241267029</v>
      </c>
      <c r="V374" s="3"/>
      <c r="W374" s="4"/>
    </row>
    <row r="375" spans="1:23" s="1" customFormat="1" ht="24.95" customHeight="1" x14ac:dyDescent="0.2">
      <c r="A375" s="8">
        <v>45868.583344907405</v>
      </c>
      <c r="B375" s="7">
        <v>45868.583344907405</v>
      </c>
      <c r="C375" s="9" t="s">
        <v>383</v>
      </c>
      <c r="D375" s="1" t="s">
        <v>368</v>
      </c>
      <c r="E375" s="1" t="s">
        <v>363</v>
      </c>
      <c r="F375" s="1" t="s">
        <v>384</v>
      </c>
      <c r="G375" s="1" t="s">
        <v>371</v>
      </c>
      <c r="H375" s="2">
        <v>20000</v>
      </c>
      <c r="I375" s="16">
        <v>0.86250000000000004</v>
      </c>
      <c r="J375" s="1" t="s">
        <v>381</v>
      </c>
      <c r="K375" s="6">
        <f>Registro_Ordini[[#This Row],[Numero]]*Registro_Ordini[[#This Row],[Prezzo]]</f>
        <v>17250</v>
      </c>
      <c r="L375" s="10">
        <v>1</v>
      </c>
      <c r="M375" s="6">
        <f>Registro_Ordini[[#This Row],[Importo]]*Registro_Ordini[[#This Row],[Cambio]]</f>
        <v>17250</v>
      </c>
      <c r="N375" s="1">
        <f ca="1">IFERROR(_xlfn.NUMBERVALUE(OFFSET(Origine,MATCH(Registro_Ordini[[#This Row],[Titolo]],Descrizioni,0),MATCH("Price",Intestazioni,0)-1,1,1)),"")</f>
        <v>0.86787904110000003</v>
      </c>
      <c r="O375" s="18">
        <f ca="1">IF(OR(Registro_Ordini[[#This Row],[Price]]=0,Registro_Ordini[[#This Row],[Price]]=""),"",IF(Registro_Ordini[[#This Row],[Tipo]]="Sell",Registro_Ordini[[#This Row],[Prezzo]]/Registro_Ordini[[#This Row],[Price]]-1,Registro_Ordini[[#This Row],[Price]]/Registro_Ordini[[#This Row],[Prezzo]]-1))</f>
        <v>6.2365693913042364E-3</v>
      </c>
      <c r="P375" s="15">
        <v>2.7169946610413897E-2</v>
      </c>
      <c r="Q375" s="3">
        <v>0.13360743085388102</v>
      </c>
      <c r="R375" s="3">
        <v>0.32500935838449285</v>
      </c>
      <c r="S375" s="3">
        <v>0.42856680451623624</v>
      </c>
      <c r="T375" s="3">
        <v>0</v>
      </c>
      <c r="U375" s="3">
        <v>0.11281640624538995</v>
      </c>
      <c r="V375" s="3"/>
      <c r="W375" s="4"/>
    </row>
    <row r="376" spans="1:23" s="1" customFormat="1" ht="24.95" customHeight="1" x14ac:dyDescent="0.2">
      <c r="A376" s="8">
        <v>45868.583194444444</v>
      </c>
      <c r="B376" s="7">
        <v>45868.583194444444</v>
      </c>
      <c r="C376" s="9" t="s">
        <v>385</v>
      </c>
      <c r="D376" s="1" t="s">
        <v>368</v>
      </c>
      <c r="E376" s="1" t="s">
        <v>363</v>
      </c>
      <c r="F376" s="1" t="s">
        <v>384</v>
      </c>
      <c r="G376" s="1" t="s">
        <v>371</v>
      </c>
      <c r="H376" s="2">
        <v>5000</v>
      </c>
      <c r="I376" s="16">
        <v>0.86250000000000004</v>
      </c>
      <c r="J376" s="1" t="s">
        <v>381</v>
      </c>
      <c r="K376" s="6">
        <f>Registro_Ordini[[#This Row],[Numero]]*Registro_Ordini[[#This Row],[Prezzo]]</f>
        <v>4312.5</v>
      </c>
      <c r="L376" s="10">
        <v>1</v>
      </c>
      <c r="M376" s="6">
        <f>Registro_Ordini[[#This Row],[Importo]]*Registro_Ordini[[#This Row],[Cambio]]</f>
        <v>4312.5</v>
      </c>
      <c r="N376" s="1">
        <f ca="1">IFERROR(_xlfn.NUMBERVALUE(OFFSET(Origine,MATCH(Registro_Ordini[[#This Row],[Titolo]],Descrizioni,0),MATCH("Price",Intestazioni,0)-1,1,1)),"")</f>
        <v>0.86787904110000003</v>
      </c>
      <c r="O376" s="18">
        <f ca="1">IF(OR(Registro_Ordini[[#This Row],[Price]]=0,Registro_Ordini[[#This Row],[Price]]=""),"",IF(Registro_Ordini[[#This Row],[Tipo]]="Sell",Registro_Ordini[[#This Row],[Prezzo]]/Registro_Ordini[[#This Row],[Price]]-1,Registro_Ordini[[#This Row],[Price]]/Registro_Ordini[[#This Row],[Prezzo]]-1))</f>
        <v>6.2365693913042364E-3</v>
      </c>
      <c r="P376" s="15">
        <v>3.3850870086144381E-2</v>
      </c>
      <c r="Q376" s="3">
        <v>2.9425186158162881E-2</v>
      </c>
      <c r="R376" s="3">
        <v>0.59134074932607639</v>
      </c>
      <c r="S376" s="3">
        <v>0.23038129007133404</v>
      </c>
      <c r="T376" s="3">
        <v>5.2861518726523067E-2</v>
      </c>
      <c r="U376" s="3">
        <v>9.5991255717903679E-2</v>
      </c>
      <c r="V376" s="3"/>
      <c r="W376" s="4"/>
    </row>
    <row r="377" spans="1:23" s="1" customFormat="1" ht="24.95" customHeight="1" x14ac:dyDescent="0.2">
      <c r="A377" s="8">
        <v>45868.583148148151</v>
      </c>
      <c r="B377" s="7">
        <v>45868.583148148151</v>
      </c>
      <c r="C377" s="9" t="s">
        <v>385</v>
      </c>
      <c r="D377" s="1" t="s">
        <v>368</v>
      </c>
      <c r="E377" s="1" t="s">
        <v>363</v>
      </c>
      <c r="F377" s="1" t="s">
        <v>380</v>
      </c>
      <c r="G377" s="1" t="s">
        <v>371</v>
      </c>
      <c r="H377" s="2">
        <v>5000</v>
      </c>
      <c r="I377" s="16">
        <v>0.86599999999999999</v>
      </c>
      <c r="J377" s="1" t="s">
        <v>381</v>
      </c>
      <c r="K377" s="6">
        <f>Registro_Ordini[[#This Row],[Numero]]*Registro_Ordini[[#This Row],[Prezzo]]</f>
        <v>4330</v>
      </c>
      <c r="L377" s="10">
        <v>1</v>
      </c>
      <c r="M377" s="6">
        <f>Registro_Ordini[[#This Row],[Importo]]*Registro_Ordini[[#This Row],[Cambio]]</f>
        <v>4330</v>
      </c>
      <c r="N377" s="1" t="str">
        <f ca="1">IFERROR(_xlfn.NUMBERVALUE(OFFSET(Origine,MATCH(Registro_Ordini[[#This Row],[Titolo]],Descrizioni,0),MATCH("Price",Intestazioni,0)-1,1,1)),"")</f>
        <v/>
      </c>
      <c r="O377" s="18" t="str">
        <f ca="1">IF(OR(Registro_Ordini[[#This Row],[Price]]=0,Registro_Ordini[[#This Row],[Price]]=""),"",IF(Registro_Ordini[[#This Row],[Tipo]]="Sell",Registro_Ordini[[#This Row],[Prezzo]]/Registro_Ordini[[#This Row],[Price]]-1,Registro_Ordini[[#This Row],[Price]]/Registro_Ordini[[#This Row],[Prezzo]]-1))</f>
        <v/>
      </c>
      <c r="P377" s="15">
        <v>3.3988235935769315E-2</v>
      </c>
      <c r="Q377" s="3">
        <v>6.3276056244307266E-2</v>
      </c>
      <c r="R377" s="3">
        <v>0.55748987923993198</v>
      </c>
      <c r="S377" s="3">
        <v>0.23038129007133404</v>
      </c>
      <c r="T377" s="3">
        <v>5.2861518726523067E-2</v>
      </c>
      <c r="U377" s="3">
        <v>9.5991255717903679E-2</v>
      </c>
      <c r="V377" s="3"/>
      <c r="W377" s="4"/>
    </row>
    <row r="378" spans="1:23" s="1" customFormat="1" ht="24.95" customHeight="1" x14ac:dyDescent="0.2">
      <c r="A378" s="8">
        <v>45868.500104166669</v>
      </c>
      <c r="B378" s="7">
        <v>45868.500104166669</v>
      </c>
      <c r="C378" s="9" t="s">
        <v>106</v>
      </c>
      <c r="D378" s="1" t="s">
        <v>368</v>
      </c>
      <c r="E378" s="1" t="s">
        <v>363</v>
      </c>
      <c r="F378" s="1" t="s">
        <v>386</v>
      </c>
      <c r="G378" s="1" t="s">
        <v>371</v>
      </c>
      <c r="H378" s="2">
        <v>5000</v>
      </c>
      <c r="I378" s="16">
        <v>0.82240000000000002</v>
      </c>
      <c r="J378" s="1" t="s">
        <v>381</v>
      </c>
      <c r="K378" s="6">
        <f>Registro_Ordini[[#This Row],[Numero]]*Registro_Ordini[[#This Row],[Prezzo]]</f>
        <v>4112</v>
      </c>
      <c r="L378" s="10">
        <v>1</v>
      </c>
      <c r="M378" s="6">
        <f>Registro_Ordini[[#This Row],[Importo]]*Registro_Ordini[[#This Row],[Cambio]]</f>
        <v>4112</v>
      </c>
      <c r="N378" s="1">
        <f ca="1">IFERROR(_xlfn.NUMBERVALUE(OFFSET(Origine,MATCH(Registro_Ordini[[#This Row],[Titolo]],Descrizioni,0),MATCH("Price",Intestazioni,0)-1,1,1)),"")</f>
        <v>0.84031013699000001</v>
      </c>
      <c r="O378" s="18">
        <f ca="1">IF(OR(Registro_Ordini[[#This Row],[Price]]=0,Registro_Ordini[[#This Row],[Price]]=""),"",IF(Registro_Ordini[[#This Row],[Tipo]]="Sell",Registro_Ordini[[#This Row],[Prezzo]]/Registro_Ordini[[#This Row],[Price]]-1,Registro_Ordini[[#This Row],[Price]]/Registro_Ordini[[#This Row],[Prezzo]]-1))</f>
        <v>2.1777890308852133E-2</v>
      </c>
      <c r="P378" s="15">
        <v>2.9013524617526567E-2</v>
      </c>
      <c r="Q378" s="3">
        <v>0.13412612673277813</v>
      </c>
      <c r="R378" s="3">
        <v>0.25589883239179895</v>
      </c>
      <c r="S378" s="3">
        <v>0.46687286887817114</v>
      </c>
      <c r="T378" s="3">
        <v>0</v>
      </c>
      <c r="U378" s="3">
        <v>0.14310217199725184</v>
      </c>
      <c r="V378" s="3"/>
      <c r="W378" s="4"/>
    </row>
    <row r="379" spans="1:23" s="1" customFormat="1" ht="24.95" customHeight="1" x14ac:dyDescent="0.2">
      <c r="A379" s="8">
        <v>45868.500081018516</v>
      </c>
      <c r="B379" s="7">
        <v>45868.500081018516</v>
      </c>
      <c r="C379" s="9" t="s">
        <v>379</v>
      </c>
      <c r="D379" s="1" t="s">
        <v>368</v>
      </c>
      <c r="E379" s="1" t="s">
        <v>363</v>
      </c>
      <c r="F379" s="1" t="s">
        <v>386</v>
      </c>
      <c r="G379" s="1" t="s">
        <v>371</v>
      </c>
      <c r="H379" s="2">
        <v>15000</v>
      </c>
      <c r="I379" s="16">
        <v>0.82240000000000002</v>
      </c>
      <c r="J379" s="1" t="s">
        <v>381</v>
      </c>
      <c r="K379" s="6">
        <f>Registro_Ordini[[#This Row],[Numero]]*Registro_Ordini[[#This Row],[Prezzo]]</f>
        <v>12336</v>
      </c>
      <c r="L379" s="10">
        <v>1</v>
      </c>
      <c r="M379" s="6">
        <f>Registro_Ordini[[#This Row],[Importo]]*Registro_Ordini[[#This Row],[Cambio]]</f>
        <v>12336</v>
      </c>
      <c r="N379" s="1">
        <f ca="1">IFERROR(_xlfn.NUMBERVALUE(OFFSET(Origine,MATCH(Registro_Ordini[[#This Row],[Titolo]],Descrizioni,0),MATCH("Price",Intestazioni,0)-1,1,1)),"")</f>
        <v>0.84031013699000001</v>
      </c>
      <c r="O379" s="18">
        <f ca="1">IF(OR(Registro_Ordini[[#This Row],[Price]]=0,Registro_Ordini[[#This Row],[Price]]=""),"",IF(Registro_Ordini[[#This Row],[Tipo]]="Sell",Registro_Ordini[[#This Row],[Prezzo]]/Registro_Ordini[[#This Row],[Price]]-1,Registro_Ordini[[#This Row],[Price]]/Registro_Ordini[[#This Row],[Prezzo]]-1))</f>
        <v>2.1777890308852133E-2</v>
      </c>
      <c r="P379" s="15">
        <v>2.1552626365269917E-2</v>
      </c>
      <c r="Q379" s="3">
        <v>0.15934168599323875</v>
      </c>
      <c r="R379" s="3">
        <v>0.31025918149966208</v>
      </c>
      <c r="S379" s="3">
        <v>0.41784487280534</v>
      </c>
      <c r="T379" s="3">
        <v>0</v>
      </c>
      <c r="U379" s="3">
        <v>0.11255425970175922</v>
      </c>
      <c r="V379" s="3"/>
      <c r="W379" s="4"/>
    </row>
    <row r="380" spans="1:23" s="1" customFormat="1" ht="24.95" customHeight="1" x14ac:dyDescent="0.2">
      <c r="A380" s="8">
        <v>45868.500057870369</v>
      </c>
      <c r="B380" s="7">
        <v>45868.500057870369</v>
      </c>
      <c r="C380" s="9" t="s">
        <v>382</v>
      </c>
      <c r="D380" s="1" t="s">
        <v>368</v>
      </c>
      <c r="E380" s="1" t="s">
        <v>363</v>
      </c>
      <c r="F380" s="1" t="s">
        <v>386</v>
      </c>
      <c r="G380" s="1" t="s">
        <v>371</v>
      </c>
      <c r="H380" s="2">
        <v>25000</v>
      </c>
      <c r="I380" s="16">
        <v>0.82240000000000002</v>
      </c>
      <c r="J380" s="1" t="s">
        <v>381</v>
      </c>
      <c r="K380" s="6">
        <f>Registro_Ordini[[#This Row],[Numero]]*Registro_Ordini[[#This Row],[Prezzo]]</f>
        <v>20560</v>
      </c>
      <c r="L380" s="10">
        <v>1</v>
      </c>
      <c r="M380" s="6">
        <f>Registro_Ordini[[#This Row],[Importo]]*Registro_Ordini[[#This Row],[Cambio]]</f>
        <v>20560</v>
      </c>
      <c r="N380" s="1">
        <f ca="1">IFERROR(_xlfn.NUMBERVALUE(OFFSET(Origine,MATCH(Registro_Ordini[[#This Row],[Titolo]],Descrizioni,0),MATCH("Price",Intestazioni,0)-1,1,1)),"")</f>
        <v>0.84031013699000001</v>
      </c>
      <c r="O380" s="18">
        <f ca="1">IF(OR(Registro_Ordini[[#This Row],[Price]]=0,Registro_Ordini[[#This Row],[Price]]=""),"",IF(Registro_Ordini[[#This Row],[Tipo]]="Sell",Registro_Ordini[[#This Row],[Prezzo]]/Registro_Ordini[[#This Row],[Price]]-1,Registro_Ordini[[#This Row],[Price]]/Registro_Ordini[[#This Row],[Prezzo]]-1))</f>
        <v>2.1777890308852133E-2</v>
      </c>
      <c r="P380" s="15">
        <v>1.9712641680543389E-2</v>
      </c>
      <c r="Q380" s="3">
        <v>0.15693483743685513</v>
      </c>
      <c r="R380" s="3">
        <v>0.30365443806981884</v>
      </c>
      <c r="S380" s="3">
        <v>0.42238927158465084</v>
      </c>
      <c r="T380" s="3">
        <v>0</v>
      </c>
      <c r="U380" s="3">
        <v>0.11702145290867526</v>
      </c>
      <c r="V380" s="3"/>
      <c r="W380" s="4"/>
    </row>
    <row r="381" spans="1:23" s="1" customFormat="1" ht="24.95" customHeight="1" x14ac:dyDescent="0.2">
      <c r="A381" s="8">
        <v>45868.5000462963</v>
      </c>
      <c r="B381" s="7">
        <v>45868.5000462963</v>
      </c>
      <c r="C381" s="9" t="s">
        <v>383</v>
      </c>
      <c r="D381" s="1" t="s">
        <v>368</v>
      </c>
      <c r="E381" s="1" t="s">
        <v>363</v>
      </c>
      <c r="F381" s="1" t="s">
        <v>386</v>
      </c>
      <c r="G381" s="1" t="s">
        <v>371</v>
      </c>
      <c r="H381" s="2">
        <v>20000</v>
      </c>
      <c r="I381" s="16">
        <v>0.82240000000000002</v>
      </c>
      <c r="J381" s="1" t="s">
        <v>381</v>
      </c>
      <c r="K381" s="6">
        <f>Registro_Ordini[[#This Row],[Numero]]*Registro_Ordini[[#This Row],[Prezzo]]</f>
        <v>16448</v>
      </c>
      <c r="L381" s="10">
        <v>1</v>
      </c>
      <c r="M381" s="6">
        <f>Registro_Ordini[[#This Row],[Importo]]*Registro_Ordini[[#This Row],[Cambio]]</f>
        <v>16448</v>
      </c>
      <c r="N381" s="1">
        <f ca="1">IFERROR(_xlfn.NUMBERVALUE(OFFSET(Origine,MATCH(Registro_Ordini[[#This Row],[Titolo]],Descrizioni,0),MATCH("Price",Intestazioni,0)-1,1,1)),"")</f>
        <v>0.84031013699000001</v>
      </c>
      <c r="O381" s="18">
        <f ca="1">IF(OR(Registro_Ordini[[#This Row],[Price]]=0,Registro_Ordini[[#This Row],[Price]]=""),"",IF(Registro_Ordini[[#This Row],[Tipo]]="Sell",Registro_Ordini[[#This Row],[Prezzo]]/Registro_Ordini[[#This Row],[Price]]-1,Registro_Ordini[[#This Row],[Price]]/Registro_Ordini[[#This Row],[Prezzo]]-1))</f>
        <v>2.1777890308852133E-2</v>
      </c>
      <c r="P381" s="15">
        <v>2.6611999115325469E-2</v>
      </c>
      <c r="Q381" s="3">
        <v>0.13847563325548651</v>
      </c>
      <c r="R381" s="3">
        <v>0.30563367754203963</v>
      </c>
      <c r="S381" s="3">
        <v>0.43997116546192327</v>
      </c>
      <c r="T381" s="3">
        <v>0</v>
      </c>
      <c r="U381" s="3">
        <v>0.11591952374055046</v>
      </c>
      <c r="V381" s="3"/>
      <c r="W381" s="4"/>
    </row>
    <row r="382" spans="1:23" s="1" customFormat="1" ht="24.95" customHeight="1" x14ac:dyDescent="0.2">
      <c r="A382" s="8">
        <v>45867.70716435185</v>
      </c>
      <c r="B382" s="7">
        <v>45867.70716435185</v>
      </c>
      <c r="C382" s="9" t="s">
        <v>367</v>
      </c>
      <c r="D382" s="1" t="s">
        <v>368</v>
      </c>
      <c r="E382" s="1" t="s">
        <v>369</v>
      </c>
      <c r="F382" s="1" t="s">
        <v>387</v>
      </c>
      <c r="G382" s="1" t="s">
        <v>371</v>
      </c>
      <c r="H382" s="2">
        <v>50000</v>
      </c>
      <c r="I382" s="16">
        <v>0.99452777778000001</v>
      </c>
      <c r="J382" s="1" t="s">
        <v>369</v>
      </c>
      <c r="K382" s="6">
        <f>Registro_Ordini[[#This Row],[Numero]]*Registro_Ordini[[#This Row],[Prezzo]]</f>
        <v>49726.388889000002</v>
      </c>
      <c r="L382" s="10">
        <v>1.0000001199999999</v>
      </c>
      <c r="M382" s="6">
        <f>Registro_Ordini[[#This Row],[Importo]]*Registro_Ordini[[#This Row],[Cambio]]</f>
        <v>49726.394856166662</v>
      </c>
      <c r="N382" s="1">
        <f ca="1">IFERROR(_xlfn.NUMBERVALUE(OFFSET(Origine,MATCH(Registro_Ordini[[#This Row],[Titolo]],Descrizioni,0),MATCH("Price",Intestazioni,0)-1,1,1)),"")</f>
        <v>1.0029722222199999</v>
      </c>
      <c r="O382" s="18">
        <f ca="1">IF(OR(Registro_Ordini[[#This Row],[Price]]=0,Registro_Ordini[[#This Row],[Price]]=""),"",IF(Registro_Ordini[[#This Row],[Tipo]]="Sell",Registro_Ordini[[#This Row],[Prezzo]]/Registro_Ordini[[#This Row],[Price]]-1,Registro_Ordini[[#This Row],[Price]]/Registro_Ordini[[#This Row],[Prezzo]]-1))</f>
        <v>8.4909085785915828E-3</v>
      </c>
      <c r="P382" s="15">
        <v>1.4267115049716655E-2</v>
      </c>
      <c r="Q382" s="3">
        <v>0.1726546559985464</v>
      </c>
      <c r="R382" s="3">
        <v>0.3868829025499767</v>
      </c>
      <c r="S382" s="3">
        <v>0.38722416108317886</v>
      </c>
      <c r="T382" s="3">
        <v>0</v>
      </c>
      <c r="U382" s="3">
        <v>5.323828036829803E-2</v>
      </c>
      <c r="V382" s="3"/>
      <c r="W382" s="4"/>
    </row>
    <row r="383" spans="1:23" s="1" customFormat="1" ht="24.95" customHeight="1" x14ac:dyDescent="0.2">
      <c r="A383" s="8">
        <v>45867.696689814817</v>
      </c>
      <c r="B383" s="7">
        <v>45867.696689814817</v>
      </c>
      <c r="C383" s="9" t="s">
        <v>106</v>
      </c>
      <c r="D383" s="1" t="s">
        <v>388</v>
      </c>
      <c r="E383" s="1" t="s">
        <v>389</v>
      </c>
      <c r="F383" s="1" t="s">
        <v>390</v>
      </c>
      <c r="G383" s="1" t="s">
        <v>371</v>
      </c>
      <c r="H383" s="2">
        <v>20</v>
      </c>
      <c r="I383" s="16">
        <v>412.21699999999998</v>
      </c>
      <c r="J383" s="1" t="s">
        <v>381</v>
      </c>
      <c r="K383" s="6">
        <f>Registro_Ordini[[#This Row],[Numero]]*Registro_Ordini[[#This Row],[Prezzo]]</f>
        <v>8244.34</v>
      </c>
      <c r="L383" s="10">
        <v>1</v>
      </c>
      <c r="M383" s="6">
        <f>Registro_Ordini[[#This Row],[Importo]]*Registro_Ordini[[#This Row],[Cambio]]</f>
        <v>8244.34</v>
      </c>
      <c r="N383" s="1">
        <f ca="1">IFERROR(_xlfn.NUMBERVALUE(OFFSET(Origine,MATCH(Registro_Ordini[[#This Row],[Titolo]],Descrizioni,0),MATCH("Price",Intestazioni,0)-1,1,1)),"")</f>
        <v>422.85</v>
      </c>
      <c r="O383" s="18">
        <f ca="1">IF(OR(Registro_Ordini[[#This Row],[Price]]=0,Registro_Ordini[[#This Row],[Price]]=""),"",IF(Registro_Ordini[[#This Row],[Tipo]]="Sell",Registro_Ordini[[#This Row],[Prezzo]]/Registro_Ordini[[#This Row],[Price]]-1,Registro_Ordini[[#This Row],[Price]]/Registro_Ordini[[#This Row],[Prezzo]]-1))</f>
        <v>2.5794666401434352E-2</v>
      </c>
      <c r="P383" s="15">
        <v>5.8155613207549743E-2</v>
      </c>
      <c r="Q383" s="3">
        <v>0.16315583343576889</v>
      </c>
      <c r="R383" s="3">
        <v>0.22671885407311751</v>
      </c>
      <c r="S383" s="3">
        <v>0.46738668066268896</v>
      </c>
      <c r="T383" s="3">
        <v>0</v>
      </c>
      <c r="U383" s="3">
        <v>0.14273863182842458</v>
      </c>
      <c r="V383" s="3"/>
      <c r="W383" s="4"/>
    </row>
    <row r="384" spans="1:23" s="1" customFormat="1" ht="24.95" customHeight="1" x14ac:dyDescent="0.2">
      <c r="A384" s="8">
        <v>45867.696388888886</v>
      </c>
      <c r="B384" s="7">
        <v>45867.696388888886</v>
      </c>
      <c r="C384" s="9" t="s">
        <v>385</v>
      </c>
      <c r="D384" s="1" t="s">
        <v>388</v>
      </c>
      <c r="E384" s="1" t="s">
        <v>389</v>
      </c>
      <c r="F384" s="1" t="s">
        <v>390</v>
      </c>
      <c r="G384" s="1" t="s">
        <v>371</v>
      </c>
      <c r="H384" s="2">
        <v>15</v>
      </c>
      <c r="I384" s="16">
        <v>412.21699999999998</v>
      </c>
      <c r="J384" s="1" t="s">
        <v>381</v>
      </c>
      <c r="K384" s="6">
        <f>Registro_Ordini[[#This Row],[Numero]]*Registro_Ordini[[#This Row],[Prezzo]]</f>
        <v>6183.2550000000001</v>
      </c>
      <c r="L384" s="10">
        <v>1</v>
      </c>
      <c r="M384" s="6">
        <f>Registro_Ordini[[#This Row],[Importo]]*Registro_Ordini[[#This Row],[Cambio]]</f>
        <v>6183.2550000000001</v>
      </c>
      <c r="N384" s="1">
        <f ca="1">IFERROR(_xlfn.NUMBERVALUE(OFFSET(Origine,MATCH(Registro_Ordini[[#This Row],[Titolo]],Descrizioni,0),MATCH("Price",Intestazioni,0)-1,1,1)),"")</f>
        <v>422.85</v>
      </c>
      <c r="O384" s="18">
        <f ca="1">IF(OR(Registro_Ordini[[#This Row],[Price]]=0,Registro_Ordini[[#This Row],[Price]]=""),"",IF(Registro_Ordini[[#This Row],[Tipo]]="Sell",Registro_Ordini[[#This Row],[Prezzo]]/Registro_Ordini[[#This Row],[Price]]-1,Registro_Ordini[[#This Row],[Price]]/Registro_Ordini[[#This Row],[Prezzo]]-1))</f>
        <v>2.5794666401434352E-2</v>
      </c>
      <c r="P384" s="15">
        <v>4.8527302632010945E-2</v>
      </c>
      <c r="Q384" s="3">
        <v>9.7727009864407341E-2</v>
      </c>
      <c r="R384" s="3">
        <v>0.52332166162402494</v>
      </c>
      <c r="S384" s="3">
        <v>0.23034877358197053</v>
      </c>
      <c r="T384" s="3">
        <v>5.2879864414308475E-2</v>
      </c>
      <c r="U384" s="3">
        <v>9.5722690515288644E-2</v>
      </c>
      <c r="V384" s="3"/>
      <c r="W384" s="4"/>
    </row>
    <row r="385" spans="1:23" s="1" customFormat="1" ht="24.95" customHeight="1" x14ac:dyDescent="0.2">
      <c r="A385" s="8">
        <v>45867.672337962962</v>
      </c>
      <c r="B385" s="7">
        <v>45867.672337962962</v>
      </c>
      <c r="C385" s="9" t="s">
        <v>106</v>
      </c>
      <c r="D385" s="1" t="s">
        <v>362</v>
      </c>
      <c r="E385" s="1" t="s">
        <v>363</v>
      </c>
      <c r="F385" s="1" t="s">
        <v>391</v>
      </c>
      <c r="G385" s="1" t="s">
        <v>365</v>
      </c>
      <c r="H385" s="2">
        <v>-10000</v>
      </c>
      <c r="I385" s="16">
        <v>1</v>
      </c>
      <c r="J385" s="1" t="s">
        <v>369</v>
      </c>
      <c r="K385" s="6">
        <f>Registro_Ordini[[#This Row],[Numero]]*Registro_Ordini[[#This Row],[Prezzo]]</f>
        <v>-10000</v>
      </c>
      <c r="L385" s="10">
        <f>1/0.9352</f>
        <v>1.0692899914456799</v>
      </c>
      <c r="M385" s="6">
        <f>Registro_Ordini[[#This Row],[Importo]]*Registro_Ordini[[#This Row],[Cambio]]</f>
        <v>-10692.899914456799</v>
      </c>
      <c r="N385" s="1">
        <f ca="1">IFERROR(_xlfn.NUMBERVALUE(OFFSET(Origine,MATCH(Registro_Ordini[[#This Row],[Titolo]],Descrizioni,0),MATCH("Price",Intestazioni,0)-1,1,1)),"")</f>
        <v>1.0000001300000001</v>
      </c>
      <c r="O385" s="18">
        <f ca="1">IF(OR(Registro_Ordini[[#This Row],[Price]]=0,Registro_Ordini[[#This Row],[Price]]=""),"",IF(Registro_Ordini[[#This Row],[Tipo]]="Sell",Registro_Ordini[[#This Row],[Prezzo]]/Registro_Ordini[[#This Row],[Price]]-1,Registro_Ordini[[#This Row],[Price]]/Registro_Ordini[[#This Row],[Prezzo]]-1))</f>
        <v>-1.2999998322271722E-7</v>
      </c>
      <c r="P385" s="15">
        <v>-7.5834761555969812E-2</v>
      </c>
      <c r="Q385" s="3">
        <v>0.22127537875224595</v>
      </c>
      <c r="R385" s="3">
        <v>0.22666417150514703</v>
      </c>
      <c r="S385" s="3">
        <v>0.4094479456120006</v>
      </c>
      <c r="T385" s="3">
        <v>0</v>
      </c>
      <c r="U385" s="3">
        <v>0.14261250413060633</v>
      </c>
      <c r="V385" s="3"/>
      <c r="W385" s="4"/>
    </row>
    <row r="386" spans="1:23" s="1" customFormat="1" ht="24.95" customHeight="1" x14ac:dyDescent="0.2">
      <c r="A386" s="8">
        <v>45867.669351851851</v>
      </c>
      <c r="B386" s="7">
        <v>45867.669351851851</v>
      </c>
      <c r="C386" s="9" t="s">
        <v>376</v>
      </c>
      <c r="D386" s="1" t="s">
        <v>368</v>
      </c>
      <c r="E386" s="1" t="s">
        <v>369</v>
      </c>
      <c r="F386" s="1" t="s">
        <v>392</v>
      </c>
      <c r="G386" s="1" t="s">
        <v>365</v>
      </c>
      <c r="H386" s="2">
        <v>-210</v>
      </c>
      <c r="I386" s="16">
        <v>110.98</v>
      </c>
      <c r="J386" s="1" t="s">
        <v>369</v>
      </c>
      <c r="K386" s="6">
        <f>Registro_Ordini[[#This Row],[Numero]]*Registro_Ordini[[#This Row],[Prezzo]]</f>
        <v>-23305.8</v>
      </c>
      <c r="L386" s="10">
        <v>1.0000001300000001</v>
      </c>
      <c r="M386" s="6">
        <f>Registro_Ordini[[#This Row],[Importo]]*Registro_Ordini[[#This Row],[Cambio]]</f>
        <v>-23305.803029754003</v>
      </c>
      <c r="N386" s="1">
        <f ca="1">IFERROR(_xlfn.NUMBERVALUE(OFFSET(Origine,MATCH(Registro_Ordini[[#This Row],[Titolo]],Descrizioni,0),MATCH("Price",Intestazioni,0)-1,1,1)),"")</f>
        <v>111.39</v>
      </c>
      <c r="O386" s="18">
        <f ca="1">IF(OR(Registro_Ordini[[#This Row],[Price]]=0,Registro_Ordini[[#This Row],[Price]]=""),"",IF(Registro_Ordini[[#This Row],[Tipo]]="Sell",Registro_Ordini[[#This Row],[Prezzo]]/Registro_Ordini[[#This Row],[Price]]-1,Registro_Ordini[[#This Row],[Price]]/Registro_Ordini[[#This Row],[Prezzo]]-1))</f>
        <v>-3.6807612891641694E-3</v>
      </c>
      <c r="P386" s="15">
        <v>-7.9151032918114192E-2</v>
      </c>
      <c r="Q386" s="3">
        <v>0.18343132041251403</v>
      </c>
      <c r="R386" s="3">
        <v>0.25487675646468544</v>
      </c>
      <c r="S386" s="3">
        <v>0.43795801918293575</v>
      </c>
      <c r="T386" s="3">
        <v>0</v>
      </c>
      <c r="U386" s="3">
        <v>0.1237339039398649</v>
      </c>
      <c r="V386" s="3"/>
      <c r="W386" s="4"/>
    </row>
    <row r="387" spans="1:23" s="1" customFormat="1" ht="24.95" customHeight="1" x14ac:dyDescent="0.2">
      <c r="A387" s="8">
        <v>45867.664710648147</v>
      </c>
      <c r="B387" s="7">
        <v>45867.664710648147</v>
      </c>
      <c r="C387" s="9" t="s">
        <v>375</v>
      </c>
      <c r="D387" s="1" t="s">
        <v>368</v>
      </c>
      <c r="E387" s="1" t="s">
        <v>369</v>
      </c>
      <c r="F387" s="1" t="s">
        <v>372</v>
      </c>
      <c r="G387" s="1" t="s">
        <v>371</v>
      </c>
      <c r="H387" s="2">
        <v>20000</v>
      </c>
      <c r="I387" s="16">
        <v>0.99237777778000003</v>
      </c>
      <c r="J387" s="1" t="s">
        <v>369</v>
      </c>
      <c r="K387" s="6">
        <f>Registro_Ordini[[#This Row],[Numero]]*Registro_Ordini[[#This Row],[Prezzo]]</f>
        <v>19847.5555556</v>
      </c>
      <c r="L387" s="10">
        <v>1.0000001300000001</v>
      </c>
      <c r="M387" s="6">
        <f>Registro_Ordini[[#This Row],[Importo]]*Registro_Ordini[[#This Row],[Cambio]]</f>
        <v>19847.558135782223</v>
      </c>
      <c r="N387" s="1">
        <f ca="1">IFERROR(_xlfn.NUMBERVALUE(OFFSET(Origine,MATCH(Registro_Ordini[[#This Row],[Titolo]],Descrizioni,0),MATCH("Price",Intestazioni,0)-1,1,1)),"")</f>
        <v>0.99063333333000003</v>
      </c>
      <c r="O387" s="18">
        <f ca="1">IF(OR(Registro_Ordini[[#This Row],[Price]]=0,Registro_Ordini[[#This Row],[Price]]=""),"",IF(Registro_Ordini[[#This Row],[Tipo]]="Sell",Registro_Ordini[[#This Row],[Prezzo]]/Registro_Ordini[[#This Row],[Price]]-1,Registro_Ordini[[#This Row],[Price]]/Registro_Ordini[[#This Row],[Prezzo]]-1))</f>
        <v>-1.7578431208953305E-3</v>
      </c>
      <c r="P387" s="15">
        <v>2.3849633079533659E-2</v>
      </c>
      <c r="Q387" s="3">
        <v>0.14750143563325366</v>
      </c>
      <c r="R387" s="3">
        <v>0.35038301750694822</v>
      </c>
      <c r="S387" s="3">
        <v>0.39619571448853025</v>
      </c>
      <c r="T387" s="3">
        <v>0</v>
      </c>
      <c r="U387" s="3">
        <v>0.10591983237126766</v>
      </c>
      <c r="V387" s="3"/>
      <c r="W387" s="4"/>
    </row>
    <row r="388" spans="1:23" s="1" customFormat="1" ht="24.95" customHeight="1" x14ac:dyDescent="0.2">
      <c r="A388" s="8">
        <v>45867.664699074077</v>
      </c>
      <c r="B388" s="7">
        <v>45867.664699074077</v>
      </c>
      <c r="C388" s="9" t="s">
        <v>378</v>
      </c>
      <c r="D388" s="1" t="s">
        <v>368</v>
      </c>
      <c r="E388" s="1" t="s">
        <v>369</v>
      </c>
      <c r="F388" s="1" t="s">
        <v>372</v>
      </c>
      <c r="G388" s="1" t="s">
        <v>371</v>
      </c>
      <c r="H388" s="2">
        <v>15000</v>
      </c>
      <c r="I388" s="16">
        <v>0.99237777778000003</v>
      </c>
      <c r="J388" s="1" t="s">
        <v>369</v>
      </c>
      <c r="K388" s="6">
        <f>Registro_Ordini[[#This Row],[Numero]]*Registro_Ordini[[#This Row],[Prezzo]]</f>
        <v>14885.666666700001</v>
      </c>
      <c r="L388" s="10">
        <v>1.0000001300000001</v>
      </c>
      <c r="M388" s="6">
        <f>Registro_Ordini[[#This Row],[Importo]]*Registro_Ordini[[#This Row],[Cambio]]</f>
        <v>14885.668601836669</v>
      </c>
      <c r="N388" s="1">
        <f ca="1">IFERROR(_xlfn.NUMBERVALUE(OFFSET(Origine,MATCH(Registro_Ordini[[#This Row],[Titolo]],Descrizioni,0),MATCH("Price",Intestazioni,0)-1,1,1)),"")</f>
        <v>0.99063333333000003</v>
      </c>
      <c r="O388" s="18">
        <f ca="1">IF(OR(Registro_Ordini[[#This Row],[Price]]=0,Registro_Ordini[[#This Row],[Price]]=""),"",IF(Registro_Ordini[[#This Row],[Tipo]]="Sell",Registro_Ordini[[#This Row],[Prezzo]]/Registro_Ordini[[#This Row],[Price]]-1,Registro_Ordini[[#This Row],[Price]]/Registro_Ordini[[#This Row],[Prezzo]]-1))</f>
        <v>-1.7578431208953305E-3</v>
      </c>
      <c r="P388" s="15">
        <v>2.8186056638975002E-2</v>
      </c>
      <c r="Q388" s="3">
        <v>0.11473398154964734</v>
      </c>
      <c r="R388" s="3">
        <v>0.3463673322265659</v>
      </c>
      <c r="S388" s="3">
        <v>0.43846236514565351</v>
      </c>
      <c r="T388" s="3">
        <v>0</v>
      </c>
      <c r="U388" s="3">
        <v>0.1004363210781334</v>
      </c>
      <c r="V388" s="3"/>
      <c r="W388" s="4"/>
    </row>
    <row r="389" spans="1:23" s="1" customFormat="1" ht="24.95" customHeight="1" x14ac:dyDescent="0.2">
      <c r="A389" s="8">
        <v>45867.664699074077</v>
      </c>
      <c r="B389" s="7">
        <v>45867.664699074077</v>
      </c>
      <c r="C389" s="9" t="s">
        <v>377</v>
      </c>
      <c r="D389" s="1" t="s">
        <v>368</v>
      </c>
      <c r="E389" s="1" t="s">
        <v>369</v>
      </c>
      <c r="F389" s="1" t="s">
        <v>372</v>
      </c>
      <c r="G389" s="1" t="s">
        <v>371</v>
      </c>
      <c r="H389" s="2">
        <v>50000</v>
      </c>
      <c r="I389" s="16">
        <v>0.99237777778000003</v>
      </c>
      <c r="J389" s="1" t="s">
        <v>369</v>
      </c>
      <c r="K389" s="6">
        <f>Registro_Ordini[[#This Row],[Numero]]*Registro_Ordini[[#This Row],[Prezzo]]</f>
        <v>49618.888889000002</v>
      </c>
      <c r="L389" s="10">
        <v>1.0000001300000001</v>
      </c>
      <c r="M389" s="6">
        <f>Registro_Ordini[[#This Row],[Importo]]*Registro_Ordini[[#This Row],[Cambio]]</f>
        <v>49618.895339455565</v>
      </c>
      <c r="N389" s="1">
        <f ca="1">IFERROR(_xlfn.NUMBERVALUE(OFFSET(Origine,MATCH(Registro_Ordini[[#This Row],[Titolo]],Descrizioni,0),MATCH("Price",Intestazioni,0)-1,1,1)),"")</f>
        <v>0.99063333333000003</v>
      </c>
      <c r="O389" s="18">
        <f ca="1">IF(OR(Registro_Ordini[[#This Row],[Price]]=0,Registro_Ordini[[#This Row],[Price]]=""),"",IF(Registro_Ordini[[#This Row],[Tipo]]="Sell",Registro_Ordini[[#This Row],[Prezzo]]/Registro_Ordini[[#This Row],[Price]]-1,Registro_Ordini[[#This Row],[Price]]/Registro_Ordini[[#This Row],[Prezzo]]-1))</f>
        <v>-1.7578431208953305E-3</v>
      </c>
      <c r="P389" s="15">
        <v>3.0600970492238404E-2</v>
      </c>
      <c r="Q389" s="3">
        <v>0.12116515343506652</v>
      </c>
      <c r="R389" s="3">
        <v>0.34612114099088687</v>
      </c>
      <c r="S389" s="3">
        <v>0.42760855078557697</v>
      </c>
      <c r="T389" s="3">
        <v>0</v>
      </c>
      <c r="U389" s="3">
        <v>0.10510515478846966</v>
      </c>
      <c r="V389" s="3"/>
      <c r="W389" s="4"/>
    </row>
    <row r="390" spans="1:23" s="1" customFormat="1" ht="24.95" customHeight="1" x14ac:dyDescent="0.2">
      <c r="A390" s="8">
        <v>45867.66375</v>
      </c>
      <c r="B390" s="7">
        <v>45867.66375</v>
      </c>
      <c r="C390" s="9" t="s">
        <v>373</v>
      </c>
      <c r="D390" s="1" t="s">
        <v>368</v>
      </c>
      <c r="E390" s="1" t="s">
        <v>369</v>
      </c>
      <c r="F390" s="1" t="s">
        <v>387</v>
      </c>
      <c r="G390" s="1" t="s">
        <v>371</v>
      </c>
      <c r="H390" s="2">
        <v>15000</v>
      </c>
      <c r="I390" s="16">
        <v>0.99452777778000001</v>
      </c>
      <c r="J390" s="1" t="s">
        <v>369</v>
      </c>
      <c r="K390" s="6">
        <f>Registro_Ordini[[#This Row],[Numero]]*Registro_Ordini[[#This Row],[Prezzo]]</f>
        <v>14917.916666700001</v>
      </c>
      <c r="L390" s="10">
        <v>1.0000001199999999</v>
      </c>
      <c r="M390" s="6">
        <f>Registro_Ordini[[#This Row],[Importo]]*Registro_Ordini[[#This Row],[Cambio]]</f>
        <v>14917.91845685</v>
      </c>
      <c r="N390" s="1">
        <f ca="1">IFERROR(_xlfn.NUMBERVALUE(OFFSET(Origine,MATCH(Registro_Ordini[[#This Row],[Titolo]],Descrizioni,0),MATCH("Price",Intestazioni,0)-1,1,1)),"")</f>
        <v>1.0029722222199999</v>
      </c>
      <c r="O390" s="18">
        <f ca="1">IF(OR(Registro_Ordini[[#This Row],[Price]]=0,Registro_Ordini[[#This Row],[Price]]=""),"",IF(Registro_Ordini[[#This Row],[Tipo]]="Sell",Registro_Ordini[[#This Row],[Prezzo]]/Registro_Ordini[[#This Row],[Price]]-1,Registro_Ordini[[#This Row],[Price]]/Registro_Ordini[[#This Row],[Prezzo]]-1))</f>
        <v>8.4909085785915828E-3</v>
      </c>
      <c r="P390" s="15">
        <v>2.1057103733263811E-2</v>
      </c>
      <c r="Q390" s="3">
        <v>0.65188961133512746</v>
      </c>
      <c r="R390" s="3">
        <v>0.12671597238267901</v>
      </c>
      <c r="S390" s="3">
        <v>0.17379758666116285</v>
      </c>
      <c r="T390" s="3">
        <v>0</v>
      </c>
      <c r="U390" s="3">
        <v>4.7596829621030803E-2</v>
      </c>
      <c r="V390" s="3"/>
      <c r="W390" s="4"/>
    </row>
    <row r="391" spans="1:23" s="1" customFormat="1" ht="24.95" customHeight="1" x14ac:dyDescent="0.2">
      <c r="A391" s="8">
        <v>45867.663738425923</v>
      </c>
      <c r="B391" s="7">
        <v>45867.663738425923</v>
      </c>
      <c r="C391" s="9" t="s">
        <v>375</v>
      </c>
      <c r="D391" s="1" t="s">
        <v>368</v>
      </c>
      <c r="E391" s="1" t="s">
        <v>369</v>
      </c>
      <c r="F391" s="1" t="s">
        <v>387</v>
      </c>
      <c r="G391" s="1" t="s">
        <v>371</v>
      </c>
      <c r="H391" s="2">
        <v>20000</v>
      </c>
      <c r="I391" s="16">
        <v>0.99452777778000001</v>
      </c>
      <c r="J391" s="1" t="s">
        <v>369</v>
      </c>
      <c r="K391" s="6">
        <f>Registro_Ordini[[#This Row],[Numero]]*Registro_Ordini[[#This Row],[Prezzo]]</f>
        <v>19890.5555556</v>
      </c>
      <c r="L391" s="10">
        <v>1.0000001199999999</v>
      </c>
      <c r="M391" s="6">
        <f>Registro_Ordini[[#This Row],[Importo]]*Registro_Ordini[[#This Row],[Cambio]]</f>
        <v>19890.557942466665</v>
      </c>
      <c r="N391" s="1">
        <f ca="1">IFERROR(_xlfn.NUMBERVALUE(OFFSET(Origine,MATCH(Registro_Ordini[[#This Row],[Titolo]],Descrizioni,0),MATCH("Price",Intestazioni,0)-1,1,1)),"")</f>
        <v>1.0029722222199999</v>
      </c>
      <c r="O391" s="18">
        <f ca="1">IF(OR(Registro_Ordini[[#This Row],[Price]]=0,Registro_Ordini[[#This Row],[Price]]=""),"",IF(Registro_Ordini[[#This Row],[Tipo]]="Sell",Registro_Ordini[[#This Row],[Prezzo]]/Registro_Ordini[[#This Row],[Price]]-1,Registro_Ordini[[#This Row],[Price]]/Registro_Ordini[[#This Row],[Prezzo]]-1))</f>
        <v>8.4909085785915828E-3</v>
      </c>
      <c r="P391" s="15">
        <v>2.3901605145359665E-2</v>
      </c>
      <c r="Q391" s="3">
        <v>0.17135820947151442</v>
      </c>
      <c r="R391" s="3">
        <v>0.32653750358188727</v>
      </c>
      <c r="S391" s="3">
        <v>0.39618311841746112</v>
      </c>
      <c r="T391" s="3">
        <v>0</v>
      </c>
      <c r="U391" s="3">
        <v>0.10592116852913716</v>
      </c>
      <c r="V391" s="3"/>
      <c r="W391" s="4"/>
    </row>
    <row r="392" spans="1:23" s="1" customFormat="1" ht="24.95" customHeight="1" x14ac:dyDescent="0.2">
      <c r="A392" s="8">
        <v>45867.663726851853</v>
      </c>
      <c r="B392" s="7">
        <v>45867.663726851853</v>
      </c>
      <c r="C392" s="9" t="s">
        <v>378</v>
      </c>
      <c r="D392" s="1" t="s">
        <v>368</v>
      </c>
      <c r="E392" s="1" t="s">
        <v>369</v>
      </c>
      <c r="F392" s="1" t="s">
        <v>387</v>
      </c>
      <c r="G392" s="1" t="s">
        <v>371</v>
      </c>
      <c r="H392" s="2">
        <v>20000</v>
      </c>
      <c r="I392" s="16">
        <v>0.99452777778000001</v>
      </c>
      <c r="J392" s="1" t="s">
        <v>369</v>
      </c>
      <c r="K392" s="6">
        <f>Registro_Ordini[[#This Row],[Numero]]*Registro_Ordini[[#This Row],[Prezzo]]</f>
        <v>19890.5555556</v>
      </c>
      <c r="L392" s="10">
        <v>1.0000001199999999</v>
      </c>
      <c r="M392" s="6">
        <f>Registro_Ordini[[#This Row],[Importo]]*Registro_Ordini[[#This Row],[Cambio]]</f>
        <v>19890.557942466665</v>
      </c>
      <c r="N392" s="1">
        <f ca="1">IFERROR(_xlfn.NUMBERVALUE(OFFSET(Origine,MATCH(Registro_Ordini[[#This Row],[Titolo]],Descrizioni,0),MATCH("Price",Intestazioni,0)-1,1,1)),"")</f>
        <v>1.0029722222199999</v>
      </c>
      <c r="O392" s="18">
        <f ca="1">IF(OR(Registro_Ordini[[#This Row],[Price]]=0,Registro_Ordini[[#This Row],[Price]]=""),"",IF(Registro_Ordini[[#This Row],[Tipo]]="Sell",Registro_Ordini[[#This Row],[Prezzo]]/Registro_Ordini[[#This Row],[Price]]-1,Registro_Ordini[[#This Row],[Price]]/Registro_Ordini[[#This Row],[Prezzo]]-1))</f>
        <v>8.4909085785915828E-3</v>
      </c>
      <c r="P392" s="15">
        <v>2.8247126516268022E-2</v>
      </c>
      <c r="Q392" s="3">
        <v>0.14292532253052975</v>
      </c>
      <c r="R392" s="3">
        <v>0.31818132516008119</v>
      </c>
      <c r="S392" s="3">
        <v>0.43844978627537806</v>
      </c>
      <c r="T392" s="3">
        <v>0</v>
      </c>
      <c r="U392" s="3">
        <v>0.1004435660340109</v>
      </c>
      <c r="V392" s="3"/>
      <c r="W392" s="4"/>
    </row>
    <row r="393" spans="1:23" s="1" customFormat="1" ht="24.95" customHeight="1" x14ac:dyDescent="0.2">
      <c r="A393" s="8">
        <v>45867.663726851853</v>
      </c>
      <c r="B393" s="7">
        <v>45867.663726851853</v>
      </c>
      <c r="C393" s="9" t="s">
        <v>377</v>
      </c>
      <c r="D393" s="1" t="s">
        <v>368</v>
      </c>
      <c r="E393" s="1" t="s">
        <v>369</v>
      </c>
      <c r="F393" s="1" t="s">
        <v>387</v>
      </c>
      <c r="G393" s="1" t="s">
        <v>371</v>
      </c>
      <c r="H393" s="2">
        <v>50000</v>
      </c>
      <c r="I393" s="16">
        <v>0.99452777778000001</v>
      </c>
      <c r="J393" s="1" t="s">
        <v>369</v>
      </c>
      <c r="K393" s="6">
        <f>Registro_Ordini[[#This Row],[Numero]]*Registro_Ordini[[#This Row],[Prezzo]]</f>
        <v>49726.388889000002</v>
      </c>
      <c r="L393" s="10">
        <v>1.0000001199999999</v>
      </c>
      <c r="M393" s="6">
        <f>Registro_Ordini[[#This Row],[Importo]]*Registro_Ordini[[#This Row],[Cambio]]</f>
        <v>49726.394856166662</v>
      </c>
      <c r="N393" s="1">
        <f ca="1">IFERROR(_xlfn.NUMBERVALUE(OFFSET(Origine,MATCH(Registro_Ordini[[#This Row],[Titolo]],Descrizioni,0),MATCH("Price",Intestazioni,0)-1,1,1)),"")</f>
        <v>1.0029722222199999</v>
      </c>
      <c r="O393" s="18">
        <f ca="1">IF(OR(Registro_Ordini[[#This Row],[Price]]=0,Registro_Ordini[[#This Row],[Price]]=""),"",IF(Registro_Ordini[[#This Row],[Tipo]]="Sell",Registro_Ordini[[#This Row],[Prezzo]]/Registro_Ordini[[#This Row],[Price]]-1,Registro_Ordini[[#This Row],[Price]]/Registro_Ordini[[#This Row],[Prezzo]]-1))</f>
        <v>8.4909085785915828E-3</v>
      </c>
      <c r="P393" s="15">
        <v>3.0667189222924308E-2</v>
      </c>
      <c r="Q393" s="3">
        <v>0.15178032644077974</v>
      </c>
      <c r="R393" s="3">
        <v>0.3155193609013352</v>
      </c>
      <c r="S393" s="3">
        <v>0.42759542756010027</v>
      </c>
      <c r="T393" s="3">
        <v>0</v>
      </c>
      <c r="U393" s="3">
        <v>0.10510488509778461</v>
      </c>
      <c r="V393" s="3"/>
      <c r="W393" s="4"/>
    </row>
    <row r="394" spans="1:23" s="1" customFormat="1" ht="24.95" customHeight="1" x14ac:dyDescent="0.2">
      <c r="A394" s="8">
        <v>45867.626759259256</v>
      </c>
      <c r="B394" s="7">
        <v>45867.626759259256</v>
      </c>
      <c r="C394" s="9" t="s">
        <v>373</v>
      </c>
      <c r="D394" s="1" t="s">
        <v>393</v>
      </c>
      <c r="E394" s="1" t="s">
        <v>394</v>
      </c>
      <c r="F394" s="1" t="s">
        <v>395</v>
      </c>
      <c r="G394" s="1" t="s">
        <v>371</v>
      </c>
      <c r="H394" s="2">
        <v>70</v>
      </c>
      <c r="I394" s="16">
        <v>306.69900000000001</v>
      </c>
      <c r="J394" s="1" t="s">
        <v>366</v>
      </c>
      <c r="K394" s="6">
        <f>Registro_Ordini[[#This Row],[Numero]]*Registro_Ordini[[#This Row],[Prezzo]]</f>
        <v>21468.93</v>
      </c>
      <c r="L394" s="10">
        <v>0.81015000000000004</v>
      </c>
      <c r="M394" s="6">
        <f>Registro_Ordini[[#This Row],[Importo]]*Registro_Ordini[[#This Row],[Cambio]]</f>
        <v>17393.053639500002</v>
      </c>
      <c r="N394" s="1">
        <f ca="1">IFERROR(_xlfn.NUMBERVALUE(OFFSET(Origine,MATCH(Registro_Ordini[[#This Row],[Titolo]],Descrizioni,0),MATCH("Price",Intestazioni,0)-1,1,1)),"")</f>
        <v>466.45</v>
      </c>
      <c r="O394" s="18">
        <f ca="1">IF(OR(Registro_Ordini[[#This Row],[Price]]=0,Registro_Ordini[[#This Row],[Price]]=""),"",IF(Registro_Ordini[[#This Row],[Tipo]]="Sell",Registro_Ordini[[#This Row],[Prezzo]]/Registro_Ordini[[#This Row],[Price]]-1,Registro_Ordini[[#This Row],[Price]]/Registro_Ordini[[#This Row],[Prezzo]]-1))</f>
        <v>0.52087225585997987</v>
      </c>
      <c r="P394" s="15">
        <v>2.520089095759134E-2</v>
      </c>
      <c r="Q394" s="3">
        <v>0.5755630128237208</v>
      </c>
      <c r="R394" s="3">
        <v>0.17298243271994396</v>
      </c>
      <c r="S394" s="3">
        <v>0.1772226957333167</v>
      </c>
      <c r="T394" s="3">
        <v>0</v>
      </c>
      <c r="U394" s="3">
        <v>7.4231858723018435E-2</v>
      </c>
      <c r="V394" s="3"/>
      <c r="W394" s="4"/>
    </row>
    <row r="395" spans="1:23" s="1" customFormat="1" ht="24.95" customHeight="1" x14ac:dyDescent="0.2">
      <c r="A395" s="8">
        <v>45867.600925925923</v>
      </c>
      <c r="B395" s="7">
        <v>45867.600925925923</v>
      </c>
      <c r="C395" s="9" t="s">
        <v>367</v>
      </c>
      <c r="D395" s="1" t="s">
        <v>393</v>
      </c>
      <c r="E395" s="1" t="s">
        <v>394</v>
      </c>
      <c r="F395" s="1" t="s">
        <v>396</v>
      </c>
      <c r="G395" s="1" t="s">
        <v>371</v>
      </c>
      <c r="H395" s="2">
        <v>500</v>
      </c>
      <c r="I395" s="16">
        <v>113.0792</v>
      </c>
      <c r="J395" s="1" t="s">
        <v>369</v>
      </c>
      <c r="K395" s="6">
        <f>Registro_Ordini[[#This Row],[Numero]]*Registro_Ordini[[#This Row],[Prezzo]]</f>
        <v>56539.6</v>
      </c>
      <c r="L395" s="10">
        <v>1.0000001300000001</v>
      </c>
      <c r="M395" s="6">
        <f>Registro_Ordini[[#This Row],[Importo]]*Registro_Ordini[[#This Row],[Cambio]]</f>
        <v>56539.607350148006</v>
      </c>
      <c r="N395" s="1">
        <f ca="1">IFERROR(_xlfn.NUMBERVALUE(OFFSET(Origine,MATCH(Registro_Ordini[[#This Row],[Titolo]],Descrizioni,0),MATCH("Price",Intestazioni,0)-1,1,1)),"")</f>
        <v>168.24</v>
      </c>
      <c r="O395" s="18">
        <f ca="1">IF(OR(Registro_Ordini[[#This Row],[Price]]=0,Registro_Ordini[[#This Row],[Price]]=""),"",IF(Registro_Ordini[[#This Row],[Tipo]]="Sell",Registro_Ordini[[#This Row],[Prezzo]]/Registro_Ordini[[#This Row],[Price]]-1,Registro_Ordini[[#This Row],[Price]]/Registro_Ordini[[#This Row],[Prezzo]]-1))</f>
        <v>0.48780677613566437</v>
      </c>
      <c r="P395" s="15">
        <v>1.621874025557251E-2</v>
      </c>
      <c r="Q395" s="3">
        <v>0.15638288126250269</v>
      </c>
      <c r="R395" s="3">
        <v>0.38714132135836565</v>
      </c>
      <c r="S395" s="3">
        <v>0.38630017169282016</v>
      </c>
      <c r="T395" s="3">
        <v>0</v>
      </c>
      <c r="U395" s="3">
        <v>7.0175625686311638E-2</v>
      </c>
      <c r="V395" s="3"/>
      <c r="W395" s="4"/>
    </row>
    <row r="396" spans="1:23" s="1" customFormat="1" ht="24.95" customHeight="1" x14ac:dyDescent="0.2">
      <c r="A396" s="8">
        <v>45867.589004629626</v>
      </c>
      <c r="B396" s="7">
        <v>45867.589004629626</v>
      </c>
      <c r="C396" s="9" t="s">
        <v>373</v>
      </c>
      <c r="D396" s="1" t="s">
        <v>368</v>
      </c>
      <c r="E396" s="1" t="s">
        <v>369</v>
      </c>
      <c r="F396" s="1" t="s">
        <v>387</v>
      </c>
      <c r="G396" s="1" t="s">
        <v>371</v>
      </c>
      <c r="H396" s="2">
        <v>15000</v>
      </c>
      <c r="I396" s="16">
        <v>0.99252777778000001</v>
      </c>
      <c r="J396" s="1" t="s">
        <v>369</v>
      </c>
      <c r="K396" s="6">
        <f>Registro_Ordini[[#This Row],[Numero]]*Registro_Ordini[[#This Row],[Prezzo]]</f>
        <v>14887.916666700001</v>
      </c>
      <c r="L396" s="10">
        <v>1.0000001199999999</v>
      </c>
      <c r="M396" s="6">
        <f>Registro_Ordini[[#This Row],[Importo]]*Registro_Ordini[[#This Row],[Cambio]]</f>
        <v>14887.91845325</v>
      </c>
      <c r="N396" s="1">
        <f ca="1">IFERROR(_xlfn.NUMBERVALUE(OFFSET(Origine,MATCH(Registro_Ordini[[#This Row],[Titolo]],Descrizioni,0),MATCH("Price",Intestazioni,0)-1,1,1)),"")</f>
        <v>1.0029722222199999</v>
      </c>
      <c r="O396" s="18">
        <f ca="1">IF(OR(Registro_Ordini[[#This Row],[Price]]=0,Registro_Ordini[[#This Row],[Price]]=""),"",IF(Registro_Ordini[[#This Row],[Tipo]]="Sell",Registro_Ordini[[#This Row],[Prezzo]]/Registro_Ordini[[#This Row],[Price]]-1,Registro_Ordini[[#This Row],[Price]]/Registro_Ordini[[#This Row],[Prezzo]]-1))</f>
        <v>1.0523075196304577E-2</v>
      </c>
      <c r="P396" s="15">
        <v>2.1025523286055323E-2</v>
      </c>
      <c r="Q396" s="3">
        <v>0.67329147064744665</v>
      </c>
      <c r="R396" s="3">
        <v>0.10567062818150894</v>
      </c>
      <c r="S396" s="3">
        <v>0.17334042681242187</v>
      </c>
      <c r="T396" s="3">
        <v>0</v>
      </c>
      <c r="U396" s="3">
        <v>4.7697474358622538E-2</v>
      </c>
      <c r="V396" s="3"/>
      <c r="W396" s="4"/>
    </row>
    <row r="397" spans="1:23" s="1" customFormat="1" ht="24.95" customHeight="1" x14ac:dyDescent="0.2">
      <c r="A397" s="8">
        <v>45867.582511574074</v>
      </c>
      <c r="B397" s="7">
        <v>45867.582511574074</v>
      </c>
      <c r="C397" s="9" t="s">
        <v>378</v>
      </c>
      <c r="D397" s="1" t="s">
        <v>368</v>
      </c>
      <c r="E397" s="1" t="s">
        <v>369</v>
      </c>
      <c r="F397" s="1" t="s">
        <v>392</v>
      </c>
      <c r="G397" s="1" t="s">
        <v>365</v>
      </c>
      <c r="H397" s="2">
        <v>-200</v>
      </c>
      <c r="I397" s="16">
        <v>111.02</v>
      </c>
      <c r="J397" s="1" t="s">
        <v>369</v>
      </c>
      <c r="K397" s="6">
        <f>Registro_Ordini[[#This Row],[Numero]]*Registro_Ordini[[#This Row],[Prezzo]]</f>
        <v>-22204</v>
      </c>
      <c r="L397" s="10">
        <v>1.0000001300000001</v>
      </c>
      <c r="M397" s="6">
        <f>Registro_Ordini[[#This Row],[Importo]]*Registro_Ordini[[#This Row],[Cambio]]</f>
        <v>-22204.002886520004</v>
      </c>
      <c r="N397" s="1">
        <f ca="1">IFERROR(_xlfn.NUMBERVALUE(OFFSET(Origine,MATCH(Registro_Ordini[[#This Row],[Titolo]],Descrizioni,0),MATCH("Price",Intestazioni,0)-1,1,1)),"")</f>
        <v>111.39</v>
      </c>
      <c r="O397" s="18">
        <f ca="1">IF(OR(Registro_Ordini[[#This Row],[Price]]=0,Registro_Ordini[[#This Row],[Price]]=""),"",IF(Registro_Ordini[[#This Row],[Tipo]]="Sell",Registro_Ordini[[#This Row],[Prezzo]]/Registro_Ordini[[#This Row],[Price]]-1,Registro_Ordini[[#This Row],[Price]]/Registro_Ordini[[#This Row],[Prezzo]]-1))</f>
        <v>-3.3216626268067762E-3</v>
      </c>
      <c r="P397" s="15">
        <v>-4.2083956208037697E-2</v>
      </c>
      <c r="Q397" s="3">
        <v>0.15693739699874854</v>
      </c>
      <c r="R397" s="3">
        <v>0.30474923012387606</v>
      </c>
      <c r="S397" s="3">
        <v>0.43733864150076057</v>
      </c>
      <c r="T397" s="3">
        <v>0</v>
      </c>
      <c r="U397" s="3">
        <v>0.10097473137661493</v>
      </c>
      <c r="V397" s="3"/>
      <c r="W397" s="4"/>
    </row>
    <row r="398" spans="1:23" s="1" customFormat="1" ht="24.95" customHeight="1" x14ac:dyDescent="0.2">
      <c r="A398" s="8">
        <v>45867.582511574074</v>
      </c>
      <c r="B398" s="7">
        <v>45867.582511574074</v>
      </c>
      <c r="C398" s="9" t="s">
        <v>377</v>
      </c>
      <c r="D398" s="1" t="s">
        <v>368</v>
      </c>
      <c r="E398" s="1" t="s">
        <v>369</v>
      </c>
      <c r="F398" s="1" t="s">
        <v>392</v>
      </c>
      <c r="G398" s="1" t="s">
        <v>365</v>
      </c>
      <c r="H398" s="2">
        <v>-350</v>
      </c>
      <c r="I398" s="16">
        <v>111.02</v>
      </c>
      <c r="J398" s="1" t="s">
        <v>369</v>
      </c>
      <c r="K398" s="6">
        <f>Registro_Ordini[[#This Row],[Numero]]*Registro_Ordini[[#This Row],[Prezzo]]</f>
        <v>-38857</v>
      </c>
      <c r="L398" s="10">
        <v>1.0000001300000001</v>
      </c>
      <c r="M398" s="6">
        <f>Registro_Ordini[[#This Row],[Importo]]*Registro_Ordini[[#This Row],[Cambio]]</f>
        <v>-38857.00505141</v>
      </c>
      <c r="N398" s="1">
        <f ca="1">IFERROR(_xlfn.NUMBERVALUE(OFFSET(Origine,MATCH(Registro_Ordini[[#This Row],[Titolo]],Descrizioni,0),MATCH("Price",Intestazioni,0)-1,1,1)),"")</f>
        <v>111.39</v>
      </c>
      <c r="O398" s="18">
        <f ca="1">IF(OR(Registro_Ordini[[#This Row],[Price]]=0,Registro_Ordini[[#This Row],[Price]]=""),"",IF(Registro_Ordini[[#This Row],[Tipo]]="Sell",Registro_Ordini[[#This Row],[Prezzo]]/Registro_Ordini[[#This Row],[Price]]-1,Registro_Ordini[[#This Row],[Price]]/Registro_Ordini[[#This Row],[Prezzo]]-1))</f>
        <v>-3.3216626268067762E-3</v>
      </c>
      <c r="P398" s="15">
        <v>-2.3961187442096302E-2</v>
      </c>
      <c r="Q398" s="3">
        <v>0.14513160078077847</v>
      </c>
      <c r="R398" s="3">
        <v>0.32224837358640729</v>
      </c>
      <c r="S398" s="3">
        <v>0.42608748986071254</v>
      </c>
      <c r="T398" s="3">
        <v>0</v>
      </c>
      <c r="U398" s="3">
        <v>0.10653253577210174</v>
      </c>
      <c r="V398" s="3"/>
      <c r="W398" s="4"/>
    </row>
    <row r="399" spans="1:23" s="1" customFormat="1" ht="24.95" customHeight="1" x14ac:dyDescent="0.2">
      <c r="A399" s="8">
        <v>45867.582511574074</v>
      </c>
      <c r="B399" s="7">
        <v>45867.582511574074</v>
      </c>
      <c r="C399" s="9" t="s">
        <v>376</v>
      </c>
      <c r="D399" s="1" t="s">
        <v>368</v>
      </c>
      <c r="E399" s="1" t="s">
        <v>369</v>
      </c>
      <c r="F399" s="1" t="s">
        <v>392</v>
      </c>
      <c r="G399" s="1" t="s">
        <v>365</v>
      </c>
      <c r="H399" s="2">
        <v>-210</v>
      </c>
      <c r="I399" s="16">
        <v>111.02</v>
      </c>
      <c r="J399" s="1" t="s">
        <v>369</v>
      </c>
      <c r="K399" s="6">
        <f>Registro_Ordini[[#This Row],[Numero]]*Registro_Ordini[[#This Row],[Prezzo]]</f>
        <v>-23314.2</v>
      </c>
      <c r="L399" s="10">
        <v>1.0000001300000001</v>
      </c>
      <c r="M399" s="6">
        <f>Registro_Ordini[[#This Row],[Importo]]*Registro_Ordini[[#This Row],[Cambio]]</f>
        <v>-23314.203030846002</v>
      </c>
      <c r="N399" s="1">
        <f ca="1">IFERROR(_xlfn.NUMBERVALUE(OFFSET(Origine,MATCH(Registro_Ordini[[#This Row],[Titolo]],Descrizioni,0),MATCH("Price",Intestazioni,0)-1,1,1)),"")</f>
        <v>111.39</v>
      </c>
      <c r="O399" s="18">
        <f ca="1">IF(OR(Registro_Ordini[[#This Row],[Price]]=0,Registro_Ordini[[#This Row],[Price]]=""),"",IF(Registro_Ordini[[#This Row],[Tipo]]="Sell",Registro_Ordini[[#This Row],[Prezzo]]/Registro_Ordini[[#This Row],[Price]]-1,Registro_Ordini[[#This Row],[Price]]/Registro_Ordini[[#This Row],[Prezzo]]-1))</f>
        <v>-3.3216626268067762E-3</v>
      </c>
      <c r="P399" s="15">
        <v>-7.3441195709320992E-2</v>
      </c>
      <c r="Q399" s="3">
        <v>0.24360365070368956</v>
      </c>
      <c r="R399" s="3">
        <v>0.23649548488013089</v>
      </c>
      <c r="S399" s="3">
        <v>0.40478946969165169</v>
      </c>
      <c r="T399" s="3">
        <v>0</v>
      </c>
      <c r="U399" s="3">
        <v>0.11511139472452796</v>
      </c>
      <c r="V399" s="3"/>
      <c r="W399" s="4"/>
    </row>
    <row r="400" spans="1:23" s="1" customFormat="1" ht="24.95" customHeight="1" x14ac:dyDescent="0.2">
      <c r="A400" s="8">
        <v>45867.581087962964</v>
      </c>
      <c r="B400" s="7">
        <v>45867.581087962964</v>
      </c>
      <c r="C400" s="9" t="s">
        <v>373</v>
      </c>
      <c r="D400" s="1" t="s">
        <v>368</v>
      </c>
      <c r="E400" s="1" t="s">
        <v>369</v>
      </c>
      <c r="F400" s="1" t="s">
        <v>372</v>
      </c>
      <c r="G400" s="1" t="s">
        <v>371</v>
      </c>
      <c r="H400" s="2">
        <v>30000</v>
      </c>
      <c r="I400" s="16">
        <v>0.99237777778000003</v>
      </c>
      <c r="J400" s="1" t="s">
        <v>369</v>
      </c>
      <c r="K400" s="6">
        <f>Registro_Ordini[[#This Row],[Numero]]*Registro_Ordini[[#This Row],[Prezzo]]</f>
        <v>29771.333333400002</v>
      </c>
      <c r="L400" s="10">
        <v>1.0000001300000001</v>
      </c>
      <c r="M400" s="6">
        <f>Registro_Ordini[[#This Row],[Importo]]*Registro_Ordini[[#This Row],[Cambio]]</f>
        <v>29771.337203673338</v>
      </c>
      <c r="N400" s="1">
        <f ca="1">IFERROR(_xlfn.NUMBERVALUE(OFFSET(Origine,MATCH(Registro_Ordini[[#This Row],[Titolo]],Descrizioni,0),MATCH("Price",Intestazioni,0)-1,1,1)),"")</f>
        <v>0.99063333333000003</v>
      </c>
      <c r="O400" s="18">
        <f ca="1">IF(OR(Registro_Ordini[[#This Row],[Price]]=0,Registro_Ordini[[#This Row],[Price]]=""),"",IF(Registro_Ordini[[#This Row],[Tipo]]="Sell",Registro_Ordini[[#This Row],[Prezzo]]/Registro_Ordini[[#This Row],[Price]]-1,Registro_Ordini[[#This Row],[Price]]/Registro_Ordini[[#This Row],[Prezzo]]-1))</f>
        <v>-1.7578431208953305E-3</v>
      </c>
      <c r="P400" s="15">
        <v>4.2027356616498923E-2</v>
      </c>
      <c r="Q400" s="3">
        <v>0.69403073903101353</v>
      </c>
      <c r="R400" s="3">
        <v>8.4610206150939671E-2</v>
      </c>
      <c r="S400" s="3">
        <v>0.17364736575738718</v>
      </c>
      <c r="T400" s="3">
        <v>0</v>
      </c>
      <c r="U400" s="3">
        <v>4.7711689060659576E-2</v>
      </c>
      <c r="V400" s="3"/>
      <c r="W400" s="4"/>
    </row>
    <row r="401" spans="1:23" s="1" customFormat="1" ht="24.95" customHeight="1" x14ac:dyDescent="0.2">
      <c r="A401" s="8">
        <v>45866.717881944445</v>
      </c>
      <c r="B401" s="7">
        <v>45866.717881944445</v>
      </c>
      <c r="C401" s="9" t="s">
        <v>78</v>
      </c>
      <c r="D401" s="1" t="s">
        <v>388</v>
      </c>
      <c r="E401" s="1" t="s">
        <v>397</v>
      </c>
      <c r="F401" s="1" t="s">
        <v>398</v>
      </c>
      <c r="G401" s="1" t="s">
        <v>365</v>
      </c>
      <c r="H401" s="2">
        <v>-20</v>
      </c>
      <c r="I401" s="16">
        <v>552.4</v>
      </c>
      <c r="J401" s="1" t="s">
        <v>369</v>
      </c>
      <c r="K401" s="6">
        <f>Registro_Ordini[[#This Row],[Numero]]*Registro_Ordini[[#This Row],[Prezzo]]</f>
        <v>-11048</v>
      </c>
      <c r="L401" s="10">
        <v>1.0000001300000001</v>
      </c>
      <c r="M401" s="6">
        <f>Registro_Ordini[[#This Row],[Importo]]*Registro_Ordini[[#This Row],[Cambio]]</f>
        <v>-11048.001436240002</v>
      </c>
      <c r="N401" s="1">
        <f ca="1">IFERROR(_xlfn.NUMBERVALUE(OFFSET(Origine,MATCH(Registro_Ordini[[#This Row],[Titolo]],Descrizioni,0),MATCH("Price",Intestazioni,0)-1,1,1)),"")</f>
        <v>536.6</v>
      </c>
      <c r="O401" s="18">
        <f ca="1">IF(OR(Registro_Ordini[[#This Row],[Price]]=0,Registro_Ordini[[#This Row],[Price]]=""),"",IF(Registro_Ordini[[#This Row],[Tipo]]="Sell",Registro_Ordini[[#This Row],[Prezzo]]/Registro_Ordini[[#This Row],[Price]]-1,Registro_Ordini[[#This Row],[Price]]/Registro_Ordini[[#This Row],[Prezzo]]-1))</f>
        <v>2.9444651509504149E-2</v>
      </c>
      <c r="P401" s="15">
        <v>-2.0546408269039498E-2</v>
      </c>
      <c r="Q401" s="3">
        <v>0.17288972484201903</v>
      </c>
      <c r="R401" s="3">
        <v>0.13016434385302617</v>
      </c>
      <c r="S401" s="3">
        <v>0.59983123483454304</v>
      </c>
      <c r="T401" s="3">
        <v>0</v>
      </c>
      <c r="U401" s="3">
        <v>9.7114696470411668E-2</v>
      </c>
      <c r="V401" s="3"/>
      <c r="W401" s="4"/>
    </row>
    <row r="402" spans="1:23" s="1" customFormat="1" ht="24.95" customHeight="1" x14ac:dyDescent="0.2">
      <c r="A402" s="8">
        <v>45866.717581018522</v>
      </c>
      <c r="B402" s="7">
        <v>45866.717581018522</v>
      </c>
      <c r="C402" s="9" t="s">
        <v>375</v>
      </c>
      <c r="D402" s="1" t="s">
        <v>388</v>
      </c>
      <c r="E402" s="1" t="s">
        <v>397</v>
      </c>
      <c r="F402" s="1" t="s">
        <v>398</v>
      </c>
      <c r="G402" s="1" t="s">
        <v>365</v>
      </c>
      <c r="H402" s="2">
        <v>-40</v>
      </c>
      <c r="I402" s="16">
        <v>552.4</v>
      </c>
      <c r="J402" s="1" t="s">
        <v>369</v>
      </c>
      <c r="K402" s="6">
        <f>Registro_Ordini[[#This Row],[Numero]]*Registro_Ordini[[#This Row],[Prezzo]]</f>
        <v>-22096</v>
      </c>
      <c r="L402" s="10">
        <v>1.0000001300000001</v>
      </c>
      <c r="M402" s="6">
        <f>Registro_Ordini[[#This Row],[Importo]]*Registro_Ordini[[#This Row],[Cambio]]</f>
        <v>-22096.002872480003</v>
      </c>
      <c r="N402" s="1">
        <f ca="1">IFERROR(_xlfn.NUMBERVALUE(OFFSET(Origine,MATCH(Registro_Ordini[[#This Row],[Titolo]],Descrizioni,0),MATCH("Price",Intestazioni,0)-1,1,1)),"")</f>
        <v>536.6</v>
      </c>
      <c r="O402" s="18">
        <f ca="1">IF(OR(Registro_Ordini[[#This Row],[Price]]=0,Registro_Ordini[[#This Row],[Price]]=""),"",IF(Registro_Ordini[[#This Row],[Tipo]]="Sell",Registro_Ordini[[#This Row],[Prezzo]]/Registro_Ordini[[#This Row],[Price]]-1,Registro_Ordini[[#This Row],[Price]]/Registro_Ordini[[#This Row],[Prezzo]]-1))</f>
        <v>2.9444651509504149E-2</v>
      </c>
      <c r="P402" s="15">
        <v>-2.6590831791029945E-2</v>
      </c>
      <c r="Q402" s="3">
        <v>0.19548396795549478</v>
      </c>
      <c r="R402" s="3">
        <v>0.30311757147378821</v>
      </c>
      <c r="S402" s="3">
        <v>0.39577222991601096</v>
      </c>
      <c r="T402" s="3">
        <v>0</v>
      </c>
      <c r="U402" s="3">
        <v>0.10562623065470604</v>
      </c>
      <c r="V402" s="3"/>
      <c r="W402" s="4"/>
    </row>
    <row r="403" spans="1:23" s="1" customFormat="1" ht="24.95" customHeight="1" x14ac:dyDescent="0.2">
      <c r="A403" s="8">
        <v>45866.717581018522</v>
      </c>
      <c r="B403" s="7">
        <v>45866.717581018522</v>
      </c>
      <c r="C403" s="9" t="s">
        <v>367</v>
      </c>
      <c r="D403" s="1" t="s">
        <v>388</v>
      </c>
      <c r="E403" s="1" t="s">
        <v>397</v>
      </c>
      <c r="F403" s="1" t="s">
        <v>398</v>
      </c>
      <c r="G403" s="1" t="s">
        <v>365</v>
      </c>
      <c r="H403" s="2">
        <v>-145</v>
      </c>
      <c r="I403" s="16">
        <v>552.4</v>
      </c>
      <c r="J403" s="1" t="s">
        <v>369</v>
      </c>
      <c r="K403" s="6">
        <f>Registro_Ordini[[#This Row],[Numero]]*Registro_Ordini[[#This Row],[Prezzo]]</f>
        <v>-80098</v>
      </c>
      <c r="L403" s="10">
        <v>1.0000001300000001</v>
      </c>
      <c r="M403" s="6">
        <f>Registro_Ordini[[#This Row],[Importo]]*Registro_Ordini[[#This Row],[Cambio]]</f>
        <v>-80098.010412740012</v>
      </c>
      <c r="N403" s="1">
        <f ca="1">IFERROR(_xlfn.NUMBERVALUE(OFFSET(Origine,MATCH(Registro_Ordini[[#This Row],[Titolo]],Descrizioni,0),MATCH("Price",Intestazioni,0)-1,1,1)),"")</f>
        <v>536.6</v>
      </c>
      <c r="O403" s="18">
        <f ca="1">IF(OR(Registro_Ordini[[#This Row],[Price]]=0,Registro_Ordini[[#This Row],[Price]]=""),"",IF(Registro_Ordini[[#This Row],[Tipo]]="Sell",Registro_Ordini[[#This Row],[Prezzo]]/Registro_Ordini[[#This Row],[Price]]-1,Registro_Ordini[[#This Row],[Price]]/Registro_Ordini[[#This Row],[Prezzo]]-1))</f>
        <v>2.9444651509504149E-2</v>
      </c>
      <c r="P403" s="15">
        <v>-2.3002694023162042E-2</v>
      </c>
      <c r="Q403" s="3">
        <v>0.20095577462430053</v>
      </c>
      <c r="R403" s="3">
        <v>0.35912460335849644</v>
      </c>
      <c r="S403" s="3">
        <v>0.38653059999751882</v>
      </c>
      <c r="T403" s="3">
        <v>0</v>
      </c>
      <c r="U403" s="3">
        <v>5.3389022019684158E-2</v>
      </c>
      <c r="V403" s="3"/>
      <c r="W403" s="4"/>
    </row>
    <row r="404" spans="1:23" s="1" customFormat="1" ht="24.95" customHeight="1" x14ac:dyDescent="0.2">
      <c r="A404" s="8">
        <v>45866.717569444445</v>
      </c>
      <c r="B404" s="7">
        <v>45866.717569444445</v>
      </c>
      <c r="C404" s="9" t="s">
        <v>376</v>
      </c>
      <c r="D404" s="1" t="s">
        <v>388</v>
      </c>
      <c r="E404" s="1" t="s">
        <v>397</v>
      </c>
      <c r="F404" s="1" t="s">
        <v>398</v>
      </c>
      <c r="G404" s="1" t="s">
        <v>365</v>
      </c>
      <c r="H404" s="2">
        <v>-10</v>
      </c>
      <c r="I404" s="16">
        <v>552.4</v>
      </c>
      <c r="J404" s="1" t="s">
        <v>369</v>
      </c>
      <c r="K404" s="6">
        <f>Registro_Ordini[[#This Row],[Numero]]*Registro_Ordini[[#This Row],[Prezzo]]</f>
        <v>-5524</v>
      </c>
      <c r="L404" s="10">
        <v>1.0000001300000001</v>
      </c>
      <c r="M404" s="6">
        <f>Registro_Ordini[[#This Row],[Importo]]*Registro_Ordini[[#This Row],[Cambio]]</f>
        <v>-5524.0007181200008</v>
      </c>
      <c r="N404" s="1">
        <f ca="1">IFERROR(_xlfn.NUMBERVALUE(OFFSET(Origine,MATCH(Registro_Ordini[[#This Row],[Titolo]],Descrizioni,0),MATCH("Price",Intestazioni,0)-1,1,1)),"")</f>
        <v>536.6</v>
      </c>
      <c r="O404" s="18">
        <f ca="1">IF(OR(Registro_Ordini[[#This Row],[Price]]=0,Registro_Ordini[[#This Row],[Price]]=""),"",IF(Registro_Ordini[[#This Row],[Tipo]]="Sell",Registro_Ordini[[#This Row],[Prezzo]]/Registro_Ordini[[#This Row],[Price]]-1,Registro_Ordini[[#This Row],[Price]]/Registro_Ordini[[#This Row],[Prezzo]]-1))</f>
        <v>2.9444651509504149E-2</v>
      </c>
      <c r="P404" s="15">
        <v>-1.9458426097182104E-2</v>
      </c>
      <c r="Q404" s="3">
        <v>0.10811220241809263</v>
      </c>
      <c r="R404" s="3">
        <v>0.31145973019225803</v>
      </c>
      <c r="S404" s="3">
        <v>0.45302899351863468</v>
      </c>
      <c r="T404" s="3">
        <v>0</v>
      </c>
      <c r="U404" s="3">
        <v>0.12739907387101468</v>
      </c>
      <c r="V404" s="3"/>
      <c r="W404" s="4"/>
    </row>
    <row r="405" spans="1:23" s="1" customFormat="1" ht="24.95" customHeight="1" x14ac:dyDescent="0.2">
      <c r="A405" s="8">
        <v>45866.717557870368</v>
      </c>
      <c r="B405" s="7">
        <v>45866.717557870368</v>
      </c>
      <c r="C405" s="9" t="s">
        <v>377</v>
      </c>
      <c r="D405" s="1" t="s">
        <v>388</v>
      </c>
      <c r="E405" s="1" t="s">
        <v>397</v>
      </c>
      <c r="F405" s="1" t="s">
        <v>398</v>
      </c>
      <c r="G405" s="1" t="s">
        <v>365</v>
      </c>
      <c r="H405" s="2">
        <v>-60</v>
      </c>
      <c r="I405" s="16">
        <v>552.4</v>
      </c>
      <c r="J405" s="1" t="s">
        <v>369</v>
      </c>
      <c r="K405" s="6">
        <f>Registro_Ordini[[#This Row],[Numero]]*Registro_Ordini[[#This Row],[Prezzo]]</f>
        <v>-33144</v>
      </c>
      <c r="L405" s="10">
        <v>1.0000001300000001</v>
      </c>
      <c r="M405" s="6">
        <f>Registro_Ordini[[#This Row],[Importo]]*Registro_Ordini[[#This Row],[Cambio]]</f>
        <v>-33144.004308720003</v>
      </c>
      <c r="N405" s="1">
        <f ca="1">IFERROR(_xlfn.NUMBERVALUE(OFFSET(Origine,MATCH(Registro_Ordini[[#This Row],[Titolo]],Descrizioni,0),MATCH("Price",Intestazioni,0)-1,1,1)),"")</f>
        <v>536.6</v>
      </c>
      <c r="O405" s="18">
        <f ca="1">IF(OR(Registro_Ordini[[#This Row],[Price]]=0,Registro_Ordini[[#This Row],[Price]]=""),"",IF(Registro_Ordini[[#This Row],[Tipo]]="Sell",Registro_Ordini[[#This Row],[Prezzo]]/Registro_Ordini[[#This Row],[Price]]-1,Registro_Ordini[[#This Row],[Price]]/Registro_Ordini[[#This Row],[Prezzo]]-1))</f>
        <v>2.9444651509504149E-2</v>
      </c>
      <c r="P405" s="15">
        <v>-2.0474121247160124E-2</v>
      </c>
      <c r="Q405" s="3">
        <v>0.18243518980635323</v>
      </c>
      <c r="R405" s="3">
        <v>0.28536498434244717</v>
      </c>
      <c r="S405" s="3">
        <v>0.42672326132337868</v>
      </c>
      <c r="T405" s="3">
        <v>0</v>
      </c>
      <c r="U405" s="3">
        <v>0.10547656452782092</v>
      </c>
      <c r="V405" s="3"/>
      <c r="W405" s="4"/>
    </row>
    <row r="406" spans="1:23" s="1" customFormat="1" ht="24.95" customHeight="1" x14ac:dyDescent="0.2">
      <c r="A406" s="8">
        <v>45866.717546296299</v>
      </c>
      <c r="B406" s="7">
        <v>45866.717546296299</v>
      </c>
      <c r="C406" s="9" t="s">
        <v>378</v>
      </c>
      <c r="D406" s="1" t="s">
        <v>388</v>
      </c>
      <c r="E406" s="1" t="s">
        <v>397</v>
      </c>
      <c r="F406" s="1" t="s">
        <v>398</v>
      </c>
      <c r="G406" s="1" t="s">
        <v>365</v>
      </c>
      <c r="H406" s="2">
        <v>-20</v>
      </c>
      <c r="I406" s="16">
        <v>552.4</v>
      </c>
      <c r="J406" s="1" t="s">
        <v>369</v>
      </c>
      <c r="K406" s="6">
        <f>Registro_Ordini[[#This Row],[Numero]]*Registro_Ordini[[#This Row],[Prezzo]]</f>
        <v>-11048</v>
      </c>
      <c r="L406" s="10">
        <v>1.0000001300000001</v>
      </c>
      <c r="M406" s="6">
        <f>Registro_Ordini[[#This Row],[Importo]]*Registro_Ordini[[#This Row],[Cambio]]</f>
        <v>-11048.001436240002</v>
      </c>
      <c r="N406" s="1">
        <f ca="1">IFERROR(_xlfn.NUMBERVALUE(OFFSET(Origine,MATCH(Registro_Ordini[[#This Row],[Titolo]],Descrizioni,0),MATCH("Price",Intestazioni,0)-1,1,1)),"")</f>
        <v>536.6</v>
      </c>
      <c r="O406" s="18">
        <f ca="1">IF(OR(Registro_Ordini[[#This Row],[Price]]=0,Registro_Ordini[[#This Row],[Price]]=""),"",IF(Registro_Ordini[[#This Row],[Tipo]]="Sell",Registro_Ordini[[#This Row],[Prezzo]]/Registro_Ordini[[#This Row],[Price]]-1,Registro_Ordini[[#This Row],[Price]]/Registro_Ordini[[#This Row],[Prezzo]]-1))</f>
        <v>2.9444651509504149E-2</v>
      </c>
      <c r="P406" s="15">
        <v>-2.0958897609857228E-2</v>
      </c>
      <c r="Q406" s="3">
        <v>0.17143936086670822</v>
      </c>
      <c r="R406" s="3">
        <v>0.29054763207066892</v>
      </c>
      <c r="S406" s="3">
        <v>0.43776210064931431</v>
      </c>
      <c r="T406" s="3">
        <v>0</v>
      </c>
      <c r="U406" s="3">
        <v>0.10025090641330844</v>
      </c>
      <c r="V406" s="3"/>
      <c r="W406" s="4"/>
    </row>
    <row r="407" spans="1:23" s="1" customFormat="1" ht="24.95" customHeight="1" x14ac:dyDescent="0.2">
      <c r="A407" s="8">
        <v>45866.706064814818</v>
      </c>
      <c r="B407" s="7">
        <v>45866.706064814818</v>
      </c>
      <c r="C407" s="9" t="s">
        <v>376</v>
      </c>
      <c r="D407" s="1" t="s">
        <v>388</v>
      </c>
      <c r="E407" s="1" t="s">
        <v>389</v>
      </c>
      <c r="F407" s="1" t="s">
        <v>399</v>
      </c>
      <c r="G407" s="1" t="s">
        <v>365</v>
      </c>
      <c r="H407" s="2">
        <v>-10</v>
      </c>
      <c r="I407" s="16">
        <v>682.34</v>
      </c>
      <c r="J407" s="1" t="s">
        <v>366</v>
      </c>
      <c r="K407" s="6">
        <f>Registro_Ordini[[#This Row],[Numero]]*Registro_Ordini[[#This Row],[Prezzo]]</f>
        <v>-6823.4000000000005</v>
      </c>
      <c r="L407" s="10">
        <v>0.80095000000000005</v>
      </c>
      <c r="M407" s="6">
        <f>Registro_Ordini[[#This Row],[Importo]]*Registro_Ordini[[#This Row],[Cambio]]</f>
        <v>-5465.2022300000008</v>
      </c>
      <c r="N407" s="1">
        <f ca="1">IFERROR(_xlfn.NUMBERVALUE(OFFSET(Origine,MATCH(Registro_Ordini[[#This Row],[Titolo]],Descrizioni,0),MATCH("Price",Intestazioni,0)-1,1,1)),"")</f>
        <v>727.16</v>
      </c>
      <c r="O407" s="18">
        <f ca="1">IF(OR(Registro_Ordini[[#This Row],[Price]]=0,Registro_Ordini[[#This Row],[Price]]=""),"",IF(Registro_Ordini[[#This Row],[Tipo]]="Sell",Registro_Ordini[[#This Row],[Prezzo]]/Registro_Ordini[[#This Row],[Price]]-1,Registro_Ordini[[#This Row],[Price]]/Registro_Ordini[[#This Row],[Prezzo]]-1))</f>
        <v>-6.1637053743330172E-2</v>
      </c>
      <c r="P407" s="15">
        <v>-1.9250628892915435E-2</v>
      </c>
      <c r="Q407" s="3">
        <v>8.8650653579796915E-2</v>
      </c>
      <c r="R407" s="3">
        <v>0.31144875933297755</v>
      </c>
      <c r="S407" s="3">
        <v>0.47250600072190235</v>
      </c>
      <c r="T407" s="3">
        <v>0</v>
      </c>
      <c r="U407" s="3">
        <v>0.12739458636532319</v>
      </c>
      <c r="V407" s="3"/>
      <c r="W407" s="4"/>
    </row>
    <row r="408" spans="1:23" s="1" customFormat="1" ht="24.95" customHeight="1" x14ac:dyDescent="0.2">
      <c r="A408" s="8">
        <v>45866.705335648148</v>
      </c>
      <c r="B408" s="7">
        <v>45866.705335648148</v>
      </c>
      <c r="C408" s="9" t="s">
        <v>377</v>
      </c>
      <c r="D408" s="1" t="s">
        <v>388</v>
      </c>
      <c r="E408" s="1" t="s">
        <v>389</v>
      </c>
      <c r="F408" s="1" t="s">
        <v>400</v>
      </c>
      <c r="G408" s="1" t="s">
        <v>365</v>
      </c>
      <c r="H408" s="2">
        <v>-350</v>
      </c>
      <c r="I408" s="16">
        <v>80.984999999999999</v>
      </c>
      <c r="J408" s="1" t="s">
        <v>366</v>
      </c>
      <c r="K408" s="6">
        <f>Registro_Ordini[[#This Row],[Numero]]*Registro_Ordini[[#This Row],[Prezzo]]</f>
        <v>-28344.75</v>
      </c>
      <c r="L408" s="10">
        <v>0.80095000000000005</v>
      </c>
      <c r="M408" s="6">
        <f>Registro_Ordini[[#This Row],[Importo]]*Registro_Ordini[[#This Row],[Cambio]]</f>
        <v>-22702.727512500001</v>
      </c>
      <c r="N408" s="1">
        <f ca="1">IFERROR(_xlfn.NUMBERVALUE(OFFSET(Origine,MATCH(Registro_Ordini[[#This Row],[Titolo]],Descrizioni,0),MATCH("Price",Intestazioni,0)-1,1,1)),"")</f>
        <v>87.63</v>
      </c>
      <c r="O408" s="18">
        <f ca="1">IF(OR(Registro_Ordini[[#This Row],[Price]]=0,Registro_Ordini[[#This Row],[Price]]=""),"",IF(Registro_Ordini[[#This Row],[Tipo]]="Sell",Registro_Ordini[[#This Row],[Prezzo]]/Registro_Ordini[[#This Row],[Price]]-1,Registro_Ordini[[#This Row],[Price]]/Registro_Ordini[[#This Row],[Prezzo]]-1))</f>
        <v>-7.583019513865108E-2</v>
      </c>
      <c r="P408" s="15">
        <v>-1.4024686254389062E-2</v>
      </c>
      <c r="Q408" s="3">
        <v>0.16196103972391551</v>
      </c>
      <c r="R408" s="3">
        <v>0.28537472486842652</v>
      </c>
      <c r="S408" s="3">
        <v>0.44718407058802351</v>
      </c>
      <c r="T408" s="3">
        <v>0</v>
      </c>
      <c r="U408" s="3">
        <v>0.10548016481963446</v>
      </c>
      <c r="V408" s="3"/>
      <c r="W408" s="4"/>
    </row>
    <row r="409" spans="1:23" s="1" customFormat="1" ht="24.95" customHeight="1" x14ac:dyDescent="0.2">
      <c r="A409" s="8">
        <v>45866.705324074072</v>
      </c>
      <c r="B409" s="7">
        <v>45866.705324074072</v>
      </c>
      <c r="C409" s="9" t="s">
        <v>378</v>
      </c>
      <c r="D409" s="1" t="s">
        <v>388</v>
      </c>
      <c r="E409" s="1" t="s">
        <v>389</v>
      </c>
      <c r="F409" s="1" t="s">
        <v>400</v>
      </c>
      <c r="G409" s="1" t="s">
        <v>365</v>
      </c>
      <c r="H409" s="2">
        <v>-115</v>
      </c>
      <c r="I409" s="16">
        <v>80.984999999999999</v>
      </c>
      <c r="J409" s="1" t="s">
        <v>366</v>
      </c>
      <c r="K409" s="6">
        <f>Registro_Ordini[[#This Row],[Numero]]*Registro_Ordini[[#This Row],[Prezzo]]</f>
        <v>-9313.2749999999996</v>
      </c>
      <c r="L409" s="10">
        <v>0.80095000000000005</v>
      </c>
      <c r="M409" s="6">
        <f>Registro_Ordini[[#This Row],[Importo]]*Registro_Ordini[[#This Row],[Cambio]]</f>
        <v>-7459.4676112500001</v>
      </c>
      <c r="N409" s="1">
        <f ca="1">IFERROR(_xlfn.NUMBERVALUE(OFFSET(Origine,MATCH(Registro_Ordini[[#This Row],[Titolo]],Descrizioni,0),MATCH("Price",Intestazioni,0)-1,1,1)),"")</f>
        <v>87.63</v>
      </c>
      <c r="O409" s="18">
        <f ca="1">IF(OR(Registro_Ordini[[#This Row],[Price]]=0,Registro_Ordini[[#This Row],[Price]]=""),"",IF(Registro_Ordini[[#This Row],[Tipo]]="Sell",Registro_Ordini[[#This Row],[Prezzo]]/Registro_Ordini[[#This Row],[Price]]-1,Registro_Ordini[[#This Row],[Price]]/Registro_Ordini[[#This Row],[Prezzo]]-1))</f>
        <v>-7.583019513865108E-2</v>
      </c>
      <c r="P409" s="15">
        <v>-1.4151654842112485E-2</v>
      </c>
      <c r="Q409" s="3">
        <v>0.15048100984986312</v>
      </c>
      <c r="R409" s="3">
        <v>0.29055745400348926</v>
      </c>
      <c r="S409" s="3">
        <v>0.45870724076175834</v>
      </c>
      <c r="T409" s="3">
        <v>0</v>
      </c>
      <c r="U409" s="3">
        <v>0.10025429538488929</v>
      </c>
      <c r="V409" s="3"/>
      <c r="W409" s="4"/>
    </row>
    <row r="410" spans="1:23" s="1" customFormat="1" ht="24.95" customHeight="1" x14ac:dyDescent="0.2">
      <c r="A410" s="8">
        <v>45866.623506944445</v>
      </c>
      <c r="B410" s="7">
        <v>45866.623506944445</v>
      </c>
      <c r="C410" s="9" t="s">
        <v>373</v>
      </c>
      <c r="D410" s="1" t="s">
        <v>388</v>
      </c>
      <c r="E410" s="1" t="s">
        <v>397</v>
      </c>
      <c r="F410" s="1" t="s">
        <v>401</v>
      </c>
      <c r="G410" s="1" t="s">
        <v>365</v>
      </c>
      <c r="H410" s="2">
        <v>-120</v>
      </c>
      <c r="I410" s="16">
        <v>87.424999999999997</v>
      </c>
      <c r="J410" s="1" t="s">
        <v>369</v>
      </c>
      <c r="K410" s="6">
        <f>Registro_Ordini[[#This Row],[Numero]]*Registro_Ordini[[#This Row],[Prezzo]]</f>
        <v>-10491</v>
      </c>
      <c r="L410" s="10">
        <v>1.0000001300000001</v>
      </c>
      <c r="M410" s="6">
        <f>Registro_Ordini[[#This Row],[Importo]]*Registro_Ordini[[#This Row],[Cambio]]</f>
        <v>-10491.001363830001</v>
      </c>
      <c r="N410" s="1">
        <f ca="1">IFERROR(_xlfn.NUMBERVALUE(OFFSET(Origine,MATCH(Registro_Ordini[[#This Row],[Titolo]],Descrizioni,0),MATCH("Price",Intestazioni,0)-1,1,1)),"")</f>
        <v>94.8</v>
      </c>
      <c r="O410" s="18">
        <f ca="1">IF(OR(Registro_Ordini[[#This Row],[Price]]=0,Registro_Ordini[[#This Row],[Price]]=""),"",IF(Registro_Ordini[[#This Row],[Tipo]]="Sell",Registro_Ordini[[#This Row],[Prezzo]]/Registro_Ordini[[#This Row],[Price]]-1,Registro_Ordini[[#This Row],[Price]]/Registro_Ordini[[#This Row],[Prezzo]]-1))</f>
        <v>-7.7795358649789037E-2</v>
      </c>
      <c r="P410" s="15">
        <v>-1.4807073295173303E-2</v>
      </c>
      <c r="Q410" s="3">
        <v>0.73590598613632896</v>
      </c>
      <c r="R410" s="3">
        <v>4.2596270331553741E-2</v>
      </c>
      <c r="S410" s="3">
        <v>0.17365103828892076</v>
      </c>
      <c r="T410" s="3">
        <v>0</v>
      </c>
      <c r="U410" s="3">
        <v>4.7846705243196549E-2</v>
      </c>
      <c r="V410" s="3"/>
      <c r="W410" s="4"/>
    </row>
    <row r="411" spans="1:23" s="1" customFormat="1" ht="24.95" customHeight="1" x14ac:dyDescent="0.2">
      <c r="A411" s="8">
        <v>45866.623495370368</v>
      </c>
      <c r="B411" s="7">
        <v>45866.623495370368</v>
      </c>
      <c r="C411" s="9" t="s">
        <v>367</v>
      </c>
      <c r="D411" s="1" t="s">
        <v>388</v>
      </c>
      <c r="E411" s="1" t="s">
        <v>397</v>
      </c>
      <c r="F411" s="1" t="s">
        <v>401</v>
      </c>
      <c r="G411" s="1" t="s">
        <v>365</v>
      </c>
      <c r="H411" s="2">
        <v>-500</v>
      </c>
      <c r="I411" s="16">
        <v>87.424999999999997</v>
      </c>
      <c r="J411" s="1" t="s">
        <v>369</v>
      </c>
      <c r="K411" s="6">
        <f>Registro_Ordini[[#This Row],[Numero]]*Registro_Ordini[[#This Row],[Prezzo]]</f>
        <v>-43712.5</v>
      </c>
      <c r="L411" s="10">
        <v>1.0000001300000001</v>
      </c>
      <c r="M411" s="6">
        <f>Registro_Ordini[[#This Row],[Importo]]*Registro_Ordini[[#This Row],[Cambio]]</f>
        <v>-43712.505682625007</v>
      </c>
      <c r="N411" s="1">
        <f ca="1">IFERROR(_xlfn.NUMBERVALUE(OFFSET(Origine,MATCH(Registro_Ordini[[#This Row],[Titolo]],Descrizioni,0),MATCH("Price",Intestazioni,0)-1,1,1)),"")</f>
        <v>94.8</v>
      </c>
      <c r="O411" s="18">
        <f ca="1">IF(OR(Registro_Ordini[[#This Row],[Price]]=0,Registro_Ordini[[#This Row],[Price]]=""),"",IF(Registro_Ordini[[#This Row],[Tipo]]="Sell",Registro_Ordini[[#This Row],[Prezzo]]/Registro_Ordini[[#This Row],[Price]]-1,Registro_Ordini[[#This Row],[Price]]/Registro_Ordini[[#This Row],[Prezzo]]-1))</f>
        <v>-7.7795358649789037E-2</v>
      </c>
      <c r="P411" s="15">
        <v>-1.253293366203773E-2</v>
      </c>
      <c r="Q411" s="3">
        <v>0.17776653147674626</v>
      </c>
      <c r="R411" s="3">
        <v>0.35849358670039316</v>
      </c>
      <c r="S411" s="3">
        <v>0.41043806276256234</v>
      </c>
      <c r="T411" s="3">
        <v>0</v>
      </c>
      <c r="U411" s="3">
        <v>5.3301819060298107E-2</v>
      </c>
      <c r="V411" s="3"/>
      <c r="W411" s="4"/>
    </row>
    <row r="412" spans="1:23" s="1" customFormat="1" ht="24.95" customHeight="1" x14ac:dyDescent="0.2">
      <c r="A412" s="8">
        <v>45863.731782407405</v>
      </c>
      <c r="B412" s="7">
        <v>45863.731782407405</v>
      </c>
      <c r="C412" s="9" t="s">
        <v>379</v>
      </c>
      <c r="D412" s="1" t="s">
        <v>388</v>
      </c>
      <c r="E412" s="1" t="s">
        <v>389</v>
      </c>
      <c r="F412" s="1" t="s">
        <v>390</v>
      </c>
      <c r="G412" s="1" t="s">
        <v>371</v>
      </c>
      <c r="H412" s="2">
        <v>35</v>
      </c>
      <c r="I412" s="16">
        <v>409.81928599999998</v>
      </c>
      <c r="J412" s="1" t="s">
        <v>381</v>
      </c>
      <c r="K412" s="6">
        <f>Registro_Ordini[[#This Row],[Numero]]*Registro_Ordini[[#This Row],[Prezzo]]</f>
        <v>14343.675009999999</v>
      </c>
      <c r="L412" s="10">
        <v>1</v>
      </c>
      <c r="M412" s="6">
        <f>Registro_Ordini[[#This Row],[Importo]]*Registro_Ordini[[#This Row],[Cambio]]</f>
        <v>14343.675009999999</v>
      </c>
      <c r="N412" s="1">
        <f ca="1">IFERROR(_xlfn.NUMBERVALUE(OFFSET(Origine,MATCH(Registro_Ordini[[#This Row],[Titolo]],Descrizioni,0),MATCH("Price",Intestazioni,0)-1,1,1)),"")</f>
        <v>422.85</v>
      </c>
      <c r="O412" s="18">
        <f ca="1">IF(OR(Registro_Ordini[[#This Row],[Price]]=0,Registro_Ordini[[#This Row],[Price]]=""),"",IF(Registro_Ordini[[#This Row],[Tipo]]="Sell",Registro_Ordini[[#This Row],[Prezzo]]/Registro_Ordini[[#This Row],[Price]]-1,Registro_Ordini[[#This Row],[Price]]/Registro_Ordini[[#This Row],[Prezzo]]-1))</f>
        <v>3.1796243966907944E-2</v>
      </c>
      <c r="P412" s="15">
        <v>2.5090660250063467E-2</v>
      </c>
      <c r="Q412" s="3">
        <v>0.18051719277604111</v>
      </c>
      <c r="R412" s="3">
        <v>0.28873762286376364</v>
      </c>
      <c r="S412" s="3">
        <v>0.41979342328910429</v>
      </c>
      <c r="T412" s="3">
        <v>0</v>
      </c>
      <c r="U412" s="3">
        <v>0.11095176107109102</v>
      </c>
      <c r="V412" s="3"/>
      <c r="W412" s="4"/>
    </row>
    <row r="413" spans="1:23" s="1" customFormat="1" ht="24.95" customHeight="1" x14ac:dyDescent="0.2">
      <c r="A413" s="8">
        <v>45863.731770833336</v>
      </c>
      <c r="B413" s="7">
        <v>45863.731770833336</v>
      </c>
      <c r="C413" s="9" t="s">
        <v>382</v>
      </c>
      <c r="D413" s="1" t="s">
        <v>388</v>
      </c>
      <c r="E413" s="1" t="s">
        <v>389</v>
      </c>
      <c r="F413" s="1" t="s">
        <v>390</v>
      </c>
      <c r="G413" s="1" t="s">
        <v>371</v>
      </c>
      <c r="H413" s="2">
        <v>65</v>
      </c>
      <c r="I413" s="16">
        <v>409.81928599999998</v>
      </c>
      <c r="J413" s="1" t="s">
        <v>381</v>
      </c>
      <c r="K413" s="6">
        <f>Registro_Ordini[[#This Row],[Numero]]*Registro_Ordini[[#This Row],[Prezzo]]</f>
        <v>26638.25359</v>
      </c>
      <c r="L413" s="10">
        <v>1</v>
      </c>
      <c r="M413" s="6">
        <f>Registro_Ordini[[#This Row],[Importo]]*Registro_Ordini[[#This Row],[Cambio]]</f>
        <v>26638.25359</v>
      </c>
      <c r="N413" s="1">
        <f ca="1">IFERROR(_xlfn.NUMBERVALUE(OFFSET(Origine,MATCH(Registro_Ordini[[#This Row],[Titolo]],Descrizioni,0),MATCH("Price",Intestazioni,0)-1,1,1)),"")</f>
        <v>422.85</v>
      </c>
      <c r="O413" s="18">
        <f ca="1">IF(OR(Registro_Ordini[[#This Row],[Price]]=0,Registro_Ordini[[#This Row],[Price]]=""),"",IF(Registro_Ordini[[#This Row],[Tipo]]="Sell",Registro_Ordini[[#This Row],[Prezzo]]/Registro_Ordini[[#This Row],[Price]]-1,Registro_Ordini[[#This Row],[Price]]/Registro_Ordini[[#This Row],[Prezzo]]-1))</f>
        <v>3.1796243966907944E-2</v>
      </c>
      <c r="P413" s="15">
        <v>2.5557320515477506E-2</v>
      </c>
      <c r="Q413" s="3">
        <v>0.176044648973884</v>
      </c>
      <c r="R413" s="3">
        <v>0.28381161690122936</v>
      </c>
      <c r="S413" s="3">
        <v>0.42402701451708591</v>
      </c>
      <c r="T413" s="3">
        <v>0</v>
      </c>
      <c r="U413" s="3">
        <v>0.11611671960780072</v>
      </c>
      <c r="V413" s="3"/>
      <c r="W413" s="4"/>
    </row>
    <row r="414" spans="1:23" s="1" customFormat="1" ht="24.95" customHeight="1" x14ac:dyDescent="0.2">
      <c r="A414" s="8">
        <v>45863.731759259259</v>
      </c>
      <c r="B414" s="7">
        <v>45863.731759259259</v>
      </c>
      <c r="C414" s="9" t="s">
        <v>383</v>
      </c>
      <c r="D414" s="1" t="s">
        <v>388</v>
      </c>
      <c r="E414" s="1" t="s">
        <v>389</v>
      </c>
      <c r="F414" s="1" t="s">
        <v>390</v>
      </c>
      <c r="G414" s="1" t="s">
        <v>371</v>
      </c>
      <c r="H414" s="2">
        <v>40</v>
      </c>
      <c r="I414" s="16">
        <v>409.81928599999998</v>
      </c>
      <c r="J414" s="1" t="s">
        <v>381</v>
      </c>
      <c r="K414" s="6">
        <f>Registro_Ordini[[#This Row],[Numero]]*Registro_Ordini[[#This Row],[Prezzo]]</f>
        <v>16392.77144</v>
      </c>
      <c r="L414" s="10">
        <v>1</v>
      </c>
      <c r="M414" s="6">
        <f>Registro_Ordini[[#This Row],[Importo]]*Registro_Ordini[[#This Row],[Cambio]]</f>
        <v>16392.77144</v>
      </c>
      <c r="N414" s="1">
        <f ca="1">IFERROR(_xlfn.NUMBERVALUE(OFFSET(Origine,MATCH(Registro_Ordini[[#This Row],[Titolo]],Descrizioni,0),MATCH("Price",Intestazioni,0)-1,1,1)),"")</f>
        <v>422.85</v>
      </c>
      <c r="O414" s="18">
        <f ca="1">IF(OR(Registro_Ordini[[#This Row],[Price]]=0,Registro_Ordini[[#This Row],[Price]]=""),"",IF(Registro_Ordini[[#This Row],[Tipo]]="Sell",Registro_Ordini[[#This Row],[Prezzo]]/Registro_Ordini[[#This Row],[Price]]-1,Registro_Ordini[[#This Row],[Price]]/Registro_Ordini[[#This Row],[Prezzo]]-1))</f>
        <v>3.1796243966907944E-2</v>
      </c>
      <c r="P414" s="15">
        <v>2.5842036375055468E-2</v>
      </c>
      <c r="Q414" s="3">
        <v>0.18662613988901289</v>
      </c>
      <c r="R414" s="3">
        <v>0.27156586520435916</v>
      </c>
      <c r="S414" s="3">
        <v>0.42963903537061515</v>
      </c>
      <c r="T414" s="3">
        <v>0</v>
      </c>
      <c r="U414" s="3">
        <v>0.112168959536013</v>
      </c>
      <c r="V414" s="3"/>
      <c r="W414" s="4"/>
    </row>
    <row r="415" spans="1:23" s="1" customFormat="1" ht="24.95" customHeight="1" x14ac:dyDescent="0.2">
      <c r="A415" s="8">
        <v>45863.731099537035</v>
      </c>
      <c r="B415" s="7">
        <v>45863.731099537035</v>
      </c>
      <c r="C415" s="9" t="s">
        <v>78</v>
      </c>
      <c r="D415" s="1" t="s">
        <v>388</v>
      </c>
      <c r="E415" s="1" t="s">
        <v>389</v>
      </c>
      <c r="F415" s="1" t="s">
        <v>402</v>
      </c>
      <c r="G415" s="1" t="s">
        <v>371</v>
      </c>
      <c r="H415" s="2">
        <v>70</v>
      </c>
      <c r="I415" s="16">
        <v>381.63490000000002</v>
      </c>
      <c r="J415" s="1" t="s">
        <v>369</v>
      </c>
      <c r="K415" s="6">
        <f>Registro_Ordini[[#This Row],[Numero]]*Registro_Ordini[[#This Row],[Prezzo]]</f>
        <v>26714.442999999999</v>
      </c>
      <c r="L415" s="10">
        <v>1.0000001300000001</v>
      </c>
      <c r="M415" s="6">
        <f>Registro_Ordini[[#This Row],[Importo]]*Registro_Ordini[[#This Row],[Cambio]]</f>
        <v>26714.446472877593</v>
      </c>
      <c r="N415" s="1">
        <f ca="1">IFERROR(_xlfn.NUMBERVALUE(OFFSET(Origine,MATCH(Registro_Ordini[[#This Row],[Titolo]],Descrizioni,0),MATCH("Price",Intestazioni,0)-1,1,1)),"")</f>
        <v>392.75</v>
      </c>
      <c r="O415" s="18">
        <f ca="1">IF(OR(Registro_Ordini[[#This Row],[Price]]=0,Registro_Ordini[[#This Row],[Price]]=""),"",IF(Registro_Ordini[[#This Row],[Tipo]]="Sell",Registro_Ordini[[#This Row],[Prezzo]]/Registro_Ordini[[#This Row],[Price]]-1,Registro_Ordini[[#This Row],[Price]]/Registro_Ordini[[#This Row],[Prezzo]]-1))</f>
        <v>2.9124956863221918E-2</v>
      </c>
      <c r="P415" s="15">
        <v>4.9606181518259726E-2</v>
      </c>
      <c r="Q415" s="3">
        <v>0.15196301717983821</v>
      </c>
      <c r="R415" s="3">
        <v>0.12997527431789263</v>
      </c>
      <c r="S415" s="3">
        <v>0.62049063775686919</v>
      </c>
      <c r="T415" s="3">
        <v>0</v>
      </c>
      <c r="U415" s="3">
        <v>9.7571070745400057E-2</v>
      </c>
      <c r="V415" s="3"/>
      <c r="W415" s="4"/>
    </row>
    <row r="416" spans="1:23" s="1" customFormat="1" ht="24.95" customHeight="1" x14ac:dyDescent="0.2">
      <c r="A416" s="8">
        <v>45863.730891203704</v>
      </c>
      <c r="B416" s="7">
        <v>45863.730891203704</v>
      </c>
      <c r="C416" s="9" t="s">
        <v>373</v>
      </c>
      <c r="D416" s="1" t="s">
        <v>388</v>
      </c>
      <c r="E416" s="1" t="s">
        <v>389</v>
      </c>
      <c r="F416" s="1" t="s">
        <v>402</v>
      </c>
      <c r="G416" s="1" t="s">
        <v>371</v>
      </c>
      <c r="H416" s="2">
        <v>40</v>
      </c>
      <c r="I416" s="16">
        <v>381.63490000000002</v>
      </c>
      <c r="J416" s="1" t="s">
        <v>369</v>
      </c>
      <c r="K416" s="6">
        <f>Registro_Ordini[[#This Row],[Numero]]*Registro_Ordini[[#This Row],[Prezzo]]</f>
        <v>15265.396000000001</v>
      </c>
      <c r="L416" s="10">
        <v>1.0000001300000001</v>
      </c>
      <c r="M416" s="6">
        <f>Registro_Ordini[[#This Row],[Importo]]*Registro_Ordini[[#This Row],[Cambio]]</f>
        <v>15265.397984501482</v>
      </c>
      <c r="N416" s="1">
        <f ca="1">IFERROR(_xlfn.NUMBERVALUE(OFFSET(Origine,MATCH(Registro_Ordini[[#This Row],[Titolo]],Descrizioni,0),MATCH("Price",Intestazioni,0)-1,1,1)),"")</f>
        <v>392.75</v>
      </c>
      <c r="O416" s="18">
        <f ca="1">IF(OR(Registro_Ordini[[#This Row],[Price]]=0,Registro_Ordini[[#This Row],[Price]]=""),"",IF(Registro_Ordini[[#This Row],[Tipo]]="Sell",Registro_Ordini[[#This Row],[Prezzo]]/Registro_Ordini[[#This Row],[Price]]-1,Registro_Ordini[[#This Row],[Price]]/Registro_Ordini[[#This Row],[Prezzo]]-1))</f>
        <v>2.9124956863221918E-2</v>
      </c>
      <c r="P416" s="15">
        <v>2.1570728185759367E-2</v>
      </c>
      <c r="Q416" s="3">
        <v>0.72192519293772606</v>
      </c>
      <c r="R416" s="3">
        <v>4.2616803174867504E-2</v>
      </c>
      <c r="S416" s="3">
        <v>0.1875556968986298</v>
      </c>
      <c r="T416" s="3">
        <v>0</v>
      </c>
      <c r="U416" s="3">
        <v>4.7902306988776608E-2</v>
      </c>
      <c r="V416" s="3"/>
      <c r="W416" s="4"/>
    </row>
    <row r="417" spans="1:23" s="1" customFormat="1" ht="24.95" customHeight="1" x14ac:dyDescent="0.2">
      <c r="A417" s="8">
        <v>45863.730879629627</v>
      </c>
      <c r="B417" s="7">
        <v>45863.730879629627</v>
      </c>
      <c r="C417" s="9" t="s">
        <v>367</v>
      </c>
      <c r="D417" s="1" t="s">
        <v>388</v>
      </c>
      <c r="E417" s="1" t="s">
        <v>389</v>
      </c>
      <c r="F417" s="1" t="s">
        <v>402</v>
      </c>
      <c r="G417" s="1" t="s">
        <v>371</v>
      </c>
      <c r="H417" s="2">
        <v>180</v>
      </c>
      <c r="I417" s="16">
        <v>381.75</v>
      </c>
      <c r="J417" s="1" t="s">
        <v>369</v>
      </c>
      <c r="K417" s="6">
        <f>Registro_Ordini[[#This Row],[Numero]]*Registro_Ordini[[#This Row],[Prezzo]]</f>
        <v>68715</v>
      </c>
      <c r="L417" s="10">
        <v>1.0000001300000001</v>
      </c>
      <c r="M417" s="6">
        <f>Registro_Ordini[[#This Row],[Importo]]*Registro_Ordini[[#This Row],[Cambio]]</f>
        <v>68715.008932950004</v>
      </c>
      <c r="N417" s="1">
        <f ca="1">IFERROR(_xlfn.NUMBERVALUE(OFFSET(Origine,MATCH(Registro_Ordini[[#This Row],[Titolo]],Descrizioni,0),MATCH("Price",Intestazioni,0)-1,1,1)),"")</f>
        <v>392.75</v>
      </c>
      <c r="O417" s="18">
        <f ca="1">IF(OR(Registro_Ordini[[#This Row],[Price]]=0,Registro_Ordini[[#This Row],[Price]]=""),"",IF(Registro_Ordini[[#This Row],[Tipo]]="Sell",Registro_Ordini[[#This Row],[Prezzo]]/Registro_Ordini[[#This Row],[Price]]-1,Registro_Ordini[[#This Row],[Price]]/Registro_Ordini[[#This Row],[Prezzo]]-1))</f>
        <v>2.8814669286182149E-2</v>
      </c>
      <c r="P417" s="15">
        <v>1.9720990239331444E-2</v>
      </c>
      <c r="Q417" s="3">
        <v>0.16540534193686329</v>
      </c>
      <c r="R417" s="3">
        <v>0.35884212291862216</v>
      </c>
      <c r="S417" s="3">
        <v>0.4223818147856197</v>
      </c>
      <c r="T417" s="3">
        <v>0</v>
      </c>
      <c r="U417" s="3">
        <v>5.3370720358894862E-2</v>
      </c>
      <c r="V417" s="3"/>
      <c r="W417" s="4"/>
    </row>
    <row r="418" spans="1:23" s="1" customFormat="1" ht="24.95" customHeight="1" x14ac:dyDescent="0.2">
      <c r="A418" s="8">
        <v>45863.730868055558</v>
      </c>
      <c r="B418" s="7">
        <v>45863.730868055558</v>
      </c>
      <c r="C418" s="9" t="s">
        <v>375</v>
      </c>
      <c r="D418" s="1" t="s">
        <v>388</v>
      </c>
      <c r="E418" s="1" t="s">
        <v>389</v>
      </c>
      <c r="F418" s="1" t="s">
        <v>402</v>
      </c>
      <c r="G418" s="1" t="s">
        <v>371</v>
      </c>
      <c r="H418" s="2">
        <v>40</v>
      </c>
      <c r="I418" s="16">
        <v>381.63490000000002</v>
      </c>
      <c r="J418" s="1" t="s">
        <v>369</v>
      </c>
      <c r="K418" s="6">
        <f>Registro_Ordini[[#This Row],[Numero]]*Registro_Ordini[[#This Row],[Prezzo]]</f>
        <v>15265.396000000001</v>
      </c>
      <c r="L418" s="10">
        <v>1.0000001300000001</v>
      </c>
      <c r="M418" s="6">
        <f>Registro_Ordini[[#This Row],[Importo]]*Registro_Ordini[[#This Row],[Cambio]]</f>
        <v>15265.397984501482</v>
      </c>
      <c r="N418" s="1">
        <f ca="1">IFERROR(_xlfn.NUMBERVALUE(OFFSET(Origine,MATCH(Registro_Ordini[[#This Row],[Titolo]],Descrizioni,0),MATCH("Price",Intestazioni,0)-1,1,1)),"")</f>
        <v>392.75</v>
      </c>
      <c r="O418" s="18">
        <f ca="1">IF(OR(Registro_Ordini[[#This Row],[Price]]=0,Registro_Ordini[[#This Row],[Price]]=""),"",IF(Registro_Ordini[[#This Row],[Tipo]]="Sell",Registro_Ordini[[#This Row],[Prezzo]]/Registro_Ordini[[#This Row],[Price]]-1,Registro_Ordini[[#This Row],[Price]]/Registro_Ordini[[#This Row],[Prezzo]]-1))</f>
        <v>2.9124956863221918E-2</v>
      </c>
      <c r="P418" s="15">
        <v>1.8343268095242539E-2</v>
      </c>
      <c r="Q418" s="3">
        <v>0.16860030365109677</v>
      </c>
      <c r="R418" s="3">
        <v>0.30257612410113593</v>
      </c>
      <c r="S418" s="3">
        <v>0.42241134470316954</v>
      </c>
      <c r="T418" s="3">
        <v>0</v>
      </c>
      <c r="U418" s="3">
        <v>0.10641222754459782</v>
      </c>
      <c r="V418" s="3"/>
      <c r="W418" s="4"/>
    </row>
    <row r="419" spans="1:23" s="1" customFormat="1" ht="24.95" customHeight="1" x14ac:dyDescent="0.2">
      <c r="A419" s="8">
        <v>45863.730856481481</v>
      </c>
      <c r="B419" s="7">
        <v>45863.730856481481</v>
      </c>
      <c r="C419" s="9" t="s">
        <v>377</v>
      </c>
      <c r="D419" s="1" t="s">
        <v>388</v>
      </c>
      <c r="E419" s="1" t="s">
        <v>389</v>
      </c>
      <c r="F419" s="1" t="s">
        <v>402</v>
      </c>
      <c r="G419" s="1" t="s">
        <v>371</v>
      </c>
      <c r="H419" s="2">
        <v>85</v>
      </c>
      <c r="I419" s="16">
        <v>381.63490000000002</v>
      </c>
      <c r="J419" s="1" t="s">
        <v>369</v>
      </c>
      <c r="K419" s="6">
        <f>Registro_Ordini[[#This Row],[Numero]]*Registro_Ordini[[#This Row],[Prezzo]]</f>
        <v>32438.966500000002</v>
      </c>
      <c r="L419" s="10">
        <v>1.0000001300000001</v>
      </c>
      <c r="M419" s="6">
        <f>Registro_Ordini[[#This Row],[Importo]]*Registro_Ordini[[#This Row],[Cambio]]</f>
        <v>32438.970717065651</v>
      </c>
      <c r="N419" s="1">
        <f ca="1">IFERROR(_xlfn.NUMBERVALUE(OFFSET(Origine,MATCH(Registro_Ordini[[#This Row],[Titolo]],Descrizioni,0),MATCH("Price",Intestazioni,0)-1,1,1)),"")</f>
        <v>392.75</v>
      </c>
      <c r="O419" s="18">
        <f ca="1">IF(OR(Registro_Ordini[[#This Row],[Price]]=0,Registro_Ordini[[#This Row],[Price]]=""),"",IF(Registro_Ordini[[#This Row],[Tipo]]="Sell",Registro_Ordini[[#This Row],[Prezzo]]/Registro_Ordini[[#This Row],[Price]]-1,Registro_Ordini[[#This Row],[Price]]/Registro_Ordini[[#This Row],[Prezzo]]-1))</f>
        <v>2.9124956863221918E-2</v>
      </c>
      <c r="P419" s="15">
        <v>2.003572247777043E-2</v>
      </c>
      <c r="Q419" s="3">
        <v>0.14774551699226046</v>
      </c>
      <c r="R419" s="3">
        <v>0.28523445226241723</v>
      </c>
      <c r="S419" s="3">
        <v>0.46155860855006386</v>
      </c>
      <c r="T419" s="3">
        <v>0</v>
      </c>
      <c r="U419" s="3">
        <v>0.10546142219525843</v>
      </c>
      <c r="V419" s="3"/>
      <c r="W419" s="4"/>
    </row>
    <row r="420" spans="1:23" s="1" customFormat="1" ht="24.95" customHeight="1" x14ac:dyDescent="0.2">
      <c r="A420" s="8">
        <v>45863.730856481481</v>
      </c>
      <c r="B420" s="7">
        <v>45863.730856481481</v>
      </c>
      <c r="C420" s="9" t="s">
        <v>376</v>
      </c>
      <c r="D420" s="1" t="s">
        <v>388</v>
      </c>
      <c r="E420" s="1" t="s">
        <v>389</v>
      </c>
      <c r="F420" s="1" t="s">
        <v>402</v>
      </c>
      <c r="G420" s="1" t="s">
        <v>371</v>
      </c>
      <c r="H420" s="2">
        <v>15</v>
      </c>
      <c r="I420" s="16">
        <v>381.63490000000002</v>
      </c>
      <c r="J420" s="1" t="s">
        <v>369</v>
      </c>
      <c r="K420" s="6">
        <f>Registro_Ordini[[#This Row],[Numero]]*Registro_Ordini[[#This Row],[Prezzo]]</f>
        <v>5724.5235000000002</v>
      </c>
      <c r="L420" s="10">
        <v>1.0000001300000001</v>
      </c>
      <c r="M420" s="6">
        <f>Registro_Ordini[[#This Row],[Importo]]*Registro_Ordini[[#This Row],[Cambio]]</f>
        <v>5724.5242441880555</v>
      </c>
      <c r="N420" s="1">
        <f ca="1">IFERROR(_xlfn.NUMBERVALUE(OFFSET(Origine,MATCH(Registro_Ordini[[#This Row],[Titolo]],Descrizioni,0),MATCH("Price",Intestazioni,0)-1,1,1)),"")</f>
        <v>392.75</v>
      </c>
      <c r="O420" s="18">
        <f ca="1">IF(OR(Registro_Ordini[[#This Row],[Price]]=0,Registro_Ordini[[#This Row],[Price]]=""),"",IF(Registro_Ordini[[#This Row],[Tipo]]="Sell",Registro_Ordini[[#This Row],[Prezzo]]/Registro_Ordini[[#This Row],[Price]]-1,Registro_Ordini[[#This Row],[Price]]/Registro_Ordini[[#This Row],[Prezzo]]-1))</f>
        <v>2.9124956863221918E-2</v>
      </c>
      <c r="P420" s="15">
        <v>2.0138080877918591E-2</v>
      </c>
      <c r="Q420" s="3">
        <v>6.9380199519895255E-2</v>
      </c>
      <c r="R420" s="3">
        <v>0.31096008797579661</v>
      </c>
      <c r="S420" s="3">
        <v>0.49181396402910765</v>
      </c>
      <c r="T420" s="3">
        <v>0</v>
      </c>
      <c r="U420" s="3">
        <v>0.12784574847520053</v>
      </c>
      <c r="V420" s="3"/>
      <c r="W420" s="4"/>
    </row>
    <row r="421" spans="1:23" s="1" customFormat="1" ht="24.95" customHeight="1" x14ac:dyDescent="0.2">
      <c r="A421" s="8">
        <v>45863.730844907404</v>
      </c>
      <c r="B421" s="7">
        <v>45863.730844907404</v>
      </c>
      <c r="C421" s="9" t="s">
        <v>378</v>
      </c>
      <c r="D421" s="1" t="s">
        <v>388</v>
      </c>
      <c r="E421" s="1" t="s">
        <v>389</v>
      </c>
      <c r="F421" s="1" t="s">
        <v>402</v>
      </c>
      <c r="G421" s="1" t="s">
        <v>371</v>
      </c>
      <c r="H421" s="2">
        <v>30</v>
      </c>
      <c r="I421" s="16">
        <v>381.63490000000002</v>
      </c>
      <c r="J421" s="1" t="s">
        <v>369</v>
      </c>
      <c r="K421" s="6">
        <f>Registro_Ordini[[#This Row],[Numero]]*Registro_Ordini[[#This Row],[Prezzo]]</f>
        <v>11449.047</v>
      </c>
      <c r="L421" s="10">
        <v>1.0000001300000001</v>
      </c>
      <c r="M421" s="6">
        <f>Registro_Ordini[[#This Row],[Importo]]*Registro_Ordini[[#This Row],[Cambio]]</f>
        <v>11449.048488376111</v>
      </c>
      <c r="N421" s="1">
        <f ca="1">IFERROR(_xlfn.NUMBERVALUE(OFFSET(Origine,MATCH(Registro_Ordini[[#This Row],[Titolo]],Descrizioni,0),MATCH("Price",Intestazioni,0)-1,1,1)),"")</f>
        <v>392.75</v>
      </c>
      <c r="O421" s="18">
        <f ca="1">IF(OR(Registro_Ordini[[#This Row],[Price]]=0,Registro_Ordini[[#This Row],[Price]]=""),"",IF(Registro_Ordini[[#This Row],[Tipo]]="Sell",Registro_Ordini[[#This Row],[Prezzo]]/Registro_Ordini[[#This Row],[Price]]-1,Registro_Ordini[[#This Row],[Price]]/Registro_Ordini[[#This Row],[Prezzo]]-1))</f>
        <v>2.9124956863221918E-2</v>
      </c>
      <c r="P421" s="15">
        <v>2.1692801657526233E-2</v>
      </c>
      <c r="Q421" s="3">
        <v>0.13633260776412706</v>
      </c>
      <c r="R421" s="3">
        <v>0.29003123174721701</v>
      </c>
      <c r="S421" s="3">
        <v>0.4729529286848535</v>
      </c>
      <c r="T421" s="3">
        <v>0</v>
      </c>
      <c r="U421" s="3">
        <v>0.10068323180380245</v>
      </c>
      <c r="V421" s="3"/>
      <c r="W421" s="4"/>
    </row>
    <row r="422" spans="1:23" s="1" customFormat="1" ht="24.95" customHeight="1" x14ac:dyDescent="0.2">
      <c r="A422" s="8">
        <v>45863.72996527778</v>
      </c>
      <c r="B422" s="7">
        <v>45863.72996527778</v>
      </c>
      <c r="C422" s="9" t="s">
        <v>379</v>
      </c>
      <c r="D422" s="1" t="s">
        <v>388</v>
      </c>
      <c r="E422" s="1" t="s">
        <v>403</v>
      </c>
      <c r="F422" s="1" t="s">
        <v>404</v>
      </c>
      <c r="G422" s="1" t="s">
        <v>365</v>
      </c>
      <c r="H422" s="2">
        <v>-45</v>
      </c>
      <c r="I422" s="16">
        <v>245.92500000000001</v>
      </c>
      <c r="J422" s="1" t="s">
        <v>381</v>
      </c>
      <c r="K422" s="6">
        <f>Registro_Ordini[[#This Row],[Numero]]*Registro_Ordini[[#This Row],[Prezzo]]</f>
        <v>-11066.625</v>
      </c>
      <c r="L422" s="10">
        <v>1</v>
      </c>
      <c r="M422" s="6">
        <f>Registro_Ordini[[#This Row],[Importo]]*Registro_Ordini[[#This Row],[Cambio]]</f>
        <v>-11066.625</v>
      </c>
      <c r="N422" s="1">
        <f ca="1">IFERROR(_xlfn.NUMBERVALUE(OFFSET(Origine,MATCH(Registro_Ordini[[#This Row],[Titolo]],Descrizioni,0),MATCH("Price",Intestazioni,0)-1,1,1)),"")</f>
        <v>165.04</v>
      </c>
      <c r="O422" s="18">
        <f ca="1">IF(OR(Registro_Ordini[[#This Row],[Price]]=0,Registro_Ordini[[#This Row],[Price]]=""),"",IF(Registro_Ordini[[#This Row],[Tipo]]="Sell",Registro_Ordini[[#This Row],[Prezzo]]/Registro_Ordini[[#This Row],[Price]]-1,Registro_Ordini[[#This Row],[Price]]/Registro_Ordini[[#This Row],[Prezzo]]-1))</f>
        <v>0.49009331071255469</v>
      </c>
      <c r="P422" s="15">
        <v>-1.936004315704359E-2</v>
      </c>
      <c r="Q422" s="3">
        <v>0.2056200850198471</v>
      </c>
      <c r="R422" s="3">
        <v>0.28876386820774791</v>
      </c>
      <c r="S422" s="3">
        <v>0.39467373148593049</v>
      </c>
      <c r="T422" s="3">
        <v>0</v>
      </c>
      <c r="U422" s="3">
        <v>0.11094231528647454</v>
      </c>
      <c r="V422" s="3"/>
      <c r="W422" s="4"/>
    </row>
    <row r="423" spans="1:23" s="1" customFormat="1" ht="24.95" customHeight="1" x14ac:dyDescent="0.2">
      <c r="A423" s="8">
        <v>45863.729953703703</v>
      </c>
      <c r="B423" s="7">
        <v>45863.729953703703</v>
      </c>
      <c r="C423" s="9" t="s">
        <v>382</v>
      </c>
      <c r="D423" s="1" t="s">
        <v>388</v>
      </c>
      <c r="E423" s="1" t="s">
        <v>403</v>
      </c>
      <c r="F423" s="1" t="s">
        <v>404</v>
      </c>
      <c r="G423" s="1" t="s">
        <v>365</v>
      </c>
      <c r="H423" s="2">
        <v>-90</v>
      </c>
      <c r="I423" s="16">
        <v>245.92500000000001</v>
      </c>
      <c r="J423" s="1" t="s">
        <v>381</v>
      </c>
      <c r="K423" s="6">
        <f>Registro_Ordini[[#This Row],[Numero]]*Registro_Ordini[[#This Row],[Prezzo]]</f>
        <v>-22133.25</v>
      </c>
      <c r="L423" s="10">
        <v>1</v>
      </c>
      <c r="M423" s="6">
        <f>Registro_Ordini[[#This Row],[Importo]]*Registro_Ordini[[#This Row],[Cambio]]</f>
        <v>-22133.25</v>
      </c>
      <c r="N423" s="1">
        <f ca="1">IFERROR(_xlfn.NUMBERVALUE(OFFSET(Origine,MATCH(Registro_Ordini[[#This Row],[Titolo]],Descrizioni,0),MATCH("Price",Intestazioni,0)-1,1,1)),"")</f>
        <v>165.04</v>
      </c>
      <c r="O423" s="18">
        <f ca="1">IF(OR(Registro_Ordini[[#This Row],[Price]]=0,Registro_Ordini[[#This Row],[Price]]=""),"",IF(Registro_Ordini[[#This Row],[Tipo]]="Sell",Registro_Ordini[[#This Row],[Prezzo]]/Registro_Ordini[[#This Row],[Price]]-1,Registro_Ordini[[#This Row],[Price]]/Registro_Ordini[[#This Row],[Prezzo]]-1))</f>
        <v>0.49009331071255469</v>
      </c>
      <c r="P423" s="15">
        <v>-2.1237826150521683E-2</v>
      </c>
      <c r="Q423" s="3">
        <v>0.20161966449670721</v>
      </c>
      <c r="R423" s="3">
        <v>0.28384775868592815</v>
      </c>
      <c r="S423" s="3">
        <v>0.3984604360749131</v>
      </c>
      <c r="T423" s="3">
        <v>0</v>
      </c>
      <c r="U423" s="3">
        <v>0.11607214074245152</v>
      </c>
      <c r="V423" s="3"/>
      <c r="W423" s="4"/>
    </row>
    <row r="424" spans="1:23" s="1" customFormat="1" ht="24.95" customHeight="1" x14ac:dyDescent="0.2">
      <c r="A424" s="8">
        <v>45863.729942129627</v>
      </c>
      <c r="B424" s="7">
        <v>45863.729942129627</v>
      </c>
      <c r="C424" s="9" t="s">
        <v>383</v>
      </c>
      <c r="D424" s="1" t="s">
        <v>388</v>
      </c>
      <c r="E424" s="1" t="s">
        <v>403</v>
      </c>
      <c r="F424" s="1" t="s">
        <v>404</v>
      </c>
      <c r="G424" s="1" t="s">
        <v>365</v>
      </c>
      <c r="H424" s="2">
        <v>-50</v>
      </c>
      <c r="I424" s="16">
        <v>245.92500000000001</v>
      </c>
      <c r="J424" s="1" t="s">
        <v>381</v>
      </c>
      <c r="K424" s="6">
        <f>Registro_Ordini[[#This Row],[Numero]]*Registro_Ordini[[#This Row],[Prezzo]]</f>
        <v>-12296.25</v>
      </c>
      <c r="L424" s="10">
        <v>1</v>
      </c>
      <c r="M424" s="6">
        <f>Registro_Ordini[[#This Row],[Importo]]*Registro_Ordini[[#This Row],[Cambio]]</f>
        <v>-12296.25</v>
      </c>
      <c r="N424" s="1">
        <f ca="1">IFERROR(_xlfn.NUMBERVALUE(OFFSET(Origine,MATCH(Registro_Ordini[[#This Row],[Titolo]],Descrizioni,0),MATCH("Price",Intestazioni,0)-1,1,1)),"")</f>
        <v>165.04</v>
      </c>
      <c r="O424" s="18">
        <f ca="1">IF(OR(Registro_Ordini[[#This Row],[Price]]=0,Registro_Ordini[[#This Row],[Price]]=""),"",IF(Registro_Ordini[[#This Row],[Tipo]]="Sell",Registro_Ordini[[#This Row],[Prezzo]]/Registro_Ordini[[#This Row],[Price]]-1,Registro_Ordini[[#This Row],[Price]]/Registro_Ordini[[#This Row],[Prezzo]]-1))</f>
        <v>0.49009331071255469</v>
      </c>
      <c r="P424" s="15">
        <v>-1.9386272451629924E-2</v>
      </c>
      <c r="Q424" s="3">
        <v>0.21248433456116125</v>
      </c>
      <c r="R424" s="3">
        <v>0.27159542976816248</v>
      </c>
      <c r="S424" s="3">
        <v>0.40378551325342182</v>
      </c>
      <c r="T424" s="3">
        <v>0</v>
      </c>
      <c r="U424" s="3">
        <v>0.11213472241725431</v>
      </c>
      <c r="V424" s="3"/>
      <c r="W424" s="4"/>
    </row>
    <row r="425" spans="1:23" s="1" customFormat="1" ht="24.95" customHeight="1" x14ac:dyDescent="0.2">
      <c r="A425" s="8">
        <v>45863.729756944442</v>
      </c>
      <c r="B425" s="7">
        <v>45863.729756944442</v>
      </c>
      <c r="C425" s="9" t="s">
        <v>78</v>
      </c>
      <c r="D425" s="1" t="s">
        <v>388</v>
      </c>
      <c r="E425" s="1" t="s">
        <v>403</v>
      </c>
      <c r="F425" s="1" t="s">
        <v>404</v>
      </c>
      <c r="G425" s="1" t="s">
        <v>365</v>
      </c>
      <c r="H425" s="2">
        <v>-50</v>
      </c>
      <c r="I425" s="16">
        <v>245.92500000000001</v>
      </c>
      <c r="J425" s="1" t="s">
        <v>381</v>
      </c>
      <c r="K425" s="6">
        <f>Registro_Ordini[[#This Row],[Numero]]*Registro_Ordini[[#This Row],[Prezzo]]</f>
        <v>-12296.25</v>
      </c>
      <c r="L425" s="10">
        <v>0.93445</v>
      </c>
      <c r="M425" s="6">
        <f>Registro_Ordini[[#This Row],[Importo]]*Registro_Ordini[[#This Row],[Cambio]]</f>
        <v>-11490.2308125</v>
      </c>
      <c r="N425" s="1">
        <f ca="1">IFERROR(_xlfn.NUMBERVALUE(OFFSET(Origine,MATCH(Registro_Ordini[[#This Row],[Titolo]],Descrizioni,0),MATCH("Price",Intestazioni,0)-1,1,1)),"")</f>
        <v>165.04</v>
      </c>
      <c r="O425" s="18">
        <f ca="1">IF(OR(Registro_Ordini[[#This Row],[Price]]=0,Registro_Ordini[[#This Row],[Price]]=""),"",IF(Registro_Ordini[[#This Row],[Tipo]]="Sell",Registro_Ordini[[#This Row],[Prezzo]]/Registro_Ordini[[#This Row],[Price]]-1,Registro_Ordini[[#This Row],[Price]]/Registro_Ordini[[#This Row],[Prezzo]]-1))</f>
        <v>0.49009331071255469</v>
      </c>
      <c r="P425" s="15">
        <v>-2.1336372266157363E-2</v>
      </c>
      <c r="Q425" s="3">
        <v>0.20158379661338968</v>
      </c>
      <c r="R425" s="3">
        <v>0.12997593548771846</v>
      </c>
      <c r="S425" s="3">
        <v>0.57086870082026087</v>
      </c>
      <c r="T425" s="3">
        <v>0</v>
      </c>
      <c r="U425" s="3">
        <v>9.7571567078631072E-2</v>
      </c>
      <c r="V425" s="3"/>
      <c r="W425" s="4"/>
    </row>
    <row r="426" spans="1:23" s="1" customFormat="1" ht="24.95" customHeight="1" x14ac:dyDescent="0.2">
      <c r="A426" s="8">
        <v>45863.729571759257</v>
      </c>
      <c r="B426" s="7">
        <v>45863.729571759257</v>
      </c>
      <c r="C426" s="9" t="s">
        <v>375</v>
      </c>
      <c r="D426" s="1" t="s">
        <v>388</v>
      </c>
      <c r="E426" s="1" t="s">
        <v>403</v>
      </c>
      <c r="F426" s="1" t="s">
        <v>404</v>
      </c>
      <c r="G426" s="1" t="s">
        <v>365</v>
      </c>
      <c r="H426" s="2">
        <v>-60</v>
      </c>
      <c r="I426" s="16">
        <v>245.92500000000001</v>
      </c>
      <c r="J426" s="1" t="s">
        <v>381</v>
      </c>
      <c r="K426" s="6">
        <f>Registro_Ordini[[#This Row],[Numero]]*Registro_Ordini[[#This Row],[Prezzo]]</f>
        <v>-14755.5</v>
      </c>
      <c r="L426" s="10">
        <v>0.93454999999999999</v>
      </c>
      <c r="M426" s="6">
        <f>Registro_Ordini[[#This Row],[Importo]]*Registro_Ordini[[#This Row],[Cambio]]</f>
        <v>-13789.752525</v>
      </c>
      <c r="N426" s="1">
        <f ca="1">IFERROR(_xlfn.NUMBERVALUE(OFFSET(Origine,MATCH(Registro_Ordini[[#This Row],[Titolo]],Descrizioni,0),MATCH("Price",Intestazioni,0)-1,1,1)),"")</f>
        <v>165.04</v>
      </c>
      <c r="O426" s="18">
        <f ca="1">IF(OR(Registro_Ordini[[#This Row],[Price]]=0,Registro_Ordini[[#This Row],[Price]]=""),"",IF(Registro_Ordini[[#This Row],[Tipo]]="Sell",Registro_Ordini[[#This Row],[Prezzo]]/Registro_Ordini[[#This Row],[Price]]-1,Registro_Ordini[[#This Row],[Price]]/Registro_Ordini[[#This Row],[Prezzo]]-1))</f>
        <v>0.49009331071255469</v>
      </c>
      <c r="P426" s="15">
        <v>-1.657131427392242E-2</v>
      </c>
      <c r="Q426" s="3">
        <v>0.1869686035630779</v>
      </c>
      <c r="R426" s="3">
        <v>0.30259834935949836</v>
      </c>
      <c r="S426" s="3">
        <v>0.40401300318823785</v>
      </c>
      <c r="T426" s="3">
        <v>0</v>
      </c>
      <c r="U426" s="3">
        <v>0.1064200438891859</v>
      </c>
      <c r="V426" s="3"/>
      <c r="W426" s="4"/>
    </row>
    <row r="427" spans="1:23" s="1" customFormat="1" ht="24.95" customHeight="1" x14ac:dyDescent="0.2">
      <c r="A427" s="8">
        <v>45863.729571759257</v>
      </c>
      <c r="B427" s="7">
        <v>45863.729571759257</v>
      </c>
      <c r="C427" s="9" t="s">
        <v>367</v>
      </c>
      <c r="D427" s="1" t="s">
        <v>388</v>
      </c>
      <c r="E427" s="1" t="s">
        <v>403</v>
      </c>
      <c r="F427" s="1" t="s">
        <v>404</v>
      </c>
      <c r="G427" s="1" t="s">
        <v>365</v>
      </c>
      <c r="H427" s="2">
        <v>-230</v>
      </c>
      <c r="I427" s="16">
        <v>245.75</v>
      </c>
      <c r="J427" s="1" t="s">
        <v>381</v>
      </c>
      <c r="K427" s="6">
        <f>Registro_Ordini[[#This Row],[Numero]]*Registro_Ordini[[#This Row],[Prezzo]]</f>
        <v>-56522.5</v>
      </c>
      <c r="L427" s="10">
        <v>0.93454999999999999</v>
      </c>
      <c r="M427" s="6">
        <f>Registro_Ordini[[#This Row],[Importo]]*Registro_Ordini[[#This Row],[Cambio]]</f>
        <v>-52823.102375000002</v>
      </c>
      <c r="N427" s="1">
        <f ca="1">IFERROR(_xlfn.NUMBERVALUE(OFFSET(Origine,MATCH(Registro_Ordini[[#This Row],[Titolo]],Descrizioni,0),MATCH("Price",Intestazioni,0)-1,1,1)),"")</f>
        <v>165.04</v>
      </c>
      <c r="O427" s="18">
        <f ca="1">IF(OR(Registro_Ordini[[#This Row],[Price]]=0,Registro_Ordini[[#This Row],[Price]]=""),"",IF(Registro_Ordini[[#This Row],[Tipo]]="Sell",Registro_Ordini[[#This Row],[Prezzo]]/Registro_Ordini[[#This Row],[Price]]-1,Registro_Ordini[[#This Row],[Price]]/Registro_Ordini[[#This Row],[Prezzo]]-1))</f>
        <v>0.48903296170625321</v>
      </c>
      <c r="P427" s="15">
        <v>-1.517656135886883E-2</v>
      </c>
      <c r="Q427" s="3">
        <v>0.18516749231852134</v>
      </c>
      <c r="R427" s="3">
        <v>0.35886877185486904</v>
      </c>
      <c r="S427" s="3">
        <v>0.40258905196166728</v>
      </c>
      <c r="T427" s="3">
        <v>0</v>
      </c>
      <c r="U427" s="3">
        <v>5.3374683864942381E-2</v>
      </c>
      <c r="V427" s="3"/>
      <c r="W427" s="4"/>
    </row>
    <row r="428" spans="1:23" s="1" customFormat="1" ht="24.95" customHeight="1" x14ac:dyDescent="0.2">
      <c r="A428" s="8">
        <v>45863.729560185187</v>
      </c>
      <c r="B428" s="7">
        <v>45863.729560185187</v>
      </c>
      <c r="C428" s="9" t="s">
        <v>376</v>
      </c>
      <c r="D428" s="1" t="s">
        <v>388</v>
      </c>
      <c r="E428" s="1" t="s">
        <v>403</v>
      </c>
      <c r="F428" s="1" t="s">
        <v>404</v>
      </c>
      <c r="G428" s="1" t="s">
        <v>365</v>
      </c>
      <c r="H428" s="2">
        <v>-25</v>
      </c>
      <c r="I428" s="16">
        <v>245.92500000000001</v>
      </c>
      <c r="J428" s="1" t="s">
        <v>381</v>
      </c>
      <c r="K428" s="6">
        <f>Registro_Ordini[[#This Row],[Numero]]*Registro_Ordini[[#This Row],[Prezzo]]</f>
        <v>-6148.125</v>
      </c>
      <c r="L428" s="10">
        <v>0.93454999999999999</v>
      </c>
      <c r="M428" s="6">
        <f>Registro_Ordini[[#This Row],[Importo]]*Registro_Ordini[[#This Row],[Cambio]]</f>
        <v>-5745.7302187499999</v>
      </c>
      <c r="N428" s="1">
        <f ca="1">IFERROR(_xlfn.NUMBERVALUE(OFFSET(Origine,MATCH(Registro_Ordini[[#This Row],[Titolo]],Descrizioni,0),MATCH("Price",Intestazioni,0)-1,1,1)),"")</f>
        <v>165.04</v>
      </c>
      <c r="O428" s="18">
        <f ca="1">IF(OR(Registro_Ordini[[#This Row],[Price]]=0,Registro_Ordini[[#This Row],[Price]]=""),"",IF(Registro_Ordini[[#This Row],[Tipo]]="Sell",Registro_Ordini[[#This Row],[Prezzo]]/Registro_Ordini[[#This Row],[Price]]-1,Registro_Ordini[[#This Row],[Price]]/Registro_Ordini[[#This Row],[Prezzo]]-1))</f>
        <v>0.49009331071255469</v>
      </c>
      <c r="P428" s="15">
        <v>-2.0214956493613552E-2</v>
      </c>
      <c r="Q428" s="3">
        <v>8.9540909851001674E-2</v>
      </c>
      <c r="R428" s="3">
        <v>0.31099510201848912</v>
      </c>
      <c r="S428" s="3">
        <v>0.47160384425001933</v>
      </c>
      <c r="T428" s="3">
        <v>0</v>
      </c>
      <c r="U428" s="3">
        <v>0.12786014388048969</v>
      </c>
      <c r="V428" s="3"/>
      <c r="W428" s="4"/>
    </row>
    <row r="429" spans="1:23" s="1" customFormat="1" ht="24.95" customHeight="1" x14ac:dyDescent="0.2">
      <c r="A429" s="8">
        <v>45863.729548611111</v>
      </c>
      <c r="B429" s="7">
        <v>45863.729548611111</v>
      </c>
      <c r="C429" s="9" t="s">
        <v>377</v>
      </c>
      <c r="D429" s="1" t="s">
        <v>388</v>
      </c>
      <c r="E429" s="1" t="s">
        <v>403</v>
      </c>
      <c r="F429" s="1" t="s">
        <v>404</v>
      </c>
      <c r="G429" s="1" t="s">
        <v>365</v>
      </c>
      <c r="H429" s="2">
        <v>-130</v>
      </c>
      <c r="I429" s="16">
        <v>245.92500000000001</v>
      </c>
      <c r="J429" s="1" t="s">
        <v>381</v>
      </c>
      <c r="K429" s="6">
        <f>Registro_Ordini[[#This Row],[Numero]]*Registro_Ordini[[#This Row],[Prezzo]]</f>
        <v>-31970.25</v>
      </c>
      <c r="L429" s="10">
        <v>0.93454999999999999</v>
      </c>
      <c r="M429" s="6">
        <f>Registro_Ordini[[#This Row],[Importo]]*Registro_Ordini[[#This Row],[Cambio]]</f>
        <v>-29877.797137500002</v>
      </c>
      <c r="N429" s="1">
        <f ca="1">IFERROR(_xlfn.NUMBERVALUE(OFFSET(Origine,MATCH(Registro_Ordini[[#This Row],[Titolo]],Descrizioni,0),MATCH("Price",Intestazioni,0)-1,1,1)),"")</f>
        <v>165.04</v>
      </c>
      <c r="O429" s="18">
        <f ca="1">IF(OR(Registro_Ordini[[#This Row],[Price]]=0,Registro_Ordini[[#This Row],[Price]]=""),"",IF(Registro_Ordini[[#This Row],[Tipo]]="Sell",Registro_Ordini[[#This Row],[Prezzo]]/Registro_Ordini[[#This Row],[Price]]-1,Registro_Ordini[[#This Row],[Price]]/Registro_Ordini[[#This Row],[Prezzo]]-1))</f>
        <v>0.49009331071255469</v>
      </c>
      <c r="P429" s="15">
        <v>-1.8455368322733156E-2</v>
      </c>
      <c r="Q429" s="3">
        <v>0.16780802778456619</v>
      </c>
      <c r="R429" s="3">
        <v>0.28525822924695809</v>
      </c>
      <c r="S429" s="3">
        <v>0.44146352956799895</v>
      </c>
      <c r="T429" s="3">
        <v>0</v>
      </c>
      <c r="U429" s="3">
        <v>0.10547021340047683</v>
      </c>
      <c r="V429" s="3"/>
      <c r="W429" s="4"/>
    </row>
    <row r="430" spans="1:23" s="1" customFormat="1" ht="24.95" customHeight="1" x14ac:dyDescent="0.2">
      <c r="A430" s="8">
        <v>45863.729537037034</v>
      </c>
      <c r="B430" s="7">
        <v>45863.729537037034</v>
      </c>
      <c r="C430" s="9" t="s">
        <v>378</v>
      </c>
      <c r="D430" s="1" t="s">
        <v>388</v>
      </c>
      <c r="E430" s="1" t="s">
        <v>403</v>
      </c>
      <c r="F430" s="1" t="s">
        <v>404</v>
      </c>
      <c r="G430" s="1" t="s">
        <v>365</v>
      </c>
      <c r="H430" s="2">
        <v>-40</v>
      </c>
      <c r="I430" s="16">
        <v>245.92500000000001</v>
      </c>
      <c r="J430" s="1" t="s">
        <v>381</v>
      </c>
      <c r="K430" s="6">
        <f>Registro_Ordini[[#This Row],[Numero]]*Registro_Ordini[[#This Row],[Prezzo]]</f>
        <v>-9837</v>
      </c>
      <c r="L430" s="10">
        <v>0.93454999999999999</v>
      </c>
      <c r="M430" s="6">
        <f>Registro_Ordini[[#This Row],[Importo]]*Registro_Ordini[[#This Row],[Cambio]]</f>
        <v>-9193.1683499999999</v>
      </c>
      <c r="N430" s="1">
        <f ca="1">IFERROR(_xlfn.NUMBERVALUE(OFFSET(Origine,MATCH(Registro_Ordini[[#This Row],[Titolo]],Descrizioni,0),MATCH("Price",Intestazioni,0)-1,1,1)),"")</f>
        <v>165.04</v>
      </c>
      <c r="O430" s="18">
        <f ca="1">IF(OR(Registro_Ordini[[#This Row],[Price]]=0,Registro_Ordini[[#This Row],[Price]]=""),"",IF(Registro_Ordini[[#This Row],[Tipo]]="Sell",Registro_Ordini[[#This Row],[Prezzo]]/Registro_Ordini[[#This Row],[Price]]-1,Registro_Ordini[[#This Row],[Price]]/Registro_Ordini[[#This Row],[Prezzo]]-1))</f>
        <v>0.49009331071255469</v>
      </c>
      <c r="P430" s="15">
        <v>-1.7420046127311167E-2</v>
      </c>
      <c r="Q430" s="3">
        <v>0.15805280268860114</v>
      </c>
      <c r="R430" s="3">
        <v>0.29005650101945518</v>
      </c>
      <c r="S430" s="3">
        <v>0.45119869235701937</v>
      </c>
      <c r="T430" s="3">
        <v>0</v>
      </c>
      <c r="U430" s="3">
        <v>0.10069200393492415</v>
      </c>
      <c r="V430" s="3"/>
      <c r="W430" s="4"/>
    </row>
    <row r="431" spans="1:23" s="1" customFormat="1" ht="24.95" customHeight="1" x14ac:dyDescent="0.2">
      <c r="A431" s="8">
        <v>45863.728993055556</v>
      </c>
      <c r="B431" s="7">
        <v>45863.728993055556</v>
      </c>
      <c r="C431" s="9" t="s">
        <v>379</v>
      </c>
      <c r="D431" s="1" t="s">
        <v>388</v>
      </c>
      <c r="E431" s="1" t="s">
        <v>403</v>
      </c>
      <c r="F431" s="1" t="s">
        <v>405</v>
      </c>
      <c r="G431" s="1" t="s">
        <v>365</v>
      </c>
      <c r="H431" s="2">
        <v>-40</v>
      </c>
      <c r="I431" s="16">
        <v>266.39999999999998</v>
      </c>
      <c r="J431" s="1" t="s">
        <v>381</v>
      </c>
      <c r="K431" s="6">
        <f>Registro_Ordini[[#This Row],[Numero]]*Registro_Ordini[[#This Row],[Prezzo]]</f>
        <v>-10656</v>
      </c>
      <c r="L431" s="10">
        <v>1</v>
      </c>
      <c r="M431" s="6">
        <f>Registro_Ordini[[#This Row],[Importo]]*Registro_Ordini[[#This Row],[Cambio]]</f>
        <v>-10656</v>
      </c>
      <c r="N431" s="1">
        <f ca="1">IFERROR(_xlfn.NUMBERVALUE(OFFSET(Origine,MATCH(Registro_Ordini[[#This Row],[Titolo]],Descrizioni,0),MATCH("Price",Intestazioni,0)-1,1,1)),"")</f>
        <v>330.2</v>
      </c>
      <c r="O431" s="18">
        <f ca="1">IF(OR(Registro_Ordini[[#This Row],[Price]]=0,Registro_Ordini[[#This Row],[Price]]=""),"",IF(Registro_Ordini[[#This Row],[Tipo]]="Sell",Registro_Ordini[[#This Row],[Prezzo]]/Registro_Ordini[[#This Row],[Price]]-1,Registro_Ordini[[#This Row],[Price]]/Registro_Ordini[[#This Row],[Prezzo]]-1))</f>
        <v>-0.19321623258631138</v>
      </c>
      <c r="P431" s="15">
        <v>-1.864349301330313E-2</v>
      </c>
      <c r="Q431" s="3">
        <v>0.18627960578068856</v>
      </c>
      <c r="R431" s="3">
        <v>0.28879175908396199</v>
      </c>
      <c r="S431" s="3">
        <v>0.41398211519392364</v>
      </c>
      <c r="T431" s="3">
        <v>0</v>
      </c>
      <c r="U431" s="3">
        <v>0.11094651994142574</v>
      </c>
      <c r="V431" s="3"/>
      <c r="W431" s="4"/>
    </row>
    <row r="432" spans="1:23" s="1" customFormat="1" ht="24.95" customHeight="1" x14ac:dyDescent="0.2">
      <c r="A432" s="8">
        <v>45863.728981481479</v>
      </c>
      <c r="B432" s="7">
        <v>45863.728981481479</v>
      </c>
      <c r="C432" s="9" t="s">
        <v>382</v>
      </c>
      <c r="D432" s="1" t="s">
        <v>388</v>
      </c>
      <c r="E432" s="1" t="s">
        <v>403</v>
      </c>
      <c r="F432" s="1" t="s">
        <v>405</v>
      </c>
      <c r="G432" s="1" t="s">
        <v>365</v>
      </c>
      <c r="H432" s="2">
        <v>-70</v>
      </c>
      <c r="I432" s="16">
        <v>266.39999999999998</v>
      </c>
      <c r="J432" s="1" t="s">
        <v>381</v>
      </c>
      <c r="K432" s="6">
        <f>Registro_Ordini[[#This Row],[Numero]]*Registro_Ordini[[#This Row],[Prezzo]]</f>
        <v>-18648</v>
      </c>
      <c r="L432" s="10">
        <v>1</v>
      </c>
      <c r="M432" s="6">
        <f>Registro_Ordini[[#This Row],[Importo]]*Registro_Ordini[[#This Row],[Cambio]]</f>
        <v>-18648</v>
      </c>
      <c r="N432" s="1">
        <f ca="1">IFERROR(_xlfn.NUMBERVALUE(OFFSET(Origine,MATCH(Registro_Ordini[[#This Row],[Titolo]],Descrizioni,0),MATCH("Price",Intestazioni,0)-1,1,1)),"")</f>
        <v>330.2</v>
      </c>
      <c r="O432" s="18">
        <f ca="1">IF(OR(Registro_Ordini[[#This Row],[Price]]=0,Registro_Ordini[[#This Row],[Price]]=""),"",IF(Registro_Ordini[[#This Row],[Tipo]]="Sell",Registro_Ordini[[#This Row],[Prezzo]]/Registro_Ordini[[#This Row],[Price]]-1,Registro_Ordini[[#This Row],[Price]]/Registro_Ordini[[#This Row],[Prezzo]]-1))</f>
        <v>-0.19321623258631138</v>
      </c>
      <c r="P432" s="15">
        <v>-1.7894678741752545E-2</v>
      </c>
      <c r="Q432" s="3">
        <v>0.18039228461133627</v>
      </c>
      <c r="R432" s="3">
        <v>0.28386525801214563</v>
      </c>
      <c r="S432" s="3">
        <v>0.41964288524360072</v>
      </c>
      <c r="T432" s="3">
        <v>0</v>
      </c>
      <c r="U432" s="3">
        <v>0.11609957213291731</v>
      </c>
      <c r="V432" s="3"/>
      <c r="W432" s="4"/>
    </row>
    <row r="433" spans="1:23" s="1" customFormat="1" ht="24.95" customHeight="1" x14ac:dyDescent="0.2">
      <c r="A433" s="8">
        <v>45863.72896990741</v>
      </c>
      <c r="B433" s="7">
        <v>45863.72896990741</v>
      </c>
      <c r="C433" s="9" t="s">
        <v>383</v>
      </c>
      <c r="D433" s="1" t="s">
        <v>388</v>
      </c>
      <c r="E433" s="1" t="s">
        <v>403</v>
      </c>
      <c r="F433" s="1" t="s">
        <v>405</v>
      </c>
      <c r="G433" s="1" t="s">
        <v>365</v>
      </c>
      <c r="H433" s="2">
        <v>-40</v>
      </c>
      <c r="I433" s="16">
        <v>266.39999999999998</v>
      </c>
      <c r="J433" s="1" t="s">
        <v>381</v>
      </c>
      <c r="K433" s="6">
        <f>Registro_Ordini[[#This Row],[Numero]]*Registro_Ordini[[#This Row],[Prezzo]]</f>
        <v>-10656</v>
      </c>
      <c r="L433" s="10">
        <v>1</v>
      </c>
      <c r="M433" s="6">
        <f>Registro_Ordini[[#This Row],[Importo]]*Registro_Ordini[[#This Row],[Cambio]]</f>
        <v>-10656</v>
      </c>
      <c r="N433" s="1">
        <f ca="1">IFERROR(_xlfn.NUMBERVALUE(OFFSET(Origine,MATCH(Registro_Ordini[[#This Row],[Titolo]],Descrizioni,0),MATCH("Price",Intestazioni,0)-1,1,1)),"")</f>
        <v>330.2</v>
      </c>
      <c r="O433" s="18">
        <f ca="1">IF(OR(Registro_Ordini[[#This Row],[Price]]=0,Registro_Ordini[[#This Row],[Price]]=""),"",IF(Registro_Ordini[[#This Row],[Tipo]]="Sell",Registro_Ordini[[#This Row],[Prezzo]]/Registro_Ordini[[#This Row],[Price]]-1,Registro_Ordini[[#This Row],[Price]]/Registro_Ordini[[#This Row],[Prezzo]]-1))</f>
        <v>-0.19321623258631138</v>
      </c>
      <c r="P433" s="15">
        <v>-1.6801388952503903E-2</v>
      </c>
      <c r="Q433" s="3">
        <v>0.19311042990771846</v>
      </c>
      <c r="R433" s="3">
        <v>0.27161378284392207</v>
      </c>
      <c r="S433" s="3">
        <v>0.42311762336336045</v>
      </c>
      <c r="T433" s="3">
        <v>0</v>
      </c>
      <c r="U433" s="3">
        <v>0.11215816388499923</v>
      </c>
      <c r="V433" s="3"/>
      <c r="W433" s="4"/>
    </row>
    <row r="434" spans="1:23" s="1" customFormat="1" ht="24.95" customHeight="1" x14ac:dyDescent="0.2">
      <c r="A434" s="8">
        <v>45863.728668981479</v>
      </c>
      <c r="B434" s="7">
        <v>45863.728668981479</v>
      </c>
      <c r="C434" s="9" t="s">
        <v>78</v>
      </c>
      <c r="D434" s="1" t="s">
        <v>388</v>
      </c>
      <c r="E434" s="1" t="s">
        <v>403</v>
      </c>
      <c r="F434" s="1" t="s">
        <v>405</v>
      </c>
      <c r="G434" s="1" t="s">
        <v>365</v>
      </c>
      <c r="H434" s="2">
        <v>-40</v>
      </c>
      <c r="I434" s="16">
        <v>266.39999999999998</v>
      </c>
      <c r="J434" s="1" t="s">
        <v>381</v>
      </c>
      <c r="K434" s="6">
        <f>Registro_Ordini[[#This Row],[Numero]]*Registro_Ordini[[#This Row],[Prezzo]]</f>
        <v>-10656</v>
      </c>
      <c r="L434" s="10">
        <v>0.93454999999999999</v>
      </c>
      <c r="M434" s="6">
        <f>Registro_Ordini[[#This Row],[Importo]]*Registro_Ordini[[#This Row],[Cambio]]</f>
        <v>-9958.5648000000001</v>
      </c>
      <c r="N434" s="1">
        <f ca="1">IFERROR(_xlfn.NUMBERVALUE(OFFSET(Origine,MATCH(Registro_Ordini[[#This Row],[Titolo]],Descrizioni,0),MATCH("Price",Intestazioni,0)-1,1,1)),"")</f>
        <v>330.2</v>
      </c>
      <c r="O434" s="18">
        <f ca="1">IF(OR(Registro_Ordini[[#This Row],[Price]]=0,Registro_Ordini[[#This Row],[Price]]=""),"",IF(Registro_Ordini[[#This Row],[Tipo]]="Sell",Registro_Ordini[[#This Row],[Prezzo]]/Registro_Ordini[[#This Row],[Price]]-1,Registro_Ordini[[#This Row],[Price]]/Registro_Ordini[[#This Row],[Prezzo]]-1))</f>
        <v>-0.19321623258631138</v>
      </c>
      <c r="P434" s="15">
        <v>-1.8495526901492945E-2</v>
      </c>
      <c r="Q434" s="3">
        <v>0.18027717075588401</v>
      </c>
      <c r="R434" s="3">
        <v>0.12999931950380067</v>
      </c>
      <c r="S434" s="3">
        <v>0.59213438852687328</v>
      </c>
      <c r="T434" s="3">
        <v>0</v>
      </c>
      <c r="U434" s="3">
        <v>9.7589121213442001E-2</v>
      </c>
      <c r="V434" s="3"/>
      <c r="W434" s="4"/>
    </row>
    <row r="435" spans="1:23" s="1" customFormat="1" ht="24.95" customHeight="1" x14ac:dyDescent="0.2">
      <c r="A435" s="8">
        <v>45863.728402777779</v>
      </c>
      <c r="B435" s="7">
        <v>45863.728402777779</v>
      </c>
      <c r="C435" s="9" t="s">
        <v>367</v>
      </c>
      <c r="D435" s="1" t="s">
        <v>388</v>
      </c>
      <c r="E435" s="1" t="s">
        <v>403</v>
      </c>
      <c r="F435" s="1" t="s">
        <v>405</v>
      </c>
      <c r="G435" s="1" t="s">
        <v>365</v>
      </c>
      <c r="H435" s="2">
        <v>-260</v>
      </c>
      <c r="I435" s="16">
        <v>266.7</v>
      </c>
      <c r="J435" s="1" t="s">
        <v>381</v>
      </c>
      <c r="K435" s="6">
        <f>Registro_Ordini[[#This Row],[Numero]]*Registro_Ordini[[#This Row],[Prezzo]]</f>
        <v>-69342</v>
      </c>
      <c r="L435" s="10">
        <v>0.93445</v>
      </c>
      <c r="M435" s="6">
        <f>Registro_Ordini[[#This Row],[Importo]]*Registro_Ordini[[#This Row],[Cambio]]</f>
        <v>-64796.6319</v>
      </c>
      <c r="N435" s="1">
        <f ca="1">IFERROR(_xlfn.NUMBERVALUE(OFFSET(Origine,MATCH(Registro_Ordini[[#This Row],[Titolo]],Descrizioni,0),MATCH("Price",Intestazioni,0)-1,1,1)),"")</f>
        <v>330.2</v>
      </c>
      <c r="O435" s="18">
        <f ca="1">IF(OR(Registro_Ordini[[#This Row],[Price]]=0,Registro_Ordini[[#This Row],[Price]]=""),"",IF(Registro_Ordini[[#This Row],[Tipo]]="Sell",Registro_Ordini[[#This Row],[Prezzo]]/Registro_Ordini[[#This Row],[Price]]-1,Registro_Ordini[[#This Row],[Price]]/Registro_Ordini[[#This Row],[Prezzo]]-1))</f>
        <v>-0.19230769230769229</v>
      </c>
      <c r="P435" s="15">
        <v>-1.8584686750411757E-2</v>
      </c>
      <c r="Q435" s="3">
        <v>0.17000349151114061</v>
      </c>
      <c r="R435" s="3">
        <v>0.35891115192026851</v>
      </c>
      <c r="S435" s="3">
        <v>0.41770436950100082</v>
      </c>
      <c r="T435" s="3">
        <v>0</v>
      </c>
      <c r="U435" s="3">
        <v>5.3380987067589925E-2</v>
      </c>
      <c r="V435" s="3"/>
      <c r="W435" s="4"/>
    </row>
    <row r="436" spans="1:23" s="1" customFormat="1" ht="24.95" customHeight="1" x14ac:dyDescent="0.2">
      <c r="A436" s="8">
        <v>45863.728391203702</v>
      </c>
      <c r="B436" s="7">
        <v>45863.728391203702</v>
      </c>
      <c r="C436" s="9" t="s">
        <v>375</v>
      </c>
      <c r="D436" s="1" t="s">
        <v>388</v>
      </c>
      <c r="E436" s="1" t="s">
        <v>403</v>
      </c>
      <c r="F436" s="1" t="s">
        <v>405</v>
      </c>
      <c r="G436" s="1" t="s">
        <v>365</v>
      </c>
      <c r="H436" s="2">
        <v>-50</v>
      </c>
      <c r="I436" s="16">
        <v>266.39999999999998</v>
      </c>
      <c r="J436" s="1" t="s">
        <v>381</v>
      </c>
      <c r="K436" s="6">
        <f>Registro_Ordini[[#This Row],[Numero]]*Registro_Ordini[[#This Row],[Prezzo]]</f>
        <v>-13319.999999999998</v>
      </c>
      <c r="L436" s="10">
        <v>0.93445</v>
      </c>
      <c r="M436" s="6">
        <f>Registro_Ordini[[#This Row],[Importo]]*Registro_Ordini[[#This Row],[Cambio]]</f>
        <v>-12446.873999999998</v>
      </c>
      <c r="N436" s="1">
        <f ca="1">IFERROR(_xlfn.NUMBERVALUE(OFFSET(Origine,MATCH(Registro_Ordini[[#This Row],[Titolo]],Descrizioni,0),MATCH("Price",Intestazioni,0)-1,1,1)),"")</f>
        <v>330.2</v>
      </c>
      <c r="O436" s="18">
        <f ca="1">IF(OR(Registro_Ordini[[#This Row],[Price]]=0,Registro_Ordini[[#This Row],[Price]]=""),"",IF(Registro_Ordini[[#This Row],[Tipo]]="Sell",Registro_Ordini[[#This Row],[Prezzo]]/Registro_Ordini[[#This Row],[Price]]-1,Registro_Ordini[[#This Row],[Price]]/Registro_Ordini[[#This Row],[Prezzo]]-1))</f>
        <v>-0.19321623258631138</v>
      </c>
      <c r="P436" s="15">
        <v>-1.495908597133533E-2</v>
      </c>
      <c r="Q436" s="3">
        <v>0.1704126712279517</v>
      </c>
      <c r="R436" s="3">
        <v>0.30262920578650415</v>
      </c>
      <c r="S436" s="3">
        <v>0.42052722727802155</v>
      </c>
      <c r="T436" s="3">
        <v>0</v>
      </c>
      <c r="U436" s="3">
        <v>0.10643089570752257</v>
      </c>
      <c r="V436" s="3"/>
      <c r="W436" s="4"/>
    </row>
    <row r="437" spans="1:23" s="1" customFormat="1" ht="24.95" customHeight="1" x14ac:dyDescent="0.2">
      <c r="A437" s="8">
        <v>45863.728379629632</v>
      </c>
      <c r="B437" s="7">
        <v>45863.728379629632</v>
      </c>
      <c r="C437" s="9" t="s">
        <v>377</v>
      </c>
      <c r="D437" s="1" t="s">
        <v>388</v>
      </c>
      <c r="E437" s="1" t="s">
        <v>403</v>
      </c>
      <c r="F437" s="1" t="s">
        <v>405</v>
      </c>
      <c r="G437" s="1" t="s">
        <v>365</v>
      </c>
      <c r="H437" s="2">
        <v>-115</v>
      </c>
      <c r="I437" s="16">
        <v>266.39999999999998</v>
      </c>
      <c r="J437" s="1" t="s">
        <v>381</v>
      </c>
      <c r="K437" s="6">
        <f>Registro_Ordini[[#This Row],[Numero]]*Registro_Ordini[[#This Row],[Prezzo]]</f>
        <v>-30635.999999999996</v>
      </c>
      <c r="L437" s="10">
        <v>0.93445</v>
      </c>
      <c r="M437" s="6">
        <f>Registro_Ordini[[#This Row],[Importo]]*Registro_Ordini[[#This Row],[Cambio]]</f>
        <v>-28627.810199999996</v>
      </c>
      <c r="N437" s="1">
        <f ca="1">IFERROR(_xlfn.NUMBERVALUE(OFFSET(Origine,MATCH(Registro_Ordini[[#This Row],[Titolo]],Descrizioni,0),MATCH("Price",Intestazioni,0)-1,1,1)),"")</f>
        <v>330.2</v>
      </c>
      <c r="O437" s="18">
        <f ca="1">IF(OR(Registro_Ordini[[#This Row],[Price]]=0,Registro_Ordini[[#This Row],[Price]]=""),"",IF(Registro_Ordini[[#This Row],[Tipo]]="Sell",Registro_Ordini[[#This Row],[Prezzo]]/Registro_Ordini[[#This Row],[Price]]-1,Registro_Ordini[[#This Row],[Price]]/Registro_Ordini[[#This Row],[Prezzo]]-1))</f>
        <v>-0.19321623258631138</v>
      </c>
      <c r="P437" s="15">
        <v>-1.7685176420912156E-2</v>
      </c>
      <c r="Q437" s="3">
        <v>0.14936683133864798</v>
      </c>
      <c r="R437" s="3">
        <v>0.28528918375472412</v>
      </c>
      <c r="S437" s="3">
        <v>0.45986232651279046</v>
      </c>
      <c r="T437" s="3">
        <v>0</v>
      </c>
      <c r="U437" s="3">
        <v>0.10548165839383743</v>
      </c>
      <c r="V437" s="3"/>
      <c r="W437" s="4"/>
    </row>
    <row r="438" spans="1:23" s="1" customFormat="1" ht="24.95" customHeight="1" x14ac:dyDescent="0.2">
      <c r="A438" s="8">
        <v>45863.728379629632</v>
      </c>
      <c r="B438" s="7">
        <v>45863.728379629632</v>
      </c>
      <c r="C438" s="9" t="s">
        <v>376</v>
      </c>
      <c r="D438" s="1" t="s">
        <v>388</v>
      </c>
      <c r="E438" s="1" t="s">
        <v>403</v>
      </c>
      <c r="F438" s="1" t="s">
        <v>405</v>
      </c>
      <c r="G438" s="1" t="s">
        <v>365</v>
      </c>
      <c r="H438" s="2">
        <v>-20</v>
      </c>
      <c r="I438" s="16">
        <v>266.39999999999998</v>
      </c>
      <c r="J438" s="1" t="s">
        <v>381</v>
      </c>
      <c r="K438" s="6">
        <f>Registro_Ordini[[#This Row],[Numero]]*Registro_Ordini[[#This Row],[Prezzo]]</f>
        <v>-5328</v>
      </c>
      <c r="L438" s="10">
        <v>0.93445</v>
      </c>
      <c r="M438" s="6">
        <f>Registro_Ordini[[#This Row],[Importo]]*Registro_Ordini[[#This Row],[Cambio]]</f>
        <v>-4978.7496000000001</v>
      </c>
      <c r="N438" s="1">
        <f ca="1">IFERROR(_xlfn.NUMBERVALUE(OFFSET(Origine,MATCH(Registro_Ordini[[#This Row],[Titolo]],Descrizioni,0),MATCH("Price",Intestazioni,0)-1,1,1)),"")</f>
        <v>330.2</v>
      </c>
      <c r="O438" s="18">
        <f ca="1">IF(OR(Registro_Ordini[[#This Row],[Price]]=0,Registro_Ordini[[#This Row],[Price]]=""),"",IF(Registro_Ordini[[#This Row],[Tipo]]="Sell",Registro_Ordini[[#This Row],[Prezzo]]/Registro_Ordini[[#This Row],[Price]]-1,Registro_Ordini[[#This Row],[Price]]/Registro_Ordini[[#This Row],[Prezzo]]-1))</f>
        <v>-0.19321623258631138</v>
      </c>
      <c r="P438" s="15">
        <v>-1.7518942425401453E-2</v>
      </c>
      <c r="Q438" s="3">
        <v>6.9333514561675302E-2</v>
      </c>
      <c r="R438" s="3">
        <v>0.31103808515699266</v>
      </c>
      <c r="S438" s="3">
        <v>0.49175058464254828</v>
      </c>
      <c r="T438" s="3">
        <v>0</v>
      </c>
      <c r="U438" s="3">
        <v>0.12787781563878375</v>
      </c>
      <c r="V438" s="3"/>
      <c r="W438" s="4"/>
    </row>
    <row r="439" spans="1:23" s="1" customFormat="1" ht="24.95" customHeight="1" x14ac:dyDescent="0.2">
      <c r="A439" s="8">
        <v>45863.728368055556</v>
      </c>
      <c r="B439" s="7">
        <v>45863.728368055556</v>
      </c>
      <c r="C439" s="9" t="s">
        <v>378</v>
      </c>
      <c r="D439" s="1" t="s">
        <v>388</v>
      </c>
      <c r="E439" s="1" t="s">
        <v>403</v>
      </c>
      <c r="F439" s="1" t="s">
        <v>405</v>
      </c>
      <c r="G439" s="1" t="s">
        <v>365</v>
      </c>
      <c r="H439" s="2">
        <v>-35</v>
      </c>
      <c r="I439" s="16">
        <v>266.39999999999998</v>
      </c>
      <c r="J439" s="1" t="s">
        <v>381</v>
      </c>
      <c r="K439" s="6">
        <f>Registro_Ordini[[#This Row],[Numero]]*Registro_Ordini[[#This Row],[Prezzo]]</f>
        <v>-9324</v>
      </c>
      <c r="L439" s="10">
        <v>0.93445</v>
      </c>
      <c r="M439" s="6">
        <f>Registro_Ordini[[#This Row],[Importo]]*Registro_Ordini[[#This Row],[Cambio]]</f>
        <v>-8712.8117999999995</v>
      </c>
      <c r="N439" s="1">
        <f ca="1">IFERROR(_xlfn.NUMBERVALUE(OFFSET(Origine,MATCH(Registro_Ordini[[#This Row],[Titolo]],Descrizioni,0),MATCH("Price",Intestazioni,0)-1,1,1)),"")</f>
        <v>330.2</v>
      </c>
      <c r="O439" s="18">
        <f ca="1">IF(OR(Registro_Ordini[[#This Row],[Price]]=0,Registro_Ordini[[#This Row],[Price]]=""),"",IF(Registro_Ordini[[#This Row],[Tipo]]="Sell",Registro_Ordini[[#This Row],[Prezzo]]/Registro_Ordini[[#This Row],[Price]]-1,Registro_Ordini[[#This Row],[Price]]/Registro_Ordini[[#This Row],[Prezzo]]-1))</f>
        <v>-0.19321623258631138</v>
      </c>
      <c r="P439" s="15">
        <v>-1.6511709834958931E-2</v>
      </c>
      <c r="Q439" s="3">
        <v>0.14064614974444617</v>
      </c>
      <c r="R439" s="3">
        <v>0.29008964803104476</v>
      </c>
      <c r="S439" s="3">
        <v>0.46856069143140477</v>
      </c>
      <c r="T439" s="3">
        <v>0</v>
      </c>
      <c r="U439" s="3">
        <v>0.10070351079310412</v>
      </c>
      <c r="V439" s="3"/>
      <c r="W439" s="4"/>
    </row>
    <row r="440" spans="1:23" s="1" customFormat="1" ht="24.95" customHeight="1" x14ac:dyDescent="0.2">
      <c r="A440" s="8">
        <v>45863.668356481481</v>
      </c>
      <c r="B440" s="7">
        <v>45863.668356481481</v>
      </c>
      <c r="C440" s="9" t="s">
        <v>106</v>
      </c>
      <c r="D440" s="1" t="s">
        <v>388</v>
      </c>
      <c r="E440" s="1" t="s">
        <v>397</v>
      </c>
      <c r="F440" s="1" t="s">
        <v>406</v>
      </c>
      <c r="G440" s="1" t="s">
        <v>365</v>
      </c>
      <c r="H440" s="2">
        <v>-90</v>
      </c>
      <c r="I440" s="16">
        <v>122.9318</v>
      </c>
      <c r="J440" s="1" t="s">
        <v>369</v>
      </c>
      <c r="K440" s="6">
        <f>Registro_Ordini[[#This Row],[Numero]]*Registro_Ordini[[#This Row],[Prezzo]]</f>
        <v>-11063.861999999999</v>
      </c>
      <c r="L440" s="10">
        <v>1.0707471399999999</v>
      </c>
      <c r="M440" s="6">
        <f>Registro_Ordini[[#This Row],[Importo]]*Registro_Ordini[[#This Row],[Cambio]]</f>
        <v>-11846.598593854678</v>
      </c>
      <c r="N440" s="1">
        <f ca="1">IFERROR(_xlfn.NUMBERVALUE(OFFSET(Origine,MATCH(Registro_Ordini[[#This Row],[Titolo]],Descrizioni,0),MATCH("Price",Intestazioni,0)-1,1,1)),"")</f>
        <v>136.52000000000001</v>
      </c>
      <c r="O440" s="18">
        <f ca="1">IF(OR(Registro_Ordini[[#This Row],[Price]]=0,Registro_Ordini[[#This Row],[Price]]=""),"",IF(Registro_Ordini[[#This Row],[Tipo]]="Sell",Registro_Ordini[[#This Row],[Prezzo]]/Registro_Ordini[[#This Row],[Price]]-1,Registro_Ordini[[#This Row],[Price]]/Registro_Ordini[[#This Row],[Prezzo]]-1))</f>
        <v>-9.9532669205977253E-2</v>
      </c>
      <c r="P440" s="15">
        <v>-8.3479846928439183E-2</v>
      </c>
      <c r="Q440" s="3">
        <v>0.22352612094475627</v>
      </c>
      <c r="R440" s="3">
        <v>0.22636070153465199</v>
      </c>
      <c r="S440" s="3">
        <v>0.40796735379156818</v>
      </c>
      <c r="T440" s="3">
        <v>0</v>
      </c>
      <c r="U440" s="3">
        <v>0.1421458237290236</v>
      </c>
      <c r="V440" s="3"/>
      <c r="W440" s="4"/>
    </row>
    <row r="441" spans="1:23" s="1" customFormat="1" ht="24.95" customHeight="1" x14ac:dyDescent="0.2">
      <c r="A441" s="8">
        <v>45863.668194444443</v>
      </c>
      <c r="B441" s="7">
        <v>45863.668194444443</v>
      </c>
      <c r="C441" s="9" t="s">
        <v>78</v>
      </c>
      <c r="D441" s="1" t="s">
        <v>388</v>
      </c>
      <c r="E441" s="1" t="s">
        <v>397</v>
      </c>
      <c r="F441" s="1" t="s">
        <v>406</v>
      </c>
      <c r="G441" s="1" t="s">
        <v>365</v>
      </c>
      <c r="H441" s="2">
        <v>-100</v>
      </c>
      <c r="I441" s="16">
        <v>122.9318</v>
      </c>
      <c r="J441" s="1" t="s">
        <v>369</v>
      </c>
      <c r="K441" s="6">
        <f>Registro_Ordini[[#This Row],[Numero]]*Registro_Ordini[[#This Row],[Prezzo]]</f>
        <v>-12293.18</v>
      </c>
      <c r="L441" s="10">
        <v>1.0000001300000001</v>
      </c>
      <c r="M441" s="6">
        <f>Registro_Ordini[[#This Row],[Importo]]*Registro_Ordini[[#This Row],[Cambio]]</f>
        <v>-12293.181598113402</v>
      </c>
      <c r="N441" s="1">
        <f ca="1">IFERROR(_xlfn.NUMBERVALUE(OFFSET(Origine,MATCH(Registro_Ordini[[#This Row],[Titolo]],Descrizioni,0),MATCH("Price",Intestazioni,0)-1,1,1)),"")</f>
        <v>136.52000000000001</v>
      </c>
      <c r="O441" s="18">
        <f ca="1">IF(OR(Registro_Ordini[[#This Row],[Price]]=0,Registro_Ordini[[#This Row],[Price]]=""),"",IF(Registro_Ordini[[#This Row],[Tipo]]="Sell",Registro_Ordini[[#This Row],[Prezzo]]/Registro_Ordini[[#This Row],[Price]]-1,Registro_Ordini[[#This Row],[Price]]/Registro_Ordini[[#This Row],[Prezzo]]-1))</f>
        <v>-9.9532669205977253E-2</v>
      </c>
      <c r="P441" s="15">
        <v>-2.2830093704556281E-2</v>
      </c>
      <c r="Q441" s="3">
        <v>0.16178534503572664</v>
      </c>
      <c r="R441" s="3">
        <v>0.12999137016005566</v>
      </c>
      <c r="S441" s="3">
        <v>0.61029470398664598</v>
      </c>
      <c r="T441" s="3">
        <v>0</v>
      </c>
      <c r="U441" s="3">
        <v>9.7928580817571789E-2</v>
      </c>
      <c r="V441" s="3"/>
      <c r="W441" s="4"/>
    </row>
    <row r="442" spans="1:23" s="1" customFormat="1" ht="24.95" customHeight="1" x14ac:dyDescent="0.2">
      <c r="A442" s="8">
        <v>45863.666898148149</v>
      </c>
      <c r="B442" s="7">
        <v>45863.666898148149</v>
      </c>
      <c r="C442" s="9" t="s">
        <v>367</v>
      </c>
      <c r="D442" s="1" t="s">
        <v>388</v>
      </c>
      <c r="E442" s="1" t="s">
        <v>397</v>
      </c>
      <c r="F442" s="1" t="s">
        <v>406</v>
      </c>
      <c r="G442" s="1" t="s">
        <v>365</v>
      </c>
      <c r="H442" s="2">
        <v>-530</v>
      </c>
      <c r="I442" s="16">
        <v>122.92749999999999</v>
      </c>
      <c r="J442" s="1" t="s">
        <v>369</v>
      </c>
      <c r="K442" s="6">
        <f>Registro_Ordini[[#This Row],[Numero]]*Registro_Ordini[[#This Row],[Prezzo]]</f>
        <v>-65151.574999999997</v>
      </c>
      <c r="L442" s="10">
        <v>1.0000001300000001</v>
      </c>
      <c r="M442" s="6">
        <f>Registro_Ordini[[#This Row],[Importo]]*Registro_Ordini[[#This Row],[Cambio]]</f>
        <v>-65151.583469704754</v>
      </c>
      <c r="N442" s="1">
        <f ca="1">IFERROR(_xlfn.NUMBERVALUE(OFFSET(Origine,MATCH(Registro_Ordini[[#This Row],[Titolo]],Descrizioni,0),MATCH("Price",Intestazioni,0)-1,1,1)),"")</f>
        <v>136.52000000000001</v>
      </c>
      <c r="O442" s="18">
        <f ca="1">IF(OR(Registro_Ordini[[#This Row],[Price]]=0,Registro_Ordini[[#This Row],[Price]]=""),"",IF(Registro_Ordini[[#This Row],[Tipo]]="Sell",Registro_Ordini[[#This Row],[Prezzo]]/Registro_Ordini[[#This Row],[Price]]-1,Registro_Ordini[[#This Row],[Price]]/Registro_Ordini[[#This Row],[Prezzo]]-1))</f>
        <v>-9.956416642250232E-2</v>
      </c>
      <c r="P442" s="15">
        <v>-1.8698229642574834E-2</v>
      </c>
      <c r="Q442" s="3">
        <v>0.1513238274919507</v>
      </c>
      <c r="R442" s="3">
        <v>0.35872400074746175</v>
      </c>
      <c r="S442" s="3">
        <v>0.43607472941840203</v>
      </c>
      <c r="T442" s="3">
        <v>0</v>
      </c>
      <c r="U442" s="3">
        <v>5.3877442342185659E-2</v>
      </c>
      <c r="V442" s="3"/>
      <c r="W442" s="4"/>
    </row>
    <row r="443" spans="1:23" s="1" customFormat="1" ht="24.95" customHeight="1" x14ac:dyDescent="0.2">
      <c r="A443" s="8">
        <v>45863.666886574072</v>
      </c>
      <c r="B443" s="7">
        <v>45863.666886574072</v>
      </c>
      <c r="C443" s="9" t="s">
        <v>375</v>
      </c>
      <c r="D443" s="1" t="s">
        <v>388</v>
      </c>
      <c r="E443" s="1" t="s">
        <v>397</v>
      </c>
      <c r="F443" s="1" t="s">
        <v>406</v>
      </c>
      <c r="G443" s="1" t="s">
        <v>365</v>
      </c>
      <c r="H443" s="2">
        <v>-130</v>
      </c>
      <c r="I443" s="16">
        <v>122.9318</v>
      </c>
      <c r="J443" s="1" t="s">
        <v>369</v>
      </c>
      <c r="K443" s="6">
        <f>Registro_Ordini[[#This Row],[Numero]]*Registro_Ordini[[#This Row],[Prezzo]]</f>
        <v>-15981.134</v>
      </c>
      <c r="L443" s="10">
        <v>1.0000001300000001</v>
      </c>
      <c r="M443" s="6">
        <f>Registro_Ordini[[#This Row],[Importo]]*Registro_Ordini[[#This Row],[Cambio]]</f>
        <v>-15981.136077547422</v>
      </c>
      <c r="N443" s="1">
        <f ca="1">IFERROR(_xlfn.NUMBERVALUE(OFFSET(Origine,MATCH(Registro_Ordini[[#This Row],[Titolo]],Descrizioni,0),MATCH("Price",Intestazioni,0)-1,1,1)),"")</f>
        <v>136.52000000000001</v>
      </c>
      <c r="O443" s="18">
        <f ca="1">IF(OR(Registro_Ordini[[#This Row],[Price]]=0,Registro_Ordini[[#This Row],[Price]]=""),"",IF(Registro_Ordini[[#This Row],[Tipo]]="Sell",Registro_Ordini[[#This Row],[Prezzo]]/Registro_Ordini[[#This Row],[Price]]-1,Registro_Ordini[[#This Row],[Price]]/Registro_Ordini[[#This Row],[Prezzo]]-1))</f>
        <v>-9.9532669205977253E-2</v>
      </c>
      <c r="P443" s="15">
        <v>-1.9207190725068959E-2</v>
      </c>
      <c r="Q443" s="3">
        <v>0.15547320785012114</v>
      </c>
      <c r="R443" s="3">
        <v>0.30264776001349541</v>
      </c>
      <c r="S443" s="3">
        <v>0.43535747753708492</v>
      </c>
      <c r="T443" s="3">
        <v>0</v>
      </c>
      <c r="U443" s="3">
        <v>0.10652155459929864</v>
      </c>
      <c r="V443" s="3"/>
      <c r="W443" s="4"/>
    </row>
    <row r="444" spans="1:23" s="1" customFormat="1" ht="24.95" customHeight="1" x14ac:dyDescent="0.2">
      <c r="A444" s="8">
        <v>45863.666875000003</v>
      </c>
      <c r="B444" s="7">
        <v>45863.666875000003</v>
      </c>
      <c r="C444" s="9" t="s">
        <v>377</v>
      </c>
      <c r="D444" s="1" t="s">
        <v>388</v>
      </c>
      <c r="E444" s="1" t="s">
        <v>397</v>
      </c>
      <c r="F444" s="1" t="s">
        <v>406</v>
      </c>
      <c r="G444" s="1" t="s">
        <v>365</v>
      </c>
      <c r="H444" s="2">
        <v>-250</v>
      </c>
      <c r="I444" s="16">
        <v>122.9318</v>
      </c>
      <c r="J444" s="1" t="s">
        <v>369</v>
      </c>
      <c r="K444" s="6">
        <f>Registro_Ordini[[#This Row],[Numero]]*Registro_Ordini[[#This Row],[Prezzo]]</f>
        <v>-30732.949999999997</v>
      </c>
      <c r="L444" s="10">
        <v>1.0000001300000001</v>
      </c>
      <c r="M444" s="6">
        <f>Registro_Ordini[[#This Row],[Importo]]*Registro_Ordini[[#This Row],[Cambio]]</f>
        <v>-30732.9539952835</v>
      </c>
      <c r="N444" s="1">
        <f ca="1">IFERROR(_xlfn.NUMBERVALUE(OFFSET(Origine,MATCH(Registro_Ordini[[#This Row],[Titolo]],Descrizioni,0),MATCH("Price",Intestazioni,0)-1,1,1)),"")</f>
        <v>136.52000000000001</v>
      </c>
      <c r="O444" s="18">
        <f ca="1">IF(OR(Registro_Ordini[[#This Row],[Price]]=0,Registro_Ordini[[#This Row],[Price]]=""),"",IF(Registro_Ordini[[#This Row],[Tipo]]="Sell",Registro_Ordini[[#This Row],[Prezzo]]/Registro_Ordini[[#This Row],[Price]]-1,Registro_Ordini[[#This Row],[Price]]/Registro_Ordini[[#This Row],[Prezzo]]-1))</f>
        <v>-9.9532669205977253E-2</v>
      </c>
      <c r="P444" s="15">
        <v>-1.8965203831742567E-2</v>
      </c>
      <c r="Q444" s="3">
        <v>0.13157324700775769</v>
      </c>
      <c r="R444" s="3">
        <v>0.28499184921081616</v>
      </c>
      <c r="S444" s="3">
        <v>0.47703012453913402</v>
      </c>
      <c r="T444" s="3">
        <v>0</v>
      </c>
      <c r="U444" s="3">
        <v>0.10640477924229215</v>
      </c>
      <c r="V444" s="3"/>
      <c r="W444" s="4"/>
    </row>
    <row r="445" spans="1:23" s="1" customFormat="1" ht="24.95" customHeight="1" x14ac:dyDescent="0.2">
      <c r="A445" s="8">
        <v>45863.666863425926</v>
      </c>
      <c r="B445" s="7">
        <v>45863.666863425926</v>
      </c>
      <c r="C445" s="9" t="s">
        <v>378</v>
      </c>
      <c r="D445" s="1" t="s">
        <v>388</v>
      </c>
      <c r="E445" s="1" t="s">
        <v>397</v>
      </c>
      <c r="F445" s="1" t="s">
        <v>406</v>
      </c>
      <c r="G445" s="1" t="s">
        <v>365</v>
      </c>
      <c r="H445" s="2">
        <v>-80</v>
      </c>
      <c r="I445" s="16">
        <v>122.9318</v>
      </c>
      <c r="J445" s="1" t="s">
        <v>369</v>
      </c>
      <c r="K445" s="6">
        <f>Registro_Ordini[[#This Row],[Numero]]*Registro_Ordini[[#This Row],[Prezzo]]</f>
        <v>-9834.5439999999999</v>
      </c>
      <c r="L445" s="10">
        <v>1.0000001300000001</v>
      </c>
      <c r="M445" s="6">
        <f>Registro_Ordini[[#This Row],[Importo]]*Registro_Ordini[[#This Row],[Cambio]]</f>
        <v>-9834.5452784907211</v>
      </c>
      <c r="N445" s="1">
        <f ca="1">IFERROR(_xlfn.NUMBERVALUE(OFFSET(Origine,MATCH(Registro_Ordini[[#This Row],[Titolo]],Descrizioni,0),MATCH("Price",Intestazioni,0)-1,1,1)),"")</f>
        <v>136.52000000000001</v>
      </c>
      <c r="O445" s="18">
        <f ca="1">IF(OR(Registro_Ordini[[#This Row],[Price]]=0,Registro_Ordini[[#This Row],[Price]]=""),"",IF(Registro_Ordini[[#This Row],[Tipo]]="Sell",Registro_Ordini[[#This Row],[Prezzo]]/Registro_Ordini[[#This Row],[Price]]-1,Registro_Ordini[[#This Row],[Price]]/Registro_Ordini[[#This Row],[Prezzo]]-1))</f>
        <v>-9.9532669205977253E-2</v>
      </c>
      <c r="P445" s="15">
        <v>-1.8632465762240022E-2</v>
      </c>
      <c r="Q445" s="3">
        <v>0.12410402677916911</v>
      </c>
      <c r="R445" s="3">
        <v>0.29002120678431126</v>
      </c>
      <c r="S445" s="3">
        <v>0.4849093599963486</v>
      </c>
      <c r="T445" s="3">
        <v>0</v>
      </c>
      <c r="U445" s="3">
        <v>0.10096540644017094</v>
      </c>
      <c r="V445" s="3"/>
      <c r="W445" s="4"/>
    </row>
    <row r="446" spans="1:23" s="1" customFormat="1" ht="24.95" customHeight="1" x14ac:dyDescent="0.2">
      <c r="A446" s="8">
        <v>45863.657476851855</v>
      </c>
      <c r="B446" s="7">
        <v>45863.657476851855</v>
      </c>
      <c r="C446" s="9" t="s">
        <v>367</v>
      </c>
      <c r="D446" s="1" t="s">
        <v>362</v>
      </c>
      <c r="E446" s="1" t="s">
        <v>363</v>
      </c>
      <c r="F446" s="1" t="s">
        <v>407</v>
      </c>
      <c r="G446" s="1" t="s">
        <v>371</v>
      </c>
      <c r="H446" s="2">
        <v>150000</v>
      </c>
      <c r="I446" s="16">
        <v>1.0139499999999999</v>
      </c>
      <c r="J446" s="1" t="s">
        <v>381</v>
      </c>
      <c r="K446" s="6">
        <f>Registro_Ordini[[#This Row],[Numero]]*Registro_Ordini[[#This Row],[Prezzo]]</f>
        <v>152092.5</v>
      </c>
      <c r="L446" s="10">
        <v>0.93415000000000004</v>
      </c>
      <c r="M446" s="6">
        <f>Registro_Ordini[[#This Row],[Importo]]*Registro_Ordini[[#This Row],[Cambio]]</f>
        <v>142077.20887500001</v>
      </c>
      <c r="N446" s="1" t="str">
        <f ca="1">IFERROR(_xlfn.NUMBERVALUE(OFFSET(Origine,MATCH(Registro_Ordini[[#This Row],[Titolo]],Descrizioni,0),MATCH("Price",Intestazioni,0)-1,1,1)),"")</f>
        <v/>
      </c>
      <c r="O446" s="18" t="str">
        <f ca="1">IF(OR(Registro_Ordini[[#This Row],[Price]]=0,Registro_Ordini[[#This Row],[Price]]=""),"",IF(Registro_Ordini[[#This Row],[Tipo]]="Sell",Registro_Ordini[[#This Row],[Prezzo]]/Registro_Ordini[[#This Row],[Price]]-1,Registro_Ordini[[#This Row],[Price]]/Registro_Ordini[[#This Row],[Prezzo]]-1))</f>
        <v/>
      </c>
      <c r="P446" s="15">
        <v>4.0772560803625846E-2</v>
      </c>
      <c r="Q446" s="3">
        <v>0.13266207006195035</v>
      </c>
      <c r="R446" s="3">
        <v>0.35869761825975743</v>
      </c>
      <c r="S446" s="3">
        <v>0.45476683177228905</v>
      </c>
      <c r="T446" s="3">
        <v>0</v>
      </c>
      <c r="U446" s="3">
        <v>5.3873479906003059E-2</v>
      </c>
      <c r="V446" s="3"/>
      <c r="W446" s="4"/>
    </row>
    <row r="447" spans="1:23" s="1" customFormat="1" ht="24.95" customHeight="1" x14ac:dyDescent="0.2">
      <c r="A447" s="8">
        <v>45863.657210648147</v>
      </c>
      <c r="B447" s="7">
        <v>45863.657210648147</v>
      </c>
      <c r="C447" s="9" t="s">
        <v>367</v>
      </c>
      <c r="D447" s="1" t="s">
        <v>362</v>
      </c>
      <c r="E447" s="1" t="s">
        <v>363</v>
      </c>
      <c r="F447" s="1" t="s">
        <v>408</v>
      </c>
      <c r="G447" s="1" t="s">
        <v>365</v>
      </c>
      <c r="H447" s="2">
        <v>-198000</v>
      </c>
      <c r="I447" s="16">
        <v>1.0081111111111112</v>
      </c>
      <c r="J447" s="1" t="s">
        <v>366</v>
      </c>
      <c r="K447" s="6">
        <f>Registro_Ordini[[#This Row],[Numero]]*Registro_Ordini[[#This Row],[Prezzo]]</f>
        <v>-199606</v>
      </c>
      <c r="L447" s="10">
        <v>0.79774999999999996</v>
      </c>
      <c r="M447" s="6">
        <f>Registro_Ordini[[#This Row],[Importo]]*Registro_Ordini[[#This Row],[Cambio]]</f>
        <v>-159235.68649999998</v>
      </c>
      <c r="N447" s="1" t="str">
        <f ca="1">IFERROR(_xlfn.NUMBERVALUE(OFFSET(Origine,MATCH(Registro_Ordini[[#This Row],[Titolo]],Descrizioni,0),MATCH("Price",Intestazioni,0)-1,1,1)),"")</f>
        <v/>
      </c>
      <c r="O447" s="18" t="str">
        <f ca="1">IF(OR(Registro_Ordini[[#This Row],[Price]]=0,Registro_Ordini[[#This Row],[Price]]=""),"",IF(Registro_Ordini[[#This Row],[Tipo]]="Sell",Registro_Ordini[[#This Row],[Prezzo]]/Registro_Ordini[[#This Row],[Price]]-1,Registro_Ordini[[#This Row],[Price]]/Registro_Ordini[[#This Row],[Prezzo]]-1))</f>
        <v/>
      </c>
      <c r="P447" s="15">
        <v>-4.5696609338943511E-2</v>
      </c>
      <c r="Q447" s="3">
        <v>0.13266207006195035</v>
      </c>
      <c r="R447" s="3">
        <v>0.35869761825975749</v>
      </c>
      <c r="S447" s="3">
        <v>0.4547668317722891</v>
      </c>
      <c r="T447" s="3">
        <v>0</v>
      </c>
      <c r="U447" s="3">
        <v>5.3873479906003066E-2</v>
      </c>
      <c r="V447" s="3"/>
      <c r="W447" s="4"/>
    </row>
    <row r="448" spans="1:23" s="1" customFormat="1" ht="24.95" customHeight="1" x14ac:dyDescent="0.2">
      <c r="A448" s="8">
        <v>45862.732905092591</v>
      </c>
      <c r="B448" s="7">
        <v>45862.732905092591</v>
      </c>
      <c r="C448" s="9" t="s">
        <v>373</v>
      </c>
      <c r="D448" s="1" t="s">
        <v>388</v>
      </c>
      <c r="E448" s="1" t="s">
        <v>389</v>
      </c>
      <c r="F448" s="1" t="s">
        <v>409</v>
      </c>
      <c r="G448" s="1" t="s">
        <v>371</v>
      </c>
      <c r="H448" s="2">
        <v>30</v>
      </c>
      <c r="I448" s="16">
        <v>198.38</v>
      </c>
      <c r="J448" s="1" t="s">
        <v>366</v>
      </c>
      <c r="K448" s="6">
        <f>Registro_Ordini[[#This Row],[Numero]]*Registro_Ordini[[#This Row],[Prezzo]]</f>
        <v>5951.4</v>
      </c>
      <c r="L448" s="10">
        <v>0.79474999999999996</v>
      </c>
      <c r="M448" s="6">
        <f>Registro_Ordini[[#This Row],[Importo]]*Registro_Ordini[[#This Row],[Cambio]]</f>
        <v>4729.8751499999998</v>
      </c>
      <c r="N448" s="1">
        <f ca="1">IFERROR(_xlfn.NUMBERVALUE(OFFSET(Origine,MATCH(Registro_Ordini[[#This Row],[Titolo]],Descrizioni,0),MATCH("Price",Intestazioni,0)-1,1,1)),"")</f>
        <v>245.69</v>
      </c>
      <c r="O448" s="18">
        <f ca="1">IF(OR(Registro_Ordini[[#This Row],[Price]]=0,Registro_Ordini[[#This Row],[Price]]=""),"",IF(Registro_Ordini[[#This Row],[Tipo]]="Sell",Registro_Ordini[[#This Row],[Prezzo]]/Registro_Ordini[[#This Row],[Price]]-1,Registro_Ordini[[#This Row],[Price]]/Registro_Ordini[[#This Row],[Prezzo]]-1))</f>
        <v>0.23848170178445405</v>
      </c>
      <c r="P448" s="15">
        <v>6.6771519635042261E-3</v>
      </c>
      <c r="Q448" s="3">
        <v>0.74276682272573757</v>
      </c>
      <c r="R448" s="3">
        <v>4.2437979087922989E-2</v>
      </c>
      <c r="S448" s="3">
        <v>0.16630338973697859</v>
      </c>
      <c r="T448" s="3">
        <v>0</v>
      </c>
      <c r="U448" s="3">
        <v>4.8491808449360928E-2</v>
      </c>
      <c r="V448" s="3"/>
      <c r="W448" s="4"/>
    </row>
    <row r="449" spans="1:23" s="1" customFormat="1" ht="24.95" customHeight="1" x14ac:dyDescent="0.2">
      <c r="A449" s="8">
        <v>45862.732858796298</v>
      </c>
      <c r="B449" s="7">
        <v>45862.732858796298</v>
      </c>
      <c r="C449" s="9" t="s">
        <v>373</v>
      </c>
      <c r="D449" s="1" t="s">
        <v>388</v>
      </c>
      <c r="E449" s="1" t="s">
        <v>389</v>
      </c>
      <c r="F449" s="1" t="s">
        <v>410</v>
      </c>
      <c r="G449" s="1" t="s">
        <v>371</v>
      </c>
      <c r="H449" s="2">
        <v>200</v>
      </c>
      <c r="I449" s="16">
        <v>85.770600000000002</v>
      </c>
      <c r="J449" s="1" t="s">
        <v>366</v>
      </c>
      <c r="K449" s="6">
        <f>Registro_Ordini[[#This Row],[Numero]]*Registro_Ordini[[#This Row],[Prezzo]]</f>
        <v>17154.12</v>
      </c>
      <c r="L449" s="10">
        <v>0.79474999999999996</v>
      </c>
      <c r="M449" s="6">
        <f>Registro_Ordini[[#This Row],[Importo]]*Registro_Ordini[[#This Row],[Cambio]]</f>
        <v>13633.236869999999</v>
      </c>
      <c r="N449" s="1">
        <f ca="1">IFERROR(_xlfn.NUMBERVALUE(OFFSET(Origine,MATCH(Registro_Ordini[[#This Row],[Titolo]],Descrizioni,0),MATCH("Price",Intestazioni,0)-1,1,1)),"")</f>
        <v>96.11</v>
      </c>
      <c r="O449" s="18">
        <f ca="1">IF(OR(Registro_Ordini[[#This Row],[Price]]=0,Registro_Ordini[[#This Row],[Price]]=""),"",IF(Registro_Ordini[[#This Row],[Tipo]]="Sell",Registro_Ordini[[#This Row],[Prezzo]]/Registro_Ordini[[#This Row],[Price]]-1,Registro_Ordini[[#This Row],[Price]]/Registro_Ordini[[#This Row],[Prezzo]]-1))</f>
        <v>0.12054713386638305</v>
      </c>
      <c r="P449" s="15">
        <v>1.9246003636150671E-2</v>
      </c>
      <c r="Q449" s="3">
        <v>0.74944397468924173</v>
      </c>
      <c r="R449" s="3">
        <v>4.2437979087922989E-2</v>
      </c>
      <c r="S449" s="3">
        <v>0.15962623777347437</v>
      </c>
      <c r="T449" s="3">
        <v>0</v>
      </c>
      <c r="U449" s="3">
        <v>4.8491808449360928E-2</v>
      </c>
      <c r="V449" s="3"/>
      <c r="W449" s="4"/>
    </row>
    <row r="450" spans="1:23" s="1" customFormat="1" ht="24.95" customHeight="1" x14ac:dyDescent="0.2">
      <c r="A450" s="8">
        <v>45862.721331018518</v>
      </c>
      <c r="B450" s="7">
        <v>45862.721331018518</v>
      </c>
      <c r="C450" s="9" t="s">
        <v>367</v>
      </c>
      <c r="D450" s="1" t="s">
        <v>388</v>
      </c>
      <c r="E450" s="1" t="s">
        <v>389</v>
      </c>
      <c r="F450" s="1" t="s">
        <v>409</v>
      </c>
      <c r="G450" s="1" t="s">
        <v>371</v>
      </c>
      <c r="H450" s="2">
        <v>440</v>
      </c>
      <c r="I450" s="16">
        <v>198.35</v>
      </c>
      <c r="J450" s="1" t="s">
        <v>366</v>
      </c>
      <c r="K450" s="6">
        <f>Registro_Ordini[[#This Row],[Numero]]*Registro_Ordini[[#This Row],[Prezzo]]</f>
        <v>87274</v>
      </c>
      <c r="L450" s="10">
        <v>0.79554999999999998</v>
      </c>
      <c r="M450" s="6">
        <f>Registro_Ordini[[#This Row],[Importo]]*Registro_Ordini[[#This Row],[Cambio]]</f>
        <v>69430.830699999991</v>
      </c>
      <c r="N450" s="1">
        <f ca="1">IFERROR(_xlfn.NUMBERVALUE(OFFSET(Origine,MATCH(Registro_Ordini[[#This Row],[Titolo]],Descrizioni,0),MATCH("Price",Intestazioni,0)-1,1,1)),"")</f>
        <v>245.69</v>
      </c>
      <c r="O450" s="18">
        <f ca="1">IF(OR(Registro_Ordini[[#This Row],[Price]]=0,Registro_Ordini[[#This Row],[Price]]=""),"",IF(Registro_Ordini[[#This Row],[Tipo]]="Sell",Registro_Ordini[[#This Row],[Prezzo]]/Registro_Ordini[[#This Row],[Price]]-1,Registro_Ordini[[#This Row],[Price]]/Registro_Ordini[[#This Row],[Prezzo]]-1))</f>
        <v>0.23866901941013352</v>
      </c>
      <c r="P450" s="15">
        <v>1.9877664217447018E-2</v>
      </c>
      <c r="Q450" s="3">
        <v>0.13236101352118254</v>
      </c>
      <c r="R450" s="3">
        <v>0.35788988870717264</v>
      </c>
      <c r="S450" s="3">
        <v>0.45600330842159931</v>
      </c>
      <c r="T450" s="3">
        <v>0</v>
      </c>
      <c r="U450" s="3">
        <v>5.3745789350045488E-2</v>
      </c>
      <c r="V450" s="3"/>
      <c r="W450" s="4"/>
    </row>
    <row r="451" spans="1:23" s="1" customFormat="1" ht="24.95" customHeight="1" x14ac:dyDescent="0.2">
      <c r="A451" s="8">
        <v>45862.721284722225</v>
      </c>
      <c r="B451" s="7">
        <v>45862.721284722225</v>
      </c>
      <c r="C451" s="9" t="s">
        <v>367</v>
      </c>
      <c r="D451" s="1" t="s">
        <v>388</v>
      </c>
      <c r="E451" s="1" t="s">
        <v>389</v>
      </c>
      <c r="F451" s="1" t="s">
        <v>410</v>
      </c>
      <c r="G451" s="1" t="s">
        <v>371</v>
      </c>
      <c r="H451" s="2">
        <v>1000</v>
      </c>
      <c r="I451" s="16">
        <v>85.770600000000002</v>
      </c>
      <c r="J451" s="1" t="s">
        <v>366</v>
      </c>
      <c r="K451" s="6">
        <f>Registro_Ordini[[#This Row],[Numero]]*Registro_Ordini[[#This Row],[Prezzo]]</f>
        <v>85770.6</v>
      </c>
      <c r="L451" s="10">
        <v>0.79554999999999998</v>
      </c>
      <c r="M451" s="6">
        <f>Registro_Ordini[[#This Row],[Importo]]*Registro_Ordini[[#This Row],[Cambio]]</f>
        <v>68234.800830000007</v>
      </c>
      <c r="N451" s="1">
        <f ca="1">IFERROR(_xlfn.NUMBERVALUE(OFFSET(Origine,MATCH(Registro_Ordini[[#This Row],[Titolo]],Descrizioni,0),MATCH("Price",Intestazioni,0)-1,1,1)),"")</f>
        <v>96.11</v>
      </c>
      <c r="O451" s="18">
        <f ca="1">IF(OR(Registro_Ordini[[#This Row],[Price]]=0,Registro_Ordini[[#This Row],[Price]]=""),"",IF(Registro_Ordini[[#This Row],[Tipo]]="Sell",Registro_Ordini[[#This Row],[Prezzo]]/Registro_Ordini[[#This Row],[Price]]-1,Registro_Ordini[[#This Row],[Price]]/Registro_Ordini[[#This Row],[Prezzo]]-1))</f>
        <v>0.12054713386638305</v>
      </c>
      <c r="P451" s="15">
        <v>1.9535247456618943E-2</v>
      </c>
      <c r="Q451" s="3">
        <v>0.15223867773862956</v>
      </c>
      <c r="R451" s="3">
        <v>0.35788988870717264</v>
      </c>
      <c r="S451" s="3">
        <v>0.43612564420415223</v>
      </c>
      <c r="T451" s="3">
        <v>0</v>
      </c>
      <c r="U451" s="3">
        <v>5.3745789350045488E-2</v>
      </c>
      <c r="V451" s="3"/>
      <c r="W451" s="4"/>
    </row>
    <row r="452" spans="1:23" s="1" customFormat="1" ht="24.95" customHeight="1" x14ac:dyDescent="0.2">
      <c r="A452" s="8">
        <v>45859.909675925926</v>
      </c>
      <c r="B452" s="7">
        <v>45859.909675925926</v>
      </c>
      <c r="C452" s="9" t="s">
        <v>367</v>
      </c>
      <c r="D452" s="1" t="s">
        <v>388</v>
      </c>
      <c r="E452" s="1" t="s">
        <v>389</v>
      </c>
      <c r="F452" s="1" t="s">
        <v>411</v>
      </c>
      <c r="G452" s="1" t="s">
        <v>365</v>
      </c>
      <c r="H452" s="2">
        <v>-1250</v>
      </c>
      <c r="I452" s="16">
        <v>52.435000000000002</v>
      </c>
      <c r="J452" s="1" t="s">
        <v>366</v>
      </c>
      <c r="K452" s="6">
        <f>Registro_Ordini[[#This Row],[Numero]]*Registro_Ordini[[#This Row],[Prezzo]]</f>
        <v>-65543.75</v>
      </c>
      <c r="L452" s="10">
        <v>0.79435</v>
      </c>
      <c r="M452" s="6">
        <f>Registro_Ordini[[#This Row],[Importo]]*Registro_Ordini[[#This Row],[Cambio]]</f>
        <v>-52064.677812499998</v>
      </c>
      <c r="N452" s="1">
        <f ca="1">IFERROR(_xlfn.NUMBERVALUE(OFFSET(Origine,MATCH(Registro_Ordini[[#This Row],[Titolo]],Descrizioni,0),MATCH("Price",Intestazioni,0)-1,1,1)),"")</f>
        <v>51.02</v>
      </c>
      <c r="O452" s="18">
        <f ca="1">IF(OR(Registro_Ordini[[#This Row],[Price]]=0,Registro_Ordini[[#This Row],[Price]]=""),"",IF(Registro_Ordini[[#This Row],[Tipo]]="Sell",Registro_Ordini[[#This Row],[Prezzo]]/Registro_Ordini[[#This Row],[Price]]-1,Registro_Ordini[[#This Row],[Price]]/Registro_Ordini[[#This Row],[Prezzo]]-1))</f>
        <v>2.7734221873775056E-2</v>
      </c>
      <c r="P452" s="15">
        <v>-1.4920504906026342E-2</v>
      </c>
      <c r="Q452" s="3">
        <v>0.17157948085676117</v>
      </c>
      <c r="R452" s="3">
        <v>0.35828951090122974</v>
      </c>
      <c r="S452" s="3">
        <v>0.41576251175958412</v>
      </c>
      <c r="T452" s="3">
        <v>0</v>
      </c>
      <c r="U452" s="3">
        <v>5.4368496482424859E-2</v>
      </c>
      <c r="V452" s="3"/>
      <c r="W452" s="4"/>
    </row>
    <row r="453" spans="1:23" s="1" customFormat="1" ht="24.95" customHeight="1" x14ac:dyDescent="0.2">
      <c r="A453" s="8">
        <v>45855</v>
      </c>
      <c r="B453" s="7">
        <v>0.44166666666666665</v>
      </c>
      <c r="C453" s="9" t="s">
        <v>383</v>
      </c>
      <c r="D453" s="1" t="s">
        <v>388</v>
      </c>
      <c r="E453" s="1" t="s">
        <v>403</v>
      </c>
      <c r="F453" s="1" t="s">
        <v>412</v>
      </c>
      <c r="G453" s="1" t="s">
        <v>365</v>
      </c>
      <c r="H453" s="2">
        <v>-90</v>
      </c>
      <c r="I453" s="16">
        <v>88.45</v>
      </c>
      <c r="J453" s="1" t="s">
        <v>381</v>
      </c>
      <c r="K453" s="6">
        <f>Registro_Ordini[[#This Row],[Numero]]*Registro_Ordini[[#This Row],[Prezzo]]</f>
        <v>-7960.5</v>
      </c>
      <c r="L453" s="10">
        <v>1</v>
      </c>
      <c r="M453" s="6">
        <f>Registro_Ordini[[#This Row],[Importo]]*Registro_Ordini[[#This Row],[Cambio]]</f>
        <v>-7960.5</v>
      </c>
      <c r="N453" s="1">
        <f ca="1">IFERROR(_xlfn.NUMBERVALUE(OFFSET(Origine,MATCH(Registro_Ordini[[#This Row],[Titolo]],Descrizioni,0),MATCH("Price",Intestazioni,0)-1,1,1)),"")</f>
        <v>74.36</v>
      </c>
      <c r="O453" s="18">
        <f ca="1">IF(OR(Registro_Ordini[[#This Row],[Price]]=0,Registro_Ordini[[#This Row],[Price]]=""),"",IF(Registro_Ordini[[#This Row],[Tipo]]="Sell",Registro_Ordini[[#This Row],[Prezzo]]/Registro_Ordini[[#This Row],[Price]]-1,Registro_Ordini[[#This Row],[Price]]/Registro_Ordini[[#This Row],[Prezzo]]-1))</f>
        <v>0.18948359332974718</v>
      </c>
      <c r="P453" s="15">
        <v>-1.1744531288091843E-2</v>
      </c>
      <c r="Q453" s="3">
        <v>0.18569296511377237</v>
      </c>
      <c r="R453" s="3">
        <v>0.26840908051427276</v>
      </c>
      <c r="S453" s="3">
        <v>0.4343826354417476</v>
      </c>
      <c r="T453" s="3">
        <v>0</v>
      </c>
      <c r="U453" s="3">
        <v>0.11151531893020723</v>
      </c>
      <c r="V453" s="3"/>
      <c r="W453" s="4"/>
    </row>
    <row r="454" spans="1:23" s="1" customFormat="1" ht="24.95" customHeight="1" x14ac:dyDescent="0.2">
      <c r="A454" s="8">
        <v>45855</v>
      </c>
      <c r="B454" s="7">
        <v>0.44166666666666665</v>
      </c>
      <c r="C454" s="9" t="s">
        <v>382</v>
      </c>
      <c r="D454" s="1" t="s">
        <v>388</v>
      </c>
      <c r="E454" s="1" t="s">
        <v>403</v>
      </c>
      <c r="F454" s="1" t="s">
        <v>412</v>
      </c>
      <c r="G454" s="1" t="s">
        <v>365</v>
      </c>
      <c r="H454" s="2">
        <v>-155</v>
      </c>
      <c r="I454" s="16">
        <v>88.45</v>
      </c>
      <c r="J454" s="1" t="s">
        <v>381</v>
      </c>
      <c r="K454" s="6">
        <f>Registro_Ordini[[#This Row],[Numero]]*Registro_Ordini[[#This Row],[Prezzo]]</f>
        <v>-13709.75</v>
      </c>
      <c r="L454" s="10">
        <v>1</v>
      </c>
      <c r="M454" s="6">
        <f>Registro_Ordini[[#This Row],[Importo]]*Registro_Ordini[[#This Row],[Cambio]]</f>
        <v>-13709.75</v>
      </c>
      <c r="N454" s="1">
        <f ca="1">IFERROR(_xlfn.NUMBERVALUE(OFFSET(Origine,MATCH(Registro_Ordini[[#This Row],[Titolo]],Descrizioni,0),MATCH("Price",Intestazioni,0)-1,1,1)),"")</f>
        <v>74.36</v>
      </c>
      <c r="O454" s="18">
        <f ca="1">IF(OR(Registro_Ordini[[#This Row],[Price]]=0,Registro_Ordini[[#This Row],[Price]]=""),"",IF(Registro_Ordini[[#This Row],[Tipo]]="Sell",Registro_Ordini[[#This Row],[Prezzo]]/Registro_Ordini[[#This Row],[Price]]-1,Registro_Ordini[[#This Row],[Price]]/Registro_Ordini[[#This Row],[Prezzo]]-1))</f>
        <v>0.18948359332974718</v>
      </c>
      <c r="P454" s="15">
        <v>-1.2449994254364745E-2</v>
      </c>
      <c r="Q454" s="3">
        <v>0.1626701105235</v>
      </c>
      <c r="R454" s="3">
        <v>0.28375977167269817</v>
      </c>
      <c r="S454" s="3">
        <v>0.43687521221807252</v>
      </c>
      <c r="T454" s="3">
        <v>0</v>
      </c>
      <c r="U454" s="3">
        <v>0.11669490558572938</v>
      </c>
      <c r="V454" s="3"/>
      <c r="W454" s="4"/>
    </row>
    <row r="455" spans="1:23" s="1" customFormat="1" ht="24.95" customHeight="1" x14ac:dyDescent="0.2">
      <c r="A455" s="8">
        <v>45855</v>
      </c>
      <c r="B455" s="7">
        <v>0.44166666666666665</v>
      </c>
      <c r="C455" s="9" t="s">
        <v>379</v>
      </c>
      <c r="D455" s="1" t="s">
        <v>388</v>
      </c>
      <c r="E455" s="1" t="s">
        <v>403</v>
      </c>
      <c r="F455" s="1" t="s">
        <v>412</v>
      </c>
      <c r="G455" s="1" t="s">
        <v>365</v>
      </c>
      <c r="H455" s="2">
        <v>-85</v>
      </c>
      <c r="I455" s="16">
        <v>88.45</v>
      </c>
      <c r="J455" s="1" t="s">
        <v>381</v>
      </c>
      <c r="K455" s="6">
        <f>Registro_Ordini[[#This Row],[Numero]]*Registro_Ordini[[#This Row],[Prezzo]]</f>
        <v>-7518.25</v>
      </c>
      <c r="L455" s="10">
        <v>1</v>
      </c>
      <c r="M455" s="6">
        <f>Registro_Ordini[[#This Row],[Importo]]*Registro_Ordini[[#This Row],[Cambio]]</f>
        <v>-7518.25</v>
      </c>
      <c r="N455" s="1">
        <f ca="1">IFERROR(_xlfn.NUMBERVALUE(OFFSET(Origine,MATCH(Registro_Ordini[[#This Row],[Titolo]],Descrizioni,0),MATCH("Price",Intestazioni,0)-1,1,1)),"")</f>
        <v>74.36</v>
      </c>
      <c r="O455" s="18">
        <f ca="1">IF(OR(Registro_Ordini[[#This Row],[Price]]=0,Registro_Ordini[[#This Row],[Price]]=""),"",IF(Registro_Ordini[[#This Row],[Tipo]]="Sell",Registro_Ordini[[#This Row],[Prezzo]]/Registro_Ordini[[#This Row],[Price]]-1,Registro_Ordini[[#This Row],[Price]]/Registro_Ordini[[#This Row],[Prezzo]]-1))</f>
        <v>0.18948359332974718</v>
      </c>
      <c r="P455" s="15">
        <v>-1.2488322853733361E-2</v>
      </c>
      <c r="Q455" s="3">
        <v>0.16486342691285458</v>
      </c>
      <c r="R455" s="3">
        <v>0.28955865507850209</v>
      </c>
      <c r="S455" s="3">
        <v>0.43367656536467275</v>
      </c>
      <c r="T455" s="3">
        <v>0</v>
      </c>
      <c r="U455" s="3">
        <v>0.11190135264397071</v>
      </c>
      <c r="V455" s="3"/>
      <c r="W455" s="4"/>
    </row>
    <row r="456" spans="1:23" s="1" customFormat="1" ht="24.95" customHeight="1" x14ac:dyDescent="0.2">
      <c r="A456" s="8">
        <v>45845.716805555552</v>
      </c>
      <c r="B456" s="7">
        <v>45845.716805555552</v>
      </c>
      <c r="C456" s="9" t="s">
        <v>413</v>
      </c>
      <c r="D456" s="1" t="s">
        <v>388</v>
      </c>
      <c r="E456" s="1" t="s">
        <v>389</v>
      </c>
      <c r="F456" s="19" t="s">
        <v>414</v>
      </c>
      <c r="G456" s="1" t="s">
        <v>371</v>
      </c>
      <c r="H456" s="2">
        <v>940</v>
      </c>
      <c r="I456" s="16">
        <v>127.73</v>
      </c>
      <c r="J456" s="1" t="s">
        <v>366</v>
      </c>
      <c r="K456" s="6">
        <f>Registro_Ordini[[#This Row],[Numero]]*Registro_Ordini[[#This Row],[Prezzo]]</f>
        <v>120066.2</v>
      </c>
      <c r="L456" s="10">
        <v>0.79684999999999995</v>
      </c>
      <c r="M456" s="6">
        <f>Registro_Ordini[[#This Row],[Importo]]*Registro_Ordini[[#This Row],[Cambio]]</f>
        <v>95674.751469999988</v>
      </c>
      <c r="N456" s="1">
        <f ca="1">IFERROR(_xlfn.NUMBERVALUE(OFFSET(Origine,MATCH(Registro_Ordini[[#This Row],[Titolo]],Descrizioni,0),MATCH("Price",Intestazioni,0)-1,1,1)),"")</f>
        <v>137.36000000000001</v>
      </c>
      <c r="O456" s="18">
        <f ca="1">IF(OR(Registro_Ordini[[#This Row],[Price]]=0,Registro_Ordini[[#This Row],[Price]]=""),"",IF(Registro_Ordini[[#This Row],[Tipo]]="Sell",Registro_Ordini[[#This Row],[Prezzo]]/Registro_Ordini[[#This Row],[Price]]-1,Registro_Ordini[[#This Row],[Price]]/Registro_Ordini[[#This Row],[Prezzo]]-1))</f>
        <v>7.5393407969936765E-2</v>
      </c>
      <c r="P456" s="15">
        <v>1.9892294347517409E-2</v>
      </c>
      <c r="Q456" s="3">
        <v>0.10934441636419567</v>
      </c>
      <c r="R456" s="3">
        <v>0.17941823375436314</v>
      </c>
      <c r="S456" s="3">
        <v>0.29114393039140329</v>
      </c>
      <c r="T456" s="3">
        <v>0</v>
      </c>
      <c r="U456" s="3">
        <v>0.42009341949003803</v>
      </c>
      <c r="V456" s="3">
        <v>0</v>
      </c>
      <c r="W456" s="5"/>
    </row>
    <row r="457" spans="1:23" s="1" customFormat="1" ht="24.95" customHeight="1" x14ac:dyDescent="0.2">
      <c r="A457" s="8">
        <v>45845.716597222221</v>
      </c>
      <c r="B457" s="7">
        <v>45845.716597222221</v>
      </c>
      <c r="C457" s="9" t="s">
        <v>413</v>
      </c>
      <c r="D457" s="1" t="s">
        <v>388</v>
      </c>
      <c r="E457" s="1" t="s">
        <v>389</v>
      </c>
      <c r="F457" s="19" t="s">
        <v>411</v>
      </c>
      <c r="G457" s="1" t="s">
        <v>371</v>
      </c>
      <c r="H457" s="2">
        <v>2265</v>
      </c>
      <c r="I457" s="16">
        <v>52.945</v>
      </c>
      <c r="J457" s="1" t="s">
        <v>366</v>
      </c>
      <c r="K457" s="6">
        <f>Registro_Ordini[[#This Row],[Numero]]*Registro_Ordini[[#This Row],[Prezzo]]</f>
        <v>119920.425</v>
      </c>
      <c r="L457" s="10">
        <v>0.79684999999999995</v>
      </c>
      <c r="M457" s="6">
        <f>Registro_Ordini[[#This Row],[Importo]]*Registro_Ordini[[#This Row],[Cambio]]</f>
        <v>95558.590661249997</v>
      </c>
      <c r="N457" s="1">
        <f ca="1">IFERROR(_xlfn.NUMBERVALUE(OFFSET(Origine,MATCH(Registro_Ordini[[#This Row],[Titolo]],Descrizioni,0),MATCH("Price",Intestazioni,0)-1,1,1)),"")</f>
        <v>51.02</v>
      </c>
      <c r="O457" s="18">
        <f ca="1">IF(OR(Registro_Ordini[[#This Row],[Price]]=0,Registro_Ordini[[#This Row],[Price]]=""),"",IF(Registro_Ordini[[#This Row],[Tipo]]="Sell",Registro_Ordini[[#This Row],[Prezzo]]/Registro_Ordini[[#This Row],[Price]]-1,Registro_Ordini[[#This Row],[Price]]/Registro_Ordini[[#This Row],[Prezzo]]-1))</f>
        <v>-3.6358485220511771E-2</v>
      </c>
      <c r="P457" s="15">
        <v>1.9871252876799438E-2</v>
      </c>
      <c r="Q457" s="3">
        <v>0.12925773341730606</v>
      </c>
      <c r="R457" s="3">
        <v>0.17944841936676337</v>
      </c>
      <c r="S457" s="3">
        <v>0.27125874270234085</v>
      </c>
      <c r="T457" s="3">
        <v>0</v>
      </c>
      <c r="U457" s="3">
        <v>0.42003510451358977</v>
      </c>
      <c r="V457" s="3">
        <v>0</v>
      </c>
      <c r="W457" s="5"/>
    </row>
    <row r="458" spans="1:23" s="1" customFormat="1" ht="24.95" customHeight="1" x14ac:dyDescent="0.2">
      <c r="A458" s="8">
        <v>45845.716354166667</v>
      </c>
      <c r="B458" s="7">
        <v>45845.716354166667</v>
      </c>
      <c r="C458" s="9" t="s">
        <v>413</v>
      </c>
      <c r="D458" s="1" t="s">
        <v>388</v>
      </c>
      <c r="E458" s="1" t="s">
        <v>389</v>
      </c>
      <c r="F458" s="19" t="s">
        <v>415</v>
      </c>
      <c r="G458" s="1" t="s">
        <v>371</v>
      </c>
      <c r="H458" s="2">
        <v>400</v>
      </c>
      <c r="I458" s="16">
        <v>107.4837</v>
      </c>
      <c r="J458" s="1" t="s">
        <v>366</v>
      </c>
      <c r="K458" s="6">
        <f>Registro_Ordini[[#This Row],[Numero]]*Registro_Ordini[[#This Row],[Prezzo]]</f>
        <v>42993.479999999996</v>
      </c>
      <c r="L458" s="10">
        <v>0.79684999999999995</v>
      </c>
      <c r="M458" s="6">
        <f>Registro_Ordini[[#This Row],[Importo]]*Registro_Ordini[[#This Row],[Cambio]]</f>
        <v>34259.354537999992</v>
      </c>
      <c r="N458" s="1">
        <f ca="1">IFERROR(_xlfn.NUMBERVALUE(OFFSET(Origine,MATCH(Registro_Ordini[[#This Row],[Titolo]],Descrizioni,0),MATCH("Price",Intestazioni,0)-1,1,1)),"")</f>
        <v>117.35</v>
      </c>
      <c r="O458" s="18">
        <f ca="1">IF(OR(Registro_Ordini[[#This Row],[Price]]=0,Registro_Ordini[[#This Row],[Price]]=""),"",IF(Registro_Ordini[[#This Row],[Tipo]]="Sell",Registro_Ordini[[#This Row],[Prezzo]]/Registro_Ordini[[#This Row],[Price]]-1,Registro_Ordini[[#This Row],[Price]]/Registro_Ordini[[#This Row],[Prezzo]]-1))</f>
        <v>9.179345333292388E-2</v>
      </c>
      <c r="P458" s="15">
        <v>7.1242553570751649E-3</v>
      </c>
      <c r="Q458" s="3">
        <v>0.14913063010246427</v>
      </c>
      <c r="R458" s="3">
        <v>0.17945039737800755</v>
      </c>
      <c r="S458" s="3">
        <v>0.25137923807293261</v>
      </c>
      <c r="T458" s="3">
        <v>0</v>
      </c>
      <c r="U458" s="3">
        <v>0.42003973444659565</v>
      </c>
      <c r="V458" s="3">
        <v>0</v>
      </c>
      <c r="W458" s="5"/>
    </row>
    <row r="459" spans="1:23" s="1" customFormat="1" ht="24.95" customHeight="1" x14ac:dyDescent="0.2">
      <c r="A459" s="8">
        <v>45845.599097222221</v>
      </c>
      <c r="B459" s="7">
        <v>45845.599097222221</v>
      </c>
      <c r="C459" s="9" t="s">
        <v>413</v>
      </c>
      <c r="D459" s="1" t="s">
        <v>388</v>
      </c>
      <c r="E459" s="1" t="s">
        <v>403</v>
      </c>
      <c r="F459" s="19" t="s">
        <v>416</v>
      </c>
      <c r="G459" s="1" t="s">
        <v>371</v>
      </c>
      <c r="H459" s="2">
        <v>2000</v>
      </c>
      <c r="I459" s="16">
        <v>46.655000000000001</v>
      </c>
      <c r="J459" s="1" t="s">
        <v>381</v>
      </c>
      <c r="K459" s="6">
        <f>Registro_Ordini[[#This Row],[Numero]]*Registro_Ordini[[#This Row],[Prezzo]]</f>
        <v>93310</v>
      </c>
      <c r="L459" s="10">
        <v>0.93574999999999997</v>
      </c>
      <c r="M459" s="6">
        <f>Registro_Ordini[[#This Row],[Importo]]*Registro_Ordini[[#This Row],[Cambio]]</f>
        <v>87314.832500000004</v>
      </c>
      <c r="N459" s="1">
        <f ca="1">IFERROR(_xlfn.NUMBERVALUE(OFFSET(Origine,MATCH(Registro_Ordini[[#This Row],[Titolo]],Descrizioni,0),MATCH("Price",Intestazioni,0)-1,1,1)),"")</f>
        <v>56.29</v>
      </c>
      <c r="O459" s="18">
        <f ca="1">IF(OR(Registro_Ordini[[#This Row],[Price]]=0,Registro_Ordini[[#This Row],[Price]]=""),"",IF(Registro_Ordini[[#This Row],[Tipo]]="Sell",Registro_Ordini[[#This Row],[Prezzo]]/Registro_Ordini[[#This Row],[Price]]-1,Registro_Ordini[[#This Row],[Price]]/Registro_Ordini[[#This Row],[Prezzo]]-1))</f>
        <v>0.20651591469295894</v>
      </c>
      <c r="P459" s="15">
        <v>1.8158411498227715E-2</v>
      </c>
      <c r="Q459" s="3">
        <v>0.15633569635222508</v>
      </c>
      <c r="R459" s="3">
        <v>0.17954170926357604</v>
      </c>
      <c r="S459" s="3">
        <v>0.24436153857773979</v>
      </c>
      <c r="T459" s="3">
        <v>0</v>
      </c>
      <c r="U459" s="3">
        <v>0.41976105580645906</v>
      </c>
      <c r="V459" s="3">
        <v>0</v>
      </c>
      <c r="W459" s="5"/>
    </row>
    <row r="460" spans="1:23" s="1" customFormat="1" ht="24.95" customHeight="1" x14ac:dyDescent="0.2">
      <c r="A460" s="8">
        <v>45845.598356481481</v>
      </c>
      <c r="B460" s="7">
        <v>45845.598356481481</v>
      </c>
      <c r="C460" s="9" t="s">
        <v>413</v>
      </c>
      <c r="D460" s="1" t="s">
        <v>388</v>
      </c>
      <c r="E460" s="1" t="s">
        <v>403</v>
      </c>
      <c r="F460" s="19" t="s">
        <v>417</v>
      </c>
      <c r="G460" s="1" t="s">
        <v>365</v>
      </c>
      <c r="H460" s="2">
        <v>-700</v>
      </c>
      <c r="I460" s="16">
        <v>82.441100000000006</v>
      </c>
      <c r="J460" s="1" t="s">
        <v>381</v>
      </c>
      <c r="K460" s="6">
        <f>Registro_Ordini[[#This Row],[Numero]]*Registro_Ordini[[#This Row],[Prezzo]]</f>
        <v>-57708.770000000004</v>
      </c>
      <c r="L460" s="10">
        <v>0.93584999999999996</v>
      </c>
      <c r="M460" s="6">
        <f>Registro_Ordini[[#This Row],[Importo]]*Registro_Ordini[[#This Row],[Cambio]]</f>
        <v>-54006.752404500003</v>
      </c>
      <c r="N460" s="1">
        <f ca="1">IFERROR(_xlfn.NUMBERVALUE(OFFSET(Origine,MATCH(Registro_Ordini[[#This Row],[Titolo]],Descrizioni,0),MATCH("Price",Intestazioni,0)-1,1,1)),"")</f>
        <v>81.45</v>
      </c>
      <c r="O460" s="18">
        <f ca="1">IF(OR(Registro_Ordini[[#This Row],[Price]]=0,Registro_Ordini[[#This Row],[Price]]=""),"",IF(Registro_Ordini[[#This Row],[Tipo]]="Sell",Registro_Ordini[[#This Row],[Prezzo]]/Registro_Ordini[[#This Row],[Price]]-1,Registro_Ordini[[#This Row],[Price]]/Registro_Ordini[[#This Row],[Prezzo]]-1))</f>
        <v>1.2168201350521768E-2</v>
      </c>
      <c r="P460" s="15">
        <v>-1.1234616888874173E-2</v>
      </c>
      <c r="Q460" s="3">
        <v>0.17454580170355957</v>
      </c>
      <c r="R460" s="3">
        <v>0.17959221809151396</v>
      </c>
      <c r="S460" s="3">
        <v>0.22628983683260964</v>
      </c>
      <c r="T460" s="3">
        <v>0</v>
      </c>
      <c r="U460" s="3">
        <v>0.41957214337231685</v>
      </c>
      <c r="V460" s="3">
        <v>0</v>
      </c>
      <c r="W460" s="5"/>
    </row>
    <row r="461" spans="1:23" s="1" customFormat="1" ht="24.95" customHeight="1" x14ac:dyDescent="0.2">
      <c r="A461" s="8">
        <v>45845.598032407404</v>
      </c>
      <c r="B461" s="7">
        <v>45845.598032407404</v>
      </c>
      <c r="C461" s="9" t="s">
        <v>413</v>
      </c>
      <c r="D461" s="1" t="s">
        <v>388</v>
      </c>
      <c r="E461" s="1" t="s">
        <v>403</v>
      </c>
      <c r="F461" s="19" t="s">
        <v>418</v>
      </c>
      <c r="G461" s="1" t="s">
        <v>365</v>
      </c>
      <c r="H461" s="2">
        <v>-530</v>
      </c>
      <c r="I461" s="16">
        <v>67.664400000000001</v>
      </c>
      <c r="J461" s="1" t="s">
        <v>381</v>
      </c>
      <c r="K461" s="6">
        <f>Registro_Ordini[[#This Row],[Numero]]*Registro_Ordini[[#This Row],[Prezzo]]</f>
        <v>-35862.131999999998</v>
      </c>
      <c r="L461" s="10">
        <v>0.93584999999999996</v>
      </c>
      <c r="M461" s="6">
        <f>Registro_Ordini[[#This Row],[Importo]]*Registro_Ordini[[#This Row],[Cambio]]</f>
        <v>-33561.576232199994</v>
      </c>
      <c r="N461" s="1">
        <f ca="1">IFERROR(_xlfn.NUMBERVALUE(OFFSET(Origine,MATCH(Registro_Ordini[[#This Row],[Titolo]],Descrizioni,0),MATCH("Price",Intestazioni,0)-1,1,1)),"")</f>
        <v>80.819999999999993</v>
      </c>
      <c r="O461" s="18">
        <f ca="1">IF(OR(Registro_Ordini[[#This Row],[Price]]=0,Registro_Ordini[[#This Row],[Price]]=""),"",IF(Registro_Ordini[[#This Row],[Tipo]]="Sell",Registro_Ordini[[#This Row],[Prezzo]]/Registro_Ordini[[#This Row],[Price]]-1,Registro_Ordini[[#This Row],[Price]]/Registro_Ordini[[#This Row],[Prezzo]]-1))</f>
        <v>-0.162776540460282</v>
      </c>
      <c r="P461" s="15">
        <v>-6.9807537173401718E-3</v>
      </c>
      <c r="Q461" s="3">
        <v>0.16329229460778383</v>
      </c>
      <c r="R461" s="3">
        <v>0.17957144465727853</v>
      </c>
      <c r="S461" s="3">
        <v>0.23761264927797882</v>
      </c>
      <c r="T461" s="3">
        <v>0</v>
      </c>
      <c r="U461" s="3">
        <v>0.41952361145695893</v>
      </c>
      <c r="V461" s="3">
        <v>0</v>
      </c>
      <c r="W461" s="5"/>
    </row>
    <row r="462" spans="1:23" s="1" customFormat="1" ht="24.95" customHeight="1" x14ac:dyDescent="0.2">
      <c r="A462" s="8">
        <v>45845.597731481481</v>
      </c>
      <c r="B462" s="7">
        <v>45845.597731481481</v>
      </c>
      <c r="C462" s="9" t="s">
        <v>413</v>
      </c>
      <c r="D462" s="1" t="s">
        <v>388</v>
      </c>
      <c r="E462" s="1" t="s">
        <v>397</v>
      </c>
      <c r="F462" s="19" t="s">
        <v>419</v>
      </c>
      <c r="G462" s="1" t="s">
        <v>365</v>
      </c>
      <c r="H462" s="2">
        <v>-700</v>
      </c>
      <c r="I462" s="16">
        <v>78.760800000000003</v>
      </c>
      <c r="J462" s="1" t="s">
        <v>369</v>
      </c>
      <c r="K462" s="6">
        <f>Registro_Ordini[[#This Row],[Numero]]*Registro_Ordini[[#This Row],[Prezzo]]</f>
        <v>-55132.560000000005</v>
      </c>
      <c r="L462" s="10">
        <v>1.0000001300000001</v>
      </c>
      <c r="M462" s="6">
        <f>Registro_Ordini[[#This Row],[Importo]]*Registro_Ordini[[#This Row],[Cambio]]</f>
        <v>-55132.56716723281</v>
      </c>
      <c r="N462" s="1">
        <f ca="1">IFERROR(_xlfn.NUMBERVALUE(OFFSET(Origine,MATCH(Registro_Ordini[[#This Row],[Titolo]],Descrizioni,0),MATCH("Price",Intestazioni,0)-1,1,1)),"")</f>
        <v>81.25</v>
      </c>
      <c r="O462" s="18">
        <f ca="1">IF(OR(Registro_Ordini[[#This Row],[Price]]=0,Registro_Ordini[[#This Row],[Price]]=""),"",IF(Registro_Ordini[[#This Row],[Tipo]]="Sell",Registro_Ordini[[#This Row],[Prezzo]]/Registro_Ordini[[#This Row],[Price]]-1,Registro_Ordini[[#This Row],[Price]]/Registro_Ordini[[#This Row],[Prezzo]]-1))</f>
        <v>-3.0636307692307629E-2</v>
      </c>
      <c r="P462" s="15">
        <v>-1.1467783510264961E-2</v>
      </c>
      <c r="Q462" s="3">
        <v>0.15629763479802783</v>
      </c>
      <c r="R462" s="3">
        <v>0.17956278906762424</v>
      </c>
      <c r="S462" s="3">
        <v>0.24457727172727659</v>
      </c>
      <c r="T462" s="3">
        <v>0</v>
      </c>
      <c r="U462" s="3">
        <v>0.41956230440707137</v>
      </c>
      <c r="V462" s="3">
        <v>0</v>
      </c>
      <c r="W462" s="5"/>
    </row>
    <row r="463" spans="1:23" s="1" customFormat="1" ht="24.95" customHeight="1" x14ac:dyDescent="0.2">
      <c r="A463" s="8">
        <v>45839.676261574074</v>
      </c>
      <c r="B463" s="7">
        <v>45839.676261574074</v>
      </c>
      <c r="C463" s="9" t="s">
        <v>78</v>
      </c>
      <c r="D463" s="1" t="s">
        <v>393</v>
      </c>
      <c r="E463" s="1" t="s">
        <v>394</v>
      </c>
      <c r="F463" s="1" t="s">
        <v>396</v>
      </c>
      <c r="G463" s="1" t="s">
        <v>371</v>
      </c>
      <c r="H463" s="2">
        <v>165</v>
      </c>
      <c r="I463" s="16">
        <v>114.1148</v>
      </c>
      <c r="J463" s="1" t="s">
        <v>369</v>
      </c>
      <c r="K463" s="6">
        <f>Registro_Ordini[[#This Row],[Numero]]*Registro_Ordini[[#This Row],[Prezzo]]</f>
        <v>18828.941999999999</v>
      </c>
      <c r="L463" s="10">
        <v>1.0000001300000001</v>
      </c>
      <c r="M463" s="6">
        <f>Registro_Ordini[[#This Row],[Importo]]*Registro_Ordini[[#This Row],[Cambio]]</f>
        <v>18828.94444776246</v>
      </c>
      <c r="N463" s="1">
        <f ca="1">IFERROR(_xlfn.NUMBERVALUE(OFFSET(Origine,MATCH(Registro_Ordini[[#This Row],[Titolo]],Descrizioni,0),MATCH("Price",Intestazioni,0)-1,1,1)),"")</f>
        <v>168.24</v>
      </c>
      <c r="O463" s="18">
        <f ca="1">IF(OR(Registro_Ordini[[#This Row],[Price]]=0,Registro_Ordini[[#This Row],[Price]]=""),"",IF(Registro_Ordini[[#This Row],[Tipo]]="Sell",Registro_Ordini[[#This Row],[Prezzo]]/Registro_Ordini[[#This Row],[Price]]-1,Registro_Ordini[[#This Row],[Price]]/Registro_Ordini[[#This Row],[Prezzo]]-1))</f>
        <v>0.47430482286259101</v>
      </c>
      <c r="P463" s="15">
        <v>3.5453927042821458E-2</v>
      </c>
      <c r="Q463" s="3">
        <v>0.14261568920271489</v>
      </c>
      <c r="R463" s="3">
        <v>0.13150885908027593</v>
      </c>
      <c r="S463" s="3">
        <v>0.62595983914178499</v>
      </c>
      <c r="T463" s="3">
        <v>0</v>
      </c>
      <c r="U463" s="3">
        <v>9.9915612575224105E-2</v>
      </c>
      <c r="V463" s="3"/>
      <c r="W463" s="4"/>
    </row>
    <row r="464" spans="1:23" s="1" customFormat="1" ht="24.95" customHeight="1" x14ac:dyDescent="0.2">
      <c r="A464" s="8">
        <v>45839.675185185188</v>
      </c>
      <c r="B464" s="7">
        <v>45839.675185185188</v>
      </c>
      <c r="C464" s="9" t="s">
        <v>373</v>
      </c>
      <c r="D464" s="1" t="s">
        <v>393</v>
      </c>
      <c r="E464" s="1" t="s">
        <v>394</v>
      </c>
      <c r="F464" s="1" t="s">
        <v>396</v>
      </c>
      <c r="G464" s="1" t="s">
        <v>371</v>
      </c>
      <c r="H464" s="2">
        <v>300</v>
      </c>
      <c r="I464" s="16">
        <v>114.18</v>
      </c>
      <c r="J464" s="1" t="s">
        <v>369</v>
      </c>
      <c r="K464" s="6">
        <f>Registro_Ordini[[#This Row],[Numero]]*Registro_Ordini[[#This Row],[Prezzo]]</f>
        <v>34254</v>
      </c>
      <c r="L464" s="10">
        <v>1.0000001300000001</v>
      </c>
      <c r="M464" s="6">
        <f>Registro_Ordini[[#This Row],[Importo]]*Registro_Ordini[[#This Row],[Cambio]]</f>
        <v>34254.004453020003</v>
      </c>
      <c r="N464" s="1">
        <f ca="1">IFERROR(_xlfn.NUMBERVALUE(OFFSET(Origine,MATCH(Registro_Ordini[[#This Row],[Titolo]],Descrizioni,0),MATCH("Price",Intestazioni,0)-1,1,1)),"")</f>
        <v>168.24</v>
      </c>
      <c r="O464" s="18">
        <f ca="1">IF(OR(Registro_Ordini[[#This Row],[Price]]=0,Registro_Ordini[[#This Row],[Price]]=""),"",IF(Registro_Ordini[[#This Row],[Tipo]]="Sell",Registro_Ordini[[#This Row],[Prezzo]]/Registro_Ordini[[#This Row],[Price]]-1,Registro_Ordini[[#This Row],[Price]]/Registro_Ordini[[#This Row],[Prezzo]]-1))</f>
        <v>0.47346295323173937</v>
      </c>
      <c r="P464" s="15">
        <v>4.8717782254633961E-2</v>
      </c>
      <c r="Q464" s="3">
        <v>0.78721119568106179</v>
      </c>
      <c r="R464" s="3">
        <v>4.285028617559232E-2</v>
      </c>
      <c r="S464" s="3">
        <v>0.12122073588871182</v>
      </c>
      <c r="T464" s="3">
        <v>0</v>
      </c>
      <c r="U464" s="3">
        <v>4.8717782254633961E-2</v>
      </c>
      <c r="V464" s="3"/>
      <c r="W464" s="4"/>
    </row>
    <row r="465" spans="1:23" s="1" customFormat="1" ht="24.95" customHeight="1" x14ac:dyDescent="0.2">
      <c r="A465" s="8">
        <v>45839.664039351854</v>
      </c>
      <c r="B465" s="7">
        <v>45839.664039351854</v>
      </c>
      <c r="C465" s="9" t="s">
        <v>377</v>
      </c>
      <c r="D465" s="1" t="s">
        <v>388</v>
      </c>
      <c r="E465" s="1" t="s">
        <v>420</v>
      </c>
      <c r="F465" s="1" t="s">
        <v>421</v>
      </c>
      <c r="G465" s="1" t="s">
        <v>365</v>
      </c>
      <c r="H465" s="2">
        <v>-90</v>
      </c>
      <c r="I465" s="16">
        <v>82.56</v>
      </c>
      <c r="J465" s="1" t="s">
        <v>366</v>
      </c>
      <c r="K465" s="6">
        <f>Registro_Ordini[[#This Row],[Numero]]*Registro_Ordini[[#This Row],[Prezzo]]</f>
        <v>-7430.4000000000005</v>
      </c>
      <c r="L465" s="10">
        <v>0.78974999999999995</v>
      </c>
      <c r="M465" s="6">
        <f>Registro_Ordini[[#This Row],[Importo]]*Registro_Ordini[[#This Row],[Cambio]]</f>
        <v>-5868.1584000000003</v>
      </c>
      <c r="N465" s="1">
        <f ca="1">IFERROR(_xlfn.NUMBERVALUE(OFFSET(Origine,MATCH(Registro_Ordini[[#This Row],[Titolo]],Descrizioni,0),MATCH("Price",Intestazioni,0)-1,1,1)),"")</f>
        <v>85.94</v>
      </c>
      <c r="O465" s="18">
        <f ca="1">IF(OR(Registro_Ordini[[#This Row],[Price]]=0,Registro_Ordini[[#This Row],[Price]]=""),"",IF(Registro_Ordini[[#This Row],[Tipo]]="Sell",Registro_Ordini[[#This Row],[Prezzo]]/Registro_Ordini[[#This Row],[Price]]-1,Registro_Ordini[[#This Row],[Price]]/Registro_Ordini[[#This Row],[Prezzo]]-1))</f>
        <v>-3.9329764952292234E-2</v>
      </c>
      <c r="P465" s="15">
        <v>-3.6587868241393789E-3</v>
      </c>
      <c r="Q465" s="3">
        <v>8.0987773354115514E-2</v>
      </c>
      <c r="R465" s="3">
        <v>0.32515338505273744</v>
      </c>
      <c r="S465" s="3">
        <v>0.48885672515715728</v>
      </c>
      <c r="T465" s="3">
        <v>0</v>
      </c>
      <c r="U465" s="3">
        <v>0.10500211643598967</v>
      </c>
      <c r="V465" s="3"/>
      <c r="W465" s="4"/>
    </row>
    <row r="466" spans="1:23" s="1" customFormat="1" ht="24.95" customHeight="1" x14ac:dyDescent="0.2">
      <c r="A466" s="8">
        <v>45839.662766203706</v>
      </c>
      <c r="B466" s="7">
        <v>45839.662766203706</v>
      </c>
      <c r="C466" s="9" t="s">
        <v>382</v>
      </c>
      <c r="D466" s="1" t="s">
        <v>388</v>
      </c>
      <c r="E466" s="1" t="s">
        <v>420</v>
      </c>
      <c r="F466" s="1" t="s">
        <v>422</v>
      </c>
      <c r="G466" s="1" t="s">
        <v>365</v>
      </c>
      <c r="H466" s="2">
        <v>-60</v>
      </c>
      <c r="I466" s="16">
        <v>69.39</v>
      </c>
      <c r="J466" s="1" t="s">
        <v>366</v>
      </c>
      <c r="K466" s="6">
        <f>Registro_Ordini[[#This Row],[Numero]]*Registro_Ordini[[#This Row],[Prezzo]]</f>
        <v>-4163.3999999999996</v>
      </c>
      <c r="L466" s="10">
        <v>0.84699999999999998</v>
      </c>
      <c r="M466" s="6">
        <f>Registro_Ordini[[#This Row],[Importo]]*Registro_Ordini[[#This Row],[Cambio]]</f>
        <v>-3526.3997999999997</v>
      </c>
      <c r="N466" s="1">
        <f ca="1">IFERROR(_xlfn.NUMBERVALUE(OFFSET(Origine,MATCH(Registro_Ordini[[#This Row],[Titolo]],Descrizioni,0),MATCH("Price",Intestazioni,0)-1,1,1)),"")</f>
        <v>71.75</v>
      </c>
      <c r="O466" s="18">
        <f ca="1">IF(OR(Registro_Ordini[[#This Row],[Price]]=0,Registro_Ordini[[#This Row],[Price]]=""),"",IF(Registro_Ordini[[#This Row],[Tipo]]="Sell",Registro_Ordini[[#This Row],[Prezzo]]/Registro_Ordini[[#This Row],[Price]]-1,Registro_Ordini[[#This Row],[Price]]/Registro_Ordini[[#This Row],[Prezzo]]-1))</f>
        <v>-3.2891986062717815E-2</v>
      </c>
      <c r="P466" s="15">
        <v>-3.3890240550531474E-3</v>
      </c>
      <c r="Q466" s="3">
        <v>0.1506354143250665</v>
      </c>
      <c r="R466" s="3">
        <v>0.28461705599176995</v>
      </c>
      <c r="S466" s="3">
        <v>0.44797305955143768</v>
      </c>
      <c r="T466" s="3">
        <v>0</v>
      </c>
      <c r="U466" s="3">
        <v>0.11677447013172586</v>
      </c>
      <c r="V466" s="3"/>
      <c r="W466" s="4"/>
    </row>
    <row r="467" spans="1:23" s="1" customFormat="1" ht="24.95" customHeight="1" x14ac:dyDescent="0.2">
      <c r="A467" s="8">
        <v>45839.66265046296</v>
      </c>
      <c r="B467" s="7">
        <v>45839.66265046296</v>
      </c>
      <c r="C467" s="9" t="s">
        <v>78</v>
      </c>
      <c r="D467" s="1" t="s">
        <v>388</v>
      </c>
      <c r="E467" s="1" t="s">
        <v>420</v>
      </c>
      <c r="F467" s="1" t="s">
        <v>422</v>
      </c>
      <c r="G467" s="1" t="s">
        <v>365</v>
      </c>
      <c r="H467" s="2">
        <v>-115</v>
      </c>
      <c r="I467" s="16">
        <v>69.39</v>
      </c>
      <c r="J467" s="1" t="s">
        <v>366</v>
      </c>
      <c r="K467" s="6">
        <f>Registro_Ordini[[#This Row],[Numero]]*Registro_Ordini[[#This Row],[Prezzo]]</f>
        <v>-7979.85</v>
      </c>
      <c r="L467" s="10">
        <v>0.78935</v>
      </c>
      <c r="M467" s="6">
        <f>Registro_Ordini[[#This Row],[Importo]]*Registro_Ordini[[#This Row],[Cambio]]</f>
        <v>-6298.8945975000006</v>
      </c>
      <c r="N467" s="1">
        <f ca="1">IFERROR(_xlfn.NUMBERVALUE(OFFSET(Origine,MATCH(Registro_Ordini[[#This Row],[Titolo]],Descrizioni,0),MATCH("Price",Intestazioni,0)-1,1,1)),"")</f>
        <v>71.75</v>
      </c>
      <c r="O467" s="18">
        <f ca="1">IF(OR(Registro_Ordini[[#This Row],[Price]]=0,Registro_Ordini[[#This Row],[Price]]=""),"",IF(Registro_Ordini[[#This Row],[Tipo]]="Sell",Registro_Ordini[[#This Row],[Prezzo]]/Registro_Ordini[[#This Row],[Price]]-1,Registro_Ordini[[#This Row],[Price]]/Registro_Ordini[[#This Row],[Prezzo]]-1))</f>
        <v>-3.2891986062717815E-2</v>
      </c>
      <c r="P467" s="15">
        <v>-1.1869757165139687E-2</v>
      </c>
      <c r="Q467" s="3">
        <v>0.17813086077363949</v>
      </c>
      <c r="R467" s="3">
        <v>0.13163420138421805</v>
      </c>
      <c r="S467" s="3">
        <v>0.62568603826977409</v>
      </c>
      <c r="T467" s="3">
        <v>0</v>
      </c>
      <c r="U467" s="3">
        <v>6.4548899572368312E-2</v>
      </c>
      <c r="V467" s="3"/>
      <c r="W467" s="4"/>
    </row>
    <row r="468" spans="1:23" s="1" customFormat="1" ht="24.95" customHeight="1" x14ac:dyDescent="0.2">
      <c r="A468" s="8">
        <v>45839.661527777775</v>
      </c>
      <c r="B468" s="7">
        <v>45839.661527777775</v>
      </c>
      <c r="C468" s="9" t="s">
        <v>379</v>
      </c>
      <c r="D468" s="1" t="s">
        <v>388</v>
      </c>
      <c r="E468" s="1" t="s">
        <v>423</v>
      </c>
      <c r="F468" s="1" t="s">
        <v>424</v>
      </c>
      <c r="G468" s="1" t="s">
        <v>365</v>
      </c>
      <c r="H468" s="2">
        <v>-570</v>
      </c>
      <c r="I468" s="16">
        <v>27.48</v>
      </c>
      <c r="J468" s="1" t="s">
        <v>366</v>
      </c>
      <c r="K468" s="6">
        <f>Registro_Ordini[[#This Row],[Numero]]*Registro_Ordini[[#This Row],[Prezzo]]</f>
        <v>-15663.6</v>
      </c>
      <c r="L468" s="10">
        <v>0.8468</v>
      </c>
      <c r="M468" s="6">
        <f>Registro_Ordini[[#This Row],[Importo]]*Registro_Ordini[[#This Row],[Cambio]]</f>
        <v>-13263.93648</v>
      </c>
      <c r="N468" s="1">
        <f ca="1">IFERROR(_xlfn.NUMBERVALUE(OFFSET(Origine,MATCH(Registro_Ordini[[#This Row],[Titolo]],Descrizioni,0),MATCH("Price",Intestazioni,0)-1,1,1)),"")</f>
        <v>31.73</v>
      </c>
      <c r="O468" s="18">
        <f ca="1">IF(OR(Registro_Ordini[[#This Row],[Price]]=0,Registro_Ordini[[#This Row],[Price]]=""),"",IF(Registro_Ordini[[#This Row],[Tipo]]="Sell",Registro_Ordini[[#This Row],[Prezzo]]/Registro_Ordini[[#This Row],[Price]]-1,Registro_Ordini[[#This Row],[Price]]/Registro_Ordini[[#This Row],[Prezzo]]-1))</f>
        <v>-0.133942641033722</v>
      </c>
      <c r="P468" s="15">
        <v>-2.3315091529025805E-2</v>
      </c>
      <c r="Q468" s="3">
        <v>0.15289136189527489</v>
      </c>
      <c r="R468" s="3">
        <v>0.29037663356932553</v>
      </c>
      <c r="S468" s="3">
        <v>0.44527754339787162</v>
      </c>
      <c r="T468" s="3">
        <v>0</v>
      </c>
      <c r="U468" s="3">
        <v>0.11145446113752795</v>
      </c>
      <c r="V468" s="3"/>
      <c r="W468" s="4"/>
    </row>
    <row r="469" spans="1:23" s="1" customFormat="1" ht="24.95" customHeight="1" x14ac:dyDescent="0.2">
      <c r="A469" s="8">
        <v>45839.661516203705</v>
      </c>
      <c r="B469" s="7">
        <v>45839.661516203705</v>
      </c>
      <c r="C469" s="9" t="s">
        <v>382</v>
      </c>
      <c r="D469" s="1" t="s">
        <v>388</v>
      </c>
      <c r="E469" s="1" t="s">
        <v>423</v>
      </c>
      <c r="F469" s="1" t="s">
        <v>424</v>
      </c>
      <c r="G469" s="1" t="s">
        <v>365</v>
      </c>
      <c r="H469" s="2">
        <v>-1050</v>
      </c>
      <c r="I469" s="16">
        <v>27.48</v>
      </c>
      <c r="J469" s="1" t="s">
        <v>366</v>
      </c>
      <c r="K469" s="6">
        <f>Registro_Ordini[[#This Row],[Numero]]*Registro_Ordini[[#This Row],[Prezzo]]</f>
        <v>-28854</v>
      </c>
      <c r="L469" s="10">
        <v>0.8468</v>
      </c>
      <c r="M469" s="6">
        <f>Registro_Ordini[[#This Row],[Importo]]*Registro_Ordini[[#This Row],[Cambio]]</f>
        <v>-24433.567200000001</v>
      </c>
      <c r="N469" s="1">
        <f ca="1">IFERROR(_xlfn.NUMBERVALUE(OFFSET(Origine,MATCH(Registro_Ordini[[#This Row],[Titolo]],Descrizioni,0),MATCH("Price",Intestazioni,0)-1,1,1)),"")</f>
        <v>31.73</v>
      </c>
      <c r="O469" s="18">
        <f ca="1">IF(OR(Registro_Ordini[[#This Row],[Price]]=0,Registro_Ordini[[#This Row],[Price]]=""),"",IF(Registro_Ordini[[#This Row],[Tipo]]="Sell",Registro_Ordini[[#This Row],[Prezzo]]/Registro_Ordini[[#This Row],[Price]]-1,Registro_Ordini[[#This Row],[Price]]/Registro_Ordini[[#This Row],[Prezzo]]-1))</f>
        <v>-0.133942641033722</v>
      </c>
      <c r="P469" s="15">
        <v>-2.3481004888868322E-2</v>
      </c>
      <c r="Q469" s="3">
        <v>0.14723072759586212</v>
      </c>
      <c r="R469" s="3">
        <v>0.28460833919734679</v>
      </c>
      <c r="S469" s="3">
        <v>0.45144109127861592</v>
      </c>
      <c r="T469" s="3">
        <v>0</v>
      </c>
      <c r="U469" s="3">
        <v>0.11671984192817514</v>
      </c>
      <c r="V469" s="3"/>
      <c r="W469" s="4"/>
    </row>
    <row r="470" spans="1:23" s="1" customFormat="1" ht="24.95" customHeight="1" x14ac:dyDescent="0.2">
      <c r="A470" s="8">
        <v>45839.661504629628</v>
      </c>
      <c r="B470" s="7">
        <v>45839.661504629628</v>
      </c>
      <c r="C470" s="9" t="s">
        <v>383</v>
      </c>
      <c r="D470" s="1" t="s">
        <v>388</v>
      </c>
      <c r="E470" s="1" t="s">
        <v>423</v>
      </c>
      <c r="F470" s="1" t="s">
        <v>424</v>
      </c>
      <c r="G470" s="1" t="s">
        <v>365</v>
      </c>
      <c r="H470" s="2">
        <v>-590</v>
      </c>
      <c r="I470" s="16">
        <v>27.48</v>
      </c>
      <c r="J470" s="1" t="s">
        <v>366</v>
      </c>
      <c r="K470" s="6">
        <f>Registro_Ordini[[#This Row],[Numero]]*Registro_Ordini[[#This Row],[Prezzo]]</f>
        <v>-16213.2</v>
      </c>
      <c r="L470" s="10">
        <v>0.8468</v>
      </c>
      <c r="M470" s="6">
        <f>Registro_Ordini[[#This Row],[Importo]]*Registro_Ordini[[#This Row],[Cambio]]</f>
        <v>-13729.33776</v>
      </c>
      <c r="N470" s="1">
        <f ca="1">IFERROR(_xlfn.NUMBERVALUE(OFFSET(Origine,MATCH(Registro_Ordini[[#This Row],[Titolo]],Descrizioni,0),MATCH("Price",Intestazioni,0)-1,1,1)),"")</f>
        <v>31.73</v>
      </c>
      <c r="O470" s="18">
        <f ca="1">IF(OR(Registro_Ordini[[#This Row],[Price]]=0,Registro_Ordini[[#This Row],[Price]]=""),"",IF(Registro_Ordini[[#This Row],[Tipo]]="Sell",Registro_Ordini[[#This Row],[Prezzo]]/Registro_Ordini[[#This Row],[Price]]-1,Registro_Ordini[[#This Row],[Price]]/Registro_Ordini[[#This Row],[Prezzo]]-1))</f>
        <v>-0.133942641033722</v>
      </c>
      <c r="P470" s="15">
        <v>-2.1686778128743776E-2</v>
      </c>
      <c r="Q470" s="3">
        <v>0.16517548751113786</v>
      </c>
      <c r="R470" s="3">
        <v>0.27232767585792511</v>
      </c>
      <c r="S470" s="3">
        <v>0.44957854588982332</v>
      </c>
      <c r="T470" s="3">
        <v>0</v>
      </c>
      <c r="U470" s="3">
        <v>0.11291829074111373</v>
      </c>
      <c r="V470" s="3"/>
      <c r="W470" s="4"/>
    </row>
    <row r="471" spans="1:23" s="1" customFormat="1" ht="24.95" customHeight="1" x14ac:dyDescent="0.2">
      <c r="A471" s="8">
        <v>45839.661180555559</v>
      </c>
      <c r="B471" s="7">
        <v>45839.661180555559</v>
      </c>
      <c r="C471" s="9" t="s">
        <v>78</v>
      </c>
      <c r="D471" s="1" t="s">
        <v>388</v>
      </c>
      <c r="E471" s="1" t="s">
        <v>423</v>
      </c>
      <c r="F471" s="1" t="s">
        <v>424</v>
      </c>
      <c r="G471" s="1" t="s">
        <v>365</v>
      </c>
      <c r="H471" s="2">
        <v>-280</v>
      </c>
      <c r="I471" s="16">
        <v>27.48</v>
      </c>
      <c r="J471" s="1" t="s">
        <v>366</v>
      </c>
      <c r="K471" s="6">
        <f>Registro_Ordini[[#This Row],[Numero]]*Registro_Ordini[[#This Row],[Prezzo]]</f>
        <v>-7694.4000000000005</v>
      </c>
      <c r="L471" s="10">
        <v>0.78944999999999999</v>
      </c>
      <c r="M471" s="6">
        <f>Registro_Ordini[[#This Row],[Importo]]*Registro_Ordini[[#This Row],[Cambio]]</f>
        <v>-6074.3440800000008</v>
      </c>
      <c r="N471" s="1">
        <f ca="1">IFERROR(_xlfn.NUMBERVALUE(OFFSET(Origine,MATCH(Registro_Ordini[[#This Row],[Titolo]],Descrizioni,0),MATCH("Price",Intestazioni,0)-1,1,1)),"")</f>
        <v>31.73</v>
      </c>
      <c r="O471" s="18">
        <f ca="1">IF(OR(Registro_Ordini[[#This Row],[Price]]=0,Registro_Ordini[[#This Row],[Price]]=""),"",IF(Registro_Ordini[[#This Row],[Tipo]]="Sell",Registro_Ordini[[#This Row],[Prezzo]]/Registro_Ordini[[#This Row],[Price]]-1,Registro_Ordini[[#This Row],[Price]]/Registro_Ordini[[#This Row],[Prezzo]]-1))</f>
        <v>-0.133942641033722</v>
      </c>
      <c r="P471" s="15">
        <v>-1.1446017206910105E-2</v>
      </c>
      <c r="Q471" s="3">
        <v>0.1662558415094518</v>
      </c>
      <c r="R471" s="3">
        <v>0.13162738567493207</v>
      </c>
      <c r="S471" s="3">
        <v>0.6375712154334201</v>
      </c>
      <c r="T471" s="3">
        <v>0</v>
      </c>
      <c r="U471" s="3">
        <v>6.4545557382195945E-2</v>
      </c>
      <c r="V471" s="3"/>
      <c r="W471" s="4"/>
    </row>
    <row r="472" spans="1:23" s="1" customFormat="1" ht="24.95" customHeight="1" x14ac:dyDescent="0.2">
      <c r="A472" s="8">
        <v>45839.660798611112</v>
      </c>
      <c r="B472" s="7">
        <v>45839.660798611112</v>
      </c>
      <c r="C472" s="9" t="s">
        <v>375</v>
      </c>
      <c r="D472" s="1" t="s">
        <v>388</v>
      </c>
      <c r="E472" s="1" t="s">
        <v>423</v>
      </c>
      <c r="F472" s="1" t="s">
        <v>424</v>
      </c>
      <c r="G472" s="1" t="s">
        <v>365</v>
      </c>
      <c r="H472" s="2">
        <v>-490</v>
      </c>
      <c r="I472" s="16">
        <v>27.48</v>
      </c>
      <c r="J472" s="1" t="s">
        <v>366</v>
      </c>
      <c r="K472" s="6">
        <f>Registro_Ordini[[#This Row],[Numero]]*Registro_Ordini[[#This Row],[Prezzo]]</f>
        <v>-13465.2</v>
      </c>
      <c r="L472" s="10">
        <v>0.78944999999999999</v>
      </c>
      <c r="M472" s="6">
        <f>Registro_Ordini[[#This Row],[Importo]]*Registro_Ordini[[#This Row],[Cambio]]</f>
        <v>-10630.102140000001</v>
      </c>
      <c r="N472" s="1">
        <f ca="1">IFERROR(_xlfn.NUMBERVALUE(OFFSET(Origine,MATCH(Registro_Ordini[[#This Row],[Titolo]],Descrizioni,0),MATCH("Price",Intestazioni,0)-1,1,1)),"")</f>
        <v>31.73</v>
      </c>
      <c r="O472" s="18">
        <f ca="1">IF(OR(Registro_Ordini[[#This Row],[Price]]=0,Registro_Ordini[[#This Row],[Price]]=""),"",IF(Registro_Ordini[[#This Row],[Tipo]]="Sell",Registro_Ordini[[#This Row],[Prezzo]]/Registro_Ordini[[#This Row],[Price]]-1,Registro_Ordini[[#This Row],[Price]]/Registro_Ordini[[#This Row],[Prezzo]]-1))</f>
        <v>-0.133942641033722</v>
      </c>
      <c r="P472" s="15">
        <v>-1.2899306480795774E-2</v>
      </c>
      <c r="Q472" s="3">
        <v>9.5724229002259728E-2</v>
      </c>
      <c r="R472" s="3">
        <v>0.34785821939518463</v>
      </c>
      <c r="S472" s="3">
        <v>0.44854069111117079</v>
      </c>
      <c r="T472" s="3">
        <v>0</v>
      </c>
      <c r="U472" s="3">
        <v>0.10787686049138474</v>
      </c>
      <c r="V472" s="3"/>
      <c r="W472" s="4"/>
    </row>
    <row r="473" spans="1:23" s="1" customFormat="1" ht="24.95" customHeight="1" x14ac:dyDescent="0.2">
      <c r="A473" s="8">
        <v>45839.660787037035</v>
      </c>
      <c r="B473" s="7">
        <v>45839.660787037035</v>
      </c>
      <c r="C473" s="9" t="s">
        <v>377</v>
      </c>
      <c r="D473" s="1" t="s">
        <v>388</v>
      </c>
      <c r="E473" s="1" t="s">
        <v>423</v>
      </c>
      <c r="F473" s="1" t="s">
        <v>424</v>
      </c>
      <c r="G473" s="1" t="s">
        <v>365</v>
      </c>
      <c r="H473" s="2">
        <v>-965</v>
      </c>
      <c r="I473" s="16">
        <v>27.48</v>
      </c>
      <c r="J473" s="1" t="s">
        <v>366</v>
      </c>
      <c r="K473" s="6">
        <f>Registro_Ordini[[#This Row],[Numero]]*Registro_Ordini[[#This Row],[Prezzo]]</f>
        <v>-26518.2</v>
      </c>
      <c r="L473" s="10">
        <v>0.78944999999999999</v>
      </c>
      <c r="M473" s="6">
        <f>Registro_Ordini[[#This Row],[Importo]]*Registro_Ordini[[#This Row],[Cambio]]</f>
        <v>-20934.792990000002</v>
      </c>
      <c r="N473" s="1">
        <f ca="1">IFERROR(_xlfn.NUMBERVALUE(OFFSET(Origine,MATCH(Registro_Ordini[[#This Row],[Titolo]],Descrizioni,0),MATCH("Price",Intestazioni,0)-1,1,1)),"")</f>
        <v>31.73</v>
      </c>
      <c r="O473" s="18">
        <f ca="1">IF(OR(Registro_Ordini[[#This Row],[Price]]=0,Registro_Ordini[[#This Row],[Price]]=""),"",IF(Registro_Ordini[[#This Row],[Tipo]]="Sell",Registro_Ordini[[#This Row],[Prezzo]]/Registro_Ordini[[#This Row],[Price]]-1,Registro_Ordini[[#This Row],[Price]]/Registro_Ordini[[#This Row],[Prezzo]]-1))</f>
        <v>-0.133942641033722</v>
      </c>
      <c r="P473" s="15">
        <v>-1.3100924742363351E-2</v>
      </c>
      <c r="Q473" s="3">
        <v>7.3926647432496204E-2</v>
      </c>
      <c r="R473" s="3">
        <v>0.32635200300902273</v>
      </c>
      <c r="S473" s="3">
        <v>0.49433216219537268</v>
      </c>
      <c r="T473" s="3">
        <v>0</v>
      </c>
      <c r="U473" s="3">
        <v>0.10538918736310833</v>
      </c>
      <c r="V473" s="3"/>
      <c r="W473" s="4"/>
    </row>
    <row r="474" spans="1:23" s="1" customFormat="1" ht="24.95" customHeight="1" x14ac:dyDescent="0.2">
      <c r="A474" s="8">
        <v>45834.71166666667</v>
      </c>
      <c r="B474" s="7">
        <v>45834.71166666667</v>
      </c>
      <c r="C474" s="9" t="s">
        <v>106</v>
      </c>
      <c r="D474" s="1" t="s">
        <v>388</v>
      </c>
      <c r="E474" s="1" t="s">
        <v>403</v>
      </c>
      <c r="F474" s="1" t="s">
        <v>425</v>
      </c>
      <c r="G474" s="1" t="s">
        <v>371</v>
      </c>
      <c r="H474" s="2">
        <v>25</v>
      </c>
      <c r="I474" s="16">
        <v>175.18610000000001</v>
      </c>
      <c r="J474" s="1" t="s">
        <v>381</v>
      </c>
      <c r="K474" s="6">
        <f>Registro_Ordini[[#This Row],[Numero]]*Registro_Ordini[[#This Row],[Prezzo]]</f>
        <v>4379.6525000000001</v>
      </c>
      <c r="L474" s="10">
        <v>1</v>
      </c>
      <c r="M474" s="6">
        <f>Registro_Ordini[[#This Row],[Importo]]*Registro_Ordini[[#This Row],[Cambio]]</f>
        <v>4379.6525000000001</v>
      </c>
      <c r="N474" s="1">
        <f ca="1">IFERROR(_xlfn.NUMBERVALUE(OFFSET(Origine,MATCH(Registro_Ordini[[#This Row],[Titolo]],Descrizioni,0),MATCH("Price",Intestazioni,0)-1,1,1)),"")</f>
        <v>174.92</v>
      </c>
      <c r="O474" s="18">
        <f ca="1">IF(OR(Registro_Ordini[[#This Row],[Price]]=0,Registro_Ordini[[#This Row],[Price]]=""),"",IF(Registro_Ordini[[#This Row],[Tipo]]="Sell",Registro_Ordini[[#This Row],[Prezzo]]/Registro_Ordini[[#This Row],[Price]]-1,Registro_Ordini[[#This Row],[Price]]/Registro_Ordini[[#This Row],[Prezzo]]-1))</f>
        <v>-1.518956127227078E-3</v>
      </c>
      <c r="P474" s="15">
        <v>3.1033927579013871E-2</v>
      </c>
      <c r="Q474" s="3">
        <v>0.1722246397967071</v>
      </c>
      <c r="R474" s="3">
        <v>0.22754814054275876</v>
      </c>
      <c r="S474" s="3">
        <v>0.4577249585445598</v>
      </c>
      <c r="T474" s="3">
        <v>0</v>
      </c>
      <c r="U474" s="3">
        <v>0.14250226111597422</v>
      </c>
      <c r="V474" s="3"/>
      <c r="W474" s="4"/>
    </row>
    <row r="475" spans="1:23" s="1" customFormat="1" ht="24.95" customHeight="1" x14ac:dyDescent="0.2">
      <c r="A475" s="8">
        <v>45834.711655092593</v>
      </c>
      <c r="B475" s="7">
        <v>45834.711655092593</v>
      </c>
      <c r="C475" s="9" t="s">
        <v>379</v>
      </c>
      <c r="D475" s="1" t="s">
        <v>388</v>
      </c>
      <c r="E475" s="1" t="s">
        <v>403</v>
      </c>
      <c r="F475" s="1" t="s">
        <v>425</v>
      </c>
      <c r="G475" s="1" t="s">
        <v>371</v>
      </c>
      <c r="H475" s="2">
        <v>75</v>
      </c>
      <c r="I475" s="16">
        <v>175.18610000000001</v>
      </c>
      <c r="J475" s="1" t="s">
        <v>381</v>
      </c>
      <c r="K475" s="6">
        <f>Registro_Ordini[[#This Row],[Numero]]*Registro_Ordini[[#This Row],[Prezzo]]</f>
        <v>13138.9575</v>
      </c>
      <c r="L475" s="10">
        <v>1</v>
      </c>
      <c r="M475" s="6">
        <f>Registro_Ordini[[#This Row],[Importo]]*Registro_Ordini[[#This Row],[Cambio]]</f>
        <v>13138.9575</v>
      </c>
      <c r="N475" s="1">
        <f ca="1">IFERROR(_xlfn.NUMBERVALUE(OFFSET(Origine,MATCH(Registro_Ordini[[#This Row],[Titolo]],Descrizioni,0),MATCH("Price",Intestazioni,0)-1,1,1)),"")</f>
        <v>174.92</v>
      </c>
      <c r="O475" s="18">
        <f ca="1">IF(OR(Registro_Ordini[[#This Row],[Price]]=0,Registro_Ordini[[#This Row],[Price]]=""),"",IF(Registro_Ordini[[#This Row],[Tipo]]="Sell",Registro_Ordini[[#This Row],[Prezzo]]/Registro_Ordini[[#This Row],[Price]]-1,Registro_Ordini[[#This Row],[Price]]/Registro_Ordini[[#This Row],[Prezzo]]-1))</f>
        <v>-1.518956127227078E-3</v>
      </c>
      <c r="P475" s="15">
        <v>2.3071840009025454E-2</v>
      </c>
      <c r="Q475" s="3">
        <v>0.15735919523871289</v>
      </c>
      <c r="R475" s="3">
        <v>0.28974235710047358</v>
      </c>
      <c r="S475" s="3">
        <v>0.44156254150608543</v>
      </c>
      <c r="T475" s="3">
        <v>0</v>
      </c>
      <c r="U475" s="3">
        <v>0.11133590615472801</v>
      </c>
      <c r="V475" s="3"/>
      <c r="W475" s="4"/>
    </row>
    <row r="476" spans="1:23" s="1" customFormat="1" ht="24.95" customHeight="1" x14ac:dyDescent="0.2">
      <c r="A476" s="8">
        <v>45834.711643518516</v>
      </c>
      <c r="B476" s="7">
        <v>45834.711643518516</v>
      </c>
      <c r="C476" s="9" t="s">
        <v>382</v>
      </c>
      <c r="D476" s="1" t="s">
        <v>388</v>
      </c>
      <c r="E476" s="1" t="s">
        <v>403</v>
      </c>
      <c r="F476" s="1" t="s">
        <v>425</v>
      </c>
      <c r="G476" s="1" t="s">
        <v>371</v>
      </c>
      <c r="H476" s="2">
        <v>65</v>
      </c>
      <c r="I476" s="16">
        <v>175.18610000000001</v>
      </c>
      <c r="J476" s="1" t="s">
        <v>381</v>
      </c>
      <c r="K476" s="6">
        <f>Registro_Ordini[[#This Row],[Numero]]*Registro_Ordini[[#This Row],[Prezzo]]</f>
        <v>11387.096500000001</v>
      </c>
      <c r="L476" s="10">
        <v>1</v>
      </c>
      <c r="M476" s="6">
        <f>Registro_Ordini[[#This Row],[Importo]]*Registro_Ordini[[#This Row],[Cambio]]</f>
        <v>11387.096500000001</v>
      </c>
      <c r="N476" s="1">
        <f ca="1">IFERROR(_xlfn.NUMBERVALUE(OFFSET(Origine,MATCH(Registro_Ordini[[#This Row],[Titolo]],Descrizioni,0),MATCH("Price",Intestazioni,0)-1,1,1)),"")</f>
        <v>174.92</v>
      </c>
      <c r="O476" s="18">
        <f ca="1">IF(OR(Registro_Ordini[[#This Row],[Price]]=0,Registro_Ordini[[#This Row],[Price]]=""),"",IF(Registro_Ordini[[#This Row],[Tipo]]="Sell",Registro_Ordini[[#This Row],[Prezzo]]/Registro_Ordini[[#This Row],[Price]]-1,Registro_Ordini[[#This Row],[Price]]/Registro_Ordini[[#This Row],[Prezzo]]-1))</f>
        <v>-1.518956127227078E-3</v>
      </c>
      <c r="P476" s="15">
        <v>1.0976114004021442E-2</v>
      </c>
      <c r="Q476" s="3">
        <v>0.13546697698060042</v>
      </c>
      <c r="R476" s="3">
        <v>0.28514151267285526</v>
      </c>
      <c r="S476" s="3">
        <v>0.46270528422925261</v>
      </c>
      <c r="T476" s="3">
        <v>0</v>
      </c>
      <c r="U476" s="3">
        <v>0.11668622611729171</v>
      </c>
      <c r="V476" s="3"/>
      <c r="W476" s="4"/>
    </row>
    <row r="477" spans="1:23" s="1" customFormat="1" ht="24.95" customHeight="1" x14ac:dyDescent="0.2">
      <c r="A477" s="8">
        <v>45834.711631944447</v>
      </c>
      <c r="B477" s="7">
        <v>45834.711631944447</v>
      </c>
      <c r="C477" s="9" t="s">
        <v>383</v>
      </c>
      <c r="D477" s="1" t="s">
        <v>388</v>
      </c>
      <c r="E477" s="1" t="s">
        <v>403</v>
      </c>
      <c r="F477" s="1" t="s">
        <v>425</v>
      </c>
      <c r="G477" s="1" t="s">
        <v>371</v>
      </c>
      <c r="H477" s="2">
        <v>55</v>
      </c>
      <c r="I477" s="16">
        <v>175.18610000000001</v>
      </c>
      <c r="J477" s="1" t="s">
        <v>381</v>
      </c>
      <c r="K477" s="6">
        <f>Registro_Ordini[[#This Row],[Numero]]*Registro_Ordini[[#This Row],[Prezzo]]</f>
        <v>9635.2355000000007</v>
      </c>
      <c r="L477" s="10">
        <v>1</v>
      </c>
      <c r="M477" s="6">
        <f>Registro_Ordini[[#This Row],[Importo]]*Registro_Ordini[[#This Row],[Cambio]]</f>
        <v>9635.2355000000007</v>
      </c>
      <c r="N477" s="1">
        <f ca="1">IFERROR(_xlfn.NUMBERVALUE(OFFSET(Origine,MATCH(Registro_Ordini[[#This Row],[Titolo]],Descrizioni,0),MATCH("Price",Intestazioni,0)-1,1,1)),"")</f>
        <v>174.92</v>
      </c>
      <c r="O477" s="18">
        <f ca="1">IF(OR(Registro_Ordini[[#This Row],[Price]]=0,Registro_Ordini[[#This Row],[Price]]=""),"",IF(Registro_Ordini[[#This Row],[Tipo]]="Sell",Registro_Ordini[[#This Row],[Prezzo]]/Registro_Ordini[[#This Row],[Price]]-1,Registro_Ordini[[#This Row],[Price]]/Registro_Ordini[[#This Row],[Prezzo]]-1))</f>
        <v>-1.518956127227078E-3</v>
      </c>
      <c r="P477" s="15">
        <v>1.5263296933737272E-2</v>
      </c>
      <c r="Q477" s="3">
        <v>0.16024981533271299</v>
      </c>
      <c r="R477" s="3">
        <v>0.27279558365834633</v>
      </c>
      <c r="S477" s="3">
        <v>0.45414704650744037</v>
      </c>
      <c r="T477" s="3">
        <v>0</v>
      </c>
      <c r="U477" s="3">
        <v>0.11280755450150029</v>
      </c>
      <c r="V477" s="3"/>
      <c r="W477" s="4"/>
    </row>
    <row r="478" spans="1:23" s="1" customFormat="1" ht="24.95" customHeight="1" x14ac:dyDescent="0.2">
      <c r="A478" s="8">
        <v>45834.711192129631</v>
      </c>
      <c r="B478" s="7">
        <v>45834.711192129631</v>
      </c>
      <c r="C478" s="9" t="s">
        <v>378</v>
      </c>
      <c r="D478" s="1" t="s">
        <v>388</v>
      </c>
      <c r="E478" s="1" t="s">
        <v>403</v>
      </c>
      <c r="F478" s="1" t="s">
        <v>425</v>
      </c>
      <c r="G478" s="1" t="s">
        <v>371</v>
      </c>
      <c r="H478" s="2">
        <v>30</v>
      </c>
      <c r="I478" s="16">
        <v>175.18610000000001</v>
      </c>
      <c r="J478" s="1" t="s">
        <v>381</v>
      </c>
      <c r="K478" s="6">
        <f>Registro_Ordini[[#This Row],[Numero]]*Registro_Ordini[[#This Row],[Prezzo]]</f>
        <v>5255.5830000000005</v>
      </c>
      <c r="L478" s="10">
        <v>0.93664999999999998</v>
      </c>
      <c r="M478" s="6">
        <f>Registro_Ordini[[#This Row],[Importo]]*Registro_Ordini[[#This Row],[Cambio]]</f>
        <v>4922.6418169500002</v>
      </c>
      <c r="N478" s="1">
        <f ca="1">IFERROR(_xlfn.NUMBERVALUE(OFFSET(Origine,MATCH(Registro_Ordini[[#This Row],[Titolo]],Descrizioni,0),MATCH("Price",Intestazioni,0)-1,1,1)),"")</f>
        <v>174.92</v>
      </c>
      <c r="O478" s="18">
        <f ca="1">IF(OR(Registro_Ordini[[#This Row],[Price]]=0,Registro_Ordini[[#This Row],[Price]]=""),"",IF(Registro_Ordini[[#This Row],[Tipo]]="Sell",Registro_Ordini[[#This Row],[Prezzo]]/Registro_Ordini[[#This Row],[Price]]-1,Registro_Ordini[[#This Row],[Price]]/Registro_Ordini[[#This Row],[Prezzo]]-1))</f>
        <v>-1.518956127227078E-3</v>
      </c>
      <c r="P478" s="15">
        <v>9.4409522563937524E-3</v>
      </c>
      <c r="Q478" s="3">
        <v>7.0498323052373454E-2</v>
      </c>
      <c r="R478" s="3">
        <v>0.33177899591366111</v>
      </c>
      <c r="S478" s="3">
        <v>0.49575038733025328</v>
      </c>
      <c r="T478" s="3">
        <v>0</v>
      </c>
      <c r="U478" s="3">
        <v>0.10197229370371218</v>
      </c>
      <c r="V478" s="3"/>
      <c r="W478" s="4"/>
    </row>
    <row r="479" spans="1:23" s="1" customFormat="1" ht="24.95" customHeight="1" x14ac:dyDescent="0.2">
      <c r="A479" s="8">
        <v>45834.711192129631</v>
      </c>
      <c r="B479" s="7">
        <v>45834.711192129631</v>
      </c>
      <c r="C479" s="9" t="s">
        <v>377</v>
      </c>
      <c r="D479" s="1" t="s">
        <v>388</v>
      </c>
      <c r="E479" s="1" t="s">
        <v>403</v>
      </c>
      <c r="F479" s="1" t="s">
        <v>425</v>
      </c>
      <c r="G479" s="1" t="s">
        <v>371</v>
      </c>
      <c r="H479" s="2">
        <v>100</v>
      </c>
      <c r="I479" s="16">
        <v>175.18610000000001</v>
      </c>
      <c r="J479" s="1" t="s">
        <v>381</v>
      </c>
      <c r="K479" s="6">
        <f>Registro_Ordini[[#This Row],[Numero]]*Registro_Ordini[[#This Row],[Prezzo]]</f>
        <v>17518.61</v>
      </c>
      <c r="L479" s="10">
        <v>0.93664999999999998</v>
      </c>
      <c r="M479" s="6">
        <f>Registro_Ordini[[#This Row],[Importo]]*Registro_Ordini[[#This Row],[Cambio]]</f>
        <v>16408.806056500001</v>
      </c>
      <c r="N479" s="1">
        <f ca="1">IFERROR(_xlfn.NUMBERVALUE(OFFSET(Origine,MATCH(Registro_Ordini[[#This Row],[Titolo]],Descrizioni,0),MATCH("Price",Intestazioni,0)-1,1,1)),"")</f>
        <v>174.92</v>
      </c>
      <c r="O479" s="18">
        <f ca="1">IF(OR(Registro_Ordini[[#This Row],[Price]]=0,Registro_Ordini[[#This Row],[Price]]=""),"",IF(Registro_Ordini[[#This Row],[Tipo]]="Sell",Registro_Ordini[[#This Row],[Prezzo]]/Registro_Ordini[[#This Row],[Price]]-1,Registro_Ordini[[#This Row],[Price]]/Registro_Ordini[[#This Row],[Prezzo]]-1))</f>
        <v>-1.518956127227078E-3</v>
      </c>
      <c r="P479" s="15">
        <v>1.0234620670875938E-2</v>
      </c>
      <c r="Q479" s="3">
        <v>6.0960307254521409E-2</v>
      </c>
      <c r="R479" s="3">
        <v>0.3253314882301479</v>
      </c>
      <c r="S479" s="3">
        <v>0.5072741128729904</v>
      </c>
      <c r="T479" s="3">
        <v>0</v>
      </c>
      <c r="U479" s="3">
        <v>0.10643409164234033</v>
      </c>
      <c r="V479" s="3"/>
      <c r="W479" s="4"/>
    </row>
    <row r="480" spans="1:23" s="1" customFormat="1" ht="24.95" customHeight="1" x14ac:dyDescent="0.2">
      <c r="A480" s="8">
        <v>45834.703969907408</v>
      </c>
      <c r="B480" s="7">
        <v>45834.703969907408</v>
      </c>
      <c r="C480" s="9" t="s">
        <v>383</v>
      </c>
      <c r="D480" s="1" t="s">
        <v>388</v>
      </c>
      <c r="E480" s="1" t="s">
        <v>403</v>
      </c>
      <c r="F480" s="1" t="s">
        <v>426</v>
      </c>
      <c r="G480" s="1" t="s">
        <v>371</v>
      </c>
      <c r="H480" s="2">
        <v>80</v>
      </c>
      <c r="I480" s="16">
        <v>124.6249</v>
      </c>
      <c r="J480" s="1" t="s">
        <v>381</v>
      </c>
      <c r="K480" s="6">
        <f>Registro_Ordini[[#This Row],[Numero]]*Registro_Ordini[[#This Row],[Prezzo]]</f>
        <v>9969.9920000000002</v>
      </c>
      <c r="L480" s="10">
        <v>1</v>
      </c>
      <c r="M480" s="6">
        <f>Registro_Ordini[[#This Row],[Importo]]*Registro_Ordini[[#This Row],[Cambio]]</f>
        <v>9969.9920000000002</v>
      </c>
      <c r="N480" s="1">
        <f ca="1">IFERROR(_xlfn.NUMBERVALUE(OFFSET(Origine,MATCH(Registro_Ordini[[#This Row],[Titolo]],Descrizioni,0),MATCH("Price",Intestazioni,0)-1,1,1)),"")</f>
        <v>133.1</v>
      </c>
      <c r="O480" s="18">
        <f ca="1">IF(OR(Registro_Ordini[[#This Row],[Price]]=0,Registro_Ordini[[#This Row],[Price]]=""),"",IF(Registro_Ordini[[#This Row],[Tipo]]="Sell",Registro_Ordini[[#This Row],[Prezzo]]/Registro_Ordini[[#This Row],[Price]]-1,Registro_Ordini[[#This Row],[Price]]/Registro_Ordini[[#This Row],[Prezzo]]-1))</f>
        <v>6.800486901092806E-2</v>
      </c>
      <c r="P480" s="15">
        <v>1.6057204941362674E-2</v>
      </c>
      <c r="Q480" s="3">
        <v>0.13023033992532579</v>
      </c>
      <c r="R480" s="3">
        <v>0.27741510191504459</v>
      </c>
      <c r="S480" s="3">
        <v>0.47966019966047974</v>
      </c>
      <c r="T480" s="3">
        <v>0</v>
      </c>
      <c r="U480" s="3">
        <v>0.1126943584991499</v>
      </c>
      <c r="V480" s="3"/>
      <c r="W480" s="4"/>
    </row>
    <row r="481" spans="1:23" s="1" customFormat="1" ht="24.95" customHeight="1" x14ac:dyDescent="0.2">
      <c r="A481" s="8">
        <v>45834.703969907408</v>
      </c>
      <c r="B481" s="7">
        <v>45834.703969907408</v>
      </c>
      <c r="C481" s="9" t="s">
        <v>375</v>
      </c>
      <c r="D481" s="1" t="s">
        <v>388</v>
      </c>
      <c r="E481" s="1" t="s">
        <v>403</v>
      </c>
      <c r="F481" s="1" t="s">
        <v>426</v>
      </c>
      <c r="G481" s="1" t="s">
        <v>371</v>
      </c>
      <c r="H481" s="2">
        <v>68</v>
      </c>
      <c r="I481" s="16">
        <v>123.9</v>
      </c>
      <c r="J481" s="1" t="s">
        <v>381</v>
      </c>
      <c r="K481" s="6">
        <f>Registro_Ordini[[#This Row],[Numero]]*Registro_Ordini[[#This Row],[Prezzo]]</f>
        <v>8425.2000000000007</v>
      </c>
      <c r="L481" s="10">
        <v>0.93625000000000003</v>
      </c>
      <c r="M481" s="6">
        <f>Registro_Ordini[[#This Row],[Importo]]*Registro_Ordini[[#This Row],[Cambio]]</f>
        <v>7888.0935000000009</v>
      </c>
      <c r="N481" s="1">
        <f ca="1">IFERROR(_xlfn.NUMBERVALUE(OFFSET(Origine,MATCH(Registro_Ordini[[#This Row],[Titolo]],Descrizioni,0),MATCH("Price",Intestazioni,0)-1,1,1)),"")</f>
        <v>133.1</v>
      </c>
      <c r="O481" s="18">
        <f ca="1">IF(OR(Registro_Ordini[[#This Row],[Price]]=0,Registro_Ordini[[#This Row],[Price]]=""),"",IF(Registro_Ordini[[#This Row],[Tipo]]="Sell",Registro_Ordini[[#This Row],[Prezzo]]/Registro_Ordini[[#This Row],[Price]]-1,Registro_Ordini[[#This Row],[Price]]/Registro_Ordini[[#This Row],[Prezzo]]-1))</f>
        <v>7.4253430185633462E-2</v>
      </c>
      <c r="P481" s="15">
        <v>9.5272354753881128E-3</v>
      </c>
      <c r="Q481" s="3">
        <v>8.3767675344289083E-2</v>
      </c>
      <c r="R481" s="3">
        <v>0.34869230852478544</v>
      </c>
      <c r="S481" s="3">
        <v>0.45949484409368968</v>
      </c>
      <c r="T481" s="3">
        <v>0</v>
      </c>
      <c r="U481" s="3">
        <v>0.10804517203723574</v>
      </c>
      <c r="V481" s="3"/>
      <c r="W481" s="4"/>
    </row>
    <row r="482" spans="1:23" s="1" customFormat="1" ht="24.95" customHeight="1" x14ac:dyDescent="0.2">
      <c r="A482" s="8">
        <v>45834.703969907408</v>
      </c>
      <c r="B482" s="7">
        <v>45834.703969907408</v>
      </c>
      <c r="C482" s="9" t="s">
        <v>382</v>
      </c>
      <c r="D482" s="1" t="s">
        <v>388</v>
      </c>
      <c r="E482" s="1" t="s">
        <v>403</v>
      </c>
      <c r="F482" s="1" t="s">
        <v>426</v>
      </c>
      <c r="G482" s="1" t="s">
        <v>371</v>
      </c>
      <c r="H482" s="2">
        <v>90</v>
      </c>
      <c r="I482" s="16">
        <v>124.6249</v>
      </c>
      <c r="J482" s="1" t="s">
        <v>381</v>
      </c>
      <c r="K482" s="6">
        <f>Registro_Ordini[[#This Row],[Numero]]*Registro_Ordini[[#This Row],[Prezzo]]</f>
        <v>11216.241</v>
      </c>
      <c r="L482" s="10">
        <v>1</v>
      </c>
      <c r="M482" s="6">
        <f>Registro_Ordini[[#This Row],[Importo]]*Registro_Ordini[[#This Row],[Cambio]]</f>
        <v>11216.241</v>
      </c>
      <c r="N482" s="1">
        <f ca="1">IFERROR(_xlfn.NUMBERVALUE(OFFSET(Origine,MATCH(Registro_Ordini[[#This Row],[Titolo]],Descrizioni,0),MATCH("Price",Intestazioni,0)-1,1,1)),"")</f>
        <v>133.1</v>
      </c>
      <c r="O482" s="18">
        <f ca="1">IF(OR(Registro_Ordini[[#This Row],[Price]]=0,Registro_Ordini[[#This Row],[Price]]=""),"",IF(Registro_Ordini[[#This Row],[Tipo]]="Sell",Registro_Ordini[[#This Row],[Prezzo]]/Registro_Ordini[[#This Row],[Price]]-1,Registro_Ordini[[#This Row],[Price]]/Registro_Ordini[[#This Row],[Prezzo]]-1))</f>
        <v>6.800486901092806E-2</v>
      </c>
      <c r="P482" s="15">
        <v>1.0812936078906049E-2</v>
      </c>
      <c r="Q482" s="3">
        <v>0.12466677169190304</v>
      </c>
      <c r="R482" s="3">
        <v>0.28526344593805947</v>
      </c>
      <c r="S482" s="3">
        <v>0.47534061399483113</v>
      </c>
      <c r="T482" s="3">
        <v>0</v>
      </c>
      <c r="U482" s="3">
        <v>0.11472916837520629</v>
      </c>
      <c r="V482" s="3"/>
      <c r="W482" s="4"/>
    </row>
    <row r="483" spans="1:23" s="1" customFormat="1" ht="24.95" customHeight="1" x14ac:dyDescent="0.2">
      <c r="A483" s="8">
        <v>45834.703969907408</v>
      </c>
      <c r="B483" s="7">
        <v>45834.703969907408</v>
      </c>
      <c r="C483" s="9" t="s">
        <v>106</v>
      </c>
      <c r="D483" s="1" t="s">
        <v>388</v>
      </c>
      <c r="E483" s="1" t="s">
        <v>403</v>
      </c>
      <c r="F483" s="1" t="s">
        <v>426</v>
      </c>
      <c r="G483" s="1" t="s">
        <v>371</v>
      </c>
      <c r="H483" s="2">
        <v>35</v>
      </c>
      <c r="I483" s="16">
        <v>124.6249</v>
      </c>
      <c r="J483" s="1" t="s">
        <v>381</v>
      </c>
      <c r="K483" s="6">
        <f>Registro_Ordini[[#This Row],[Numero]]*Registro_Ordini[[#This Row],[Prezzo]]</f>
        <v>4361.8715000000002</v>
      </c>
      <c r="L483" s="10">
        <v>1</v>
      </c>
      <c r="M483" s="6">
        <f>Registro_Ordini[[#This Row],[Importo]]*Registro_Ordini[[#This Row],[Cambio]]</f>
        <v>4361.8715000000002</v>
      </c>
      <c r="N483" s="1">
        <f ca="1">IFERROR(_xlfn.NUMBERVALUE(OFFSET(Origine,MATCH(Registro_Ordini[[#This Row],[Titolo]],Descrizioni,0),MATCH("Price",Intestazioni,0)-1,1,1)),"")</f>
        <v>133.1</v>
      </c>
      <c r="O483" s="18">
        <f ca="1">IF(OR(Registro_Ordini[[#This Row],[Price]]=0,Registro_Ordini[[#This Row],[Price]]=""),"",IF(Registro_Ordini[[#This Row],[Tipo]]="Sell",Registro_Ordini[[#This Row],[Prezzo]]/Registro_Ordini[[#This Row],[Price]]-1,Registro_Ordini[[#This Row],[Price]]/Registro_Ordini[[#This Row],[Prezzo]]-1))</f>
        <v>6.800486901092806E-2</v>
      </c>
      <c r="P483" s="15">
        <v>3.0916245205226577E-2</v>
      </c>
      <c r="Q483" s="3">
        <v>0.14131694868328104</v>
      </c>
      <c r="R483" s="3">
        <v>0.22765881248812725</v>
      </c>
      <c r="S483" s="3">
        <v>0.49088513968062786</v>
      </c>
      <c r="T483" s="3">
        <v>0</v>
      </c>
      <c r="U483" s="3">
        <v>0.14013909914796388</v>
      </c>
      <c r="V483" s="3"/>
      <c r="W483" s="4"/>
    </row>
    <row r="484" spans="1:23" s="1" customFormat="1" ht="24.95" customHeight="1" x14ac:dyDescent="0.2">
      <c r="A484" s="8">
        <v>45834.703969907408</v>
      </c>
      <c r="B484" s="7">
        <v>45834.703969907408</v>
      </c>
      <c r="C484" s="9" t="s">
        <v>379</v>
      </c>
      <c r="D484" s="1" t="s">
        <v>388</v>
      </c>
      <c r="E484" s="1" t="s">
        <v>403</v>
      </c>
      <c r="F484" s="1" t="s">
        <v>426</v>
      </c>
      <c r="G484" s="1" t="s">
        <v>371</v>
      </c>
      <c r="H484" s="2">
        <v>110</v>
      </c>
      <c r="I484" s="16">
        <v>124.6249</v>
      </c>
      <c r="J484" s="1" t="s">
        <v>381</v>
      </c>
      <c r="K484" s="6">
        <f>Registro_Ordini[[#This Row],[Numero]]*Registro_Ordini[[#This Row],[Prezzo]]</f>
        <v>13708.739</v>
      </c>
      <c r="L484" s="10">
        <v>1</v>
      </c>
      <c r="M484" s="6">
        <f>Registro_Ordini[[#This Row],[Importo]]*Registro_Ordini[[#This Row],[Cambio]]</f>
        <v>13708.739</v>
      </c>
      <c r="N484" s="1">
        <f ca="1">IFERROR(_xlfn.NUMBERVALUE(OFFSET(Origine,MATCH(Registro_Ordini[[#This Row],[Titolo]],Descrizioni,0),MATCH("Price",Intestazioni,0)-1,1,1)),"")</f>
        <v>133.1</v>
      </c>
      <c r="O484" s="18">
        <f ca="1">IF(OR(Registro_Ordini[[#This Row],[Price]]=0,Registro_Ordini[[#This Row],[Price]]=""),"",IF(Registro_Ordini[[#This Row],[Tipo]]="Sell",Registro_Ordini[[#This Row],[Prezzo]]/Registro_Ordini[[#This Row],[Price]]-1,Registro_Ordini[[#This Row],[Price]]/Registro_Ordini[[#This Row],[Prezzo]]-1))</f>
        <v>6.800486901092806E-2</v>
      </c>
      <c r="P484" s="15">
        <v>2.4072168972151586E-2</v>
      </c>
      <c r="Q484" s="3">
        <v>0.13330773889231071</v>
      </c>
      <c r="R484" s="3">
        <v>0.28981399443938299</v>
      </c>
      <c r="S484" s="3">
        <v>0.46735546120495403</v>
      </c>
      <c r="T484" s="3">
        <v>0</v>
      </c>
      <c r="U484" s="3">
        <v>0.10952280546335223</v>
      </c>
      <c r="V484" s="3"/>
      <c r="W484" s="4"/>
    </row>
    <row r="485" spans="1:23" s="1" customFormat="1" ht="24.95" customHeight="1" x14ac:dyDescent="0.2">
      <c r="A485" s="8">
        <v>45834.703958333332</v>
      </c>
      <c r="B485" s="7">
        <v>45834.703958333332</v>
      </c>
      <c r="C485" s="9" t="s">
        <v>377</v>
      </c>
      <c r="D485" s="1" t="s">
        <v>388</v>
      </c>
      <c r="E485" s="1" t="s">
        <v>403</v>
      </c>
      <c r="F485" s="1" t="s">
        <v>426</v>
      </c>
      <c r="G485" s="1" t="s">
        <v>371</v>
      </c>
      <c r="H485" s="2">
        <v>140</v>
      </c>
      <c r="I485" s="16">
        <v>123.9</v>
      </c>
      <c r="J485" s="1" t="s">
        <v>381</v>
      </c>
      <c r="K485" s="6">
        <f>Registro_Ordini[[#This Row],[Numero]]*Registro_Ordini[[#This Row],[Prezzo]]</f>
        <v>17346</v>
      </c>
      <c r="L485" s="10">
        <v>0.93625000000000003</v>
      </c>
      <c r="M485" s="6">
        <f>Registro_Ordini[[#This Row],[Importo]]*Registro_Ordini[[#This Row],[Cambio]]</f>
        <v>16240.192500000001</v>
      </c>
      <c r="N485" s="1">
        <f ca="1">IFERROR(_xlfn.NUMBERVALUE(OFFSET(Origine,MATCH(Registro_Ordini[[#This Row],[Titolo]],Descrizioni,0),MATCH("Price",Intestazioni,0)-1,1,1)),"")</f>
        <v>133.1</v>
      </c>
      <c r="O485" s="18">
        <f ca="1">IF(OR(Registro_Ordini[[#This Row],[Price]]=0,Registro_Ordini[[#This Row],[Price]]=""),"",IF(Registro_Ordini[[#This Row],[Tipo]]="Sell",Registro_Ordini[[#This Row],[Prezzo]]/Registro_Ordini[[#This Row],[Price]]-1,Registro_Ordini[[#This Row],[Price]]/Registro_Ordini[[#This Row],[Prezzo]]-1))</f>
        <v>7.4253430185633462E-2</v>
      </c>
      <c r="P485" s="15">
        <v>1.0053661286387227E-2</v>
      </c>
      <c r="Q485" s="3">
        <v>7.1122873051847793E-2</v>
      </c>
      <c r="R485" s="3">
        <v>0.32512779296696986</v>
      </c>
      <c r="S485" s="3">
        <v>0.49636958334083675</v>
      </c>
      <c r="T485" s="3">
        <v>0</v>
      </c>
      <c r="U485" s="3">
        <v>0.10737975064034554</v>
      </c>
      <c r="V485" s="3"/>
      <c r="W485" s="4"/>
    </row>
    <row r="486" spans="1:23" s="1" customFormat="1" ht="24.95" customHeight="1" x14ac:dyDescent="0.2">
      <c r="A486" s="8">
        <v>45834.703946759262</v>
      </c>
      <c r="B486" s="7">
        <v>45834.703946759262</v>
      </c>
      <c r="C486" s="9" t="s">
        <v>378</v>
      </c>
      <c r="D486" s="1" t="s">
        <v>388</v>
      </c>
      <c r="E486" s="1" t="s">
        <v>403</v>
      </c>
      <c r="F486" s="1" t="s">
        <v>426</v>
      </c>
      <c r="G486" s="1" t="s">
        <v>371</v>
      </c>
      <c r="H486" s="2">
        <v>45</v>
      </c>
      <c r="I486" s="16">
        <v>123.05</v>
      </c>
      <c r="J486" s="1" t="s">
        <v>381</v>
      </c>
      <c r="K486" s="6">
        <f>Registro_Ordini[[#This Row],[Numero]]*Registro_Ordini[[#This Row],[Prezzo]]</f>
        <v>5537.25</v>
      </c>
      <c r="L486" s="10">
        <v>0.93625000000000003</v>
      </c>
      <c r="M486" s="6">
        <f>Registro_Ordini[[#This Row],[Importo]]*Registro_Ordini[[#This Row],[Cambio]]</f>
        <v>5184.2503125000003</v>
      </c>
      <c r="N486" s="1">
        <f ca="1">IFERROR(_xlfn.NUMBERVALUE(OFFSET(Origine,MATCH(Registro_Ordini[[#This Row],[Titolo]],Descrizioni,0),MATCH("Price",Intestazioni,0)-1,1,1)),"")</f>
        <v>133.1</v>
      </c>
      <c r="O486" s="18">
        <f ca="1">IF(OR(Registro_Ordini[[#This Row],[Price]]=0,Registro_Ordini[[#This Row],[Price]]=""),"",IF(Registro_Ordini[[#This Row],[Tipo]]="Sell",Registro_Ordini[[#This Row],[Prezzo]]/Registro_Ordini[[#This Row],[Price]]-1,Registro_Ordini[[#This Row],[Price]]/Registro_Ordini[[#This Row],[Prezzo]]-1))</f>
        <v>8.1674116212921533E-2</v>
      </c>
      <c r="P486" s="15">
        <v>9.9477669523517481E-3</v>
      </c>
      <c r="Q486" s="3">
        <v>7.9966703943456424E-2</v>
      </c>
      <c r="R486" s="3">
        <v>0.33194869348523431</v>
      </c>
      <c r="S486" s="3">
        <v>0.48618863849202609</v>
      </c>
      <c r="T486" s="3">
        <v>0</v>
      </c>
      <c r="U486" s="3">
        <v>0.10189596407928316</v>
      </c>
      <c r="V486" s="3"/>
      <c r="W486" s="4"/>
    </row>
    <row r="487" spans="1:23" s="1" customFormat="1" ht="24.95" customHeight="1" x14ac:dyDescent="0.2">
      <c r="A487" s="8">
        <v>45834.703611111108</v>
      </c>
      <c r="B487" s="7">
        <v>45834.703611111108</v>
      </c>
      <c r="C487" s="9" t="s">
        <v>376</v>
      </c>
      <c r="D487" s="1" t="s">
        <v>362</v>
      </c>
      <c r="E487" s="1" t="s">
        <v>363</v>
      </c>
      <c r="F487" s="1" t="s">
        <v>427</v>
      </c>
      <c r="G487" s="1" t="s">
        <v>371</v>
      </c>
      <c r="H487" s="2">
        <v>4600</v>
      </c>
      <c r="I487" s="16">
        <v>0.94240000000000002</v>
      </c>
      <c r="J487" s="1" t="s">
        <v>381</v>
      </c>
      <c r="K487" s="6">
        <f>Registro_Ordini[[#This Row],[Numero]]*Registro_Ordini[[#This Row],[Prezzo]]</f>
        <v>4335.04</v>
      </c>
      <c r="L487" s="10">
        <v>0.93654999999999999</v>
      </c>
      <c r="M487" s="6">
        <f>Registro_Ordini[[#This Row],[Importo]]*Registro_Ordini[[#This Row],[Cambio]]</f>
        <v>4059.9817119999998</v>
      </c>
      <c r="N487" s="1">
        <f ca="1">IFERROR(_xlfn.NUMBERVALUE(OFFSET(Origine,MATCH(Registro_Ordini[[#This Row],[Titolo]],Descrizioni,0),MATCH("Price",Intestazioni,0)-1,1,1)),"")</f>
        <v>1</v>
      </c>
      <c r="O487" s="18">
        <f ca="1">IF(OR(Registro_Ordini[[#This Row],[Price]]=0,Registro_Ordini[[#This Row],[Price]]=""),"",IF(Registro_Ordini[[#This Row],[Tipo]]="Sell",Registro_Ordini[[#This Row],[Prezzo]]/Registro_Ordini[[#This Row],[Price]]-1,Registro_Ordini[[#This Row],[Price]]/Registro_Ordini[[#This Row],[Prezzo]]-1))</f>
        <v>6.1120543293718077E-2</v>
      </c>
      <c r="P487" s="15">
        <v>1.5389874531373514E-2</v>
      </c>
      <c r="Q487" s="3">
        <v>1.9249804624770911E-2</v>
      </c>
      <c r="R487" s="3">
        <v>0.35131493167603994</v>
      </c>
      <c r="S487" s="3">
        <v>0.49975902524757887</v>
      </c>
      <c r="T487" s="3">
        <v>0</v>
      </c>
      <c r="U487" s="3">
        <v>0.12967623845161019</v>
      </c>
      <c r="V487" s="3"/>
      <c r="W487" s="4"/>
    </row>
    <row r="488" spans="1:23" s="1" customFormat="1" ht="24.95" customHeight="1" x14ac:dyDescent="0.2">
      <c r="A488" s="8">
        <v>45834.702881944446</v>
      </c>
      <c r="B488" s="7">
        <v>45834.702881944446</v>
      </c>
      <c r="C488" s="9" t="s">
        <v>376</v>
      </c>
      <c r="D488" s="1" t="s">
        <v>388</v>
      </c>
      <c r="E488" s="1" t="s">
        <v>403</v>
      </c>
      <c r="F488" s="1" t="s">
        <v>426</v>
      </c>
      <c r="G488" s="1" t="s">
        <v>371</v>
      </c>
      <c r="H488" s="2">
        <v>50</v>
      </c>
      <c r="I488" s="16">
        <v>123.9</v>
      </c>
      <c r="J488" s="1" t="s">
        <v>381</v>
      </c>
      <c r="K488" s="6">
        <f>Registro_Ordini[[#This Row],[Numero]]*Registro_Ordini[[#This Row],[Prezzo]]</f>
        <v>6195</v>
      </c>
      <c r="L488" s="10">
        <v>0.93664999999999998</v>
      </c>
      <c r="M488" s="6">
        <f>Registro_Ordini[[#This Row],[Importo]]*Registro_Ordini[[#This Row],[Cambio]]</f>
        <v>5802.5467499999995</v>
      </c>
      <c r="N488" s="1">
        <f ca="1">IFERROR(_xlfn.NUMBERVALUE(OFFSET(Origine,MATCH(Registro_Ordini[[#This Row],[Titolo]],Descrizioni,0),MATCH("Price",Intestazioni,0)-1,1,1)),"")</f>
        <v>133.1</v>
      </c>
      <c r="O488" s="18">
        <f ca="1">IF(OR(Registro_Ordini[[#This Row],[Price]]=0,Registro_Ordini[[#This Row],[Price]]=""),"",IF(Registro_Ordini[[#This Row],[Tipo]]="Sell",Registro_Ordini[[#This Row],[Prezzo]]/Registro_Ordini[[#This Row],[Price]]-1,Registro_Ordini[[#This Row],[Price]]/Registro_Ordini[[#This Row],[Prezzo]]-1))</f>
        <v>7.4253430185633462E-2</v>
      </c>
      <c r="P488" s="15">
        <v>2.0584684544921919E-2</v>
      </c>
      <c r="Q488" s="3">
        <v>1.9248011199776125E-2</v>
      </c>
      <c r="R488" s="3">
        <v>0.35128983689226811</v>
      </c>
      <c r="S488" s="3">
        <v>0.49976620165176167</v>
      </c>
      <c r="T488" s="3">
        <v>0</v>
      </c>
      <c r="U488" s="3">
        <v>0.12969595025619418</v>
      </c>
      <c r="V488" s="3"/>
      <c r="W488" s="4"/>
    </row>
    <row r="489" spans="1:23" s="1" customFormat="1" ht="24.95" customHeight="1" x14ac:dyDescent="0.2">
      <c r="A489" s="8">
        <v>45834.702592592592</v>
      </c>
      <c r="B489" s="7">
        <v>45834.702592592592</v>
      </c>
      <c r="C489" s="9" t="s">
        <v>376</v>
      </c>
      <c r="D489" s="1" t="s">
        <v>388</v>
      </c>
      <c r="E489" s="1" t="s">
        <v>403</v>
      </c>
      <c r="F489" s="1" t="s">
        <v>425</v>
      </c>
      <c r="G489" s="1" t="s">
        <v>371</v>
      </c>
      <c r="H489" s="2">
        <v>30</v>
      </c>
      <c r="I489" s="16">
        <v>175.18</v>
      </c>
      <c r="J489" s="1" t="s">
        <v>381</v>
      </c>
      <c r="K489" s="6">
        <f>Registro_Ordini[[#This Row],[Numero]]*Registro_Ordini[[#This Row],[Prezzo]]</f>
        <v>5255.4000000000005</v>
      </c>
      <c r="L489" s="10">
        <v>0.93705000000000005</v>
      </c>
      <c r="M489" s="6">
        <f>Registro_Ordini[[#This Row],[Importo]]*Registro_Ordini[[#This Row],[Cambio]]</f>
        <v>4924.5725700000012</v>
      </c>
      <c r="N489" s="1">
        <f ca="1">IFERROR(_xlfn.NUMBERVALUE(OFFSET(Origine,MATCH(Registro_Ordini[[#This Row],[Titolo]],Descrizioni,0),MATCH("Price",Intestazioni,0)-1,1,1)),"")</f>
        <v>174.92</v>
      </c>
      <c r="O489" s="18">
        <f ca="1">IF(OR(Registro_Ordini[[#This Row],[Price]]=0,Registro_Ordini[[#This Row],[Price]]=""),"",IF(Registro_Ordini[[#This Row],[Tipo]]="Sell",Registro_Ordini[[#This Row],[Prezzo]]/Registro_Ordini[[#This Row],[Price]]-1,Registro_Ordini[[#This Row],[Price]]/Registro_Ordini[[#This Row],[Prezzo]]-1))</f>
        <v>-1.4841876926591224E-3</v>
      </c>
      <c r="P489" s="15">
        <v>1.7589543519311229E-2</v>
      </c>
      <c r="Q489" s="3">
        <v>3.9833651948816724E-2</v>
      </c>
      <c r="R489" s="3">
        <v>0.35126619512302654</v>
      </c>
      <c r="S489" s="3">
        <v>0.47918395843531503</v>
      </c>
      <c r="T489" s="3">
        <v>0</v>
      </c>
      <c r="U489" s="3">
        <v>0.12971619449284158</v>
      </c>
      <c r="V489" s="3"/>
      <c r="W489" s="4"/>
    </row>
    <row r="490" spans="1:23" s="1" customFormat="1" ht="24.95" customHeight="1" x14ac:dyDescent="0.2">
      <c r="A490" s="8">
        <v>45834.702037037037</v>
      </c>
      <c r="B490" s="7">
        <v>45834.702037037037</v>
      </c>
      <c r="C490" s="9" t="s">
        <v>78</v>
      </c>
      <c r="D490" s="1" t="s">
        <v>362</v>
      </c>
      <c r="E490" s="1" t="s">
        <v>363</v>
      </c>
      <c r="F490" s="1" t="s">
        <v>427</v>
      </c>
      <c r="G490" s="1" t="s">
        <v>371</v>
      </c>
      <c r="H490" s="2">
        <v>17000</v>
      </c>
      <c r="I490" s="16">
        <v>0.94240000000000002</v>
      </c>
      <c r="J490" s="1" t="s">
        <v>381</v>
      </c>
      <c r="K490" s="6">
        <f>Registro_Ordini[[#This Row],[Numero]]*Registro_Ordini[[#This Row],[Prezzo]]</f>
        <v>16020.800000000001</v>
      </c>
      <c r="L490" s="10">
        <v>0.93705000000000005</v>
      </c>
      <c r="M490" s="6">
        <f>Registro_Ordini[[#This Row],[Importo]]*Registro_Ordini[[#This Row],[Cambio]]</f>
        <v>15012.290640000001</v>
      </c>
      <c r="N490" s="1">
        <f ca="1">IFERROR(_xlfn.NUMBERVALUE(OFFSET(Origine,MATCH(Registro_Ordini[[#This Row],[Titolo]],Descrizioni,0),MATCH("Price",Intestazioni,0)-1,1,1)),"")</f>
        <v>1</v>
      </c>
      <c r="O490" s="18">
        <f ca="1">IF(OR(Registro_Ordini[[#This Row],[Price]]=0,Registro_Ordini[[#This Row],[Price]]=""),"",IF(Registro_Ordini[[#This Row],[Tipo]]="Sell",Registro_Ordini[[#This Row],[Prezzo]]/Registro_Ordini[[#This Row],[Price]]-1,Registro_Ordini[[#This Row],[Price]]/Registro_Ordini[[#This Row],[Prezzo]]-1))</f>
        <v>6.1120543293718077E-2</v>
      </c>
      <c r="P490" s="15">
        <v>2.9983228474578037E-2</v>
      </c>
      <c r="Q490" s="3">
        <v>0.15586194702455344</v>
      </c>
      <c r="R490" s="3">
        <v>0.13162955357721134</v>
      </c>
      <c r="S490" s="3">
        <v>0.64871306641989268</v>
      </c>
      <c r="T490" s="3">
        <v>0</v>
      </c>
      <c r="U490" s="3">
        <v>6.3795432978342489E-2</v>
      </c>
      <c r="V490" s="3"/>
      <c r="W490" s="4"/>
    </row>
    <row r="491" spans="1:23" s="1" customFormat="1" ht="24.95" customHeight="1" x14ac:dyDescent="0.2">
      <c r="A491" s="8">
        <v>45834.701307870368</v>
      </c>
      <c r="B491" s="7">
        <v>45834.701307870368</v>
      </c>
      <c r="C491" s="9" t="s">
        <v>78</v>
      </c>
      <c r="D491" s="1" t="s">
        <v>388</v>
      </c>
      <c r="E491" s="1" t="s">
        <v>403</v>
      </c>
      <c r="F491" s="1" t="s">
        <v>426</v>
      </c>
      <c r="G491" s="1" t="s">
        <v>371</v>
      </c>
      <c r="H491" s="2">
        <v>90</v>
      </c>
      <c r="I491" s="16">
        <v>123.9</v>
      </c>
      <c r="J491" s="1" t="s">
        <v>381</v>
      </c>
      <c r="K491" s="6">
        <f>Registro_Ordini[[#This Row],[Numero]]*Registro_Ordini[[#This Row],[Prezzo]]</f>
        <v>11151</v>
      </c>
      <c r="L491" s="10">
        <v>0.93694999999999995</v>
      </c>
      <c r="M491" s="6">
        <f>Registro_Ordini[[#This Row],[Importo]]*Registro_Ordini[[#This Row],[Cambio]]</f>
        <v>10447.92945</v>
      </c>
      <c r="N491" s="1">
        <f ca="1">IFERROR(_xlfn.NUMBERVALUE(OFFSET(Origine,MATCH(Registro_Ordini[[#This Row],[Titolo]],Descrizioni,0),MATCH("Price",Intestazioni,0)-1,1,1)),"")</f>
        <v>133.1</v>
      </c>
      <c r="O491" s="18">
        <f ca="1">IF(OR(Registro_Ordini[[#This Row],[Price]]=0,Registro_Ordini[[#This Row],[Price]]=""),"",IF(Registro_Ordini[[#This Row],[Tipo]]="Sell",Registro_Ordini[[#This Row],[Prezzo]]/Registro_Ordini[[#This Row],[Price]]-1,Registro_Ordini[[#This Row],[Price]]/Registro_Ordini[[#This Row],[Prezzo]]-1))</f>
        <v>7.4253430185633462E-2</v>
      </c>
      <c r="P491" s="15">
        <v>1.9533361232427826E-2</v>
      </c>
      <c r="Q491" s="3">
        <v>0.15588059164547599</v>
      </c>
      <c r="R491" s="3">
        <v>0.13165068986841738</v>
      </c>
      <c r="S491" s="3">
        <v>0.64866304161638566</v>
      </c>
      <c r="T491" s="3">
        <v>0</v>
      </c>
      <c r="U491" s="3">
        <v>6.3805676869720995E-2</v>
      </c>
      <c r="V491" s="3"/>
      <c r="W491" s="4"/>
    </row>
    <row r="492" spans="1:23" s="1" customFormat="1" ht="24.95" customHeight="1" x14ac:dyDescent="0.2">
      <c r="A492" s="8">
        <v>45834.701273148145</v>
      </c>
      <c r="B492" s="7">
        <v>45834.701273148145</v>
      </c>
      <c r="C492" s="9" t="s">
        <v>78</v>
      </c>
      <c r="D492" s="1" t="s">
        <v>388</v>
      </c>
      <c r="E492" s="1" t="s">
        <v>403</v>
      </c>
      <c r="F492" s="1" t="s">
        <v>425</v>
      </c>
      <c r="G492" s="1" t="s">
        <v>371</v>
      </c>
      <c r="H492" s="2">
        <v>65</v>
      </c>
      <c r="I492" s="16">
        <v>175.21</v>
      </c>
      <c r="J492" s="1" t="s">
        <v>381</v>
      </c>
      <c r="K492" s="6">
        <f>Registro_Ordini[[#This Row],[Numero]]*Registro_Ordini[[#This Row],[Prezzo]]</f>
        <v>11388.65</v>
      </c>
      <c r="L492" s="10">
        <v>0.93694999999999995</v>
      </c>
      <c r="M492" s="6">
        <f>Registro_Ordini[[#This Row],[Importo]]*Registro_Ordini[[#This Row],[Cambio]]</f>
        <v>10670.595617499999</v>
      </c>
      <c r="N492" s="1">
        <f ca="1">IFERROR(_xlfn.NUMBERVALUE(OFFSET(Origine,MATCH(Registro_Ordini[[#This Row],[Titolo]],Descrizioni,0),MATCH("Price",Intestazioni,0)-1,1,1)),"")</f>
        <v>174.92</v>
      </c>
      <c r="O492" s="18">
        <f ca="1">IF(OR(Registro_Ordini[[#This Row],[Price]]=0,Registro_Ordini[[#This Row],[Price]]=""),"",IF(Registro_Ordini[[#This Row],[Tipo]]="Sell",Registro_Ordini[[#This Row],[Prezzo]]/Registro_Ordini[[#This Row],[Price]]-1,Registro_Ordini[[#This Row],[Price]]/Registro_Ordini[[#This Row],[Prezzo]]-1))</f>
        <v>-1.6551566691399566E-3</v>
      </c>
      <c r="P492" s="15">
        <v>2.0087463488165529E-2</v>
      </c>
      <c r="Q492" s="3">
        <v>0.17541395287790382</v>
      </c>
      <c r="R492" s="3">
        <v>0.13165068986841738</v>
      </c>
      <c r="S492" s="3">
        <v>0.62912968038395778</v>
      </c>
      <c r="T492" s="3">
        <v>0</v>
      </c>
      <c r="U492" s="3">
        <v>6.3805676869720995E-2</v>
      </c>
      <c r="V492" s="3"/>
      <c r="W492" s="4"/>
    </row>
    <row r="493" spans="1:23" s="1" customFormat="1" ht="24.95" customHeight="1" x14ac:dyDescent="0.2">
      <c r="A493" s="8">
        <v>45834.695034722223</v>
      </c>
      <c r="B493" s="7">
        <v>45834.695034722223</v>
      </c>
      <c r="C493" s="9" t="s">
        <v>367</v>
      </c>
      <c r="D493" s="1" t="s">
        <v>388</v>
      </c>
      <c r="E493" s="1" t="s">
        <v>403</v>
      </c>
      <c r="F493" s="1" t="s">
        <v>425</v>
      </c>
      <c r="G493" s="1" t="s">
        <v>371</v>
      </c>
      <c r="H493" s="2">
        <v>220</v>
      </c>
      <c r="I493" s="16">
        <v>175.18</v>
      </c>
      <c r="J493" s="1" t="s">
        <v>381</v>
      </c>
      <c r="K493" s="6">
        <f>Registro_Ordini[[#This Row],[Numero]]*Registro_Ordini[[#This Row],[Prezzo]]</f>
        <v>38539.599999999999</v>
      </c>
      <c r="L493" s="10">
        <v>0.93694999999999995</v>
      </c>
      <c r="M493" s="6">
        <f>Registro_Ordini[[#This Row],[Importo]]*Registro_Ordini[[#This Row],[Cambio]]</f>
        <v>36109.678219999994</v>
      </c>
      <c r="N493" s="1">
        <f ca="1">IFERROR(_xlfn.NUMBERVALUE(OFFSET(Origine,MATCH(Registro_Ordini[[#This Row],[Titolo]],Descrizioni,0),MATCH("Price",Intestazioni,0)-1,1,1)),"")</f>
        <v>174.92</v>
      </c>
      <c r="O493" s="18">
        <f ca="1">IF(OR(Registro_Ordini[[#This Row],[Price]]=0,Registro_Ordini[[#This Row],[Price]]=""),"",IF(Registro_Ordini[[#This Row],[Tipo]]="Sell",Registro_Ordini[[#This Row],[Prezzo]]/Registro_Ordini[[#This Row],[Price]]-1,Registro_Ordini[[#This Row],[Price]]/Registro_Ordini[[#This Row],[Prezzo]]-1))</f>
        <v>-1.4841876926591224E-3</v>
      </c>
      <c r="P493" s="15">
        <v>1.0489515316687016E-2</v>
      </c>
      <c r="Q493" s="3">
        <v>0.1424233309134153</v>
      </c>
      <c r="R493" s="3">
        <v>0.39197963126327579</v>
      </c>
      <c r="S493" s="3">
        <v>0.41111276798105217</v>
      </c>
      <c r="T493" s="3">
        <v>0</v>
      </c>
      <c r="U493" s="3">
        <v>5.4484269842256697E-2</v>
      </c>
      <c r="V493" s="3"/>
      <c r="W493" s="4"/>
    </row>
    <row r="494" spans="1:23" s="1" customFormat="1" ht="24.95" customHeight="1" x14ac:dyDescent="0.2">
      <c r="A494" s="8">
        <v>45834.694224537037</v>
      </c>
      <c r="B494" s="7">
        <v>45834.694224537037</v>
      </c>
      <c r="C494" s="9" t="s">
        <v>367</v>
      </c>
      <c r="D494" s="1" t="s">
        <v>388</v>
      </c>
      <c r="E494" s="1" t="s">
        <v>403</v>
      </c>
      <c r="F494" s="1" t="s">
        <v>426</v>
      </c>
      <c r="G494" s="1" t="s">
        <v>371</v>
      </c>
      <c r="H494" s="2">
        <v>310</v>
      </c>
      <c r="I494" s="16">
        <v>124</v>
      </c>
      <c r="J494" s="1" t="s">
        <v>381</v>
      </c>
      <c r="K494" s="6">
        <f>Registro_Ordini[[#This Row],[Numero]]*Registro_Ordini[[#This Row],[Prezzo]]</f>
        <v>38440</v>
      </c>
      <c r="L494" s="10">
        <v>0.93674999999999997</v>
      </c>
      <c r="M494" s="6">
        <f>Registro_Ordini[[#This Row],[Importo]]*Registro_Ordini[[#This Row],[Cambio]]</f>
        <v>36008.67</v>
      </c>
      <c r="N494" s="1">
        <f ca="1">IFERROR(_xlfn.NUMBERVALUE(OFFSET(Origine,MATCH(Registro_Ordini[[#This Row],[Titolo]],Descrizioni,0),MATCH("Price",Intestazioni,0)-1,1,1)),"")</f>
        <v>133.1</v>
      </c>
      <c r="O494" s="18">
        <f ca="1">IF(OR(Registro_Ordini[[#This Row],[Price]]=0,Registro_Ordini[[#This Row],[Price]]=""),"",IF(Registro_Ordini[[#This Row],[Tipo]]="Sell",Registro_Ordini[[#This Row],[Prezzo]]/Registro_Ordini[[#This Row],[Price]]-1,Registro_Ordini[[#This Row],[Price]]/Registro_Ordini[[#This Row],[Prezzo]]-1))</f>
        <v>7.3387096774193417E-2</v>
      </c>
      <c r="P494" s="15">
        <v>1.0459457359267413E-2</v>
      </c>
      <c r="Q494" s="3">
        <v>0.15287736154588755</v>
      </c>
      <c r="R494" s="3">
        <v>0.39195279879342587</v>
      </c>
      <c r="S494" s="3">
        <v>0.40068929947020565</v>
      </c>
      <c r="T494" s="3">
        <v>0</v>
      </c>
      <c r="U494" s="3">
        <v>5.4480540190480847E-2</v>
      </c>
      <c r="V494" s="3"/>
      <c r="W494" s="4"/>
    </row>
    <row r="495" spans="1:23" s="1" customFormat="1" ht="24.95" customHeight="1" x14ac:dyDescent="0.2">
      <c r="A495" s="8">
        <v>45834.652581018519</v>
      </c>
      <c r="B495" s="7">
        <v>45834.652581018519</v>
      </c>
      <c r="C495" s="9" t="s">
        <v>367</v>
      </c>
      <c r="D495" s="1" t="s">
        <v>388</v>
      </c>
      <c r="E495" s="1" t="s">
        <v>397</v>
      </c>
      <c r="F495" s="1" t="s">
        <v>428</v>
      </c>
      <c r="G495" s="1" t="s">
        <v>365</v>
      </c>
      <c r="H495" s="2">
        <v>-160</v>
      </c>
      <c r="I495" s="16">
        <v>214.25</v>
      </c>
      <c r="J495" s="1" t="s">
        <v>369</v>
      </c>
      <c r="K495" s="6">
        <f>Registro_Ordini[[#This Row],[Numero]]*Registro_Ordini[[#This Row],[Prezzo]]</f>
        <v>-34280</v>
      </c>
      <c r="L495" s="10">
        <v>1.0000001300000001</v>
      </c>
      <c r="M495" s="6">
        <f>Registro_Ordini[[#This Row],[Importo]]*Registro_Ordini[[#This Row],[Cambio]]</f>
        <v>-34280.004456400005</v>
      </c>
      <c r="N495" s="1">
        <f ca="1">IFERROR(_xlfn.NUMBERVALUE(OFFSET(Origine,MATCH(Registro_Ordini[[#This Row],[Titolo]],Descrizioni,0),MATCH("Price",Intestazioni,0)-1,1,1)),"")</f>
        <v>151.55000000000001</v>
      </c>
      <c r="O495" s="18">
        <f ca="1">IF(OR(Registro_Ordini[[#This Row],[Price]]=0,Registro_Ordini[[#This Row],[Price]]=""),"",IF(Registro_Ordini[[#This Row],[Tipo]]="Sell",Registro_Ordini[[#This Row],[Prezzo]]/Registro_Ordini[[#This Row],[Price]]-1,Registro_Ordini[[#This Row],[Price]]/Registro_Ordini[[#This Row],[Prezzo]]-1))</f>
        <v>0.41372484328604409</v>
      </c>
      <c r="P495" s="15">
        <v>-9.9627319979111173E-3</v>
      </c>
      <c r="Q495" s="3">
        <v>0.16334362021085919</v>
      </c>
      <c r="R495" s="3">
        <v>0.3921654008468976</v>
      </c>
      <c r="S495" s="3">
        <v>0.38998088755387722</v>
      </c>
      <c r="T495" s="3">
        <v>0</v>
      </c>
      <c r="U495" s="3">
        <v>5.4510091388365899E-2</v>
      </c>
      <c r="V495" s="3"/>
      <c r="W495" s="4"/>
    </row>
    <row r="496" spans="1:23" s="1" customFormat="1" ht="24.95" customHeight="1" x14ac:dyDescent="0.2">
      <c r="A496" s="8">
        <v>45834.650972222225</v>
      </c>
      <c r="B496" s="7">
        <v>45834.650972222225</v>
      </c>
      <c r="C496" s="9" t="s">
        <v>379</v>
      </c>
      <c r="D496" s="1" t="s">
        <v>388</v>
      </c>
      <c r="E496" s="1" t="s">
        <v>403</v>
      </c>
      <c r="F496" s="1" t="s">
        <v>429</v>
      </c>
      <c r="G496" s="1" t="s">
        <v>365</v>
      </c>
      <c r="H496" s="2">
        <v>-165</v>
      </c>
      <c r="I496" s="16">
        <v>43.11</v>
      </c>
      <c r="J496" s="1" t="s">
        <v>381</v>
      </c>
      <c r="K496" s="6">
        <f>Registro_Ordini[[#This Row],[Numero]]*Registro_Ordini[[#This Row],[Prezzo]]</f>
        <v>-7113.15</v>
      </c>
      <c r="L496" s="10">
        <v>1</v>
      </c>
      <c r="M496" s="6">
        <f>Registro_Ordini[[#This Row],[Importo]]*Registro_Ordini[[#This Row],[Cambio]]</f>
        <v>-7113.15</v>
      </c>
      <c r="N496" s="1">
        <f ca="1">IFERROR(_xlfn.NUMBERVALUE(OFFSET(Origine,MATCH(Registro_Ordini[[#This Row],[Titolo]],Descrizioni,0),MATCH("Price",Intestazioni,0)-1,1,1)),"")</f>
        <v>51.8</v>
      </c>
      <c r="O496" s="18">
        <f ca="1">IF(OR(Registro_Ordini[[#This Row],[Price]]=0,Registro_Ordini[[#This Row],[Price]]=""),"",IF(Registro_Ordini[[#This Row],[Tipo]]="Sell",Registro_Ordini[[#This Row],[Prezzo]]/Registro_Ordini[[#This Row],[Price]]-1,Registro_Ordini[[#This Row],[Price]]/Registro_Ordini[[#This Row],[Prezzo]]-1))</f>
        <v>-0.16776061776061768</v>
      </c>
      <c r="P496" s="15">
        <v>-1.2499602659729736E-2</v>
      </c>
      <c r="Q496" s="3">
        <v>0.1805853350103778</v>
      </c>
      <c r="R496" s="3">
        <v>0.28995646874424752</v>
      </c>
      <c r="S496" s="3">
        <v>0.418154561197846</v>
      </c>
      <c r="T496" s="3">
        <v>0</v>
      </c>
      <c r="U496" s="3">
        <v>0.11130363504752867</v>
      </c>
      <c r="V496" s="3"/>
      <c r="W496" s="4"/>
    </row>
    <row r="497" spans="1:23" s="1" customFormat="1" ht="24.95" customHeight="1" x14ac:dyDescent="0.2">
      <c r="A497" s="8">
        <v>45834.650960648149</v>
      </c>
      <c r="B497" s="7">
        <v>45834.650960648149</v>
      </c>
      <c r="C497" s="9" t="s">
        <v>382</v>
      </c>
      <c r="D497" s="1" t="s">
        <v>388</v>
      </c>
      <c r="E497" s="1" t="s">
        <v>403</v>
      </c>
      <c r="F497" s="1" t="s">
        <v>429</v>
      </c>
      <c r="G497" s="1" t="s">
        <v>365</v>
      </c>
      <c r="H497" s="2">
        <v>-300</v>
      </c>
      <c r="I497" s="16">
        <v>43.11</v>
      </c>
      <c r="J497" s="1" t="s">
        <v>381</v>
      </c>
      <c r="K497" s="6">
        <f>Registro_Ordini[[#This Row],[Numero]]*Registro_Ordini[[#This Row],[Prezzo]]</f>
        <v>-12933</v>
      </c>
      <c r="L497" s="10">
        <v>1</v>
      </c>
      <c r="M497" s="6">
        <f>Registro_Ordini[[#This Row],[Importo]]*Registro_Ordini[[#This Row],[Cambio]]</f>
        <v>-12933</v>
      </c>
      <c r="N497" s="1">
        <f ca="1">IFERROR(_xlfn.NUMBERVALUE(OFFSET(Origine,MATCH(Registro_Ordini[[#This Row],[Titolo]],Descrizioni,0),MATCH("Price",Intestazioni,0)-1,1,1)),"")</f>
        <v>51.8</v>
      </c>
      <c r="O497" s="18">
        <f ca="1">IF(OR(Registro_Ordini[[#This Row],[Price]]=0,Registro_Ordini[[#This Row],[Price]]=""),"",IF(Registro_Ordini[[#This Row],[Tipo]]="Sell",Registro_Ordini[[#This Row],[Prezzo]]/Registro_Ordini[[#This Row],[Price]]-1,Registro_Ordini[[#This Row],[Price]]/Registro_Ordini[[#This Row],[Prezzo]]-1))</f>
        <v>-0.16776061776061768</v>
      </c>
      <c r="P497" s="15">
        <v>-1.2474759996136104E-2</v>
      </c>
      <c r="Q497" s="3">
        <v>0.14655428630477665</v>
      </c>
      <c r="R497" s="3">
        <v>0.28534112480768914</v>
      </c>
      <c r="S497" s="3">
        <v>0.45136562765766536</v>
      </c>
      <c r="T497" s="3">
        <v>0</v>
      </c>
      <c r="U497" s="3">
        <v>0.11673896122986879</v>
      </c>
      <c r="V497" s="3"/>
      <c r="W497" s="4"/>
    </row>
    <row r="498" spans="1:23" s="1" customFormat="1" ht="24.95" customHeight="1" x14ac:dyDescent="0.2">
      <c r="A498" s="8">
        <v>45834.650949074072</v>
      </c>
      <c r="B498" s="7">
        <v>45834.650949074072</v>
      </c>
      <c r="C498" s="9" t="s">
        <v>383</v>
      </c>
      <c r="D498" s="1" t="s">
        <v>388</v>
      </c>
      <c r="E498" s="1" t="s">
        <v>403</v>
      </c>
      <c r="F498" s="1" t="s">
        <v>429</v>
      </c>
      <c r="G498" s="1" t="s">
        <v>365</v>
      </c>
      <c r="H498" s="2">
        <v>-180</v>
      </c>
      <c r="I498" s="16">
        <v>43.11</v>
      </c>
      <c r="J498" s="1" t="s">
        <v>381</v>
      </c>
      <c r="K498" s="6">
        <f>Registro_Ordini[[#This Row],[Numero]]*Registro_Ordini[[#This Row],[Prezzo]]</f>
        <v>-7759.8</v>
      </c>
      <c r="L498" s="10">
        <v>1</v>
      </c>
      <c r="M498" s="6">
        <f>Registro_Ordini[[#This Row],[Importo]]*Registro_Ordini[[#This Row],[Cambio]]</f>
        <v>-7759.8</v>
      </c>
      <c r="N498" s="1">
        <f ca="1">IFERROR(_xlfn.NUMBERVALUE(OFFSET(Origine,MATCH(Registro_Ordini[[#This Row],[Titolo]],Descrizioni,0),MATCH("Price",Intestazioni,0)-1,1,1)),"")</f>
        <v>51.8</v>
      </c>
      <c r="O498" s="18">
        <f ca="1">IF(OR(Registro_Ordini[[#This Row],[Price]]=0,Registro_Ordini[[#This Row],[Price]]=""),"",IF(Registro_Ordini[[#This Row],[Tipo]]="Sell",Registro_Ordini[[#This Row],[Prezzo]]/Registro_Ordini[[#This Row],[Price]]-1,Registro_Ordini[[#This Row],[Price]]/Registro_Ordini[[#This Row],[Prezzo]]-1))</f>
        <v>-0.16776061776061768</v>
      </c>
      <c r="P498" s="15">
        <v>-1.230072295800517E-2</v>
      </c>
      <c r="Q498" s="3">
        <v>0.17564064215493946</v>
      </c>
      <c r="R498" s="3">
        <v>0.27298513008917391</v>
      </c>
      <c r="S498" s="3">
        <v>0.43851152382718239</v>
      </c>
      <c r="T498" s="3">
        <v>0</v>
      </c>
      <c r="U498" s="3">
        <v>0.11286270392870426</v>
      </c>
      <c r="V498" s="3"/>
      <c r="W498" s="4"/>
    </row>
    <row r="499" spans="1:23" s="1" customFormat="1" ht="24.95" customHeight="1" x14ac:dyDescent="0.2">
      <c r="A499" s="8">
        <v>45834</v>
      </c>
      <c r="B499" s="7">
        <v>0.6698263888888889</v>
      </c>
      <c r="C499" s="9" t="s">
        <v>367</v>
      </c>
      <c r="D499" s="1" t="s">
        <v>388</v>
      </c>
      <c r="E499" s="1" t="s">
        <v>397</v>
      </c>
      <c r="F499" s="1" t="s">
        <v>401</v>
      </c>
      <c r="G499" s="1" t="s">
        <v>371</v>
      </c>
      <c r="H499" s="2">
        <v>500</v>
      </c>
      <c r="I499" s="16">
        <v>86.7</v>
      </c>
      <c r="J499" s="1" t="s">
        <v>369</v>
      </c>
      <c r="K499" s="6">
        <f>Registro_Ordini[[#This Row],[Numero]]*Registro_Ordini[[#This Row],[Prezzo]]</f>
        <v>43350</v>
      </c>
      <c r="L499" s="10">
        <v>1.0000001300000001</v>
      </c>
      <c r="M499" s="6">
        <f>Registro_Ordini[[#This Row],[Importo]]*Registro_Ordini[[#This Row],[Cambio]]</f>
        <v>43350.005635500005</v>
      </c>
      <c r="N499" s="1">
        <f ca="1">IFERROR(_xlfn.NUMBERVALUE(OFFSET(Origine,MATCH(Registro_Ordini[[#This Row],[Titolo]],Descrizioni,0),MATCH("Price",Intestazioni,0)-1,1,1)),"")</f>
        <v>94.8</v>
      </c>
      <c r="O499" s="18">
        <f ca="1">IF(OR(Registro_Ordini[[#This Row],[Price]]=0,Registro_Ordini[[#This Row],[Price]]=""),"",IF(Registro_Ordini[[#This Row],[Tipo]]="Sell",Registro_Ordini[[#This Row],[Prezzo]]/Registro_Ordini[[#This Row],[Price]]-1,Registro_Ordini[[#This Row],[Price]]/Registro_Ordini[[#This Row],[Prezzo]]-1))</f>
        <v>9.3425605536332057E-2</v>
      </c>
      <c r="P499" s="15">
        <v>1.2667785653535399E-2</v>
      </c>
      <c r="Q499" s="3">
        <v>0.1474194743179629</v>
      </c>
      <c r="R499" s="3">
        <v>0.36658181690828373</v>
      </c>
      <c r="S499" s="3">
        <v>0.43225531301461734</v>
      </c>
      <c r="T499" s="3">
        <v>0</v>
      </c>
      <c r="U499" s="3">
        <v>5.3743395759136003E-2</v>
      </c>
      <c r="V499" s="3"/>
      <c r="W499" s="4"/>
    </row>
    <row r="500" spans="1:23" s="1" customFormat="1" ht="24.95" customHeight="1" x14ac:dyDescent="0.2">
      <c r="A500" s="8">
        <v>45833.858298611114</v>
      </c>
      <c r="B500" s="7">
        <v>45833.858298611114</v>
      </c>
      <c r="C500" s="9" t="s">
        <v>367</v>
      </c>
      <c r="D500" s="1" t="s">
        <v>388</v>
      </c>
      <c r="E500" s="1" t="s">
        <v>389</v>
      </c>
      <c r="F500" s="1" t="s">
        <v>411</v>
      </c>
      <c r="G500" s="1" t="s">
        <v>371</v>
      </c>
      <c r="H500" s="2">
        <v>1250</v>
      </c>
      <c r="I500" s="16">
        <v>51.39</v>
      </c>
      <c r="J500" s="1" t="s">
        <v>366</v>
      </c>
      <c r="K500" s="6">
        <f>Registro_Ordini[[#This Row],[Numero]]*Registro_Ordini[[#This Row],[Prezzo]]</f>
        <v>64237.5</v>
      </c>
      <c r="L500" s="10">
        <v>0.80445</v>
      </c>
      <c r="M500" s="6">
        <f>Registro_Ordini[[#This Row],[Importo]]*Registro_Ordini[[#This Row],[Cambio]]</f>
        <v>51675.856874999998</v>
      </c>
      <c r="N500" s="1">
        <f ca="1">IFERROR(_xlfn.NUMBERVALUE(OFFSET(Origine,MATCH(Registro_Ordini[[#This Row],[Titolo]],Descrizioni,0),MATCH("Price",Intestazioni,0)-1,1,1)),"")</f>
        <v>51.02</v>
      </c>
      <c r="O500" s="18">
        <f ca="1">IF(OR(Registro_Ordini[[#This Row],[Price]]=0,Registro_Ordini[[#This Row],[Price]]=""),"",IF(Registro_Ordini[[#This Row],[Tipo]]="Sell",Registro_Ordini[[#This Row],[Prezzo]]/Registro_Ordini[[#This Row],[Price]]-1,Registro_Ordini[[#This Row],[Price]]/Registro_Ordini[[#This Row],[Prezzo]]-1))</f>
        <v>-7.1998443276901636E-3</v>
      </c>
      <c r="P500" s="15">
        <v>1.522154692860867E-2</v>
      </c>
      <c r="Q500" s="3">
        <v>0.14067758128436575</v>
      </c>
      <c r="R500" s="3">
        <v>0.39765010997645234</v>
      </c>
      <c r="S500" s="3">
        <v>0.40640895729553178</v>
      </c>
      <c r="T500" s="3">
        <v>0</v>
      </c>
      <c r="U500" s="3">
        <v>5.526335144365007E-2</v>
      </c>
      <c r="V500" s="3"/>
      <c r="W500" s="4"/>
    </row>
    <row r="501" spans="1:23" s="1" customFormat="1" ht="24.95" customHeight="1" x14ac:dyDescent="0.2">
      <c r="A501" s="8">
        <v>45833.763020833336</v>
      </c>
      <c r="B501" s="7">
        <v>45833.763020833336</v>
      </c>
      <c r="C501" s="9" t="s">
        <v>379</v>
      </c>
      <c r="D501" s="1" t="s">
        <v>388</v>
      </c>
      <c r="E501" s="1" t="s">
        <v>389</v>
      </c>
      <c r="F501" s="1" t="s">
        <v>411</v>
      </c>
      <c r="G501" s="1" t="s">
        <v>371</v>
      </c>
      <c r="H501" s="2">
        <v>320</v>
      </c>
      <c r="I501" s="16">
        <v>51.424999999999997</v>
      </c>
      <c r="J501" s="1" t="s">
        <v>366</v>
      </c>
      <c r="K501" s="6">
        <f>Registro_Ordini[[#This Row],[Numero]]*Registro_Ordini[[#This Row],[Prezzo]]</f>
        <v>16456</v>
      </c>
      <c r="L501" s="10">
        <v>0.85980000000000001</v>
      </c>
      <c r="M501" s="6">
        <f>Registro_Ordini[[#This Row],[Importo]]*Registro_Ordini[[#This Row],[Cambio]]</f>
        <v>14148.8688</v>
      </c>
      <c r="N501" s="1">
        <f ca="1">IFERROR(_xlfn.NUMBERVALUE(OFFSET(Origine,MATCH(Registro_Ordini[[#This Row],[Titolo]],Descrizioni,0),MATCH("Price",Intestazioni,0)-1,1,1)),"")</f>
        <v>51.02</v>
      </c>
      <c r="O501" s="18">
        <f ca="1">IF(OR(Registro_Ordini[[#This Row],[Price]]=0,Registro_Ordini[[#This Row],[Price]]=""),"",IF(Registro_Ordini[[#This Row],[Tipo]]="Sell",Registro_Ordini[[#This Row],[Prezzo]]/Registro_Ordini[[#This Row],[Price]]-1,Registro_Ordini[[#This Row],[Price]]/Registro_Ordini[[#This Row],[Prezzo]]-1))</f>
        <v>-7.8755469129799804E-3</v>
      </c>
      <c r="P501" s="15">
        <v>2.4817388025014077E-2</v>
      </c>
      <c r="Q501" s="3">
        <v>0.16781271610159365</v>
      </c>
      <c r="R501" s="3">
        <v>0.28929905055341826</v>
      </c>
      <c r="S501" s="3">
        <v>0.43085166130906899</v>
      </c>
      <c r="T501" s="3">
        <v>0</v>
      </c>
      <c r="U501" s="3">
        <v>0.11203657203591917</v>
      </c>
      <c r="V501" s="3"/>
      <c r="W501" s="4"/>
    </row>
    <row r="502" spans="1:23" s="1" customFormat="1" ht="24.95" customHeight="1" x14ac:dyDescent="0.2">
      <c r="A502" s="8">
        <v>45833.763009259259</v>
      </c>
      <c r="B502" s="7">
        <v>45833.763009259259</v>
      </c>
      <c r="C502" s="9" t="s">
        <v>382</v>
      </c>
      <c r="D502" s="1" t="s">
        <v>388</v>
      </c>
      <c r="E502" s="1" t="s">
        <v>389</v>
      </c>
      <c r="F502" s="1" t="s">
        <v>411</v>
      </c>
      <c r="G502" s="1" t="s">
        <v>371</v>
      </c>
      <c r="H502" s="2">
        <v>580</v>
      </c>
      <c r="I502" s="16">
        <v>51.424999999999997</v>
      </c>
      <c r="J502" s="1" t="s">
        <v>366</v>
      </c>
      <c r="K502" s="6">
        <f>Registro_Ordini[[#This Row],[Numero]]*Registro_Ordini[[#This Row],[Prezzo]]</f>
        <v>29826.5</v>
      </c>
      <c r="L502" s="10">
        <v>0.85980000000000001</v>
      </c>
      <c r="M502" s="6">
        <f>Registro_Ordini[[#This Row],[Importo]]*Registro_Ordini[[#This Row],[Cambio]]</f>
        <v>25644.824700000001</v>
      </c>
      <c r="N502" s="1">
        <f ca="1">IFERROR(_xlfn.NUMBERVALUE(OFFSET(Origine,MATCH(Registro_Ordini[[#This Row],[Titolo]],Descrizioni,0),MATCH("Price",Intestazioni,0)-1,1,1)),"")</f>
        <v>51.02</v>
      </c>
      <c r="O502" s="18">
        <f ca="1">IF(OR(Registro_Ordini[[#This Row],[Price]]=0,Registro_Ordini[[#This Row],[Price]]=""),"",IF(Registro_Ordini[[#This Row],[Tipo]]="Sell",Registro_Ordini[[#This Row],[Prezzo]]/Registro_Ordini[[#This Row],[Price]]-1,Registro_Ordini[[#This Row],[Price]]/Registro_Ordini[[#This Row],[Prezzo]]-1))</f>
        <v>-7.8755469129799804E-3</v>
      </c>
      <c r="P502" s="15">
        <v>2.4698657702145178E-2</v>
      </c>
      <c r="Q502" s="3">
        <v>0.13394430165786544</v>
      </c>
      <c r="R502" s="3">
        <v>0.28480826511342322</v>
      </c>
      <c r="S502" s="3">
        <v>0.46425217855159367</v>
      </c>
      <c r="T502" s="3">
        <v>0</v>
      </c>
      <c r="U502" s="3">
        <v>0.11699525467711754</v>
      </c>
      <c r="V502" s="3"/>
      <c r="W502" s="4"/>
    </row>
    <row r="503" spans="1:23" s="1" customFormat="1" ht="24.95" customHeight="1" x14ac:dyDescent="0.2">
      <c r="A503" s="8">
        <v>45833.762997685182</v>
      </c>
      <c r="B503" s="7">
        <v>45833.762997685182</v>
      </c>
      <c r="C503" s="9" t="s">
        <v>383</v>
      </c>
      <c r="D503" s="1" t="s">
        <v>388</v>
      </c>
      <c r="E503" s="1" t="s">
        <v>389</v>
      </c>
      <c r="F503" s="1" t="s">
        <v>411</v>
      </c>
      <c r="G503" s="1" t="s">
        <v>371</v>
      </c>
      <c r="H503" s="2">
        <v>350</v>
      </c>
      <c r="I503" s="16">
        <v>51.424999999999997</v>
      </c>
      <c r="J503" s="1" t="s">
        <v>366</v>
      </c>
      <c r="K503" s="6">
        <f>Registro_Ordini[[#This Row],[Numero]]*Registro_Ordini[[#This Row],[Prezzo]]</f>
        <v>17998.75</v>
      </c>
      <c r="L503" s="10">
        <v>0.85980000000000001</v>
      </c>
      <c r="M503" s="6">
        <f>Registro_Ordini[[#This Row],[Importo]]*Registro_Ordini[[#This Row],[Cambio]]</f>
        <v>15475.32525</v>
      </c>
      <c r="N503" s="1">
        <f ca="1">IFERROR(_xlfn.NUMBERVALUE(OFFSET(Origine,MATCH(Registro_Ordini[[#This Row],[Titolo]],Descrizioni,0),MATCH("Price",Intestazioni,0)-1,1,1)),"")</f>
        <v>51.02</v>
      </c>
      <c r="O503" s="18">
        <f ca="1">IF(OR(Registro_Ordini[[#This Row],[Price]]=0,Registro_Ordini[[#This Row],[Price]]=""),"",IF(Registro_Ordini[[#This Row],[Tipo]]="Sell",Registro_Ordini[[#This Row],[Prezzo]]/Registro_Ordini[[#This Row],[Price]]-1,Registro_Ordini[[#This Row],[Price]]/Registro_Ordini[[#This Row],[Prezzo]]-1))</f>
        <v>-7.8755469129799804E-3</v>
      </c>
      <c r="P503" s="15">
        <v>2.4496512452029186E-2</v>
      </c>
      <c r="Q503" s="3">
        <v>0.16312328421667388</v>
      </c>
      <c r="R503" s="3">
        <v>0.27248406297403793</v>
      </c>
      <c r="S503" s="3">
        <v>0.45138983243511033</v>
      </c>
      <c r="T503" s="3">
        <v>0</v>
      </c>
      <c r="U503" s="3">
        <v>0.11300282037417796</v>
      </c>
      <c r="V503" s="3"/>
      <c r="W503" s="4"/>
    </row>
    <row r="504" spans="1:23" s="1" customFormat="1" ht="24.95" customHeight="1" x14ac:dyDescent="0.2">
      <c r="A504" s="8">
        <v>45833.762824074074</v>
      </c>
      <c r="B504" s="7">
        <v>45833.762824074074</v>
      </c>
      <c r="C504" s="9" t="s">
        <v>78</v>
      </c>
      <c r="D504" s="1" t="s">
        <v>388</v>
      </c>
      <c r="E504" s="1" t="s">
        <v>389</v>
      </c>
      <c r="F504" s="1" t="s">
        <v>411</v>
      </c>
      <c r="G504" s="1" t="s">
        <v>371</v>
      </c>
      <c r="H504" s="2">
        <v>315</v>
      </c>
      <c r="I504" s="16">
        <v>51.424999999999997</v>
      </c>
      <c r="J504" s="1" t="s">
        <v>366</v>
      </c>
      <c r="K504" s="6">
        <f>Registro_Ordini[[#This Row],[Numero]]*Registro_Ordini[[#This Row],[Prezzo]]</f>
        <v>16198.875</v>
      </c>
      <c r="L504" s="10">
        <v>0.80515000000000003</v>
      </c>
      <c r="M504" s="6">
        <f>Registro_Ordini[[#This Row],[Importo]]*Registro_Ordini[[#This Row],[Cambio]]</f>
        <v>13042.52420625</v>
      </c>
      <c r="N504" s="1">
        <f ca="1">IFERROR(_xlfn.NUMBERVALUE(OFFSET(Origine,MATCH(Registro_Ordini[[#This Row],[Titolo]],Descrizioni,0),MATCH("Price",Intestazioni,0)-1,1,1)),"")</f>
        <v>51.02</v>
      </c>
      <c r="O504" s="18">
        <f ca="1">IF(OR(Registro_Ordini[[#This Row],[Price]]=0,Registro_Ordini[[#This Row],[Price]]=""),"",IF(Registro_Ordini[[#This Row],[Tipo]]="Sell",Registro_Ordini[[#This Row],[Prezzo]]/Registro_Ordini[[#This Row],[Price]]-1,Registro_Ordini[[#This Row],[Price]]/Registro_Ordini[[#This Row],[Prezzo]]-1))</f>
        <v>-7.8755469129799804E-3</v>
      </c>
      <c r="P504" s="15">
        <v>2.503971070064762E-2</v>
      </c>
      <c r="Q504" s="3">
        <v>0.19961975618114552</v>
      </c>
      <c r="R504" s="3">
        <v>0.13416321751513707</v>
      </c>
      <c r="S504" s="3">
        <v>0.60090366772471338</v>
      </c>
      <c r="T504" s="3">
        <v>0</v>
      </c>
      <c r="U504" s="3">
        <v>6.5313358579004083E-2</v>
      </c>
      <c r="V504" s="3"/>
      <c r="W504" s="4"/>
    </row>
    <row r="505" spans="1:23" s="1" customFormat="1" ht="24.95" customHeight="1" x14ac:dyDescent="0.2">
      <c r="A505" s="8">
        <v>45833.762662037036</v>
      </c>
      <c r="B505" s="7">
        <v>45833.762662037036</v>
      </c>
      <c r="C505" s="9" t="s">
        <v>375</v>
      </c>
      <c r="D505" s="1" t="s">
        <v>388</v>
      </c>
      <c r="E505" s="1" t="s">
        <v>389</v>
      </c>
      <c r="F505" s="1" t="s">
        <v>411</v>
      </c>
      <c r="G505" s="1" t="s">
        <v>371</v>
      </c>
      <c r="H505" s="2">
        <v>300</v>
      </c>
      <c r="I505" s="16">
        <v>51.424999999999997</v>
      </c>
      <c r="J505" s="1" t="s">
        <v>366</v>
      </c>
      <c r="K505" s="6">
        <f>Registro_Ordini[[#This Row],[Numero]]*Registro_Ordini[[#This Row],[Prezzo]]</f>
        <v>15427.5</v>
      </c>
      <c r="L505" s="10">
        <v>0.80515000000000003</v>
      </c>
      <c r="M505" s="6">
        <f>Registro_Ordini[[#This Row],[Importo]]*Registro_Ordini[[#This Row],[Cambio]]</f>
        <v>12421.451625</v>
      </c>
      <c r="N505" s="1">
        <f ca="1">IFERROR(_xlfn.NUMBERVALUE(OFFSET(Origine,MATCH(Registro_Ordini[[#This Row],[Titolo]],Descrizioni,0),MATCH("Price",Intestazioni,0)-1,1,1)),"")</f>
        <v>51.02</v>
      </c>
      <c r="O505" s="18">
        <f ca="1">IF(OR(Registro_Ordini[[#This Row],[Price]]=0,Registro_Ordini[[#This Row],[Price]]=""),"",IF(Registro_Ordini[[#This Row],[Tipo]]="Sell",Registro_Ordini[[#This Row],[Prezzo]]/Registro_Ordini[[#This Row],[Price]]-1,Registro_Ordini[[#This Row],[Price]]/Registro_Ordini[[#This Row],[Prezzo]]-1))</f>
        <v>-7.8755469129799804E-3</v>
      </c>
      <c r="P505" s="15">
        <v>1.5102645586382723E-2</v>
      </c>
      <c r="Q505" s="3">
        <v>9.3452465079163508E-2</v>
      </c>
      <c r="R505" s="3">
        <v>0.34857215252877072</v>
      </c>
      <c r="S505" s="3">
        <v>0.45054877468170029</v>
      </c>
      <c r="T505" s="3">
        <v>0</v>
      </c>
      <c r="U505" s="3">
        <v>0.10742660771036538</v>
      </c>
      <c r="V505" s="3"/>
      <c r="W505" s="4"/>
    </row>
    <row r="506" spans="1:23" s="1" customFormat="1" ht="24.95" customHeight="1" x14ac:dyDescent="0.2">
      <c r="A506" s="8">
        <v>45833.762650462966</v>
      </c>
      <c r="B506" s="7">
        <v>45833.762650462966</v>
      </c>
      <c r="C506" s="9" t="s">
        <v>378</v>
      </c>
      <c r="D506" s="1" t="s">
        <v>388</v>
      </c>
      <c r="E506" s="1" t="s">
        <v>389</v>
      </c>
      <c r="F506" s="1" t="s">
        <v>411</v>
      </c>
      <c r="G506" s="1" t="s">
        <v>371</v>
      </c>
      <c r="H506" s="2">
        <v>190</v>
      </c>
      <c r="I506" s="16">
        <v>51.424999999999997</v>
      </c>
      <c r="J506" s="1" t="s">
        <v>366</v>
      </c>
      <c r="K506" s="6">
        <f>Registro_Ordini[[#This Row],[Numero]]*Registro_Ordini[[#This Row],[Prezzo]]</f>
        <v>9770.75</v>
      </c>
      <c r="L506" s="10">
        <v>0.80515000000000003</v>
      </c>
      <c r="M506" s="6">
        <f>Registro_Ordini[[#This Row],[Importo]]*Registro_Ordini[[#This Row],[Cambio]]</f>
        <v>7866.9193625000007</v>
      </c>
      <c r="N506" s="1">
        <f ca="1">IFERROR(_xlfn.NUMBERVALUE(OFFSET(Origine,MATCH(Registro_Ordini[[#This Row],[Titolo]],Descrizioni,0),MATCH("Price",Intestazioni,0)-1,1,1)),"")</f>
        <v>51.02</v>
      </c>
      <c r="O506" s="18">
        <f ca="1">IF(OR(Registro_Ordini[[#This Row],[Price]]=0,Registro_Ordini[[#This Row],[Price]]=""),"",IF(Registro_Ordini[[#This Row],[Tipo]]="Sell",Registro_Ordini[[#This Row],[Prezzo]]/Registro_Ordini[[#This Row],[Price]]-1,Registro_Ordini[[#This Row],[Price]]/Registro_Ordini[[#This Row],[Prezzo]]-1))</f>
        <v>-7.8755469129799804E-3</v>
      </c>
      <c r="P506" s="15">
        <v>1.5077133339592598E-2</v>
      </c>
      <c r="Q506" s="3">
        <v>8.9852208911059842E-2</v>
      </c>
      <c r="R506" s="3">
        <v>0.33154161056510384</v>
      </c>
      <c r="S506" s="3">
        <v>0.47634335350651652</v>
      </c>
      <c r="T506" s="3">
        <v>0</v>
      </c>
      <c r="U506" s="3">
        <v>0.10226282701731979</v>
      </c>
      <c r="V506" s="3"/>
      <c r="W506" s="4"/>
    </row>
    <row r="507" spans="1:23" s="1" customFormat="1" ht="24.95" customHeight="1" x14ac:dyDescent="0.2">
      <c r="A507" s="8">
        <v>45833.762650462966</v>
      </c>
      <c r="B507" s="7">
        <v>45833.762650462966</v>
      </c>
      <c r="C507" s="9" t="s">
        <v>377</v>
      </c>
      <c r="D507" s="1" t="s">
        <v>388</v>
      </c>
      <c r="E507" s="1" t="s">
        <v>389</v>
      </c>
      <c r="F507" s="1" t="s">
        <v>411</v>
      </c>
      <c r="G507" s="1" t="s">
        <v>371</v>
      </c>
      <c r="H507" s="2">
        <v>580</v>
      </c>
      <c r="I507" s="16">
        <v>51.424999999999997</v>
      </c>
      <c r="J507" s="1" t="s">
        <v>366</v>
      </c>
      <c r="K507" s="6">
        <f>Registro_Ordini[[#This Row],[Numero]]*Registro_Ordini[[#This Row],[Prezzo]]</f>
        <v>29826.5</v>
      </c>
      <c r="L507" s="10">
        <v>0.80515000000000003</v>
      </c>
      <c r="M507" s="6">
        <f>Registro_Ordini[[#This Row],[Importo]]*Registro_Ordini[[#This Row],[Cambio]]</f>
        <v>24014.806475000001</v>
      </c>
      <c r="N507" s="1">
        <f ca="1">IFERROR(_xlfn.NUMBERVALUE(OFFSET(Origine,MATCH(Registro_Ordini[[#This Row],[Titolo]],Descrizioni,0),MATCH("Price",Intestazioni,0)-1,1,1)),"")</f>
        <v>51.02</v>
      </c>
      <c r="O507" s="18">
        <f ca="1">IF(OR(Registro_Ordini[[#This Row],[Price]]=0,Registro_Ordini[[#This Row],[Price]]=""),"",IF(Registro_Ordini[[#This Row],[Tipo]]="Sell",Registro_Ordini[[#This Row],[Prezzo]]/Registro_Ordini[[#This Row],[Price]]-1,Registro_Ordini[[#This Row],[Price]]/Registro_Ordini[[#This Row],[Prezzo]]-1))</f>
        <v>-7.8755469129799804E-3</v>
      </c>
      <c r="P507" s="15">
        <v>1.4951649323736643E-2</v>
      </c>
      <c r="Q507" s="3">
        <v>8.1252002779952634E-2</v>
      </c>
      <c r="R507" s="3">
        <v>0.32472261735115548</v>
      </c>
      <c r="S507" s="3">
        <v>0.48677233437117201</v>
      </c>
      <c r="T507" s="3">
        <v>0</v>
      </c>
      <c r="U507" s="3">
        <v>0.10725304549771995</v>
      </c>
      <c r="V507" s="3"/>
      <c r="W507" s="4"/>
    </row>
    <row r="508" spans="1:23" s="1" customFormat="1" ht="24.95" customHeight="1" x14ac:dyDescent="0.2">
      <c r="A508" s="8">
        <v>45833.758703703701</v>
      </c>
      <c r="B508" s="7">
        <v>45833.758703703701</v>
      </c>
      <c r="C508" s="9" t="s">
        <v>379</v>
      </c>
      <c r="D508" s="1" t="s">
        <v>388</v>
      </c>
      <c r="E508" s="1" t="s">
        <v>389</v>
      </c>
      <c r="F508" s="1" t="s">
        <v>430</v>
      </c>
      <c r="G508" s="1" t="s">
        <v>365</v>
      </c>
      <c r="H508" s="2">
        <v>-200</v>
      </c>
      <c r="I508" s="16">
        <v>80.734999999999999</v>
      </c>
      <c r="J508" s="1" t="s">
        <v>366</v>
      </c>
      <c r="K508" s="6">
        <f>Registro_Ordini[[#This Row],[Numero]]*Registro_Ordini[[#This Row],[Prezzo]]</f>
        <v>-16147</v>
      </c>
      <c r="L508" s="10">
        <v>0.8599</v>
      </c>
      <c r="M508" s="6">
        <f>Registro_Ordini[[#This Row],[Importo]]*Registro_Ordini[[#This Row],[Cambio]]</f>
        <v>-13884.8053</v>
      </c>
      <c r="N508" s="1">
        <f ca="1">IFERROR(_xlfn.NUMBERVALUE(OFFSET(Origine,MATCH(Registro_Ordini[[#This Row],[Titolo]],Descrizioni,0),MATCH("Price",Intestazioni,0)-1,1,1)),"")</f>
        <v>46.79</v>
      </c>
      <c r="O508" s="18">
        <f ca="1">IF(OR(Registro_Ordini[[#This Row],[Price]]=0,Registro_Ordini[[#This Row],[Price]]=""),"",IF(Registro_Ordini[[#This Row],[Tipo]]="Sell",Registro_Ordini[[#This Row],[Prezzo]]/Registro_Ordini[[#This Row],[Price]]-1,Registro_Ordini[[#This Row],[Price]]/Registro_Ordini[[#This Row],[Prezzo]]-1))</f>
        <v>0.72547552895917944</v>
      </c>
      <c r="P508" s="15">
        <v>-2.4353362580449546E-2</v>
      </c>
      <c r="Q508" s="3">
        <v>0.19263649801047425</v>
      </c>
      <c r="R508" s="3">
        <v>0.28928365621868218</v>
      </c>
      <c r="S508" s="3">
        <v>0.40603416764137257</v>
      </c>
      <c r="T508" s="3">
        <v>0</v>
      </c>
      <c r="U508" s="3">
        <v>0.11204567812947078</v>
      </c>
      <c r="V508" s="3"/>
      <c r="W508" s="4"/>
    </row>
    <row r="509" spans="1:23" s="1" customFormat="1" ht="24.95" customHeight="1" x14ac:dyDescent="0.2">
      <c r="A509" s="8">
        <v>45833.756701388891</v>
      </c>
      <c r="B509" s="7">
        <v>45833.756701388891</v>
      </c>
      <c r="C509" s="9" t="s">
        <v>375</v>
      </c>
      <c r="D509" s="1" t="s">
        <v>388</v>
      </c>
      <c r="E509" s="1" t="s">
        <v>389</v>
      </c>
      <c r="F509" s="1" t="s">
        <v>400</v>
      </c>
      <c r="G509" s="1" t="s">
        <v>365</v>
      </c>
      <c r="H509" s="2">
        <v>-180</v>
      </c>
      <c r="I509" s="16">
        <v>80.614999999999995</v>
      </c>
      <c r="J509" s="1" t="s">
        <v>366</v>
      </c>
      <c r="K509" s="6">
        <f>Registro_Ordini[[#This Row],[Numero]]*Registro_Ordini[[#This Row],[Prezzo]]</f>
        <v>-14510.699999999999</v>
      </c>
      <c r="L509" s="10">
        <v>0.80505000000000004</v>
      </c>
      <c r="M509" s="6">
        <f>Registro_Ordini[[#This Row],[Importo]]*Registro_Ordini[[#This Row],[Cambio]]</f>
        <v>-11681.839034999999</v>
      </c>
      <c r="N509" s="1">
        <f ca="1">IFERROR(_xlfn.NUMBERVALUE(OFFSET(Origine,MATCH(Registro_Ordini[[#This Row],[Titolo]],Descrizioni,0),MATCH("Price",Intestazioni,0)-1,1,1)),"")</f>
        <v>87.63</v>
      </c>
      <c r="O509" s="18">
        <f ca="1">IF(OR(Registro_Ordini[[#This Row],[Price]]=0,Registro_Ordini[[#This Row],[Price]]=""),"",IF(Registro_Ordini[[#This Row],[Tipo]]="Sell",Registro_Ordini[[#This Row],[Prezzo]]/Registro_Ordini[[#This Row],[Price]]-1,Registro_Ordini[[#This Row],[Price]]/Registro_Ordini[[#This Row],[Prezzo]]-1))</f>
        <v>-8.0052493438320216E-2</v>
      </c>
      <c r="P509" s="15">
        <v>-1.4203465069284488E-2</v>
      </c>
      <c r="Q509" s="3">
        <v>0.10855426011189416</v>
      </c>
      <c r="R509" s="3">
        <v>0.34857409129069827</v>
      </c>
      <c r="S509" s="3">
        <v>0.4354444433791359</v>
      </c>
      <c r="T509" s="3">
        <v>0</v>
      </c>
      <c r="U509" s="3">
        <v>0.10742720521827165</v>
      </c>
      <c r="V509" s="3"/>
      <c r="W509" s="4"/>
    </row>
    <row r="510" spans="1:23" s="1" customFormat="1" ht="24.95" customHeight="1" x14ac:dyDescent="0.2">
      <c r="A510" s="8">
        <v>45833.73510416667</v>
      </c>
      <c r="B510" s="7">
        <v>45833.73510416667</v>
      </c>
      <c r="C510" s="9" t="s">
        <v>376</v>
      </c>
      <c r="D510" s="1" t="s">
        <v>388</v>
      </c>
      <c r="E510" s="1" t="s">
        <v>389</v>
      </c>
      <c r="F510" s="1" t="s">
        <v>430</v>
      </c>
      <c r="G510" s="1" t="s">
        <v>365</v>
      </c>
      <c r="H510" s="2">
        <v>-65</v>
      </c>
      <c r="I510" s="16">
        <v>80.605000000000004</v>
      </c>
      <c r="J510" s="1" t="s">
        <v>366</v>
      </c>
      <c r="K510" s="6">
        <f>Registro_Ordini[[#This Row],[Numero]]*Registro_Ordini[[#This Row],[Prezzo]]</f>
        <v>-5239.3249999999998</v>
      </c>
      <c r="L510" s="10">
        <v>0.80554999999999999</v>
      </c>
      <c r="M510" s="6">
        <f>Registro_Ordini[[#This Row],[Importo]]*Registro_Ordini[[#This Row],[Cambio]]</f>
        <v>-4220.53825375</v>
      </c>
      <c r="N510" s="1">
        <f ca="1">IFERROR(_xlfn.NUMBERVALUE(OFFSET(Origine,MATCH(Registro_Ordini[[#This Row],[Titolo]],Descrizioni,0),MATCH("Price",Intestazioni,0)-1,1,1)),"")</f>
        <v>46.79</v>
      </c>
      <c r="O510" s="18">
        <f ca="1">IF(OR(Registro_Ordini[[#This Row],[Price]]=0,Registro_Ordini[[#This Row],[Price]]=""),"",IF(Registro_Ordini[[#This Row],[Tipo]]="Sell",Registro_Ordini[[#This Row],[Prezzo]]/Registro_Ordini[[#This Row],[Price]]-1,Registro_Ordini[[#This Row],[Price]]/Registro_Ordini[[#This Row],[Prezzo]]-1))</f>
        <v>0.72269715751228913</v>
      </c>
      <c r="P510" s="15">
        <v>-1.5042292993408196E-2</v>
      </c>
      <c r="Q510" s="3">
        <v>5.7376637649389862E-2</v>
      </c>
      <c r="R510" s="3">
        <v>0.35084006473757307</v>
      </c>
      <c r="S510" s="3">
        <v>0.46138152407415256</v>
      </c>
      <c r="T510" s="3">
        <v>0</v>
      </c>
      <c r="U510" s="3">
        <v>0.13040177353888438</v>
      </c>
      <c r="V510" s="3"/>
      <c r="W510" s="4"/>
    </row>
    <row r="511" spans="1:23" s="1" customFormat="1" ht="24.95" customHeight="1" x14ac:dyDescent="0.2">
      <c r="A511" s="8">
        <v>45833.734710648147</v>
      </c>
      <c r="B511" s="7">
        <v>45833.734710648147</v>
      </c>
      <c r="C511" s="9" t="s">
        <v>376</v>
      </c>
      <c r="D511" s="1" t="s">
        <v>388</v>
      </c>
      <c r="E511" s="1" t="s">
        <v>389</v>
      </c>
      <c r="F511" s="1" t="s">
        <v>411</v>
      </c>
      <c r="G511" s="1" t="s">
        <v>371</v>
      </c>
      <c r="H511" s="2">
        <v>100</v>
      </c>
      <c r="I511" s="16">
        <v>51.365000000000002</v>
      </c>
      <c r="J511" s="1" t="s">
        <v>366</v>
      </c>
      <c r="K511" s="6">
        <f>Registro_Ordini[[#This Row],[Numero]]*Registro_Ordini[[#This Row],[Prezzo]]</f>
        <v>5136.5</v>
      </c>
      <c r="L511" s="10">
        <v>0.80574999999999997</v>
      </c>
      <c r="M511" s="6">
        <f>Registro_Ordini[[#This Row],[Importo]]*Registro_Ordini[[#This Row],[Cambio]]</f>
        <v>4138.7348750000001</v>
      </c>
      <c r="N511" s="1">
        <f ca="1">IFERROR(_xlfn.NUMBERVALUE(OFFSET(Origine,MATCH(Registro_Ordini[[#This Row],[Titolo]],Descrizioni,0),MATCH("Price",Intestazioni,0)-1,1,1)),"")</f>
        <v>51.02</v>
      </c>
      <c r="O511" s="18">
        <f ca="1">IF(OR(Registro_Ordini[[#This Row],[Price]]=0,Registro_Ordini[[#This Row],[Price]]=""),"",IF(Registro_Ordini[[#This Row],[Tipo]]="Sell",Registro_Ordini[[#This Row],[Prezzo]]/Registro_Ordini[[#This Row],[Price]]-1,Registro_Ordini[[#This Row],[Price]]/Registro_Ordini[[#This Row],[Prezzo]]-1))</f>
        <v>-6.7166358415262639E-3</v>
      </c>
      <c r="P511" s="15">
        <v>1.478170099236315E-2</v>
      </c>
      <c r="Q511" s="3">
        <v>4.2327657460055026E-2</v>
      </c>
      <c r="R511" s="3">
        <v>0.35083005746631235</v>
      </c>
      <c r="S511" s="3">
        <v>0.47642490831822643</v>
      </c>
      <c r="T511" s="3">
        <v>0</v>
      </c>
      <c r="U511" s="3">
        <v>0.13041737675540627</v>
      </c>
      <c r="V511" s="3"/>
      <c r="W511" s="4"/>
    </row>
    <row r="512" spans="1:23" s="1" customFormat="1" ht="24.95" customHeight="1" x14ac:dyDescent="0.2">
      <c r="A512" s="8">
        <v>45833.734236111108</v>
      </c>
      <c r="B512" s="7">
        <v>45833.734236111108</v>
      </c>
      <c r="C512" s="9" t="s">
        <v>376</v>
      </c>
      <c r="D512" s="1" t="s">
        <v>388</v>
      </c>
      <c r="E512" s="1" t="s">
        <v>389</v>
      </c>
      <c r="F512" s="1" t="s">
        <v>400</v>
      </c>
      <c r="G512" s="1" t="s">
        <v>365</v>
      </c>
      <c r="H512" s="2">
        <v>-60</v>
      </c>
      <c r="I512" s="16">
        <v>80.515000000000001</v>
      </c>
      <c r="J512" s="1" t="s">
        <v>366</v>
      </c>
      <c r="K512" s="6">
        <f>Registro_Ordini[[#This Row],[Numero]]*Registro_Ordini[[#This Row],[Prezzo]]</f>
        <v>-4830.8999999999996</v>
      </c>
      <c r="L512" s="10">
        <v>0.80574999999999997</v>
      </c>
      <c r="M512" s="6">
        <f>Registro_Ordini[[#This Row],[Importo]]*Registro_Ordini[[#This Row],[Cambio]]</f>
        <v>-3892.4976749999996</v>
      </c>
      <c r="N512" s="1">
        <f ca="1">IFERROR(_xlfn.NUMBERVALUE(OFFSET(Origine,MATCH(Registro_Ordini[[#This Row],[Titolo]],Descrizioni,0),MATCH("Price",Intestazioni,0)-1,1,1)),"")</f>
        <v>87.63</v>
      </c>
      <c r="O512" s="18">
        <f ca="1">IF(OR(Registro_Ordini[[#This Row],[Price]]=0,Registro_Ordini[[#This Row],[Price]]=""),"",IF(Registro_Ordini[[#This Row],[Tipo]]="Sell",Registro_Ordini[[#This Row],[Prezzo]]/Registro_Ordini[[#This Row],[Price]]-1,Registro_Ordini[[#This Row],[Price]]/Registro_Ordini[[#This Row],[Prezzo]]-1))</f>
        <v>-8.1193655140933463E-2</v>
      </c>
      <c r="P512" s="15">
        <v>-1.3886519800410235E-2</v>
      </c>
      <c r="Q512" s="3">
        <v>5.7109358452418178E-2</v>
      </c>
      <c r="R512" s="3">
        <v>0.35083005746631235</v>
      </c>
      <c r="S512" s="3">
        <v>0.46164320732586323</v>
      </c>
      <c r="T512" s="3">
        <v>0</v>
      </c>
      <c r="U512" s="3">
        <v>0.13041737675540627</v>
      </c>
      <c r="V512" s="3"/>
      <c r="W512" s="4"/>
    </row>
    <row r="513" spans="1:23" s="1" customFormat="1" ht="24.95" customHeight="1" x14ac:dyDescent="0.2">
      <c r="A513" s="8">
        <v>45833.733831018515</v>
      </c>
      <c r="B513" s="7">
        <v>45833.733831018515</v>
      </c>
      <c r="C513" s="9" t="s">
        <v>376</v>
      </c>
      <c r="D513" s="1" t="s">
        <v>388</v>
      </c>
      <c r="E513" s="1" t="s">
        <v>389</v>
      </c>
      <c r="F513" s="1" t="s">
        <v>414</v>
      </c>
      <c r="G513" s="1" t="s">
        <v>371</v>
      </c>
      <c r="H513" s="2">
        <v>60</v>
      </c>
      <c r="I513" s="16">
        <v>124.26</v>
      </c>
      <c r="J513" s="1" t="s">
        <v>366</v>
      </c>
      <c r="K513" s="6">
        <f>Registro_Ordini[[#This Row],[Numero]]*Registro_Ordini[[#This Row],[Prezzo]]</f>
        <v>7455.6</v>
      </c>
      <c r="L513" s="10">
        <v>0.80574999999999997</v>
      </c>
      <c r="M513" s="6">
        <f>Registro_Ordini[[#This Row],[Importo]]*Registro_Ordini[[#This Row],[Cambio]]</f>
        <v>6007.3496999999998</v>
      </c>
      <c r="N513" s="1">
        <f ca="1">IFERROR(_xlfn.NUMBERVALUE(OFFSET(Origine,MATCH(Registro_Ordini[[#This Row],[Titolo]],Descrizioni,0),MATCH("Price",Intestazioni,0)-1,1,1)),"")</f>
        <v>137.36000000000001</v>
      </c>
      <c r="O513" s="18">
        <f ca="1">IF(OR(Registro_Ordini[[#This Row],[Price]]=0,Registro_Ordini[[#This Row],[Price]]=""),"",IF(Registro_Ordini[[#This Row],[Tipo]]="Sell",Registro_Ordini[[#This Row],[Prezzo]]/Registro_Ordini[[#This Row],[Price]]-1,Registro_Ordini[[#This Row],[Price]]/Registro_Ordini[[#This Row],[Prezzo]]-1))</f>
        <v>0.10542411073555447</v>
      </c>
      <c r="P513" s="15">
        <v>2.1519104077187049E-2</v>
      </c>
      <c r="Q513" s="3">
        <v>4.3226823540063221E-2</v>
      </c>
      <c r="R513" s="3">
        <v>0.35086240091361276</v>
      </c>
      <c r="S513" s="3">
        <v>0.47557414423034933</v>
      </c>
      <c r="T513" s="3">
        <v>0</v>
      </c>
      <c r="U513" s="3">
        <v>0.13033663131597462</v>
      </c>
      <c r="V513" s="3"/>
      <c r="W513" s="4"/>
    </row>
    <row r="514" spans="1:23" s="1" customFormat="1" ht="24.95" customHeight="1" x14ac:dyDescent="0.2">
      <c r="A514" s="8">
        <v>45833.725347222222</v>
      </c>
      <c r="B514" s="7">
        <v>45833.725347222222</v>
      </c>
      <c r="C514" s="9" t="s">
        <v>379</v>
      </c>
      <c r="D514" s="1" t="s">
        <v>388</v>
      </c>
      <c r="E514" s="1" t="s">
        <v>397</v>
      </c>
      <c r="F514" s="1" t="s">
        <v>431</v>
      </c>
      <c r="G514" s="1" t="s">
        <v>371</v>
      </c>
      <c r="H514" s="2">
        <v>20</v>
      </c>
      <c r="I514" s="16">
        <v>412.77</v>
      </c>
      <c r="J514" s="1" t="s">
        <v>369</v>
      </c>
      <c r="K514" s="6">
        <f>Registro_Ordini[[#This Row],[Numero]]*Registro_Ordini[[#This Row],[Prezzo]]</f>
        <v>8255.4</v>
      </c>
      <c r="L514" s="10">
        <v>1.0675274100000001</v>
      </c>
      <c r="M514" s="6">
        <f>Registro_Ordini[[#This Row],[Importo]]*Registro_Ordini[[#This Row],[Cambio]]</f>
        <v>8812.865780514001</v>
      </c>
      <c r="N514" s="1">
        <f ca="1">IFERROR(_xlfn.NUMBERVALUE(OFFSET(Origine,MATCH(Registro_Ordini[[#This Row],[Titolo]],Descrizioni,0),MATCH("Price",Intestazioni,0)-1,1,1)),"")</f>
        <v>269</v>
      </c>
      <c r="O514" s="18">
        <f ca="1">IF(OR(Registro_Ordini[[#This Row],[Price]]=0,Registro_Ordini[[#This Row],[Price]]=""),"",IF(Registro_Ordini[[#This Row],[Tipo]]="Sell",Registro_Ordini[[#This Row],[Prezzo]]/Registro_Ordini[[#This Row],[Price]]-1,Registro_Ordini[[#This Row],[Price]]/Registro_Ordini[[#This Row],[Prezzo]]-1))</f>
        <v>-0.34830535164861787</v>
      </c>
      <c r="P514" s="15">
        <v>1.5457084452683545E-2</v>
      </c>
      <c r="Q514" s="3">
        <v>0.16800702532495246</v>
      </c>
      <c r="R514" s="3">
        <v>0.28938220853855096</v>
      </c>
      <c r="S514" s="3">
        <v>0.43049638546184094</v>
      </c>
      <c r="T514" s="3">
        <v>0</v>
      </c>
      <c r="U514" s="3">
        <v>0.11211438067465575</v>
      </c>
      <c r="V514" s="3"/>
      <c r="W514" s="4"/>
    </row>
    <row r="515" spans="1:23" s="1" customFormat="1" ht="24.95" customHeight="1" x14ac:dyDescent="0.2">
      <c r="A515" s="8">
        <v>45833.725335648145</v>
      </c>
      <c r="B515" s="7">
        <v>45833.725335648145</v>
      </c>
      <c r="C515" s="9" t="s">
        <v>382</v>
      </c>
      <c r="D515" s="1" t="s">
        <v>388</v>
      </c>
      <c r="E515" s="1" t="s">
        <v>397</v>
      </c>
      <c r="F515" s="1" t="s">
        <v>431</v>
      </c>
      <c r="G515" s="1" t="s">
        <v>371</v>
      </c>
      <c r="H515" s="2">
        <v>35</v>
      </c>
      <c r="I515" s="16">
        <v>412.77</v>
      </c>
      <c r="J515" s="1" t="s">
        <v>369</v>
      </c>
      <c r="K515" s="6">
        <f>Registro_Ordini[[#This Row],[Numero]]*Registro_Ordini[[#This Row],[Prezzo]]</f>
        <v>14446.949999999999</v>
      </c>
      <c r="L515" s="10">
        <v>1.0675274100000001</v>
      </c>
      <c r="M515" s="6">
        <f>Registro_Ordini[[#This Row],[Importo]]*Registro_Ordini[[#This Row],[Cambio]]</f>
        <v>15422.5151158995</v>
      </c>
      <c r="N515" s="1">
        <f ca="1">IFERROR(_xlfn.NUMBERVALUE(OFFSET(Origine,MATCH(Registro_Ordini[[#This Row],[Titolo]],Descrizioni,0),MATCH("Price",Intestazioni,0)-1,1,1)),"")</f>
        <v>269</v>
      </c>
      <c r="O515" s="18">
        <f ca="1">IF(OR(Registro_Ordini[[#This Row],[Price]]=0,Registro_Ordini[[#This Row],[Price]]=""),"",IF(Registro_Ordini[[#This Row],[Tipo]]="Sell",Registro_Ordini[[#This Row],[Prezzo]]/Registro_Ordini[[#This Row],[Price]]-1,Registro_Ordini[[#This Row],[Price]]/Registro_Ordini[[#This Row],[Prezzo]]-1))</f>
        <v>-0.34830535164861787</v>
      </c>
      <c r="P515" s="15">
        <v>1.4848883015139635E-2</v>
      </c>
      <c r="Q515" s="3">
        <v>0.15859509856591089</v>
      </c>
      <c r="R515" s="3">
        <v>0.28480035824598293</v>
      </c>
      <c r="S515" s="3">
        <v>0.43956974510134122</v>
      </c>
      <c r="T515" s="3">
        <v>0</v>
      </c>
      <c r="U515" s="3">
        <v>0.11703479808676491</v>
      </c>
      <c r="V515" s="3"/>
      <c r="W515" s="4"/>
    </row>
    <row r="516" spans="1:23" s="1" customFormat="1" ht="24.95" customHeight="1" x14ac:dyDescent="0.2">
      <c r="A516" s="8">
        <v>45833.725324074076</v>
      </c>
      <c r="B516" s="7">
        <v>45833.725324074076</v>
      </c>
      <c r="C516" s="9" t="s">
        <v>383</v>
      </c>
      <c r="D516" s="1" t="s">
        <v>388</v>
      </c>
      <c r="E516" s="1" t="s">
        <v>397</v>
      </c>
      <c r="F516" s="1" t="s">
        <v>431</v>
      </c>
      <c r="G516" s="1" t="s">
        <v>371</v>
      </c>
      <c r="H516" s="2">
        <v>20</v>
      </c>
      <c r="I516" s="16">
        <v>412.77</v>
      </c>
      <c r="J516" s="1" t="s">
        <v>369</v>
      </c>
      <c r="K516" s="6">
        <f>Registro_Ordini[[#This Row],[Numero]]*Registro_Ordini[[#This Row],[Prezzo]]</f>
        <v>8255.4</v>
      </c>
      <c r="L516" s="10">
        <v>1.0675274100000001</v>
      </c>
      <c r="M516" s="6">
        <f>Registro_Ordini[[#This Row],[Importo]]*Registro_Ordini[[#This Row],[Cambio]]</f>
        <v>8812.865780514001</v>
      </c>
      <c r="N516" s="1">
        <f ca="1">IFERROR(_xlfn.NUMBERVALUE(OFFSET(Origine,MATCH(Registro_Ordini[[#This Row],[Titolo]],Descrizioni,0),MATCH("Price",Intestazioni,0)-1,1,1)),"")</f>
        <v>269</v>
      </c>
      <c r="O516" s="18">
        <f ca="1">IF(OR(Registro_Ordini[[#This Row],[Price]]=0,Registro_Ordini[[#This Row],[Price]]=""),"",IF(Registro_Ordini[[#This Row],[Tipo]]="Sell",Registro_Ordini[[#This Row],[Prezzo]]/Registro_Ordini[[#This Row],[Price]]-1,Registro_Ordini[[#This Row],[Price]]/Registro_Ordini[[#This Row],[Prezzo]]-1))</f>
        <v>-0.34830535164861787</v>
      </c>
      <c r="P516" s="15">
        <v>1.3945999753477913E-2</v>
      </c>
      <c r="Q516" s="3">
        <v>0.18756542735258416</v>
      </c>
      <c r="R516" s="3">
        <v>0.27248988929112389</v>
      </c>
      <c r="S516" s="3">
        <v>0.42691678173154435</v>
      </c>
      <c r="T516" s="3">
        <v>0</v>
      </c>
      <c r="U516" s="3">
        <v>0.11302790162474767</v>
      </c>
      <c r="V516" s="3"/>
      <c r="W516" s="4"/>
    </row>
    <row r="517" spans="1:23" s="1" customFormat="1" ht="24.95" customHeight="1" x14ac:dyDescent="0.2">
      <c r="A517" s="8">
        <v>45833.725069444445</v>
      </c>
      <c r="B517" s="7">
        <v>45833.725069444445</v>
      </c>
      <c r="C517" s="9" t="s">
        <v>78</v>
      </c>
      <c r="D517" s="1" t="s">
        <v>388</v>
      </c>
      <c r="E517" s="1" t="s">
        <v>397</v>
      </c>
      <c r="F517" s="1" t="s">
        <v>431</v>
      </c>
      <c r="G517" s="1" t="s">
        <v>371</v>
      </c>
      <c r="H517" s="2">
        <v>25</v>
      </c>
      <c r="I517" s="16">
        <v>412.77</v>
      </c>
      <c r="J517" s="1" t="s">
        <v>369</v>
      </c>
      <c r="K517" s="6">
        <f>Registro_Ordini[[#This Row],[Numero]]*Registro_Ordini[[#This Row],[Prezzo]]</f>
        <v>10319.25</v>
      </c>
      <c r="L517" s="10">
        <v>1.0000001300000001</v>
      </c>
      <c r="M517" s="6">
        <f>Registro_Ordini[[#This Row],[Importo]]*Registro_Ordini[[#This Row],[Cambio]]</f>
        <v>10319.251341502501</v>
      </c>
      <c r="N517" s="1">
        <f ca="1">IFERROR(_xlfn.NUMBERVALUE(OFFSET(Origine,MATCH(Registro_Ordini[[#This Row],[Titolo]],Descrizioni,0),MATCH("Price",Intestazioni,0)-1,1,1)),"")</f>
        <v>269</v>
      </c>
      <c r="O517" s="18">
        <f ca="1">IF(OR(Registro_Ordini[[#This Row],[Price]]=0,Registro_Ordini[[#This Row],[Price]]=""),"",IF(Registro_Ordini[[#This Row],[Tipo]]="Sell",Registro_Ordini[[#This Row],[Prezzo]]/Registro_Ordini[[#This Row],[Price]]-1,Registro_Ordini[[#This Row],[Price]]/Registro_Ordini[[#This Row],[Prezzo]]-1))</f>
        <v>-0.34830535164861787</v>
      </c>
      <c r="P517" s="15">
        <v>1.9918114576442946E-2</v>
      </c>
      <c r="Q517" s="3">
        <v>0.22579627797789456</v>
      </c>
      <c r="R517" s="3">
        <v>0.13488568122998298</v>
      </c>
      <c r="S517" s="3">
        <v>0.57380352714494587</v>
      </c>
      <c r="T517" s="3">
        <v>0</v>
      </c>
      <c r="U517" s="3">
        <v>6.5514513647176531E-2</v>
      </c>
      <c r="V517" s="3"/>
      <c r="W517" s="4"/>
    </row>
    <row r="518" spans="1:23" s="1" customFormat="1" ht="24.95" customHeight="1" x14ac:dyDescent="0.2">
      <c r="A518" s="8">
        <v>45833.72488425926</v>
      </c>
      <c r="B518" s="7">
        <v>45833.72488425926</v>
      </c>
      <c r="C518" s="9" t="s">
        <v>367</v>
      </c>
      <c r="D518" s="1" t="s">
        <v>388</v>
      </c>
      <c r="E518" s="1" t="s">
        <v>397</v>
      </c>
      <c r="F518" s="1" t="s">
        <v>431</v>
      </c>
      <c r="G518" s="1" t="s">
        <v>371</v>
      </c>
      <c r="H518" s="2">
        <v>120</v>
      </c>
      <c r="I518" s="16">
        <v>412.5</v>
      </c>
      <c r="J518" s="1" t="s">
        <v>369</v>
      </c>
      <c r="K518" s="6">
        <f>Registro_Ordini[[#This Row],[Numero]]*Registro_Ordini[[#This Row],[Prezzo]]</f>
        <v>49500</v>
      </c>
      <c r="L518" s="10">
        <v>1.0000001300000001</v>
      </c>
      <c r="M518" s="6">
        <f>Registro_Ordini[[#This Row],[Importo]]*Registro_Ordini[[#This Row],[Cambio]]</f>
        <v>49500.006435000003</v>
      </c>
      <c r="N518" s="1">
        <f ca="1">IFERROR(_xlfn.NUMBERVALUE(OFFSET(Origine,MATCH(Registro_Ordini[[#This Row],[Titolo]],Descrizioni,0),MATCH("Price",Intestazioni,0)-1,1,1)),"")</f>
        <v>269</v>
      </c>
      <c r="O518" s="18">
        <f ca="1">IF(OR(Registro_Ordini[[#This Row],[Price]]=0,Registro_Ordini[[#This Row],[Price]]=""),"",IF(Registro_Ordini[[#This Row],[Tipo]]="Sell",Registro_Ordini[[#This Row],[Prezzo]]/Registro_Ordini[[#This Row],[Price]]-1,Registro_Ordini[[#This Row],[Price]]/Registro_Ordini[[#This Row],[Prezzo]]-1))</f>
        <v>-0.3478787878787879</v>
      </c>
      <c r="P518" s="15">
        <v>1.4363880017704608E-2</v>
      </c>
      <c r="Q518" s="3">
        <v>0.16898979555970151</v>
      </c>
      <c r="R518" s="3">
        <v>0.39136822334153215</v>
      </c>
      <c r="S518" s="3">
        <v>0.38525165370345693</v>
      </c>
      <c r="T518" s="3">
        <v>0</v>
      </c>
      <c r="U518" s="3">
        <v>5.4390327395309364E-2</v>
      </c>
      <c r="V518" s="3"/>
      <c r="W518" s="4"/>
    </row>
    <row r="519" spans="1:23" s="1" customFormat="1" ht="24.95" customHeight="1" x14ac:dyDescent="0.2">
      <c r="A519" s="8">
        <v>45833.724872685183</v>
      </c>
      <c r="B519" s="7">
        <v>45833.724872685183</v>
      </c>
      <c r="C519" s="9" t="s">
        <v>375</v>
      </c>
      <c r="D519" s="1" t="s">
        <v>388</v>
      </c>
      <c r="E519" s="1" t="s">
        <v>397</v>
      </c>
      <c r="F519" s="1" t="s">
        <v>431</v>
      </c>
      <c r="G519" s="1" t="s">
        <v>371</v>
      </c>
      <c r="H519" s="2">
        <v>28</v>
      </c>
      <c r="I519" s="16">
        <v>412.77</v>
      </c>
      <c r="J519" s="1" t="s">
        <v>369</v>
      </c>
      <c r="K519" s="6">
        <f>Registro_Ordini[[#This Row],[Numero]]*Registro_Ordini[[#This Row],[Prezzo]]</f>
        <v>11557.56</v>
      </c>
      <c r="L519" s="10">
        <v>1.0000001300000001</v>
      </c>
      <c r="M519" s="6">
        <f>Registro_Ordini[[#This Row],[Importo]]*Registro_Ordini[[#This Row],[Cambio]]</f>
        <v>11557.5615024828</v>
      </c>
      <c r="N519" s="1">
        <f ca="1">IFERROR(_xlfn.NUMBERVALUE(OFFSET(Origine,MATCH(Registro_Ordini[[#This Row],[Titolo]],Descrizioni,0),MATCH("Price",Intestazioni,0)-1,1,1)),"")</f>
        <v>269</v>
      </c>
      <c r="O519" s="18">
        <f ca="1">IF(OR(Registro_Ordini[[#This Row],[Price]]=0,Registro_Ordini[[#This Row],[Price]]=""),"",IF(Registro_Ordini[[#This Row],[Tipo]]="Sell",Registro_Ordini[[#This Row],[Prezzo]]/Registro_Ordini[[#This Row],[Price]]-1,Registro_Ordini[[#This Row],[Price]]/Registro_Ordini[[#This Row],[Prezzo]]-1))</f>
        <v>-0.34830535164861787</v>
      </c>
      <c r="P519" s="15">
        <v>1.4052005186972215E-2</v>
      </c>
      <c r="Q519" s="3">
        <v>9.425602622700438E-2</v>
      </c>
      <c r="R519" s="3">
        <v>0.34856526134424198</v>
      </c>
      <c r="S519" s="3">
        <v>0.4498095486901339</v>
      </c>
      <c r="T519" s="3">
        <v>0</v>
      </c>
      <c r="U519" s="3">
        <v>0.10736916373861981</v>
      </c>
      <c r="V519" s="3"/>
      <c r="W519" s="4"/>
    </row>
    <row r="520" spans="1:23" s="1" customFormat="1" ht="24.95" customHeight="1" x14ac:dyDescent="0.2">
      <c r="A520" s="8">
        <v>45833.724861111114</v>
      </c>
      <c r="B520" s="7">
        <v>45833.724861111114</v>
      </c>
      <c r="C520" s="9" t="s">
        <v>377</v>
      </c>
      <c r="D520" s="1" t="s">
        <v>388</v>
      </c>
      <c r="E520" s="1" t="s">
        <v>397</v>
      </c>
      <c r="F520" s="1" t="s">
        <v>431</v>
      </c>
      <c r="G520" s="1" t="s">
        <v>371</v>
      </c>
      <c r="H520" s="2">
        <v>40</v>
      </c>
      <c r="I520" s="16">
        <v>412.77</v>
      </c>
      <c r="J520" s="1" t="s">
        <v>369</v>
      </c>
      <c r="K520" s="6">
        <f>Registro_Ordini[[#This Row],[Numero]]*Registro_Ordini[[#This Row],[Prezzo]]</f>
        <v>16510.8</v>
      </c>
      <c r="L520" s="10">
        <v>1.0000001300000001</v>
      </c>
      <c r="M520" s="6">
        <f>Registro_Ordini[[#This Row],[Importo]]*Registro_Ordini[[#This Row],[Cambio]]</f>
        <v>16510.802146403999</v>
      </c>
      <c r="N520" s="1">
        <f ca="1">IFERROR(_xlfn.NUMBERVALUE(OFFSET(Origine,MATCH(Registro_Ordini[[#This Row],[Titolo]],Descrizioni,0),MATCH("Price",Intestazioni,0)-1,1,1)),"")</f>
        <v>269</v>
      </c>
      <c r="O520" s="18">
        <f ca="1">IF(OR(Registro_Ordini[[#This Row],[Price]]=0,Registro_Ordini[[#This Row],[Price]]=""),"",IF(Registro_Ordini[[#This Row],[Tipo]]="Sell",Registro_Ordini[[#This Row],[Prezzo]]/Registro_Ordini[[#This Row],[Price]]-1,Registro_Ordini[[#This Row],[Price]]/Registro_Ordini[[#This Row],[Prezzo]]-1))</f>
        <v>-0.34830535164861787</v>
      </c>
      <c r="P520" s="15">
        <v>1.0278023333865733E-2</v>
      </c>
      <c r="Q520" s="3">
        <v>9.6211491115112818E-2</v>
      </c>
      <c r="R520" s="3">
        <v>0.32467134340247117</v>
      </c>
      <c r="S520" s="3">
        <v>0.47188105532229563</v>
      </c>
      <c r="T520" s="3">
        <v>0</v>
      </c>
      <c r="U520" s="3">
        <v>0.1072361101601203</v>
      </c>
      <c r="V520" s="3"/>
      <c r="W520" s="4"/>
    </row>
    <row r="521" spans="1:23" s="1" customFormat="1" ht="24.95" customHeight="1" x14ac:dyDescent="0.2">
      <c r="A521" s="8">
        <v>45833.724861111114</v>
      </c>
      <c r="B521" s="7">
        <v>45833.724861111114</v>
      </c>
      <c r="C521" s="9" t="s">
        <v>376</v>
      </c>
      <c r="D521" s="1" t="s">
        <v>388</v>
      </c>
      <c r="E521" s="1" t="s">
        <v>397</v>
      </c>
      <c r="F521" s="1" t="s">
        <v>431</v>
      </c>
      <c r="G521" s="1" t="s">
        <v>371</v>
      </c>
      <c r="H521" s="2">
        <v>10</v>
      </c>
      <c r="I521" s="16">
        <v>412.77</v>
      </c>
      <c r="J521" s="1" t="s">
        <v>369</v>
      </c>
      <c r="K521" s="6">
        <f>Registro_Ordini[[#This Row],[Numero]]*Registro_Ordini[[#This Row],[Prezzo]]</f>
        <v>4127.7</v>
      </c>
      <c r="L521" s="10">
        <v>1.0000001300000001</v>
      </c>
      <c r="M521" s="6">
        <f>Registro_Ordini[[#This Row],[Importo]]*Registro_Ordini[[#This Row],[Cambio]]</f>
        <v>4127.7005366009998</v>
      </c>
      <c r="N521" s="1">
        <f ca="1">IFERROR(_xlfn.NUMBERVALUE(OFFSET(Origine,MATCH(Registro_Ordini[[#This Row],[Titolo]],Descrizioni,0),MATCH("Price",Intestazioni,0)-1,1,1)),"")</f>
        <v>269</v>
      </c>
      <c r="O521" s="18">
        <f ca="1">IF(OR(Registro_Ordini[[#This Row],[Price]]=0,Registro_Ordini[[#This Row],[Price]]=""),"",IF(Registro_Ordini[[#This Row],[Tipo]]="Sell",Registro_Ordini[[#This Row],[Prezzo]]/Registro_Ordini[[#This Row],[Price]]-1,Registro_Ordini[[#This Row],[Price]]/Registro_Ordini[[#This Row],[Prezzo]]-1))</f>
        <v>-0.34830535164861787</v>
      </c>
      <c r="P521" s="15">
        <v>1.4726165377479995E-2</v>
      </c>
      <c r="Q521" s="3">
        <v>6.4738304860522441E-2</v>
      </c>
      <c r="R521" s="3">
        <v>0.35082154723518427</v>
      </c>
      <c r="S521" s="3">
        <v>0.45413801656197511</v>
      </c>
      <c r="T521" s="3">
        <v>0</v>
      </c>
      <c r="U521" s="3">
        <v>0.13030213134231822</v>
      </c>
      <c r="V521" s="3"/>
      <c r="W521" s="4"/>
    </row>
    <row r="522" spans="1:23" s="1" customFormat="1" ht="24.95" customHeight="1" x14ac:dyDescent="0.2">
      <c r="A522" s="8">
        <v>45833.724849537037</v>
      </c>
      <c r="B522" s="7">
        <v>45833.724849537037</v>
      </c>
      <c r="C522" s="9" t="s">
        <v>378</v>
      </c>
      <c r="D522" s="1" t="s">
        <v>388</v>
      </c>
      <c r="E522" s="1" t="s">
        <v>397</v>
      </c>
      <c r="F522" s="1" t="s">
        <v>431</v>
      </c>
      <c r="G522" s="1" t="s">
        <v>371</v>
      </c>
      <c r="H522" s="2">
        <v>20</v>
      </c>
      <c r="I522" s="16">
        <v>412.77</v>
      </c>
      <c r="J522" s="1" t="s">
        <v>369</v>
      </c>
      <c r="K522" s="6">
        <f>Registro_Ordini[[#This Row],[Numero]]*Registro_Ordini[[#This Row],[Prezzo]]</f>
        <v>8255.4</v>
      </c>
      <c r="L522" s="10">
        <v>1.0000001300000001</v>
      </c>
      <c r="M522" s="6">
        <f>Registro_Ordini[[#This Row],[Importo]]*Registro_Ordini[[#This Row],[Cambio]]</f>
        <v>8255.4010732019997</v>
      </c>
      <c r="N522" s="1">
        <f ca="1">IFERROR(_xlfn.NUMBERVALUE(OFFSET(Origine,MATCH(Registro_Ordini[[#This Row],[Titolo]],Descrizioni,0),MATCH("Price",Intestazioni,0)-1,1,1)),"")</f>
        <v>269</v>
      </c>
      <c r="O522" s="18">
        <f ca="1">IF(OR(Registro_Ordini[[#This Row],[Price]]=0,Registro_Ordini[[#This Row],[Price]]=""),"",IF(Registro_Ordini[[#This Row],[Tipo]]="Sell",Registro_Ordini[[#This Row],[Prezzo]]/Registro_Ordini[[#This Row],[Price]]-1,Registro_Ordini[[#This Row],[Price]]/Registro_Ordini[[#This Row],[Prezzo]]-1))</f>
        <v>-0.34830535164861787</v>
      </c>
      <c r="P522" s="15">
        <v>1.5819599938649852E-2</v>
      </c>
      <c r="Q522" s="3">
        <v>0.10493524799822343</v>
      </c>
      <c r="R522" s="3">
        <v>0.33149828738776022</v>
      </c>
      <c r="S522" s="3">
        <v>0.46142759761061164</v>
      </c>
      <c r="T522" s="3">
        <v>0</v>
      </c>
      <c r="U522" s="3">
        <v>0.10213886700340485</v>
      </c>
      <c r="V522" s="3"/>
      <c r="W522" s="4"/>
    </row>
    <row r="523" spans="1:23" s="1" customFormat="1" ht="24.95" customHeight="1" x14ac:dyDescent="0.2">
      <c r="A523" s="8">
        <v>45833.723136574074</v>
      </c>
      <c r="B523" s="7">
        <v>45833.723136574074</v>
      </c>
      <c r="C523" s="9" t="s">
        <v>379</v>
      </c>
      <c r="D523" s="1" t="s">
        <v>388</v>
      </c>
      <c r="E523" s="1" t="s">
        <v>397</v>
      </c>
      <c r="F523" s="1" t="s">
        <v>432</v>
      </c>
      <c r="G523" s="1" t="s">
        <v>371</v>
      </c>
      <c r="H523" s="2">
        <v>30</v>
      </c>
      <c r="I523" s="16">
        <v>251.96</v>
      </c>
      <c r="J523" s="1" t="s">
        <v>369</v>
      </c>
      <c r="K523" s="6">
        <f>Registro_Ordini[[#This Row],[Numero]]*Registro_Ordini[[#This Row],[Prezzo]]</f>
        <v>7558.8</v>
      </c>
      <c r="L523" s="10">
        <v>1.0677672600000001</v>
      </c>
      <c r="M523" s="6">
        <f>Registro_Ordini[[#This Row],[Importo]]*Registro_Ordini[[#This Row],[Cambio]]</f>
        <v>8071.0391648880013</v>
      </c>
      <c r="N523" s="1">
        <f ca="1">IFERROR(_xlfn.NUMBERVALUE(OFFSET(Origine,MATCH(Registro_Ordini[[#This Row],[Titolo]],Descrizioni,0),MATCH("Price",Intestazioni,0)-1,1,1)),"")</f>
        <v>278.60000000000002</v>
      </c>
      <c r="O523" s="18">
        <f ca="1">IF(OR(Registro_Ordini[[#This Row],[Price]]=0,Registro_Ordini[[#This Row],[Price]]=""),"",IF(Registro_Ordini[[#This Row],[Tipo]]="Sell",Registro_Ordini[[#This Row],[Prezzo]]/Registro_Ordini[[#This Row],[Price]]-1,Registro_Ordini[[#This Row],[Price]]/Registro_Ordini[[#This Row],[Prezzo]]-1))</f>
        <v>0.10573106842355928</v>
      </c>
      <c r="P523" s="15">
        <v>1.4134281687905412E-2</v>
      </c>
      <c r="Q523" s="3">
        <v>0.1834593846165207</v>
      </c>
      <c r="R523" s="3">
        <v>0.28933632616187532</v>
      </c>
      <c r="S523" s="3">
        <v>0.41505160104432548</v>
      </c>
      <c r="T523" s="3">
        <v>0</v>
      </c>
      <c r="U523" s="3">
        <v>0.11215268817727855</v>
      </c>
      <c r="V523" s="3"/>
      <c r="W523" s="4"/>
    </row>
    <row r="524" spans="1:23" s="1" customFormat="1" ht="24.95" customHeight="1" x14ac:dyDescent="0.2">
      <c r="A524" s="8">
        <v>45833.723124999997</v>
      </c>
      <c r="B524" s="7">
        <v>45833.723124999997</v>
      </c>
      <c r="C524" s="9" t="s">
        <v>382</v>
      </c>
      <c r="D524" s="1" t="s">
        <v>388</v>
      </c>
      <c r="E524" s="1" t="s">
        <v>397</v>
      </c>
      <c r="F524" s="1" t="s">
        <v>432</v>
      </c>
      <c r="G524" s="1" t="s">
        <v>371</v>
      </c>
      <c r="H524" s="2">
        <v>60</v>
      </c>
      <c r="I524" s="16">
        <v>251.96</v>
      </c>
      <c r="J524" s="1" t="s">
        <v>369</v>
      </c>
      <c r="K524" s="6">
        <f>Registro_Ordini[[#This Row],[Numero]]*Registro_Ordini[[#This Row],[Prezzo]]</f>
        <v>15117.6</v>
      </c>
      <c r="L524" s="10">
        <v>1.0677672600000001</v>
      </c>
      <c r="M524" s="6">
        <f>Registro_Ordini[[#This Row],[Importo]]*Registro_Ordini[[#This Row],[Cambio]]</f>
        <v>16142.078329776003</v>
      </c>
      <c r="N524" s="1">
        <f ca="1">IFERROR(_xlfn.NUMBERVALUE(OFFSET(Origine,MATCH(Registro_Ordini[[#This Row],[Titolo]],Descrizioni,0),MATCH("Price",Intestazioni,0)-1,1,1)),"")</f>
        <v>278.60000000000002</v>
      </c>
      <c r="O524" s="18">
        <f ca="1">IF(OR(Registro_Ordini[[#This Row],[Price]]=0,Registro_Ordini[[#This Row],[Price]]=""),"",IF(Registro_Ordini[[#This Row],[Tipo]]="Sell",Registro_Ordini[[#This Row],[Prezzo]]/Registro_Ordini[[#This Row],[Price]]-1,Registro_Ordini[[#This Row],[Price]]/Registro_Ordini[[#This Row],[Prezzo]]-1))</f>
        <v>0.10573106842355928</v>
      </c>
      <c r="P524" s="15">
        <v>1.5518191812867583E-2</v>
      </c>
      <c r="Q524" s="3">
        <v>0.17345156010980711</v>
      </c>
      <c r="R524" s="3">
        <v>0.28476378528070428</v>
      </c>
      <c r="S524" s="3">
        <v>0.42473694113878652</v>
      </c>
      <c r="T524" s="3">
        <v>0</v>
      </c>
      <c r="U524" s="3">
        <v>0.11704771347070207</v>
      </c>
      <c r="V524" s="3"/>
      <c r="W524" s="4"/>
    </row>
    <row r="525" spans="1:23" s="1" customFormat="1" ht="24.95" customHeight="1" x14ac:dyDescent="0.2">
      <c r="A525" s="8">
        <v>45833.723113425927</v>
      </c>
      <c r="B525" s="7">
        <v>45833.723113425927</v>
      </c>
      <c r="C525" s="9" t="s">
        <v>383</v>
      </c>
      <c r="D525" s="1" t="s">
        <v>388</v>
      </c>
      <c r="E525" s="1" t="s">
        <v>397</v>
      </c>
      <c r="F525" s="1" t="s">
        <v>432</v>
      </c>
      <c r="G525" s="1" t="s">
        <v>371</v>
      </c>
      <c r="H525" s="2">
        <v>35</v>
      </c>
      <c r="I525" s="16">
        <v>251.96</v>
      </c>
      <c r="J525" s="1" t="s">
        <v>369</v>
      </c>
      <c r="K525" s="6">
        <f>Registro_Ordini[[#This Row],[Numero]]*Registro_Ordini[[#This Row],[Prezzo]]</f>
        <v>8818.6</v>
      </c>
      <c r="L525" s="10">
        <v>1.0677672600000001</v>
      </c>
      <c r="M525" s="6">
        <f>Registro_Ordini[[#This Row],[Importo]]*Registro_Ordini[[#This Row],[Cambio]]</f>
        <v>9416.2123590360006</v>
      </c>
      <c r="N525" s="1">
        <f ca="1">IFERROR(_xlfn.NUMBERVALUE(OFFSET(Origine,MATCH(Registro_Ordini[[#This Row],[Titolo]],Descrizioni,0),MATCH("Price",Intestazioni,0)-1,1,1)),"")</f>
        <v>278.60000000000002</v>
      </c>
      <c r="O525" s="18">
        <f ca="1">IF(OR(Registro_Ordini[[#This Row],[Price]]=0,Registro_Ordini[[#This Row],[Price]]=""),"",IF(Registro_Ordini[[#This Row],[Tipo]]="Sell",Registro_Ordini[[#This Row],[Prezzo]]/Registro_Ordini[[#This Row],[Price]]-1,Registro_Ordini[[#This Row],[Price]]/Registro_Ordini[[#This Row],[Prezzo]]-1))</f>
        <v>0.10573106842355928</v>
      </c>
      <c r="P525" s="15">
        <v>1.4878328539744102E-2</v>
      </c>
      <c r="Q525" s="3">
        <v>0.20151678931986236</v>
      </c>
      <c r="R525" s="3">
        <v>0.27245454587251627</v>
      </c>
      <c r="S525" s="3">
        <v>0.41299182522832573</v>
      </c>
      <c r="T525" s="3">
        <v>0</v>
      </c>
      <c r="U525" s="3">
        <v>0.1130368395792956</v>
      </c>
      <c r="V525" s="3"/>
      <c r="W525" s="4"/>
    </row>
    <row r="526" spans="1:23" s="1" customFormat="1" ht="24.95" customHeight="1" x14ac:dyDescent="0.2">
      <c r="A526" s="8">
        <v>45833.722812499997</v>
      </c>
      <c r="B526" s="7">
        <v>45833.722812499997</v>
      </c>
      <c r="C526" s="9" t="s">
        <v>78</v>
      </c>
      <c r="D526" s="1" t="s">
        <v>388</v>
      </c>
      <c r="E526" s="1" t="s">
        <v>397</v>
      </c>
      <c r="F526" s="1" t="s">
        <v>432</v>
      </c>
      <c r="G526" s="1" t="s">
        <v>371</v>
      </c>
      <c r="H526" s="2">
        <v>40</v>
      </c>
      <c r="I526" s="16">
        <v>251.96</v>
      </c>
      <c r="J526" s="1" t="s">
        <v>369</v>
      </c>
      <c r="K526" s="6">
        <f>Registro_Ordini[[#This Row],[Numero]]*Registro_Ordini[[#This Row],[Prezzo]]</f>
        <v>10078.4</v>
      </c>
      <c r="L526" s="10">
        <v>1.0000001300000001</v>
      </c>
      <c r="M526" s="6">
        <f>Registro_Ordini[[#This Row],[Importo]]*Registro_Ordini[[#This Row],[Cambio]]</f>
        <v>10078.401310192001</v>
      </c>
      <c r="N526" s="1">
        <f ca="1">IFERROR(_xlfn.NUMBERVALUE(OFFSET(Origine,MATCH(Registro_Ordini[[#This Row],[Titolo]],Descrizioni,0),MATCH("Price",Intestazioni,0)-1,1,1)),"")</f>
        <v>278.60000000000002</v>
      </c>
      <c r="O526" s="18">
        <f ca="1">IF(OR(Registro_Ordini[[#This Row],[Price]]=0,Registro_Ordini[[#This Row],[Price]]=""),"",IF(Registro_Ordini[[#This Row],[Tipo]]="Sell",Registro_Ordini[[#This Row],[Prezzo]]/Registro_Ordini[[#This Row],[Price]]-1,Registro_Ordini[[#This Row],[Price]]/Registro_Ordini[[#This Row],[Prezzo]]-1))</f>
        <v>0.10573106842355928</v>
      </c>
      <c r="P526" s="15">
        <v>1.9424940933615617E-2</v>
      </c>
      <c r="Q526" s="3">
        <v>0.24571721168746358</v>
      </c>
      <c r="R526" s="3">
        <v>0.13488226065940928</v>
      </c>
      <c r="S526" s="3">
        <v>0.55388767539072836</v>
      </c>
      <c r="T526" s="3">
        <v>0</v>
      </c>
      <c r="U526" s="3">
        <v>6.551285226239878E-2</v>
      </c>
      <c r="V526" s="3"/>
      <c r="W526" s="4"/>
    </row>
    <row r="527" spans="1:23" s="1" customFormat="1" ht="24.95" customHeight="1" x14ac:dyDescent="0.2">
      <c r="A527" s="8">
        <v>45833.722638888888</v>
      </c>
      <c r="B527" s="7">
        <v>45833.722638888888</v>
      </c>
      <c r="C527" s="9" t="s">
        <v>367</v>
      </c>
      <c r="D527" s="1" t="s">
        <v>388</v>
      </c>
      <c r="E527" s="1" t="s">
        <v>397</v>
      </c>
      <c r="F527" s="1" t="s">
        <v>432</v>
      </c>
      <c r="G527" s="1" t="s">
        <v>371</v>
      </c>
      <c r="H527" s="2">
        <v>200</v>
      </c>
      <c r="I527" s="16">
        <v>251.6</v>
      </c>
      <c r="J527" s="1" t="s">
        <v>369</v>
      </c>
      <c r="K527" s="6">
        <f>Registro_Ordini[[#This Row],[Numero]]*Registro_Ordini[[#This Row],[Prezzo]]</f>
        <v>50320</v>
      </c>
      <c r="L527" s="10">
        <v>1.0000001300000001</v>
      </c>
      <c r="M527" s="6">
        <f>Registro_Ordini[[#This Row],[Importo]]*Registro_Ordini[[#This Row],[Cambio]]</f>
        <v>50320.006541600007</v>
      </c>
      <c r="N527" s="1">
        <f ca="1">IFERROR(_xlfn.NUMBERVALUE(OFFSET(Origine,MATCH(Registro_Ordini[[#This Row],[Titolo]],Descrizioni,0),MATCH("Price",Intestazioni,0)-1,1,1)),"")</f>
        <v>278.60000000000002</v>
      </c>
      <c r="O527" s="18">
        <f ca="1">IF(OR(Registro_Ordini[[#This Row],[Price]]=0,Registro_Ordini[[#This Row],[Price]]=""),"",IF(Registro_Ordini[[#This Row],[Tipo]]="Sell",Registro_Ordini[[#This Row],[Prezzo]]/Registro_Ordini[[#This Row],[Price]]-1,Registro_Ordini[[#This Row],[Price]]/Registro_Ordini[[#This Row],[Prezzo]]-1))</f>
        <v>0.10731319554848984</v>
      </c>
      <c r="P527" s="15">
        <v>1.4592474661098618E-2</v>
      </c>
      <c r="Q527" s="3">
        <v>0.18336377900599049</v>
      </c>
      <c r="R527" s="3">
        <v>0.39137355648769245</v>
      </c>
      <c r="S527" s="3">
        <v>0.37087159593799357</v>
      </c>
      <c r="T527" s="3">
        <v>0</v>
      </c>
      <c r="U527" s="3">
        <v>5.4391068568323445E-2</v>
      </c>
      <c r="V527" s="3"/>
      <c r="W527" s="4"/>
    </row>
    <row r="528" spans="1:23" s="1" customFormat="1" ht="24.95" customHeight="1" x14ac:dyDescent="0.2">
      <c r="A528" s="8">
        <v>45833.722627314812</v>
      </c>
      <c r="B528" s="7">
        <v>45833.722627314812</v>
      </c>
      <c r="C528" s="9" t="s">
        <v>375</v>
      </c>
      <c r="D528" s="1" t="s">
        <v>388</v>
      </c>
      <c r="E528" s="1" t="s">
        <v>397</v>
      </c>
      <c r="F528" s="1" t="s">
        <v>432</v>
      </c>
      <c r="G528" s="1" t="s">
        <v>371</v>
      </c>
      <c r="H528" s="2">
        <v>48</v>
      </c>
      <c r="I528" s="16">
        <v>251.96</v>
      </c>
      <c r="J528" s="1" t="s">
        <v>369</v>
      </c>
      <c r="K528" s="6">
        <f>Registro_Ordini[[#This Row],[Numero]]*Registro_Ordini[[#This Row],[Prezzo]]</f>
        <v>12094.08</v>
      </c>
      <c r="L528" s="10">
        <v>1.0000001300000001</v>
      </c>
      <c r="M528" s="6">
        <f>Registro_Ordini[[#This Row],[Importo]]*Registro_Ordini[[#This Row],[Cambio]]</f>
        <v>12094.081572230401</v>
      </c>
      <c r="N528" s="1">
        <f ca="1">IFERROR(_xlfn.NUMBERVALUE(OFFSET(Origine,MATCH(Registro_Ordini[[#This Row],[Titolo]],Descrizioni,0),MATCH("Price",Intestazioni,0)-1,1,1)),"")</f>
        <v>278.60000000000002</v>
      </c>
      <c r="O528" s="18">
        <f ca="1">IF(OR(Registro_Ordini[[#This Row],[Price]]=0,Registro_Ordini[[#This Row],[Price]]=""),"",IF(Registro_Ordini[[#This Row],[Tipo]]="Sell",Registro_Ordini[[#This Row],[Prezzo]]/Registro_Ordini[[#This Row],[Price]]-1,Registro_Ordini[[#This Row],[Price]]/Registro_Ordini[[#This Row],[Prezzo]]-1))</f>
        <v>0.10573106842355928</v>
      </c>
      <c r="P528" s="15">
        <v>1.4683155549753583E-2</v>
      </c>
      <c r="Q528" s="3">
        <v>0.10830754408123734</v>
      </c>
      <c r="R528" s="3">
        <v>0.34856155395773825</v>
      </c>
      <c r="S528" s="3">
        <v>0.43576288021511767</v>
      </c>
      <c r="T528" s="3">
        <v>0</v>
      </c>
      <c r="U528" s="3">
        <v>0.10736802174590654</v>
      </c>
      <c r="V528" s="3"/>
      <c r="W528" s="4"/>
    </row>
    <row r="529" spans="1:23" s="1" customFormat="1" ht="24.95" customHeight="1" x14ac:dyDescent="0.2">
      <c r="A529" s="8">
        <v>45833.722615740742</v>
      </c>
      <c r="B529" s="7">
        <v>45833.722615740742</v>
      </c>
      <c r="C529" s="9" t="s">
        <v>376</v>
      </c>
      <c r="D529" s="1" t="s">
        <v>388</v>
      </c>
      <c r="E529" s="1" t="s">
        <v>397</v>
      </c>
      <c r="F529" s="1" t="s">
        <v>432</v>
      </c>
      <c r="G529" s="1" t="s">
        <v>371</v>
      </c>
      <c r="H529" s="2">
        <v>20</v>
      </c>
      <c r="I529" s="16">
        <v>251.96</v>
      </c>
      <c r="J529" s="1" t="s">
        <v>369</v>
      </c>
      <c r="K529" s="6">
        <f>Registro_Ordini[[#This Row],[Numero]]*Registro_Ordini[[#This Row],[Prezzo]]</f>
        <v>5039.2</v>
      </c>
      <c r="L529" s="10">
        <v>1.0000001300000001</v>
      </c>
      <c r="M529" s="6">
        <f>Registro_Ordini[[#This Row],[Importo]]*Registro_Ordini[[#This Row],[Cambio]]</f>
        <v>5039.2006550960004</v>
      </c>
      <c r="N529" s="1">
        <f ca="1">IFERROR(_xlfn.NUMBERVALUE(OFFSET(Origine,MATCH(Registro_Ordini[[#This Row],[Titolo]],Descrizioni,0),MATCH("Price",Intestazioni,0)-1,1,1)),"")</f>
        <v>278.60000000000002</v>
      </c>
      <c r="O529" s="18">
        <f ca="1">IF(OR(Registro_Ordini[[#This Row],[Price]]=0,Registro_Ordini[[#This Row],[Price]]=""),"",IF(Registro_Ordini[[#This Row],[Tipo]]="Sell",Registro_Ordini[[#This Row],[Prezzo]]/Registro_Ordini[[#This Row],[Price]]-1,Registro_Ordini[[#This Row],[Price]]/Registro_Ordini[[#This Row],[Prezzo]]-1))</f>
        <v>0.10573106842355928</v>
      </c>
      <c r="P529" s="15">
        <v>1.795181130943781E-2</v>
      </c>
      <c r="Q529" s="3">
        <v>7.9462009441523124E-2</v>
      </c>
      <c r="R529" s="3">
        <v>0.35081031445277105</v>
      </c>
      <c r="S529" s="3">
        <v>0.43941039438933388</v>
      </c>
      <c r="T529" s="3">
        <v>0</v>
      </c>
      <c r="U529" s="3">
        <v>0.13031728171637205</v>
      </c>
      <c r="V529" s="3"/>
      <c r="W529" s="4"/>
    </row>
    <row r="530" spans="1:23" s="1" customFormat="1" ht="24.95" customHeight="1" x14ac:dyDescent="0.2">
      <c r="A530" s="8">
        <v>45833.722604166665</v>
      </c>
      <c r="B530" s="7">
        <v>45833.722604166665</v>
      </c>
      <c r="C530" s="9" t="s">
        <v>377</v>
      </c>
      <c r="D530" s="1" t="s">
        <v>388</v>
      </c>
      <c r="E530" s="1" t="s">
        <v>397</v>
      </c>
      <c r="F530" s="1" t="s">
        <v>432</v>
      </c>
      <c r="G530" s="1" t="s">
        <v>371</v>
      </c>
      <c r="H530" s="2">
        <v>100</v>
      </c>
      <c r="I530" s="16">
        <v>251.96</v>
      </c>
      <c r="J530" s="1" t="s">
        <v>369</v>
      </c>
      <c r="K530" s="6">
        <f>Registro_Ordini[[#This Row],[Numero]]*Registro_Ordini[[#This Row],[Prezzo]]</f>
        <v>25196</v>
      </c>
      <c r="L530" s="10">
        <v>1.0000001300000001</v>
      </c>
      <c r="M530" s="6">
        <f>Registro_Ordini[[#This Row],[Importo]]*Registro_Ordini[[#This Row],[Cambio]]</f>
        <v>25196.003275480001</v>
      </c>
      <c r="N530" s="1">
        <f ca="1">IFERROR(_xlfn.NUMBERVALUE(OFFSET(Origine,MATCH(Registro_Ordini[[#This Row],[Titolo]],Descrizioni,0),MATCH("Price",Intestazioni,0)-1,1,1)),"")</f>
        <v>278.60000000000002</v>
      </c>
      <c r="O530" s="18">
        <f ca="1">IF(OR(Registro_Ordini[[#This Row],[Price]]=0,Registro_Ordini[[#This Row],[Price]]=""),"",IF(Registro_Ordini[[#This Row],[Tipo]]="Sell",Registro_Ordini[[#This Row],[Prezzo]]/Registro_Ordini[[#This Row],[Price]]-1,Registro_Ordini[[#This Row],[Price]]/Registro_Ordini[[#This Row],[Prezzo]]-1))</f>
        <v>0.10573106842355928</v>
      </c>
      <c r="P530" s="15">
        <v>1.566193064099412E-2</v>
      </c>
      <c r="Q530" s="3">
        <v>0.10649560445302383</v>
      </c>
      <c r="R530" s="3">
        <v>0.32466624265969013</v>
      </c>
      <c r="S530" s="3">
        <v>0.46160372745797379</v>
      </c>
      <c r="T530" s="3">
        <v>0</v>
      </c>
      <c r="U530" s="3">
        <v>0.10723442542931212</v>
      </c>
      <c r="V530" s="3"/>
      <c r="W530" s="4"/>
    </row>
    <row r="531" spans="1:23" s="1" customFormat="1" ht="24.95" customHeight="1" x14ac:dyDescent="0.2">
      <c r="A531" s="8">
        <v>45833.722592592596</v>
      </c>
      <c r="B531" s="7">
        <v>45833.722592592596</v>
      </c>
      <c r="C531" s="9" t="s">
        <v>378</v>
      </c>
      <c r="D531" s="1" t="s">
        <v>388</v>
      </c>
      <c r="E531" s="1" t="s">
        <v>397</v>
      </c>
      <c r="F531" s="1" t="s">
        <v>432</v>
      </c>
      <c r="G531" s="1" t="s">
        <v>371</v>
      </c>
      <c r="H531" s="2">
        <v>30</v>
      </c>
      <c r="I531" s="16">
        <v>251.96</v>
      </c>
      <c r="J531" s="1" t="s">
        <v>369</v>
      </c>
      <c r="K531" s="6">
        <f>Registro_Ordini[[#This Row],[Numero]]*Registro_Ordini[[#This Row],[Prezzo]]</f>
        <v>7558.8</v>
      </c>
      <c r="L531" s="10">
        <v>1.0000001300000001</v>
      </c>
      <c r="M531" s="6">
        <f>Registro_Ordini[[#This Row],[Importo]]*Registro_Ordini[[#This Row],[Cambio]]</f>
        <v>7558.8009826440011</v>
      </c>
      <c r="N531" s="1">
        <f ca="1">IFERROR(_xlfn.NUMBERVALUE(OFFSET(Origine,MATCH(Registro_Ordini[[#This Row],[Titolo]],Descrizioni,0),MATCH("Price",Intestazioni,0)-1,1,1)),"")</f>
        <v>278.60000000000002</v>
      </c>
      <c r="O531" s="18">
        <f ca="1">IF(OR(Registro_Ordini[[#This Row],[Price]]=0,Registro_Ordini[[#This Row],[Price]]=""),"",IF(Registro_Ordini[[#This Row],[Tipo]]="Sell",Registro_Ordini[[#This Row],[Prezzo]]/Registro_Ordini[[#This Row],[Price]]-1,Registro_Ordini[[#This Row],[Price]]/Registro_Ordini[[#This Row],[Prezzo]]-1))</f>
        <v>0.10573106842355928</v>
      </c>
      <c r="P531" s="15">
        <v>1.4463689090405078E-2</v>
      </c>
      <c r="Q531" s="3">
        <v>0.12075461030051285</v>
      </c>
      <c r="R531" s="3">
        <v>0.33149051002912666</v>
      </c>
      <c r="S531" s="3">
        <v>0.44561108284872425</v>
      </c>
      <c r="T531" s="3">
        <v>0</v>
      </c>
      <c r="U531" s="3">
        <v>0.10214379682163627</v>
      </c>
      <c r="V531" s="3"/>
      <c r="W531" s="4"/>
    </row>
    <row r="532" spans="1:23" s="1" customFormat="1" ht="24.95" customHeight="1" x14ac:dyDescent="0.2">
      <c r="A532" s="8">
        <v>45833.721620370372</v>
      </c>
      <c r="B532" s="7">
        <v>45833.721620370372</v>
      </c>
      <c r="C532" s="9" t="s">
        <v>379</v>
      </c>
      <c r="D532" s="1" t="s">
        <v>388</v>
      </c>
      <c r="E532" s="1" t="s">
        <v>397</v>
      </c>
      <c r="F532" s="1" t="s">
        <v>419</v>
      </c>
      <c r="G532" s="1" t="s">
        <v>365</v>
      </c>
      <c r="H532" s="2">
        <v>-140</v>
      </c>
      <c r="I532" s="16">
        <v>80.244</v>
      </c>
      <c r="J532" s="1" t="s">
        <v>369</v>
      </c>
      <c r="K532" s="6">
        <f>Registro_Ordini[[#This Row],[Numero]]*Registro_Ordini[[#This Row],[Prezzo]]</f>
        <v>-11234.16</v>
      </c>
      <c r="L532" s="10">
        <v>1.0675022700000001</v>
      </c>
      <c r="M532" s="6">
        <f>Registro_Ordini[[#This Row],[Importo]]*Registro_Ordini[[#This Row],[Cambio]]</f>
        <v>-11992.491301543201</v>
      </c>
      <c r="N532" s="1">
        <f ca="1">IFERROR(_xlfn.NUMBERVALUE(OFFSET(Origine,MATCH(Registro_Ordini[[#This Row],[Titolo]],Descrizioni,0),MATCH("Price",Intestazioni,0)-1,1,1)),"")</f>
        <v>81.25</v>
      </c>
      <c r="O532" s="18">
        <f ca="1">IF(OR(Registro_Ordini[[#This Row],[Price]]=0,Registro_Ordini[[#This Row],[Price]]=""),"",IF(Registro_Ordini[[#This Row],[Tipo]]="Sell",Registro_Ordini[[#This Row],[Prezzo]]/Registro_Ordini[[#This Row],[Price]]-1,Registro_Ordini[[#This Row],[Price]]/Registro_Ordini[[#This Row],[Prezzo]]-1))</f>
        <v>-1.2381538461538444E-2</v>
      </c>
      <c r="P532" s="15">
        <v>-2.1031647024573389E-2</v>
      </c>
      <c r="Q532" s="3">
        <v>0.19757398137905965</v>
      </c>
      <c r="R532" s="3">
        <v>0.28933540795665608</v>
      </c>
      <c r="S532" s="3">
        <v>0.40093827840216167</v>
      </c>
      <c r="T532" s="3">
        <v>0</v>
      </c>
      <c r="U532" s="3">
        <v>0.11215233226212265</v>
      </c>
      <c r="V532" s="3"/>
      <c r="W532" s="4"/>
    </row>
    <row r="533" spans="1:23" s="1" customFormat="1" ht="24.95" customHeight="1" x14ac:dyDescent="0.2">
      <c r="A533" s="8">
        <v>45833.721608796295</v>
      </c>
      <c r="B533" s="7">
        <v>45833.721608796295</v>
      </c>
      <c r="C533" s="9" t="s">
        <v>382</v>
      </c>
      <c r="D533" s="1" t="s">
        <v>388</v>
      </c>
      <c r="E533" s="1" t="s">
        <v>397</v>
      </c>
      <c r="F533" s="1" t="s">
        <v>419</v>
      </c>
      <c r="G533" s="1" t="s">
        <v>365</v>
      </c>
      <c r="H533" s="2">
        <v>-280</v>
      </c>
      <c r="I533" s="16">
        <v>80.244</v>
      </c>
      <c r="J533" s="1" t="s">
        <v>369</v>
      </c>
      <c r="K533" s="6">
        <f>Registro_Ordini[[#This Row],[Numero]]*Registro_Ordini[[#This Row],[Prezzo]]</f>
        <v>-22468.32</v>
      </c>
      <c r="L533" s="10">
        <v>1.0675022700000001</v>
      </c>
      <c r="M533" s="6">
        <f>Registro_Ordini[[#This Row],[Importo]]*Registro_Ordini[[#This Row],[Cambio]]</f>
        <v>-23984.982603086402</v>
      </c>
      <c r="N533" s="1">
        <f ca="1">IFERROR(_xlfn.NUMBERVALUE(OFFSET(Origine,MATCH(Registro_Ordini[[#This Row],[Titolo]],Descrizioni,0),MATCH("Price",Intestazioni,0)-1,1,1)),"")</f>
        <v>81.25</v>
      </c>
      <c r="O533" s="18">
        <f ca="1">IF(OR(Registro_Ordini[[#This Row],[Price]]=0,Registro_Ordini[[#This Row],[Price]]=""),"",IF(Registro_Ordini[[#This Row],[Tipo]]="Sell",Registro_Ordini[[#This Row],[Prezzo]]/Registro_Ordini[[#This Row],[Price]]-1,Registro_Ordini[[#This Row],[Price]]/Registro_Ordini[[#This Row],[Prezzo]]-1))</f>
        <v>-1.2381538461538444E-2</v>
      </c>
      <c r="P533" s="15">
        <v>-2.309077807815214E-2</v>
      </c>
      <c r="Q533" s="3">
        <v>0.18895414348786227</v>
      </c>
      <c r="R533" s="3">
        <v>0.28476151094895019</v>
      </c>
      <c r="S533" s="3">
        <v>0.40923756692108815</v>
      </c>
      <c r="T533" s="3">
        <v>0</v>
      </c>
      <c r="U533" s="3">
        <v>0.11704677864209938</v>
      </c>
      <c r="V533" s="3"/>
      <c r="W533" s="4"/>
    </row>
    <row r="534" spans="1:23" s="1" customFormat="1" ht="24.95" customHeight="1" x14ac:dyDescent="0.2">
      <c r="A534" s="8">
        <v>45833.721597222226</v>
      </c>
      <c r="B534" s="7">
        <v>45833.721597222226</v>
      </c>
      <c r="C534" s="9" t="s">
        <v>383</v>
      </c>
      <c r="D534" s="1" t="s">
        <v>388</v>
      </c>
      <c r="E534" s="1" t="s">
        <v>397</v>
      </c>
      <c r="F534" s="1" t="s">
        <v>419</v>
      </c>
      <c r="G534" s="1" t="s">
        <v>365</v>
      </c>
      <c r="H534" s="2">
        <v>-150</v>
      </c>
      <c r="I534" s="16">
        <v>80.244</v>
      </c>
      <c r="J534" s="1" t="s">
        <v>369</v>
      </c>
      <c r="K534" s="6">
        <f>Registro_Ordini[[#This Row],[Numero]]*Registro_Ordini[[#This Row],[Prezzo]]</f>
        <v>-12036.6</v>
      </c>
      <c r="L534" s="10">
        <v>1.0675022700000001</v>
      </c>
      <c r="M534" s="6">
        <f>Registro_Ordini[[#This Row],[Importo]]*Registro_Ordini[[#This Row],[Cambio]]</f>
        <v>-12849.097823082002</v>
      </c>
      <c r="N534" s="1">
        <f ca="1">IFERROR(_xlfn.NUMBERVALUE(OFFSET(Origine,MATCH(Registro_Ordini[[#This Row],[Titolo]],Descrizioni,0),MATCH("Price",Intestazioni,0)-1,1,1)),"")</f>
        <v>81.25</v>
      </c>
      <c r="O534" s="18">
        <f ca="1">IF(OR(Registro_Ordini[[#This Row],[Price]]=0,Registro_Ordini[[#This Row],[Price]]=""),"",IF(Registro_Ordini[[#This Row],[Tipo]]="Sell",Registro_Ordini[[#This Row],[Prezzo]]/Registro_Ordini[[#This Row],[Price]]-1,Registro_Ordini[[#This Row],[Price]]/Registro_Ordini[[#This Row],[Prezzo]]-1))</f>
        <v>-1.2381538461538444E-2</v>
      </c>
      <c r="P534" s="15">
        <v>-2.0331428352799247E-2</v>
      </c>
      <c r="Q534" s="3">
        <v>0.21638061669360817</v>
      </c>
      <c r="R534" s="3">
        <v>0.27245228232700047</v>
      </c>
      <c r="S534" s="3">
        <v>0.3981312005073166</v>
      </c>
      <c r="T534" s="3">
        <v>0</v>
      </c>
      <c r="U534" s="3">
        <v>0.11303590047207486</v>
      </c>
      <c r="V534" s="3"/>
      <c r="W534" s="4"/>
    </row>
    <row r="535" spans="1:23" s="1" customFormat="1" ht="24.95" customHeight="1" x14ac:dyDescent="0.2">
      <c r="A535" s="8">
        <v>45833.721331018518</v>
      </c>
      <c r="B535" s="7">
        <v>45833.721331018518</v>
      </c>
      <c r="C535" s="9" t="s">
        <v>78</v>
      </c>
      <c r="D535" s="1" t="s">
        <v>388</v>
      </c>
      <c r="E535" s="1" t="s">
        <v>397</v>
      </c>
      <c r="F535" s="1" t="s">
        <v>419</v>
      </c>
      <c r="G535" s="1" t="s">
        <v>365</v>
      </c>
      <c r="H535" s="2">
        <v>-115</v>
      </c>
      <c r="I535" s="16">
        <v>80.244</v>
      </c>
      <c r="J535" s="1" t="s">
        <v>369</v>
      </c>
      <c r="K535" s="6">
        <f>Registro_Ordini[[#This Row],[Numero]]*Registro_Ordini[[#This Row],[Prezzo]]</f>
        <v>-9228.06</v>
      </c>
      <c r="L535" s="10">
        <v>1.0000001199999999</v>
      </c>
      <c r="M535" s="6">
        <f>Registro_Ordini[[#This Row],[Importo]]*Registro_Ordini[[#This Row],[Cambio]]</f>
        <v>-9228.0611073671989</v>
      </c>
      <c r="N535" s="1">
        <f ca="1">IFERROR(_xlfn.NUMBERVALUE(OFFSET(Origine,MATCH(Registro_Ordini[[#This Row],[Titolo]],Descrizioni,0),MATCH("Price",Intestazioni,0)-1,1,1)),"")</f>
        <v>81.25</v>
      </c>
      <c r="O535" s="18">
        <f ca="1">IF(OR(Registro_Ordini[[#This Row],[Price]]=0,Registro_Ordini[[#This Row],[Price]]=""),"",IF(Registro_Ordini[[#This Row],[Tipo]]="Sell",Registro_Ordini[[#This Row],[Prezzo]]/Registro_Ordini[[#This Row],[Price]]-1,Registro_Ordini[[#This Row],[Price]]/Registro_Ordini[[#This Row],[Prezzo]]-1))</f>
        <v>-1.2381538461538444E-2</v>
      </c>
      <c r="P535" s="15">
        <v>-1.7812541675722129E-2</v>
      </c>
      <c r="Q535" s="3">
        <v>0.26515937729825828</v>
      </c>
      <c r="R535" s="3">
        <v>0.13489046173996302</v>
      </c>
      <c r="S535" s="3">
        <v>0.53443332540182786</v>
      </c>
      <c r="T535" s="3">
        <v>0</v>
      </c>
      <c r="U535" s="3">
        <v>6.5516835559950914E-2</v>
      </c>
      <c r="V535" s="3"/>
      <c r="W535" s="4"/>
    </row>
    <row r="536" spans="1:23" s="1" customFormat="1" ht="24.95" customHeight="1" x14ac:dyDescent="0.2">
      <c r="A536" s="8">
        <v>45833.72111111111</v>
      </c>
      <c r="B536" s="7">
        <v>45833.72111111111</v>
      </c>
      <c r="C536" s="9" t="s">
        <v>367</v>
      </c>
      <c r="D536" s="1" t="s">
        <v>388</v>
      </c>
      <c r="E536" s="1" t="s">
        <v>397</v>
      </c>
      <c r="F536" s="1" t="s">
        <v>419</v>
      </c>
      <c r="G536" s="1" t="s">
        <v>365</v>
      </c>
      <c r="H536" s="2">
        <v>-500</v>
      </c>
      <c r="I536" s="16">
        <v>80.144999999999996</v>
      </c>
      <c r="J536" s="1" t="s">
        <v>369</v>
      </c>
      <c r="K536" s="6">
        <f>Registro_Ordini[[#This Row],[Numero]]*Registro_Ordini[[#This Row],[Prezzo]]</f>
        <v>-40072.5</v>
      </c>
      <c r="L536" s="10">
        <v>1.0000001199999999</v>
      </c>
      <c r="M536" s="6">
        <f>Registro_Ordini[[#This Row],[Importo]]*Registro_Ordini[[#This Row],[Cambio]]</f>
        <v>-40072.504808699996</v>
      </c>
      <c r="N536" s="1">
        <f ca="1">IFERROR(_xlfn.NUMBERVALUE(OFFSET(Origine,MATCH(Registro_Ordini[[#This Row],[Titolo]],Descrizioni,0),MATCH("Price",Intestazioni,0)-1,1,1)),"")</f>
        <v>81.25</v>
      </c>
      <c r="O536" s="18">
        <f ca="1">IF(OR(Registro_Ordini[[#This Row],[Price]]=0,Registro_Ordini[[#This Row],[Price]]=""),"",IF(Registro_Ordini[[#This Row],[Tipo]]="Sell",Registro_Ordini[[#This Row],[Prezzo]]/Registro_Ordini[[#This Row],[Price]]-1,Registro_Ordini[[#This Row],[Price]]/Registro_Ordini[[#This Row],[Prezzo]]-1))</f>
        <v>-1.3600000000000056E-2</v>
      </c>
      <c r="P536" s="15">
        <v>-1.1635848285083199E-2</v>
      </c>
      <c r="Q536" s="3">
        <v>0.197976442575128</v>
      </c>
      <c r="R536" s="3">
        <v>0.3913980339788084</v>
      </c>
      <c r="S536" s="3">
        <v>0.35623105312288061</v>
      </c>
      <c r="T536" s="3">
        <v>0</v>
      </c>
      <c r="U536" s="3">
        <v>5.4394470323182974E-2</v>
      </c>
      <c r="V536" s="3"/>
      <c r="W536" s="4"/>
    </row>
    <row r="537" spans="1:23" s="1" customFormat="1" ht="24.95" customHeight="1" x14ac:dyDescent="0.2">
      <c r="A537" s="8">
        <v>45833.721099537041</v>
      </c>
      <c r="B537" s="7">
        <v>45833.721099537041</v>
      </c>
      <c r="C537" s="9" t="s">
        <v>375</v>
      </c>
      <c r="D537" s="1" t="s">
        <v>388</v>
      </c>
      <c r="E537" s="1" t="s">
        <v>397</v>
      </c>
      <c r="F537" s="1" t="s">
        <v>419</v>
      </c>
      <c r="G537" s="1" t="s">
        <v>365</v>
      </c>
      <c r="H537" s="2">
        <v>-185</v>
      </c>
      <c r="I537" s="16">
        <v>80.244</v>
      </c>
      <c r="J537" s="1" t="s">
        <v>369</v>
      </c>
      <c r="K537" s="6">
        <f>Registro_Ordini[[#This Row],[Numero]]*Registro_Ordini[[#This Row],[Prezzo]]</f>
        <v>-14845.14</v>
      </c>
      <c r="L537" s="10">
        <v>1.0000001199999999</v>
      </c>
      <c r="M537" s="6">
        <f>Registro_Ordini[[#This Row],[Importo]]*Registro_Ordini[[#This Row],[Cambio]]</f>
        <v>-14845.141781416798</v>
      </c>
      <c r="N537" s="1">
        <f ca="1">IFERROR(_xlfn.NUMBERVALUE(OFFSET(Origine,MATCH(Registro_Ordini[[#This Row],[Titolo]],Descrizioni,0),MATCH("Price",Intestazioni,0)-1,1,1)),"")</f>
        <v>81.25</v>
      </c>
      <c r="O537" s="18">
        <f ca="1">IF(OR(Registro_Ordini[[#This Row],[Price]]=0,Registro_Ordini[[#This Row],[Price]]=""),"",IF(Registro_Ordini[[#This Row],[Tipo]]="Sell",Registro_Ordini[[#This Row],[Prezzo]]/Registro_Ordini[[#This Row],[Price]]-1,Registro_Ordini[[#This Row],[Price]]/Registro_Ordini[[#This Row],[Prezzo]]-1))</f>
        <v>-1.2381538461538444E-2</v>
      </c>
      <c r="P537" s="15">
        <v>-1.804962081595636E-2</v>
      </c>
      <c r="Q537" s="3">
        <v>0.12299661469042254</v>
      </c>
      <c r="R537" s="3">
        <v>0.34857460404545643</v>
      </c>
      <c r="S537" s="3">
        <v>0.42105673967699558</v>
      </c>
      <c r="T537" s="3">
        <v>0</v>
      </c>
      <c r="U537" s="3">
        <v>0.10737204158712539</v>
      </c>
      <c r="V537" s="3"/>
      <c r="W537" s="4"/>
    </row>
    <row r="538" spans="1:23" s="1" customFormat="1" ht="24.95" customHeight="1" x14ac:dyDescent="0.2">
      <c r="A538" s="8">
        <v>45833.721087962964</v>
      </c>
      <c r="B538" s="7">
        <v>45833.721087962964</v>
      </c>
      <c r="C538" s="9" t="s">
        <v>376</v>
      </c>
      <c r="D538" s="1" t="s">
        <v>388</v>
      </c>
      <c r="E538" s="1" t="s">
        <v>397</v>
      </c>
      <c r="F538" s="1" t="s">
        <v>419</v>
      </c>
      <c r="G538" s="1" t="s">
        <v>365</v>
      </c>
      <c r="H538" s="2">
        <v>-100</v>
      </c>
      <c r="I538" s="16">
        <v>80.244</v>
      </c>
      <c r="J538" s="1" t="s">
        <v>369</v>
      </c>
      <c r="K538" s="6">
        <f>Registro_Ordini[[#This Row],[Numero]]*Registro_Ordini[[#This Row],[Prezzo]]</f>
        <v>-8024.4</v>
      </c>
      <c r="L538" s="10">
        <v>1.0000001199999999</v>
      </c>
      <c r="M538" s="6">
        <f>Registro_Ordini[[#This Row],[Importo]]*Registro_Ordini[[#This Row],[Cambio]]</f>
        <v>-8024.400962927999</v>
      </c>
      <c r="N538" s="1">
        <f ca="1">IFERROR(_xlfn.NUMBERVALUE(OFFSET(Origine,MATCH(Registro_Ordini[[#This Row],[Titolo]],Descrizioni,0),MATCH("Price",Intestazioni,0)-1,1,1)),"")</f>
        <v>81.25</v>
      </c>
      <c r="O538" s="18">
        <f ca="1">IF(OR(Registro_Ordini[[#This Row],[Price]]=0,Registro_Ordini[[#This Row],[Price]]=""),"",IF(Registro_Ordini[[#This Row],[Tipo]]="Sell",Registro_Ordini[[#This Row],[Prezzo]]/Registro_Ordini[[#This Row],[Price]]-1,Registro_Ordini[[#This Row],[Price]]/Registro_Ordini[[#This Row],[Prezzo]]-1))</f>
        <v>-1.2381538461538444E-2</v>
      </c>
      <c r="P538" s="15">
        <v>-2.8628611042971999E-2</v>
      </c>
      <c r="Q538" s="3">
        <v>9.7420816370870286E-2</v>
      </c>
      <c r="R538" s="3">
        <v>0.35082652400947717</v>
      </c>
      <c r="S538" s="3">
        <v>0.42142935567878248</v>
      </c>
      <c r="T538" s="3">
        <v>0</v>
      </c>
      <c r="U538" s="3">
        <v>0.13032330394087002</v>
      </c>
      <c r="V538" s="3"/>
      <c r="W538" s="4"/>
    </row>
    <row r="539" spans="1:23" s="1" customFormat="1" ht="24.95" customHeight="1" x14ac:dyDescent="0.2">
      <c r="A539" s="8">
        <v>45833.721076388887</v>
      </c>
      <c r="B539" s="7">
        <v>45833.721076388887</v>
      </c>
      <c r="C539" s="9" t="s">
        <v>378</v>
      </c>
      <c r="D539" s="1" t="s">
        <v>388</v>
      </c>
      <c r="E539" s="1" t="s">
        <v>397</v>
      </c>
      <c r="F539" s="1" t="s">
        <v>419</v>
      </c>
      <c r="G539" s="1" t="s">
        <v>365</v>
      </c>
      <c r="H539" s="2">
        <v>-100</v>
      </c>
      <c r="I539" s="16">
        <v>80.244</v>
      </c>
      <c r="J539" s="1" t="s">
        <v>369</v>
      </c>
      <c r="K539" s="6">
        <f>Registro_Ordini[[#This Row],[Numero]]*Registro_Ordini[[#This Row],[Prezzo]]</f>
        <v>-8024.4</v>
      </c>
      <c r="L539" s="10">
        <v>1.0000001199999999</v>
      </c>
      <c r="M539" s="6">
        <f>Registro_Ordini[[#This Row],[Importo]]*Registro_Ordini[[#This Row],[Cambio]]</f>
        <v>-8024.400962927999</v>
      </c>
      <c r="N539" s="1">
        <f ca="1">IFERROR(_xlfn.NUMBERVALUE(OFFSET(Origine,MATCH(Registro_Ordini[[#This Row],[Titolo]],Descrizioni,0),MATCH("Price",Intestazioni,0)-1,1,1)),"")</f>
        <v>81.25</v>
      </c>
      <c r="O539" s="18">
        <f ca="1">IF(OR(Registro_Ordini[[#This Row],[Price]]=0,Registro_Ordini[[#This Row],[Price]]=""),"",IF(Registro_Ordini[[#This Row],[Tipo]]="Sell",Registro_Ordini[[#This Row],[Prezzo]]/Registro_Ordini[[#This Row],[Price]]-1,Registro_Ordini[[#This Row],[Price]]/Registro_Ordini[[#This Row],[Prezzo]]-1))</f>
        <v>-1.2381538461538444E-2</v>
      </c>
      <c r="P539" s="15">
        <v>-1.5377316466749759E-2</v>
      </c>
      <c r="Q539" s="3">
        <v>0.13522766055412783</v>
      </c>
      <c r="R539" s="3">
        <v>0.33150638432239765</v>
      </c>
      <c r="S539" s="3">
        <v>0.43111726658282379</v>
      </c>
      <c r="T539" s="3">
        <v>0</v>
      </c>
      <c r="U539" s="3">
        <v>0.10214868854065079</v>
      </c>
      <c r="V539" s="3"/>
      <c r="W539" s="4"/>
    </row>
    <row r="540" spans="1:23" s="1" customFormat="1" ht="24.95" customHeight="1" x14ac:dyDescent="0.2">
      <c r="A540" s="8">
        <v>45833.721076388887</v>
      </c>
      <c r="B540" s="7">
        <v>45833.721076388887</v>
      </c>
      <c r="C540" s="9" t="s">
        <v>377</v>
      </c>
      <c r="D540" s="1" t="s">
        <v>388</v>
      </c>
      <c r="E540" s="1" t="s">
        <v>397</v>
      </c>
      <c r="F540" s="1" t="s">
        <v>419</v>
      </c>
      <c r="G540" s="1" t="s">
        <v>365</v>
      </c>
      <c r="H540" s="2">
        <v>-300</v>
      </c>
      <c r="I540" s="16">
        <v>80.244</v>
      </c>
      <c r="J540" s="1" t="s">
        <v>369</v>
      </c>
      <c r="K540" s="6">
        <f>Registro_Ordini[[#This Row],[Numero]]*Registro_Ordini[[#This Row],[Prezzo]]</f>
        <v>-24073.200000000001</v>
      </c>
      <c r="L540" s="10">
        <v>1.0000001199999999</v>
      </c>
      <c r="M540" s="6">
        <f>Registro_Ordini[[#This Row],[Importo]]*Registro_Ordini[[#This Row],[Cambio]]</f>
        <v>-24073.202888783999</v>
      </c>
      <c r="N540" s="1">
        <f ca="1">IFERROR(_xlfn.NUMBERVALUE(OFFSET(Origine,MATCH(Registro_Ordini[[#This Row],[Titolo]],Descrizioni,0),MATCH("Price",Intestazioni,0)-1,1,1)),"")</f>
        <v>81.25</v>
      </c>
      <c r="O540" s="18">
        <f ca="1">IF(OR(Registro_Ordini[[#This Row],[Price]]=0,Registro_Ordini[[#This Row],[Price]]=""),"",IF(Registro_Ordini[[#This Row],[Tipo]]="Sell",Registro_Ordini[[#This Row],[Prezzo]]/Registro_Ordini[[#This Row],[Price]]-1,Registro_Ordini[[#This Row],[Price]]/Registro_Ordini[[#This Row],[Prezzo]]-1))</f>
        <v>-1.2381538461538444E-2</v>
      </c>
      <c r="P540" s="15">
        <v>-1.498593072808369E-2</v>
      </c>
      <c r="Q540" s="3">
        <v>0.12216472576932461</v>
      </c>
      <c r="R540" s="3">
        <v>0.32467763376117004</v>
      </c>
      <c r="S540" s="3">
        <v>0.44591945265882521</v>
      </c>
      <c r="T540" s="3">
        <v>0</v>
      </c>
      <c r="U540" s="3">
        <v>0.10723818781068013</v>
      </c>
      <c r="V540" s="3"/>
      <c r="W540" s="4"/>
    </row>
    <row r="541" spans="1:23" s="1" customFormat="1" ht="24.95" customHeight="1" x14ac:dyDescent="0.2">
      <c r="A541" s="8">
        <v>45833.720092592594</v>
      </c>
      <c r="B541" s="7">
        <v>45833.720092592594</v>
      </c>
      <c r="C541" s="9" t="s">
        <v>379</v>
      </c>
      <c r="D541" s="1" t="s">
        <v>388</v>
      </c>
      <c r="E541" s="1" t="s">
        <v>389</v>
      </c>
      <c r="F541" s="1" t="s">
        <v>414</v>
      </c>
      <c r="G541" s="1" t="s">
        <v>371</v>
      </c>
      <c r="H541" s="2">
        <v>130</v>
      </c>
      <c r="I541" s="16">
        <v>124.38945</v>
      </c>
      <c r="J541" s="1" t="s">
        <v>366</v>
      </c>
      <c r="K541" s="6">
        <f>Registro_Ordini[[#This Row],[Numero]]*Registro_Ordini[[#This Row],[Prezzo]]</f>
        <v>16170.628499999999</v>
      </c>
      <c r="L541" s="10">
        <v>0.86019999999999996</v>
      </c>
      <c r="M541" s="6">
        <f>Registro_Ordini[[#This Row],[Importo]]*Registro_Ordini[[#This Row],[Cambio]]</f>
        <v>13909.974635699999</v>
      </c>
      <c r="N541" s="1">
        <f ca="1">IFERROR(_xlfn.NUMBERVALUE(OFFSET(Origine,MATCH(Registro_Ordini[[#This Row],[Titolo]],Descrizioni,0),MATCH("Price",Intestazioni,0)-1,1,1)),"")</f>
        <v>137.36000000000001</v>
      </c>
      <c r="O541" s="18">
        <f ca="1">IF(OR(Registro_Ordini[[#This Row],[Price]]=0,Registro_Ordini[[#This Row],[Price]]=""),"",IF(Registro_Ordini[[#This Row],[Tipo]]="Sell",Registro_Ordini[[#This Row],[Prezzo]]/Registro_Ordini[[#This Row],[Price]]-1,Registro_Ordini[[#This Row],[Price]]/Registro_Ordini[[#This Row],[Prezzo]]-1))</f>
        <v>0.10427371453125667</v>
      </c>
      <c r="P541" s="15">
        <v>2.439964172268555E-2</v>
      </c>
      <c r="Q541" s="3">
        <v>0.17658058406958491</v>
      </c>
      <c r="R541" s="3">
        <v>0.28941331927040759</v>
      </c>
      <c r="S541" s="3">
        <v>0.42184272296156555</v>
      </c>
      <c r="T541" s="3">
        <v>0</v>
      </c>
      <c r="U541" s="3">
        <v>0.11216337369844193</v>
      </c>
      <c r="V541" s="3"/>
      <c r="W541" s="4"/>
    </row>
    <row r="542" spans="1:23" s="1" customFormat="1" ht="24.95" customHeight="1" x14ac:dyDescent="0.2">
      <c r="A542" s="8">
        <v>45833.720081018517</v>
      </c>
      <c r="B542" s="7">
        <v>45833.720081018517</v>
      </c>
      <c r="C542" s="9" t="s">
        <v>382</v>
      </c>
      <c r="D542" s="1" t="s">
        <v>388</v>
      </c>
      <c r="E542" s="1" t="s">
        <v>389</v>
      </c>
      <c r="F542" s="1" t="s">
        <v>414</v>
      </c>
      <c r="G542" s="1" t="s">
        <v>371</v>
      </c>
      <c r="H542" s="2">
        <v>240</v>
      </c>
      <c r="I542" s="16">
        <v>124.38945</v>
      </c>
      <c r="J542" s="1" t="s">
        <v>366</v>
      </c>
      <c r="K542" s="6">
        <f>Registro_Ordini[[#This Row],[Numero]]*Registro_Ordini[[#This Row],[Prezzo]]</f>
        <v>29853.468000000001</v>
      </c>
      <c r="L542" s="10">
        <v>0.86019999999999996</v>
      </c>
      <c r="M542" s="6">
        <f>Registro_Ordini[[#This Row],[Importo]]*Registro_Ordini[[#This Row],[Cambio]]</f>
        <v>25679.953173599999</v>
      </c>
      <c r="N542" s="1">
        <f ca="1">IFERROR(_xlfn.NUMBERVALUE(OFFSET(Origine,MATCH(Registro_Ordini[[#This Row],[Titolo]],Descrizioni,0),MATCH("Price",Intestazioni,0)-1,1,1)),"")</f>
        <v>137.36000000000001</v>
      </c>
      <c r="O542" s="18">
        <f ca="1">IF(OR(Registro_Ordini[[#This Row],[Price]]=0,Registro_Ordini[[#This Row],[Price]]=""),"",IF(Registro_Ordini[[#This Row],[Tipo]]="Sell",Registro_Ordini[[#This Row],[Prezzo]]/Registro_Ordini[[#This Row],[Price]]-1,Registro_Ordini[[#This Row],[Price]]/Registro_Ordini[[#This Row],[Prezzo]]-1))</f>
        <v>0.10427371453125667</v>
      </c>
      <c r="P542" s="15">
        <v>2.4728445097547146E-2</v>
      </c>
      <c r="Q542" s="3">
        <v>0.16589891202186988</v>
      </c>
      <c r="R542" s="3">
        <v>0.28484233142240739</v>
      </c>
      <c r="S542" s="3">
        <v>0.43219163757568624</v>
      </c>
      <c r="T542" s="3">
        <v>0</v>
      </c>
      <c r="U542" s="3">
        <v>0.11706711898003652</v>
      </c>
      <c r="V542" s="3"/>
      <c r="W542" s="4"/>
    </row>
    <row r="543" spans="1:23" s="1" customFormat="1" ht="24.95" customHeight="1" x14ac:dyDescent="0.2">
      <c r="A543" s="8">
        <v>45833.720069444447</v>
      </c>
      <c r="B543" s="7">
        <v>45833.720069444447</v>
      </c>
      <c r="C543" s="9" t="s">
        <v>383</v>
      </c>
      <c r="D543" s="1" t="s">
        <v>388</v>
      </c>
      <c r="E543" s="1" t="s">
        <v>389</v>
      </c>
      <c r="F543" s="1" t="s">
        <v>414</v>
      </c>
      <c r="G543" s="1" t="s">
        <v>371</v>
      </c>
      <c r="H543" s="2">
        <v>150</v>
      </c>
      <c r="I543" s="16">
        <v>124.38945</v>
      </c>
      <c r="J543" s="1" t="s">
        <v>366</v>
      </c>
      <c r="K543" s="6">
        <f>Registro_Ordini[[#This Row],[Numero]]*Registro_Ordini[[#This Row],[Prezzo]]</f>
        <v>18658.4175</v>
      </c>
      <c r="L543" s="10">
        <v>0.86019999999999996</v>
      </c>
      <c r="M543" s="6">
        <f>Registro_Ordini[[#This Row],[Importo]]*Registro_Ordini[[#This Row],[Cambio]]</f>
        <v>16049.970733499998</v>
      </c>
      <c r="N543" s="1">
        <f ca="1">IFERROR(_xlfn.NUMBERVALUE(OFFSET(Origine,MATCH(Registro_Ordini[[#This Row],[Titolo]],Descrizioni,0),MATCH("Price",Intestazioni,0)-1,1,1)),"")</f>
        <v>137.36000000000001</v>
      </c>
      <c r="O543" s="18">
        <f ca="1">IF(OR(Registro_Ordini[[#This Row],[Price]]=0,Registro_Ordini[[#This Row],[Price]]=""),"",IF(Registro_Ordini[[#This Row],[Tipo]]="Sell",Registro_Ordini[[#This Row],[Prezzo]]/Registro_Ordini[[#This Row],[Price]]-1,Registro_Ordini[[#This Row],[Price]]/Registro_Ordini[[#This Row],[Prezzo]]-1))</f>
        <v>0.10427371453125667</v>
      </c>
      <c r="P543" s="15">
        <v>2.5401561206495515E-2</v>
      </c>
      <c r="Q543" s="3">
        <v>0.19608620196063412</v>
      </c>
      <c r="R543" s="3">
        <v>0.27252356403884948</v>
      </c>
      <c r="S543" s="3">
        <v>0.41833656772730443</v>
      </c>
      <c r="T543" s="3">
        <v>0</v>
      </c>
      <c r="U543" s="3">
        <v>0.1130536662732121</v>
      </c>
      <c r="V543" s="3"/>
      <c r="W543" s="4"/>
    </row>
    <row r="544" spans="1:23" s="1" customFormat="1" ht="24.95" customHeight="1" x14ac:dyDescent="0.2">
      <c r="A544" s="8">
        <v>45833.719560185185</v>
      </c>
      <c r="B544" s="7">
        <v>45833.719560185185</v>
      </c>
      <c r="C544" s="9" t="s">
        <v>78</v>
      </c>
      <c r="D544" s="1" t="s">
        <v>388</v>
      </c>
      <c r="E544" s="1" t="s">
        <v>389</v>
      </c>
      <c r="F544" s="1" t="s">
        <v>414</v>
      </c>
      <c r="G544" s="1" t="s">
        <v>371</v>
      </c>
      <c r="H544" s="2">
        <v>130</v>
      </c>
      <c r="I544" s="16">
        <v>124.3895</v>
      </c>
      <c r="J544" s="1" t="s">
        <v>366</v>
      </c>
      <c r="K544" s="6">
        <f>Registro_Ordini[[#This Row],[Numero]]*Registro_Ordini[[#This Row],[Prezzo]]</f>
        <v>16170.635</v>
      </c>
      <c r="L544" s="10">
        <v>0.80574999999999997</v>
      </c>
      <c r="M544" s="6">
        <f>Registro_Ordini[[#This Row],[Importo]]*Registro_Ordini[[#This Row],[Cambio]]</f>
        <v>13029.48915125</v>
      </c>
      <c r="N544" s="1">
        <f ca="1">IFERROR(_xlfn.NUMBERVALUE(OFFSET(Origine,MATCH(Registro_Ordini[[#This Row],[Titolo]],Descrizioni,0),MATCH("Price",Intestazioni,0)-1,1,1)),"")</f>
        <v>137.36000000000001</v>
      </c>
      <c r="O544" s="18">
        <f ca="1">IF(OR(Registro_Ordini[[#This Row],[Price]]=0,Registro_Ordini[[#This Row],[Price]]=""),"",IF(Registro_Ordini[[#This Row],[Tipo]]="Sell",Registro_Ordini[[#This Row],[Prezzo]]/Registro_Ordini[[#This Row],[Price]]-1,Registro_Ordini[[#This Row],[Price]]/Registro_Ordini[[#This Row],[Prezzo]]-1))</f>
        <v>0.1042732706538736</v>
      </c>
      <c r="P544" s="15">
        <v>2.4535726392213783E-2</v>
      </c>
      <c r="Q544" s="3">
        <v>0.2413039299837588</v>
      </c>
      <c r="R544" s="3">
        <v>0.13159437959989925</v>
      </c>
      <c r="S544" s="3">
        <v>0.56318577510514034</v>
      </c>
      <c r="T544" s="3">
        <v>0</v>
      </c>
      <c r="U544" s="3">
        <v>6.3915915311201624E-2</v>
      </c>
      <c r="V544" s="3"/>
      <c r="W544" s="4"/>
    </row>
    <row r="545" spans="1:23" s="1" customFormat="1" ht="24.95" customHeight="1" x14ac:dyDescent="0.2">
      <c r="A545" s="8">
        <v>45833.719340277778</v>
      </c>
      <c r="B545" s="7">
        <v>45833.719340277778</v>
      </c>
      <c r="C545" s="9" t="s">
        <v>367</v>
      </c>
      <c r="D545" s="1" t="s">
        <v>388</v>
      </c>
      <c r="E545" s="1" t="s">
        <v>389</v>
      </c>
      <c r="F545" s="1" t="s">
        <v>414</v>
      </c>
      <c r="G545" s="1" t="s">
        <v>371</v>
      </c>
      <c r="H545" s="2">
        <v>690</v>
      </c>
      <c r="I545" s="16">
        <v>124.59</v>
      </c>
      <c r="J545" s="1" t="s">
        <v>366</v>
      </c>
      <c r="K545" s="6">
        <f>Registro_Ordini[[#This Row],[Numero]]*Registro_Ordini[[#This Row],[Prezzo]]</f>
        <v>85967.1</v>
      </c>
      <c r="L545" s="10">
        <v>0.80584999999999996</v>
      </c>
      <c r="M545" s="6">
        <f>Registro_Ordini[[#This Row],[Importo]]*Registro_Ordini[[#This Row],[Cambio]]</f>
        <v>69276.587534999999</v>
      </c>
      <c r="N545" s="1">
        <f ca="1">IFERROR(_xlfn.NUMBERVALUE(OFFSET(Origine,MATCH(Registro_Ordini[[#This Row],[Titolo]],Descrizioni,0),MATCH("Price",Intestazioni,0)-1,1,1)),"")</f>
        <v>137.36000000000001</v>
      </c>
      <c r="O545" s="18">
        <f ca="1">IF(OR(Registro_Ordini[[#This Row],[Price]]=0,Registro_Ordini[[#This Row],[Price]]=""),"",IF(Registro_Ordini[[#This Row],[Tipo]]="Sell",Registro_Ordini[[#This Row],[Prezzo]]/Registro_Ordini[[#This Row],[Price]]-1,Registro_Ordini[[#This Row],[Price]]/Registro_Ordini[[#This Row],[Prezzo]]-1))</f>
        <v>0.10249618749498368</v>
      </c>
      <c r="P545" s="15">
        <v>2.0059333460398402E-2</v>
      </c>
      <c r="Q545" s="3">
        <v>0.18636213648755012</v>
      </c>
      <c r="R545" s="3">
        <v>0.39141069694716746</v>
      </c>
      <c r="S545" s="3">
        <v>0.36783093640838332</v>
      </c>
      <c r="T545" s="3">
        <v>0</v>
      </c>
      <c r="U545" s="3">
        <v>5.4396230156899067E-2</v>
      </c>
      <c r="V545" s="3"/>
      <c r="W545" s="4"/>
    </row>
    <row r="546" spans="1:23" s="1" customFormat="1" ht="24.95" customHeight="1" x14ac:dyDescent="0.2">
      <c r="A546" s="8">
        <v>45833.719328703701</v>
      </c>
      <c r="B546" s="7">
        <v>45833.719328703701</v>
      </c>
      <c r="C546" s="9" t="s">
        <v>375</v>
      </c>
      <c r="D546" s="1" t="s">
        <v>388</v>
      </c>
      <c r="E546" s="1" t="s">
        <v>389</v>
      </c>
      <c r="F546" s="1" t="s">
        <v>414</v>
      </c>
      <c r="G546" s="1" t="s">
        <v>371</v>
      </c>
      <c r="H546" s="2">
        <v>160</v>
      </c>
      <c r="I546" s="16">
        <v>124.3895</v>
      </c>
      <c r="J546" s="1" t="s">
        <v>366</v>
      </c>
      <c r="K546" s="6">
        <f>Registro_Ordini[[#This Row],[Numero]]*Registro_Ordini[[#This Row],[Prezzo]]</f>
        <v>19902.32</v>
      </c>
      <c r="L546" s="10">
        <v>0.80584999999999996</v>
      </c>
      <c r="M546" s="6">
        <f>Registro_Ordini[[#This Row],[Importo]]*Registro_Ordini[[#This Row],[Cambio]]</f>
        <v>16038.284571999999</v>
      </c>
      <c r="N546" s="1">
        <f ca="1">IFERROR(_xlfn.NUMBERVALUE(OFFSET(Origine,MATCH(Registro_Ordini[[#This Row],[Titolo]],Descrizioni,0),MATCH("Price",Intestazioni,0)-1,1,1)),"")</f>
        <v>137.36000000000001</v>
      </c>
      <c r="O546" s="18">
        <f ca="1">IF(OR(Registro_Ordini[[#This Row],[Price]]=0,Registro_Ordini[[#This Row],[Price]]=""),"",IF(Registro_Ordini[[#This Row],[Tipo]]="Sell",Registro_Ordini[[#This Row],[Prezzo]]/Registro_Ordini[[#This Row],[Price]]-1,Registro_Ordini[[#This Row],[Price]]/Registro_Ordini[[#This Row],[Prezzo]]-1))</f>
        <v>0.1042732706538736</v>
      </c>
      <c r="P546" s="15">
        <v>1.9501345828025301E-2</v>
      </c>
      <c r="Q546" s="3">
        <v>0.10495483409611459</v>
      </c>
      <c r="R546" s="3">
        <v>0.34859301345273785</v>
      </c>
      <c r="S546" s="3">
        <v>0.43907444018227632</v>
      </c>
      <c r="T546" s="3">
        <v>0</v>
      </c>
      <c r="U546" s="3">
        <v>0.10737771226887122</v>
      </c>
      <c r="V546" s="3"/>
      <c r="W546" s="4"/>
    </row>
    <row r="547" spans="1:23" s="1" customFormat="1" ht="24.95" customHeight="1" x14ac:dyDescent="0.2">
      <c r="A547" s="8">
        <v>45833.719317129631</v>
      </c>
      <c r="B547" s="7">
        <v>45833.719317129631</v>
      </c>
      <c r="C547" s="9" t="s">
        <v>377</v>
      </c>
      <c r="D547" s="1" t="s">
        <v>388</v>
      </c>
      <c r="E547" s="1" t="s">
        <v>389</v>
      </c>
      <c r="F547" s="1" t="s">
        <v>414</v>
      </c>
      <c r="G547" s="1" t="s">
        <v>371</v>
      </c>
      <c r="H547" s="2">
        <v>320</v>
      </c>
      <c r="I547" s="16">
        <v>124.3895</v>
      </c>
      <c r="J547" s="1" t="s">
        <v>366</v>
      </c>
      <c r="K547" s="6">
        <f>Registro_Ordini[[#This Row],[Numero]]*Registro_Ordini[[#This Row],[Prezzo]]</f>
        <v>39804.639999999999</v>
      </c>
      <c r="L547" s="10">
        <v>0.80584999999999996</v>
      </c>
      <c r="M547" s="6">
        <f>Registro_Ordini[[#This Row],[Importo]]*Registro_Ordini[[#This Row],[Cambio]]</f>
        <v>32076.569143999997</v>
      </c>
      <c r="N547" s="1">
        <f ca="1">IFERROR(_xlfn.NUMBERVALUE(OFFSET(Origine,MATCH(Registro_Ordini[[#This Row],[Titolo]],Descrizioni,0),MATCH("Price",Intestazioni,0)-1,1,1)),"")</f>
        <v>137.36000000000001</v>
      </c>
      <c r="O547" s="18">
        <f ca="1">IF(OR(Registro_Ordini[[#This Row],[Price]]=0,Registro_Ordini[[#This Row],[Price]]=""),"",IF(Registro_Ordini[[#This Row],[Tipo]]="Sell",Registro_Ordini[[#This Row],[Prezzo]]/Registro_Ordini[[#This Row],[Price]]-1,Registro_Ordini[[#This Row],[Price]]/Registro_Ordini[[#This Row],[Prezzo]]-1))</f>
        <v>0.1042732706538736</v>
      </c>
      <c r="P547" s="15">
        <v>1.9968806462355743E-2</v>
      </c>
      <c r="Q547" s="3">
        <v>0.10719018533414687</v>
      </c>
      <c r="R547" s="3">
        <v>0.32468836380628241</v>
      </c>
      <c r="S547" s="3">
        <v>0.46087971900866942</v>
      </c>
      <c r="T547" s="3">
        <v>0</v>
      </c>
      <c r="U547" s="3">
        <v>0.10724173185090134</v>
      </c>
      <c r="V547" s="3"/>
      <c r="W547" s="4"/>
    </row>
    <row r="548" spans="1:23" s="1" customFormat="1" ht="24.95" customHeight="1" x14ac:dyDescent="0.2">
      <c r="A548" s="8">
        <v>45833.719305555554</v>
      </c>
      <c r="B548" s="7">
        <v>45833.719317129631</v>
      </c>
      <c r="C548" s="9" t="s">
        <v>378</v>
      </c>
      <c r="D548" s="1" t="s">
        <v>388</v>
      </c>
      <c r="E548" s="1" t="s">
        <v>389</v>
      </c>
      <c r="F548" s="1" t="s">
        <v>414</v>
      </c>
      <c r="G548" s="1" t="s">
        <v>371</v>
      </c>
      <c r="H548" s="2">
        <v>100</v>
      </c>
      <c r="I548" s="16">
        <v>124.3895</v>
      </c>
      <c r="J548" s="1" t="s">
        <v>366</v>
      </c>
      <c r="K548" s="6">
        <f>Registro_Ordini[[#This Row],[Numero]]*Registro_Ordini[[#This Row],[Prezzo]]</f>
        <v>12438.95</v>
      </c>
      <c r="L548" s="10">
        <v>0.80584999999999996</v>
      </c>
      <c r="M548" s="6">
        <f>Registro_Ordini[[#This Row],[Importo]]*Registro_Ordini[[#This Row],[Cambio]]</f>
        <v>10023.927857500001</v>
      </c>
      <c r="N548" s="1">
        <f ca="1">IFERROR(_xlfn.NUMBERVALUE(OFFSET(Origine,MATCH(Registro_Ordini[[#This Row],[Titolo]],Descrizioni,0),MATCH("Price",Intestazioni,0)-1,1,1)),"")</f>
        <v>137.36000000000001</v>
      </c>
      <c r="O548" s="18">
        <f ca="1">IF(OR(Registro_Ordini[[#This Row],[Price]]=0,Registro_Ordini[[#This Row],[Price]]=""),"",IF(Registro_Ordini[[#This Row],[Tipo]]="Sell",Registro_Ordini[[#This Row],[Prezzo]]/Registro_Ordini[[#This Row],[Price]]-1,Registro_Ordini[[#This Row],[Price]]/Registro_Ordini[[#This Row],[Prezzo]]-1))</f>
        <v>0.1042732706538736</v>
      </c>
      <c r="P548" s="15">
        <v>1.9209750820554095E-2</v>
      </c>
      <c r="Q548" s="3">
        <v>0.11986034929506013</v>
      </c>
      <c r="R548" s="3">
        <v>0.3315184970521492</v>
      </c>
      <c r="S548" s="3">
        <v>0.44646506938699088</v>
      </c>
      <c r="T548" s="3">
        <v>0</v>
      </c>
      <c r="U548" s="3">
        <v>0.10215608426579967</v>
      </c>
      <c r="V548" s="3"/>
      <c r="W548" s="4"/>
    </row>
    <row r="549" spans="1:23" s="1" customFormat="1" ht="24.95" customHeight="1" x14ac:dyDescent="0.2">
      <c r="A549" s="8">
        <v>45833.709733796299</v>
      </c>
      <c r="B549" s="7">
        <v>45833.709733796299</v>
      </c>
      <c r="C549" s="9" t="s">
        <v>78</v>
      </c>
      <c r="D549" s="1" t="s">
        <v>388</v>
      </c>
      <c r="E549" s="1" t="s">
        <v>389</v>
      </c>
      <c r="F549" s="1" t="s">
        <v>430</v>
      </c>
      <c r="G549" s="1" t="s">
        <v>365</v>
      </c>
      <c r="H549" s="2">
        <v>-195</v>
      </c>
      <c r="I549" s="16">
        <v>80.745000000000005</v>
      </c>
      <c r="J549" s="1" t="s">
        <v>366</v>
      </c>
      <c r="K549" s="6">
        <f>Registro_Ordini[[#This Row],[Numero]]*Registro_Ordini[[#This Row],[Prezzo]]</f>
        <v>-15745.275000000001</v>
      </c>
      <c r="L549" s="10">
        <v>0.80595000000000006</v>
      </c>
      <c r="M549" s="6">
        <f>Registro_Ordini[[#This Row],[Importo]]*Registro_Ordini[[#This Row],[Cambio]]</f>
        <v>-12689.904386250002</v>
      </c>
      <c r="N549" s="1">
        <f ca="1">IFERROR(_xlfn.NUMBERVALUE(OFFSET(Origine,MATCH(Registro_Ordini[[#This Row],[Titolo]],Descrizioni,0),MATCH("Price",Intestazioni,0)-1,1,1)),"")</f>
        <v>46.79</v>
      </c>
      <c r="O549" s="18">
        <f ca="1">IF(OR(Registro_Ordini[[#This Row],[Price]]=0,Registro_Ordini[[#This Row],[Price]]=""),"",IF(Registro_Ordini[[#This Row],[Tipo]]="Sell",Registro_Ordini[[#This Row],[Prezzo]]/Registro_Ordini[[#This Row],[Price]]-1,Registro_Ordini[[#This Row],[Price]]/Registro_Ordini[[#This Row],[Prezzo]]-1))</f>
        <v>0.72568924983970939</v>
      </c>
      <c r="P549" s="15">
        <v>-2.3887068962488687E-2</v>
      </c>
      <c r="Q549" s="3">
        <v>0.26575127965073003</v>
      </c>
      <c r="R549" s="3">
        <v>0.13150613433658129</v>
      </c>
      <c r="S549" s="3">
        <v>0.53885124630359793</v>
      </c>
      <c r="T549" s="3">
        <v>0</v>
      </c>
      <c r="U549" s="3">
        <v>6.3891339709090653E-2</v>
      </c>
      <c r="V549" s="3"/>
      <c r="W549" s="4"/>
    </row>
    <row r="550" spans="1:23" s="1" customFormat="1" ht="24.95" customHeight="1" x14ac:dyDescent="0.2">
      <c r="A550" s="8">
        <v>45833.708865740744</v>
      </c>
      <c r="B550" s="7">
        <v>45833.708865740744</v>
      </c>
      <c r="C550" s="9" t="s">
        <v>382</v>
      </c>
      <c r="D550" s="1" t="s">
        <v>388</v>
      </c>
      <c r="E550" s="1" t="s">
        <v>389</v>
      </c>
      <c r="F550" s="1" t="s">
        <v>430</v>
      </c>
      <c r="G550" s="1" t="s">
        <v>365</v>
      </c>
      <c r="H550" s="2">
        <v>-125</v>
      </c>
      <c r="I550" s="16">
        <v>80.745000000000005</v>
      </c>
      <c r="J550" s="1" t="s">
        <v>366</v>
      </c>
      <c r="K550" s="6">
        <f>Registro_Ordini[[#This Row],[Numero]]*Registro_Ordini[[#This Row],[Prezzo]]</f>
        <v>-10093.125</v>
      </c>
      <c r="L550" s="10">
        <v>0.86060000000000003</v>
      </c>
      <c r="M550" s="6">
        <f>Registro_Ordini[[#This Row],[Importo]]*Registro_Ordini[[#This Row],[Cambio]]</f>
        <v>-8686.1433749999997</v>
      </c>
      <c r="N550" s="1">
        <f ca="1">IFERROR(_xlfn.NUMBERVALUE(OFFSET(Origine,MATCH(Registro_Ordini[[#This Row],[Titolo]],Descrizioni,0),MATCH("Price",Intestazioni,0)-1,1,1)),"")</f>
        <v>46.79</v>
      </c>
      <c r="O550" s="18">
        <f ca="1">IF(OR(Registro_Ordini[[#This Row],[Price]]=0,Registro_Ordini[[#This Row],[Price]]=""),"",IF(Registro_Ordini[[#This Row],[Tipo]]="Sell",Registro_Ordini[[#This Row],[Prezzo]]/Registro_Ordini[[#This Row],[Price]]-1,Registro_Ordini[[#This Row],[Price]]/Registro_Ordini[[#This Row],[Prezzo]]-1))</f>
        <v>0.72568924983970939</v>
      </c>
      <c r="P550" s="15">
        <v>-8.3637120656791502E-3</v>
      </c>
      <c r="Q550" s="3">
        <v>0.19064547502165766</v>
      </c>
      <c r="R550" s="3">
        <v>0.28482232652931211</v>
      </c>
      <c r="S550" s="3">
        <v>0.40759288758513568</v>
      </c>
      <c r="T550" s="3">
        <v>0</v>
      </c>
      <c r="U550" s="3">
        <v>0.11693931086389452</v>
      </c>
      <c r="V550" s="3"/>
      <c r="W550" s="4"/>
    </row>
    <row r="551" spans="1:23" s="1" customFormat="1" ht="24.95" customHeight="1" x14ac:dyDescent="0.2">
      <c r="A551" s="8">
        <v>45833.707372685189</v>
      </c>
      <c r="B551" s="7">
        <v>45833.707372685189</v>
      </c>
      <c r="C551" s="9" t="s">
        <v>78</v>
      </c>
      <c r="D551" s="1" t="s">
        <v>388</v>
      </c>
      <c r="E551" s="1" t="s">
        <v>389</v>
      </c>
      <c r="F551" s="1" t="s">
        <v>400</v>
      </c>
      <c r="G551" s="1" t="s">
        <v>365</v>
      </c>
      <c r="H551" s="2">
        <v>-190</v>
      </c>
      <c r="I551" s="16">
        <v>80.644999999999996</v>
      </c>
      <c r="J551" s="1" t="s">
        <v>366</v>
      </c>
      <c r="K551" s="6">
        <f>Registro_Ordini[[#This Row],[Numero]]*Registro_Ordini[[#This Row],[Prezzo]]</f>
        <v>-15322.55</v>
      </c>
      <c r="L551" s="10">
        <v>0.80584999999999996</v>
      </c>
      <c r="M551" s="6">
        <f>Registro_Ordini[[#This Row],[Importo]]*Registro_Ordini[[#This Row],[Cambio]]</f>
        <v>-12347.676917499999</v>
      </c>
      <c r="N551" s="1">
        <f ca="1">IFERROR(_xlfn.NUMBERVALUE(OFFSET(Origine,MATCH(Registro_Ordini[[#This Row],[Titolo]],Descrizioni,0),MATCH("Price",Intestazioni,0)-1,1,1)),"")</f>
        <v>87.63</v>
      </c>
      <c r="O551" s="18">
        <f ca="1">IF(OR(Registro_Ordini[[#This Row],[Price]]=0,Registro_Ordini[[#This Row],[Price]]=""),"",IF(Registro_Ordini[[#This Row],[Tipo]]="Sell",Registro_Ordini[[#This Row],[Prezzo]]/Registro_Ordini[[#This Row],[Price]]-1,Registro_Ordini[[#This Row],[Price]]/Registro_Ordini[[#This Row],[Prezzo]]-1))</f>
        <v>-7.9710144927536253E-2</v>
      </c>
      <c r="P551" s="15">
        <v>-2.3244238533920332E-2</v>
      </c>
      <c r="Q551" s="3">
        <v>0.24187233652324677</v>
      </c>
      <c r="R551" s="3">
        <v>0.13151387330544964</v>
      </c>
      <c r="S551" s="3">
        <v>0.56271869053807366</v>
      </c>
      <c r="T551" s="3">
        <v>0</v>
      </c>
      <c r="U551" s="3">
        <v>6.3895099633230007E-2</v>
      </c>
      <c r="V551" s="3"/>
      <c r="W551" s="4"/>
    </row>
    <row r="552" spans="1:23" s="1" customFormat="1" ht="24.95" customHeight="1" x14ac:dyDescent="0.2">
      <c r="A552" s="8">
        <v>45833.706817129627</v>
      </c>
      <c r="B552" s="7">
        <v>45833.706817129627</v>
      </c>
      <c r="C552" s="9" t="s">
        <v>379</v>
      </c>
      <c r="D552" s="1" t="s">
        <v>388</v>
      </c>
      <c r="E552" s="1" t="s">
        <v>389</v>
      </c>
      <c r="F552" s="1" t="s">
        <v>400</v>
      </c>
      <c r="G552" s="1" t="s">
        <v>365</v>
      </c>
      <c r="H552" s="2">
        <v>-190</v>
      </c>
      <c r="I552" s="16">
        <v>80.644999999999996</v>
      </c>
      <c r="J552" s="1" t="s">
        <v>366</v>
      </c>
      <c r="K552" s="6">
        <f>Registro_Ordini[[#This Row],[Numero]]*Registro_Ordini[[#This Row],[Prezzo]]</f>
        <v>-15322.55</v>
      </c>
      <c r="L552" s="10">
        <v>0.86050000000000004</v>
      </c>
      <c r="M552" s="6">
        <f>Registro_Ordini[[#This Row],[Importo]]*Registro_Ordini[[#This Row],[Cambio]]</f>
        <v>-13185.054275</v>
      </c>
      <c r="N552" s="1">
        <f ca="1">IFERROR(_xlfn.NUMBERVALUE(OFFSET(Origine,MATCH(Registro_Ordini[[#This Row],[Titolo]],Descrizioni,0),MATCH("Price",Intestazioni,0)-1,1,1)),"")</f>
        <v>87.63</v>
      </c>
      <c r="O552" s="18">
        <f ca="1">IF(OR(Registro_Ordini[[#This Row],[Price]]=0,Registro_Ordini[[#This Row],[Price]]=""),"",IF(Registro_Ordini[[#This Row],[Tipo]]="Sell",Registro_Ordini[[#This Row],[Prezzo]]/Registro_Ordini[[#This Row],[Price]]-1,Registro_Ordini[[#This Row],[Price]]/Registro_Ordini[[#This Row],[Prezzo]]-1))</f>
        <v>-7.9710144927536253E-2</v>
      </c>
      <c r="P552" s="15">
        <v>-2.3126913484917102E-2</v>
      </c>
      <c r="Q552" s="3">
        <v>0.20099165690823612</v>
      </c>
      <c r="R552" s="3">
        <v>0.28939908709320628</v>
      </c>
      <c r="S552" s="3">
        <v>0.39760064773941733</v>
      </c>
      <c r="T552" s="3">
        <v>0</v>
      </c>
      <c r="U552" s="3">
        <v>0.11200860825914043</v>
      </c>
      <c r="V552" s="3"/>
      <c r="W552" s="4"/>
    </row>
    <row r="553" spans="1:23" s="1" customFormat="1" ht="24.95" customHeight="1" x14ac:dyDescent="0.2">
      <c r="A553" s="8">
        <v>45833.706805555557</v>
      </c>
      <c r="B553" s="7">
        <v>45833.706805555557</v>
      </c>
      <c r="C553" s="9" t="s">
        <v>382</v>
      </c>
      <c r="D553" s="1" t="s">
        <v>388</v>
      </c>
      <c r="E553" s="1" t="s">
        <v>389</v>
      </c>
      <c r="F553" s="1" t="s">
        <v>400</v>
      </c>
      <c r="G553" s="1" t="s">
        <v>365</v>
      </c>
      <c r="H553" s="2">
        <v>-360</v>
      </c>
      <c r="I553" s="16">
        <v>80.644999999999996</v>
      </c>
      <c r="J553" s="1" t="s">
        <v>366</v>
      </c>
      <c r="K553" s="6">
        <f>Registro_Ordini[[#This Row],[Numero]]*Registro_Ordini[[#This Row],[Prezzo]]</f>
        <v>-29032.199999999997</v>
      </c>
      <c r="L553" s="10">
        <v>0.86050000000000004</v>
      </c>
      <c r="M553" s="6">
        <f>Registro_Ordini[[#This Row],[Importo]]*Registro_Ordini[[#This Row],[Cambio]]</f>
        <v>-24982.2081</v>
      </c>
      <c r="N553" s="1">
        <f ca="1">IFERROR(_xlfn.NUMBERVALUE(OFFSET(Origine,MATCH(Registro_Ordini[[#This Row],[Titolo]],Descrizioni,0),MATCH("Price",Intestazioni,0)-1,1,1)),"")</f>
        <v>87.63</v>
      </c>
      <c r="O553" s="18">
        <f ca="1">IF(OR(Registro_Ordini[[#This Row],[Price]]=0,Registro_Ordini[[#This Row],[Price]]=""),"",IF(Registro_Ordini[[#This Row],[Tipo]]="Sell",Registro_Ordini[[#This Row],[Prezzo]]/Registro_Ordini[[#This Row],[Price]]-1,Registro_Ordini[[#This Row],[Price]]/Registro_Ordini[[#This Row],[Prezzo]]-1))</f>
        <v>-7.9710144927536253E-2</v>
      </c>
      <c r="P553" s="15">
        <v>-2.4054263880790454E-2</v>
      </c>
      <c r="Q553" s="3">
        <v>0.18227554237090696</v>
      </c>
      <c r="R553" s="3">
        <v>0.28481522387646485</v>
      </c>
      <c r="S553" s="3">
        <v>0.41598037176839947</v>
      </c>
      <c r="T553" s="3">
        <v>0</v>
      </c>
      <c r="U553" s="3">
        <v>0.11692886198422871</v>
      </c>
      <c r="V553" s="3"/>
      <c r="W553" s="4"/>
    </row>
    <row r="554" spans="1:23" s="1" customFormat="1" ht="24.95" customHeight="1" x14ac:dyDescent="0.2">
      <c r="A554" s="8">
        <v>45833.706793981481</v>
      </c>
      <c r="B554" s="7">
        <v>45833.706793981481</v>
      </c>
      <c r="C554" s="9" t="s">
        <v>383</v>
      </c>
      <c r="D554" s="1" t="s">
        <v>388</v>
      </c>
      <c r="E554" s="1" t="s">
        <v>389</v>
      </c>
      <c r="F554" s="1" t="s">
        <v>400</v>
      </c>
      <c r="G554" s="1" t="s">
        <v>365</v>
      </c>
      <c r="H554" s="2">
        <v>-210</v>
      </c>
      <c r="I554" s="16">
        <v>80.644999999999996</v>
      </c>
      <c r="J554" s="1" t="s">
        <v>366</v>
      </c>
      <c r="K554" s="6">
        <f>Registro_Ordini[[#This Row],[Numero]]*Registro_Ordini[[#This Row],[Prezzo]]</f>
        <v>-16935.45</v>
      </c>
      <c r="L554" s="10">
        <v>0.86050000000000004</v>
      </c>
      <c r="M554" s="6">
        <f>Registro_Ordini[[#This Row],[Importo]]*Registro_Ordini[[#This Row],[Cambio]]</f>
        <v>-14572.954725000001</v>
      </c>
      <c r="N554" s="1">
        <f ca="1">IFERROR(_xlfn.NUMBERVALUE(OFFSET(Origine,MATCH(Registro_Ordini[[#This Row],[Titolo]],Descrizioni,0),MATCH("Price",Intestazioni,0)-1,1,1)),"")</f>
        <v>87.63</v>
      </c>
      <c r="O554" s="18">
        <f ca="1">IF(OR(Registro_Ordini[[#This Row],[Price]]=0,Registro_Ordini[[#This Row],[Price]]=""),"",IF(Registro_Ordini[[#This Row],[Tipo]]="Sell",Registro_Ordini[[#This Row],[Prezzo]]/Registro_Ordini[[#This Row],[Price]]-1,Registro_Ordini[[#This Row],[Price]]/Registro_Ordini[[#This Row],[Prezzo]]-1))</f>
        <v>-7.9710144927536253E-2</v>
      </c>
      <c r="P554" s="15">
        <v>-2.3062802040621271E-2</v>
      </c>
      <c r="Q554" s="3">
        <v>0.22150529336744901</v>
      </c>
      <c r="R554" s="3">
        <v>0.27250994166530917</v>
      </c>
      <c r="S554" s="3">
        <v>0.39308767464978345</v>
      </c>
      <c r="T554" s="3">
        <v>0</v>
      </c>
      <c r="U554" s="3">
        <v>0.11289709031745837</v>
      </c>
      <c r="V554" s="3"/>
      <c r="W554" s="4"/>
    </row>
    <row r="555" spans="1:23" s="1" customFormat="1" ht="24.95" customHeight="1" x14ac:dyDescent="0.2">
      <c r="A555" s="8">
        <v>45818</v>
      </c>
      <c r="B555" s="7">
        <v>45831.830787037034</v>
      </c>
      <c r="C555" s="9" t="s">
        <v>367</v>
      </c>
      <c r="D555" s="1" t="s">
        <v>388</v>
      </c>
      <c r="E555" s="1" t="s">
        <v>403</v>
      </c>
      <c r="F555" s="1" t="s">
        <v>433</v>
      </c>
      <c r="G555" s="1" t="s">
        <v>365</v>
      </c>
      <c r="H555" s="2">
        <v>-720</v>
      </c>
      <c r="I555" s="16">
        <v>116.09</v>
      </c>
      <c r="J555" s="1" t="s">
        <v>381</v>
      </c>
      <c r="K555" s="6">
        <f>Registro_Ordini[[#This Row],[Numero]]*Registro_Ordini[[#This Row],[Prezzo]]</f>
        <v>-83584.800000000003</v>
      </c>
      <c r="L555" s="10">
        <v>0.93974999999999997</v>
      </c>
      <c r="M555" s="6">
        <f>Registro_Ordini[[#This Row],[Importo]]*Registro_Ordini[[#This Row],[Cambio]]</f>
        <v>-78548.815799999997</v>
      </c>
      <c r="N555" s="1">
        <f ca="1">IFERROR(_xlfn.NUMBERVALUE(OFFSET(Origine,MATCH(Registro_Ordini[[#This Row],[Titolo]],Descrizioni,0),MATCH("Price",Intestazioni,0)-1,1,1)),"")</f>
        <v>135.26</v>
      </c>
      <c r="O555" s="18">
        <f ca="1">IF(OR(Registro_Ordini[[#This Row],[Price]]=0,Registro_Ordini[[#This Row],[Price]]=""),"",IF(Registro_Ordini[[#This Row],[Tipo]]="Sell",Registro_Ordini[[#This Row],[Prezzo]]/Registro_Ordini[[#This Row],[Price]]-1,Registro_Ordini[[#This Row],[Price]]/Registro_Ordini[[#This Row],[Prezzo]]-1))</f>
        <v>-0.14172704421114879</v>
      </c>
      <c r="P555" s="15">
        <v>-2.2168009150866266E-2</v>
      </c>
      <c r="Q555" s="3">
        <v>0.22285331270519845</v>
      </c>
      <c r="R555" s="3">
        <v>0.38054867505242923</v>
      </c>
      <c r="S555" s="3">
        <v>0.34220549060434879</v>
      </c>
      <c r="T555" s="3">
        <v>0</v>
      </c>
      <c r="U555" s="3">
        <v>5.4392521638023481E-2</v>
      </c>
      <c r="V555" s="3"/>
      <c r="W555" s="4"/>
    </row>
    <row r="556" spans="1:23" s="1" customFormat="1" ht="24.95" customHeight="1" x14ac:dyDescent="0.2">
      <c r="A556" s="8">
        <v>45771.690983796296</v>
      </c>
      <c r="B556" s="7">
        <v>45771.690983796296</v>
      </c>
      <c r="C556" s="9" t="s">
        <v>383</v>
      </c>
      <c r="D556" s="1" t="s">
        <v>388</v>
      </c>
      <c r="E556" s="1" t="s">
        <v>403</v>
      </c>
      <c r="F556" s="1" t="s">
        <v>434</v>
      </c>
      <c r="G556" s="1" t="s">
        <v>371</v>
      </c>
      <c r="H556" s="2">
        <v>1120</v>
      </c>
      <c r="I556" s="16">
        <v>13.944000000000001</v>
      </c>
      <c r="J556" s="1" t="s">
        <v>381</v>
      </c>
      <c r="K556" s="6">
        <f>Registro_Ordini[[#This Row],[Numero]]*Registro_Ordini[[#This Row],[Prezzo]]</f>
        <v>15617.28</v>
      </c>
      <c r="L556" s="10">
        <v>1</v>
      </c>
      <c r="M556" s="6">
        <f>Registro_Ordini[[#This Row],[Importo]]*Registro_Ordini[[#This Row],[Cambio]]</f>
        <v>15617.28</v>
      </c>
      <c r="N556" s="1">
        <f ca="1">IFERROR(_xlfn.NUMBERVALUE(OFFSET(Origine,MATCH(Registro_Ordini[[#This Row],[Titolo]],Descrizioni,0),MATCH("Price",Intestazioni,0)-1,1,1)),"")</f>
        <v>14.614000000000001</v>
      </c>
      <c r="O556" s="18">
        <f ca="1">IF(OR(Registro_Ordini[[#This Row],[Price]]=0,Registro_Ordini[[#This Row],[Price]]=""),"",IF(Registro_Ordini[[#This Row],[Tipo]]="Sell",Registro_Ordini[[#This Row],[Prezzo]]/Registro_Ordini[[#This Row],[Price]]-1,Registro_Ordini[[#This Row],[Price]]/Registro_Ordini[[#This Row],[Prezzo]]-1))</f>
        <v>4.804934021801488E-2</v>
      </c>
      <c r="P556" s="15">
        <v>2.5180939896116153E-2</v>
      </c>
      <c r="Q556" s="3">
        <v>0.20161790729980342</v>
      </c>
      <c r="R556" s="3">
        <v>0.27558126664502025</v>
      </c>
      <c r="S556" s="3">
        <v>0.40661877494236998</v>
      </c>
      <c r="T556" s="3">
        <v>0</v>
      </c>
      <c r="U556" s="3">
        <v>0.11618205111280649</v>
      </c>
      <c r="V556" s="3"/>
      <c r="W556" s="4"/>
    </row>
    <row r="557" spans="1:23" s="1" customFormat="1" ht="24.95" customHeight="1" x14ac:dyDescent="0.2">
      <c r="A557" s="8">
        <v>45771.690983796296</v>
      </c>
      <c r="B557" s="7">
        <v>45771.690983796296</v>
      </c>
      <c r="C557" s="9" t="s">
        <v>78</v>
      </c>
      <c r="D557" s="1" t="s">
        <v>388</v>
      </c>
      <c r="E557" s="1" t="s">
        <v>403</v>
      </c>
      <c r="F557" s="1" t="s">
        <v>434</v>
      </c>
      <c r="G557" s="1" t="s">
        <v>371</v>
      </c>
      <c r="H557" s="2">
        <v>790</v>
      </c>
      <c r="I557" s="16">
        <v>13.944000000000001</v>
      </c>
      <c r="J557" s="1" t="s">
        <v>381</v>
      </c>
      <c r="K557" s="6">
        <f>Registro_Ordini[[#This Row],[Numero]]*Registro_Ordini[[#This Row],[Prezzo]]</f>
        <v>11015.76</v>
      </c>
      <c r="L557" s="10">
        <v>0.93964999999999999</v>
      </c>
      <c r="M557" s="6">
        <f>Registro_Ordini[[#This Row],[Importo]]*Registro_Ordini[[#This Row],[Cambio]]</f>
        <v>10350.958884</v>
      </c>
      <c r="N557" s="1">
        <f ca="1">IFERROR(_xlfn.NUMBERVALUE(OFFSET(Origine,MATCH(Registro_Ordini[[#This Row],[Titolo]],Descrizioni,0),MATCH("Price",Intestazioni,0)-1,1,1)),"")</f>
        <v>14.614000000000001</v>
      </c>
      <c r="O557" s="18">
        <f ca="1">IF(OR(Registro_Ordini[[#This Row],[Price]]=0,Registro_Ordini[[#This Row],[Price]]=""),"",IF(Registro_Ordini[[#This Row],[Tipo]]="Sell",Registro_Ordini[[#This Row],[Prezzo]]/Registro_Ordini[[#This Row],[Price]]-1,Registro_Ordini[[#This Row],[Price]]/Registro_Ordini[[#This Row],[Prezzo]]-1))</f>
        <v>4.804934021801488E-2</v>
      </c>
      <c r="P557" s="15">
        <v>2.0086906372620589E-2</v>
      </c>
      <c r="Q557" s="3">
        <v>0.22359081357679622</v>
      </c>
      <c r="R557" s="3">
        <v>0.13465569237538932</v>
      </c>
      <c r="S557" s="3">
        <v>0.57536222238041901</v>
      </c>
      <c r="T557" s="3">
        <v>0</v>
      </c>
      <c r="U557" s="3">
        <v>6.639127166739546E-2</v>
      </c>
      <c r="V557" s="3"/>
      <c r="W557" s="4"/>
    </row>
    <row r="558" spans="1:23" s="1" customFormat="1" ht="24.95" customHeight="1" x14ac:dyDescent="0.2">
      <c r="A558" s="8">
        <v>45771.690983796296</v>
      </c>
      <c r="B558" s="7">
        <v>45771.690983796296</v>
      </c>
      <c r="C558" s="9" t="s">
        <v>375</v>
      </c>
      <c r="D558" s="1" t="s">
        <v>388</v>
      </c>
      <c r="E558" s="1" t="s">
        <v>403</v>
      </c>
      <c r="F558" s="1" t="s">
        <v>434</v>
      </c>
      <c r="G558" s="1" t="s">
        <v>371</v>
      </c>
      <c r="H558" s="2">
        <v>1200</v>
      </c>
      <c r="I558" s="16">
        <v>13.944000000000001</v>
      </c>
      <c r="J558" s="1" t="s">
        <v>381</v>
      </c>
      <c r="K558" s="6">
        <f>Registro_Ordini[[#This Row],[Numero]]*Registro_Ordini[[#This Row],[Prezzo]]</f>
        <v>16732.8</v>
      </c>
      <c r="L558" s="10">
        <v>0.93964999999999999</v>
      </c>
      <c r="M558" s="6">
        <f>Registro_Ordini[[#This Row],[Importo]]*Registro_Ordini[[#This Row],[Cambio]]</f>
        <v>15722.97552</v>
      </c>
      <c r="N558" s="1">
        <f ca="1">IFERROR(_xlfn.NUMBERVALUE(OFFSET(Origine,MATCH(Registro_Ordini[[#This Row],[Titolo]],Descrizioni,0),MATCH("Price",Intestazioni,0)-1,1,1)),"")</f>
        <v>14.614000000000001</v>
      </c>
      <c r="O558" s="18">
        <f ca="1">IF(OR(Registro_Ordini[[#This Row],[Price]]=0,Registro_Ordini[[#This Row],[Price]]=""),"",IF(Registro_Ordini[[#This Row],[Tipo]]="Sell",Registro_Ordini[[#This Row],[Prezzo]]/Registro_Ordini[[#This Row],[Price]]-1,Registro_Ordini[[#This Row],[Price]]/Registro_Ordini[[#This Row],[Prezzo]]-1))</f>
        <v>4.804934021801488E-2</v>
      </c>
      <c r="P558" s="15">
        <v>1.9390322148009426E-2</v>
      </c>
      <c r="Q558" s="3">
        <v>0.12462881663958504</v>
      </c>
      <c r="R558" s="3">
        <v>0.3523254656255389</v>
      </c>
      <c r="S558" s="3">
        <v>0.41245545733882544</v>
      </c>
      <c r="T558" s="3">
        <v>0</v>
      </c>
      <c r="U558" s="3">
        <v>0.11059026039605045</v>
      </c>
      <c r="V558" s="3"/>
      <c r="W558" s="4"/>
    </row>
    <row r="559" spans="1:23" s="1" customFormat="1" ht="24.95" customHeight="1" x14ac:dyDescent="0.2">
      <c r="A559" s="8">
        <v>45771.690983796296</v>
      </c>
      <c r="B559" s="7">
        <v>45771.690983796296</v>
      </c>
      <c r="C559" s="9" t="s">
        <v>382</v>
      </c>
      <c r="D559" s="1" t="s">
        <v>388</v>
      </c>
      <c r="E559" s="1" t="s">
        <v>403</v>
      </c>
      <c r="F559" s="1" t="s">
        <v>434</v>
      </c>
      <c r="G559" s="1" t="s">
        <v>371</v>
      </c>
      <c r="H559" s="2">
        <v>1900</v>
      </c>
      <c r="I559" s="16">
        <v>13.944000000000001</v>
      </c>
      <c r="J559" s="1" t="s">
        <v>381</v>
      </c>
      <c r="K559" s="6">
        <f>Registro_Ordini[[#This Row],[Numero]]*Registro_Ordini[[#This Row],[Prezzo]]</f>
        <v>26493.600000000002</v>
      </c>
      <c r="L559" s="10">
        <v>1</v>
      </c>
      <c r="M559" s="6">
        <f>Registro_Ordini[[#This Row],[Importo]]*Registro_Ordini[[#This Row],[Cambio]]</f>
        <v>26493.600000000002</v>
      </c>
      <c r="N559" s="1">
        <f ca="1">IFERROR(_xlfn.NUMBERVALUE(OFFSET(Origine,MATCH(Registro_Ordini[[#This Row],[Titolo]],Descrizioni,0),MATCH("Price",Intestazioni,0)-1,1,1)),"")</f>
        <v>14.614000000000001</v>
      </c>
      <c r="O559" s="18">
        <f ca="1">IF(OR(Registro_Ordini[[#This Row],[Price]]=0,Registro_Ordini[[#This Row],[Price]]=""),"",IF(Registro_Ordini[[#This Row],[Tipo]]="Sell",Registro_Ordini[[#This Row],[Prezzo]]/Registro_Ordini[[#This Row],[Price]]-1,Registro_Ordini[[#This Row],[Price]]/Registro_Ordini[[#This Row],[Prezzo]]-1))</f>
        <v>4.804934021801488E-2</v>
      </c>
      <c r="P559" s="15">
        <v>2.5287009652137499E-2</v>
      </c>
      <c r="Q559" s="3">
        <v>0.18413233334216852</v>
      </c>
      <c r="R559" s="3">
        <v>0.28013214902625139</v>
      </c>
      <c r="S559" s="3">
        <v>0.41848815275365414</v>
      </c>
      <c r="T559" s="3">
        <v>0</v>
      </c>
      <c r="U559" s="3">
        <v>0.117247364877926</v>
      </c>
      <c r="V559" s="3"/>
      <c r="W559" s="4"/>
    </row>
    <row r="560" spans="1:23" s="1" customFormat="1" ht="24.95" customHeight="1" x14ac:dyDescent="0.2">
      <c r="A560" s="8">
        <v>45771.690983796296</v>
      </c>
      <c r="B560" s="7">
        <v>45771.690983796296</v>
      </c>
      <c r="C560" s="9" t="s">
        <v>378</v>
      </c>
      <c r="D560" s="1" t="s">
        <v>388</v>
      </c>
      <c r="E560" s="1" t="s">
        <v>403</v>
      </c>
      <c r="F560" s="1" t="s">
        <v>434</v>
      </c>
      <c r="G560" s="1" t="s">
        <v>371</v>
      </c>
      <c r="H560" s="2">
        <v>790</v>
      </c>
      <c r="I560" s="16">
        <v>13.944000000000001</v>
      </c>
      <c r="J560" s="1" t="s">
        <v>381</v>
      </c>
      <c r="K560" s="6">
        <f>Registro_Ordini[[#This Row],[Numero]]*Registro_Ordini[[#This Row],[Prezzo]]</f>
        <v>11015.76</v>
      </c>
      <c r="L560" s="10">
        <v>0.93964999999999999</v>
      </c>
      <c r="M560" s="6">
        <f>Registro_Ordini[[#This Row],[Importo]]*Registro_Ordini[[#This Row],[Cambio]]</f>
        <v>10350.958884</v>
      </c>
      <c r="N560" s="1">
        <f ca="1">IFERROR(_xlfn.NUMBERVALUE(OFFSET(Origine,MATCH(Registro_Ordini[[#This Row],[Titolo]],Descrizioni,0),MATCH("Price",Intestazioni,0)-1,1,1)),"")</f>
        <v>14.614000000000001</v>
      </c>
      <c r="O560" s="18">
        <f ca="1">IF(OR(Registro_Ordini[[#This Row],[Price]]=0,Registro_Ordini[[#This Row],[Price]]=""),"",IF(Registro_Ordini[[#This Row],[Tipo]]="Sell",Registro_Ordini[[#This Row],[Prezzo]]/Registro_Ordini[[#This Row],[Price]]-1,Registro_Ordini[[#This Row],[Price]]/Registro_Ordini[[#This Row],[Prezzo]]-1))</f>
        <v>4.804934021801488E-2</v>
      </c>
      <c r="P560" s="15">
        <v>2.0132728984995348E-2</v>
      </c>
      <c r="Q560" s="3">
        <v>0.13997791941408483</v>
      </c>
      <c r="R560" s="3">
        <v>0.335218762519018</v>
      </c>
      <c r="S560" s="3">
        <v>0.4198448912897495</v>
      </c>
      <c r="T560" s="3">
        <v>0</v>
      </c>
      <c r="U560" s="3">
        <v>0.10495842677714766</v>
      </c>
      <c r="V560" s="3"/>
      <c r="W560" s="4"/>
    </row>
    <row r="561" spans="1:23" s="1" customFormat="1" ht="24.95" customHeight="1" x14ac:dyDescent="0.2">
      <c r="A561" s="8">
        <v>45771.690983796296</v>
      </c>
      <c r="B561" s="7">
        <v>45771.690983796296</v>
      </c>
      <c r="C561" s="9" t="s">
        <v>106</v>
      </c>
      <c r="D561" s="1" t="s">
        <v>388</v>
      </c>
      <c r="E561" s="1" t="s">
        <v>403</v>
      </c>
      <c r="F561" s="1" t="s">
        <v>434</v>
      </c>
      <c r="G561" s="1" t="s">
        <v>371</v>
      </c>
      <c r="H561" s="2">
        <v>400</v>
      </c>
      <c r="I561" s="16">
        <v>13.944000000000001</v>
      </c>
      <c r="J561" s="1" t="s">
        <v>381</v>
      </c>
      <c r="K561" s="6">
        <f>Registro_Ordini[[#This Row],[Numero]]*Registro_Ordini[[#This Row],[Prezzo]]</f>
        <v>5577.6</v>
      </c>
      <c r="L561" s="10">
        <v>1</v>
      </c>
      <c r="M561" s="6">
        <f>Registro_Ordini[[#This Row],[Importo]]*Registro_Ordini[[#This Row],[Cambio]]</f>
        <v>5577.6</v>
      </c>
      <c r="N561" s="1">
        <f ca="1">IFERROR(_xlfn.NUMBERVALUE(OFFSET(Origine,MATCH(Registro_Ordini[[#This Row],[Titolo]],Descrizioni,0),MATCH("Price",Intestazioni,0)-1,1,1)),"")</f>
        <v>14.614000000000001</v>
      </c>
      <c r="O561" s="18">
        <f ca="1">IF(OR(Registro_Ordini[[#This Row],[Price]]=0,Registro_Ordini[[#This Row],[Price]]=""),"",IF(Registro_Ordini[[#This Row],[Tipo]]="Sell",Registro_Ordini[[#This Row],[Prezzo]]/Registro_Ordini[[#This Row],[Price]]-1,Registro_Ordini[[#This Row],[Price]]/Registro_Ordini[[#This Row],[Prezzo]]-1))</f>
        <v>4.804934021801488E-2</v>
      </c>
      <c r="P561" s="15">
        <v>4.0433176881136068E-2</v>
      </c>
      <c r="Q561" s="3">
        <v>0.20897312043628377</v>
      </c>
      <c r="R561" s="3">
        <v>0.23109025324056892</v>
      </c>
      <c r="S561" s="3">
        <v>0.41194668086993574</v>
      </c>
      <c r="T561" s="3">
        <v>0</v>
      </c>
      <c r="U561" s="3">
        <v>0.14798994545321156</v>
      </c>
      <c r="V561" s="3"/>
      <c r="W561" s="4"/>
    </row>
    <row r="562" spans="1:23" s="1" customFormat="1" ht="24.95" customHeight="1" x14ac:dyDescent="0.2">
      <c r="A562" s="8">
        <v>45771.690983796296</v>
      </c>
      <c r="B562" s="7">
        <v>45771.690983796296</v>
      </c>
      <c r="C562" s="9" t="s">
        <v>377</v>
      </c>
      <c r="D562" s="1" t="s">
        <v>388</v>
      </c>
      <c r="E562" s="1" t="s">
        <v>403</v>
      </c>
      <c r="F562" s="1" t="s">
        <v>434</v>
      </c>
      <c r="G562" s="1" t="s">
        <v>371</v>
      </c>
      <c r="H562" s="2">
        <v>2400</v>
      </c>
      <c r="I562" s="16">
        <v>13.944000000000001</v>
      </c>
      <c r="J562" s="1" t="s">
        <v>381</v>
      </c>
      <c r="K562" s="6">
        <f>Registro_Ordini[[#This Row],[Numero]]*Registro_Ordini[[#This Row],[Prezzo]]</f>
        <v>33465.599999999999</v>
      </c>
      <c r="L562" s="10">
        <v>0.93964999999999999</v>
      </c>
      <c r="M562" s="6">
        <f>Registro_Ordini[[#This Row],[Importo]]*Registro_Ordini[[#This Row],[Cambio]]</f>
        <v>31445.95104</v>
      </c>
      <c r="N562" s="1">
        <f ca="1">IFERROR(_xlfn.NUMBERVALUE(OFFSET(Origine,MATCH(Registro_Ordini[[#This Row],[Titolo]],Descrizioni,0),MATCH("Price",Intestazioni,0)-1,1,1)),"")</f>
        <v>14.614000000000001</v>
      </c>
      <c r="O562" s="18">
        <f ca="1">IF(OR(Registro_Ordini[[#This Row],[Price]]=0,Registro_Ordini[[#This Row],[Price]]=""),"",IF(Registro_Ordini[[#This Row],[Tipo]]="Sell",Registro_Ordini[[#This Row],[Prezzo]]/Registro_Ordini[[#This Row],[Price]]-1,Registro_Ordini[[#This Row],[Price]]/Registro_Ordini[[#This Row],[Prezzo]]-1))</f>
        <v>4.804934021801488E-2</v>
      </c>
      <c r="P562" s="15">
        <v>1.987731997417231E-2</v>
      </c>
      <c r="Q562" s="3">
        <v>0.12836351792281089</v>
      </c>
      <c r="R562" s="3">
        <v>0.32848062223033564</v>
      </c>
      <c r="S562" s="3">
        <v>0.43237087303151917</v>
      </c>
      <c r="T562" s="3">
        <v>0</v>
      </c>
      <c r="U562" s="3">
        <v>0.11078498681533436</v>
      </c>
      <c r="V562" s="3"/>
      <c r="W562" s="4"/>
    </row>
    <row r="563" spans="1:23" s="1" customFormat="1" ht="24.95" customHeight="1" x14ac:dyDescent="0.2">
      <c r="A563" s="8">
        <v>45771.690983796296</v>
      </c>
      <c r="B563" s="7">
        <v>45771.690983796296</v>
      </c>
      <c r="C563" s="9" t="s">
        <v>376</v>
      </c>
      <c r="D563" s="1" t="s">
        <v>388</v>
      </c>
      <c r="E563" s="1" t="s">
        <v>403</v>
      </c>
      <c r="F563" s="1" t="s">
        <v>434</v>
      </c>
      <c r="G563" s="1" t="s">
        <v>371</v>
      </c>
      <c r="H563" s="2">
        <v>420</v>
      </c>
      <c r="I563" s="16">
        <v>13.944000000000001</v>
      </c>
      <c r="J563" s="1" t="s">
        <v>381</v>
      </c>
      <c r="K563" s="6">
        <f>Registro_Ordini[[#This Row],[Numero]]*Registro_Ordini[[#This Row],[Prezzo]]</f>
        <v>5856.4800000000005</v>
      </c>
      <c r="L563" s="10">
        <v>0.93964999999999999</v>
      </c>
      <c r="M563" s="6">
        <f>Registro_Ordini[[#This Row],[Importo]]*Registro_Ordini[[#This Row],[Cambio]]</f>
        <v>5503.041432</v>
      </c>
      <c r="N563" s="1">
        <f ca="1">IFERROR(_xlfn.NUMBERVALUE(OFFSET(Origine,MATCH(Registro_Ordini[[#This Row],[Titolo]],Descrizioni,0),MATCH("Price",Intestazioni,0)-1,1,1)),"")</f>
        <v>14.614000000000001</v>
      </c>
      <c r="O563" s="18">
        <f ca="1">IF(OR(Registro_Ordini[[#This Row],[Price]]=0,Registro_Ordini[[#This Row],[Price]]=""),"",IF(Registro_Ordini[[#This Row],[Tipo]]="Sell",Registro_Ordini[[#This Row],[Prezzo]]/Registro_Ordini[[#This Row],[Price]]-1,Registro_Ordini[[#This Row],[Price]]/Registro_Ordini[[#This Row],[Prezzo]]-1))</f>
        <v>4.804934021801488E-2</v>
      </c>
      <c r="P563" s="15">
        <v>1.9960948570010181E-2</v>
      </c>
      <c r="Q563" s="3">
        <v>6.7476947616217003E-2</v>
      </c>
      <c r="R563" s="3">
        <v>0.35542235466015643</v>
      </c>
      <c r="S563" s="3">
        <v>0.4423439159890985</v>
      </c>
      <c r="T563" s="3">
        <v>0</v>
      </c>
      <c r="U563" s="3">
        <v>0.13475678173452799</v>
      </c>
      <c r="V563" s="3"/>
      <c r="W563" s="4"/>
    </row>
    <row r="564" spans="1:23" s="1" customFormat="1" ht="24.95" customHeight="1" x14ac:dyDescent="0.2">
      <c r="A564" s="8">
        <v>45771.690983796296</v>
      </c>
      <c r="B564" s="7">
        <v>45771.690983796296</v>
      </c>
      <c r="C564" s="9" t="s">
        <v>379</v>
      </c>
      <c r="D564" s="1" t="s">
        <v>388</v>
      </c>
      <c r="E564" s="1" t="s">
        <v>403</v>
      </c>
      <c r="F564" s="1" t="s">
        <v>434</v>
      </c>
      <c r="G564" s="1" t="s">
        <v>371</v>
      </c>
      <c r="H564" s="2">
        <v>1015</v>
      </c>
      <c r="I564" s="16">
        <v>13.944000000000001</v>
      </c>
      <c r="J564" s="1" t="s">
        <v>381</v>
      </c>
      <c r="K564" s="6">
        <f>Registro_Ordini[[#This Row],[Numero]]*Registro_Ordini[[#This Row],[Prezzo]]</f>
        <v>14153.160000000002</v>
      </c>
      <c r="L564" s="10">
        <v>1</v>
      </c>
      <c r="M564" s="6">
        <f>Registro_Ordini[[#This Row],[Importo]]*Registro_Ordini[[#This Row],[Cambio]]</f>
        <v>14153.160000000002</v>
      </c>
      <c r="N564" s="1">
        <f ca="1">IFERROR(_xlfn.NUMBERVALUE(OFFSET(Origine,MATCH(Registro_Ordini[[#This Row],[Titolo]],Descrizioni,0),MATCH("Price",Intestazioni,0)-1,1,1)),"")</f>
        <v>14.614000000000001</v>
      </c>
      <c r="O564" s="18">
        <f ca="1">IF(OR(Registro_Ordini[[#This Row],[Price]]=0,Registro_Ordini[[#This Row],[Price]]=""),"",IF(Registro_Ordini[[#This Row],[Tipo]]="Sell",Registro_Ordini[[#This Row],[Prezzo]]/Registro_Ordini[[#This Row],[Price]]-1,Registro_Ordini[[#This Row],[Price]]/Registro_Ordini[[#This Row],[Prezzo]]-1))</f>
        <v>4.804934021801488E-2</v>
      </c>
      <c r="P564" s="15">
        <v>2.5171529965210566E-2</v>
      </c>
      <c r="Q564" s="3">
        <v>0.18355618492640063</v>
      </c>
      <c r="R564" s="3">
        <v>0.29124014290279465</v>
      </c>
      <c r="S564" s="3">
        <v>0.40943864292898863</v>
      </c>
      <c r="T564" s="3">
        <v>0</v>
      </c>
      <c r="U564" s="3">
        <v>0.11576502924181604</v>
      </c>
      <c r="V564" s="3"/>
      <c r="W564" s="4"/>
    </row>
    <row r="565" spans="1:23" s="1" customFormat="1" ht="24.95" customHeight="1" x14ac:dyDescent="0.2">
      <c r="A565" s="8">
        <v>45771.690983796296</v>
      </c>
      <c r="B565" s="7">
        <v>45771.690983796296</v>
      </c>
      <c r="C565" s="9" t="s">
        <v>367</v>
      </c>
      <c r="D565" s="1" t="s">
        <v>388</v>
      </c>
      <c r="E565" s="1" t="s">
        <v>403</v>
      </c>
      <c r="F565" s="1" t="s">
        <v>434</v>
      </c>
      <c r="G565" s="1" t="s">
        <v>371</v>
      </c>
      <c r="H565" s="2">
        <v>5200</v>
      </c>
      <c r="I565" s="16">
        <v>13.93</v>
      </c>
      <c r="J565" s="1" t="s">
        <v>381</v>
      </c>
      <c r="K565" s="6">
        <f>Registro_Ordini[[#This Row],[Numero]]*Registro_Ordini[[#This Row],[Prezzo]]</f>
        <v>72436</v>
      </c>
      <c r="L565" s="10">
        <v>0.93964999999999999</v>
      </c>
      <c r="M565" s="6">
        <f>Registro_Ordini[[#This Row],[Importo]]*Registro_Ordini[[#This Row],[Cambio]]</f>
        <v>68064.487399999998</v>
      </c>
      <c r="N565" s="1">
        <f ca="1">IFERROR(_xlfn.NUMBERVALUE(OFFSET(Origine,MATCH(Registro_Ordini[[#This Row],[Titolo]],Descrizioni,0),MATCH("Price",Intestazioni,0)-1,1,1)),"")</f>
        <v>14.614000000000001</v>
      </c>
      <c r="O565" s="18">
        <f ca="1">IF(OR(Registro_Ordini[[#This Row],[Price]]=0,Registro_Ordini[[#This Row],[Price]]=""),"",IF(Registro_Ordini[[#This Row],[Tipo]]="Sell",Registro_Ordini[[#This Row],[Prezzo]]/Registro_Ordini[[#This Row],[Price]]-1,Registro_Ordini[[#This Row],[Price]]/Registro_Ordini[[#This Row],[Prezzo]]-1))</f>
        <v>4.9102656137832046E-2</v>
      </c>
      <c r="P565" s="15">
        <v>2.0013254825217944E-2</v>
      </c>
      <c r="Q565" s="3">
        <v>0.15935784369293135</v>
      </c>
      <c r="R565" s="3">
        <v>0.40958958811619733</v>
      </c>
      <c r="S565" s="3">
        <v>0.37500098035600682</v>
      </c>
      <c r="T565" s="3">
        <v>0</v>
      </c>
      <c r="U565" s="3">
        <v>5.6051587834864407E-2</v>
      </c>
      <c r="V565" s="3"/>
      <c r="W565" s="4"/>
    </row>
    <row r="566" spans="1:23" s="1" customFormat="1" ht="24.95" customHeight="1" x14ac:dyDescent="0.2">
      <c r="A566" s="8">
        <v>45771.67728009259</v>
      </c>
      <c r="B566" s="7">
        <v>45771.67728009259</v>
      </c>
      <c r="C566" s="9" t="s">
        <v>78</v>
      </c>
      <c r="D566" s="1" t="s">
        <v>388</v>
      </c>
      <c r="E566" s="1" t="s">
        <v>397</v>
      </c>
      <c r="F566" s="1" t="s">
        <v>435</v>
      </c>
      <c r="G566" s="1" t="s">
        <v>371</v>
      </c>
      <c r="H566" s="2">
        <v>15</v>
      </c>
      <c r="I566" s="16">
        <v>537.5</v>
      </c>
      <c r="J566" s="1" t="s">
        <v>369</v>
      </c>
      <c r="K566" s="6">
        <f>Registro_Ordini[[#This Row],[Numero]]*Registro_Ordini[[#This Row],[Prezzo]]</f>
        <v>8062.5</v>
      </c>
      <c r="L566" s="10">
        <v>1.0000001199999999</v>
      </c>
      <c r="M566" s="6">
        <f>Registro_Ordini[[#This Row],[Importo]]*Registro_Ordini[[#This Row],[Cambio]]</f>
        <v>8062.5009674999992</v>
      </c>
      <c r="N566" s="1">
        <f ca="1">IFERROR(_xlfn.NUMBERVALUE(OFFSET(Origine,MATCH(Registro_Ordini[[#This Row],[Titolo]],Descrizioni,0),MATCH("Price",Intestazioni,0)-1,1,1)),"")</f>
        <v>715.5</v>
      </c>
      <c r="O566" s="18">
        <f ca="1">IF(OR(Registro_Ordini[[#This Row],[Price]]=0,Registro_Ordini[[#This Row],[Price]]=""),"",IF(Registro_Ordini[[#This Row],[Tipo]]="Sell",Registro_Ordini[[#This Row],[Prezzo]]/Registro_Ordini[[#This Row],[Price]]-1,Registro_Ordini[[#This Row],[Price]]/Registro_Ordini[[#This Row],[Prezzo]]-1))</f>
        <v>0.3311627906976744</v>
      </c>
      <c r="P566" s="15">
        <v>1.5645961294819821E-2</v>
      </c>
      <c r="Q566" s="3">
        <v>0.24367771994941675</v>
      </c>
      <c r="R566" s="3">
        <v>0.13465569237538932</v>
      </c>
      <c r="S566" s="3">
        <v>0.55527531600779845</v>
      </c>
      <c r="T566" s="3">
        <v>0</v>
      </c>
      <c r="U566" s="3">
        <v>6.6391271667395446E-2</v>
      </c>
      <c r="V566" s="3"/>
      <c r="W566" s="4"/>
    </row>
    <row r="567" spans="1:23" s="1" customFormat="1" ht="24.95" customHeight="1" x14ac:dyDescent="0.2">
      <c r="A567" s="8">
        <v>45771.67728009259</v>
      </c>
      <c r="B567" s="7">
        <v>45771.67728009259</v>
      </c>
      <c r="C567" s="9" t="s">
        <v>375</v>
      </c>
      <c r="D567" s="1" t="s">
        <v>388</v>
      </c>
      <c r="E567" s="1" t="s">
        <v>397</v>
      </c>
      <c r="F567" s="1" t="s">
        <v>435</v>
      </c>
      <c r="G567" s="1" t="s">
        <v>371</v>
      </c>
      <c r="H567" s="2">
        <v>16</v>
      </c>
      <c r="I567" s="16">
        <v>537.5</v>
      </c>
      <c r="J567" s="1" t="s">
        <v>369</v>
      </c>
      <c r="K567" s="6">
        <f>Registro_Ordini[[#This Row],[Numero]]*Registro_Ordini[[#This Row],[Prezzo]]</f>
        <v>8600</v>
      </c>
      <c r="L567" s="10">
        <v>1.0000001199999999</v>
      </c>
      <c r="M567" s="6">
        <f>Registro_Ordini[[#This Row],[Importo]]*Registro_Ordini[[#This Row],[Cambio]]</f>
        <v>8600.0010320000001</v>
      </c>
      <c r="N567" s="1">
        <f ca="1">IFERROR(_xlfn.NUMBERVALUE(OFFSET(Origine,MATCH(Registro_Ordini[[#This Row],[Titolo]],Descrizioni,0),MATCH("Price",Intestazioni,0)-1,1,1)),"")</f>
        <v>715.5</v>
      </c>
      <c r="O567" s="18">
        <f ca="1">IF(OR(Registro_Ordini[[#This Row],[Price]]=0,Registro_Ordini[[#This Row],[Price]]=""),"",IF(Registro_Ordini[[#This Row],[Tipo]]="Sell",Registro_Ordini[[#This Row],[Prezzo]]/Registro_Ordini[[#This Row],[Price]]-1,Registro_Ordini[[#This Row],[Price]]/Registro_Ordini[[#This Row],[Prezzo]]-1))</f>
        <v>0.3311627906976744</v>
      </c>
      <c r="P567" s="15">
        <v>1.0605930809443474E-2</v>
      </c>
      <c r="Q567" s="3">
        <v>0.14401913878759445</v>
      </c>
      <c r="R567" s="3">
        <v>0.3523254656255389</v>
      </c>
      <c r="S567" s="3">
        <v>0.39306513519081604</v>
      </c>
      <c r="T567" s="3">
        <v>0</v>
      </c>
      <c r="U567" s="3">
        <v>0.11059026039605045</v>
      </c>
      <c r="V567" s="3"/>
      <c r="W567" s="4"/>
    </row>
    <row r="568" spans="1:23" s="1" customFormat="1" ht="24.95" customHeight="1" x14ac:dyDescent="0.2">
      <c r="A568" s="8">
        <v>45771.67728009259</v>
      </c>
      <c r="B568" s="7">
        <v>45771.67728009259</v>
      </c>
      <c r="C568" s="9" t="s">
        <v>378</v>
      </c>
      <c r="D568" s="1" t="s">
        <v>388</v>
      </c>
      <c r="E568" s="1" t="s">
        <v>397</v>
      </c>
      <c r="F568" s="1" t="s">
        <v>435</v>
      </c>
      <c r="G568" s="1" t="s">
        <v>371</v>
      </c>
      <c r="H568" s="2">
        <v>10</v>
      </c>
      <c r="I568" s="16">
        <v>537.5</v>
      </c>
      <c r="J568" s="1" t="s">
        <v>369</v>
      </c>
      <c r="K568" s="6">
        <f>Registro_Ordini[[#This Row],[Numero]]*Registro_Ordini[[#This Row],[Prezzo]]</f>
        <v>5375</v>
      </c>
      <c r="L568" s="10">
        <v>1.0000001199999999</v>
      </c>
      <c r="M568" s="6">
        <f>Registro_Ordini[[#This Row],[Importo]]*Registro_Ordini[[#This Row],[Cambio]]</f>
        <v>5375.0006450000001</v>
      </c>
      <c r="N568" s="1">
        <f ca="1">IFERROR(_xlfn.NUMBERVALUE(OFFSET(Origine,MATCH(Registro_Ordini[[#This Row],[Titolo]],Descrizioni,0),MATCH("Price",Intestazioni,0)-1,1,1)),"")</f>
        <v>715.5</v>
      </c>
      <c r="O568" s="18">
        <f ca="1">IF(OR(Registro_Ordini[[#This Row],[Price]]=0,Registro_Ordini[[#This Row],[Price]]=""),"",IF(Registro_Ordini[[#This Row],[Tipo]]="Sell",Registro_Ordini[[#This Row],[Prezzo]]/Registro_Ordini[[#This Row],[Price]]-1,Registro_Ordini[[#This Row],[Price]]/Registro_Ordini[[#This Row],[Prezzo]]-1))</f>
        <v>0.3311627906976744</v>
      </c>
      <c r="P568" s="15">
        <v>1.0454435428898396E-2</v>
      </c>
      <c r="Q568" s="3">
        <v>0.16011064839908018</v>
      </c>
      <c r="R568" s="3">
        <v>0.335218762519018</v>
      </c>
      <c r="S568" s="3">
        <v>0.39971216230475415</v>
      </c>
      <c r="T568" s="3">
        <v>0</v>
      </c>
      <c r="U568" s="3">
        <v>0.10495842677714766</v>
      </c>
      <c r="V568" s="3"/>
      <c r="W568" s="4"/>
    </row>
    <row r="569" spans="1:23" s="1" customFormat="1" ht="24.95" customHeight="1" x14ac:dyDescent="0.2">
      <c r="A569" s="8">
        <v>45771.67728009259</v>
      </c>
      <c r="B569" s="7">
        <v>45771.67728009259</v>
      </c>
      <c r="C569" s="9" t="s">
        <v>377</v>
      </c>
      <c r="D569" s="1" t="s">
        <v>388</v>
      </c>
      <c r="E569" s="1" t="s">
        <v>397</v>
      </c>
      <c r="F569" s="1" t="s">
        <v>435</v>
      </c>
      <c r="G569" s="1" t="s">
        <v>371</v>
      </c>
      <c r="H569" s="2">
        <v>30</v>
      </c>
      <c r="I569" s="16">
        <v>537.5</v>
      </c>
      <c r="J569" s="1" t="s">
        <v>369</v>
      </c>
      <c r="K569" s="6">
        <f>Registro_Ordini[[#This Row],[Numero]]*Registro_Ordini[[#This Row],[Prezzo]]</f>
        <v>16125</v>
      </c>
      <c r="L569" s="10">
        <v>1.0000001199999999</v>
      </c>
      <c r="M569" s="6">
        <f>Registro_Ordini[[#This Row],[Importo]]*Registro_Ordini[[#This Row],[Cambio]]</f>
        <v>16125.001934999998</v>
      </c>
      <c r="N569" s="1">
        <f ca="1">IFERROR(_xlfn.NUMBERVALUE(OFFSET(Origine,MATCH(Registro_Ordini[[#This Row],[Titolo]],Descrizioni,0),MATCH("Price",Intestazioni,0)-1,1,1)),"")</f>
        <v>715.5</v>
      </c>
      <c r="O569" s="18">
        <f ca="1">IF(OR(Registro_Ordini[[#This Row],[Price]]=0,Registro_Ordini[[#This Row],[Price]]=""),"",IF(Registro_Ordini[[#This Row],[Tipo]]="Sell",Registro_Ordini[[#This Row],[Prezzo]]/Registro_Ordini[[#This Row],[Price]]-1,Registro_Ordini[[#This Row],[Price]]/Registro_Ordini[[#This Row],[Prezzo]]-1))</f>
        <v>0.3311627906976744</v>
      </c>
      <c r="P569" s="15">
        <v>1.0192785158204667E-2</v>
      </c>
      <c r="Q569" s="3">
        <v>0.14824083789698322</v>
      </c>
      <c r="R569" s="3">
        <v>0.32848062223033564</v>
      </c>
      <c r="S569" s="3">
        <v>0.41249355305734681</v>
      </c>
      <c r="T569" s="3">
        <v>0</v>
      </c>
      <c r="U569" s="3">
        <v>0.11078498681533436</v>
      </c>
      <c r="V569" s="3"/>
      <c r="W569" s="4"/>
    </row>
    <row r="570" spans="1:23" s="1" customFormat="1" ht="24.95" customHeight="1" x14ac:dyDescent="0.2">
      <c r="A570" s="8">
        <v>45771.67728009259</v>
      </c>
      <c r="B570" s="7">
        <v>45771.67728009259</v>
      </c>
      <c r="C570" s="9" t="s">
        <v>367</v>
      </c>
      <c r="D570" s="1" t="s">
        <v>388</v>
      </c>
      <c r="E570" s="1" t="s">
        <v>397</v>
      </c>
      <c r="F570" s="1" t="s">
        <v>435</v>
      </c>
      <c r="G570" s="1" t="s">
        <v>371</v>
      </c>
      <c r="H570" s="2">
        <v>70</v>
      </c>
      <c r="I570" s="16">
        <v>537.5</v>
      </c>
      <c r="J570" s="1" t="s">
        <v>369</v>
      </c>
      <c r="K570" s="6">
        <f>Registro_Ordini[[#This Row],[Numero]]*Registro_Ordini[[#This Row],[Prezzo]]</f>
        <v>37625</v>
      </c>
      <c r="L570" s="10">
        <v>1.0000001199999999</v>
      </c>
      <c r="M570" s="6">
        <f>Registro_Ordini[[#This Row],[Importo]]*Registro_Ordini[[#This Row],[Cambio]]</f>
        <v>37625.004515000001</v>
      </c>
      <c r="N570" s="1">
        <f ca="1">IFERROR(_xlfn.NUMBERVALUE(OFFSET(Origine,MATCH(Registro_Ordini[[#This Row],[Titolo]],Descrizioni,0),MATCH("Price",Intestazioni,0)-1,1,1)),"")</f>
        <v>715.5</v>
      </c>
      <c r="O570" s="18">
        <f ca="1">IF(OR(Registro_Ordini[[#This Row],[Price]]=0,Registro_Ordini[[#This Row],[Price]]=""),"",IF(Registro_Ordini[[#This Row],[Tipo]]="Sell",Registro_Ordini[[#This Row],[Prezzo]]/Registro_Ordini[[#This Row],[Price]]-1,Registro_Ordini[[#This Row],[Price]]/Registro_Ordini[[#This Row],[Prezzo]]-1))</f>
        <v>0.3311627906976744</v>
      </c>
      <c r="P570" s="15">
        <v>1.1051912810907808E-2</v>
      </c>
      <c r="Q570" s="3">
        <v>0.17937109851814928</v>
      </c>
      <c r="R570" s="3">
        <v>0.40958958811619733</v>
      </c>
      <c r="S570" s="3">
        <v>0.35498772553078889</v>
      </c>
      <c r="T570" s="3">
        <v>0</v>
      </c>
      <c r="U570" s="3">
        <v>5.6051587834864407E-2</v>
      </c>
      <c r="V570" s="3"/>
      <c r="W570" s="4"/>
    </row>
    <row r="571" spans="1:23" s="1" customFormat="1" ht="24.95" customHeight="1" x14ac:dyDescent="0.2">
      <c r="A571" s="8">
        <v>45771.665844907409</v>
      </c>
      <c r="B571" s="7">
        <v>45771.665844907409</v>
      </c>
      <c r="C571" s="9" t="s">
        <v>78</v>
      </c>
      <c r="D571" s="1" t="s">
        <v>388</v>
      </c>
      <c r="E571" s="1" t="s">
        <v>397</v>
      </c>
      <c r="F571" s="1" t="s">
        <v>436</v>
      </c>
      <c r="G571" s="1" t="s">
        <v>371</v>
      </c>
      <c r="H571" s="2">
        <v>20</v>
      </c>
      <c r="I571" s="16">
        <v>393.7636</v>
      </c>
      <c r="J571" s="1" t="s">
        <v>369</v>
      </c>
      <c r="K571" s="6">
        <f>Registro_Ordini[[#This Row],[Numero]]*Registro_Ordini[[#This Row],[Prezzo]]</f>
        <v>7875.2719999999999</v>
      </c>
      <c r="L571" s="10">
        <v>1.0000001199999999</v>
      </c>
      <c r="M571" s="6">
        <f>Registro_Ordini[[#This Row],[Importo]]*Registro_Ordini[[#This Row],[Cambio]]</f>
        <v>7875.2729450326397</v>
      </c>
      <c r="N571" s="1">
        <f ca="1">IFERROR(_xlfn.NUMBERVALUE(OFFSET(Origine,MATCH(Registro_Ordini[[#This Row],[Titolo]],Descrizioni,0),MATCH("Price",Intestazioni,0)-1,1,1)),"")</f>
        <v>407.4</v>
      </c>
      <c r="O571" s="18">
        <f ca="1">IF(OR(Registro_Ordini[[#This Row],[Price]]=0,Registro_Ordini[[#This Row],[Price]]=""),"",IF(Registro_Ordini[[#This Row],[Tipo]]="Sell",Registro_Ordini[[#This Row],[Prezzo]]/Registro_Ordini[[#This Row],[Price]]-1,Registro_Ordini[[#This Row],[Price]]/Registro_Ordini[[#This Row],[Prezzo]]-1))</f>
        <v>3.463093084276947E-2</v>
      </c>
      <c r="P571" s="15">
        <v>1.5282413904420698E-2</v>
      </c>
      <c r="Q571" s="3">
        <v>0.2593200217384059</v>
      </c>
      <c r="R571" s="3">
        <v>0.13465379215058526</v>
      </c>
      <c r="S571" s="3">
        <v>0.53963585133932845</v>
      </c>
      <c r="T571" s="3">
        <v>0</v>
      </c>
      <c r="U571" s="3">
        <v>6.6390334771680382E-2</v>
      </c>
      <c r="V571" s="3"/>
      <c r="W571" s="4"/>
    </row>
    <row r="572" spans="1:23" s="1" customFormat="1" ht="24.95" customHeight="1" x14ac:dyDescent="0.2">
      <c r="A572" s="8">
        <v>45771.665844907409</v>
      </c>
      <c r="B572" s="7">
        <v>45771.665844907409</v>
      </c>
      <c r="C572" s="9" t="s">
        <v>375</v>
      </c>
      <c r="D572" s="1" t="s">
        <v>388</v>
      </c>
      <c r="E572" s="1" t="s">
        <v>397</v>
      </c>
      <c r="F572" s="1" t="s">
        <v>436</v>
      </c>
      <c r="G572" s="1" t="s">
        <v>371</v>
      </c>
      <c r="H572" s="2">
        <v>20</v>
      </c>
      <c r="I572" s="16">
        <v>393.7636</v>
      </c>
      <c r="J572" s="1" t="s">
        <v>369</v>
      </c>
      <c r="K572" s="6">
        <f>Registro_Ordini[[#This Row],[Numero]]*Registro_Ordini[[#This Row],[Prezzo]]</f>
        <v>7875.2719999999999</v>
      </c>
      <c r="L572" s="10">
        <v>1.0000001199999999</v>
      </c>
      <c r="M572" s="6">
        <f>Registro_Ordini[[#This Row],[Importo]]*Registro_Ordini[[#This Row],[Cambio]]</f>
        <v>7875.2729450326397</v>
      </c>
      <c r="N572" s="1">
        <f ca="1">IFERROR(_xlfn.NUMBERVALUE(OFFSET(Origine,MATCH(Registro_Ordini[[#This Row],[Titolo]],Descrizioni,0),MATCH("Price",Intestazioni,0)-1,1,1)),"")</f>
        <v>407.4</v>
      </c>
      <c r="O572" s="18">
        <f ca="1">IF(OR(Registro_Ordini[[#This Row],[Price]]=0,Registro_Ordini[[#This Row],[Price]]=""),"",IF(Registro_Ordini[[#This Row],[Tipo]]="Sell",Registro_Ordini[[#This Row],[Prezzo]]/Registro_Ordini[[#This Row],[Price]]-1,Registro_Ordini[[#This Row],[Price]]/Registro_Ordini[[#This Row],[Prezzo]]-1))</f>
        <v>3.463093084276947E-2</v>
      </c>
      <c r="P572" s="15">
        <v>9.7120745210342134E-3</v>
      </c>
      <c r="Q572" s="3">
        <v>0.15462368290436176</v>
      </c>
      <c r="R572" s="3">
        <v>0.35232230593646596</v>
      </c>
      <c r="S572" s="3">
        <v>0.38246474254734242</v>
      </c>
      <c r="T572" s="3">
        <v>0</v>
      </c>
      <c r="U572" s="3">
        <v>0.11058926861182979</v>
      </c>
      <c r="V572" s="3"/>
      <c r="W572" s="4"/>
    </row>
    <row r="573" spans="1:23" s="1" customFormat="1" ht="24.95" customHeight="1" x14ac:dyDescent="0.2">
      <c r="A573" s="8">
        <v>45771.665844907409</v>
      </c>
      <c r="B573" s="7">
        <v>45771.665844907409</v>
      </c>
      <c r="C573" s="9" t="s">
        <v>378</v>
      </c>
      <c r="D573" s="1" t="s">
        <v>388</v>
      </c>
      <c r="E573" s="1" t="s">
        <v>397</v>
      </c>
      <c r="F573" s="1" t="s">
        <v>436</v>
      </c>
      <c r="G573" s="1" t="s">
        <v>371</v>
      </c>
      <c r="H573" s="2">
        <v>15</v>
      </c>
      <c r="I573" s="16">
        <v>393.7636</v>
      </c>
      <c r="J573" s="1" t="s">
        <v>369</v>
      </c>
      <c r="K573" s="6">
        <f>Registro_Ordini[[#This Row],[Numero]]*Registro_Ordini[[#This Row],[Prezzo]]</f>
        <v>5906.4539999999997</v>
      </c>
      <c r="L573" s="10">
        <v>1.0000001199999999</v>
      </c>
      <c r="M573" s="6">
        <f>Registro_Ordini[[#This Row],[Importo]]*Registro_Ordini[[#This Row],[Cambio]]</f>
        <v>5906.4547087744795</v>
      </c>
      <c r="N573" s="1">
        <f ca="1">IFERROR(_xlfn.NUMBERVALUE(OFFSET(Origine,MATCH(Registro_Ordini[[#This Row],[Titolo]],Descrizioni,0),MATCH("Price",Intestazioni,0)-1,1,1)),"")</f>
        <v>407.4</v>
      </c>
      <c r="O573" s="18">
        <f ca="1">IF(OR(Registro_Ordini[[#This Row],[Price]]=0,Registro_Ordini[[#This Row],[Price]]=""),"",IF(Registro_Ordini[[#This Row],[Tipo]]="Sell",Registro_Ordini[[#This Row],[Prezzo]]/Registro_Ordini[[#This Row],[Price]]-1,Registro_Ordini[[#This Row],[Price]]/Registro_Ordini[[#This Row],[Prezzo]]-1))</f>
        <v>3.463093084276947E-2</v>
      </c>
      <c r="P573" s="15">
        <v>1.1487997568088309E-2</v>
      </c>
      <c r="Q573" s="3">
        <v>0.17056327447718758</v>
      </c>
      <c r="R573" s="3">
        <v>0.3352152065254963</v>
      </c>
      <c r="S573" s="3">
        <v>0.3892642056169332</v>
      </c>
      <c r="T573" s="3">
        <v>0</v>
      </c>
      <c r="U573" s="3">
        <v>0.10495731338038292</v>
      </c>
      <c r="V573" s="3"/>
      <c r="W573" s="4"/>
    </row>
    <row r="574" spans="1:23" s="1" customFormat="1" ht="24.95" customHeight="1" x14ac:dyDescent="0.2">
      <c r="A574" s="8">
        <v>45771.665844907409</v>
      </c>
      <c r="B574" s="7">
        <v>45771.665844907409</v>
      </c>
      <c r="C574" s="9" t="s">
        <v>377</v>
      </c>
      <c r="D574" s="1" t="s">
        <v>388</v>
      </c>
      <c r="E574" s="1" t="s">
        <v>397</v>
      </c>
      <c r="F574" s="1" t="s">
        <v>436</v>
      </c>
      <c r="G574" s="1" t="s">
        <v>371</v>
      </c>
      <c r="H574" s="2">
        <v>40</v>
      </c>
      <c r="I574" s="16">
        <v>393.7636</v>
      </c>
      <c r="J574" s="1" t="s">
        <v>369</v>
      </c>
      <c r="K574" s="6">
        <f>Registro_Ordini[[#This Row],[Numero]]*Registro_Ordini[[#This Row],[Prezzo]]</f>
        <v>15750.544</v>
      </c>
      <c r="L574" s="10">
        <v>1.0000001199999999</v>
      </c>
      <c r="M574" s="6">
        <f>Registro_Ordini[[#This Row],[Importo]]*Registro_Ordini[[#This Row],[Cambio]]</f>
        <v>15750.545890065279</v>
      </c>
      <c r="N574" s="1">
        <f ca="1">IFERROR(_xlfn.NUMBERVALUE(OFFSET(Origine,MATCH(Registro_Ordini[[#This Row],[Titolo]],Descrizioni,0),MATCH("Price",Intestazioni,0)-1,1,1)),"")</f>
        <v>407.4</v>
      </c>
      <c r="O574" s="18">
        <f ca="1">IF(OR(Registro_Ordini[[#This Row],[Price]]=0,Registro_Ordini[[#This Row],[Price]]=""),"",IF(Registro_Ordini[[#This Row],[Tipo]]="Sell",Registro_Ordini[[#This Row],[Prezzo]]/Registro_Ordini[[#This Row],[Price]]-1,Registro_Ordini[[#This Row],[Price]]/Registro_Ordini[[#This Row],[Prezzo]]-1))</f>
        <v>3.463093084276947E-2</v>
      </c>
      <c r="P574" s="15">
        <v>9.9559959814884986E-3</v>
      </c>
      <c r="Q574" s="3">
        <v>0.15843216652203587</v>
      </c>
      <c r="R574" s="3">
        <v>0.32847760239839052</v>
      </c>
      <c r="S574" s="3">
        <v>0.40230626274758219</v>
      </c>
      <c r="T574" s="3">
        <v>0</v>
      </c>
      <c r="U574" s="3">
        <v>0.11078396833199142</v>
      </c>
      <c r="V574" s="3"/>
      <c r="W574" s="4"/>
    </row>
    <row r="575" spans="1:23" s="1" customFormat="1" ht="24.95" customHeight="1" x14ac:dyDescent="0.2">
      <c r="A575" s="8">
        <v>45771.665844907409</v>
      </c>
      <c r="B575" s="7">
        <v>45771.665844907409</v>
      </c>
      <c r="C575" s="9" t="s">
        <v>376</v>
      </c>
      <c r="D575" s="1" t="s">
        <v>388</v>
      </c>
      <c r="E575" s="1" t="s">
        <v>397</v>
      </c>
      <c r="F575" s="1" t="s">
        <v>436</v>
      </c>
      <c r="G575" s="1" t="s">
        <v>371</v>
      </c>
      <c r="H575" s="2">
        <v>15</v>
      </c>
      <c r="I575" s="16">
        <v>393.7636</v>
      </c>
      <c r="J575" s="1" t="s">
        <v>369</v>
      </c>
      <c r="K575" s="6">
        <f>Registro_Ordini[[#This Row],[Numero]]*Registro_Ordini[[#This Row],[Prezzo]]</f>
        <v>5906.4539999999997</v>
      </c>
      <c r="L575" s="10">
        <v>1.0000001199999999</v>
      </c>
      <c r="M575" s="6">
        <f>Registro_Ordini[[#This Row],[Importo]]*Registro_Ordini[[#This Row],[Cambio]]</f>
        <v>5906.4547087744795</v>
      </c>
      <c r="N575" s="1">
        <f ca="1">IFERROR(_xlfn.NUMBERVALUE(OFFSET(Origine,MATCH(Registro_Ordini[[#This Row],[Titolo]],Descrizioni,0),MATCH("Price",Intestazioni,0)-1,1,1)),"")</f>
        <v>407.4</v>
      </c>
      <c r="O575" s="18">
        <f ca="1">IF(OR(Registro_Ordini[[#This Row],[Price]]=0,Registro_Ordini[[#This Row],[Price]]=""),"",IF(Registro_Ordini[[#This Row],[Tipo]]="Sell",Registro_Ordini[[#This Row],[Prezzo]]/Registro_Ordini[[#This Row],[Price]]-1,Registro_Ordini[[#This Row],[Price]]/Registro_Ordini[[#This Row],[Prezzo]]-1))</f>
        <v>3.463093084276947E-2</v>
      </c>
      <c r="P575" s="15">
        <v>2.1423808594469341E-2</v>
      </c>
      <c r="Q575" s="3">
        <v>8.7436166430859885E-2</v>
      </c>
      <c r="R575" s="3">
        <v>0.35541532345569649</v>
      </c>
      <c r="S575" s="3">
        <v>0.42239439422835451</v>
      </c>
      <c r="T575" s="3">
        <v>0</v>
      </c>
      <c r="U575" s="3">
        <v>0.13475411588508909</v>
      </c>
      <c r="V575" s="3"/>
      <c r="W575" s="4"/>
    </row>
    <row r="576" spans="1:23" s="1" customFormat="1" ht="24.95" customHeight="1" x14ac:dyDescent="0.2">
      <c r="A576" s="8">
        <v>45771.665844907409</v>
      </c>
      <c r="B576" s="7">
        <v>45771.665844907409</v>
      </c>
      <c r="C576" s="9" t="s">
        <v>367</v>
      </c>
      <c r="D576" s="1" t="s">
        <v>388</v>
      </c>
      <c r="E576" s="1" t="s">
        <v>397</v>
      </c>
      <c r="F576" s="1" t="s">
        <v>436</v>
      </c>
      <c r="G576" s="1" t="s">
        <v>371</v>
      </c>
      <c r="H576" s="2">
        <v>90</v>
      </c>
      <c r="I576" s="16">
        <v>393.3</v>
      </c>
      <c r="J576" s="1" t="s">
        <v>369</v>
      </c>
      <c r="K576" s="6">
        <f>Registro_Ordini[[#This Row],[Numero]]*Registro_Ordini[[#This Row],[Prezzo]]</f>
        <v>35397</v>
      </c>
      <c r="L576" s="10">
        <v>1.0000001199999999</v>
      </c>
      <c r="M576" s="6">
        <f>Registro_Ordini[[#This Row],[Importo]]*Registro_Ordini[[#This Row],[Cambio]]</f>
        <v>35397.004247639998</v>
      </c>
      <c r="N576" s="1">
        <f ca="1">IFERROR(_xlfn.NUMBERVALUE(OFFSET(Origine,MATCH(Registro_Ordini[[#This Row],[Titolo]],Descrizioni,0),MATCH("Price",Intestazioni,0)-1,1,1)),"")</f>
        <v>407.4</v>
      </c>
      <c r="O576" s="18">
        <f ca="1">IF(OR(Registro_Ordini[[#This Row],[Price]]=0,Registro_Ordini[[#This Row],[Price]]=""),"",IF(Registro_Ordini[[#This Row],[Tipo]]="Sell",Registro_Ordini[[#This Row],[Prezzo]]/Registro_Ordini[[#This Row],[Price]]-1,Registro_Ordini[[#This Row],[Price]]/Registro_Ordini[[#This Row],[Prezzo]]-1))</f>
        <v>3.585049580472921E-2</v>
      </c>
      <c r="P576" s="15">
        <v>1.0409619216102251E-2</v>
      </c>
      <c r="Q576" s="3">
        <v>0.19042118094350241</v>
      </c>
      <c r="R576" s="3">
        <v>0.40958565105596406</v>
      </c>
      <c r="S576" s="3">
        <v>0.34394211894517884</v>
      </c>
      <c r="T576" s="3">
        <v>0</v>
      </c>
      <c r="U576" s="3">
        <v>5.6051049055354664E-2</v>
      </c>
      <c r="V576" s="3"/>
      <c r="W576" s="4"/>
    </row>
    <row r="577" spans="1:23" s="1" customFormat="1" ht="24.95" customHeight="1" x14ac:dyDescent="0.2">
      <c r="A577" s="8">
        <v>45771.665127314816</v>
      </c>
      <c r="B577" s="7">
        <v>45771.665127314816</v>
      </c>
      <c r="C577" s="9" t="s">
        <v>78</v>
      </c>
      <c r="D577" s="1" t="s">
        <v>388</v>
      </c>
      <c r="E577" s="1" t="s">
        <v>397</v>
      </c>
      <c r="F577" s="1" t="s">
        <v>437</v>
      </c>
      <c r="G577" s="1" t="s">
        <v>371</v>
      </c>
      <c r="H577" s="2">
        <v>50</v>
      </c>
      <c r="I577" s="16">
        <v>160.464</v>
      </c>
      <c r="J577" s="1" t="s">
        <v>369</v>
      </c>
      <c r="K577" s="6">
        <f>Registro_Ordini[[#This Row],[Numero]]*Registro_Ordini[[#This Row],[Prezzo]]</f>
        <v>8023.2</v>
      </c>
      <c r="L577" s="10">
        <v>1.0000001199999999</v>
      </c>
      <c r="M577" s="6">
        <f>Registro_Ordini[[#This Row],[Importo]]*Registro_Ordini[[#This Row],[Cambio]]</f>
        <v>8023.2009627839989</v>
      </c>
      <c r="N577" s="1">
        <f ca="1">IFERROR(_xlfn.NUMBERVALUE(OFFSET(Origine,MATCH(Registro_Ordini[[#This Row],[Titolo]],Descrizioni,0),MATCH("Price",Intestazioni,0)-1,1,1)),"")</f>
        <v>142.4</v>
      </c>
      <c r="O577" s="18">
        <f ca="1">IF(OR(Registro_Ordini[[#This Row],[Price]]=0,Registro_Ordini[[#This Row],[Price]]=""),"",IF(Registro_Ordini[[#This Row],[Tipo]]="Sell",Registro_Ordini[[#This Row],[Prezzo]]/Registro_Ordini[[#This Row],[Price]]-1,Registro_Ordini[[#This Row],[Price]]/Registro_Ordini[[#This Row],[Prezzo]]-1))</f>
        <v>-0.11257353674344395</v>
      </c>
      <c r="P577" s="15">
        <v>1.5569476614642403E-2</v>
      </c>
      <c r="Q577" s="3">
        <v>0.2746024356428266</v>
      </c>
      <c r="R577" s="3">
        <v>0.13465379215058523</v>
      </c>
      <c r="S577" s="3">
        <v>0.5243534374349077</v>
      </c>
      <c r="T577" s="3">
        <v>0</v>
      </c>
      <c r="U577" s="3">
        <v>6.6390334771680382E-2</v>
      </c>
      <c r="V577" s="3"/>
      <c r="W577" s="4"/>
    </row>
    <row r="578" spans="1:23" s="1" customFormat="1" ht="24.95" customHeight="1" x14ac:dyDescent="0.2">
      <c r="A578" s="8">
        <v>45771.665127314816</v>
      </c>
      <c r="B578" s="7">
        <v>45771.665127314816</v>
      </c>
      <c r="C578" s="9" t="s">
        <v>375</v>
      </c>
      <c r="D578" s="1" t="s">
        <v>388</v>
      </c>
      <c r="E578" s="1" t="s">
        <v>397</v>
      </c>
      <c r="F578" s="1" t="s">
        <v>437</v>
      </c>
      <c r="G578" s="1" t="s">
        <v>371</v>
      </c>
      <c r="H578" s="2">
        <v>60</v>
      </c>
      <c r="I578" s="16">
        <v>160.464</v>
      </c>
      <c r="J578" s="1" t="s">
        <v>369</v>
      </c>
      <c r="K578" s="6">
        <f>Registro_Ordini[[#This Row],[Numero]]*Registro_Ordini[[#This Row],[Prezzo]]</f>
        <v>9627.84</v>
      </c>
      <c r="L578" s="10">
        <v>1.0000001199999999</v>
      </c>
      <c r="M578" s="6">
        <f>Registro_Ordini[[#This Row],[Importo]]*Registro_Ordini[[#This Row],[Cambio]]</f>
        <v>9627.8411553407987</v>
      </c>
      <c r="N578" s="1">
        <f ca="1">IFERROR(_xlfn.NUMBERVALUE(OFFSET(Origine,MATCH(Registro_Ordini[[#This Row],[Titolo]],Descrizioni,0),MATCH("Price",Intestazioni,0)-1,1,1)),"")</f>
        <v>142.4</v>
      </c>
      <c r="O578" s="18">
        <f ca="1">IF(OR(Registro_Ordini[[#This Row],[Price]]=0,Registro_Ordini[[#This Row],[Price]]=""),"",IF(Registro_Ordini[[#This Row],[Tipo]]="Sell",Registro_Ordini[[#This Row],[Prezzo]]/Registro_Ordini[[#This Row],[Price]]-1,Registro_Ordini[[#This Row],[Price]]/Registro_Ordini[[#This Row],[Prezzo]]-1))</f>
        <v>-0.11257353674344395</v>
      </c>
      <c r="P578" s="15">
        <v>1.1872822375750857E-2</v>
      </c>
      <c r="Q578" s="3">
        <v>0.16432768365291589</v>
      </c>
      <c r="R578" s="3">
        <v>0.35230499643436891</v>
      </c>
      <c r="S578" s="3">
        <v>0.37278348452252563</v>
      </c>
      <c r="T578" s="3">
        <v>0</v>
      </c>
      <c r="U578" s="3">
        <v>0.11058383539018954</v>
      </c>
      <c r="V578" s="3"/>
      <c r="W578" s="4"/>
    </row>
    <row r="579" spans="1:23" s="1" customFormat="1" ht="24.95" customHeight="1" x14ac:dyDescent="0.2">
      <c r="A579" s="8">
        <v>45771.665127314816</v>
      </c>
      <c r="B579" s="7">
        <v>45771.665127314816</v>
      </c>
      <c r="C579" s="9" t="s">
        <v>378</v>
      </c>
      <c r="D579" s="1" t="s">
        <v>388</v>
      </c>
      <c r="E579" s="1" t="s">
        <v>397</v>
      </c>
      <c r="F579" s="1" t="s">
        <v>437</v>
      </c>
      <c r="G579" s="1" t="s">
        <v>371</v>
      </c>
      <c r="H579" s="2">
        <v>30</v>
      </c>
      <c r="I579" s="16">
        <v>160.464</v>
      </c>
      <c r="J579" s="1" t="s">
        <v>369</v>
      </c>
      <c r="K579" s="6">
        <f>Registro_Ordini[[#This Row],[Numero]]*Registro_Ordini[[#This Row],[Prezzo]]</f>
        <v>4813.92</v>
      </c>
      <c r="L579" s="10">
        <v>1.0000001199999999</v>
      </c>
      <c r="M579" s="6">
        <f>Registro_Ordini[[#This Row],[Importo]]*Registro_Ordini[[#This Row],[Cambio]]</f>
        <v>4813.9205776703993</v>
      </c>
      <c r="N579" s="1">
        <f ca="1">IFERROR(_xlfn.NUMBERVALUE(OFFSET(Origine,MATCH(Registro_Ordini[[#This Row],[Titolo]],Descrizioni,0),MATCH("Price",Intestazioni,0)-1,1,1)),"")</f>
        <v>142.4</v>
      </c>
      <c r="O579" s="18">
        <f ca="1">IF(OR(Registro_Ordini[[#This Row],[Price]]=0,Registro_Ordini[[#This Row],[Price]]=""),"",IF(Registro_Ordini[[#This Row],[Tipo]]="Sell",Registro_Ordini[[#This Row],[Prezzo]]/Registro_Ordini[[#This Row],[Price]]-1,Registro_Ordini[[#This Row],[Price]]/Registro_Ordini[[#This Row],[Prezzo]]-1))</f>
        <v>-0.11257353674344395</v>
      </c>
      <c r="P579" s="15">
        <v>9.3626664478970185E-3</v>
      </c>
      <c r="Q579" s="3">
        <v>0.18204421888529307</v>
      </c>
      <c r="R579" s="3">
        <v>0.33520221937932737</v>
      </c>
      <c r="S579" s="3">
        <v>0.37780031468595016</v>
      </c>
      <c r="T579" s="3">
        <v>0</v>
      </c>
      <c r="U579" s="3">
        <v>0.10495324704942943</v>
      </c>
      <c r="V579" s="3"/>
      <c r="W579" s="4"/>
    </row>
    <row r="580" spans="1:23" s="1" customFormat="1" ht="24.95" customHeight="1" x14ac:dyDescent="0.2">
      <c r="A580" s="8">
        <v>45771.665127314816</v>
      </c>
      <c r="B580" s="7">
        <v>45771.665127314816</v>
      </c>
      <c r="C580" s="9" t="s">
        <v>377</v>
      </c>
      <c r="D580" s="1" t="s">
        <v>388</v>
      </c>
      <c r="E580" s="1" t="s">
        <v>397</v>
      </c>
      <c r="F580" s="1" t="s">
        <v>437</v>
      </c>
      <c r="G580" s="1" t="s">
        <v>371</v>
      </c>
      <c r="H580" s="2">
        <v>100</v>
      </c>
      <c r="I580" s="16">
        <v>160.464</v>
      </c>
      <c r="J580" s="1" t="s">
        <v>369</v>
      </c>
      <c r="K580" s="6">
        <f>Registro_Ordini[[#This Row],[Numero]]*Registro_Ordini[[#This Row],[Prezzo]]</f>
        <v>16046.4</v>
      </c>
      <c r="L580" s="10">
        <v>1.0000001199999999</v>
      </c>
      <c r="M580" s="6">
        <f>Registro_Ordini[[#This Row],[Importo]]*Registro_Ordini[[#This Row],[Cambio]]</f>
        <v>16046.401925567998</v>
      </c>
      <c r="N580" s="1">
        <f ca="1">IFERROR(_xlfn.NUMBERVALUE(OFFSET(Origine,MATCH(Registro_Ordini[[#This Row],[Titolo]],Descrizioni,0),MATCH("Price",Intestazioni,0)-1,1,1)),"")</f>
        <v>142.4</v>
      </c>
      <c r="O580" s="18">
        <f ca="1">IF(OR(Registro_Ordini[[#This Row],[Price]]=0,Registro_Ordini[[#This Row],[Price]]=""),"",IF(Registro_Ordini[[#This Row],[Tipo]]="Sell",Registro_Ordini[[#This Row],[Prezzo]]/Registro_Ordini[[#This Row],[Price]]-1,Registro_Ordini[[#This Row],[Price]]/Registro_Ordini[[#This Row],[Prezzo]]-1))</f>
        <v>-0.11257353674344395</v>
      </c>
      <c r="P580" s="15">
        <v>1.0142582305600422E-2</v>
      </c>
      <c r="Q580" s="3">
        <v>0.16838109525174497</v>
      </c>
      <c r="R580" s="3">
        <v>0.32846381619224918</v>
      </c>
      <c r="S580" s="3">
        <v>0.39237576982755945</v>
      </c>
      <c r="T580" s="3">
        <v>0</v>
      </c>
      <c r="U580" s="3">
        <v>0.11077931872844636</v>
      </c>
      <c r="V580" s="3"/>
      <c r="W580" s="4"/>
    </row>
    <row r="581" spans="1:23" s="1" customFormat="1" ht="24.95" customHeight="1" x14ac:dyDescent="0.2">
      <c r="A581" s="8">
        <v>45771.665127314816</v>
      </c>
      <c r="B581" s="7">
        <v>45771.665127314816</v>
      </c>
      <c r="C581" s="9" t="s">
        <v>376</v>
      </c>
      <c r="D581" s="1" t="s">
        <v>388</v>
      </c>
      <c r="E581" s="1" t="s">
        <v>397</v>
      </c>
      <c r="F581" s="1" t="s">
        <v>437</v>
      </c>
      <c r="G581" s="1" t="s">
        <v>371</v>
      </c>
      <c r="H581" s="2">
        <v>35</v>
      </c>
      <c r="I581" s="16">
        <v>160.464</v>
      </c>
      <c r="J581" s="1" t="s">
        <v>369</v>
      </c>
      <c r="K581" s="6">
        <f>Registro_Ordini[[#This Row],[Numero]]*Registro_Ordini[[#This Row],[Prezzo]]</f>
        <v>5616.24</v>
      </c>
      <c r="L581" s="10">
        <v>1.0000001199999999</v>
      </c>
      <c r="M581" s="6">
        <f>Registro_Ordini[[#This Row],[Importo]]*Registro_Ordini[[#This Row],[Cambio]]</f>
        <v>5616.2406739487997</v>
      </c>
      <c r="N581" s="1">
        <f ca="1">IFERROR(_xlfn.NUMBERVALUE(OFFSET(Origine,MATCH(Registro_Ordini[[#This Row],[Titolo]],Descrizioni,0),MATCH("Price",Intestazioni,0)-1,1,1)),"")</f>
        <v>142.4</v>
      </c>
      <c r="O581" s="18">
        <f ca="1">IF(OR(Registro_Ordini[[#This Row],[Price]]=0,Registro_Ordini[[#This Row],[Price]]=""),"",IF(Registro_Ordini[[#This Row],[Tipo]]="Sell",Registro_Ordini[[#This Row],[Prezzo]]/Registro_Ordini[[#This Row],[Price]]-1,Registro_Ordini[[#This Row],[Price]]/Registro_Ordini[[#This Row],[Prezzo]]-1))</f>
        <v>-0.11257353674344395</v>
      </c>
      <c r="P581" s="15">
        <v>2.0369431313350693E-2</v>
      </c>
      <c r="Q581" s="3">
        <v>0.10885079935925704</v>
      </c>
      <c r="R581" s="3">
        <v>0.35538536595915821</v>
      </c>
      <c r="S581" s="3">
        <v>0.40102107704610879</v>
      </c>
      <c r="T581" s="3">
        <v>0</v>
      </c>
      <c r="U581" s="3">
        <v>0.13474275763547597</v>
      </c>
      <c r="V581" s="3"/>
      <c r="W581" s="4"/>
    </row>
    <row r="582" spans="1:23" s="1" customFormat="1" ht="24.95" customHeight="1" x14ac:dyDescent="0.2">
      <c r="A582" s="8">
        <v>45771.665127314816</v>
      </c>
      <c r="B582" s="7">
        <v>45771.665127314816</v>
      </c>
      <c r="C582" s="9" t="s">
        <v>367</v>
      </c>
      <c r="D582" s="1" t="s">
        <v>388</v>
      </c>
      <c r="E582" s="1" t="s">
        <v>397</v>
      </c>
      <c r="F582" s="1" t="s">
        <v>437</v>
      </c>
      <c r="G582" s="1" t="s">
        <v>371</v>
      </c>
      <c r="H582" s="2">
        <v>220</v>
      </c>
      <c r="I582" s="16">
        <v>160.4</v>
      </c>
      <c r="J582" s="1" t="s">
        <v>369</v>
      </c>
      <c r="K582" s="6">
        <f>Registro_Ordini[[#This Row],[Numero]]*Registro_Ordini[[#This Row],[Prezzo]]</f>
        <v>35288</v>
      </c>
      <c r="L582" s="10">
        <v>1.0000001199999999</v>
      </c>
      <c r="M582" s="6">
        <f>Registro_Ordini[[#This Row],[Importo]]*Registro_Ordini[[#This Row],[Cambio]]</f>
        <v>35288.004234560001</v>
      </c>
      <c r="N582" s="1">
        <f ca="1">IFERROR(_xlfn.NUMBERVALUE(OFFSET(Origine,MATCH(Registro_Ordini[[#This Row],[Titolo]],Descrizioni,0),MATCH("Price",Intestazioni,0)-1,1,1)),"")</f>
        <v>142.4</v>
      </c>
      <c r="O582" s="18">
        <f ca="1">IF(OR(Registro_Ordini[[#This Row],[Price]]=0,Registro_Ordini[[#This Row],[Price]]=""),"",IF(Registro_Ordini[[#This Row],[Tipo]]="Sell",Registro_Ordini[[#This Row],[Prezzo]]/Registro_Ordini[[#This Row],[Price]]-1,Registro_Ordini[[#This Row],[Price]]/Registro_Ordini[[#This Row],[Prezzo]]-1))</f>
        <v>-0.11221945137157108</v>
      </c>
      <c r="P582" s="15">
        <v>1.0369037067845439E-2</v>
      </c>
      <c r="Q582" s="3">
        <v>0.20082218309773756</v>
      </c>
      <c r="R582" s="3">
        <v>0.40956807693440378</v>
      </c>
      <c r="S582" s="3">
        <v>0.33356109589897537</v>
      </c>
      <c r="T582" s="3">
        <v>0</v>
      </c>
      <c r="U582" s="3">
        <v>5.6048644068883248E-2</v>
      </c>
      <c r="V582" s="3"/>
      <c r="W582" s="4"/>
    </row>
    <row r="583" spans="1:23" s="1" customFormat="1" ht="24.95" customHeight="1" x14ac:dyDescent="0.2">
      <c r="A583" s="8">
        <v>45771.426979166667</v>
      </c>
      <c r="B583" s="7">
        <v>45771.426979166667</v>
      </c>
      <c r="C583" s="9" t="s">
        <v>385</v>
      </c>
      <c r="D583" s="1" t="s">
        <v>388</v>
      </c>
      <c r="E583" s="1" t="s">
        <v>403</v>
      </c>
      <c r="F583" s="1" t="s">
        <v>416</v>
      </c>
      <c r="G583" s="1" t="s">
        <v>371</v>
      </c>
      <c r="H583" s="2">
        <v>100</v>
      </c>
      <c r="I583" s="16">
        <v>43.755000000000003</v>
      </c>
      <c r="J583" s="1" t="s">
        <v>381</v>
      </c>
      <c r="K583" s="6">
        <f>Registro_Ordini[[#This Row],[Numero]]*Registro_Ordini[[#This Row],[Prezzo]]</f>
        <v>4375.5</v>
      </c>
      <c r="L583" s="10">
        <v>1</v>
      </c>
      <c r="M583" s="6">
        <f>Registro_Ordini[[#This Row],[Importo]]*Registro_Ordini[[#This Row],[Cambio]]</f>
        <v>4375.5</v>
      </c>
      <c r="N583" s="1">
        <f ca="1">IFERROR(_xlfn.NUMBERVALUE(OFFSET(Origine,MATCH(Registro_Ordini[[#This Row],[Titolo]],Descrizioni,0),MATCH("Price",Intestazioni,0)-1,1,1)),"")</f>
        <v>56.29</v>
      </c>
      <c r="O583" s="18">
        <f ca="1">IF(OR(Registro_Ordini[[#This Row],[Price]]=0,Registro_Ordini[[#This Row],[Price]]=""),"",IF(Registro_Ordini[[#This Row],[Tipo]]="Sell",Registro_Ordini[[#This Row],[Prezzo]]/Registro_Ordini[[#This Row],[Price]]-1,Registro_Ordini[[#This Row],[Price]]/Registro_Ordini[[#This Row],[Prezzo]]-1))</f>
        <v>0.28648154496628941</v>
      </c>
      <c r="P583" s="15">
        <v>3.1037359547534164E-2</v>
      </c>
      <c r="Q583" s="3">
        <v>0.24495010195002381</v>
      </c>
      <c r="R583" s="3">
        <v>0.46948349119528054</v>
      </c>
      <c r="S583" s="3">
        <v>0.15291334927806971</v>
      </c>
      <c r="T583" s="3">
        <v>4.5192324917687154E-2</v>
      </c>
      <c r="U583" s="3">
        <v>8.7460732658938792E-2</v>
      </c>
      <c r="V583" s="3"/>
      <c r="W583" s="4"/>
    </row>
    <row r="584" spans="1:23" s="1" customFormat="1" ht="24.95" customHeight="1" x14ac:dyDescent="0.2">
      <c r="A584" s="8">
        <v>45771.426689814813</v>
      </c>
      <c r="B584" s="7">
        <v>45771.426689814813</v>
      </c>
      <c r="C584" s="9" t="s">
        <v>385</v>
      </c>
      <c r="D584" s="1" t="s">
        <v>388</v>
      </c>
      <c r="E584" s="1" t="s">
        <v>403</v>
      </c>
      <c r="F584" s="1" t="s">
        <v>438</v>
      </c>
      <c r="G584" s="1" t="s">
        <v>371</v>
      </c>
      <c r="H584" s="2">
        <v>90</v>
      </c>
      <c r="I584" s="16">
        <v>47.305</v>
      </c>
      <c r="J584" s="1" t="s">
        <v>381</v>
      </c>
      <c r="K584" s="6">
        <f>Registro_Ordini[[#This Row],[Numero]]*Registro_Ordini[[#This Row],[Prezzo]]</f>
        <v>4257.45</v>
      </c>
      <c r="L584" s="10">
        <v>1</v>
      </c>
      <c r="M584" s="6">
        <f>Registro_Ordini[[#This Row],[Importo]]*Registro_Ordini[[#This Row],[Cambio]]</f>
        <v>4257.45</v>
      </c>
      <c r="N584" s="1">
        <f ca="1">IFERROR(_xlfn.NUMBERVALUE(OFFSET(Origine,MATCH(Registro_Ordini[[#This Row],[Titolo]],Descrizioni,0),MATCH("Price",Intestazioni,0)-1,1,1)),"")</f>
        <v>47.854999999999997</v>
      </c>
      <c r="O584" s="18">
        <f ca="1">IF(OR(Registro_Ordini[[#This Row],[Price]]=0,Registro_Ordini[[#This Row],[Price]]=""),"",IF(Registro_Ordini[[#This Row],[Tipo]]="Sell",Registro_Ordini[[#This Row],[Prezzo]]/Registro_Ordini[[#This Row],[Price]]-1,Registro_Ordini[[#This Row],[Price]]/Registro_Ordini[[#This Row],[Prezzo]]-1))</f>
        <v>1.1626677941021013E-2</v>
      </c>
      <c r="P584" s="15">
        <v>3.0201424676006356E-2</v>
      </c>
      <c r="Q584" s="3">
        <v>0.27600067661413646</v>
      </c>
      <c r="R584" s="3">
        <v>0.46950597148853068</v>
      </c>
      <c r="S584" s="3">
        <v>0.12183394249004455</v>
      </c>
      <c r="T584" s="3">
        <v>4.5194488863248304E-2</v>
      </c>
      <c r="U584" s="3">
        <v>8.7464920544040009E-2</v>
      </c>
      <c r="V584" s="3"/>
      <c r="W584" s="4"/>
    </row>
    <row r="585" spans="1:23" s="1" customFormat="1" ht="24.95" customHeight="1" x14ac:dyDescent="0.2">
      <c r="A585" s="8">
        <v>45771.426446759258</v>
      </c>
      <c r="B585" s="7">
        <v>45771.426446759258</v>
      </c>
      <c r="C585" s="9" t="s">
        <v>385</v>
      </c>
      <c r="D585" s="1" t="s">
        <v>388</v>
      </c>
      <c r="E585" s="1" t="s">
        <v>389</v>
      </c>
      <c r="F585" s="1" t="s">
        <v>439</v>
      </c>
      <c r="G585" s="1" t="s">
        <v>365</v>
      </c>
      <c r="H585" s="2">
        <v>-35</v>
      </c>
      <c r="I585" s="16">
        <v>112.08</v>
      </c>
      <c r="J585" s="1" t="s">
        <v>381</v>
      </c>
      <c r="K585" s="6">
        <f>Registro_Ordini[[#This Row],[Numero]]*Registro_Ordini[[#This Row],[Prezzo]]</f>
        <v>-3922.7999999999997</v>
      </c>
      <c r="L585" s="10">
        <v>1</v>
      </c>
      <c r="M585" s="6">
        <f>Registro_Ordini[[#This Row],[Importo]]*Registro_Ordini[[#This Row],[Cambio]]</f>
        <v>-3922.7999999999997</v>
      </c>
      <c r="N585" s="1">
        <f ca="1">IFERROR(_xlfn.NUMBERVALUE(OFFSET(Origine,MATCH(Registro_Ordini[[#This Row],[Titolo]],Descrizioni,0),MATCH("Price",Intestazioni,0)-1,1,1)),"")</f>
        <v>140.09</v>
      </c>
      <c r="O585" s="18">
        <f ca="1">IF(OR(Registro_Ordini[[#This Row],[Price]]=0,Registro_Ordini[[#This Row],[Price]]=""),"",IF(Registro_Ordini[[#This Row],[Tipo]]="Sell",Registro_Ordini[[#This Row],[Prezzo]]/Registro_Ordini[[#This Row],[Price]]-1,Registro_Ordini[[#This Row],[Price]]/Registro_Ordini[[#This Row],[Prezzo]]-1))</f>
        <v>-0.19994289385395103</v>
      </c>
      <c r="P585" s="15">
        <v>-2.7829071548282854E-2</v>
      </c>
      <c r="Q585" s="3">
        <v>0.30621730349976239</v>
      </c>
      <c r="R585" s="3">
        <v>0.46953264978109815</v>
      </c>
      <c r="S585" s="3">
        <v>9.1583099332036386E-2</v>
      </c>
      <c r="T585" s="3">
        <v>4.5197056906829326E-2</v>
      </c>
      <c r="U585" s="3">
        <v>8.746989048027376E-2</v>
      </c>
      <c r="V585" s="3"/>
      <c r="W585" s="4"/>
    </row>
    <row r="586" spans="1:23" s="1" customFormat="1" ht="24.95" customHeight="1" x14ac:dyDescent="0.2">
      <c r="A586" s="8">
        <v>45771.386180555557</v>
      </c>
      <c r="B586" s="7">
        <v>45771.386180555557</v>
      </c>
      <c r="C586" s="9" t="s">
        <v>376</v>
      </c>
      <c r="D586" s="1" t="s">
        <v>388</v>
      </c>
      <c r="E586" s="1" t="s">
        <v>397</v>
      </c>
      <c r="F586" s="1" t="s">
        <v>406</v>
      </c>
      <c r="G586" s="1" t="s">
        <v>365</v>
      </c>
      <c r="H586" s="2">
        <v>-45</v>
      </c>
      <c r="I586" s="16">
        <v>121.12</v>
      </c>
      <c r="J586" s="1" t="s">
        <v>369</v>
      </c>
      <c r="K586" s="6">
        <f>Registro_Ordini[[#This Row],[Numero]]*Registro_Ordini[[#This Row],[Prezzo]]</f>
        <v>-5450.4000000000005</v>
      </c>
      <c r="L586" s="10">
        <v>1.0000001199999999</v>
      </c>
      <c r="M586" s="6">
        <f>Registro_Ordini[[#This Row],[Importo]]*Registro_Ordini[[#This Row],[Cambio]]</f>
        <v>-5450.4006540480004</v>
      </c>
      <c r="N586" s="1">
        <f ca="1">IFERROR(_xlfn.NUMBERVALUE(OFFSET(Origine,MATCH(Registro_Ordini[[#This Row],[Titolo]],Descrizioni,0),MATCH("Price",Intestazioni,0)-1,1,1)),"")</f>
        <v>136.52000000000001</v>
      </c>
      <c r="O586" s="18">
        <f ca="1">IF(OR(Registro_Ordini[[#This Row],[Price]]=0,Registro_Ordini[[#This Row],[Price]]=""),"",IF(Registro_Ordini[[#This Row],[Tipo]]="Sell",Registro_Ordini[[#This Row],[Prezzo]]/Registro_Ordini[[#This Row],[Price]]-1,Registro_Ordini[[#This Row],[Price]]/Registro_Ordini[[#This Row],[Prezzo]]-1))</f>
        <v>-0.11280398476413711</v>
      </c>
      <c r="P586" s="15">
        <v>-1.9773448320442862E-2</v>
      </c>
      <c r="Q586" s="3">
        <v>0.12950453332958339</v>
      </c>
      <c r="R586" s="3">
        <v>0.3554098520965881</v>
      </c>
      <c r="S586" s="3">
        <v>0.37965234412897814</v>
      </c>
      <c r="T586" s="3">
        <v>0</v>
      </c>
      <c r="U586" s="3">
        <v>0.13543327044485026</v>
      </c>
      <c r="V586" s="3"/>
      <c r="W586" s="4"/>
    </row>
    <row r="587" spans="1:23" s="1" customFormat="1" ht="24.95" customHeight="1" x14ac:dyDescent="0.2">
      <c r="A587" s="8">
        <v>45771</v>
      </c>
      <c r="B587" s="7">
        <v>45833.443553240744</v>
      </c>
      <c r="C587" s="9" t="s">
        <v>367</v>
      </c>
      <c r="D587" s="1" t="s">
        <v>388</v>
      </c>
      <c r="E587" s="1" t="s">
        <v>420</v>
      </c>
      <c r="F587" s="1" t="s">
        <v>422</v>
      </c>
      <c r="G587" s="1" t="s">
        <v>365</v>
      </c>
      <c r="H587" s="2">
        <v>-900</v>
      </c>
      <c r="I587" s="16">
        <v>60.96</v>
      </c>
      <c r="J587" s="1" t="s">
        <v>366</v>
      </c>
      <c r="K587" s="6">
        <f>Registro_Ordini[[#This Row],[Numero]]*Registro_Ordini[[#This Row],[Prezzo]]</f>
        <v>-54864</v>
      </c>
      <c r="L587" s="10">
        <v>0.80535000000000001</v>
      </c>
      <c r="M587" s="6">
        <f>Registro_Ordini[[#This Row],[Importo]]*Registro_Ordini[[#This Row],[Cambio]]</f>
        <v>-44184.722399999999</v>
      </c>
      <c r="N587" s="1">
        <f ca="1">IFERROR(_xlfn.NUMBERVALUE(OFFSET(Origine,MATCH(Registro_Ordini[[#This Row],[Titolo]],Descrizioni,0),MATCH("Price",Intestazioni,0)-1,1,1)),"")</f>
        <v>71.75</v>
      </c>
      <c r="O587" s="18">
        <f ca="1">IF(OR(Registro_Ordini[[#This Row],[Price]]=0,Registro_Ordini[[#This Row],[Price]]=""),"",IF(Registro_Ordini[[#This Row],[Tipo]]="Sell",Registro_Ordini[[#This Row],[Prezzo]]/Registro_Ordini[[#This Row],[Price]]-1,Registro_Ordini[[#This Row],[Price]]/Registro_Ordini[[#This Row],[Prezzo]]-1))</f>
        <v>-0.150383275261324</v>
      </c>
      <c r="P587" s="15">
        <v>-1.2644316595823038E-2</v>
      </c>
      <c r="Q587" s="3">
        <v>0.21611235451022304</v>
      </c>
      <c r="R587" s="3">
        <v>0.38600513795202385</v>
      </c>
      <c r="S587" s="3">
        <v>0.3445390530519637</v>
      </c>
      <c r="T587" s="3">
        <v>0</v>
      </c>
      <c r="U587" s="3">
        <v>5.3343454485789227E-2</v>
      </c>
      <c r="V587" s="3"/>
      <c r="W587" s="4"/>
    </row>
    <row r="588" spans="1:23" s="1" customFormat="1" ht="24.95" customHeight="1" x14ac:dyDescent="0.2">
      <c r="A588" s="8">
        <v>45770.730624999997</v>
      </c>
      <c r="B588" s="7">
        <v>45770.730624999997</v>
      </c>
      <c r="C588" s="9" t="s">
        <v>78</v>
      </c>
      <c r="D588" s="1" t="s">
        <v>388</v>
      </c>
      <c r="E588" s="1" t="s">
        <v>397</v>
      </c>
      <c r="F588" s="1" t="s">
        <v>440</v>
      </c>
      <c r="G588" s="1" t="s">
        <v>371</v>
      </c>
      <c r="H588" s="2">
        <v>70</v>
      </c>
      <c r="I588" s="16">
        <v>113</v>
      </c>
      <c r="J588" s="1" t="s">
        <v>369</v>
      </c>
      <c r="K588" s="6">
        <f>Registro_Ordini[[#This Row],[Numero]]*Registro_Ordini[[#This Row],[Prezzo]]</f>
        <v>7910</v>
      </c>
      <c r="L588" s="10">
        <v>1.0000001199999999</v>
      </c>
      <c r="M588" s="6">
        <f>Registro_Ordini[[#This Row],[Importo]]*Registro_Ordini[[#This Row],[Cambio]]</f>
        <v>7910.0009491999999</v>
      </c>
      <c r="N588" s="1">
        <f ca="1">IFERROR(_xlfn.NUMBERVALUE(OFFSET(Origine,MATCH(Registro_Ordini[[#This Row],[Titolo]],Descrizioni,0),MATCH("Price",Intestazioni,0)-1,1,1)),"")</f>
        <v>144.5</v>
      </c>
      <c r="O588" s="18">
        <f ca="1">IF(OR(Registro_Ordini[[#This Row],[Price]]=0,Registro_Ordini[[#This Row],[Price]]=""),"",IF(Registro_Ordini[[#This Row],[Tipo]]="Sell",Registro_Ordini[[#This Row],[Prezzo]]/Registro_Ordini[[#This Row],[Price]]-1,Registro_Ordini[[#This Row],[Price]]/Registro_Ordini[[#This Row],[Prezzo]]-1))</f>
        <v>0.27876106194690276</v>
      </c>
      <c r="P588" s="15">
        <v>1.535953729097022E-2</v>
      </c>
      <c r="Q588" s="3">
        <v>0.29071313159764189</v>
      </c>
      <c r="R588" s="3">
        <v>0.13462071317227636</v>
      </c>
      <c r="S588" s="3">
        <v>0.50786090605706802</v>
      </c>
      <c r="T588" s="3">
        <v>0</v>
      </c>
      <c r="U588" s="3">
        <v>6.6805249173013836E-2</v>
      </c>
      <c r="V588" s="3"/>
      <c r="W588" s="4"/>
    </row>
    <row r="589" spans="1:23" s="1" customFormat="1" ht="24.95" customHeight="1" x14ac:dyDescent="0.2">
      <c r="A589" s="8">
        <v>45770.729849537034</v>
      </c>
      <c r="B589" s="7">
        <v>45770.729849537034</v>
      </c>
      <c r="C589" s="9" t="s">
        <v>383</v>
      </c>
      <c r="D589" s="1" t="s">
        <v>388</v>
      </c>
      <c r="E589" s="1" t="s">
        <v>389</v>
      </c>
      <c r="F589" s="1" t="s">
        <v>430</v>
      </c>
      <c r="G589" s="1" t="s">
        <v>371</v>
      </c>
      <c r="H589" s="2">
        <v>220</v>
      </c>
      <c r="I589" s="16">
        <v>78.319400000000002</v>
      </c>
      <c r="J589" s="1" t="s">
        <v>366</v>
      </c>
      <c r="K589" s="6">
        <f>Registro_Ordini[[#This Row],[Numero]]*Registro_Ordini[[#This Row],[Prezzo]]</f>
        <v>17230.268</v>
      </c>
      <c r="L589" s="10">
        <v>0.87970000000000004</v>
      </c>
      <c r="M589" s="6">
        <f>Registro_Ordini[[#This Row],[Importo]]*Registro_Ordini[[#This Row],[Cambio]]</f>
        <v>15157.4667596</v>
      </c>
      <c r="N589" s="1">
        <f ca="1">IFERROR(_xlfn.NUMBERVALUE(OFFSET(Origine,MATCH(Registro_Ordini[[#This Row],[Titolo]],Descrizioni,0),MATCH("Price",Intestazioni,0)-1,1,1)),"")</f>
        <v>46.79</v>
      </c>
      <c r="O589" s="18">
        <f ca="1">IF(OR(Registro_Ordini[[#This Row],[Price]]=0,Registro_Ordini[[#This Row],[Price]]=""),"",IF(Registro_Ordini[[#This Row],[Tipo]]="Sell",Registro_Ordini[[#This Row],[Prezzo]]/Registro_Ordini[[#This Row],[Price]]-1,Registro_Ordini[[#This Row],[Price]]/Registro_Ordini[[#This Row],[Prezzo]]-1))</f>
        <v>-0.4025745856071421</v>
      </c>
      <c r="P589" s="15">
        <v>2.4454133726224701E-2</v>
      </c>
      <c r="Q589" s="3">
        <v>0.24181300799592478</v>
      </c>
      <c r="R589" s="3">
        <v>0.27542153877699388</v>
      </c>
      <c r="S589" s="3">
        <v>0.3659936224541247</v>
      </c>
      <c r="T589" s="3">
        <v>0</v>
      </c>
      <c r="U589" s="3">
        <v>0.11677183077295672</v>
      </c>
      <c r="V589" s="3"/>
      <c r="W589" s="4"/>
    </row>
    <row r="590" spans="1:23" s="1" customFormat="1" ht="24.95" customHeight="1" x14ac:dyDescent="0.2">
      <c r="A590" s="8">
        <v>45770.729849537034</v>
      </c>
      <c r="B590" s="7">
        <v>45770.729849537034</v>
      </c>
      <c r="C590" s="9" t="s">
        <v>78</v>
      </c>
      <c r="D590" s="1" t="s">
        <v>388</v>
      </c>
      <c r="E590" s="1" t="s">
        <v>389</v>
      </c>
      <c r="F590" s="1" t="s">
        <v>430</v>
      </c>
      <c r="G590" s="1" t="s">
        <v>371</v>
      </c>
      <c r="H590" s="2">
        <v>195</v>
      </c>
      <c r="I590" s="16">
        <v>78.319400000000002</v>
      </c>
      <c r="J590" s="1" t="s">
        <v>366</v>
      </c>
      <c r="K590" s="6">
        <f>Registro_Ordini[[#This Row],[Numero]]*Registro_Ordini[[#This Row],[Prezzo]]</f>
        <v>15272.282999999999</v>
      </c>
      <c r="L590" s="10">
        <v>0.82684999999999997</v>
      </c>
      <c r="M590" s="6">
        <f>Registro_Ordini[[#This Row],[Importo]]*Registro_Ordini[[#This Row],[Cambio]]</f>
        <v>12627.887198549999</v>
      </c>
      <c r="N590" s="1">
        <f ca="1">IFERROR(_xlfn.NUMBERVALUE(OFFSET(Origine,MATCH(Registro_Ordini[[#This Row],[Titolo]],Descrizioni,0),MATCH("Price",Intestazioni,0)-1,1,1)),"")</f>
        <v>46.79</v>
      </c>
      <c r="O590" s="18">
        <f ca="1">IF(OR(Registro_Ordini[[#This Row],[Price]]=0,Registro_Ordini[[#This Row],[Price]]=""),"",IF(Registro_Ordini[[#This Row],[Tipo]]="Sell",Registro_Ordini[[#This Row],[Prezzo]]/Registro_Ordini[[#This Row],[Price]]-1,Registro_Ordini[[#This Row],[Price]]/Registro_Ordini[[#This Row],[Prezzo]]-1))</f>
        <v>-0.4025745856071421</v>
      </c>
      <c r="P590" s="15">
        <v>2.4546967847863928E-2</v>
      </c>
      <c r="Q590" s="3">
        <v>0.3333617449484893</v>
      </c>
      <c r="R590" s="3">
        <v>0.13476510370712533</v>
      </c>
      <c r="S590" s="3">
        <v>0.46506622798765146</v>
      </c>
      <c r="T590" s="3">
        <v>0</v>
      </c>
      <c r="U590" s="3">
        <v>6.6806923356733855E-2</v>
      </c>
      <c r="V590" s="3"/>
      <c r="W590" s="4"/>
    </row>
    <row r="591" spans="1:23" s="1" customFormat="1" ht="24.95" customHeight="1" x14ac:dyDescent="0.2">
      <c r="A591" s="8">
        <v>45770.729849537034</v>
      </c>
      <c r="B591" s="7">
        <v>45770.729849537034</v>
      </c>
      <c r="C591" s="9" t="s">
        <v>375</v>
      </c>
      <c r="D591" s="1" t="s">
        <v>388</v>
      </c>
      <c r="E591" s="1" t="s">
        <v>389</v>
      </c>
      <c r="F591" s="1" t="s">
        <v>430</v>
      </c>
      <c r="G591" s="1" t="s">
        <v>371</v>
      </c>
      <c r="H591" s="2">
        <v>180</v>
      </c>
      <c r="I591" s="16">
        <v>78.319400000000002</v>
      </c>
      <c r="J591" s="1" t="s">
        <v>366</v>
      </c>
      <c r="K591" s="6">
        <f>Registro_Ordini[[#This Row],[Numero]]*Registro_Ordini[[#This Row],[Prezzo]]</f>
        <v>14097.492</v>
      </c>
      <c r="L591" s="10">
        <v>0.82684999999999997</v>
      </c>
      <c r="M591" s="6">
        <f>Registro_Ordini[[#This Row],[Importo]]*Registro_Ordini[[#This Row],[Cambio]]</f>
        <v>11656.511260199999</v>
      </c>
      <c r="N591" s="1">
        <f ca="1">IFERROR(_xlfn.NUMBERVALUE(OFFSET(Origine,MATCH(Registro_Ordini[[#This Row],[Titolo]],Descrizioni,0),MATCH("Price",Intestazioni,0)-1,1,1)),"")</f>
        <v>46.79</v>
      </c>
      <c r="O591" s="18">
        <f ca="1">IF(OR(Registro_Ordini[[#This Row],[Price]]=0,Registro_Ordini[[#This Row],[Price]]=""),"",IF(Registro_Ordini[[#This Row],[Tipo]]="Sell",Registro_Ordini[[#This Row],[Prezzo]]/Registro_Ordini[[#This Row],[Price]]-1,Registro_Ordini[[#This Row],[Price]]/Registro_Ordini[[#This Row],[Prezzo]]-1))</f>
        <v>-0.4025745856071421</v>
      </c>
      <c r="P591" s="15">
        <v>1.4401289911888063E-2</v>
      </c>
      <c r="Q591" s="3">
        <v>0.2033590467345619</v>
      </c>
      <c r="R591" s="3">
        <v>0.35288673584968977</v>
      </c>
      <c r="S591" s="3">
        <v>0.33320913732955071</v>
      </c>
      <c r="T591" s="3">
        <v>0</v>
      </c>
      <c r="U591" s="3">
        <v>0.11054508008619769</v>
      </c>
      <c r="V591" s="3"/>
      <c r="W591" s="4"/>
    </row>
    <row r="592" spans="1:23" s="1" customFormat="1" ht="24.95" customHeight="1" x14ac:dyDescent="0.2">
      <c r="A592" s="8">
        <v>45770.729849537034</v>
      </c>
      <c r="B592" s="7">
        <v>45770.729849537034</v>
      </c>
      <c r="C592" s="9" t="s">
        <v>382</v>
      </c>
      <c r="D592" s="1" t="s">
        <v>388</v>
      </c>
      <c r="E592" s="1" t="s">
        <v>389</v>
      </c>
      <c r="F592" s="1" t="s">
        <v>430</v>
      </c>
      <c r="G592" s="1" t="s">
        <v>371</v>
      </c>
      <c r="H592" s="2">
        <v>375</v>
      </c>
      <c r="I592" s="16">
        <v>78.319400000000002</v>
      </c>
      <c r="J592" s="1" t="s">
        <v>366</v>
      </c>
      <c r="K592" s="6">
        <f>Registro_Ordini[[#This Row],[Numero]]*Registro_Ordini[[#This Row],[Prezzo]]</f>
        <v>29369.775000000001</v>
      </c>
      <c r="L592" s="10">
        <v>0.87970000000000004</v>
      </c>
      <c r="M592" s="6">
        <f>Registro_Ordini[[#This Row],[Importo]]*Registro_Ordini[[#This Row],[Cambio]]</f>
        <v>25836.591067500001</v>
      </c>
      <c r="N592" s="1">
        <f ca="1">IFERROR(_xlfn.NUMBERVALUE(OFFSET(Origine,MATCH(Registro_Ordini[[#This Row],[Titolo]],Descrizioni,0),MATCH("Price",Intestazioni,0)-1,1,1)),"")</f>
        <v>46.79</v>
      </c>
      <c r="O592" s="18">
        <f ca="1">IF(OR(Registro_Ordini[[#This Row],[Price]]=0,Registro_Ordini[[#This Row],[Price]]=""),"",IF(Registro_Ordini[[#This Row],[Tipo]]="Sell",Registro_Ordini[[#This Row],[Prezzo]]/Registro_Ordini[[#This Row],[Price]]-1,Registro_Ordini[[#This Row],[Price]]/Registro_Ordini[[#This Row],[Prezzo]]-1))</f>
        <v>-0.4025745856071421</v>
      </c>
      <c r="P592" s="15">
        <v>2.4674571713439449E-2</v>
      </c>
      <c r="Q592" s="3">
        <v>0.22473206721865216</v>
      </c>
      <c r="R592" s="3">
        <v>0.28000751560089221</v>
      </c>
      <c r="S592" s="3">
        <v>0.37740197097589023</v>
      </c>
      <c r="T592" s="3">
        <v>0</v>
      </c>
      <c r="U592" s="3">
        <v>0.11785844620456536</v>
      </c>
      <c r="V592" s="3"/>
      <c r="W592" s="4"/>
    </row>
    <row r="593" spans="1:23" s="1" customFormat="1" ht="24.95" customHeight="1" x14ac:dyDescent="0.2">
      <c r="A593" s="8">
        <v>45770.729849537034</v>
      </c>
      <c r="B593" s="7">
        <v>45770.729849537034</v>
      </c>
      <c r="C593" s="9" t="s">
        <v>378</v>
      </c>
      <c r="D593" s="1" t="s">
        <v>388</v>
      </c>
      <c r="E593" s="1" t="s">
        <v>389</v>
      </c>
      <c r="F593" s="1" t="s">
        <v>430</v>
      </c>
      <c r="G593" s="1" t="s">
        <v>371</v>
      </c>
      <c r="H593" s="2">
        <v>120</v>
      </c>
      <c r="I593" s="16">
        <v>78.319400000000002</v>
      </c>
      <c r="J593" s="1" t="s">
        <v>366</v>
      </c>
      <c r="K593" s="6">
        <f>Registro_Ordini[[#This Row],[Numero]]*Registro_Ordini[[#This Row],[Prezzo]]</f>
        <v>9398.3279999999995</v>
      </c>
      <c r="L593" s="10">
        <v>0.82684999999999997</v>
      </c>
      <c r="M593" s="6">
        <f>Registro_Ordini[[#This Row],[Importo]]*Registro_Ordini[[#This Row],[Cambio]]</f>
        <v>7771.0075067999996</v>
      </c>
      <c r="N593" s="1">
        <f ca="1">IFERROR(_xlfn.NUMBERVALUE(OFFSET(Origine,MATCH(Registro_Ordini[[#This Row],[Titolo]],Descrizioni,0),MATCH("Price",Intestazioni,0)-1,1,1)),"")</f>
        <v>46.79</v>
      </c>
      <c r="O593" s="18">
        <f ca="1">IF(OR(Registro_Ordini[[#This Row],[Price]]=0,Registro_Ordini[[#This Row],[Price]]=""),"",IF(Registro_Ordini[[#This Row],[Tipo]]="Sell",Registro_Ordini[[#This Row],[Prezzo]]/Registro_Ordini[[#This Row],[Price]]-1,Registro_Ordini[[#This Row],[Price]]/Registro_Ordini[[#This Row],[Prezzo]]-1))</f>
        <v>-0.4025745856071421</v>
      </c>
      <c r="P593" s="15">
        <v>1.5130280791509789E-2</v>
      </c>
      <c r="Q593" s="3">
        <v>0.21875966877043937</v>
      </c>
      <c r="R593" s="3">
        <v>0.33546804868235058</v>
      </c>
      <c r="S593" s="3">
        <v>0.3402806075931849</v>
      </c>
      <c r="T593" s="3">
        <v>0</v>
      </c>
      <c r="U593" s="3">
        <v>0.10549167495402519</v>
      </c>
      <c r="V593" s="3"/>
      <c r="W593" s="4"/>
    </row>
    <row r="594" spans="1:23" s="1" customFormat="1" ht="24.95" customHeight="1" x14ac:dyDescent="0.2">
      <c r="A594" s="8">
        <v>45770.729849537034</v>
      </c>
      <c r="B594" s="7">
        <v>45770.729849537034</v>
      </c>
      <c r="C594" s="9" t="s">
        <v>377</v>
      </c>
      <c r="D594" s="1" t="s">
        <v>388</v>
      </c>
      <c r="E594" s="1" t="s">
        <v>389</v>
      </c>
      <c r="F594" s="1" t="s">
        <v>430</v>
      </c>
      <c r="G594" s="1" t="s">
        <v>371</v>
      </c>
      <c r="H594" s="2">
        <v>365</v>
      </c>
      <c r="I594" s="16">
        <v>78.319400000000002</v>
      </c>
      <c r="J594" s="1" t="s">
        <v>366</v>
      </c>
      <c r="K594" s="6">
        <f>Registro_Ordini[[#This Row],[Numero]]*Registro_Ordini[[#This Row],[Prezzo]]</f>
        <v>28586.581000000002</v>
      </c>
      <c r="L594" s="10">
        <v>0.82684999999999997</v>
      </c>
      <c r="M594" s="6">
        <f>Registro_Ordini[[#This Row],[Importo]]*Registro_Ordini[[#This Row],[Cambio]]</f>
        <v>23636.814499849999</v>
      </c>
      <c r="N594" s="1">
        <f ca="1">IFERROR(_xlfn.NUMBERVALUE(OFFSET(Origine,MATCH(Registro_Ordini[[#This Row],[Titolo]],Descrizioni,0),MATCH("Price",Intestazioni,0)-1,1,1)),"")</f>
        <v>46.79</v>
      </c>
      <c r="O594" s="18">
        <f ca="1">IF(OR(Registro_Ordini[[#This Row],[Price]]=0,Registro_Ordini[[#This Row],[Price]]=""),"",IF(Registro_Ordini[[#This Row],[Tipo]]="Sell",Registro_Ordini[[#This Row],[Prezzo]]/Registro_Ordini[[#This Row],[Price]]-1,Registro_Ordini[[#This Row],[Price]]/Registro_Ordini[[#This Row],[Prezzo]]-1))</f>
        <v>-0.4025745856071421</v>
      </c>
      <c r="P594" s="15">
        <v>1.4759816540758617E-2</v>
      </c>
      <c r="Q594" s="3">
        <v>0.20561547226510701</v>
      </c>
      <c r="R594" s="3">
        <v>0.32890994247469385</v>
      </c>
      <c r="S594" s="3">
        <v>0.35451362879378528</v>
      </c>
      <c r="T594" s="3">
        <v>0</v>
      </c>
      <c r="U594" s="3">
        <v>0.11096095646641398</v>
      </c>
      <c r="V594" s="3"/>
      <c r="W594" s="4"/>
    </row>
    <row r="595" spans="1:23" s="1" customFormat="1" ht="24.95" customHeight="1" x14ac:dyDescent="0.2">
      <c r="A595" s="8">
        <v>45770.729849537034</v>
      </c>
      <c r="B595" s="7">
        <v>45770.729849537034</v>
      </c>
      <c r="C595" s="9" t="s">
        <v>376</v>
      </c>
      <c r="D595" s="1" t="s">
        <v>388</v>
      </c>
      <c r="E595" s="1" t="s">
        <v>389</v>
      </c>
      <c r="F595" s="1" t="s">
        <v>430</v>
      </c>
      <c r="G595" s="1" t="s">
        <v>371</v>
      </c>
      <c r="H595" s="2">
        <v>65</v>
      </c>
      <c r="I595" s="16">
        <v>78.319400000000002</v>
      </c>
      <c r="J595" s="1" t="s">
        <v>366</v>
      </c>
      <c r="K595" s="6">
        <f>Registro_Ordini[[#This Row],[Numero]]*Registro_Ordini[[#This Row],[Prezzo]]</f>
        <v>5090.7610000000004</v>
      </c>
      <c r="L595" s="10">
        <v>0.82684999999999997</v>
      </c>
      <c r="M595" s="6">
        <f>Registro_Ordini[[#This Row],[Importo]]*Registro_Ordini[[#This Row],[Cambio]]</f>
        <v>4209.2957328500006</v>
      </c>
      <c r="N595" s="1">
        <f ca="1">IFERROR(_xlfn.NUMBERVALUE(OFFSET(Origine,MATCH(Registro_Ordini[[#This Row],[Titolo]],Descrizioni,0),MATCH("Price",Intestazioni,0)-1,1,1)),"")</f>
        <v>46.79</v>
      </c>
      <c r="O595" s="18">
        <f ca="1">IF(OR(Registro_Ordini[[#This Row],[Price]]=0,Registro_Ordini[[#This Row],[Price]]=""),"",IF(Registro_Ordini[[#This Row],[Tipo]]="Sell",Registro_Ordini[[#This Row],[Prezzo]]/Registro_Ordini[[#This Row],[Price]]-1,Registro_Ordini[[#This Row],[Price]]/Registro_Ordini[[#This Row],[Prezzo]]-1))</f>
        <v>-0.4025745856071421</v>
      </c>
      <c r="P595" s="15">
        <v>1.5284860945131826E-2</v>
      </c>
      <c r="Q595" s="3">
        <v>0.14545086873923238</v>
      </c>
      <c r="R595" s="3">
        <v>0.35573576481824126</v>
      </c>
      <c r="S595" s="3">
        <v>0.36343724048923159</v>
      </c>
      <c r="T595" s="3">
        <v>0</v>
      </c>
      <c r="U595" s="3">
        <v>0.13537612595329487</v>
      </c>
      <c r="V595" s="3"/>
      <c r="W595" s="4"/>
    </row>
    <row r="596" spans="1:23" s="1" customFormat="1" ht="24.95" customHeight="1" x14ac:dyDescent="0.2">
      <c r="A596" s="8">
        <v>45770.729849537034</v>
      </c>
      <c r="B596" s="7">
        <v>45770.729849537034</v>
      </c>
      <c r="C596" s="9" t="s">
        <v>379</v>
      </c>
      <c r="D596" s="1" t="s">
        <v>388</v>
      </c>
      <c r="E596" s="1" t="s">
        <v>389</v>
      </c>
      <c r="F596" s="1" t="s">
        <v>430</v>
      </c>
      <c r="G596" s="1" t="s">
        <v>371</v>
      </c>
      <c r="H596" s="2">
        <v>200</v>
      </c>
      <c r="I596" s="16">
        <v>78.319400000000002</v>
      </c>
      <c r="J596" s="1" t="s">
        <v>366</v>
      </c>
      <c r="K596" s="6">
        <f>Registro_Ordini[[#This Row],[Numero]]*Registro_Ordini[[#This Row],[Prezzo]]</f>
        <v>15663.880000000001</v>
      </c>
      <c r="L596" s="10">
        <v>0.87970000000000004</v>
      </c>
      <c r="M596" s="6">
        <f>Registro_Ordini[[#This Row],[Importo]]*Registro_Ordini[[#This Row],[Cambio]]</f>
        <v>13779.515236000001</v>
      </c>
      <c r="N596" s="1">
        <f ca="1">IFERROR(_xlfn.NUMBERVALUE(OFFSET(Origine,MATCH(Registro_Ordini[[#This Row],[Titolo]],Descrizioni,0),MATCH("Price",Intestazioni,0)-1,1,1)),"")</f>
        <v>46.79</v>
      </c>
      <c r="O596" s="18">
        <f ca="1">IF(OR(Registro_Ordini[[#This Row],[Price]]=0,Registro_Ordini[[#This Row],[Price]]=""),"",IF(Registro_Ordini[[#This Row],[Tipo]]="Sell",Registro_Ordini[[#This Row],[Prezzo]]/Registro_Ordini[[#This Row],[Price]]-1,Registro_Ordini[[#This Row],[Price]]/Registro_Ordini[[#This Row],[Prezzo]]-1))</f>
        <v>-0.4025745856071421</v>
      </c>
      <c r="P596" s="15">
        <v>2.4521949640411815E-2</v>
      </c>
      <c r="Q596" s="3">
        <v>0.22356969543329094</v>
      </c>
      <c r="R596" s="3">
        <v>0.2910628732881157</v>
      </c>
      <c r="S596" s="3">
        <v>0.36859296240002704</v>
      </c>
      <c r="T596" s="3">
        <v>0</v>
      </c>
      <c r="U596" s="3">
        <v>0.11677446887856635</v>
      </c>
      <c r="V596" s="3"/>
      <c r="W596" s="4"/>
    </row>
    <row r="597" spans="1:23" s="1" customFormat="1" ht="24.95" customHeight="1" x14ac:dyDescent="0.2">
      <c r="A597" s="8">
        <v>45770.728946759256</v>
      </c>
      <c r="B597" s="7">
        <v>45770.728946759256</v>
      </c>
      <c r="C597" s="9" t="s">
        <v>383</v>
      </c>
      <c r="D597" s="1" t="s">
        <v>388</v>
      </c>
      <c r="E597" s="1" t="s">
        <v>389</v>
      </c>
      <c r="F597" s="1" t="s">
        <v>400</v>
      </c>
      <c r="G597" s="1" t="s">
        <v>371</v>
      </c>
      <c r="H597" s="2">
        <v>210</v>
      </c>
      <c r="I597" s="16">
        <v>81.510000000000005</v>
      </c>
      <c r="J597" s="1" t="s">
        <v>366</v>
      </c>
      <c r="K597" s="6">
        <f>Registro_Ordini[[#This Row],[Numero]]*Registro_Ordini[[#This Row],[Prezzo]]</f>
        <v>17117.100000000002</v>
      </c>
      <c r="L597" s="10">
        <v>0.87924999999999998</v>
      </c>
      <c r="M597" s="6">
        <f>Registro_Ordini[[#This Row],[Importo]]*Registro_Ordini[[#This Row],[Cambio]]</f>
        <v>15050.210175000002</v>
      </c>
      <c r="N597" s="1">
        <f ca="1">IFERROR(_xlfn.NUMBERVALUE(OFFSET(Origine,MATCH(Registro_Ordini[[#This Row],[Titolo]],Descrizioni,0),MATCH("Price",Intestazioni,0)-1,1,1)),"")</f>
        <v>87.63</v>
      </c>
      <c r="O597" s="18">
        <f ca="1">IF(OR(Registro_Ordini[[#This Row],[Price]]=0,Registro_Ordini[[#This Row],[Price]]=""),"",IF(Registro_Ordini[[#This Row],[Tipo]]="Sell",Registro_Ordini[[#This Row],[Prezzo]]/Registro_Ordini[[#This Row],[Price]]-1,Registro_Ordini[[#This Row],[Price]]/Registro_Ordini[[#This Row],[Prezzo]]-1))</f>
        <v>7.508281192491717E-2</v>
      </c>
      <c r="P597" s="15">
        <v>2.4264607980056641E-2</v>
      </c>
      <c r="Q597" s="3">
        <v>0.21738659907125127</v>
      </c>
      <c r="R597" s="3">
        <v>0.27526841140646818</v>
      </c>
      <c r="S597" s="3">
        <v>0.39019199179932934</v>
      </c>
      <c r="T597" s="3">
        <v>0</v>
      </c>
      <c r="U597" s="3">
        <v>0.11715299772295119</v>
      </c>
      <c r="V597" s="3"/>
      <c r="W597" s="4"/>
    </row>
    <row r="598" spans="1:23" s="1" customFormat="1" ht="24.95" customHeight="1" x14ac:dyDescent="0.2">
      <c r="A598" s="8">
        <v>45770.728946759256</v>
      </c>
      <c r="B598" s="7">
        <v>45770.728946759256</v>
      </c>
      <c r="C598" s="9" t="s">
        <v>78</v>
      </c>
      <c r="D598" s="1" t="s">
        <v>388</v>
      </c>
      <c r="E598" s="1" t="s">
        <v>389</v>
      </c>
      <c r="F598" s="1" t="s">
        <v>400</v>
      </c>
      <c r="G598" s="1" t="s">
        <v>371</v>
      </c>
      <c r="H598" s="2">
        <v>190</v>
      </c>
      <c r="I598" s="16">
        <v>81.510000000000005</v>
      </c>
      <c r="J598" s="1" t="s">
        <v>366</v>
      </c>
      <c r="K598" s="6">
        <f>Registro_Ordini[[#This Row],[Numero]]*Registro_Ordini[[#This Row],[Prezzo]]</f>
        <v>15486.900000000001</v>
      </c>
      <c r="L598" s="10">
        <v>0.82604999999999995</v>
      </c>
      <c r="M598" s="6">
        <f>Registro_Ordini[[#This Row],[Importo]]*Registro_Ordini[[#This Row],[Cambio]]</f>
        <v>12792.953745000001</v>
      </c>
      <c r="N598" s="1">
        <f ca="1">IFERROR(_xlfn.NUMBERVALUE(OFFSET(Origine,MATCH(Registro_Ordini[[#This Row],[Titolo]],Descrizioni,0),MATCH("Price",Intestazioni,0)-1,1,1)),"")</f>
        <v>87.63</v>
      </c>
      <c r="O598" s="18">
        <f ca="1">IF(OR(Registro_Ordini[[#This Row],[Price]]=0,Registro_Ordini[[#This Row],[Price]]=""),"",IF(Registro_Ordini[[#This Row],[Tipo]]="Sell",Registro_Ordini[[#This Row],[Prezzo]]/Registro_Ordini[[#This Row],[Price]]-1,Registro_Ordini[[#This Row],[Price]]/Registro_Ordini[[#This Row],[Prezzo]]-1))</f>
        <v>7.508281192491717E-2</v>
      </c>
      <c r="P598" s="15">
        <v>2.4856973064646702E-2</v>
      </c>
      <c r="Q598" s="3">
        <v>0.30833869986867368</v>
      </c>
      <c r="R598" s="3">
        <v>0.13470623626208894</v>
      </c>
      <c r="S598" s="3">
        <v>0.48992084403760922</v>
      </c>
      <c r="T598" s="3">
        <v>0</v>
      </c>
      <c r="U598" s="3">
        <v>6.7034219831628078E-2</v>
      </c>
      <c r="V598" s="3"/>
      <c r="W598" s="4"/>
    </row>
    <row r="599" spans="1:23" s="1" customFormat="1" ht="24.95" customHeight="1" x14ac:dyDescent="0.2">
      <c r="A599" s="8">
        <v>45770.728946759256</v>
      </c>
      <c r="B599" s="7">
        <v>45770.728946759256</v>
      </c>
      <c r="C599" s="9" t="s">
        <v>375</v>
      </c>
      <c r="D599" s="1" t="s">
        <v>388</v>
      </c>
      <c r="E599" s="1" t="s">
        <v>389</v>
      </c>
      <c r="F599" s="1" t="s">
        <v>400</v>
      </c>
      <c r="G599" s="1" t="s">
        <v>371</v>
      </c>
      <c r="H599" s="2">
        <v>180</v>
      </c>
      <c r="I599" s="16">
        <v>81.510000000000005</v>
      </c>
      <c r="J599" s="1" t="s">
        <v>366</v>
      </c>
      <c r="K599" s="6">
        <f>Registro_Ordini[[#This Row],[Numero]]*Registro_Ordini[[#This Row],[Prezzo]]</f>
        <v>14671.800000000001</v>
      </c>
      <c r="L599" s="10">
        <v>0.82604999999999995</v>
      </c>
      <c r="M599" s="6">
        <f>Registro_Ordini[[#This Row],[Importo]]*Registro_Ordini[[#This Row],[Cambio]]</f>
        <v>12119.64039</v>
      </c>
      <c r="N599" s="1">
        <f ca="1">IFERROR(_xlfn.NUMBERVALUE(OFFSET(Origine,MATCH(Registro_Ordini[[#This Row],[Titolo]],Descrizioni,0),MATCH("Price",Intestazioni,0)-1,1,1)),"")</f>
        <v>87.63</v>
      </c>
      <c r="O599" s="18">
        <f ca="1">IF(OR(Registro_Ordini[[#This Row],[Price]]=0,Registro_Ordini[[#This Row],[Price]]=""),"",IF(Registro_Ordini[[#This Row],[Tipo]]="Sell",Registro_Ordini[[#This Row],[Prezzo]]/Registro_Ordini[[#This Row],[Price]]-1,Registro_Ordini[[#This Row],[Price]]/Registro_Ordini[[#This Row],[Prezzo]]-1))</f>
        <v>7.508281192491717E-2</v>
      </c>
      <c r="P599" s="15">
        <v>1.4968157897085539E-2</v>
      </c>
      <c r="Q599" s="3">
        <v>0.18828785342600565</v>
      </c>
      <c r="R599" s="3">
        <v>0.3527614758968507</v>
      </c>
      <c r="S599" s="3">
        <v>0.34820276291563185</v>
      </c>
      <c r="T599" s="3">
        <v>0</v>
      </c>
      <c r="U599" s="3">
        <v>0.1107479077615118</v>
      </c>
      <c r="V599" s="3"/>
      <c r="W599" s="4"/>
    </row>
    <row r="600" spans="1:23" s="1" customFormat="1" ht="24.95" customHeight="1" x14ac:dyDescent="0.2">
      <c r="A600" s="8">
        <v>45770.728946759256</v>
      </c>
      <c r="B600" s="7">
        <v>45770.728946759256</v>
      </c>
      <c r="C600" s="9" t="s">
        <v>382</v>
      </c>
      <c r="D600" s="1" t="s">
        <v>388</v>
      </c>
      <c r="E600" s="1" t="s">
        <v>389</v>
      </c>
      <c r="F600" s="1" t="s">
        <v>400</v>
      </c>
      <c r="G600" s="1" t="s">
        <v>371</v>
      </c>
      <c r="H600" s="2">
        <v>360</v>
      </c>
      <c r="I600" s="16">
        <v>81.510000000000005</v>
      </c>
      <c r="J600" s="1" t="s">
        <v>366</v>
      </c>
      <c r="K600" s="6">
        <f>Registro_Ordini[[#This Row],[Numero]]*Registro_Ordini[[#This Row],[Prezzo]]</f>
        <v>29343.600000000002</v>
      </c>
      <c r="L600" s="10">
        <v>0.87924999999999998</v>
      </c>
      <c r="M600" s="6">
        <f>Registro_Ordini[[#This Row],[Importo]]*Registro_Ordini[[#This Row],[Cambio]]</f>
        <v>25800.3603</v>
      </c>
      <c r="N600" s="1">
        <f ca="1">IFERROR(_xlfn.NUMBERVALUE(OFFSET(Origine,MATCH(Registro_Ordini[[#This Row],[Titolo]],Descrizioni,0),MATCH("Price",Intestazioni,0)-1,1,1)),"")</f>
        <v>87.63</v>
      </c>
      <c r="O600" s="18">
        <f ca="1">IF(OR(Registro_Ordini[[#This Row],[Price]]=0,Registro_Ordini[[#This Row],[Price]]=""),"",IF(Registro_Ordini[[#This Row],[Tipo]]="Sell",Registro_Ordini[[#This Row],[Prezzo]]/Registro_Ordini[[#This Row],[Price]]-1,Registro_Ordini[[#This Row],[Price]]/Registro_Ordini[[#This Row],[Prezzo]]-1))</f>
        <v>7.508281192491717E-2</v>
      </c>
      <c r="P600" s="15">
        <v>2.4622632885456561E-2</v>
      </c>
      <c r="Q600" s="3">
        <v>0.19996054780520744</v>
      </c>
      <c r="R600" s="3">
        <v>0.27984055438443484</v>
      </c>
      <c r="S600" s="3">
        <v>0.40195336931675529</v>
      </c>
      <c r="T600" s="3">
        <v>0</v>
      </c>
      <c r="U600" s="3">
        <v>0.11824552849360245</v>
      </c>
      <c r="V600" s="3"/>
      <c r="W600" s="4"/>
    </row>
    <row r="601" spans="1:23" s="1" customFormat="1" ht="24.95" customHeight="1" x14ac:dyDescent="0.2">
      <c r="A601" s="8">
        <v>45770.728946759256</v>
      </c>
      <c r="B601" s="7">
        <v>45770.728946759256</v>
      </c>
      <c r="C601" s="9" t="s">
        <v>378</v>
      </c>
      <c r="D601" s="1" t="s">
        <v>388</v>
      </c>
      <c r="E601" s="1" t="s">
        <v>389</v>
      </c>
      <c r="F601" s="1" t="s">
        <v>400</v>
      </c>
      <c r="G601" s="1" t="s">
        <v>371</v>
      </c>
      <c r="H601" s="2">
        <v>115</v>
      </c>
      <c r="I601" s="16">
        <v>81.510000000000005</v>
      </c>
      <c r="J601" s="1" t="s">
        <v>366</v>
      </c>
      <c r="K601" s="6">
        <f>Registro_Ordini[[#This Row],[Numero]]*Registro_Ordini[[#This Row],[Prezzo]]</f>
        <v>9373.6500000000015</v>
      </c>
      <c r="L601" s="10">
        <v>0.82604999999999995</v>
      </c>
      <c r="M601" s="6">
        <f>Registro_Ordini[[#This Row],[Importo]]*Registro_Ordini[[#This Row],[Cambio]]</f>
        <v>7743.1035825000008</v>
      </c>
      <c r="N601" s="1">
        <f ca="1">IFERROR(_xlfn.NUMBERVALUE(OFFSET(Origine,MATCH(Registro_Ordini[[#This Row],[Titolo]],Descrizioni,0),MATCH("Price",Intestazioni,0)-1,1,1)),"")</f>
        <v>87.63</v>
      </c>
      <c r="O601" s="18">
        <f ca="1">IF(OR(Registro_Ordini[[#This Row],[Price]]=0,Registro_Ordini[[#This Row],[Price]]=""),"",IF(Registro_Ordini[[#This Row],[Tipo]]="Sell",Registro_Ordini[[#This Row],[Prezzo]]/Registro_Ordini[[#This Row],[Price]]-1,Registro_Ordini[[#This Row],[Price]]/Registro_Ordini[[#This Row],[Prezzo]]-1))</f>
        <v>7.508281192491717E-2</v>
      </c>
      <c r="P601" s="15">
        <v>1.5070294595005095E-2</v>
      </c>
      <c r="Q601" s="3">
        <v>0.20355921861269699</v>
      </c>
      <c r="R601" s="3">
        <v>0.33534217450415293</v>
      </c>
      <c r="S601" s="3">
        <v>0.35538939136259295</v>
      </c>
      <c r="T601" s="3">
        <v>0</v>
      </c>
      <c r="U601" s="3">
        <v>0.10570921552055723</v>
      </c>
      <c r="V601" s="3"/>
      <c r="W601" s="4"/>
    </row>
    <row r="602" spans="1:23" s="1" customFormat="1" ht="24.95" customHeight="1" x14ac:dyDescent="0.2">
      <c r="A602" s="8">
        <v>45770.728946759256</v>
      </c>
      <c r="B602" s="7">
        <v>45770.728946759256</v>
      </c>
      <c r="C602" s="9" t="s">
        <v>377</v>
      </c>
      <c r="D602" s="1" t="s">
        <v>388</v>
      </c>
      <c r="E602" s="1" t="s">
        <v>389</v>
      </c>
      <c r="F602" s="1" t="s">
        <v>400</v>
      </c>
      <c r="G602" s="1" t="s">
        <v>371</v>
      </c>
      <c r="H602" s="2">
        <v>350</v>
      </c>
      <c r="I602" s="16">
        <v>81.510000000000005</v>
      </c>
      <c r="J602" s="1" t="s">
        <v>366</v>
      </c>
      <c r="K602" s="6">
        <f>Registro_Ordini[[#This Row],[Numero]]*Registro_Ordini[[#This Row],[Prezzo]]</f>
        <v>28528.5</v>
      </c>
      <c r="L602" s="10">
        <v>0.82604999999999995</v>
      </c>
      <c r="M602" s="6">
        <f>Registro_Ordini[[#This Row],[Importo]]*Registro_Ordini[[#This Row],[Cambio]]</f>
        <v>23565.967424999999</v>
      </c>
      <c r="N602" s="1">
        <f ca="1">IFERROR(_xlfn.NUMBERVALUE(OFFSET(Origine,MATCH(Registro_Ordini[[#This Row],[Titolo]],Descrizioni,0),MATCH("Price",Intestazioni,0)-1,1,1)),"")</f>
        <v>87.63</v>
      </c>
      <c r="O602" s="18">
        <f ca="1">IF(OR(Registro_Ordini[[#This Row],[Price]]=0,Registro_Ordini[[#This Row],[Price]]=""),"",IF(Registro_Ordini[[#This Row],[Tipo]]="Sell",Registro_Ordini[[#This Row],[Prezzo]]/Registro_Ordini[[#This Row],[Price]]-1,Registro_Ordini[[#This Row],[Price]]/Registro_Ordini[[#This Row],[Prezzo]]-1))</f>
        <v>7.508281192491717E-2</v>
      </c>
      <c r="P602" s="15">
        <v>1.4722277388861334E-2</v>
      </c>
      <c r="Q602" s="3">
        <v>0.20114917745693639</v>
      </c>
      <c r="R602" s="3">
        <v>0.32455204411091976</v>
      </c>
      <c r="S602" s="3">
        <v>0.36480800120990087</v>
      </c>
      <c r="T602" s="3">
        <v>0</v>
      </c>
      <c r="U602" s="3">
        <v>0.10949077722224293</v>
      </c>
      <c r="V602" s="3"/>
      <c r="W602" s="4"/>
    </row>
    <row r="603" spans="1:23" s="1" customFormat="1" ht="24.95" customHeight="1" x14ac:dyDescent="0.2">
      <c r="A603" s="8">
        <v>45770.728946759256</v>
      </c>
      <c r="B603" s="7">
        <v>45770.728946759256</v>
      </c>
      <c r="C603" s="9" t="s">
        <v>376</v>
      </c>
      <c r="D603" s="1" t="s">
        <v>388</v>
      </c>
      <c r="E603" s="1" t="s">
        <v>389</v>
      </c>
      <c r="F603" s="1" t="s">
        <v>400</v>
      </c>
      <c r="G603" s="1" t="s">
        <v>371</v>
      </c>
      <c r="H603" s="2">
        <v>60</v>
      </c>
      <c r="I603" s="16">
        <v>81.510000000000005</v>
      </c>
      <c r="J603" s="1" t="s">
        <v>366</v>
      </c>
      <c r="K603" s="6">
        <f>Registro_Ordini[[#This Row],[Numero]]*Registro_Ordini[[#This Row],[Prezzo]]</f>
        <v>4890.6000000000004</v>
      </c>
      <c r="L603" s="10">
        <v>0.82604999999999995</v>
      </c>
      <c r="M603" s="6">
        <f>Registro_Ordini[[#This Row],[Importo]]*Registro_Ordini[[#This Row],[Cambio]]</f>
        <v>4039.88013</v>
      </c>
      <c r="N603" s="1">
        <f ca="1">IFERROR(_xlfn.NUMBERVALUE(OFFSET(Origine,MATCH(Registro_Ordini[[#This Row],[Titolo]],Descrizioni,0),MATCH("Price",Intestazioni,0)-1,1,1)),"")</f>
        <v>87.63</v>
      </c>
      <c r="O603" s="18">
        <f ca="1">IF(OR(Registro_Ordini[[#This Row],[Price]]=0,Registro_Ordini[[#This Row],[Price]]=""),"",IF(Registro_Ordini[[#This Row],[Tipo]]="Sell",Registro_Ordini[[#This Row],[Prezzo]]/Registro_Ordini[[#This Row],[Price]]-1,Registro_Ordini[[#This Row],[Price]]/Registro_Ordini[[#This Row],[Prezzo]]-1))</f>
        <v>7.508281192491717E-2</v>
      </c>
      <c r="P603" s="15">
        <v>1.4664835594427097E-2</v>
      </c>
      <c r="Q603" s="3">
        <v>0.13071350394122105</v>
      </c>
      <c r="R603" s="3">
        <v>0.35561837801019597</v>
      </c>
      <c r="S603" s="3">
        <v>0.37820765817063134</v>
      </c>
      <c r="T603" s="3">
        <v>0</v>
      </c>
      <c r="U603" s="3">
        <v>0.13546045987795161</v>
      </c>
      <c r="V603" s="3"/>
      <c r="W603" s="4"/>
    </row>
    <row r="604" spans="1:23" s="1" customFormat="1" ht="24.95" customHeight="1" x14ac:dyDescent="0.2">
      <c r="A604" s="8">
        <v>45770.728946759256</v>
      </c>
      <c r="B604" s="7">
        <v>45770.728946759256</v>
      </c>
      <c r="C604" s="9" t="s">
        <v>379</v>
      </c>
      <c r="D604" s="1" t="s">
        <v>388</v>
      </c>
      <c r="E604" s="1" t="s">
        <v>389</v>
      </c>
      <c r="F604" s="1" t="s">
        <v>400</v>
      </c>
      <c r="G604" s="1" t="s">
        <v>371</v>
      </c>
      <c r="H604" s="2">
        <v>190</v>
      </c>
      <c r="I604" s="16">
        <v>81.510000000000005</v>
      </c>
      <c r="J604" s="1" t="s">
        <v>366</v>
      </c>
      <c r="K604" s="6">
        <f>Registro_Ordini[[#This Row],[Numero]]*Registro_Ordini[[#This Row],[Prezzo]]</f>
        <v>15486.900000000001</v>
      </c>
      <c r="L604" s="10">
        <v>0.87924999999999998</v>
      </c>
      <c r="M604" s="6">
        <f>Registro_Ordini[[#This Row],[Importo]]*Registro_Ordini[[#This Row],[Cambio]]</f>
        <v>13616.856825000001</v>
      </c>
      <c r="N604" s="1">
        <f ca="1">IFERROR(_xlfn.NUMBERVALUE(OFFSET(Origine,MATCH(Registro_Ordini[[#This Row],[Titolo]],Descrizioni,0),MATCH("Price",Intestazioni,0)-1,1,1)),"")</f>
        <v>87.63</v>
      </c>
      <c r="O604" s="18">
        <f ca="1">IF(OR(Registro_Ordini[[#This Row],[Price]]=0,Registro_Ordini[[#This Row],[Price]]=""),"",IF(Registro_Ordini[[#This Row],[Tipo]]="Sell",Registro_Ordini[[#This Row],[Prezzo]]/Registro_Ordini[[#This Row],[Price]]-1,Registro_Ordini[[#This Row],[Price]]/Registro_Ordini[[#This Row],[Prezzo]]-1))</f>
        <v>7.508281192491717E-2</v>
      </c>
      <c r="P604" s="15">
        <v>2.4226814403287552E-2</v>
      </c>
      <c r="Q604" s="3">
        <v>0.19932714654280509</v>
      </c>
      <c r="R604" s="3">
        <v>0.29103214147839174</v>
      </c>
      <c r="S604" s="3">
        <v>0.39292324787646066</v>
      </c>
      <c r="T604" s="3">
        <v>0</v>
      </c>
      <c r="U604" s="3">
        <v>0.11671746410234249</v>
      </c>
      <c r="V604" s="3"/>
      <c r="W604" s="4"/>
    </row>
    <row r="605" spans="1:23" s="1" customFormat="1" ht="24.95" customHeight="1" x14ac:dyDescent="0.2">
      <c r="A605" s="8">
        <v>45770.72797453704</v>
      </c>
      <c r="B605" s="7">
        <v>45770.72797453704</v>
      </c>
      <c r="C605" s="9" t="s">
        <v>383</v>
      </c>
      <c r="D605" s="1" t="s">
        <v>388</v>
      </c>
      <c r="E605" s="1" t="s">
        <v>389</v>
      </c>
      <c r="F605" s="1" t="s">
        <v>441</v>
      </c>
      <c r="G605" s="1" t="s">
        <v>365</v>
      </c>
      <c r="H605" s="2">
        <v>-280</v>
      </c>
      <c r="I605" s="16">
        <v>56.174100000000003</v>
      </c>
      <c r="J605" s="1" t="s">
        <v>366</v>
      </c>
      <c r="K605" s="6">
        <f>Registro_Ordini[[#This Row],[Numero]]*Registro_Ordini[[#This Row],[Prezzo]]</f>
        <v>-15728.748000000001</v>
      </c>
      <c r="L605" s="10">
        <v>0.87885000000000002</v>
      </c>
      <c r="M605" s="6">
        <f>Registro_Ordini[[#This Row],[Importo]]*Registro_Ordini[[#This Row],[Cambio]]</f>
        <v>-13823.210179800002</v>
      </c>
      <c r="N605" s="1">
        <f ca="1">IFERROR(_xlfn.NUMBERVALUE(OFFSET(Origine,MATCH(Registro_Ordini[[#This Row],[Titolo]],Descrizioni,0),MATCH("Price",Intestazioni,0)-1,1,1)),"")</f>
        <v>59.77</v>
      </c>
      <c r="O605" s="18">
        <f ca="1">IF(OR(Registro_Ordini[[#This Row],[Price]]=0,Registro_Ordini[[#This Row],[Price]]=""),"",IF(Registro_Ordini[[#This Row],[Tipo]]="Sell",Registro_Ordini[[#This Row],[Prezzo]]/Registro_Ordini[[#This Row],[Price]]-1,Registro_Ordini[[#This Row],[Price]]/Registro_Ordini[[#This Row],[Prezzo]]-1))</f>
        <v>-6.0162288773632278E-2</v>
      </c>
      <c r="P605" s="15">
        <v>-2.2277355760462091E-2</v>
      </c>
      <c r="Q605" s="3">
        <v>0.25225932265249607</v>
      </c>
      <c r="R605" s="3">
        <v>0.2751665589043788</v>
      </c>
      <c r="S605" s="3">
        <v>0.3557212202493964</v>
      </c>
      <c r="T605" s="3">
        <v>0</v>
      </c>
      <c r="U605" s="3">
        <v>0.11685289819372865</v>
      </c>
      <c r="V605" s="3"/>
      <c r="W605" s="4"/>
    </row>
    <row r="606" spans="1:23" s="1" customFormat="1" ht="24.95" customHeight="1" x14ac:dyDescent="0.2">
      <c r="A606" s="8">
        <v>45770.72797453704</v>
      </c>
      <c r="B606" s="7">
        <v>45770.72797453704</v>
      </c>
      <c r="C606" s="9" t="s">
        <v>78</v>
      </c>
      <c r="D606" s="1" t="s">
        <v>388</v>
      </c>
      <c r="E606" s="1" t="s">
        <v>389</v>
      </c>
      <c r="F606" s="1" t="s">
        <v>441</v>
      </c>
      <c r="G606" s="1" t="s">
        <v>365</v>
      </c>
      <c r="H606" s="2">
        <v>-240</v>
      </c>
      <c r="I606" s="16">
        <v>56.174100000000003</v>
      </c>
      <c r="J606" s="1" t="s">
        <v>366</v>
      </c>
      <c r="K606" s="6">
        <f>Registro_Ordini[[#This Row],[Numero]]*Registro_Ordini[[#This Row],[Prezzo]]</f>
        <v>-13481.784000000001</v>
      </c>
      <c r="L606" s="10">
        <v>0.82604999999999995</v>
      </c>
      <c r="M606" s="6">
        <f>Registro_Ordini[[#This Row],[Importo]]*Registro_Ordini[[#This Row],[Cambio]]</f>
        <v>-11136.627673200001</v>
      </c>
      <c r="N606" s="1">
        <f ca="1">IFERROR(_xlfn.NUMBERVALUE(OFFSET(Origine,MATCH(Registro_Ordini[[#This Row],[Titolo]],Descrizioni,0),MATCH("Price",Intestazioni,0)-1,1,1)),"")</f>
        <v>59.77</v>
      </c>
      <c r="O606" s="18">
        <f ca="1">IF(OR(Registro_Ordini[[#This Row],[Price]]=0,Registro_Ordini[[#This Row],[Price]]=""),"",IF(Registro_Ordini[[#This Row],[Tipo]]="Sell",Registro_Ordini[[#This Row],[Prezzo]]/Registro_Ordini[[#This Row],[Price]]-1,Registro_Ordini[[#This Row],[Price]]/Registro_Ordini[[#This Row],[Prezzo]]-1))</f>
        <v>-6.0162288773632278E-2</v>
      </c>
      <c r="P606" s="15">
        <v>-2.1627331530484278E-2</v>
      </c>
      <c r="Q606" s="3">
        <v>0.34581859913638197</v>
      </c>
      <c r="R606" s="3">
        <v>0.13463548132373437</v>
      </c>
      <c r="S606" s="3">
        <v>0.45276829770754362</v>
      </c>
      <c r="T606" s="3">
        <v>0</v>
      </c>
      <c r="U606" s="3">
        <v>6.6777621832340067E-2</v>
      </c>
      <c r="V606" s="3"/>
      <c r="W606" s="4"/>
    </row>
    <row r="607" spans="1:23" s="1" customFormat="1" ht="24.95" customHeight="1" x14ac:dyDescent="0.2">
      <c r="A607" s="8">
        <v>45770.72797453704</v>
      </c>
      <c r="B607" s="7">
        <v>45770.72797453704</v>
      </c>
      <c r="C607" s="9" t="s">
        <v>375</v>
      </c>
      <c r="D607" s="1" t="s">
        <v>388</v>
      </c>
      <c r="E607" s="1" t="s">
        <v>389</v>
      </c>
      <c r="F607" s="1" t="s">
        <v>441</v>
      </c>
      <c r="G607" s="1" t="s">
        <v>365</v>
      </c>
      <c r="H607" s="2">
        <v>-300</v>
      </c>
      <c r="I607" s="16">
        <v>56.174100000000003</v>
      </c>
      <c r="J607" s="1" t="s">
        <v>366</v>
      </c>
      <c r="K607" s="6">
        <f>Registro_Ordini[[#This Row],[Numero]]*Registro_Ordini[[#This Row],[Prezzo]]</f>
        <v>-16852.23</v>
      </c>
      <c r="L607" s="10">
        <v>0.82604999999999995</v>
      </c>
      <c r="M607" s="6">
        <f>Registro_Ordini[[#This Row],[Importo]]*Registro_Ordini[[#This Row],[Cambio]]</f>
        <v>-13920.784591499998</v>
      </c>
      <c r="N607" s="1">
        <f ca="1">IFERROR(_xlfn.NUMBERVALUE(OFFSET(Origine,MATCH(Registro_Ordini[[#This Row],[Titolo]],Descrizioni,0),MATCH("Price",Intestazioni,0)-1,1,1)),"")</f>
        <v>59.77</v>
      </c>
      <c r="O607" s="18">
        <f ca="1">IF(OR(Registro_Ordini[[#This Row],[Price]]=0,Registro_Ordini[[#This Row],[Price]]=""),"",IF(Registro_Ordini[[#This Row],[Tipo]]="Sell",Registro_Ordini[[#This Row],[Prezzo]]/Registro_Ordini[[#This Row],[Price]]-1,Registro_Ordini[[#This Row],[Price]]/Registro_Ordini[[#This Row],[Prezzo]]-1))</f>
        <v>-6.0162288773632278E-2</v>
      </c>
      <c r="P607" s="15">
        <v>-1.7185665619696606E-2</v>
      </c>
      <c r="Q607" s="3">
        <v>0.21558606747463469</v>
      </c>
      <c r="R607" s="3">
        <v>0.35261856449745166</v>
      </c>
      <c r="S607" s="3">
        <v>0.32132133253696743</v>
      </c>
      <c r="T607" s="3">
        <v>0</v>
      </c>
      <c r="U607" s="3">
        <v>0.11047403549094623</v>
      </c>
      <c r="V607" s="3"/>
      <c r="W607" s="4"/>
    </row>
    <row r="608" spans="1:23" s="1" customFormat="1" ht="24.95" customHeight="1" x14ac:dyDescent="0.2">
      <c r="A608" s="8">
        <v>45770.72797453704</v>
      </c>
      <c r="B608" s="7">
        <v>45770.72797453704</v>
      </c>
      <c r="C608" s="9" t="s">
        <v>382</v>
      </c>
      <c r="D608" s="1" t="s">
        <v>388</v>
      </c>
      <c r="E608" s="1" t="s">
        <v>389</v>
      </c>
      <c r="F608" s="1" t="s">
        <v>441</v>
      </c>
      <c r="G608" s="1" t="s">
        <v>365</v>
      </c>
      <c r="H608" s="2">
        <v>-470</v>
      </c>
      <c r="I608" s="16">
        <v>56.174100000000003</v>
      </c>
      <c r="J608" s="1" t="s">
        <v>366</v>
      </c>
      <c r="K608" s="6">
        <f>Registro_Ordini[[#This Row],[Numero]]*Registro_Ordini[[#This Row],[Prezzo]]</f>
        <v>-26401.827000000001</v>
      </c>
      <c r="L608" s="10">
        <v>0.87885000000000002</v>
      </c>
      <c r="M608" s="6">
        <f>Registro_Ordini[[#This Row],[Importo]]*Registro_Ordini[[#This Row],[Cambio]]</f>
        <v>-23203.24565895</v>
      </c>
      <c r="N608" s="1">
        <f ca="1">IFERROR(_xlfn.NUMBERVALUE(OFFSET(Origine,MATCH(Registro_Ordini[[#This Row],[Titolo]],Descrizioni,0),MATCH("Price",Intestazioni,0)-1,1,1)),"")</f>
        <v>59.77</v>
      </c>
      <c r="O608" s="18">
        <f ca="1">IF(OR(Registro_Ordini[[#This Row],[Price]]=0,Registro_Ordini[[#This Row],[Price]]=""),"",IF(Registro_Ordini[[#This Row],[Tipo]]="Sell",Registro_Ordini[[#This Row],[Prezzo]]/Registro_Ordini[[#This Row],[Price]]-1,Registro_Ordini[[#This Row],[Price]]/Registro_Ordini[[#This Row],[Prezzo]]-1))</f>
        <v>-6.0162288773632278E-2</v>
      </c>
      <c r="P608" s="15">
        <v>-2.2135630960165499E-2</v>
      </c>
      <c r="Q608" s="3">
        <v>0.23453670945028623</v>
      </c>
      <c r="R608" s="3">
        <v>0.27974248647594202</v>
      </c>
      <c r="S608" s="3">
        <v>0.36780028996181069</v>
      </c>
      <c r="T608" s="3">
        <v>0</v>
      </c>
      <c r="U608" s="3">
        <v>0.11792051411196104</v>
      </c>
      <c r="V608" s="3"/>
      <c r="W608" s="4"/>
    </row>
    <row r="609" spans="1:23" s="1" customFormat="1" ht="24.95" customHeight="1" x14ac:dyDescent="0.2">
      <c r="A609" s="8">
        <v>45770.72797453704</v>
      </c>
      <c r="B609" s="7">
        <v>45770.72797453704</v>
      </c>
      <c r="C609" s="9" t="s">
        <v>378</v>
      </c>
      <c r="D609" s="1" t="s">
        <v>388</v>
      </c>
      <c r="E609" s="1" t="s">
        <v>389</v>
      </c>
      <c r="F609" s="1" t="s">
        <v>441</v>
      </c>
      <c r="G609" s="1" t="s">
        <v>365</v>
      </c>
      <c r="H609" s="2">
        <v>-200</v>
      </c>
      <c r="I609" s="16">
        <v>56.174100000000003</v>
      </c>
      <c r="J609" s="1" t="s">
        <v>366</v>
      </c>
      <c r="K609" s="6">
        <f>Registro_Ordini[[#This Row],[Numero]]*Registro_Ordini[[#This Row],[Prezzo]]</f>
        <v>-11234.82</v>
      </c>
      <c r="L609" s="10">
        <v>0.82604999999999995</v>
      </c>
      <c r="M609" s="6">
        <f>Registro_Ordini[[#This Row],[Importo]]*Registro_Ordini[[#This Row],[Cambio]]</f>
        <v>-9280.5230609999999</v>
      </c>
      <c r="N609" s="1">
        <f ca="1">IFERROR(_xlfn.NUMBERVALUE(OFFSET(Origine,MATCH(Registro_Ordini[[#This Row],[Titolo]],Descrizioni,0),MATCH("Price",Intestazioni,0)-1,1,1)),"")</f>
        <v>59.77</v>
      </c>
      <c r="O609" s="18">
        <f ca="1">IF(OR(Registro_Ordini[[#This Row],[Price]]=0,Registro_Ordini[[#This Row],[Price]]=""),"",IF(Registro_Ordini[[#This Row],[Tipo]]="Sell",Registro_Ordini[[#This Row],[Prezzo]]/Registro_Ordini[[#This Row],[Price]]-1,Registro_Ordini[[#This Row],[Price]]/Registro_Ordini[[#This Row],[Prezzo]]-1))</f>
        <v>-6.0162288773632278E-2</v>
      </c>
      <c r="P609" s="15">
        <v>-1.8058185996837929E-2</v>
      </c>
      <c r="Q609" s="3">
        <v>0.23121009976048862</v>
      </c>
      <c r="R609" s="3">
        <v>0.335261104017892</v>
      </c>
      <c r="S609" s="3">
        <v>0.32809283872970624</v>
      </c>
      <c r="T609" s="3">
        <v>0</v>
      </c>
      <c r="U609" s="3">
        <v>0.10543595749191317</v>
      </c>
      <c r="V609" s="3"/>
      <c r="W609" s="4"/>
    </row>
    <row r="610" spans="1:23" s="1" customFormat="1" ht="24.95" customHeight="1" x14ac:dyDescent="0.2">
      <c r="A610" s="8">
        <v>45770.72797453704</v>
      </c>
      <c r="B610" s="7">
        <v>45770.72797453704</v>
      </c>
      <c r="C610" s="9" t="s">
        <v>377</v>
      </c>
      <c r="D610" s="1" t="s">
        <v>388</v>
      </c>
      <c r="E610" s="1" t="s">
        <v>389</v>
      </c>
      <c r="F610" s="1" t="s">
        <v>441</v>
      </c>
      <c r="G610" s="1" t="s">
        <v>365</v>
      </c>
      <c r="H610" s="2">
        <v>-615</v>
      </c>
      <c r="I610" s="16">
        <v>56.174100000000003</v>
      </c>
      <c r="J610" s="1" t="s">
        <v>366</v>
      </c>
      <c r="K610" s="6">
        <f>Registro_Ordini[[#This Row],[Numero]]*Registro_Ordini[[#This Row],[Prezzo]]</f>
        <v>-34547.071499999998</v>
      </c>
      <c r="L610" s="10">
        <v>0.82604999999999995</v>
      </c>
      <c r="M610" s="6">
        <f>Registro_Ordini[[#This Row],[Importo]]*Registro_Ordini[[#This Row],[Cambio]]</f>
        <v>-28537.608412574999</v>
      </c>
      <c r="N610" s="1">
        <f ca="1">IFERROR(_xlfn.NUMBERVALUE(OFFSET(Origine,MATCH(Registro_Ordini[[#This Row],[Titolo]],Descrizioni,0),MATCH("Price",Intestazioni,0)-1,1,1)),"")</f>
        <v>59.77</v>
      </c>
      <c r="O610" s="18">
        <f ca="1">IF(OR(Registro_Ordini[[#This Row],[Price]]=0,Registro_Ordini[[#This Row],[Price]]=""),"",IF(Registro_Ordini[[#This Row],[Tipo]]="Sell",Registro_Ordini[[#This Row],[Prezzo]]/Registro_Ordini[[#This Row],[Price]]-1,Registro_Ordini[[#This Row],[Price]]/Registro_Ordini[[#This Row],[Prezzo]]-1))</f>
        <v>-6.0162288773632278E-2</v>
      </c>
      <c r="P610" s="15">
        <v>-1.7817096657552777E-2</v>
      </c>
      <c r="Q610" s="3">
        <v>0.2291497220824853</v>
      </c>
      <c r="R610" s="3">
        <v>0.32435006349150719</v>
      </c>
      <c r="S610" s="3">
        <v>0.33707757732306004</v>
      </c>
      <c r="T610" s="3">
        <v>0</v>
      </c>
      <c r="U610" s="3">
        <v>0.10942263710294745</v>
      </c>
      <c r="V610" s="3"/>
      <c r="W610" s="4"/>
    </row>
    <row r="611" spans="1:23" s="1" customFormat="1" ht="24.95" customHeight="1" x14ac:dyDescent="0.2">
      <c r="A611" s="8">
        <v>45770.72797453704</v>
      </c>
      <c r="B611" s="7">
        <v>45770.72797453704</v>
      </c>
      <c r="C611" s="9" t="s">
        <v>376</v>
      </c>
      <c r="D611" s="1" t="s">
        <v>388</v>
      </c>
      <c r="E611" s="1" t="s">
        <v>389</v>
      </c>
      <c r="F611" s="1" t="s">
        <v>441</v>
      </c>
      <c r="G611" s="1" t="s">
        <v>365</v>
      </c>
      <c r="H611" s="2">
        <v>-110</v>
      </c>
      <c r="I611" s="16">
        <v>56.174100000000003</v>
      </c>
      <c r="J611" s="1" t="s">
        <v>366</v>
      </c>
      <c r="K611" s="6">
        <f>Registro_Ordini[[#This Row],[Numero]]*Registro_Ordini[[#This Row],[Prezzo]]</f>
        <v>-6179.1510000000007</v>
      </c>
      <c r="L611" s="10">
        <v>0.82604999999999995</v>
      </c>
      <c r="M611" s="6">
        <f>Registro_Ordini[[#This Row],[Importo]]*Registro_Ordini[[#This Row],[Cambio]]</f>
        <v>-5104.2876835500001</v>
      </c>
      <c r="N611" s="1">
        <f ca="1">IFERROR(_xlfn.NUMBERVALUE(OFFSET(Origine,MATCH(Registro_Ordini[[#This Row],[Titolo]],Descrizioni,0),MATCH("Price",Intestazioni,0)-1,1,1)),"")</f>
        <v>59.77</v>
      </c>
      <c r="O611" s="18">
        <f ca="1">IF(OR(Registro_Ordini[[#This Row],[Price]]=0,Registro_Ordini[[#This Row],[Price]]=""),"",IF(Registro_Ordini[[#This Row],[Tipo]]="Sell",Registro_Ordini[[#This Row],[Prezzo]]/Registro_Ordini[[#This Row],[Price]]-1,Registro_Ordini[[#This Row],[Price]]/Registro_Ordini[[#This Row],[Prezzo]]-1))</f>
        <v>-6.0162288773632278E-2</v>
      </c>
      <c r="P611" s="15">
        <v>-1.8522233639266958E-2</v>
      </c>
      <c r="Q611" s="3">
        <v>0.14921697618677304</v>
      </c>
      <c r="R611" s="3">
        <v>0.35549515951118621</v>
      </c>
      <c r="S611" s="3">
        <v>0.3600536009808244</v>
      </c>
      <c r="T611" s="3">
        <v>0</v>
      </c>
      <c r="U611" s="3">
        <v>0.13523426332121649</v>
      </c>
      <c r="V611" s="3"/>
      <c r="W611" s="4"/>
    </row>
    <row r="612" spans="1:23" s="1" customFormat="1" ht="24.95" customHeight="1" x14ac:dyDescent="0.2">
      <c r="A612" s="8">
        <v>45770.72797453704</v>
      </c>
      <c r="B612" s="7">
        <v>45770.72797453704</v>
      </c>
      <c r="C612" s="9" t="s">
        <v>379</v>
      </c>
      <c r="D612" s="1" t="s">
        <v>388</v>
      </c>
      <c r="E612" s="1" t="s">
        <v>389</v>
      </c>
      <c r="F612" s="1" t="s">
        <v>441</v>
      </c>
      <c r="G612" s="1" t="s">
        <v>365</v>
      </c>
      <c r="H612" s="2">
        <v>-255</v>
      </c>
      <c r="I612" s="16">
        <v>56.174100000000003</v>
      </c>
      <c r="J612" s="1" t="s">
        <v>366</v>
      </c>
      <c r="K612" s="6">
        <f>Registro_Ordini[[#This Row],[Numero]]*Registro_Ordini[[#This Row],[Prezzo]]</f>
        <v>-14324.395500000001</v>
      </c>
      <c r="L612" s="10">
        <v>0.87885000000000002</v>
      </c>
      <c r="M612" s="6">
        <f>Registro_Ordini[[#This Row],[Importo]]*Registro_Ordini[[#This Row],[Cambio]]</f>
        <v>-12588.994985175001</v>
      </c>
      <c r="N612" s="1">
        <f ca="1">IFERROR(_xlfn.NUMBERVALUE(OFFSET(Origine,MATCH(Registro_Ordini[[#This Row],[Titolo]],Descrizioni,0),MATCH("Price",Intestazioni,0)-1,1,1)),"")</f>
        <v>59.77</v>
      </c>
      <c r="O612" s="18">
        <f ca="1">IF(OR(Registro_Ordini[[#This Row],[Price]]=0,Registro_Ordini[[#This Row],[Price]]=""),"",IF(Registro_Ordini[[#This Row],[Tipo]]="Sell",Registro_Ordini[[#This Row],[Prezzo]]/Registro_Ordini[[#This Row],[Price]]-1,Registro_Ordini[[#This Row],[Price]]/Registro_Ordini[[#This Row],[Prezzo]]-1))</f>
        <v>-6.0162288773632278E-2</v>
      </c>
      <c r="P612" s="15">
        <v>-2.2384304638567207E-2</v>
      </c>
      <c r="Q612" s="3">
        <v>0.23402754624565994</v>
      </c>
      <c r="R612" s="3">
        <v>0.29086401222896474</v>
      </c>
      <c r="S612" s="3">
        <v>0.35851574969073102</v>
      </c>
      <c r="T612" s="3">
        <v>0</v>
      </c>
      <c r="U612" s="3">
        <v>0.1165926918346443</v>
      </c>
      <c r="V612" s="3"/>
      <c r="W612" s="4"/>
    </row>
    <row r="613" spans="1:23" s="1" customFormat="1" ht="24.95" customHeight="1" x14ac:dyDescent="0.2">
      <c r="A613" s="8">
        <v>45770.726909722223</v>
      </c>
      <c r="B613" s="7">
        <v>45770.726909722223</v>
      </c>
      <c r="C613" s="9" t="s">
        <v>383</v>
      </c>
      <c r="D613" s="1" t="s">
        <v>388</v>
      </c>
      <c r="E613" s="1" t="s">
        <v>389</v>
      </c>
      <c r="F613" s="1" t="s">
        <v>414</v>
      </c>
      <c r="G613" s="1" t="s">
        <v>365</v>
      </c>
      <c r="H613" s="2">
        <v>-90</v>
      </c>
      <c r="I613" s="16">
        <v>99.69</v>
      </c>
      <c r="J613" s="1" t="s">
        <v>366</v>
      </c>
      <c r="K613" s="6">
        <f>Registro_Ordini[[#This Row],[Numero]]*Registro_Ordini[[#This Row],[Prezzo]]</f>
        <v>-8972.1</v>
      </c>
      <c r="L613" s="10">
        <v>0.879</v>
      </c>
      <c r="M613" s="6">
        <f>Registro_Ordini[[#This Row],[Importo]]*Registro_Ordini[[#This Row],[Cambio]]</f>
        <v>-7886.4759000000004</v>
      </c>
      <c r="N613" s="1">
        <f ca="1">IFERROR(_xlfn.NUMBERVALUE(OFFSET(Origine,MATCH(Registro_Ordini[[#This Row],[Titolo]],Descrizioni,0),MATCH("Price",Intestazioni,0)-1,1,1)),"")</f>
        <v>137.36000000000001</v>
      </c>
      <c r="O613" s="18">
        <f ca="1">IF(OR(Registro_Ordini[[#This Row],[Price]]=0,Registro_Ordini[[#This Row],[Price]]=""),"",IF(Registro_Ordini[[#This Row],[Tipo]]="Sell",Registro_Ordini[[#This Row],[Prezzo]]/Registro_Ordini[[#This Row],[Price]]-1,Registro_Ordini[[#This Row],[Price]]/Registro_Ordini[[#This Row],[Prezzo]]-1))</f>
        <v>-0.27424286546301702</v>
      </c>
      <c r="P613" s="15">
        <v>-1.2711234524423392E-2</v>
      </c>
      <c r="Q613" s="3">
        <v>0.23002061982525412</v>
      </c>
      <c r="R613" s="3">
        <v>0.27519825446915103</v>
      </c>
      <c r="S613" s="3">
        <v>0.37790573713651293</v>
      </c>
      <c r="T613" s="3">
        <v>0</v>
      </c>
      <c r="U613" s="3">
        <v>0.11687538856908182</v>
      </c>
      <c r="V613" s="3"/>
      <c r="W613" s="4"/>
    </row>
    <row r="614" spans="1:23" s="1" customFormat="1" ht="24.95" customHeight="1" x14ac:dyDescent="0.2">
      <c r="A614" s="8">
        <v>45770.726909722223</v>
      </c>
      <c r="B614" s="7">
        <v>45770.726909722223</v>
      </c>
      <c r="C614" s="9" t="s">
        <v>78</v>
      </c>
      <c r="D614" s="1" t="s">
        <v>388</v>
      </c>
      <c r="E614" s="1" t="s">
        <v>389</v>
      </c>
      <c r="F614" s="1" t="s">
        <v>414</v>
      </c>
      <c r="G614" s="1" t="s">
        <v>365</v>
      </c>
      <c r="H614" s="2">
        <v>-100</v>
      </c>
      <c r="I614" s="16">
        <v>99.69</v>
      </c>
      <c r="J614" s="1" t="s">
        <v>366</v>
      </c>
      <c r="K614" s="6">
        <f>Registro_Ordini[[#This Row],[Numero]]*Registro_Ordini[[#This Row],[Prezzo]]</f>
        <v>-9969</v>
      </c>
      <c r="L614" s="10">
        <v>0.82615000000000005</v>
      </c>
      <c r="M614" s="6">
        <f>Registro_Ordini[[#This Row],[Importo]]*Registro_Ordini[[#This Row],[Cambio]]</f>
        <v>-8235.8893500000013</v>
      </c>
      <c r="N614" s="1">
        <f ca="1">IFERROR(_xlfn.NUMBERVALUE(OFFSET(Origine,MATCH(Registro_Ordini[[#This Row],[Titolo]],Descrizioni,0),MATCH("Price",Intestazioni,0)-1,1,1)),"")</f>
        <v>137.36000000000001</v>
      </c>
      <c r="O614" s="18">
        <f ca="1">IF(OR(Registro_Ordini[[#This Row],[Price]]=0,Registro_Ordini[[#This Row],[Price]]=""),"",IF(Registro_Ordini[[#This Row],[Tipo]]="Sell",Registro_Ordini[[#This Row],[Prezzo]]/Registro_Ordini[[#This Row],[Price]]-1,Registro_Ordini[[#This Row],[Price]]/Registro_Ordini[[#This Row],[Prezzo]]-1))</f>
        <v>-0.27424286546301702</v>
      </c>
      <c r="P614" s="15">
        <v>-1.5998545244653734E-2</v>
      </c>
      <c r="Q614" s="3">
        <v>0.32428849619140299</v>
      </c>
      <c r="R614" s="3">
        <v>0.13467292120137606</v>
      </c>
      <c r="S614" s="3">
        <v>0.47417245958242571</v>
      </c>
      <c r="T614" s="3">
        <v>0</v>
      </c>
      <c r="U614" s="3">
        <v>6.6866123024795332E-2</v>
      </c>
      <c r="V614" s="3"/>
      <c r="W614" s="4"/>
    </row>
    <row r="615" spans="1:23" s="1" customFormat="1" ht="24.95" customHeight="1" x14ac:dyDescent="0.2">
      <c r="A615" s="8">
        <v>45770.726909722223</v>
      </c>
      <c r="B615" s="7">
        <v>45770.726909722223</v>
      </c>
      <c r="C615" s="9" t="s">
        <v>375</v>
      </c>
      <c r="D615" s="1" t="s">
        <v>388</v>
      </c>
      <c r="E615" s="1" t="s">
        <v>389</v>
      </c>
      <c r="F615" s="1" t="s">
        <v>414</v>
      </c>
      <c r="G615" s="1" t="s">
        <v>365</v>
      </c>
      <c r="H615" s="2">
        <v>-100</v>
      </c>
      <c r="I615" s="16">
        <v>99.69</v>
      </c>
      <c r="J615" s="1" t="s">
        <v>366</v>
      </c>
      <c r="K615" s="6">
        <f>Registro_Ordini[[#This Row],[Numero]]*Registro_Ordini[[#This Row],[Prezzo]]</f>
        <v>-9969</v>
      </c>
      <c r="L615" s="10">
        <v>0.82615000000000005</v>
      </c>
      <c r="M615" s="6">
        <f>Registro_Ordini[[#This Row],[Importo]]*Registro_Ordini[[#This Row],[Cambio]]</f>
        <v>-8235.8893500000013</v>
      </c>
      <c r="N615" s="1">
        <f ca="1">IFERROR(_xlfn.NUMBERVALUE(OFFSET(Origine,MATCH(Registro_Ordini[[#This Row],[Titolo]],Descrizioni,0),MATCH("Price",Intestazioni,0)-1,1,1)),"")</f>
        <v>137.36000000000001</v>
      </c>
      <c r="O615" s="18">
        <f ca="1">IF(OR(Registro_Ordini[[#This Row],[Price]]=0,Registro_Ordini[[#This Row],[Price]]=""),"",IF(Registro_Ordini[[#This Row],[Tipo]]="Sell",Registro_Ordini[[#This Row],[Prezzo]]/Registro_Ordini[[#This Row],[Price]]-1,Registro_Ordini[[#This Row],[Price]]/Registro_Ordini[[#This Row],[Prezzo]]-1))</f>
        <v>-0.27424286546301702</v>
      </c>
      <c r="P615" s="15">
        <v>-1.0170594930015497E-2</v>
      </c>
      <c r="Q615" s="3">
        <v>0.1984701889436698</v>
      </c>
      <c r="R615" s="3">
        <v>0.35272673915159319</v>
      </c>
      <c r="S615" s="3">
        <v>0.3382482190673487</v>
      </c>
      <c r="T615" s="3">
        <v>0</v>
      </c>
      <c r="U615" s="3">
        <v>0.11055485283738826</v>
      </c>
      <c r="V615" s="3"/>
      <c r="W615" s="4"/>
    </row>
    <row r="616" spans="1:23" s="1" customFormat="1" ht="24.95" customHeight="1" x14ac:dyDescent="0.2">
      <c r="A616" s="8">
        <v>45770.726909722223</v>
      </c>
      <c r="B616" s="7">
        <v>45770.726909722223</v>
      </c>
      <c r="C616" s="9" t="s">
        <v>382</v>
      </c>
      <c r="D616" s="1" t="s">
        <v>388</v>
      </c>
      <c r="E616" s="1" t="s">
        <v>389</v>
      </c>
      <c r="F616" s="1" t="s">
        <v>414</v>
      </c>
      <c r="G616" s="1" t="s">
        <v>365</v>
      </c>
      <c r="H616" s="2">
        <v>-150</v>
      </c>
      <c r="I616" s="16">
        <v>99.69</v>
      </c>
      <c r="J616" s="1" t="s">
        <v>366</v>
      </c>
      <c r="K616" s="6">
        <f>Registro_Ordini[[#This Row],[Numero]]*Registro_Ordini[[#This Row],[Prezzo]]</f>
        <v>-14953.5</v>
      </c>
      <c r="L616" s="10">
        <v>0.879</v>
      </c>
      <c r="M616" s="6">
        <f>Registro_Ordini[[#This Row],[Importo]]*Registro_Ordini[[#This Row],[Cambio]]</f>
        <v>-13144.1265</v>
      </c>
      <c r="N616" s="1">
        <f ca="1">IFERROR(_xlfn.NUMBERVALUE(OFFSET(Origine,MATCH(Registro_Ordini[[#This Row],[Titolo]],Descrizioni,0),MATCH("Price",Intestazioni,0)-1,1,1)),"")</f>
        <v>137.36000000000001</v>
      </c>
      <c r="O616" s="18">
        <f ca="1">IF(OR(Registro_Ordini[[#This Row],[Price]]=0,Registro_Ordini[[#This Row],[Price]]=""),"",IF(Registro_Ordini[[#This Row],[Tipo]]="Sell",Registro_Ordini[[#This Row],[Prezzo]]/Registro_Ordini[[#This Row],[Price]]-1,Registro_Ordini[[#This Row],[Price]]/Registro_Ordini[[#This Row],[Prezzo]]-1))</f>
        <v>-0.27424286546301702</v>
      </c>
      <c r="P616" s="15">
        <v>-1.2540768850906089E-2</v>
      </c>
      <c r="Q616" s="3">
        <v>0.2124359852924817</v>
      </c>
      <c r="R616" s="3">
        <v>0.27977422155305703</v>
      </c>
      <c r="S616" s="3">
        <v>0.38984467589184657</v>
      </c>
      <c r="T616" s="3">
        <v>0</v>
      </c>
      <c r="U616" s="3">
        <v>0.11794511726261468</v>
      </c>
      <c r="V616" s="3"/>
      <c r="W616" s="4"/>
    </row>
    <row r="617" spans="1:23" s="1" customFormat="1" ht="24.95" customHeight="1" x14ac:dyDescent="0.2">
      <c r="A617" s="8">
        <v>45770.726909722223</v>
      </c>
      <c r="B617" s="7">
        <v>45770.726909722223</v>
      </c>
      <c r="C617" s="9" t="s">
        <v>378</v>
      </c>
      <c r="D617" s="1" t="s">
        <v>388</v>
      </c>
      <c r="E617" s="1" t="s">
        <v>389</v>
      </c>
      <c r="F617" s="1" t="s">
        <v>414</v>
      </c>
      <c r="G617" s="1" t="s">
        <v>365</v>
      </c>
      <c r="H617" s="2">
        <v>-60</v>
      </c>
      <c r="I617" s="16">
        <v>99.69</v>
      </c>
      <c r="J617" s="1" t="s">
        <v>366</v>
      </c>
      <c r="K617" s="6">
        <f>Registro_Ordini[[#This Row],[Numero]]*Registro_Ordini[[#This Row],[Prezzo]]</f>
        <v>-5981.4</v>
      </c>
      <c r="L617" s="10">
        <v>0.82615000000000005</v>
      </c>
      <c r="M617" s="6">
        <f>Registro_Ordini[[#This Row],[Importo]]*Registro_Ordini[[#This Row],[Cambio]]</f>
        <v>-4941.5336100000004</v>
      </c>
      <c r="N617" s="1">
        <f ca="1">IFERROR(_xlfn.NUMBERVALUE(OFFSET(Origine,MATCH(Registro_Ordini[[#This Row],[Titolo]],Descrizioni,0),MATCH("Price",Intestazioni,0)-1,1,1)),"")</f>
        <v>137.36000000000001</v>
      </c>
      <c r="O617" s="18">
        <f ca="1">IF(OR(Registro_Ordini[[#This Row],[Price]]=0,Registro_Ordini[[#This Row],[Price]]=""),"",IF(Registro_Ordini[[#This Row],[Tipo]]="Sell",Registro_Ordini[[#This Row],[Prezzo]]/Registro_Ordini[[#This Row],[Price]]-1,Registro_Ordini[[#This Row],[Price]]/Registro_Ordini[[#This Row],[Prezzo]]-1))</f>
        <v>-0.27424286546301702</v>
      </c>
      <c r="P617" s="15">
        <v>-9.6162262250028292E-3</v>
      </c>
      <c r="Q617" s="3">
        <v>0.21318444858174382</v>
      </c>
      <c r="R617" s="3">
        <v>0.33529294955584016</v>
      </c>
      <c r="S617" s="3">
        <v>0.34599468068174821</v>
      </c>
      <c r="T617" s="3">
        <v>0</v>
      </c>
      <c r="U617" s="3">
        <v>0.10552792118066778</v>
      </c>
      <c r="V617" s="3"/>
      <c r="W617" s="4"/>
    </row>
    <row r="618" spans="1:23" s="1" customFormat="1" ht="24.95" customHeight="1" x14ac:dyDescent="0.2">
      <c r="A618" s="8">
        <v>45770.726909722223</v>
      </c>
      <c r="B618" s="7">
        <v>45770.726909722223</v>
      </c>
      <c r="C618" s="9" t="s">
        <v>377</v>
      </c>
      <c r="D618" s="1" t="s">
        <v>388</v>
      </c>
      <c r="E618" s="1" t="s">
        <v>389</v>
      </c>
      <c r="F618" s="1" t="s">
        <v>414</v>
      </c>
      <c r="G618" s="1" t="s">
        <v>365</v>
      </c>
      <c r="H618" s="2">
        <v>-200</v>
      </c>
      <c r="I618" s="16">
        <v>99.69</v>
      </c>
      <c r="J618" s="1" t="s">
        <v>366</v>
      </c>
      <c r="K618" s="6">
        <f>Registro_Ordini[[#This Row],[Numero]]*Registro_Ordini[[#This Row],[Prezzo]]</f>
        <v>-19938</v>
      </c>
      <c r="L618" s="10">
        <v>0.82615000000000005</v>
      </c>
      <c r="M618" s="6">
        <f>Registro_Ordini[[#This Row],[Importo]]*Registro_Ordini[[#This Row],[Cambio]]</f>
        <v>-16471.778700000003</v>
      </c>
      <c r="N618" s="1">
        <f ca="1">IFERROR(_xlfn.NUMBERVALUE(OFFSET(Origine,MATCH(Registro_Ordini[[#This Row],[Titolo]],Descrizioni,0),MATCH("Price",Intestazioni,0)-1,1,1)),"")</f>
        <v>137.36000000000001</v>
      </c>
      <c r="O618" s="18">
        <f ca="1">IF(OR(Registro_Ordini[[#This Row],[Price]]=0,Registro_Ordini[[#This Row],[Price]]=""),"",IF(Registro_Ordini[[#This Row],[Tipo]]="Sell",Registro_Ordini[[#This Row],[Prezzo]]/Registro_Ordini[[#This Row],[Price]]-1,Registro_Ordini[[#This Row],[Price]]/Registro_Ordini[[#This Row],[Prezzo]]-1))</f>
        <v>-0.27424286546301702</v>
      </c>
      <c r="P618" s="15">
        <v>-1.0287512574484436E-2</v>
      </c>
      <c r="Q618" s="3">
        <v>0.21142195863470761</v>
      </c>
      <c r="R618" s="3">
        <v>0.3244624967667879</v>
      </c>
      <c r="S618" s="3">
        <v>0.3546549770405823</v>
      </c>
      <c r="T618" s="3">
        <v>0</v>
      </c>
      <c r="U618" s="3">
        <v>0.10946056755792223</v>
      </c>
      <c r="V618" s="3"/>
      <c r="W618" s="4"/>
    </row>
    <row r="619" spans="1:23" s="1" customFormat="1" ht="24.95" customHeight="1" x14ac:dyDescent="0.2">
      <c r="A619" s="8">
        <v>45770.726909722223</v>
      </c>
      <c r="B619" s="7">
        <v>45770.726909722223</v>
      </c>
      <c r="C619" s="9" t="s">
        <v>379</v>
      </c>
      <c r="D619" s="1" t="s">
        <v>388</v>
      </c>
      <c r="E619" s="1" t="s">
        <v>389</v>
      </c>
      <c r="F619" s="1" t="s">
        <v>414</v>
      </c>
      <c r="G619" s="1" t="s">
        <v>365</v>
      </c>
      <c r="H619" s="2">
        <v>-80</v>
      </c>
      <c r="I619" s="16">
        <v>99.69</v>
      </c>
      <c r="J619" s="1" t="s">
        <v>366</v>
      </c>
      <c r="K619" s="6">
        <f>Registro_Ordini[[#This Row],[Numero]]*Registro_Ordini[[#This Row],[Prezzo]]</f>
        <v>-7975.2</v>
      </c>
      <c r="L619" s="10">
        <v>0.879</v>
      </c>
      <c r="M619" s="6">
        <f>Registro_Ordini[[#This Row],[Importo]]*Registro_Ordini[[#This Row],[Cambio]]</f>
        <v>-7010.2007999999996</v>
      </c>
      <c r="N619" s="1">
        <f ca="1">IFERROR(_xlfn.NUMBERVALUE(OFFSET(Origine,MATCH(Registro_Ordini[[#This Row],[Titolo]],Descrizioni,0),MATCH("Price",Intestazioni,0)-1,1,1)),"")</f>
        <v>137.36000000000001</v>
      </c>
      <c r="O619" s="18">
        <f ca="1">IF(OR(Registro_Ordini[[#This Row],[Price]]=0,Registro_Ordini[[#This Row],[Price]]=""),"",IF(Registro_Ordini[[#This Row],[Tipo]]="Sell",Registro_Ordini[[#This Row],[Prezzo]]/Registro_Ordini[[#This Row],[Price]]-1,Registro_Ordini[[#This Row],[Price]]/Registro_Ordini[[#This Row],[Prezzo]]-1))</f>
        <v>-0.27424286546301702</v>
      </c>
      <c r="P619" s="15">
        <v>-1.2466035137908886E-2</v>
      </c>
      <c r="Q619" s="3">
        <v>0.21167817354104049</v>
      </c>
      <c r="R619" s="3">
        <v>0.29089438077316954</v>
      </c>
      <c r="S619" s="3">
        <v>0.38080267879824503</v>
      </c>
      <c r="T619" s="3">
        <v>0</v>
      </c>
      <c r="U619" s="3">
        <v>0.11662476688754482</v>
      </c>
      <c r="V619" s="3"/>
      <c r="W619" s="4"/>
    </row>
    <row r="620" spans="1:23" s="1" customFormat="1" ht="24.95" customHeight="1" x14ac:dyDescent="0.2">
      <c r="A620" s="8">
        <v>45770.725497685184</v>
      </c>
      <c r="B620" s="7">
        <v>45770.725497685184</v>
      </c>
      <c r="C620" s="9" t="s">
        <v>78</v>
      </c>
      <c r="D620" s="1" t="s">
        <v>388</v>
      </c>
      <c r="E620" s="1" t="s">
        <v>403</v>
      </c>
      <c r="F620" s="1" t="s">
        <v>416</v>
      </c>
      <c r="G620" s="1" t="s">
        <v>371</v>
      </c>
      <c r="H620" s="2">
        <v>250</v>
      </c>
      <c r="I620" s="16">
        <v>43.520899999999997</v>
      </c>
      <c r="J620" s="1" t="s">
        <v>381</v>
      </c>
      <c r="K620" s="6">
        <f>Registro_Ordini[[#This Row],[Numero]]*Registro_Ordini[[#This Row],[Prezzo]]</f>
        <v>10880.224999999999</v>
      </c>
      <c r="L620" s="10">
        <v>0.94025000000000003</v>
      </c>
      <c r="M620" s="6">
        <f>Registro_Ordini[[#This Row],[Importo]]*Registro_Ordini[[#This Row],[Cambio]]</f>
        <v>10230.131556249999</v>
      </c>
      <c r="N620" s="1">
        <f ca="1">IFERROR(_xlfn.NUMBERVALUE(OFFSET(Origine,MATCH(Registro_Ordini[[#This Row],[Titolo]],Descrizioni,0),MATCH("Price",Intestazioni,0)-1,1,1)),"")</f>
        <v>56.29</v>
      </c>
      <c r="O620" s="18">
        <f ca="1">IF(OR(Registro_Ordini[[#This Row],[Price]]=0,Registro_Ordini[[#This Row],[Price]]=""),"",IF(Registro_Ordini[[#This Row],[Tipo]]="Sell",Registro_Ordini[[#This Row],[Prezzo]]/Registro_Ordini[[#This Row],[Price]]-1,Registro_Ordini[[#This Row],[Price]]/Registro_Ordini[[#This Row],[Prezzo]]-1))</f>
        <v>0.29340156108904014</v>
      </c>
      <c r="P620" s="15">
        <v>1.986545405597798E-2</v>
      </c>
      <c r="Q620" s="3">
        <v>0.30608371989072924</v>
      </c>
      <c r="R620" s="3">
        <v>0.13462557376238291</v>
      </c>
      <c r="S620" s="3">
        <v>0.49248304511613389</v>
      </c>
      <c r="T620" s="3">
        <v>0</v>
      </c>
      <c r="U620" s="3">
        <v>6.6807661230754004E-2</v>
      </c>
      <c r="V620" s="3"/>
      <c r="W620" s="4"/>
    </row>
    <row r="621" spans="1:23" s="1" customFormat="1" ht="24.95" customHeight="1" x14ac:dyDescent="0.2">
      <c r="A621" s="8">
        <v>45770.725497685184</v>
      </c>
      <c r="B621" s="7">
        <v>45770.725497685184</v>
      </c>
      <c r="C621" s="9" t="s">
        <v>375</v>
      </c>
      <c r="D621" s="1" t="s">
        <v>388</v>
      </c>
      <c r="E621" s="1" t="s">
        <v>403</v>
      </c>
      <c r="F621" s="1" t="s">
        <v>416</v>
      </c>
      <c r="G621" s="1" t="s">
        <v>371</v>
      </c>
      <c r="H621" s="2">
        <v>380</v>
      </c>
      <c r="I621" s="16">
        <v>43.520899999999997</v>
      </c>
      <c r="J621" s="1" t="s">
        <v>381</v>
      </c>
      <c r="K621" s="6">
        <f>Registro_Ordini[[#This Row],[Numero]]*Registro_Ordini[[#This Row],[Prezzo]]</f>
        <v>16537.941999999999</v>
      </c>
      <c r="L621" s="10">
        <v>0.94025000000000003</v>
      </c>
      <c r="M621" s="6">
        <f>Registro_Ordini[[#This Row],[Importo]]*Registro_Ordini[[#This Row],[Cambio]]</f>
        <v>15549.7999655</v>
      </c>
      <c r="N621" s="1">
        <f ca="1">IFERROR(_xlfn.NUMBERVALUE(OFFSET(Origine,MATCH(Registro_Ordini[[#This Row],[Titolo]],Descrizioni,0),MATCH("Price",Intestazioni,0)-1,1,1)),"")</f>
        <v>56.29</v>
      </c>
      <c r="O621" s="18">
        <f ca="1">IF(OR(Registro_Ordini[[#This Row],[Price]]=0,Registro_Ordini[[#This Row],[Price]]=""),"",IF(Registro_Ordini[[#This Row],[Tipo]]="Sell",Registro_Ordini[[#This Row],[Prezzo]]/Registro_Ordini[[#This Row],[Price]]-1,Registro_Ordini[[#This Row],[Price]]/Registro_Ordini[[#This Row],[Prezzo]]-1))</f>
        <v>0.29340156108904014</v>
      </c>
      <c r="P621" s="15">
        <v>1.9197200631587415E-2</v>
      </c>
      <c r="Q621" s="3">
        <v>0.17665890666575421</v>
      </c>
      <c r="R621" s="3">
        <v>0.35262705173286957</v>
      </c>
      <c r="S621" s="3">
        <v>0.36028734688142944</v>
      </c>
      <c r="T621" s="3">
        <v>0</v>
      </c>
      <c r="U621" s="3">
        <v>0.11042669471994659</v>
      </c>
      <c r="V621" s="3"/>
      <c r="W621" s="4"/>
    </row>
    <row r="622" spans="1:23" s="1" customFormat="1" ht="24.95" customHeight="1" x14ac:dyDescent="0.2">
      <c r="A622" s="8">
        <v>45770.725497685184</v>
      </c>
      <c r="B622" s="7">
        <v>45770.725497685184</v>
      </c>
      <c r="C622" s="9" t="s">
        <v>378</v>
      </c>
      <c r="D622" s="1" t="s">
        <v>388</v>
      </c>
      <c r="E622" s="1" t="s">
        <v>403</v>
      </c>
      <c r="F622" s="1" t="s">
        <v>416</v>
      </c>
      <c r="G622" s="1" t="s">
        <v>371</v>
      </c>
      <c r="H622" s="2">
        <v>245</v>
      </c>
      <c r="I622" s="16">
        <v>43.520899999999997</v>
      </c>
      <c r="J622" s="1" t="s">
        <v>381</v>
      </c>
      <c r="K622" s="6">
        <f>Registro_Ordini[[#This Row],[Numero]]*Registro_Ordini[[#This Row],[Prezzo]]</f>
        <v>10662.620499999999</v>
      </c>
      <c r="L622" s="10">
        <v>0.94025000000000003</v>
      </c>
      <c r="M622" s="6">
        <f>Registro_Ordini[[#This Row],[Importo]]*Registro_Ordini[[#This Row],[Cambio]]</f>
        <v>10025.528925125</v>
      </c>
      <c r="N622" s="1">
        <f ca="1">IFERROR(_xlfn.NUMBERVALUE(OFFSET(Origine,MATCH(Registro_Ordini[[#This Row],[Titolo]],Descrizioni,0),MATCH("Price",Intestazioni,0)-1,1,1)),"")</f>
        <v>56.29</v>
      </c>
      <c r="O622" s="18">
        <f ca="1">IF(OR(Registro_Ordini[[#This Row],[Price]]=0,Registro_Ordini[[#This Row],[Price]]=""),"",IF(Registro_Ordini[[#This Row],[Tipo]]="Sell",Registro_Ordini[[#This Row],[Prezzo]]/Registro_Ordini[[#This Row],[Price]]-1,Registro_Ordini[[#This Row],[Price]]/Registro_Ordini[[#This Row],[Prezzo]]-1))</f>
        <v>0.29340156108904014</v>
      </c>
      <c r="P622" s="15">
        <v>1.9504773676235914E-2</v>
      </c>
      <c r="Q622" s="3">
        <v>0.19182350088298789</v>
      </c>
      <c r="R622" s="3">
        <v>0.33520857836652634</v>
      </c>
      <c r="S622" s="3">
        <v>0.36743247246012189</v>
      </c>
      <c r="T622" s="3">
        <v>0</v>
      </c>
      <c r="U622" s="3">
        <v>0.10553544829036389</v>
      </c>
      <c r="V622" s="3"/>
      <c r="W622" s="4"/>
    </row>
    <row r="623" spans="1:23" s="1" customFormat="1" ht="24.95" customHeight="1" x14ac:dyDescent="0.2">
      <c r="A623" s="8">
        <v>45770.725497685184</v>
      </c>
      <c r="B623" s="7">
        <v>45770.725497685184</v>
      </c>
      <c r="C623" s="9" t="s">
        <v>377</v>
      </c>
      <c r="D623" s="1" t="s">
        <v>388</v>
      </c>
      <c r="E623" s="1" t="s">
        <v>403</v>
      </c>
      <c r="F623" s="1" t="s">
        <v>416</v>
      </c>
      <c r="G623" s="1" t="s">
        <v>371</v>
      </c>
      <c r="H623" s="2">
        <v>760</v>
      </c>
      <c r="I623" s="16">
        <v>43.520899999999997</v>
      </c>
      <c r="J623" s="1" t="s">
        <v>381</v>
      </c>
      <c r="K623" s="6">
        <f>Registro_Ordini[[#This Row],[Numero]]*Registro_Ordini[[#This Row],[Prezzo]]</f>
        <v>33075.883999999998</v>
      </c>
      <c r="L623" s="10">
        <v>0.94025000000000003</v>
      </c>
      <c r="M623" s="6">
        <f>Registro_Ordini[[#This Row],[Importo]]*Registro_Ordini[[#This Row],[Cambio]]</f>
        <v>31099.599931000001</v>
      </c>
      <c r="N623" s="1">
        <f ca="1">IFERROR(_xlfn.NUMBERVALUE(OFFSET(Origine,MATCH(Registro_Ordini[[#This Row],[Titolo]],Descrizioni,0),MATCH("Price",Intestazioni,0)-1,1,1)),"")</f>
        <v>56.29</v>
      </c>
      <c r="O623" s="18">
        <f ca="1">IF(OR(Registro_Ordini[[#This Row],[Price]]=0,Registro_Ordini[[#This Row],[Price]]=""),"",IF(Registro_Ordini[[#This Row],[Tipo]]="Sell",Registro_Ordini[[#This Row],[Prezzo]]/Registro_Ordini[[#This Row],[Price]]-1,Registro_Ordini[[#This Row],[Price]]/Registro_Ordini[[#This Row],[Prezzo]]-1))</f>
        <v>0.29340156108904014</v>
      </c>
      <c r="P623" s="15">
        <v>1.9414301277204532E-2</v>
      </c>
      <c r="Q623" s="3">
        <v>0.18994544844679118</v>
      </c>
      <c r="R623" s="3">
        <v>0.32431093193717225</v>
      </c>
      <c r="S623" s="3">
        <v>0.37633418392215678</v>
      </c>
      <c r="T623" s="3">
        <v>0</v>
      </c>
      <c r="U623" s="3">
        <v>0.10940943569387979</v>
      </c>
      <c r="V623" s="3"/>
      <c r="W623" s="4"/>
    </row>
    <row r="624" spans="1:23" s="1" customFormat="1" ht="24.95" customHeight="1" x14ac:dyDescent="0.2">
      <c r="A624" s="8">
        <v>45770.725497685184</v>
      </c>
      <c r="B624" s="7">
        <v>45770.725497685184</v>
      </c>
      <c r="C624" s="9" t="s">
        <v>376</v>
      </c>
      <c r="D624" s="1" t="s">
        <v>388</v>
      </c>
      <c r="E624" s="1" t="s">
        <v>403</v>
      </c>
      <c r="F624" s="1" t="s">
        <v>416</v>
      </c>
      <c r="G624" s="1" t="s">
        <v>371</v>
      </c>
      <c r="H624" s="2">
        <v>130</v>
      </c>
      <c r="I624" s="16">
        <v>43.520899999999997</v>
      </c>
      <c r="J624" s="1" t="s">
        <v>381</v>
      </c>
      <c r="K624" s="6">
        <f>Registro_Ordini[[#This Row],[Numero]]*Registro_Ordini[[#This Row],[Prezzo]]</f>
        <v>5657.7169999999996</v>
      </c>
      <c r="L624" s="10">
        <v>0.94025000000000003</v>
      </c>
      <c r="M624" s="6">
        <f>Registro_Ordini[[#This Row],[Importo]]*Registro_Ordini[[#This Row],[Cambio]]</f>
        <v>5319.66840925</v>
      </c>
      <c r="N624" s="1">
        <f ca="1">IFERROR(_xlfn.NUMBERVALUE(OFFSET(Origine,MATCH(Registro_Ordini[[#This Row],[Titolo]],Descrizioni,0),MATCH("Price",Intestazioni,0)-1,1,1)),"")</f>
        <v>56.29</v>
      </c>
      <c r="O624" s="18">
        <f ca="1">IF(OR(Registro_Ordini[[#This Row],[Price]]=0,Registro_Ordini[[#This Row],[Price]]=""),"",IF(Registro_Ordini[[#This Row],[Tipo]]="Sell",Registro_Ordini[[#This Row],[Prezzo]]/Registro_Ordini[[#This Row],[Price]]-1,Registro_Ordini[[#This Row],[Price]]/Registro_Ordini[[#This Row],[Prezzo]]-1))</f>
        <v>0.29340156108904014</v>
      </c>
      <c r="P624" s="15">
        <v>1.9299591156896584E-2</v>
      </c>
      <c r="Q624" s="3">
        <v>0.10973350092074607</v>
      </c>
      <c r="R624" s="3">
        <v>0.35541767703321692</v>
      </c>
      <c r="S624" s="3">
        <v>0.39941256981339335</v>
      </c>
      <c r="T624" s="3">
        <v>0</v>
      </c>
      <c r="U624" s="3">
        <v>0.13543625223264372</v>
      </c>
      <c r="V624" s="3"/>
      <c r="W624" s="4"/>
    </row>
    <row r="625" spans="1:23" s="1" customFormat="1" ht="24.95" customHeight="1" x14ac:dyDescent="0.2">
      <c r="A625" s="8">
        <v>45770.723564814813</v>
      </c>
      <c r="B625" s="7">
        <v>45770.723564814813</v>
      </c>
      <c r="C625" s="9" t="s">
        <v>383</v>
      </c>
      <c r="D625" s="1" t="s">
        <v>388</v>
      </c>
      <c r="E625" s="1" t="s">
        <v>403</v>
      </c>
      <c r="F625" s="1" t="s">
        <v>438</v>
      </c>
      <c r="G625" s="1" t="s">
        <v>371</v>
      </c>
      <c r="H625" s="2">
        <v>330</v>
      </c>
      <c r="I625" s="16">
        <v>47.390900000000002</v>
      </c>
      <c r="J625" s="1" t="s">
        <v>381</v>
      </c>
      <c r="K625" s="6">
        <f>Registro_Ordini[[#This Row],[Numero]]*Registro_Ordini[[#This Row],[Prezzo]]</f>
        <v>15638.997000000001</v>
      </c>
      <c r="L625" s="10">
        <v>1</v>
      </c>
      <c r="M625" s="6">
        <f>Registro_Ordini[[#This Row],[Importo]]*Registro_Ordini[[#This Row],[Cambio]]</f>
        <v>15638.997000000001</v>
      </c>
      <c r="N625" s="1">
        <f ca="1">IFERROR(_xlfn.NUMBERVALUE(OFFSET(Origine,MATCH(Registro_Ordini[[#This Row],[Titolo]],Descrizioni,0),MATCH("Price",Intestazioni,0)-1,1,1)),"")</f>
        <v>47.854999999999997</v>
      </c>
      <c r="O625" s="18">
        <f ca="1">IF(OR(Registro_Ordini[[#This Row],[Price]]=0,Registro_Ordini[[#This Row],[Price]]=""),"",IF(Registro_Ordini[[#This Row],[Tipo]]="Sell",Registro_Ordini[[#This Row],[Prezzo]]/Registro_Ordini[[#This Row],[Price]]-1,Registro_Ordini[[#This Row],[Price]]/Registro_Ordini[[#This Row],[Prezzo]]-1))</f>
        <v>9.7930193349355932E-3</v>
      </c>
      <c r="P625" s="15">
        <v>2.5203955523437901E-2</v>
      </c>
      <c r="Q625" s="3">
        <v>0.22706590866906012</v>
      </c>
      <c r="R625" s="3">
        <v>0.27516977711285029</v>
      </c>
      <c r="S625" s="3">
        <v>0.38087694111202719</v>
      </c>
      <c r="T625" s="3">
        <v>0</v>
      </c>
      <c r="U625" s="3">
        <v>0.11688737310606241</v>
      </c>
      <c r="V625" s="3"/>
      <c r="W625" s="4"/>
    </row>
    <row r="626" spans="1:23" s="1" customFormat="1" ht="24.95" customHeight="1" x14ac:dyDescent="0.2">
      <c r="A626" s="8">
        <v>45770.723564814813</v>
      </c>
      <c r="B626" s="7">
        <v>45770.723564814813</v>
      </c>
      <c r="C626" s="9" t="s">
        <v>78</v>
      </c>
      <c r="D626" s="1" t="s">
        <v>388</v>
      </c>
      <c r="E626" s="1" t="s">
        <v>403</v>
      </c>
      <c r="F626" s="1" t="s">
        <v>438</v>
      </c>
      <c r="G626" s="1" t="s">
        <v>371</v>
      </c>
      <c r="H626" s="2">
        <v>230</v>
      </c>
      <c r="I626" s="16">
        <v>47.390900000000002</v>
      </c>
      <c r="J626" s="1" t="s">
        <v>381</v>
      </c>
      <c r="K626" s="6">
        <f>Registro_Ordini[[#This Row],[Numero]]*Registro_Ordini[[#This Row],[Prezzo]]</f>
        <v>10899.907000000001</v>
      </c>
      <c r="L626" s="10">
        <v>0.94025000000000003</v>
      </c>
      <c r="M626" s="6">
        <f>Registro_Ordini[[#This Row],[Importo]]*Registro_Ordini[[#This Row],[Cambio]]</f>
        <v>10248.637556750002</v>
      </c>
      <c r="N626" s="1">
        <f ca="1">IFERROR(_xlfn.NUMBERVALUE(OFFSET(Origine,MATCH(Registro_Ordini[[#This Row],[Titolo]],Descrizioni,0),MATCH("Price",Intestazioni,0)-1,1,1)),"")</f>
        <v>47.854999999999997</v>
      </c>
      <c r="O626" s="18">
        <f ca="1">IF(OR(Registro_Ordini[[#This Row],[Price]]=0,Registro_Ordini[[#This Row],[Price]]=""),"",IF(Registro_Ordini[[#This Row],[Tipo]]="Sell",Registro_Ordini[[#This Row],[Prezzo]]/Registro_Ordini[[#This Row],[Price]]-1,Registro_Ordini[[#This Row],[Price]]/Registro_Ordini[[#This Row],[Prezzo]]-1))</f>
        <v>9.7930193349355932E-3</v>
      </c>
      <c r="P626" s="15">
        <v>1.9901298969887442E-2</v>
      </c>
      <c r="Q626" s="3">
        <v>0.32594768196722679</v>
      </c>
      <c r="R626" s="3">
        <v>0.13462495753565293</v>
      </c>
      <c r="S626" s="3">
        <v>0.47262000506760055</v>
      </c>
      <c r="T626" s="3">
        <v>0</v>
      </c>
      <c r="U626" s="3">
        <v>6.6807355429519752E-2</v>
      </c>
      <c r="V626" s="3"/>
      <c r="W626" s="4"/>
    </row>
    <row r="627" spans="1:23" s="1" customFormat="1" ht="24.95" customHeight="1" x14ac:dyDescent="0.2">
      <c r="A627" s="8">
        <v>45770.723564814813</v>
      </c>
      <c r="B627" s="7">
        <v>45770.723564814813</v>
      </c>
      <c r="C627" s="9" t="s">
        <v>375</v>
      </c>
      <c r="D627" s="1" t="s">
        <v>388</v>
      </c>
      <c r="E627" s="1" t="s">
        <v>403</v>
      </c>
      <c r="F627" s="1" t="s">
        <v>438</v>
      </c>
      <c r="G627" s="1" t="s">
        <v>371</v>
      </c>
      <c r="H627" s="2">
        <v>360</v>
      </c>
      <c r="I627" s="16">
        <v>47.390900000000002</v>
      </c>
      <c r="J627" s="1" t="s">
        <v>381</v>
      </c>
      <c r="K627" s="6">
        <f>Registro_Ordini[[#This Row],[Numero]]*Registro_Ordini[[#This Row],[Prezzo]]</f>
        <v>17060.724000000002</v>
      </c>
      <c r="L627" s="10">
        <v>0.94025000000000003</v>
      </c>
      <c r="M627" s="6">
        <f>Registro_Ordini[[#This Row],[Importo]]*Registro_Ordini[[#This Row],[Cambio]]</f>
        <v>16041.345741000003</v>
      </c>
      <c r="N627" s="1">
        <f ca="1">IFERROR(_xlfn.NUMBERVALUE(OFFSET(Origine,MATCH(Registro_Ordini[[#This Row],[Titolo]],Descrizioni,0),MATCH("Price",Intestazioni,0)-1,1,1)),"")</f>
        <v>47.854999999999997</v>
      </c>
      <c r="O627" s="18">
        <f ca="1">IF(OR(Registro_Ordini[[#This Row],[Price]]=0,Registro_Ordini[[#This Row],[Price]]=""),"",IF(Registro_Ordini[[#This Row],[Tipo]]="Sell",Registro_Ordini[[#This Row],[Prezzo]]/Registro_Ordini[[#This Row],[Price]]-1,Registro_Ordini[[#This Row],[Price]]/Registro_Ordini[[#This Row],[Prezzo]]-1))</f>
        <v>9.7930193349355932E-3</v>
      </c>
      <c r="P627" s="15">
        <v>1.9803954429149027E-2</v>
      </c>
      <c r="Q627" s="3">
        <v>0.19585521518288254</v>
      </c>
      <c r="R627" s="3">
        <v>0.35262544553485087</v>
      </c>
      <c r="S627" s="3">
        <v>0.34109314755021436</v>
      </c>
      <c r="T627" s="3">
        <v>0</v>
      </c>
      <c r="U627" s="3">
        <v>0.11042619173205215</v>
      </c>
      <c r="V627" s="3"/>
      <c r="W627" s="4"/>
    </row>
    <row r="628" spans="1:23" s="1" customFormat="1" ht="24.95" customHeight="1" x14ac:dyDescent="0.2">
      <c r="A628" s="8">
        <v>45770.723564814813</v>
      </c>
      <c r="B628" s="7">
        <v>45770.723564814813</v>
      </c>
      <c r="C628" s="9" t="s">
        <v>382</v>
      </c>
      <c r="D628" s="1" t="s">
        <v>388</v>
      </c>
      <c r="E628" s="1" t="s">
        <v>403</v>
      </c>
      <c r="F628" s="1" t="s">
        <v>438</v>
      </c>
      <c r="G628" s="1" t="s">
        <v>371</v>
      </c>
      <c r="H628" s="2">
        <v>550</v>
      </c>
      <c r="I628" s="16">
        <v>47.390900000000002</v>
      </c>
      <c r="J628" s="1" t="s">
        <v>381</v>
      </c>
      <c r="K628" s="6">
        <f>Registro_Ordini[[#This Row],[Numero]]*Registro_Ordini[[#This Row],[Prezzo]]</f>
        <v>26064.995000000003</v>
      </c>
      <c r="L628" s="10">
        <v>1</v>
      </c>
      <c r="M628" s="6">
        <f>Registro_Ordini[[#This Row],[Importo]]*Registro_Ordini[[#This Row],[Cambio]]</f>
        <v>26064.995000000003</v>
      </c>
      <c r="N628" s="1">
        <f ca="1">IFERROR(_xlfn.NUMBERVALUE(OFFSET(Origine,MATCH(Registro_Ordini[[#This Row],[Titolo]],Descrizioni,0),MATCH("Price",Intestazioni,0)-1,1,1)),"")</f>
        <v>47.854999999999997</v>
      </c>
      <c r="O628" s="18">
        <f ca="1">IF(OR(Registro_Ordini[[#This Row],[Price]]=0,Registro_Ordini[[#This Row],[Price]]=""),"",IF(Registro_Ordini[[#This Row],[Tipo]]="Sell",Registro_Ordini[[#This Row],[Prezzo]]/Registro_Ordini[[#This Row],[Price]]-1,Registro_Ordini[[#This Row],[Price]]/Registro_Ordini[[#This Row],[Prezzo]]-1))</f>
        <v>9.7930193349355932E-3</v>
      </c>
      <c r="P628" s="15">
        <v>2.4866161271104907E-2</v>
      </c>
      <c r="Q628" s="3">
        <v>0.20967386207476263</v>
      </c>
      <c r="R628" s="3">
        <v>0.27974759597353238</v>
      </c>
      <c r="S628" s="3">
        <v>0.3926147167145887</v>
      </c>
      <c r="T628" s="3">
        <v>0</v>
      </c>
      <c r="U628" s="3">
        <v>0.11796382523711632</v>
      </c>
      <c r="V628" s="3"/>
      <c r="W628" s="4"/>
    </row>
    <row r="629" spans="1:23" s="1" customFormat="1" ht="24.95" customHeight="1" x14ac:dyDescent="0.2">
      <c r="A629" s="8">
        <v>45770.723564814813</v>
      </c>
      <c r="B629" s="7">
        <v>45770.723564814813</v>
      </c>
      <c r="C629" s="9" t="s">
        <v>378</v>
      </c>
      <c r="D629" s="1" t="s">
        <v>388</v>
      </c>
      <c r="E629" s="1" t="s">
        <v>403</v>
      </c>
      <c r="F629" s="1" t="s">
        <v>438</v>
      </c>
      <c r="G629" s="1" t="s">
        <v>371</v>
      </c>
      <c r="H629" s="2">
        <v>230</v>
      </c>
      <c r="I629" s="16">
        <v>47.390900000000002</v>
      </c>
      <c r="J629" s="1" t="s">
        <v>381</v>
      </c>
      <c r="K629" s="6">
        <f>Registro_Ordini[[#This Row],[Numero]]*Registro_Ordini[[#This Row],[Prezzo]]</f>
        <v>10899.907000000001</v>
      </c>
      <c r="L629" s="10">
        <v>0.94025000000000003</v>
      </c>
      <c r="M629" s="6">
        <f>Registro_Ordini[[#This Row],[Importo]]*Registro_Ordini[[#This Row],[Cambio]]</f>
        <v>10248.637556750002</v>
      </c>
      <c r="N629" s="1">
        <f ca="1">IFERROR(_xlfn.NUMBERVALUE(OFFSET(Origine,MATCH(Registro_Ordini[[#This Row],[Titolo]],Descrizioni,0),MATCH("Price",Intestazioni,0)-1,1,1)),"")</f>
        <v>47.854999999999997</v>
      </c>
      <c r="O629" s="18">
        <f ca="1">IF(OR(Registro_Ordini[[#This Row],[Price]]=0,Registro_Ordini[[#This Row],[Price]]=""),"",IF(Registro_Ordini[[#This Row],[Tipo]]="Sell",Registro_Ordini[[#This Row],[Prezzo]]/Registro_Ordini[[#This Row],[Price]]-1,Registro_Ordini[[#This Row],[Price]]/Registro_Ordini[[#This Row],[Prezzo]]-1))</f>
        <v>9.7930193349355932E-3</v>
      </c>
      <c r="P629" s="15">
        <v>1.9938742465144203E-2</v>
      </c>
      <c r="Q629" s="3">
        <v>0.21132730541834532</v>
      </c>
      <c r="R629" s="3">
        <v>0.33520704111678168</v>
      </c>
      <c r="S629" s="3">
        <v>0.34793068915478714</v>
      </c>
      <c r="T629" s="3">
        <v>0</v>
      </c>
      <c r="U629" s="3">
        <v>0.10553496431008591</v>
      </c>
      <c r="V629" s="3"/>
      <c r="W629" s="4"/>
    </row>
    <row r="630" spans="1:23" s="1" customFormat="1" ht="24.95" customHeight="1" x14ac:dyDescent="0.2">
      <c r="A630" s="8">
        <v>45770.723564814813</v>
      </c>
      <c r="B630" s="7">
        <v>45770.723564814813</v>
      </c>
      <c r="C630" s="9" t="s">
        <v>106</v>
      </c>
      <c r="D630" s="1" t="s">
        <v>388</v>
      </c>
      <c r="E630" s="1" t="s">
        <v>403</v>
      </c>
      <c r="F630" s="1" t="s">
        <v>438</v>
      </c>
      <c r="G630" s="1" t="s">
        <v>371</v>
      </c>
      <c r="H630" s="2">
        <v>145</v>
      </c>
      <c r="I630" s="16">
        <v>47.390900000000002</v>
      </c>
      <c r="J630" s="1" t="s">
        <v>381</v>
      </c>
      <c r="K630" s="6">
        <f>Registro_Ordini[[#This Row],[Numero]]*Registro_Ordini[[#This Row],[Prezzo]]</f>
        <v>6871.6805000000004</v>
      </c>
      <c r="L630" s="10">
        <v>1</v>
      </c>
      <c r="M630" s="6">
        <f>Registro_Ordini[[#This Row],[Importo]]*Registro_Ordini[[#This Row],[Cambio]]</f>
        <v>6871.6805000000004</v>
      </c>
      <c r="N630" s="1">
        <f ca="1">IFERROR(_xlfn.NUMBERVALUE(OFFSET(Origine,MATCH(Registro_Ordini[[#This Row],[Titolo]],Descrizioni,0),MATCH("Price",Intestazioni,0)-1,1,1)),"")</f>
        <v>47.854999999999997</v>
      </c>
      <c r="O630" s="18">
        <f ca="1">IF(OR(Registro_Ordini[[#This Row],[Price]]=0,Registro_Ordini[[#This Row],[Price]]=""),"",IF(Registro_Ordini[[#This Row],[Tipo]]="Sell",Registro_Ordini[[#This Row],[Prezzo]]/Registro_Ordini[[#This Row],[Price]]-1,Registro_Ordini[[#This Row],[Price]]/Registro_Ordini[[#This Row],[Prezzo]]-1))</f>
        <v>9.7930193349355932E-3</v>
      </c>
      <c r="P630" s="15">
        <v>4.9858031784346342E-2</v>
      </c>
      <c r="Q630" s="3">
        <v>0.24953769184374974</v>
      </c>
      <c r="R630" s="3">
        <v>0.23107503865744713</v>
      </c>
      <c r="S630" s="3">
        <v>0.37029092147872805</v>
      </c>
      <c r="T630" s="3">
        <v>0</v>
      </c>
      <c r="U630" s="3">
        <v>0.14909634802007493</v>
      </c>
      <c r="V630" s="3"/>
      <c r="W630" s="4"/>
    </row>
    <row r="631" spans="1:23" s="1" customFormat="1" ht="24.95" customHeight="1" x14ac:dyDescent="0.2">
      <c r="A631" s="8">
        <v>45770.723564814813</v>
      </c>
      <c r="B631" s="7">
        <v>45770.723564814813</v>
      </c>
      <c r="C631" s="9" t="s">
        <v>377</v>
      </c>
      <c r="D631" s="1" t="s">
        <v>388</v>
      </c>
      <c r="E631" s="1" t="s">
        <v>403</v>
      </c>
      <c r="F631" s="1" t="s">
        <v>438</v>
      </c>
      <c r="G631" s="1" t="s">
        <v>371</v>
      </c>
      <c r="H631" s="2">
        <v>715</v>
      </c>
      <c r="I631" s="16">
        <v>47.390900000000002</v>
      </c>
      <c r="J631" s="1" t="s">
        <v>381</v>
      </c>
      <c r="K631" s="6">
        <f>Registro_Ordini[[#This Row],[Numero]]*Registro_Ordini[[#This Row],[Prezzo]]</f>
        <v>33884.493500000004</v>
      </c>
      <c r="L631" s="10">
        <v>0.94025000000000003</v>
      </c>
      <c r="M631" s="6">
        <f>Registro_Ordini[[#This Row],[Importo]]*Registro_Ordini[[#This Row],[Cambio]]</f>
        <v>31859.895013375004</v>
      </c>
      <c r="N631" s="1">
        <f ca="1">IFERROR(_xlfn.NUMBERVALUE(OFFSET(Origine,MATCH(Registro_Ordini[[#This Row],[Titolo]],Descrizioni,0),MATCH("Price",Intestazioni,0)-1,1,1)),"")</f>
        <v>47.854999999999997</v>
      </c>
      <c r="O631" s="18">
        <f ca="1">IF(OR(Registro_Ordini[[#This Row],[Price]]=0,Registro_Ordini[[#This Row],[Price]]=""),"",IF(Registro_Ordini[[#This Row],[Tipo]]="Sell",Registro_Ordini[[#This Row],[Prezzo]]/Registro_Ordini[[#This Row],[Price]]-1,Registro_Ordini[[#This Row],[Price]]/Registro_Ordini[[#This Row],[Prezzo]]-1))</f>
        <v>9.7930193349355932E-3</v>
      </c>
      <c r="P631" s="15">
        <v>1.9888833693678339E-2</v>
      </c>
      <c r="Q631" s="3">
        <v>0.20935879201393817</v>
      </c>
      <c r="R631" s="3">
        <v>0.32430944838629067</v>
      </c>
      <c r="S631" s="3">
        <v>0.35692282439615791</v>
      </c>
      <c r="T631" s="3">
        <v>0</v>
      </c>
      <c r="U631" s="3">
        <v>0.10940893520361321</v>
      </c>
      <c r="V631" s="3"/>
      <c r="W631" s="4"/>
    </row>
    <row r="632" spans="1:23" s="1" customFormat="1" ht="24.95" customHeight="1" x14ac:dyDescent="0.2">
      <c r="A632" s="8">
        <v>45770.723564814813</v>
      </c>
      <c r="B632" s="7">
        <v>45770.723564814813</v>
      </c>
      <c r="C632" s="9" t="s">
        <v>376</v>
      </c>
      <c r="D632" s="1" t="s">
        <v>388</v>
      </c>
      <c r="E632" s="1" t="s">
        <v>403</v>
      </c>
      <c r="F632" s="1" t="s">
        <v>438</v>
      </c>
      <c r="G632" s="1" t="s">
        <v>371</v>
      </c>
      <c r="H632" s="2">
        <v>125</v>
      </c>
      <c r="I632" s="16">
        <v>47.390900000000002</v>
      </c>
      <c r="J632" s="1" t="s">
        <v>381</v>
      </c>
      <c r="K632" s="6">
        <f>Registro_Ordini[[#This Row],[Numero]]*Registro_Ordini[[#This Row],[Prezzo]]</f>
        <v>5923.8625000000002</v>
      </c>
      <c r="L632" s="10">
        <v>0.94025000000000003</v>
      </c>
      <c r="M632" s="6">
        <f>Registro_Ordini[[#This Row],[Importo]]*Registro_Ordini[[#This Row],[Cambio]]</f>
        <v>5569.9117156250004</v>
      </c>
      <c r="N632" s="1">
        <f ca="1">IFERROR(_xlfn.NUMBERVALUE(OFFSET(Origine,MATCH(Registro_Ordini[[#This Row],[Titolo]],Descrizioni,0),MATCH("Price",Intestazioni,0)-1,1,1)),"")</f>
        <v>47.854999999999997</v>
      </c>
      <c r="O632" s="18">
        <f ca="1">IF(OR(Registro_Ordini[[#This Row],[Price]]=0,Registro_Ordini[[#This Row],[Price]]=""),"",IF(Registro_Ordini[[#This Row],[Tipo]]="Sell",Registro_Ordini[[#This Row],[Prezzo]]/Registro_Ordini[[#This Row],[Price]]-1,Registro_Ordini[[#This Row],[Price]]/Registro_Ordini[[#This Row],[Prezzo]]-1))</f>
        <v>9.7930193349355932E-3</v>
      </c>
      <c r="P632" s="15">
        <v>2.0207372152551608E-2</v>
      </c>
      <c r="Q632" s="3">
        <v>0.12903249236599221</v>
      </c>
      <c r="R632" s="3">
        <v>0.35541602514595089</v>
      </c>
      <c r="S632" s="3">
        <v>0.38011585972725692</v>
      </c>
      <c r="T632" s="3">
        <v>0</v>
      </c>
      <c r="U632" s="3">
        <v>0.13543562276080007</v>
      </c>
      <c r="V632" s="3"/>
      <c r="W632" s="4"/>
    </row>
    <row r="633" spans="1:23" s="1" customFormat="1" ht="24.95" customHeight="1" x14ac:dyDescent="0.2">
      <c r="A633" s="8">
        <v>45770.723564814813</v>
      </c>
      <c r="B633" s="7">
        <v>45770.723564814813</v>
      </c>
      <c r="C633" s="9" t="s">
        <v>379</v>
      </c>
      <c r="D633" s="1" t="s">
        <v>388</v>
      </c>
      <c r="E633" s="1" t="s">
        <v>403</v>
      </c>
      <c r="F633" s="1" t="s">
        <v>438</v>
      </c>
      <c r="G633" s="1" t="s">
        <v>371</v>
      </c>
      <c r="H633" s="2">
        <v>300</v>
      </c>
      <c r="I633" s="16">
        <v>47.390900000000002</v>
      </c>
      <c r="J633" s="1" t="s">
        <v>381</v>
      </c>
      <c r="K633" s="6">
        <f>Registro_Ordini[[#This Row],[Numero]]*Registro_Ordini[[#This Row],[Prezzo]]</f>
        <v>14217.27</v>
      </c>
      <c r="L633" s="10">
        <v>1</v>
      </c>
      <c r="M633" s="6">
        <f>Registro_Ordini[[#This Row],[Importo]]*Registro_Ordini[[#This Row],[Cambio]]</f>
        <v>14217.27</v>
      </c>
      <c r="N633" s="1">
        <f ca="1">IFERROR(_xlfn.NUMBERVALUE(OFFSET(Origine,MATCH(Registro_Ordini[[#This Row],[Titolo]],Descrizioni,0),MATCH("Price",Intestazioni,0)-1,1,1)),"")</f>
        <v>47.854999999999997</v>
      </c>
      <c r="O633" s="18">
        <f ca="1">IF(OR(Registro_Ordini[[#This Row],[Price]]=0,Registro_Ordini[[#This Row],[Price]]=""),"",IF(Registro_Ordini[[#This Row],[Tipo]]="Sell",Registro_Ordini[[#This Row],[Prezzo]]/Registro_Ordini[[#This Row],[Price]]-1,Registro_Ordini[[#This Row],[Price]]/Registro_Ordini[[#This Row],[Prezzo]]-1))</f>
        <v>9.7930193349355932E-3</v>
      </c>
      <c r="P633" s="15">
        <v>2.5279943555799139E-2</v>
      </c>
      <c r="Q633" s="3">
        <v>0.20872036250784684</v>
      </c>
      <c r="R633" s="3">
        <v>0.29086892922194008</v>
      </c>
      <c r="S633" s="3">
        <v>0.38374307844254513</v>
      </c>
      <c r="T633" s="3">
        <v>0</v>
      </c>
      <c r="U633" s="3">
        <v>0.116667629827668</v>
      </c>
      <c r="V633" s="3"/>
      <c r="W633" s="4"/>
    </row>
    <row r="634" spans="1:23" s="1" customFormat="1" ht="24.95" customHeight="1" x14ac:dyDescent="0.2">
      <c r="A634" s="8">
        <v>45770.521527777775</v>
      </c>
      <c r="B634" s="7">
        <v>45770.521527777775</v>
      </c>
      <c r="C634" s="9" t="s">
        <v>78</v>
      </c>
      <c r="D634" s="1" t="s">
        <v>388</v>
      </c>
      <c r="E634" s="1" t="s">
        <v>397</v>
      </c>
      <c r="F634" s="1" t="s">
        <v>442</v>
      </c>
      <c r="G634" s="1" t="s">
        <v>365</v>
      </c>
      <c r="H634" s="2">
        <v>-190</v>
      </c>
      <c r="I634" s="16">
        <v>42.23</v>
      </c>
      <c r="J634" s="1" t="s">
        <v>369</v>
      </c>
      <c r="K634" s="6">
        <f>Registro_Ordini[[#This Row],[Numero]]*Registro_Ordini[[#This Row],[Prezzo]]</f>
        <v>-8023.7</v>
      </c>
      <c r="L634" s="10">
        <v>1.0000001199999999</v>
      </c>
      <c r="M634" s="6">
        <f>Registro_Ordini[[#This Row],[Importo]]*Registro_Ordini[[#This Row],[Cambio]]</f>
        <v>-8023.7009628439992</v>
      </c>
      <c r="N634" s="1">
        <f ca="1">IFERROR(_xlfn.NUMBERVALUE(OFFSET(Origine,MATCH(Registro_Ordini[[#This Row],[Titolo]],Descrizioni,0),MATCH("Price",Intestazioni,0)-1,1,1)),"")</f>
        <v>67.2</v>
      </c>
      <c r="O634" s="18">
        <f ca="1">IF(OR(Registro_Ordini[[#This Row],[Price]]=0,Registro_Ordini[[#This Row],[Price]]=""),"",IF(Registro_Ordini[[#This Row],[Tipo]]="Sell",Registro_Ordini[[#This Row],[Prezzo]]/Registro_Ordini[[#This Row],[Price]]-1,Registro_Ordini[[#This Row],[Price]]/Registro_Ordini[[#This Row],[Prezzo]]-1))</f>
        <v>-0.37157738095238102</v>
      </c>
      <c r="P634" s="15">
        <v>-1.5646807828792325E-2</v>
      </c>
      <c r="Q634" s="3">
        <v>0.35884009503913483</v>
      </c>
      <c r="R634" s="3">
        <v>0.1352875403793633</v>
      </c>
      <c r="S634" s="3">
        <v>0.43881712398167216</v>
      </c>
      <c r="T634" s="3">
        <v>0</v>
      </c>
      <c r="U634" s="3">
        <v>6.7055240599829619E-2</v>
      </c>
      <c r="V634" s="3"/>
      <c r="W634" s="4"/>
    </row>
    <row r="635" spans="1:23" s="1" customFormat="1" ht="24.95" customHeight="1" x14ac:dyDescent="0.2">
      <c r="A635" s="8">
        <v>45770.521354166667</v>
      </c>
      <c r="B635" s="7">
        <v>45770.521354166667</v>
      </c>
      <c r="C635" s="9" t="s">
        <v>367</v>
      </c>
      <c r="D635" s="1" t="s">
        <v>388</v>
      </c>
      <c r="E635" s="1" t="s">
        <v>397</v>
      </c>
      <c r="F635" s="1" t="s">
        <v>442</v>
      </c>
      <c r="G635" s="1" t="s">
        <v>365</v>
      </c>
      <c r="H635" s="2">
        <v>-850</v>
      </c>
      <c r="I635" s="16">
        <v>42.23</v>
      </c>
      <c r="J635" s="1" t="s">
        <v>369</v>
      </c>
      <c r="K635" s="6">
        <f>Registro_Ordini[[#This Row],[Numero]]*Registro_Ordini[[#This Row],[Prezzo]]</f>
        <v>-35895.5</v>
      </c>
      <c r="L635" s="10">
        <v>1.0000001199999999</v>
      </c>
      <c r="M635" s="6">
        <f>Registro_Ordini[[#This Row],[Importo]]*Registro_Ordini[[#This Row],[Cambio]]</f>
        <v>-35895.504307459996</v>
      </c>
      <c r="N635" s="1">
        <f ca="1">IFERROR(_xlfn.NUMBERVALUE(OFFSET(Origine,MATCH(Registro_Ordini[[#This Row],[Titolo]],Descrizioni,0),MATCH("Price",Intestazioni,0)-1,1,1)),"")</f>
        <v>67.2</v>
      </c>
      <c r="O635" s="18">
        <f ca="1">IF(OR(Registro_Ordini[[#This Row],[Price]]=0,Registro_Ordini[[#This Row],[Price]]=""),"",IF(Registro_Ordini[[#This Row],[Tipo]]="Sell",Registro_Ordini[[#This Row],[Prezzo]]/Registro_Ordini[[#This Row],[Price]]-1,Registro_Ordini[[#This Row],[Price]]/Registro_Ordini[[#This Row],[Prezzo]]-1))</f>
        <v>-0.37157738095238102</v>
      </c>
      <c r="P635" s="15">
        <v>-1.0583641144763577E-2</v>
      </c>
      <c r="Q635" s="3">
        <v>0.211825689496247</v>
      </c>
      <c r="R635" s="3">
        <v>0.41120354133691461</v>
      </c>
      <c r="S635" s="3">
        <v>0.3193826470947555</v>
      </c>
      <c r="T635" s="3">
        <v>0</v>
      </c>
      <c r="U635" s="3">
        <v>5.7588122072082942E-2</v>
      </c>
      <c r="V635" s="3"/>
      <c r="W635" s="4"/>
    </row>
    <row r="636" spans="1:23" s="1" customFormat="1" ht="24.95" customHeight="1" x14ac:dyDescent="0.2">
      <c r="A636" s="8">
        <v>45770.52134259259</v>
      </c>
      <c r="B636" s="7">
        <v>45770.52134259259</v>
      </c>
      <c r="C636" s="9" t="s">
        <v>375</v>
      </c>
      <c r="D636" s="1" t="s">
        <v>388</v>
      </c>
      <c r="E636" s="1" t="s">
        <v>397</v>
      </c>
      <c r="F636" s="1" t="s">
        <v>442</v>
      </c>
      <c r="G636" s="1" t="s">
        <v>365</v>
      </c>
      <c r="H636" s="2">
        <v>-180</v>
      </c>
      <c r="I636" s="16">
        <v>42.23</v>
      </c>
      <c r="J636" s="1" t="s">
        <v>369</v>
      </c>
      <c r="K636" s="6">
        <f>Registro_Ordini[[#This Row],[Numero]]*Registro_Ordini[[#This Row],[Prezzo]]</f>
        <v>-7601.4</v>
      </c>
      <c r="L636" s="10">
        <v>1.0000001199999999</v>
      </c>
      <c r="M636" s="6">
        <f>Registro_Ordini[[#This Row],[Importo]]*Registro_Ordini[[#This Row],[Cambio]]</f>
        <v>-7601.4009121679992</v>
      </c>
      <c r="N636" s="1">
        <f ca="1">IFERROR(_xlfn.NUMBERVALUE(OFFSET(Origine,MATCH(Registro_Ordini[[#This Row],[Titolo]],Descrizioni,0),MATCH("Price",Intestazioni,0)-1,1,1)),"")</f>
        <v>67.2</v>
      </c>
      <c r="O636" s="18">
        <f ca="1">IF(OR(Registro_Ordini[[#This Row],[Price]]=0,Registro_Ordini[[#This Row],[Price]]=""),"",IF(Registro_Ordini[[#This Row],[Tipo]]="Sell",Registro_Ordini[[#This Row],[Prezzo]]/Registro_Ordini[[#This Row],[Price]]-1,Registro_Ordini[[#This Row],[Price]]/Registro_Ordini[[#This Row],[Prezzo]]-1))</f>
        <v>-0.37157738095238102</v>
      </c>
      <c r="P636" s="15">
        <v>-9.4172745773422727E-3</v>
      </c>
      <c r="Q636" s="3">
        <v>0.21814873225171616</v>
      </c>
      <c r="R636" s="3">
        <v>0.35381477720149923</v>
      </c>
      <c r="S636" s="3">
        <v>0.31723602478233393</v>
      </c>
      <c r="T636" s="3">
        <v>0</v>
      </c>
      <c r="U636" s="3">
        <v>0.1108004657644506</v>
      </c>
      <c r="V636" s="3"/>
      <c r="W636" s="4"/>
    </row>
    <row r="637" spans="1:23" s="1" customFormat="1" ht="24.95" customHeight="1" x14ac:dyDescent="0.2">
      <c r="A637" s="8">
        <v>45770.521331018521</v>
      </c>
      <c r="B637" s="7">
        <v>45770.521331018521</v>
      </c>
      <c r="C637" s="9" t="s">
        <v>377</v>
      </c>
      <c r="D637" s="1" t="s">
        <v>388</v>
      </c>
      <c r="E637" s="1" t="s">
        <v>397</v>
      </c>
      <c r="F637" s="1" t="s">
        <v>442</v>
      </c>
      <c r="G637" s="1" t="s">
        <v>365</v>
      </c>
      <c r="H637" s="2">
        <v>-380</v>
      </c>
      <c r="I637" s="16">
        <v>42.23</v>
      </c>
      <c r="J637" s="1" t="s">
        <v>369</v>
      </c>
      <c r="K637" s="6">
        <f>Registro_Ordini[[#This Row],[Numero]]*Registro_Ordini[[#This Row],[Prezzo]]</f>
        <v>-16047.4</v>
      </c>
      <c r="L637" s="10">
        <v>1.0000001199999999</v>
      </c>
      <c r="M637" s="6">
        <f>Registro_Ordini[[#This Row],[Importo]]*Registro_Ordini[[#This Row],[Cambio]]</f>
        <v>-16047.401925687998</v>
      </c>
      <c r="N637" s="1">
        <f ca="1">IFERROR(_xlfn.NUMBERVALUE(OFFSET(Origine,MATCH(Registro_Ordini[[#This Row],[Titolo]],Descrizioni,0),MATCH("Price",Intestazioni,0)-1,1,1)),"")</f>
        <v>67.2</v>
      </c>
      <c r="O637" s="18">
        <f ca="1">IF(OR(Registro_Ordini[[#This Row],[Price]]=0,Registro_Ordini[[#This Row],[Price]]=""),"",IF(Registro_Ordini[[#This Row],[Tipo]]="Sell",Registro_Ordini[[#This Row],[Prezzo]]/Registro_Ordini[[#This Row],[Price]]-1,Registro_Ordini[[#This Row],[Price]]/Registro_Ordini[[#This Row],[Prezzo]]-1))</f>
        <v>-0.37157738095238102</v>
      </c>
      <c r="P637" s="15">
        <v>-1.0168885167039086E-2</v>
      </c>
      <c r="Q637" s="3">
        <v>0.22020849527707817</v>
      </c>
      <c r="R637" s="3">
        <v>0.32916039170930766</v>
      </c>
      <c r="S637" s="3">
        <v>0.33695560731704383</v>
      </c>
      <c r="T637" s="3">
        <v>0</v>
      </c>
      <c r="U637" s="3">
        <v>0.11367550569657028</v>
      </c>
      <c r="V637" s="3"/>
      <c r="W637" s="4"/>
    </row>
    <row r="638" spans="1:23" s="1" customFormat="1" ht="24.95" customHeight="1" x14ac:dyDescent="0.2">
      <c r="A638" s="8">
        <v>45770.521319444444</v>
      </c>
      <c r="B638" s="7">
        <v>45770.521319444444</v>
      </c>
      <c r="C638" s="9" t="s">
        <v>378</v>
      </c>
      <c r="D638" s="1" t="s">
        <v>388</v>
      </c>
      <c r="E638" s="1" t="s">
        <v>397</v>
      </c>
      <c r="F638" s="1" t="s">
        <v>442</v>
      </c>
      <c r="G638" s="1" t="s">
        <v>365</v>
      </c>
      <c r="H638" s="2">
        <v>-125</v>
      </c>
      <c r="I638" s="16">
        <v>42.23</v>
      </c>
      <c r="J638" s="1" t="s">
        <v>369</v>
      </c>
      <c r="K638" s="6">
        <f>Registro_Ordini[[#This Row],[Numero]]*Registro_Ordini[[#This Row],[Prezzo]]</f>
        <v>-5278.75</v>
      </c>
      <c r="L638" s="10">
        <v>1.0000001199999999</v>
      </c>
      <c r="M638" s="6">
        <f>Registro_Ordini[[#This Row],[Importo]]*Registro_Ordini[[#This Row],[Cambio]]</f>
        <v>-5278.7506334499994</v>
      </c>
      <c r="N638" s="1">
        <f ca="1">IFERROR(_xlfn.NUMBERVALUE(OFFSET(Origine,MATCH(Registro_Ordini[[#This Row],[Titolo]],Descrizioni,0),MATCH("Price",Intestazioni,0)-1,1,1)),"")</f>
        <v>67.2</v>
      </c>
      <c r="O638" s="18">
        <f ca="1">IF(OR(Registro_Ordini[[#This Row],[Price]]=0,Registro_Ordini[[#This Row],[Price]]=""),"",IF(Registro_Ordini[[#This Row],[Tipo]]="Sell",Registro_Ordini[[#This Row],[Prezzo]]/Registro_Ordini[[#This Row],[Price]]-1,Registro_Ordini[[#This Row],[Price]]/Registro_Ordini[[#This Row],[Prezzo]]-1))</f>
        <v>-0.37157738095238102</v>
      </c>
      <c r="P638" s="15">
        <v>-1.0309187234816844E-2</v>
      </c>
      <c r="Q638" s="3">
        <v>0.23430770074652152</v>
      </c>
      <c r="R638" s="3">
        <v>0.33646775771411064</v>
      </c>
      <c r="S638" s="3">
        <v>0.32351672523403796</v>
      </c>
      <c r="T638" s="3">
        <v>0</v>
      </c>
      <c r="U638" s="3">
        <v>0.10570781630532992</v>
      </c>
      <c r="V638" s="3"/>
      <c r="W638" s="4"/>
    </row>
    <row r="639" spans="1:23" s="1" customFormat="1" ht="24.95" customHeight="1" x14ac:dyDescent="0.2">
      <c r="A639" s="8">
        <v>45770.520567129628</v>
      </c>
      <c r="B639" s="7">
        <v>45770.520567129628</v>
      </c>
      <c r="C639" s="9" t="s">
        <v>379</v>
      </c>
      <c r="D639" s="1" t="s">
        <v>388</v>
      </c>
      <c r="E639" s="1" t="s">
        <v>397</v>
      </c>
      <c r="F639" s="1" t="s">
        <v>443</v>
      </c>
      <c r="G639" s="1" t="s">
        <v>365</v>
      </c>
      <c r="H639" s="2">
        <v>-60</v>
      </c>
      <c r="I639" s="16">
        <v>91.72</v>
      </c>
      <c r="J639" s="1" t="s">
        <v>369</v>
      </c>
      <c r="K639" s="6">
        <f>Registro_Ordini[[#This Row],[Numero]]*Registro_Ordini[[#This Row],[Prezzo]]</f>
        <v>-5503.2</v>
      </c>
      <c r="L639" s="10">
        <v>1.06508023</v>
      </c>
      <c r="M639" s="6">
        <f>Registro_Ordini[[#This Row],[Importo]]*Registro_Ordini[[#This Row],[Cambio]]</f>
        <v>-5861.3495217359996</v>
      </c>
      <c r="N639" s="1">
        <f ca="1">IFERROR(_xlfn.NUMBERVALUE(OFFSET(Origine,MATCH(Registro_Ordini[[#This Row],[Titolo]],Descrizioni,0),MATCH("Price",Intestazioni,0)-1,1,1)),"")</f>
        <v>126.4</v>
      </c>
      <c r="O639" s="18">
        <f ca="1">IF(OR(Registro_Ordini[[#This Row],[Price]]=0,Registro_Ordini[[#This Row],[Price]]=""),"",IF(Registro_Ordini[[#This Row],[Tipo]]="Sell",Registro_Ordini[[#This Row],[Prezzo]]/Registro_Ordini[[#This Row],[Price]]-1,Registro_Ordini[[#This Row],[Price]]/Registro_Ordini[[#This Row],[Prezzo]]-1))</f>
        <v>-0.27436708860759496</v>
      </c>
      <c r="P639" s="15">
        <v>-1.0483148475635284E-2</v>
      </c>
      <c r="Q639" s="3">
        <v>0.24935498153462604</v>
      </c>
      <c r="R639" s="3">
        <v>0.29240992533860982</v>
      </c>
      <c r="S639" s="3">
        <v>0.34150961122721102</v>
      </c>
      <c r="T639" s="3">
        <v>0</v>
      </c>
      <c r="U639" s="3">
        <v>0.11672548189955298</v>
      </c>
      <c r="V639" s="3"/>
      <c r="W639" s="4"/>
    </row>
    <row r="640" spans="1:23" s="1" customFormat="1" ht="24.95" customHeight="1" x14ac:dyDescent="0.2">
      <c r="A640" s="8">
        <v>45770.520543981482</v>
      </c>
      <c r="B640" s="7">
        <v>45770.520543981482</v>
      </c>
      <c r="C640" s="9" t="s">
        <v>382</v>
      </c>
      <c r="D640" s="1" t="s">
        <v>388</v>
      </c>
      <c r="E640" s="1" t="s">
        <v>397</v>
      </c>
      <c r="F640" s="1" t="s">
        <v>443</v>
      </c>
      <c r="G640" s="1" t="s">
        <v>365</v>
      </c>
      <c r="H640" s="2">
        <v>-115</v>
      </c>
      <c r="I640" s="16">
        <v>91.72</v>
      </c>
      <c r="J640" s="1" t="s">
        <v>369</v>
      </c>
      <c r="K640" s="6">
        <f>Registro_Ordini[[#This Row],[Numero]]*Registro_Ordini[[#This Row],[Prezzo]]</f>
        <v>-10547.8</v>
      </c>
      <c r="L640" s="10">
        <v>1.06508023</v>
      </c>
      <c r="M640" s="6">
        <f>Registro_Ordini[[#This Row],[Importo]]*Registro_Ordini[[#This Row],[Cambio]]</f>
        <v>-11234.253249993999</v>
      </c>
      <c r="N640" s="1">
        <f ca="1">IFERROR(_xlfn.NUMBERVALUE(OFFSET(Origine,MATCH(Registro_Ordini[[#This Row],[Titolo]],Descrizioni,0),MATCH("Price",Intestazioni,0)-1,1,1)),"")</f>
        <v>126.4</v>
      </c>
      <c r="O640" s="18">
        <f ca="1">IF(OR(Registro_Ordini[[#This Row],[Price]]=0,Registro_Ordini[[#This Row],[Price]]=""),"",IF(Registro_Ordini[[#This Row],[Tipo]]="Sell",Registro_Ordini[[#This Row],[Prezzo]]/Registro_Ordini[[#This Row],[Price]]-1,Registro_Ordini[[#This Row],[Price]]/Registro_Ordini[[#This Row],[Prezzo]]-1))</f>
        <v>-0.27436708860759496</v>
      </c>
      <c r="P640" s="15">
        <v>-1.0781271154486249E-2</v>
      </c>
      <c r="Q640" s="3">
        <v>0.25053518179927681</v>
      </c>
      <c r="R640" s="3">
        <v>0.28124360939420212</v>
      </c>
      <c r="S640" s="3">
        <v>0.34981083132487956</v>
      </c>
      <c r="T640" s="3">
        <v>0</v>
      </c>
      <c r="U640" s="3">
        <v>0.11841037748164165</v>
      </c>
      <c r="V640" s="3"/>
      <c r="W640" s="4"/>
    </row>
    <row r="641" spans="1:23" s="1" customFormat="1" ht="24.95" customHeight="1" x14ac:dyDescent="0.2">
      <c r="A641" s="8">
        <v>45770.520532407405</v>
      </c>
      <c r="B641" s="7">
        <v>45770.520532407405</v>
      </c>
      <c r="C641" s="9" t="s">
        <v>383</v>
      </c>
      <c r="D641" s="1" t="s">
        <v>388</v>
      </c>
      <c r="E641" s="1" t="s">
        <v>397</v>
      </c>
      <c r="F641" s="1" t="s">
        <v>443</v>
      </c>
      <c r="G641" s="1" t="s">
        <v>365</v>
      </c>
      <c r="H641" s="2">
        <v>-70</v>
      </c>
      <c r="I641" s="16">
        <v>91.72</v>
      </c>
      <c r="J641" s="1" t="s">
        <v>369</v>
      </c>
      <c r="K641" s="6">
        <f>Registro_Ordini[[#This Row],[Numero]]*Registro_Ordini[[#This Row],[Prezzo]]</f>
        <v>-6420.4</v>
      </c>
      <c r="L641" s="10">
        <v>1.06508023</v>
      </c>
      <c r="M641" s="6">
        <f>Registro_Ordini[[#This Row],[Importo]]*Registro_Ordini[[#This Row],[Cambio]]</f>
        <v>-6838.2411086919992</v>
      </c>
      <c r="N641" s="1">
        <f ca="1">IFERROR(_xlfn.NUMBERVALUE(OFFSET(Origine,MATCH(Registro_Ordini[[#This Row],[Titolo]],Descrizioni,0),MATCH("Price",Intestazioni,0)-1,1,1)),"")</f>
        <v>126.4</v>
      </c>
      <c r="O641" s="18">
        <f ca="1">IF(OR(Registro_Ordini[[#This Row],[Price]]=0,Registro_Ordini[[#This Row],[Price]]=""),"",IF(Registro_Ordini[[#This Row],[Tipo]]="Sell",Registro_Ordini[[#This Row],[Prezzo]]/Registro_Ordini[[#This Row],[Price]]-1,Registro_Ordini[[#This Row],[Price]]/Registro_Ordini[[#This Row],[Prezzo]]-1))</f>
        <v>-0.27436708860759496</v>
      </c>
      <c r="P641" s="15">
        <v>-1.1083406299393077E-2</v>
      </c>
      <c r="Q641" s="3">
        <v>0.26737786827894611</v>
      </c>
      <c r="R641" s="3">
        <v>0.27658958347649842</v>
      </c>
      <c r="S641" s="3">
        <v>0.33872135037424161</v>
      </c>
      <c r="T641" s="3">
        <v>0</v>
      </c>
      <c r="U641" s="3">
        <v>0.1173111978703137</v>
      </c>
      <c r="V641" s="3"/>
      <c r="W641" s="4"/>
    </row>
    <row r="642" spans="1:23" s="1" customFormat="1" ht="24.95" customHeight="1" x14ac:dyDescent="0.2">
      <c r="A642" s="8">
        <v>45770.520173611112</v>
      </c>
      <c r="B642" s="7">
        <v>45770.520173611112</v>
      </c>
      <c r="C642" s="9" t="s">
        <v>78</v>
      </c>
      <c r="D642" s="1" t="s">
        <v>388</v>
      </c>
      <c r="E642" s="1" t="s">
        <v>397</v>
      </c>
      <c r="F642" s="1" t="s">
        <v>443</v>
      </c>
      <c r="G642" s="1" t="s">
        <v>365</v>
      </c>
      <c r="H642" s="2">
        <v>-100</v>
      </c>
      <c r="I642" s="16">
        <v>91.72</v>
      </c>
      <c r="J642" s="1" t="s">
        <v>369</v>
      </c>
      <c r="K642" s="6">
        <f>Registro_Ordini[[#This Row],[Numero]]*Registro_Ordini[[#This Row],[Prezzo]]</f>
        <v>-9172</v>
      </c>
      <c r="L642" s="10">
        <v>1.0000001199999999</v>
      </c>
      <c r="M642" s="6">
        <f>Registro_Ordini[[#This Row],[Importo]]*Registro_Ordini[[#This Row],[Cambio]]</f>
        <v>-9172.00110064</v>
      </c>
      <c r="N642" s="1">
        <f ca="1">IFERROR(_xlfn.NUMBERVALUE(OFFSET(Origine,MATCH(Registro_Ordini[[#This Row],[Titolo]],Descrizioni,0),MATCH("Price",Intestazioni,0)-1,1,1)),"")</f>
        <v>126.4</v>
      </c>
      <c r="O642" s="18">
        <f ca="1">IF(OR(Registro_Ordini[[#This Row],[Price]]=0,Registro_Ordini[[#This Row],[Price]]=""),"",IF(Registro_Ordini[[#This Row],[Tipo]]="Sell",Registro_Ordini[[#This Row],[Prezzo]]/Registro_Ordini[[#This Row],[Price]]-1,Registro_Ordini[[#This Row],[Price]]/Registro_Ordini[[#This Row],[Prezzo]]-1))</f>
        <v>-0.27436708860759496</v>
      </c>
      <c r="P642" s="15">
        <v>-1.7883294745675935E-2</v>
      </c>
      <c r="Q642" s="3">
        <v>0.34313988918903288</v>
      </c>
      <c r="R642" s="3">
        <v>0.13526649076320441</v>
      </c>
      <c r="S642" s="3">
        <v>0.45454881268570291</v>
      </c>
      <c r="T642" s="3">
        <v>0</v>
      </c>
      <c r="U642" s="3">
        <v>6.7044807362059811E-2</v>
      </c>
      <c r="V642" s="3"/>
      <c r="W642" s="4"/>
    </row>
    <row r="643" spans="1:23" s="1" customFormat="1" ht="24.95" customHeight="1" x14ac:dyDescent="0.2">
      <c r="A643" s="8">
        <v>45770.519687499997</v>
      </c>
      <c r="B643" s="7">
        <v>45770.519687499997</v>
      </c>
      <c r="C643" s="9" t="s">
        <v>367</v>
      </c>
      <c r="D643" s="1" t="s">
        <v>388</v>
      </c>
      <c r="E643" s="1" t="s">
        <v>397</v>
      </c>
      <c r="F643" s="1" t="s">
        <v>443</v>
      </c>
      <c r="G643" s="1" t="s">
        <v>365</v>
      </c>
      <c r="H643" s="2">
        <v>-450</v>
      </c>
      <c r="I643" s="16">
        <v>91.72</v>
      </c>
      <c r="J643" s="1" t="s">
        <v>369</v>
      </c>
      <c r="K643" s="6">
        <f>Registro_Ordini[[#This Row],[Numero]]*Registro_Ordini[[#This Row],[Prezzo]]</f>
        <v>-41274</v>
      </c>
      <c r="L643" s="10">
        <v>1.0000001199999999</v>
      </c>
      <c r="M643" s="6">
        <f>Registro_Ordini[[#This Row],[Importo]]*Registro_Ordini[[#This Row],[Cambio]]</f>
        <v>-41274.004952880001</v>
      </c>
      <c r="N643" s="1">
        <f ca="1">IFERROR(_xlfn.NUMBERVALUE(OFFSET(Origine,MATCH(Registro_Ordini[[#This Row],[Titolo]],Descrizioni,0),MATCH("Price",Intestazioni,0)-1,1,1)),"")</f>
        <v>126.4</v>
      </c>
      <c r="O643" s="18">
        <f ca="1">IF(OR(Registro_Ordini[[#This Row],[Price]]=0,Registro_Ordini[[#This Row],[Price]]=""),"",IF(Registro_Ordini[[#This Row],[Tipo]]="Sell",Registro_Ordini[[#This Row],[Prezzo]]/Registro_Ordini[[#This Row],[Price]]-1,Registro_Ordini[[#This Row],[Price]]/Registro_Ordini[[#This Row],[Prezzo]]-1))</f>
        <v>-0.27436708860759496</v>
      </c>
      <c r="P643" s="15">
        <v>-1.2168189015661496E-2</v>
      </c>
      <c r="Q643" s="3">
        <v>0.20122086784540791</v>
      </c>
      <c r="R643" s="3">
        <v>0.41116026261272687</v>
      </c>
      <c r="S643" s="3">
        <v>0.3300368085568135</v>
      </c>
      <c r="T643" s="3">
        <v>0</v>
      </c>
      <c r="U643" s="3">
        <v>5.7582060985051593E-2</v>
      </c>
      <c r="V643" s="3"/>
      <c r="W643" s="4"/>
    </row>
    <row r="644" spans="1:23" s="1" customFormat="1" ht="24.95" customHeight="1" x14ac:dyDescent="0.2">
      <c r="A644" s="8">
        <v>45770.519675925927</v>
      </c>
      <c r="B644" s="7">
        <v>45770.519675925927</v>
      </c>
      <c r="C644" s="9" t="s">
        <v>375</v>
      </c>
      <c r="D644" s="1" t="s">
        <v>388</v>
      </c>
      <c r="E644" s="1" t="s">
        <v>397</v>
      </c>
      <c r="F644" s="1" t="s">
        <v>443</v>
      </c>
      <c r="G644" s="1" t="s">
        <v>365</v>
      </c>
      <c r="H644" s="2">
        <v>-100</v>
      </c>
      <c r="I644" s="16">
        <v>91.72</v>
      </c>
      <c r="J644" s="1" t="s">
        <v>369</v>
      </c>
      <c r="K644" s="6">
        <f>Registro_Ordini[[#This Row],[Numero]]*Registro_Ordini[[#This Row],[Prezzo]]</f>
        <v>-9172</v>
      </c>
      <c r="L644" s="10">
        <v>1.0000001199999999</v>
      </c>
      <c r="M644" s="6">
        <f>Registro_Ordini[[#This Row],[Importo]]*Registro_Ordini[[#This Row],[Cambio]]</f>
        <v>-9172.00110064</v>
      </c>
      <c r="N644" s="1">
        <f ca="1">IFERROR(_xlfn.NUMBERVALUE(OFFSET(Origine,MATCH(Registro_Ordini[[#This Row],[Titolo]],Descrizioni,0),MATCH("Price",Intestazioni,0)-1,1,1)),"")</f>
        <v>126.4</v>
      </c>
      <c r="O644" s="18">
        <f ca="1">IF(OR(Registro_Ordini[[#This Row],[Price]]=0,Registro_Ordini[[#This Row],[Price]]=""),"",IF(Registro_Ordini[[#This Row],[Tipo]]="Sell",Registro_Ordini[[#This Row],[Prezzo]]/Registro_Ordini[[#This Row],[Price]]-1,Registro_Ordini[[#This Row],[Price]]/Registro_Ordini[[#This Row],[Prezzo]]-1))</f>
        <v>-0.27436708860759496</v>
      </c>
      <c r="P644" s="15">
        <v>-1.1362006115854164E-2</v>
      </c>
      <c r="Q644" s="3">
        <v>0.2087119097489204</v>
      </c>
      <c r="R644" s="3">
        <v>0.35378164206716867</v>
      </c>
      <c r="S644" s="3">
        <v>0.32671635900221935</v>
      </c>
      <c r="T644" s="3">
        <v>0</v>
      </c>
      <c r="U644" s="3">
        <v>0.11079008918169156</v>
      </c>
      <c r="V644" s="3"/>
      <c r="W644" s="4"/>
    </row>
    <row r="645" spans="1:23" s="1" customFormat="1" ht="24.95" customHeight="1" x14ac:dyDescent="0.2">
      <c r="A645" s="8">
        <v>45770.51966435185</v>
      </c>
      <c r="B645" s="7">
        <v>45770.51966435185</v>
      </c>
      <c r="C645" s="9" t="s">
        <v>377</v>
      </c>
      <c r="D645" s="1" t="s">
        <v>388</v>
      </c>
      <c r="E645" s="1" t="s">
        <v>397</v>
      </c>
      <c r="F645" s="1" t="s">
        <v>443</v>
      </c>
      <c r="G645" s="1" t="s">
        <v>365</v>
      </c>
      <c r="H645" s="2">
        <v>-180</v>
      </c>
      <c r="I645" s="16">
        <v>91.72</v>
      </c>
      <c r="J645" s="1" t="s">
        <v>369</v>
      </c>
      <c r="K645" s="6">
        <f>Registro_Ordini[[#This Row],[Numero]]*Registro_Ordini[[#This Row],[Prezzo]]</f>
        <v>-16509.599999999999</v>
      </c>
      <c r="L645" s="10">
        <v>1.0000001199999999</v>
      </c>
      <c r="M645" s="6">
        <f>Registro_Ordini[[#This Row],[Importo]]*Registro_Ordini[[#This Row],[Cambio]]</f>
        <v>-16509.601981151998</v>
      </c>
      <c r="N645" s="1">
        <f ca="1">IFERROR(_xlfn.NUMBERVALUE(OFFSET(Origine,MATCH(Registro_Ordini[[#This Row],[Titolo]],Descrizioni,0),MATCH("Price",Intestazioni,0)-1,1,1)),"")</f>
        <v>126.4</v>
      </c>
      <c r="O645" s="18">
        <f ca="1">IF(OR(Registro_Ordini[[#This Row],[Price]]=0,Registro_Ordini[[#This Row],[Price]]=""),"",IF(Registro_Ordini[[#This Row],[Tipo]]="Sell",Registro_Ordini[[#This Row],[Prezzo]]/Registro_Ordini[[#This Row],[Price]]-1,Registro_Ordini[[#This Row],[Price]]/Registro_Ordini[[#This Row],[Prezzo]]-1))</f>
        <v>-0.27436708860759496</v>
      </c>
      <c r="P645" s="15">
        <v>-1.0460713218130552E-2</v>
      </c>
      <c r="Q645" s="3">
        <v>0.21001836989861791</v>
      </c>
      <c r="R645" s="3">
        <v>0.32912710543388696</v>
      </c>
      <c r="S645" s="3">
        <v>0.34719051438254334</v>
      </c>
      <c r="T645" s="3">
        <v>0</v>
      </c>
      <c r="U645" s="3">
        <v>0.11366401028495179</v>
      </c>
      <c r="V645" s="3"/>
      <c r="W645" s="4"/>
    </row>
    <row r="646" spans="1:23" s="1" customFormat="1" ht="24.95" customHeight="1" x14ac:dyDescent="0.2">
      <c r="A646" s="8">
        <v>45770.519652777781</v>
      </c>
      <c r="B646" s="7">
        <v>45770.519652777781</v>
      </c>
      <c r="C646" s="9" t="s">
        <v>378</v>
      </c>
      <c r="D646" s="1" t="s">
        <v>388</v>
      </c>
      <c r="E646" s="1" t="s">
        <v>397</v>
      </c>
      <c r="F646" s="1" t="s">
        <v>443</v>
      </c>
      <c r="G646" s="1" t="s">
        <v>365</v>
      </c>
      <c r="H646" s="2">
        <v>-60</v>
      </c>
      <c r="I646" s="16">
        <v>91.72</v>
      </c>
      <c r="J646" s="1" t="s">
        <v>369</v>
      </c>
      <c r="K646" s="6">
        <f>Registro_Ordini[[#This Row],[Numero]]*Registro_Ordini[[#This Row],[Prezzo]]</f>
        <v>-5503.2</v>
      </c>
      <c r="L646" s="10">
        <v>1.0000001199999999</v>
      </c>
      <c r="M646" s="6">
        <f>Registro_Ordini[[#This Row],[Importo]]*Registro_Ordini[[#This Row],[Cambio]]</f>
        <v>-5503.2006603839991</v>
      </c>
      <c r="N646" s="1">
        <f ca="1">IFERROR(_xlfn.NUMBERVALUE(OFFSET(Origine,MATCH(Registro_Ordini[[#This Row],[Titolo]],Descrizioni,0),MATCH("Price",Intestazioni,0)-1,1,1)),"")</f>
        <v>126.4</v>
      </c>
      <c r="O646" s="18">
        <f ca="1">IF(OR(Registro_Ordini[[#This Row],[Price]]=0,Registro_Ordini[[#This Row],[Price]]=""),"",IF(Registro_Ordini[[#This Row],[Tipo]]="Sell",Registro_Ordini[[#This Row],[Prezzo]]/Registro_Ordini[[#This Row],[Price]]-1,Registro_Ordini[[#This Row],[Price]]/Registro_Ordini[[#This Row],[Prezzo]]-1))</f>
        <v>-0.27436708860759496</v>
      </c>
      <c r="P646" s="15">
        <v>-1.0746427255843344E-2</v>
      </c>
      <c r="Q646" s="3">
        <v>0.22397554920986745</v>
      </c>
      <c r="R646" s="3">
        <v>0.33643326307829585</v>
      </c>
      <c r="S646" s="3">
        <v>0.33389420855967428</v>
      </c>
      <c r="T646" s="3">
        <v>0</v>
      </c>
      <c r="U646" s="3">
        <v>0.10569697915216256</v>
      </c>
      <c r="V646" s="3"/>
      <c r="W646" s="4"/>
    </row>
    <row r="647" spans="1:23" s="1" customFormat="1" ht="24.95" customHeight="1" x14ac:dyDescent="0.2">
      <c r="A647" s="8">
        <v>45770.518622685187</v>
      </c>
      <c r="B647" s="7">
        <v>45770.518622685187</v>
      </c>
      <c r="C647" s="9" t="s">
        <v>379</v>
      </c>
      <c r="D647" s="1" t="s">
        <v>388</v>
      </c>
      <c r="E647" s="1" t="s">
        <v>389</v>
      </c>
      <c r="F647" s="1" t="s">
        <v>444</v>
      </c>
      <c r="G647" s="1" t="s">
        <v>365</v>
      </c>
      <c r="H647" s="2">
        <v>-160</v>
      </c>
      <c r="I647" s="16">
        <v>41.621000000000002</v>
      </c>
      <c r="J647" s="1" t="s">
        <v>366</v>
      </c>
      <c r="K647" s="6">
        <f>Registro_Ordini[[#This Row],[Numero]]*Registro_Ordini[[#This Row],[Prezzo]]</f>
        <v>-6659.3600000000006</v>
      </c>
      <c r="L647" s="10">
        <v>0.87719999999999998</v>
      </c>
      <c r="M647" s="6">
        <f>Registro_Ordini[[#This Row],[Importo]]*Registro_Ordini[[#This Row],[Cambio]]</f>
        <v>-5841.5905920000005</v>
      </c>
      <c r="N647" s="1">
        <f ca="1">IFERROR(_xlfn.NUMBERVALUE(OFFSET(Origine,MATCH(Registro_Ordini[[#This Row],[Titolo]],Descrizioni,0),MATCH("Price",Intestazioni,0)-1,1,1)),"")</f>
        <v>48.0075</v>
      </c>
      <c r="O647" s="18">
        <f ca="1">IF(OR(Registro_Ordini[[#This Row],[Price]]=0,Registro_Ordini[[#This Row],[Price]]=""),"",IF(Registro_Ordini[[#This Row],[Tipo]]="Sell",Registro_Ordini[[#This Row],[Prezzo]]/Registro_Ordini[[#This Row],[Price]]-1,Registro_Ordini[[#This Row],[Price]]/Registro_Ordini[[#This Row],[Prezzo]]-1))</f>
        <v>-0.13303129719314688</v>
      </c>
      <c r="P647" s="15">
        <v>-1.0447952506905223E-2</v>
      </c>
      <c r="Q647" s="3">
        <v>0.23887510933012676</v>
      </c>
      <c r="R647" s="3">
        <v>0.29241393591694376</v>
      </c>
      <c r="S647" s="3">
        <v>0.3519838718930528</v>
      </c>
      <c r="T647" s="3">
        <v>0</v>
      </c>
      <c r="U647" s="3">
        <v>0.11672708285987669</v>
      </c>
      <c r="V647" s="3"/>
      <c r="W647" s="4"/>
    </row>
    <row r="648" spans="1:23" s="1" customFormat="1" ht="24.95" customHeight="1" x14ac:dyDescent="0.2">
      <c r="A648" s="8">
        <v>45770.518599537034</v>
      </c>
      <c r="B648" s="7">
        <v>45770.518599537034</v>
      </c>
      <c r="C648" s="9" t="s">
        <v>382</v>
      </c>
      <c r="D648" s="1" t="s">
        <v>388</v>
      </c>
      <c r="E648" s="1" t="s">
        <v>389</v>
      </c>
      <c r="F648" s="1" t="s">
        <v>444</v>
      </c>
      <c r="G648" s="1" t="s">
        <v>365</v>
      </c>
      <c r="H648" s="2">
        <v>-500</v>
      </c>
      <c r="I648" s="16">
        <v>41.621000000000002</v>
      </c>
      <c r="J648" s="1" t="s">
        <v>366</v>
      </c>
      <c r="K648" s="6">
        <f>Registro_Ordini[[#This Row],[Numero]]*Registro_Ordini[[#This Row],[Prezzo]]</f>
        <v>-20810.5</v>
      </c>
      <c r="L648" s="10">
        <v>0.87719999999999998</v>
      </c>
      <c r="M648" s="6">
        <f>Registro_Ordini[[#This Row],[Importo]]*Registro_Ordini[[#This Row],[Cambio]]</f>
        <v>-18254.970600000001</v>
      </c>
      <c r="N648" s="1">
        <f ca="1">IFERROR(_xlfn.NUMBERVALUE(OFFSET(Origine,MATCH(Registro_Ordini[[#This Row],[Titolo]],Descrizioni,0),MATCH("Price",Intestazioni,0)-1,1,1)),"")</f>
        <v>48.0075</v>
      </c>
      <c r="O648" s="18">
        <f ca="1">IF(OR(Registro_Ordini[[#This Row],[Price]]=0,Registro_Ordini[[#This Row],[Price]]=""),"",IF(Registro_Ordini[[#This Row],[Tipo]]="Sell",Registro_Ordini[[#This Row],[Prezzo]]/Registro_Ordini[[#This Row],[Price]]-1,Registro_Ordini[[#This Row],[Price]]/Registro_Ordini[[#This Row],[Prezzo]]-1))</f>
        <v>-0.13303129719314688</v>
      </c>
      <c r="P648" s="15">
        <v>-1.7519149669809966E-2</v>
      </c>
      <c r="Q648" s="3">
        <v>0.23975729253102956</v>
      </c>
      <c r="R648" s="3">
        <v>0.28124757651986804</v>
      </c>
      <c r="S648" s="3">
        <v>0.3605830832113841</v>
      </c>
      <c r="T648" s="3">
        <v>0</v>
      </c>
      <c r="U648" s="3">
        <v>0.11841204773771832</v>
      </c>
      <c r="V648" s="3"/>
      <c r="W648" s="4"/>
    </row>
    <row r="649" spans="1:23" s="1" customFormat="1" ht="24.95" customHeight="1" x14ac:dyDescent="0.2">
      <c r="A649" s="8">
        <v>45770.518587962964</v>
      </c>
      <c r="B649" s="7">
        <v>45770.518587962964</v>
      </c>
      <c r="C649" s="9" t="s">
        <v>383</v>
      </c>
      <c r="D649" s="1" t="s">
        <v>388</v>
      </c>
      <c r="E649" s="1" t="s">
        <v>389</v>
      </c>
      <c r="F649" s="1" t="s">
        <v>444</v>
      </c>
      <c r="G649" s="1" t="s">
        <v>365</v>
      </c>
      <c r="H649" s="2">
        <v>-360</v>
      </c>
      <c r="I649" s="16">
        <v>41.621000000000002</v>
      </c>
      <c r="J649" s="1" t="s">
        <v>366</v>
      </c>
      <c r="K649" s="6">
        <f>Registro_Ordini[[#This Row],[Numero]]*Registro_Ordini[[#This Row],[Prezzo]]</f>
        <v>-14983.560000000001</v>
      </c>
      <c r="L649" s="10">
        <v>0.87719999999999998</v>
      </c>
      <c r="M649" s="6">
        <f>Registro_Ordini[[#This Row],[Importo]]*Registro_Ordini[[#This Row],[Cambio]]</f>
        <v>-13143.578832000001</v>
      </c>
      <c r="N649" s="1">
        <f ca="1">IFERROR(_xlfn.NUMBERVALUE(OFFSET(Origine,MATCH(Registro_Ordini[[#This Row],[Titolo]],Descrizioni,0),MATCH("Price",Intestazioni,0)-1,1,1)),"")</f>
        <v>48.0075</v>
      </c>
      <c r="O649" s="18">
        <f ca="1">IF(OR(Registro_Ordini[[#This Row],[Price]]=0,Registro_Ordini[[#This Row],[Price]]=""),"",IF(Registro_Ordini[[#This Row],[Tipo]]="Sell",Registro_Ordini[[#This Row],[Prezzo]]/Registro_Ordini[[#This Row],[Price]]-1,Registro_Ordini[[#This Row],[Price]]/Registro_Ordini[[#This Row],[Prezzo]]-1))</f>
        <v>-0.13303129719314688</v>
      </c>
      <c r="P649" s="15">
        <v>-2.1303392867264931E-2</v>
      </c>
      <c r="Q649" s="3">
        <v>0.25629817849526965</v>
      </c>
      <c r="R649" s="3">
        <v>0.27659359429095809</v>
      </c>
      <c r="S649" s="3">
        <v>0.34979532821848192</v>
      </c>
      <c r="T649" s="3">
        <v>0</v>
      </c>
      <c r="U649" s="3">
        <v>0.11731289899529024</v>
      </c>
      <c r="V649" s="3"/>
      <c r="W649" s="4"/>
    </row>
    <row r="650" spans="1:23" s="1" customFormat="1" ht="24.95" customHeight="1" x14ac:dyDescent="0.2">
      <c r="A650" s="8">
        <v>45770.518148148149</v>
      </c>
      <c r="B650" s="7">
        <v>45770.518148148149</v>
      </c>
      <c r="C650" s="9" t="s">
        <v>78</v>
      </c>
      <c r="D650" s="1" t="s">
        <v>388</v>
      </c>
      <c r="E650" s="1" t="s">
        <v>389</v>
      </c>
      <c r="F650" s="1" t="s">
        <v>444</v>
      </c>
      <c r="G650" s="1" t="s">
        <v>365</v>
      </c>
      <c r="H650" s="2">
        <v>-210</v>
      </c>
      <c r="I650" s="16">
        <v>41.621000000000002</v>
      </c>
      <c r="J650" s="1" t="s">
        <v>366</v>
      </c>
      <c r="K650" s="6">
        <f>Registro_Ordini[[#This Row],[Numero]]*Registro_Ordini[[#This Row],[Prezzo]]</f>
        <v>-8740.41</v>
      </c>
      <c r="L650" s="10">
        <v>0.82335000000000003</v>
      </c>
      <c r="M650" s="6">
        <f>Registro_Ordini[[#This Row],[Importo]]*Registro_Ordini[[#This Row],[Cambio]]</f>
        <v>-7196.4165734999997</v>
      </c>
      <c r="N650" s="1">
        <f ca="1">IFERROR(_xlfn.NUMBERVALUE(OFFSET(Origine,MATCH(Registro_Ordini[[#This Row],[Titolo]],Descrizioni,0),MATCH("Price",Intestazioni,0)-1,1,1)),"")</f>
        <v>48.0075</v>
      </c>
      <c r="O650" s="18">
        <f ca="1">IF(OR(Registro_Ordini[[#This Row],[Price]]=0,Registro_Ordini[[#This Row],[Price]]=""),"",IF(Registro_Ordini[[#This Row],[Tipo]]="Sell",Registro_Ordini[[#This Row],[Prezzo]]/Registro_Ordini[[#This Row],[Price]]-1,Registro_Ordini[[#This Row],[Price]]/Registro_Ordini[[#This Row],[Prezzo]]-1))</f>
        <v>-0.13303129719314688</v>
      </c>
      <c r="P650" s="15">
        <v>-1.4031687139844718E-2</v>
      </c>
      <c r="Q650" s="3">
        <v>0.32526420472985068</v>
      </c>
      <c r="R650" s="3">
        <v>0.13526965570056554</v>
      </c>
      <c r="S650" s="3">
        <v>0.47241976350699433</v>
      </c>
      <c r="T650" s="3">
        <v>0</v>
      </c>
      <c r="U650" s="3">
        <v>6.7046376062589369E-2</v>
      </c>
      <c r="V650" s="3"/>
      <c r="W650" s="4"/>
    </row>
    <row r="651" spans="1:23" s="1" customFormat="1" ht="24.95" customHeight="1" x14ac:dyDescent="0.2">
      <c r="A651" s="8">
        <v>45770.517604166664</v>
      </c>
      <c r="B651" s="7">
        <v>45770.517604166664</v>
      </c>
      <c r="C651" s="9" t="s">
        <v>377</v>
      </c>
      <c r="D651" s="1" t="s">
        <v>388</v>
      </c>
      <c r="E651" s="1" t="s">
        <v>389</v>
      </c>
      <c r="F651" s="1" t="s">
        <v>444</v>
      </c>
      <c r="G651" s="1" t="s">
        <v>365</v>
      </c>
      <c r="H651" s="2">
        <v>-790</v>
      </c>
      <c r="I651" s="16">
        <v>41.621000000000002</v>
      </c>
      <c r="J651" s="1" t="s">
        <v>366</v>
      </c>
      <c r="K651" s="6">
        <f>Registro_Ordini[[#This Row],[Numero]]*Registro_Ordini[[#This Row],[Prezzo]]</f>
        <v>-32880.590000000004</v>
      </c>
      <c r="L651" s="10">
        <v>0.82345000000000002</v>
      </c>
      <c r="M651" s="6">
        <f>Registro_Ordini[[#This Row],[Importo]]*Registro_Ordini[[#This Row],[Cambio]]</f>
        <v>-27075.521835500003</v>
      </c>
      <c r="N651" s="1">
        <f ca="1">IFERROR(_xlfn.NUMBERVALUE(OFFSET(Origine,MATCH(Registro_Ordini[[#This Row],[Titolo]],Descrizioni,0),MATCH("Price",Intestazioni,0)-1,1,1)),"")</f>
        <v>48.0075</v>
      </c>
      <c r="O651" s="18">
        <f ca="1">IF(OR(Registro_Ordini[[#This Row],[Price]]=0,Registro_Ordini[[#This Row],[Price]]=""),"",IF(Registro_Ordini[[#This Row],[Tipo]]="Sell",Registro_Ordini[[#This Row],[Prezzo]]/Registro_Ordini[[#This Row],[Price]]-1,Registro_Ordini[[#This Row],[Price]]/Registro_Ordini[[#This Row],[Prezzo]]-1))</f>
        <v>-0.13303129719314688</v>
      </c>
      <c r="P651" s="15">
        <v>-1.7152701602431913E-2</v>
      </c>
      <c r="Q651" s="3">
        <v>0.19956000158047607</v>
      </c>
      <c r="R651" s="3">
        <v>0.32907482147201017</v>
      </c>
      <c r="S651" s="3">
        <v>0.35771922292314445</v>
      </c>
      <c r="T651" s="3">
        <v>0</v>
      </c>
      <c r="U651" s="3">
        <v>0.11364595402436921</v>
      </c>
      <c r="V651" s="3"/>
      <c r="W651" s="4"/>
    </row>
    <row r="652" spans="1:23" s="1" customFormat="1" ht="24.95" customHeight="1" x14ac:dyDescent="0.2">
      <c r="A652" s="8">
        <v>45770.517592592594</v>
      </c>
      <c r="B652" s="7">
        <v>45770.517592592594</v>
      </c>
      <c r="C652" s="9" t="s">
        <v>378</v>
      </c>
      <c r="D652" s="1" t="s">
        <v>388</v>
      </c>
      <c r="E652" s="1" t="s">
        <v>389</v>
      </c>
      <c r="F652" s="1" t="s">
        <v>444</v>
      </c>
      <c r="G652" s="1" t="s">
        <v>365</v>
      </c>
      <c r="H652" s="2">
        <v>-250</v>
      </c>
      <c r="I652" s="16">
        <v>41.621000000000002</v>
      </c>
      <c r="J652" s="1" t="s">
        <v>366</v>
      </c>
      <c r="K652" s="6">
        <f>Registro_Ordini[[#This Row],[Numero]]*Registro_Ordini[[#This Row],[Prezzo]]</f>
        <v>-10405.25</v>
      </c>
      <c r="L652" s="10">
        <v>0.82345000000000002</v>
      </c>
      <c r="M652" s="6">
        <f>Registro_Ordini[[#This Row],[Importo]]*Registro_Ordini[[#This Row],[Cambio]]</f>
        <v>-8568.2031124999994</v>
      </c>
      <c r="N652" s="1">
        <f ca="1">IFERROR(_xlfn.NUMBERVALUE(OFFSET(Origine,MATCH(Registro_Ordini[[#This Row],[Titolo]],Descrizioni,0),MATCH("Price",Intestazioni,0)-1,1,1)),"")</f>
        <v>48.0075</v>
      </c>
      <c r="O652" s="18">
        <f ca="1">IF(OR(Registro_Ordini[[#This Row],[Price]]=0,Registro_Ordini[[#This Row],[Price]]=""),"",IF(Registro_Ordini[[#This Row],[Tipo]]="Sell",Registro_Ordini[[#This Row],[Prezzo]]/Registro_Ordini[[#This Row],[Price]]-1,Registro_Ordini[[#This Row],[Price]]/Registro_Ordini[[#This Row],[Prezzo]]-1))</f>
        <v>-0.13303129719314688</v>
      </c>
      <c r="P652" s="15">
        <v>-1.6729252803609488E-2</v>
      </c>
      <c r="Q652" s="3">
        <v>0.21323209603856735</v>
      </c>
      <c r="R652" s="3">
        <v>0.33638526532082347</v>
      </c>
      <c r="S652" s="3">
        <v>0.34469700888746108</v>
      </c>
      <c r="T652" s="3">
        <v>0</v>
      </c>
      <c r="U652" s="3">
        <v>0.10568562975314806</v>
      </c>
      <c r="V652" s="3"/>
      <c r="W652" s="4"/>
    </row>
    <row r="653" spans="1:23" s="1" customFormat="1" ht="24.95" customHeight="1" x14ac:dyDescent="0.2">
      <c r="A653" s="8">
        <v>45770.510983796295</v>
      </c>
      <c r="B653" s="7">
        <v>45770.510983796295</v>
      </c>
      <c r="C653" s="9" t="s">
        <v>106</v>
      </c>
      <c r="D653" s="1" t="s">
        <v>388</v>
      </c>
      <c r="E653" s="1" t="s">
        <v>403</v>
      </c>
      <c r="F653" s="1" t="s">
        <v>433</v>
      </c>
      <c r="G653" s="1" t="s">
        <v>365</v>
      </c>
      <c r="H653" s="2">
        <v>-110</v>
      </c>
      <c r="I653" s="16">
        <v>106.5579</v>
      </c>
      <c r="J653" s="1" t="s">
        <v>381</v>
      </c>
      <c r="K653" s="6">
        <f>Registro_Ordini[[#This Row],[Numero]]*Registro_Ordini[[#This Row],[Prezzo]]</f>
        <v>-11721.369000000001</v>
      </c>
      <c r="L653" s="10">
        <v>1</v>
      </c>
      <c r="M653" s="6">
        <f>Registro_Ordini[[#This Row],[Importo]]*Registro_Ordini[[#This Row],[Cambio]]</f>
        <v>-11721.369000000001</v>
      </c>
      <c r="N653" s="1">
        <f ca="1">IFERROR(_xlfn.NUMBERVALUE(OFFSET(Origine,MATCH(Registro_Ordini[[#This Row],[Titolo]],Descrizioni,0),MATCH("Price",Intestazioni,0)-1,1,1)),"")</f>
        <v>135.26</v>
      </c>
      <c r="O653" s="18">
        <f ca="1">IF(OR(Registro_Ordini[[#This Row],[Price]]=0,Registro_Ordini[[#This Row],[Price]]=""),"",IF(Registro_Ordini[[#This Row],[Tipo]]="Sell",Registro_Ordini[[#This Row],[Prezzo]]/Registro_Ordini[[#This Row],[Price]]-1,Registro_Ordini[[#This Row],[Price]]/Registro_Ordini[[#This Row],[Prezzo]]-1))</f>
        <v>-0.21219946769185261</v>
      </c>
      <c r="P653" s="15">
        <v>-8.5147830358097101E-2</v>
      </c>
      <c r="Q653" s="3">
        <v>0.29977048120039312</v>
      </c>
      <c r="R653" s="3">
        <v>0.23123126079327713</v>
      </c>
      <c r="S653" s="3">
        <v>0.32010737314590676</v>
      </c>
      <c r="T653" s="3">
        <v>0</v>
      </c>
      <c r="U653" s="3">
        <v>0.14889088486042304</v>
      </c>
      <c r="V653" s="3"/>
      <c r="W653" s="4"/>
    </row>
    <row r="654" spans="1:23" s="1" customFormat="1" ht="24.95" customHeight="1" x14ac:dyDescent="0.2">
      <c r="A654" s="8">
        <v>45770.510960648149</v>
      </c>
      <c r="B654" s="7">
        <v>45770.510960648149</v>
      </c>
      <c r="C654" s="9" t="s">
        <v>379</v>
      </c>
      <c r="D654" s="1" t="s">
        <v>388</v>
      </c>
      <c r="E654" s="1" t="s">
        <v>403</v>
      </c>
      <c r="F654" s="1" t="s">
        <v>433</v>
      </c>
      <c r="G654" s="1" t="s">
        <v>365</v>
      </c>
      <c r="H654" s="2">
        <v>-250</v>
      </c>
      <c r="I654" s="16">
        <v>106.5579</v>
      </c>
      <c r="J654" s="1" t="s">
        <v>381</v>
      </c>
      <c r="K654" s="6">
        <f>Registro_Ordini[[#This Row],[Numero]]*Registro_Ordini[[#This Row],[Prezzo]]</f>
        <v>-26639.475000000002</v>
      </c>
      <c r="L654" s="10">
        <v>1</v>
      </c>
      <c r="M654" s="6">
        <f>Registro_Ordini[[#This Row],[Importo]]*Registro_Ordini[[#This Row],[Cambio]]</f>
        <v>-26639.475000000002</v>
      </c>
      <c r="N654" s="1">
        <f ca="1">IFERROR(_xlfn.NUMBERVALUE(OFFSET(Origine,MATCH(Registro_Ordini[[#This Row],[Titolo]],Descrizioni,0),MATCH("Price",Intestazioni,0)-1,1,1)),"")</f>
        <v>135.26</v>
      </c>
      <c r="O654" s="18">
        <f ca="1">IF(OR(Registro_Ordini[[#This Row],[Price]]=0,Registro_Ordini[[#This Row],[Price]]=""),"",IF(Registro_Ordini[[#This Row],[Tipo]]="Sell",Registro_Ordini[[#This Row],[Prezzo]]/Registro_Ordini[[#This Row],[Price]]-1,Registro_Ordini[[#This Row],[Price]]/Registro_Ordini[[#This Row],[Prezzo]]-1))</f>
        <v>-0.21219946769185261</v>
      </c>
      <c r="P654" s="15">
        <v>-4.7634054515946669E-2</v>
      </c>
      <c r="Q654" s="3">
        <v>0.22840440545495774</v>
      </c>
      <c r="R654" s="3">
        <v>0.29233529122128693</v>
      </c>
      <c r="S654" s="3">
        <v>0.36247949213106528</v>
      </c>
      <c r="T654" s="3">
        <v>0</v>
      </c>
      <c r="U654" s="3">
        <v>0.11678081119269017</v>
      </c>
      <c r="V654" s="3"/>
      <c r="W654" s="4"/>
    </row>
    <row r="655" spans="1:23" s="1" customFormat="1" ht="24.95" customHeight="1" x14ac:dyDescent="0.2">
      <c r="A655" s="8">
        <v>45770.510949074072</v>
      </c>
      <c r="B655" s="7">
        <v>45770.510949074072</v>
      </c>
      <c r="C655" s="9" t="s">
        <v>382</v>
      </c>
      <c r="D655" s="1" t="s">
        <v>388</v>
      </c>
      <c r="E655" s="1" t="s">
        <v>403</v>
      </c>
      <c r="F655" s="1" t="s">
        <v>433</v>
      </c>
      <c r="G655" s="1" t="s">
        <v>365</v>
      </c>
      <c r="H655" s="2">
        <v>-450</v>
      </c>
      <c r="I655" s="16">
        <v>106.5579</v>
      </c>
      <c r="J655" s="1" t="s">
        <v>381</v>
      </c>
      <c r="K655" s="6">
        <f>Registro_Ordini[[#This Row],[Numero]]*Registro_Ordini[[#This Row],[Prezzo]]</f>
        <v>-47951.055</v>
      </c>
      <c r="L655" s="10">
        <v>1</v>
      </c>
      <c r="M655" s="6">
        <f>Registro_Ordini[[#This Row],[Importo]]*Registro_Ordini[[#This Row],[Cambio]]</f>
        <v>-47951.055</v>
      </c>
      <c r="N655" s="1">
        <f ca="1">IFERROR(_xlfn.NUMBERVALUE(OFFSET(Origine,MATCH(Registro_Ordini[[#This Row],[Titolo]],Descrizioni,0),MATCH("Price",Intestazioni,0)-1,1,1)),"")</f>
        <v>135.26</v>
      </c>
      <c r="O655" s="18">
        <f ca="1">IF(OR(Registro_Ordini[[#This Row],[Price]]=0,Registro_Ordini[[#This Row],[Price]]=""),"",IF(Registro_Ordini[[#This Row],[Tipo]]="Sell",Registro_Ordini[[#This Row],[Prezzo]]/Registro_Ordini[[#This Row],[Price]]-1,Registro_Ordini[[#This Row],[Price]]/Registro_Ordini[[#This Row],[Prezzo]]-1))</f>
        <v>-0.21219946769185261</v>
      </c>
      <c r="P655" s="15">
        <v>-4.6014525367031982E-2</v>
      </c>
      <c r="Q655" s="3">
        <v>0.22221940749831215</v>
      </c>
      <c r="R655" s="3">
        <v>0.28121851001230175</v>
      </c>
      <c r="S655" s="3">
        <v>0.37820853232118357</v>
      </c>
      <c r="T655" s="3">
        <v>0</v>
      </c>
      <c r="U655" s="3">
        <v>0.11835355016820251</v>
      </c>
      <c r="V655" s="3"/>
      <c r="W655" s="4"/>
    </row>
    <row r="656" spans="1:23" s="1" customFormat="1" ht="24.95" customHeight="1" x14ac:dyDescent="0.2">
      <c r="A656" s="8">
        <v>45770.510925925926</v>
      </c>
      <c r="B656" s="7">
        <v>45770.510925925926</v>
      </c>
      <c r="C656" s="9" t="s">
        <v>383</v>
      </c>
      <c r="D656" s="1" t="s">
        <v>388</v>
      </c>
      <c r="E656" s="1" t="s">
        <v>403</v>
      </c>
      <c r="F656" s="1" t="s">
        <v>433</v>
      </c>
      <c r="G656" s="1" t="s">
        <v>365</v>
      </c>
      <c r="H656" s="2">
        <v>-265</v>
      </c>
      <c r="I656" s="16">
        <v>106.5579</v>
      </c>
      <c r="J656" s="1" t="s">
        <v>381</v>
      </c>
      <c r="K656" s="6">
        <f>Registro_Ordini[[#This Row],[Numero]]*Registro_Ordini[[#This Row],[Prezzo]]</f>
        <v>-28237.843500000003</v>
      </c>
      <c r="L656" s="10">
        <v>1</v>
      </c>
      <c r="M656" s="6">
        <f>Registro_Ordini[[#This Row],[Importo]]*Registro_Ordini[[#This Row],[Cambio]]</f>
        <v>-28237.843500000003</v>
      </c>
      <c r="N656" s="1">
        <f ca="1">IFERROR(_xlfn.NUMBERVALUE(OFFSET(Origine,MATCH(Registro_Ordini[[#This Row],[Titolo]],Descrizioni,0),MATCH("Price",Intestazioni,0)-1,1,1)),"")</f>
        <v>135.26</v>
      </c>
      <c r="O656" s="18">
        <f ca="1">IF(OR(Registro_Ordini[[#This Row],[Price]]=0,Registro_Ordini[[#This Row],[Price]]=""),"",IF(Registro_Ordini[[#This Row],[Tipo]]="Sell",Registro_Ordini[[#This Row],[Prezzo]]/Registro_Ordini[[#This Row],[Price]]-1,Registro_Ordini[[#This Row],[Price]]/Registro_Ordini[[#This Row],[Prezzo]]-1))</f>
        <v>-0.21219946769185261</v>
      </c>
      <c r="P656" s="15">
        <v>-4.5765433287678146E-2</v>
      </c>
      <c r="Q656" s="3">
        <v>0.23497099156541223</v>
      </c>
      <c r="R656" s="3">
        <v>0.27656898992244844</v>
      </c>
      <c r="S656" s="3">
        <v>0.37119432628949933</v>
      </c>
      <c r="T656" s="3">
        <v>0</v>
      </c>
      <c r="U656" s="3">
        <v>0.11726569222263991</v>
      </c>
      <c r="V656" s="3"/>
      <c r="W656" s="4"/>
    </row>
    <row r="657" spans="1:23" s="1" customFormat="1" ht="24.95" customHeight="1" x14ac:dyDescent="0.2">
      <c r="A657" s="8">
        <v>45770.510243055556</v>
      </c>
      <c r="B657" s="7">
        <v>45770.510243055556</v>
      </c>
      <c r="C657" s="9" t="s">
        <v>78</v>
      </c>
      <c r="D657" s="1" t="s">
        <v>388</v>
      </c>
      <c r="E657" s="1" t="s">
        <v>403</v>
      </c>
      <c r="F657" s="1" t="s">
        <v>433</v>
      </c>
      <c r="G657" s="1" t="s">
        <v>365</v>
      </c>
      <c r="H657" s="2">
        <v>-180</v>
      </c>
      <c r="I657" s="16">
        <v>106.5579</v>
      </c>
      <c r="J657" s="1" t="s">
        <v>381</v>
      </c>
      <c r="K657" s="6">
        <f>Registro_Ordini[[#This Row],[Numero]]*Registro_Ordini[[#This Row],[Prezzo]]</f>
        <v>-19180.422000000002</v>
      </c>
      <c r="L657" s="10">
        <v>0.93794999999999995</v>
      </c>
      <c r="M657" s="6">
        <f>Registro_Ordini[[#This Row],[Importo]]*Registro_Ordini[[#This Row],[Cambio]]</f>
        <v>-17990.2768149</v>
      </c>
      <c r="N657" s="1">
        <f ca="1">IFERROR(_xlfn.NUMBERVALUE(OFFSET(Origine,MATCH(Registro_Ordini[[#This Row],[Titolo]],Descrizioni,0),MATCH("Price",Intestazioni,0)-1,1,1)),"")</f>
        <v>135.26</v>
      </c>
      <c r="O657" s="18">
        <f ca="1">IF(OR(Registro_Ordini[[#This Row],[Price]]=0,Registro_Ordini[[#This Row],[Price]]=""),"",IF(Registro_Ordini[[#This Row],[Tipo]]="Sell",Registro_Ordini[[#This Row],[Prezzo]]/Registro_Ordini[[#This Row],[Price]]-1,Registro_Ordini[[#This Row],[Price]]/Registro_Ordini[[#This Row],[Prezzo]]-1))</f>
        <v>-0.21219946769185261</v>
      </c>
      <c r="P657" s="15">
        <v>-3.5073038341633625E-2</v>
      </c>
      <c r="Q657" s="3">
        <v>0.31112240162101207</v>
      </c>
      <c r="R657" s="3">
        <v>0.135253524523718</v>
      </c>
      <c r="S657" s="3">
        <v>0.48653987017255346</v>
      </c>
      <c r="T657" s="3">
        <v>0</v>
      </c>
      <c r="U657" s="3">
        <v>6.7084203682716434E-2</v>
      </c>
      <c r="V657" s="3"/>
      <c r="W657" s="4"/>
    </row>
    <row r="658" spans="1:23" s="1" customFormat="1" ht="24.95" customHeight="1" x14ac:dyDescent="0.2">
      <c r="A658" s="8">
        <v>45770.509930555556</v>
      </c>
      <c r="B658" s="7">
        <v>45770.509930555556</v>
      </c>
      <c r="C658" s="9" t="s">
        <v>375</v>
      </c>
      <c r="D658" s="1" t="s">
        <v>388</v>
      </c>
      <c r="E658" s="1" t="s">
        <v>403</v>
      </c>
      <c r="F658" s="1" t="s">
        <v>433</v>
      </c>
      <c r="G658" s="1" t="s">
        <v>365</v>
      </c>
      <c r="H658" s="2">
        <v>-250</v>
      </c>
      <c r="I658" s="16">
        <v>106.5579</v>
      </c>
      <c r="J658" s="1" t="s">
        <v>381</v>
      </c>
      <c r="K658" s="6">
        <f>Registro_Ordini[[#This Row],[Numero]]*Registro_Ordini[[#This Row],[Prezzo]]</f>
        <v>-26639.475000000002</v>
      </c>
      <c r="L658" s="10">
        <v>0.93815000000000004</v>
      </c>
      <c r="M658" s="6">
        <f>Registro_Ordini[[#This Row],[Importo]]*Registro_Ordini[[#This Row],[Cambio]]</f>
        <v>-24991.823471250002</v>
      </c>
      <c r="N658" s="1">
        <f ca="1">IFERROR(_xlfn.NUMBERVALUE(OFFSET(Origine,MATCH(Registro_Ordini[[#This Row],[Titolo]],Descrizioni,0),MATCH("Price",Intestazioni,0)-1,1,1)),"")</f>
        <v>135.26</v>
      </c>
      <c r="O658" s="18">
        <f ca="1">IF(OR(Registro_Ordini[[#This Row],[Price]]=0,Registro_Ordini[[#This Row],[Price]]=""),"",IF(Registro_Ordini[[#This Row],[Tipo]]="Sell",Registro_Ordini[[#This Row],[Prezzo]]/Registro_Ordini[[#This Row],[Price]]-1,Registro_Ordini[[#This Row],[Price]]/Registro_Ordini[[#This Row],[Prezzo]]-1))</f>
        <v>-0.21219946769185261</v>
      </c>
      <c r="P658" s="15">
        <v>-3.0955478764167921E-2</v>
      </c>
      <c r="Q658" s="3">
        <v>0.19725538290834069</v>
      </c>
      <c r="R658" s="3">
        <v>0.35374353835406447</v>
      </c>
      <c r="S658" s="3">
        <v>0.33820674501580683</v>
      </c>
      <c r="T658" s="3">
        <v>0</v>
      </c>
      <c r="U658" s="3">
        <v>0.11079433372178814</v>
      </c>
      <c r="V658" s="3"/>
      <c r="W658" s="4"/>
    </row>
    <row r="659" spans="1:23" s="1" customFormat="1" ht="24.95" customHeight="1" x14ac:dyDescent="0.2">
      <c r="A659" s="8">
        <v>45770.509918981479</v>
      </c>
      <c r="B659" s="7">
        <v>45770.509918981479</v>
      </c>
      <c r="C659" s="9" t="s">
        <v>376</v>
      </c>
      <c r="D659" s="1" t="s">
        <v>388</v>
      </c>
      <c r="E659" s="1" t="s">
        <v>403</v>
      </c>
      <c r="F659" s="1" t="s">
        <v>433</v>
      </c>
      <c r="G659" s="1" t="s">
        <v>365</v>
      </c>
      <c r="H659" s="2">
        <v>-100</v>
      </c>
      <c r="I659" s="16">
        <v>106.5579</v>
      </c>
      <c r="J659" s="1" t="s">
        <v>381</v>
      </c>
      <c r="K659" s="6">
        <f>Registro_Ordini[[#This Row],[Numero]]*Registro_Ordini[[#This Row],[Prezzo]]</f>
        <v>-10655.79</v>
      </c>
      <c r="L659" s="10">
        <v>0.93815000000000004</v>
      </c>
      <c r="M659" s="6">
        <f>Registro_Ordini[[#This Row],[Importo]]*Registro_Ordini[[#This Row],[Cambio]]</f>
        <v>-9996.7293885000017</v>
      </c>
      <c r="N659" s="1">
        <f ca="1">IFERROR(_xlfn.NUMBERVALUE(OFFSET(Origine,MATCH(Registro_Ordini[[#This Row],[Titolo]],Descrizioni,0),MATCH("Price",Intestazioni,0)-1,1,1)),"")</f>
        <v>135.26</v>
      </c>
      <c r="O659" s="18">
        <f ca="1">IF(OR(Registro_Ordini[[#This Row],[Price]]=0,Registro_Ordini[[#This Row],[Price]]=""),"",IF(Registro_Ordini[[#This Row],[Tipo]]="Sell",Registro_Ordini[[#This Row],[Prezzo]]/Registro_Ordini[[#This Row],[Price]]-1,Registro_Ordini[[#This Row],[Price]]/Registro_Ordini[[#This Row],[Prezzo]]-1))</f>
        <v>-0.21219946769185261</v>
      </c>
      <c r="P659" s="15">
        <v>-3.6406776436233607E-2</v>
      </c>
      <c r="Q659" s="3">
        <v>0.16094941407584348</v>
      </c>
      <c r="R659" s="3">
        <v>0.35676695491383442</v>
      </c>
      <c r="S659" s="3">
        <v>0.34691039845867383</v>
      </c>
      <c r="T659" s="3">
        <v>0</v>
      </c>
      <c r="U659" s="3">
        <v>0.13537323255164813</v>
      </c>
      <c r="V659" s="3"/>
      <c r="W659" s="4"/>
    </row>
    <row r="660" spans="1:23" s="1" customFormat="1" ht="24.95" customHeight="1" x14ac:dyDescent="0.2">
      <c r="A660" s="8">
        <v>45770.50990740741</v>
      </c>
      <c r="B660" s="7">
        <v>45770.50990740741</v>
      </c>
      <c r="C660" s="9" t="s">
        <v>377</v>
      </c>
      <c r="D660" s="1" t="s">
        <v>388</v>
      </c>
      <c r="E660" s="1" t="s">
        <v>403</v>
      </c>
      <c r="F660" s="1" t="s">
        <v>433</v>
      </c>
      <c r="G660" s="1" t="s">
        <v>365</v>
      </c>
      <c r="H660" s="2">
        <v>-650</v>
      </c>
      <c r="I660" s="16">
        <v>106.5579</v>
      </c>
      <c r="J660" s="1" t="s">
        <v>381</v>
      </c>
      <c r="K660" s="6">
        <f>Registro_Ordini[[#This Row],[Numero]]*Registro_Ordini[[#This Row],[Prezzo]]</f>
        <v>-69262.635000000009</v>
      </c>
      <c r="L660" s="10">
        <v>0.93815000000000004</v>
      </c>
      <c r="M660" s="6">
        <f>Registro_Ordini[[#This Row],[Importo]]*Registro_Ordini[[#This Row],[Cambio]]</f>
        <v>-64978.741025250012</v>
      </c>
      <c r="N660" s="1">
        <f ca="1">IFERROR(_xlfn.NUMBERVALUE(OFFSET(Origine,MATCH(Registro_Ordini[[#This Row],[Titolo]],Descrizioni,0),MATCH("Price",Intestazioni,0)-1,1,1)),"")</f>
        <v>135.26</v>
      </c>
      <c r="O660" s="18">
        <f ca="1">IF(OR(Registro_Ordini[[#This Row],[Price]]=0,Registro_Ordini[[#This Row],[Price]]=""),"",IF(Registro_Ordini[[#This Row],[Tipo]]="Sell",Registro_Ordini[[#This Row],[Prezzo]]/Registro_Ordini[[#This Row],[Price]]-1,Registro_Ordini[[#This Row],[Price]]/Registro_Ordini[[#This Row],[Prezzo]]-1))</f>
        <v>-0.21219946769185261</v>
      </c>
      <c r="P660" s="15">
        <v>-4.1171300959211385E-2</v>
      </c>
      <c r="Q660" s="3">
        <v>0.1823027339166457</v>
      </c>
      <c r="R660" s="3">
        <v>0.32912984995693667</v>
      </c>
      <c r="S660" s="3">
        <v>0.37490377092760885</v>
      </c>
      <c r="T660" s="3">
        <v>0</v>
      </c>
      <c r="U660" s="3">
        <v>0.1136636451988087</v>
      </c>
      <c r="V660" s="3"/>
      <c r="W660" s="4"/>
    </row>
    <row r="661" spans="1:23" s="1" customFormat="1" ht="24.95" customHeight="1" x14ac:dyDescent="0.2">
      <c r="A661" s="8">
        <v>45770.509895833333</v>
      </c>
      <c r="B661" s="7">
        <v>45770.509895833333</v>
      </c>
      <c r="C661" s="9" t="s">
        <v>378</v>
      </c>
      <c r="D661" s="1" t="s">
        <v>388</v>
      </c>
      <c r="E661" s="1" t="s">
        <v>403</v>
      </c>
      <c r="F661" s="1" t="s">
        <v>433</v>
      </c>
      <c r="G661" s="1" t="s">
        <v>365</v>
      </c>
      <c r="H661" s="2">
        <v>-220</v>
      </c>
      <c r="I661" s="16">
        <v>106.5579</v>
      </c>
      <c r="J661" s="1" t="s">
        <v>381</v>
      </c>
      <c r="K661" s="6">
        <f>Registro_Ordini[[#This Row],[Numero]]*Registro_Ordini[[#This Row],[Prezzo]]</f>
        <v>-23442.738000000001</v>
      </c>
      <c r="L661" s="10">
        <v>0.93815000000000004</v>
      </c>
      <c r="M661" s="6">
        <f>Registro_Ordini[[#This Row],[Importo]]*Registro_Ordini[[#This Row],[Cambio]]</f>
        <v>-21992.804654700001</v>
      </c>
      <c r="N661" s="1">
        <f ca="1">IFERROR(_xlfn.NUMBERVALUE(OFFSET(Origine,MATCH(Registro_Ordini[[#This Row],[Titolo]],Descrizioni,0),MATCH("Price",Intestazioni,0)-1,1,1)),"")</f>
        <v>135.26</v>
      </c>
      <c r="O661" s="18">
        <f ca="1">IF(OR(Registro_Ordini[[#This Row],[Price]]=0,Registro_Ordini[[#This Row],[Price]]=""),"",IF(Registro_Ordini[[#This Row],[Tipo]]="Sell",Registro_Ordini[[#This Row],[Prezzo]]/Registro_Ordini[[#This Row],[Price]]-1,Registro_Ordini[[#This Row],[Price]]/Registro_Ordini[[#This Row],[Prezzo]]-1))</f>
        <v>-0.21219946769185261</v>
      </c>
      <c r="P661" s="15">
        <v>-4.2942713955732154E-2</v>
      </c>
      <c r="Q661" s="3">
        <v>0.19640571258824377</v>
      </c>
      <c r="R661" s="3">
        <v>0.33640529714368789</v>
      </c>
      <c r="S661" s="3">
        <v>0.36148078740482387</v>
      </c>
      <c r="T661" s="3">
        <v>0</v>
      </c>
      <c r="U661" s="3">
        <v>0.10570820286324439</v>
      </c>
      <c r="V661" s="3"/>
      <c r="W661" s="4"/>
    </row>
    <row r="662" spans="1:23" s="1" customFormat="1" ht="24.95" customHeight="1" x14ac:dyDescent="0.2">
      <c r="A662" s="8">
        <v>45769.875416666669</v>
      </c>
      <c r="B662" s="7">
        <v>45769.875416666669</v>
      </c>
      <c r="C662" s="9" t="s">
        <v>367</v>
      </c>
      <c r="D662" s="1" t="s">
        <v>388</v>
      </c>
      <c r="E662" s="1" t="s">
        <v>389</v>
      </c>
      <c r="F662" s="1" t="s">
        <v>415</v>
      </c>
      <c r="G662" s="1" t="s">
        <v>365</v>
      </c>
      <c r="H662" s="2">
        <v>-600</v>
      </c>
      <c r="I662" s="16">
        <v>90.39</v>
      </c>
      <c r="J662" s="1" t="s">
        <v>366</v>
      </c>
      <c r="K662" s="6">
        <f>Registro_Ordini[[#This Row],[Numero]]*Registro_Ordini[[#This Row],[Prezzo]]</f>
        <v>-54234</v>
      </c>
      <c r="L662" s="10">
        <v>0.82255</v>
      </c>
      <c r="M662" s="6">
        <f>Registro_Ordini[[#This Row],[Importo]]*Registro_Ordini[[#This Row],[Cambio]]</f>
        <v>-44610.176700000004</v>
      </c>
      <c r="N662" s="1">
        <f ca="1">IFERROR(_xlfn.NUMBERVALUE(OFFSET(Origine,MATCH(Registro_Ordini[[#This Row],[Titolo]],Descrizioni,0),MATCH("Price",Intestazioni,0)-1,1,1)),"")</f>
        <v>117.35</v>
      </c>
      <c r="O662" s="18">
        <f ca="1">IF(OR(Registro_Ordini[[#This Row],[Price]]=0,Registro_Ordini[[#This Row],[Price]]=""),"",IF(Registro_Ordini[[#This Row],[Tipo]]="Sell",Registro_Ordini[[#This Row],[Prezzo]]/Registro_Ordini[[#This Row],[Price]]-1,Registro_Ordini[[#This Row],[Price]]/Registro_Ordini[[#This Row],[Prezzo]]-1))</f>
        <v>-0.22974009373668514</v>
      </c>
      <c r="P662" s="15">
        <v>-1.3524152832310289E-2</v>
      </c>
      <c r="Q662" s="3">
        <v>0.15045703220956413</v>
      </c>
      <c r="R662" s="3">
        <v>0.42266341434216614</v>
      </c>
      <c r="S662" s="3">
        <v>0.36766697183609093</v>
      </c>
      <c r="T662" s="3">
        <v>0</v>
      </c>
      <c r="U662" s="3">
        <v>5.9212581612178773E-2</v>
      </c>
      <c r="V662" s="3"/>
      <c r="W662" s="4"/>
    </row>
    <row r="663" spans="1:23" s="1" customFormat="1" ht="24.95" customHeight="1" x14ac:dyDescent="0.2">
      <c r="A663" s="8">
        <v>45769.875416666669</v>
      </c>
      <c r="B663" s="7">
        <v>45769.875416666669</v>
      </c>
      <c r="C663" s="9" t="s">
        <v>367</v>
      </c>
      <c r="D663" s="1" t="s">
        <v>388</v>
      </c>
      <c r="E663" s="1" t="s">
        <v>389</v>
      </c>
      <c r="F663" s="1" t="s">
        <v>411</v>
      </c>
      <c r="G663" s="1" t="s">
        <v>365</v>
      </c>
      <c r="H663" s="2">
        <v>-1560</v>
      </c>
      <c r="I663" s="16">
        <v>47.125</v>
      </c>
      <c r="J663" s="1" t="s">
        <v>366</v>
      </c>
      <c r="K663" s="6">
        <f>Registro_Ordini[[#This Row],[Numero]]*Registro_Ordini[[#This Row],[Prezzo]]</f>
        <v>-73515</v>
      </c>
      <c r="L663" s="10">
        <v>0.82255</v>
      </c>
      <c r="M663" s="6">
        <f>Registro_Ordini[[#This Row],[Importo]]*Registro_Ordini[[#This Row],[Cambio]]</f>
        <v>-60469.763250000004</v>
      </c>
      <c r="N663" s="1">
        <f ca="1">IFERROR(_xlfn.NUMBERVALUE(OFFSET(Origine,MATCH(Registro_Ordini[[#This Row],[Titolo]],Descrizioni,0),MATCH("Price",Intestazioni,0)-1,1,1)),"")</f>
        <v>51.02</v>
      </c>
      <c r="O663" s="18">
        <f ca="1">IF(OR(Registro_Ordini[[#This Row],[Price]]=0,Registro_Ordini[[#This Row],[Price]]=""),"",IF(Registro_Ordini[[#This Row],[Tipo]]="Sell",Registro_Ordini[[#This Row],[Prezzo]]/Registro_Ordini[[#This Row],[Price]]-1,Registro_Ordini[[#This Row],[Price]]/Registro_Ordini[[#This Row],[Prezzo]]-1))</f>
        <v>-7.6342610740885997E-2</v>
      </c>
      <c r="P663" s="15">
        <v>-1.8332208356503413E-2</v>
      </c>
      <c r="Q663" s="3">
        <v>0.16878937563448607</v>
      </c>
      <c r="R663" s="3">
        <v>0.4226637937759361</v>
      </c>
      <c r="S663" s="3">
        <v>0.34933419582102854</v>
      </c>
      <c r="T663" s="3">
        <v>0</v>
      </c>
      <c r="U663" s="3">
        <v>5.9212634768549308E-2</v>
      </c>
      <c r="V663" s="3"/>
      <c r="W663" s="4"/>
    </row>
    <row r="664" spans="1:23" s="1" customFormat="1" ht="24.95" customHeight="1" x14ac:dyDescent="0.2">
      <c r="A664" s="8">
        <v>45769.875416666669</v>
      </c>
      <c r="B664" s="7">
        <v>45769.875416666669</v>
      </c>
      <c r="C664" s="9" t="s">
        <v>367</v>
      </c>
      <c r="D664" s="1" t="s">
        <v>388</v>
      </c>
      <c r="E664" s="1" t="s">
        <v>389</v>
      </c>
      <c r="F664" s="1" t="s">
        <v>445</v>
      </c>
      <c r="G664" s="1" t="s">
        <v>365</v>
      </c>
      <c r="H664" s="2">
        <v>-300</v>
      </c>
      <c r="I664" s="16">
        <v>134.77000000000001</v>
      </c>
      <c r="J664" s="1" t="s">
        <v>366</v>
      </c>
      <c r="K664" s="6">
        <f>Registro_Ordini[[#This Row],[Numero]]*Registro_Ordini[[#This Row],[Prezzo]]</f>
        <v>-40431</v>
      </c>
      <c r="L664" s="10">
        <v>0.82255</v>
      </c>
      <c r="M664" s="6">
        <f>Registro_Ordini[[#This Row],[Importo]]*Registro_Ordini[[#This Row],[Cambio]]</f>
        <v>-33256.519050000003</v>
      </c>
      <c r="N664" s="1">
        <f ca="1">IFERROR(_xlfn.NUMBERVALUE(OFFSET(Origine,MATCH(Registro_Ordini[[#This Row],[Titolo]],Descrizioni,0),MATCH("Price",Intestazioni,0)-1,1,1)),"")</f>
        <v>156.24</v>
      </c>
      <c r="O664" s="18">
        <f ca="1">IF(OR(Registro_Ordini[[#This Row],[Price]]=0,Registro_Ordini[[#This Row],[Price]]=""),"",IF(Registro_Ordini[[#This Row],[Tipo]]="Sell",Registro_Ordini[[#This Row],[Prezzo]]/Registro_Ordini[[#This Row],[Price]]-1,Registro_Ordini[[#This Row],[Price]]/Registro_Ordini[[#This Row],[Prezzo]]-1))</f>
        <v>-0.13741679467485912</v>
      </c>
      <c r="P664" s="15">
        <v>-1.0082315686166162E-2</v>
      </c>
      <c r="Q664" s="3">
        <v>0.17887440620059933</v>
      </c>
      <c r="R664" s="3">
        <v>0.42267059207976165</v>
      </c>
      <c r="S664" s="3">
        <v>0.33924141454994411</v>
      </c>
      <c r="T664" s="3">
        <v>0</v>
      </c>
      <c r="U664" s="3">
        <v>5.9213587169695076E-2</v>
      </c>
      <c r="V664" s="3"/>
      <c r="W664" s="4"/>
    </row>
    <row r="665" spans="1:23" s="1" customFormat="1" ht="24.95" customHeight="1" x14ac:dyDescent="0.2">
      <c r="A665" s="8">
        <v>45761.478981481479</v>
      </c>
      <c r="B665" s="7">
        <v>45770.478981481479</v>
      </c>
      <c r="C665" s="9" t="s">
        <v>367</v>
      </c>
      <c r="D665" s="1" t="s">
        <v>388</v>
      </c>
      <c r="E665" s="1" t="s">
        <v>389</v>
      </c>
      <c r="F665" s="1" t="s">
        <v>414</v>
      </c>
      <c r="G665" s="1" t="s">
        <v>365</v>
      </c>
      <c r="H665" s="2">
        <v>-400</v>
      </c>
      <c r="I665" s="16">
        <v>100.35</v>
      </c>
      <c r="J665" s="1" t="s">
        <v>366</v>
      </c>
      <c r="K665" s="6">
        <f>Registro_Ordini[[#This Row],[Numero]]*Registro_Ordini[[#This Row],[Prezzo]]</f>
        <v>-40140</v>
      </c>
      <c r="L665" s="10">
        <v>0.82064999999999999</v>
      </c>
      <c r="M665" s="6">
        <f>Registro_Ordini[[#This Row],[Importo]]*Registro_Ordini[[#This Row],[Cambio]]</f>
        <v>-32940.891000000003</v>
      </c>
      <c r="N665" s="1">
        <f ca="1">IFERROR(_xlfn.NUMBERVALUE(OFFSET(Origine,MATCH(Registro_Ordini[[#This Row],[Titolo]],Descrizioni,0),MATCH("Price",Intestazioni,0)-1,1,1)),"")</f>
        <v>137.36000000000001</v>
      </c>
      <c r="O665" s="18">
        <f ca="1">IF(OR(Registro_Ordini[[#This Row],[Price]]=0,Registro_Ordini[[#This Row],[Price]]=""),"",IF(Registro_Ordini[[#This Row],[Tipo]]="Sell",Registro_Ordini[[#This Row],[Prezzo]]/Registro_Ordini[[#This Row],[Price]]-1,Registro_Ordini[[#This Row],[Price]]/Registro_Ordini[[#This Row],[Prezzo]]-1))</f>
        <v>-0.26943797320908569</v>
      </c>
      <c r="P665" s="15">
        <v>-9.2213259300239162E-3</v>
      </c>
      <c r="Q665" s="3">
        <v>0.19618149988162611</v>
      </c>
      <c r="R665" s="3">
        <v>0.40708673282637575</v>
      </c>
      <c r="S665" s="3">
        <v>0.33970015710535684</v>
      </c>
      <c r="T665" s="3">
        <v>0</v>
      </c>
      <c r="U665" s="3">
        <v>5.7031610186641366E-2</v>
      </c>
      <c r="V665" s="3"/>
      <c r="W665" s="4"/>
    </row>
    <row r="666" spans="1:23" s="1" customFormat="1" ht="24.95" customHeight="1" x14ac:dyDescent="0.2">
      <c r="A666" s="8">
        <v>45756.759212962963</v>
      </c>
      <c r="B666" s="7">
        <v>45756.759212962963</v>
      </c>
      <c r="C666" s="9" t="s">
        <v>106</v>
      </c>
      <c r="D666" s="1" t="s">
        <v>388</v>
      </c>
      <c r="E666" s="1" t="s">
        <v>397</v>
      </c>
      <c r="F666" s="1" t="s">
        <v>406</v>
      </c>
      <c r="G666" s="1" t="s">
        <v>371</v>
      </c>
      <c r="H666" s="2">
        <v>30</v>
      </c>
      <c r="I666" s="16">
        <v>111.42</v>
      </c>
      <c r="J666" s="1" t="s">
        <v>369</v>
      </c>
      <c r="K666" s="6">
        <f>Registro_Ordini[[#This Row],[Numero]]*Registro_Ordini[[#This Row],[Prezzo]]</f>
        <v>3342.6</v>
      </c>
      <c r="L666" s="10">
        <v>1.0771561999999999</v>
      </c>
      <c r="M666" s="6">
        <f>Registro_Ordini[[#This Row],[Importo]]*Registro_Ordini[[#This Row],[Cambio]]</f>
        <v>3600.5023141199995</v>
      </c>
      <c r="N666" s="1">
        <f ca="1">IFERROR(_xlfn.NUMBERVALUE(OFFSET(Origine,MATCH(Registro_Ordini[[#This Row],[Titolo]],Descrizioni,0),MATCH("Price",Intestazioni,0)-1,1,1)),"")</f>
        <v>136.52000000000001</v>
      </c>
      <c r="O666" s="18">
        <f ca="1">IF(OR(Registro_Ordini[[#This Row],[Price]]=0,Registro_Ordini[[#This Row],[Price]]=""),"",IF(Registro_Ordini[[#This Row],[Tipo]]="Sell",Registro_Ordini[[#This Row],[Prezzo]]/Registro_Ordini[[#This Row],[Price]]-1,Registro_Ordini[[#This Row],[Price]]/Registro_Ordini[[#This Row],[Prezzo]]-1))</f>
        <v>0.22527373900556458</v>
      </c>
      <c r="P666" s="15">
        <v>2.6961318588517552E-2</v>
      </c>
      <c r="Q666" s="3">
        <v>0.22813378687926031</v>
      </c>
      <c r="R666" s="3">
        <v>0.23679184170150813</v>
      </c>
      <c r="S666" s="3">
        <v>0.38971100024991556</v>
      </c>
      <c r="T666" s="3">
        <v>0</v>
      </c>
      <c r="U666" s="3">
        <v>0.14536337116931608</v>
      </c>
      <c r="V666" s="3"/>
      <c r="W666" s="4"/>
    </row>
    <row r="667" spans="1:23" s="1" customFormat="1" ht="24.95" customHeight="1" x14ac:dyDescent="0.2">
      <c r="A667" s="8">
        <v>45756.757743055554</v>
      </c>
      <c r="B667" s="7">
        <v>45756.757743055554</v>
      </c>
      <c r="C667" s="9" t="s">
        <v>379</v>
      </c>
      <c r="D667" s="1" t="s">
        <v>388</v>
      </c>
      <c r="E667" s="1" t="s">
        <v>397</v>
      </c>
      <c r="F667" s="1" t="s">
        <v>443</v>
      </c>
      <c r="G667" s="1" t="s">
        <v>371</v>
      </c>
      <c r="H667" s="2">
        <v>60</v>
      </c>
      <c r="I667" s="16">
        <v>83</v>
      </c>
      <c r="J667" s="1" t="s">
        <v>369</v>
      </c>
      <c r="K667" s="6">
        <f>Registro_Ordini[[#This Row],[Numero]]*Registro_Ordini[[#This Row],[Prezzo]]</f>
        <v>4980</v>
      </c>
      <c r="L667" s="10">
        <v>1.07656704</v>
      </c>
      <c r="M667" s="6">
        <f>Registro_Ordini[[#This Row],[Importo]]*Registro_Ordini[[#This Row],[Cambio]]</f>
        <v>5361.3038592000003</v>
      </c>
      <c r="N667" s="1">
        <f ca="1">IFERROR(_xlfn.NUMBERVALUE(OFFSET(Origine,MATCH(Registro_Ordini[[#This Row],[Titolo]],Descrizioni,0),MATCH("Price",Intestazioni,0)-1,1,1)),"")</f>
        <v>126.4</v>
      </c>
      <c r="O667" s="18">
        <f ca="1">IF(OR(Registro_Ordini[[#This Row],[Price]]=0,Registro_Ordini[[#This Row],[Price]]=""),"",IF(Registro_Ordini[[#This Row],[Tipo]]="Sell",Registro_Ordini[[#This Row],[Prezzo]]/Registro_Ordini[[#This Row],[Price]]-1,Registro_Ordini[[#This Row],[Price]]/Registro_Ordini[[#This Row],[Prezzo]]-1))</f>
        <v>0.52289156626506039</v>
      </c>
      <c r="P667" s="15">
        <v>9.7979741049999264E-3</v>
      </c>
      <c r="Q667" s="3">
        <v>0.19260131364348859</v>
      </c>
      <c r="R667" s="3">
        <v>0.29669852987519829</v>
      </c>
      <c r="S667" s="3">
        <v>0.3962327018790579</v>
      </c>
      <c r="T667" s="3">
        <v>0</v>
      </c>
      <c r="U667" s="3">
        <v>0.11446745460225514</v>
      </c>
      <c r="V667" s="3"/>
      <c r="W667" s="4"/>
    </row>
    <row r="668" spans="1:23" s="1" customFormat="1" ht="24.95" customHeight="1" x14ac:dyDescent="0.2">
      <c r="A668" s="8">
        <v>45756.757719907408</v>
      </c>
      <c r="B668" s="7">
        <v>45756.757731481484</v>
      </c>
      <c r="C668" s="9" t="s">
        <v>382</v>
      </c>
      <c r="D668" s="1" t="s">
        <v>388</v>
      </c>
      <c r="E668" s="1" t="s">
        <v>397</v>
      </c>
      <c r="F668" s="1" t="s">
        <v>443</v>
      </c>
      <c r="G668" s="1" t="s">
        <v>371</v>
      </c>
      <c r="H668" s="2">
        <v>115</v>
      </c>
      <c r="I668" s="16">
        <v>83</v>
      </c>
      <c r="J668" s="1" t="s">
        <v>369</v>
      </c>
      <c r="K668" s="6">
        <f>Registro_Ordini[[#This Row],[Numero]]*Registro_Ordini[[#This Row],[Prezzo]]</f>
        <v>9545</v>
      </c>
      <c r="L668" s="10">
        <v>1.07656704</v>
      </c>
      <c r="M668" s="6">
        <f>Registro_Ordini[[#This Row],[Importo]]*Registro_Ordini[[#This Row],[Cambio]]</f>
        <v>10275.8323968</v>
      </c>
      <c r="N668" s="1">
        <f ca="1">IFERROR(_xlfn.NUMBERVALUE(OFFSET(Origine,MATCH(Registro_Ordini[[#This Row],[Titolo]],Descrizioni,0),MATCH("Price",Intestazioni,0)-1,1,1)),"")</f>
        <v>126.4</v>
      </c>
      <c r="O668" s="18">
        <f ca="1">IF(OR(Registro_Ordini[[#This Row],[Price]]=0,Registro_Ordini[[#This Row],[Price]]=""),"",IF(Registro_Ordini[[#This Row],[Tipo]]="Sell",Registro_Ordini[[#This Row],[Prezzo]]/Registro_Ordini[[#This Row],[Price]]-1,Registro_Ordini[[#This Row],[Price]]/Registro_Ordini[[#This Row],[Prezzo]]-1))</f>
        <v>0.52289156626506039</v>
      </c>
      <c r="P668" s="15">
        <v>1.0130152283913637E-2</v>
      </c>
      <c r="Q668" s="3">
        <v>0.18530552136801931</v>
      </c>
      <c r="R668" s="3">
        <v>0.28691759169926412</v>
      </c>
      <c r="S668" s="3">
        <v>0.41265670211718658</v>
      </c>
      <c r="T668" s="3">
        <v>0</v>
      </c>
      <c r="U668" s="3">
        <v>0.11512018481552992</v>
      </c>
      <c r="V668" s="3"/>
      <c r="W668" s="4"/>
    </row>
    <row r="669" spans="1:23" s="1" customFormat="1" ht="24.95" customHeight="1" x14ac:dyDescent="0.2">
      <c r="A669" s="8">
        <v>45756.757708333331</v>
      </c>
      <c r="B669" s="7">
        <v>45756.757708333331</v>
      </c>
      <c r="C669" s="9" t="s">
        <v>383</v>
      </c>
      <c r="D669" s="1" t="s">
        <v>388</v>
      </c>
      <c r="E669" s="1" t="s">
        <v>397</v>
      </c>
      <c r="F669" s="1" t="s">
        <v>443</v>
      </c>
      <c r="G669" s="1" t="s">
        <v>371</v>
      </c>
      <c r="H669" s="2">
        <v>70</v>
      </c>
      <c r="I669" s="16">
        <v>83</v>
      </c>
      <c r="J669" s="1" t="s">
        <v>369</v>
      </c>
      <c r="K669" s="6">
        <f>Registro_Ordini[[#This Row],[Numero]]*Registro_Ordini[[#This Row],[Prezzo]]</f>
        <v>5810</v>
      </c>
      <c r="L669" s="10">
        <v>1.07656704</v>
      </c>
      <c r="M669" s="6">
        <f>Registro_Ordini[[#This Row],[Importo]]*Registro_Ordini[[#This Row],[Cambio]]</f>
        <v>6254.8545024000005</v>
      </c>
      <c r="N669" s="1">
        <f ca="1">IFERROR(_xlfn.NUMBERVALUE(OFFSET(Origine,MATCH(Registro_Ordini[[#This Row],[Titolo]],Descrizioni,0),MATCH("Price",Intestazioni,0)-1,1,1)),"")</f>
        <v>126.4</v>
      </c>
      <c r="O669" s="18">
        <f ca="1">IF(OR(Registro_Ordini[[#This Row],[Price]]=0,Registro_Ordini[[#This Row],[Price]]=""),"",IF(Registro_Ordini[[#This Row],[Tipo]]="Sell",Registro_Ordini[[#This Row],[Prezzo]]/Registro_Ordini[[#This Row],[Price]]-1,Registro_Ordini[[#This Row],[Price]]/Registro_Ordini[[#This Row],[Prezzo]]-1))</f>
        <v>0.52289156626506039</v>
      </c>
      <c r="P669" s="15">
        <v>1.0408324268357607E-2</v>
      </c>
      <c r="Q669" s="3">
        <v>0.1989559326893805</v>
      </c>
      <c r="R669" s="3">
        <v>0.28202530010415633</v>
      </c>
      <c r="S669" s="3">
        <v>0.40539660463500699</v>
      </c>
      <c r="T669" s="3">
        <v>0</v>
      </c>
      <c r="U669" s="3">
        <v>0.1136221625714561</v>
      </c>
      <c r="V669" s="3"/>
      <c r="W669" s="4"/>
    </row>
    <row r="670" spans="1:23" s="1" customFormat="1" ht="24.95" customHeight="1" x14ac:dyDescent="0.2">
      <c r="A670" s="8">
        <v>45756.757418981484</v>
      </c>
      <c r="B670" s="7">
        <v>45756.757418981484</v>
      </c>
      <c r="C670" s="9" t="s">
        <v>78</v>
      </c>
      <c r="D670" s="1" t="s">
        <v>388</v>
      </c>
      <c r="E670" s="1" t="s">
        <v>397</v>
      </c>
      <c r="F670" s="1" t="s">
        <v>443</v>
      </c>
      <c r="G670" s="1" t="s">
        <v>371</v>
      </c>
      <c r="H670" s="2">
        <v>100</v>
      </c>
      <c r="I670" s="16">
        <v>83</v>
      </c>
      <c r="J670" s="1" t="s">
        <v>369</v>
      </c>
      <c r="K670" s="6">
        <f>Registro_Ordini[[#This Row],[Numero]]*Registro_Ordini[[#This Row],[Prezzo]]</f>
        <v>8300</v>
      </c>
      <c r="L670" s="10">
        <v>1.0000001199999999</v>
      </c>
      <c r="M670" s="6">
        <f>Registro_Ordini[[#This Row],[Importo]]*Registro_Ordini[[#This Row],[Cambio]]</f>
        <v>8300.0009959999988</v>
      </c>
      <c r="N670" s="1">
        <f ca="1">IFERROR(_xlfn.NUMBERVALUE(OFFSET(Origine,MATCH(Registro_Ordini[[#This Row],[Titolo]],Descrizioni,0),MATCH("Price",Intestazioni,0)-1,1,1)),"")</f>
        <v>126.4</v>
      </c>
      <c r="O670" s="18">
        <f ca="1">IF(OR(Registro_Ordini[[#This Row],[Price]]=0,Registro_Ordini[[#This Row],[Price]]=""),"",IF(Registro_Ordini[[#This Row],[Tipo]]="Sell",Registro_Ordini[[#This Row],[Prezzo]]/Registro_Ordini[[#This Row],[Price]]-1,Registro_Ordini[[#This Row],[Price]]/Registro_Ordini[[#This Row],[Prezzo]]-1))</f>
        <v>0.52289156626506039</v>
      </c>
      <c r="P670" s="15">
        <v>1.691695899112668E-2</v>
      </c>
      <c r="Q670" s="3">
        <v>0.28937407701205214</v>
      </c>
      <c r="R670" s="3">
        <v>0.14044430480119363</v>
      </c>
      <c r="S670" s="3">
        <v>0.50517157915290156</v>
      </c>
      <c r="T670" s="3">
        <v>0</v>
      </c>
      <c r="U670" s="3">
        <v>6.5010039033852607E-2</v>
      </c>
      <c r="V670" s="3"/>
      <c r="W670" s="4"/>
    </row>
    <row r="671" spans="1:23" s="1" customFormat="1" ht="24.95" customHeight="1" x14ac:dyDescent="0.2">
      <c r="A671" s="8">
        <v>45756.757245370369</v>
      </c>
      <c r="B671" s="7">
        <v>45756.757245370369</v>
      </c>
      <c r="C671" s="9" t="s">
        <v>375</v>
      </c>
      <c r="D671" s="1" t="s">
        <v>388</v>
      </c>
      <c r="E671" s="1" t="s">
        <v>397</v>
      </c>
      <c r="F671" s="1" t="s">
        <v>443</v>
      </c>
      <c r="G671" s="1" t="s">
        <v>371</v>
      </c>
      <c r="H671" s="2">
        <v>100</v>
      </c>
      <c r="I671" s="16">
        <v>83</v>
      </c>
      <c r="J671" s="1" t="s">
        <v>369</v>
      </c>
      <c r="K671" s="6">
        <f>Registro_Ordini[[#This Row],[Numero]]*Registro_Ordini[[#This Row],[Prezzo]]</f>
        <v>8300</v>
      </c>
      <c r="L671" s="10">
        <v>1.0000001199999999</v>
      </c>
      <c r="M671" s="6">
        <f>Registro_Ordini[[#This Row],[Importo]]*Registro_Ordini[[#This Row],[Cambio]]</f>
        <v>8300.0009959999988</v>
      </c>
      <c r="N671" s="1">
        <f ca="1">IFERROR(_xlfn.NUMBERVALUE(OFFSET(Origine,MATCH(Registro_Ordini[[#This Row],[Titolo]],Descrizioni,0),MATCH("Price",Intestazioni,0)-1,1,1)),"")</f>
        <v>126.4</v>
      </c>
      <c r="O671" s="18">
        <f ca="1">IF(OR(Registro_Ordini[[#This Row],[Price]]=0,Registro_Ordini[[#This Row],[Price]]=""),"",IF(Registro_Ordini[[#This Row],[Tipo]]="Sell",Registro_Ordini[[#This Row],[Prezzo]]/Registro_Ordini[[#This Row],[Price]]-1,Registro_Ordini[[#This Row],[Price]]/Registro_Ordini[[#This Row],[Prezzo]]-1))</f>
        <v>0.52289156626506039</v>
      </c>
      <c r="P671" s="15">
        <v>1.0880587751906499E-2</v>
      </c>
      <c r="Q671" s="3">
        <v>0.17645371097369175</v>
      </c>
      <c r="R671" s="3">
        <v>0.37260235742212727</v>
      </c>
      <c r="S671" s="3">
        <v>0.34218000333909937</v>
      </c>
      <c r="T671" s="3">
        <v>0</v>
      </c>
      <c r="U671" s="3">
        <v>0.10876392826508174</v>
      </c>
      <c r="V671" s="3"/>
      <c r="W671" s="4"/>
    </row>
    <row r="672" spans="1:23" s="1" customFormat="1" ht="24.95" customHeight="1" x14ac:dyDescent="0.2">
      <c r="A672" s="8">
        <v>45756.757233796299</v>
      </c>
      <c r="B672" s="7">
        <v>45756.757233796299</v>
      </c>
      <c r="C672" s="9" t="s">
        <v>377</v>
      </c>
      <c r="D672" s="1" t="s">
        <v>388</v>
      </c>
      <c r="E672" s="1" t="s">
        <v>397</v>
      </c>
      <c r="F672" s="1" t="s">
        <v>443</v>
      </c>
      <c r="G672" s="1" t="s">
        <v>371</v>
      </c>
      <c r="H672" s="2">
        <v>180</v>
      </c>
      <c r="I672" s="16">
        <v>83</v>
      </c>
      <c r="J672" s="1" t="s">
        <v>369</v>
      </c>
      <c r="K672" s="6">
        <f>Registro_Ordini[[#This Row],[Numero]]*Registro_Ordini[[#This Row],[Prezzo]]</f>
        <v>14940</v>
      </c>
      <c r="L672" s="10">
        <v>1.0000001199999999</v>
      </c>
      <c r="M672" s="6">
        <f>Registro_Ordini[[#This Row],[Importo]]*Registro_Ordini[[#This Row],[Cambio]]</f>
        <v>14940.0017928</v>
      </c>
      <c r="N672" s="1">
        <f ca="1">IFERROR(_xlfn.NUMBERVALUE(OFFSET(Origine,MATCH(Registro_Ordini[[#This Row],[Titolo]],Descrizioni,0),MATCH("Price",Intestazioni,0)-1,1,1)),"")</f>
        <v>126.4</v>
      </c>
      <c r="O672" s="18">
        <f ca="1">IF(OR(Registro_Ordini[[#This Row],[Price]]=0,Registro_Ordini[[#This Row],[Price]]=""),"",IF(Registro_Ordini[[#This Row],[Tipo]]="Sell",Registro_Ordini[[#This Row],[Prezzo]]/Registro_Ordini[[#This Row],[Price]]-1,Registro_Ordini[[#This Row],[Price]]/Registro_Ordini[[#This Row],[Prezzo]]-1))</f>
        <v>0.52289156626506039</v>
      </c>
      <c r="P672" s="15">
        <v>1.0063600454920055E-2</v>
      </c>
      <c r="Q672" s="3">
        <v>0.15065680322863992</v>
      </c>
      <c r="R672" s="3">
        <v>0.34819315911141785</v>
      </c>
      <c r="S672" s="3">
        <v>0.39021063066372302</v>
      </c>
      <c r="T672" s="3">
        <v>0</v>
      </c>
      <c r="U672" s="3">
        <v>0.1109394069962191</v>
      </c>
      <c r="V672" s="3"/>
      <c r="W672" s="4"/>
    </row>
    <row r="673" spans="1:23" s="1" customFormat="1" ht="24.95" customHeight="1" x14ac:dyDescent="0.2">
      <c r="A673" s="8">
        <v>45756.757222222222</v>
      </c>
      <c r="B673" s="7">
        <v>45756.757222222222</v>
      </c>
      <c r="C673" s="9" t="s">
        <v>378</v>
      </c>
      <c r="D673" s="1" t="s">
        <v>388</v>
      </c>
      <c r="E673" s="1" t="s">
        <v>397</v>
      </c>
      <c r="F673" s="1" t="s">
        <v>443</v>
      </c>
      <c r="G673" s="1" t="s">
        <v>371</v>
      </c>
      <c r="H673" s="2">
        <v>60</v>
      </c>
      <c r="I673" s="16">
        <v>83</v>
      </c>
      <c r="J673" s="1" t="s">
        <v>369</v>
      </c>
      <c r="K673" s="6">
        <f>Registro_Ordini[[#This Row],[Numero]]*Registro_Ordini[[#This Row],[Prezzo]]</f>
        <v>4980</v>
      </c>
      <c r="L673" s="10">
        <v>1.0000001199999999</v>
      </c>
      <c r="M673" s="6">
        <f>Registro_Ordini[[#This Row],[Importo]]*Registro_Ordini[[#This Row],[Cambio]]</f>
        <v>4980.0005975999993</v>
      </c>
      <c r="N673" s="1">
        <f ca="1">IFERROR(_xlfn.NUMBERVALUE(OFFSET(Origine,MATCH(Registro_Ordini[[#This Row],[Titolo]],Descrizioni,0),MATCH("Price",Intestazioni,0)-1,1,1)),"")</f>
        <v>126.4</v>
      </c>
      <c r="O673" s="18">
        <f ca="1">IF(OR(Registro_Ordini[[#This Row],[Price]]=0,Registro_Ordini[[#This Row],[Price]]=""),"",IF(Registro_Ordini[[#This Row],[Tipo]]="Sell",Registro_Ordini[[#This Row],[Prezzo]]/Registro_Ordini[[#This Row],[Price]]-1,Registro_Ordini[[#This Row],[Price]]/Registro_Ordini[[#This Row],[Prezzo]]-1))</f>
        <v>0.52289156626506039</v>
      </c>
      <c r="P673" s="15">
        <v>1.0326180832679473E-2</v>
      </c>
      <c r="Q673" s="3">
        <v>0.16412896605851576</v>
      </c>
      <c r="R673" s="3">
        <v>0.3554322128904312</v>
      </c>
      <c r="S673" s="3">
        <v>0.37575540208877567</v>
      </c>
      <c r="T673" s="3">
        <v>0</v>
      </c>
      <c r="U673" s="3">
        <v>0.10468341896227736</v>
      </c>
      <c r="V673" s="3"/>
      <c r="W673" s="4"/>
    </row>
    <row r="674" spans="1:23" s="1" customFormat="1" ht="24.95" customHeight="1" x14ac:dyDescent="0.2">
      <c r="A674" s="8">
        <v>45756.756643518522</v>
      </c>
      <c r="B674" s="7">
        <v>45756.756643518522</v>
      </c>
      <c r="C674" s="9" t="s">
        <v>78</v>
      </c>
      <c r="D674" s="1" t="s">
        <v>388</v>
      </c>
      <c r="E674" s="1" t="s">
        <v>397</v>
      </c>
      <c r="F674" s="1" t="s">
        <v>442</v>
      </c>
      <c r="G674" s="1" t="s">
        <v>371</v>
      </c>
      <c r="H674" s="2">
        <v>190</v>
      </c>
      <c r="I674" s="16">
        <v>39.39</v>
      </c>
      <c r="J674" s="1" t="s">
        <v>369</v>
      </c>
      <c r="K674" s="6">
        <f>Registro_Ordini[[#This Row],[Numero]]*Registro_Ordini[[#This Row],[Prezzo]]</f>
        <v>7484.1</v>
      </c>
      <c r="L674" s="10">
        <v>1.0000001199999999</v>
      </c>
      <c r="M674" s="6">
        <f>Registro_Ordini[[#This Row],[Importo]]*Registro_Ordini[[#This Row],[Cambio]]</f>
        <v>7484.1008980919996</v>
      </c>
      <c r="N674" s="1">
        <f ca="1">IFERROR(_xlfn.NUMBERVALUE(OFFSET(Origine,MATCH(Registro_Ordini[[#This Row],[Titolo]],Descrizioni,0),MATCH("Price",Intestazioni,0)-1,1,1)),"")</f>
        <v>67.2</v>
      </c>
      <c r="O674" s="18">
        <f ca="1">IF(OR(Registro_Ordini[[#This Row],[Price]]=0,Registro_Ordini[[#This Row],[Price]]=""),"",IF(Registro_Ordini[[#This Row],[Tipo]]="Sell",Registro_Ordini[[#This Row],[Prezzo]]/Registro_Ordini[[#This Row],[Price]]-1,Registro_Ordini[[#This Row],[Price]]/Registro_Ordini[[#This Row],[Prezzo]]-1))</f>
        <v>0.70601675552170606</v>
      </c>
      <c r="P674" s="15">
        <v>1.5251993357220417E-2</v>
      </c>
      <c r="Q674" s="3">
        <v>0.30625071291082523</v>
      </c>
      <c r="R674" s="3">
        <v>0.14042581536465337</v>
      </c>
      <c r="S674" s="3">
        <v>0.48832199123629932</v>
      </c>
      <c r="T674" s="3">
        <v>0</v>
      </c>
      <c r="U674" s="3">
        <v>6.5001480488222019E-2</v>
      </c>
      <c r="V674" s="3"/>
      <c r="W674" s="4"/>
    </row>
    <row r="675" spans="1:23" s="1" customFormat="1" ht="24.95" customHeight="1" x14ac:dyDescent="0.2">
      <c r="A675" s="8">
        <v>45756.756458333337</v>
      </c>
      <c r="B675" s="7">
        <v>45756.756458333337</v>
      </c>
      <c r="C675" s="9" t="s">
        <v>375</v>
      </c>
      <c r="D675" s="1" t="s">
        <v>388</v>
      </c>
      <c r="E675" s="1" t="s">
        <v>397</v>
      </c>
      <c r="F675" s="1" t="s">
        <v>442</v>
      </c>
      <c r="G675" s="1" t="s">
        <v>371</v>
      </c>
      <c r="H675" s="2">
        <v>180</v>
      </c>
      <c r="I675" s="16">
        <v>39.39</v>
      </c>
      <c r="J675" s="1" t="s">
        <v>369</v>
      </c>
      <c r="K675" s="6">
        <f>Registro_Ordini[[#This Row],[Numero]]*Registro_Ordini[[#This Row],[Prezzo]]</f>
        <v>7090.2</v>
      </c>
      <c r="L675" s="10">
        <v>1.0000001199999999</v>
      </c>
      <c r="M675" s="6">
        <f>Registro_Ordini[[#This Row],[Importo]]*Registro_Ordini[[#This Row],[Cambio]]</f>
        <v>7090.2008508239996</v>
      </c>
      <c r="N675" s="1">
        <f ca="1">IFERROR(_xlfn.NUMBERVALUE(OFFSET(Origine,MATCH(Registro_Ordini[[#This Row],[Titolo]],Descrizioni,0),MATCH("Price",Intestazioni,0)-1,1,1)),"")</f>
        <v>67.2</v>
      </c>
      <c r="O675" s="18">
        <f ca="1">IF(OR(Registro_Ordini[[#This Row],[Price]]=0,Registro_Ordini[[#This Row],[Price]]=""),"",IF(Registro_Ordini[[#This Row],[Tipo]]="Sell",Registro_Ordini[[#This Row],[Prezzo]]/Registro_Ordini[[#This Row],[Price]]-1,Registro_Ordini[[#This Row],[Price]]/Registro_Ordini[[#This Row],[Prezzo]]-1))</f>
        <v>0.70601675552170606</v>
      </c>
      <c r="P675" s="15">
        <v>9.2938981381233028E-3</v>
      </c>
      <c r="Q675" s="3">
        <v>0.18731927048486091</v>
      </c>
      <c r="R675" s="3">
        <v>0.37257246669755223</v>
      </c>
      <c r="S675" s="3">
        <v>0.33135305975930729</v>
      </c>
      <c r="T675" s="3">
        <v>0</v>
      </c>
      <c r="U675" s="3">
        <v>0.10875520305827963</v>
      </c>
      <c r="V675" s="3"/>
      <c r="W675" s="4"/>
    </row>
    <row r="676" spans="1:23" s="1" customFormat="1" ht="24.95" customHeight="1" x14ac:dyDescent="0.2">
      <c r="A676" s="8">
        <v>45756.756458333337</v>
      </c>
      <c r="B676" s="7">
        <v>45756.756458333337</v>
      </c>
      <c r="C676" s="9" t="s">
        <v>377</v>
      </c>
      <c r="D676" s="1" t="s">
        <v>388</v>
      </c>
      <c r="E676" s="1" t="s">
        <v>397</v>
      </c>
      <c r="F676" s="1" t="s">
        <v>442</v>
      </c>
      <c r="G676" s="1" t="s">
        <v>371</v>
      </c>
      <c r="H676" s="2">
        <v>380</v>
      </c>
      <c r="I676" s="16">
        <v>39.39</v>
      </c>
      <c r="J676" s="1" t="s">
        <v>369</v>
      </c>
      <c r="K676" s="6">
        <f>Registro_Ordini[[#This Row],[Numero]]*Registro_Ordini[[#This Row],[Prezzo]]</f>
        <v>14968.2</v>
      </c>
      <c r="L676" s="10">
        <v>1.0000001199999999</v>
      </c>
      <c r="M676" s="6">
        <f>Registro_Ordini[[#This Row],[Importo]]*Registro_Ordini[[#This Row],[Cambio]]</f>
        <v>14968.201796183999</v>
      </c>
      <c r="N676" s="1">
        <f ca="1">IFERROR(_xlfn.NUMBERVALUE(OFFSET(Origine,MATCH(Registro_Ordini[[#This Row],[Titolo]],Descrizioni,0),MATCH("Price",Intestazioni,0)-1,1,1)),"")</f>
        <v>67.2</v>
      </c>
      <c r="O676" s="18">
        <f ca="1">IF(OR(Registro_Ordini[[#This Row],[Price]]=0,Registro_Ordini[[#This Row],[Price]]=""),"",IF(Registro_Ordini[[#This Row],[Tipo]]="Sell",Registro_Ordini[[#This Row],[Prezzo]]/Registro_Ordini[[#This Row],[Price]]-1,Registro_Ordini[[#This Row],[Price]]/Registro_Ordini[[#This Row],[Prezzo]]-1))</f>
        <v>0.70601675552170606</v>
      </c>
      <c r="P676" s="15">
        <v>1.0081718601446934E-2</v>
      </c>
      <c r="Q676" s="3">
        <v>0.16070641752259596</v>
      </c>
      <c r="R676" s="3">
        <v>0.34816285875465991</v>
      </c>
      <c r="S676" s="3">
        <v>0.38020097086108379</v>
      </c>
      <c r="T676" s="3">
        <v>0</v>
      </c>
      <c r="U676" s="3">
        <v>0.11092975286166033</v>
      </c>
      <c r="V676" s="3"/>
      <c r="W676" s="4"/>
    </row>
    <row r="677" spans="1:23" s="1" customFormat="1" ht="24.95" customHeight="1" x14ac:dyDescent="0.2">
      <c r="A677" s="8">
        <v>45756.75644675926</v>
      </c>
      <c r="B677" s="7">
        <v>45756.75644675926</v>
      </c>
      <c r="C677" s="9" t="s">
        <v>378</v>
      </c>
      <c r="D677" s="1" t="s">
        <v>388</v>
      </c>
      <c r="E677" s="1" t="s">
        <v>397</v>
      </c>
      <c r="F677" s="1" t="s">
        <v>442</v>
      </c>
      <c r="G677" s="1" t="s">
        <v>371</v>
      </c>
      <c r="H677" s="2">
        <v>125</v>
      </c>
      <c r="I677" s="16">
        <v>39.39</v>
      </c>
      <c r="J677" s="1" t="s">
        <v>369</v>
      </c>
      <c r="K677" s="6">
        <f>Registro_Ordini[[#This Row],[Numero]]*Registro_Ordini[[#This Row],[Prezzo]]</f>
        <v>4923.75</v>
      </c>
      <c r="L677" s="10">
        <v>1.0000001199999999</v>
      </c>
      <c r="M677" s="6">
        <f>Registro_Ordini[[#This Row],[Importo]]*Registro_Ordini[[#This Row],[Cambio]]</f>
        <v>4923.7505908499998</v>
      </c>
      <c r="N677" s="1">
        <f ca="1">IFERROR(_xlfn.NUMBERVALUE(OFFSET(Origine,MATCH(Registro_Ordini[[#This Row],[Titolo]],Descrizioni,0),MATCH("Price",Intestazioni,0)-1,1,1)),"")</f>
        <v>67.2</v>
      </c>
      <c r="O677" s="18">
        <f ca="1">IF(OR(Registro_Ordini[[#This Row],[Price]]=0,Registro_Ordini[[#This Row],[Price]]=""),"",IF(Registro_Ordini[[#This Row],[Tipo]]="Sell",Registro_Ordini[[#This Row],[Prezzo]]/Registro_Ordini[[#This Row],[Price]]-1,Registro_Ordini[[#This Row],[Price]]/Registro_Ordini[[#This Row],[Prezzo]]-1))</f>
        <v>0.70601675552170606</v>
      </c>
      <c r="P677" s="15">
        <v>1.0208645116766151E-2</v>
      </c>
      <c r="Q677" s="3">
        <v>0.17443977437958424</v>
      </c>
      <c r="R677" s="3">
        <v>0.35540089317348983</v>
      </c>
      <c r="S677" s="3">
        <v>0.36548513790193943</v>
      </c>
      <c r="T677" s="3">
        <v>0</v>
      </c>
      <c r="U677" s="3">
        <v>0.1046741945449864</v>
      </c>
      <c r="V677" s="3"/>
      <c r="W677" s="4"/>
    </row>
    <row r="678" spans="1:23" s="1" customFormat="1" ht="24.95" customHeight="1" x14ac:dyDescent="0.2">
      <c r="A678" s="8">
        <v>45756.755543981482</v>
      </c>
      <c r="B678" s="7">
        <v>45756.755543981482</v>
      </c>
      <c r="C678" s="9" t="s">
        <v>379</v>
      </c>
      <c r="D678" s="1" t="s">
        <v>388</v>
      </c>
      <c r="E678" s="1" t="s">
        <v>389</v>
      </c>
      <c r="F678" s="1" t="s">
        <v>414</v>
      </c>
      <c r="G678" s="1" t="s">
        <v>371</v>
      </c>
      <c r="H678" s="2">
        <v>80</v>
      </c>
      <c r="I678" s="16">
        <v>91.18</v>
      </c>
      <c r="J678" s="1" t="s">
        <v>366</v>
      </c>
      <c r="K678" s="6">
        <f>Registro_Ordini[[#This Row],[Numero]]*Registro_Ordini[[#This Row],[Prezzo]]</f>
        <v>7294.4000000000005</v>
      </c>
      <c r="L678" s="10">
        <v>0.90610000000000002</v>
      </c>
      <c r="M678" s="6">
        <f>Registro_Ordini[[#This Row],[Importo]]*Registro_Ordini[[#This Row],[Cambio]]</f>
        <v>6609.4558400000005</v>
      </c>
      <c r="N678" s="1">
        <f ca="1">IFERROR(_xlfn.NUMBERVALUE(OFFSET(Origine,MATCH(Registro_Ordini[[#This Row],[Titolo]],Descrizioni,0),MATCH("Price",Intestazioni,0)-1,1,1)),"")</f>
        <v>137.36000000000001</v>
      </c>
      <c r="O678" s="18">
        <f ca="1">IF(OR(Registro_Ordini[[#This Row],[Price]]=0,Registro_Ordini[[#This Row],[Price]]=""),"",IF(Registro_Ordini[[#This Row],[Tipo]]="Sell",Registro_Ordini[[#This Row],[Prezzo]]/Registro_Ordini[[#This Row],[Price]]-1,Registro_Ordini[[#This Row],[Price]]/Registro_Ordini[[#This Row],[Prezzo]]-1))</f>
        <v>0.50647071726255755</v>
      </c>
      <c r="P678" s="15">
        <v>1.20812985008623E-2</v>
      </c>
      <c r="Q678" s="3">
        <v>0.20256401443190444</v>
      </c>
      <c r="R678" s="3">
        <v>0.29668923901687122</v>
      </c>
      <c r="S678" s="3">
        <v>0.38677603237594776</v>
      </c>
      <c r="T678" s="3">
        <v>0</v>
      </c>
      <c r="U678" s="3">
        <v>0.11397071417527656</v>
      </c>
      <c r="V678" s="3"/>
      <c r="W678" s="4"/>
    </row>
    <row r="679" spans="1:23" s="1" customFormat="1" ht="24.95" customHeight="1" x14ac:dyDescent="0.2">
      <c r="A679" s="8">
        <v>45756.755532407406</v>
      </c>
      <c r="B679" s="7">
        <v>45756.755532407406</v>
      </c>
      <c r="C679" s="9" t="s">
        <v>382</v>
      </c>
      <c r="D679" s="1" t="s">
        <v>388</v>
      </c>
      <c r="E679" s="1" t="s">
        <v>389</v>
      </c>
      <c r="F679" s="1" t="s">
        <v>414</v>
      </c>
      <c r="G679" s="1" t="s">
        <v>371</v>
      </c>
      <c r="H679" s="2">
        <v>150</v>
      </c>
      <c r="I679" s="16">
        <v>91.18</v>
      </c>
      <c r="J679" s="1" t="s">
        <v>366</v>
      </c>
      <c r="K679" s="6">
        <f>Registro_Ordini[[#This Row],[Numero]]*Registro_Ordini[[#This Row],[Prezzo]]</f>
        <v>13677.000000000002</v>
      </c>
      <c r="L679" s="10">
        <v>0.90610000000000002</v>
      </c>
      <c r="M679" s="6">
        <f>Registro_Ordini[[#This Row],[Importo]]*Registro_Ordini[[#This Row],[Cambio]]</f>
        <v>12392.729700000002</v>
      </c>
      <c r="N679" s="1">
        <f ca="1">IFERROR(_xlfn.NUMBERVALUE(OFFSET(Origine,MATCH(Registro_Ordini[[#This Row],[Titolo]],Descrizioni,0),MATCH("Price",Intestazioni,0)-1,1,1)),"")</f>
        <v>137.36000000000001</v>
      </c>
      <c r="O679" s="18">
        <f ca="1">IF(OR(Registro_Ordini[[#This Row],[Price]]=0,Registro_Ordini[[#This Row],[Price]]=""),"",IF(Registro_Ordini[[#This Row],[Tipo]]="Sell",Registro_Ordini[[#This Row],[Prezzo]]/Registro_Ordini[[#This Row],[Price]]-1,Registro_Ordini[[#This Row],[Price]]/Registro_Ordini[[#This Row],[Prezzo]]-1))</f>
        <v>0.50647071726255755</v>
      </c>
      <c r="P679" s="15">
        <v>1.2224894733850392E-2</v>
      </c>
      <c r="Q679" s="3">
        <v>0.19561582549170836</v>
      </c>
      <c r="R679" s="3">
        <v>0.28704330494227231</v>
      </c>
      <c r="S679" s="3">
        <v>0.40303023922690934</v>
      </c>
      <c r="T679" s="3">
        <v>0</v>
      </c>
      <c r="U679" s="3">
        <v>0.11431063033910993</v>
      </c>
      <c r="V679" s="3"/>
      <c r="W679" s="4"/>
    </row>
    <row r="680" spans="1:23" s="1" customFormat="1" ht="24.95" customHeight="1" x14ac:dyDescent="0.2">
      <c r="A680" s="8">
        <v>45756.755509259259</v>
      </c>
      <c r="B680" s="7">
        <v>45756.755509259259</v>
      </c>
      <c r="C680" s="9" t="s">
        <v>383</v>
      </c>
      <c r="D680" s="1" t="s">
        <v>388</v>
      </c>
      <c r="E680" s="1" t="s">
        <v>389</v>
      </c>
      <c r="F680" s="1" t="s">
        <v>414</v>
      </c>
      <c r="G680" s="1" t="s">
        <v>371</v>
      </c>
      <c r="H680" s="2">
        <v>90</v>
      </c>
      <c r="I680" s="16">
        <v>91.18</v>
      </c>
      <c r="J680" s="1" t="s">
        <v>366</v>
      </c>
      <c r="K680" s="6">
        <f>Registro_Ordini[[#This Row],[Numero]]*Registro_Ordini[[#This Row],[Prezzo]]</f>
        <v>8206.2000000000007</v>
      </c>
      <c r="L680" s="10">
        <v>0.90610000000000002</v>
      </c>
      <c r="M680" s="6">
        <f>Registro_Ordini[[#This Row],[Importo]]*Registro_Ordini[[#This Row],[Cambio]]</f>
        <v>7435.6378200000008</v>
      </c>
      <c r="N680" s="1">
        <f ca="1">IFERROR(_xlfn.NUMBERVALUE(OFFSET(Origine,MATCH(Registro_Ordini[[#This Row],[Titolo]],Descrizioni,0),MATCH("Price",Intestazioni,0)-1,1,1)),"")</f>
        <v>137.36000000000001</v>
      </c>
      <c r="O680" s="18">
        <f ca="1">IF(OR(Registro_Ordini[[#This Row],[Price]]=0,Registro_Ordini[[#This Row],[Price]]=""),"",IF(Registro_Ordini[[#This Row],[Tipo]]="Sell",Registro_Ordini[[#This Row],[Prezzo]]/Registro_Ordini[[#This Row],[Price]]-1,Registro_Ordini[[#This Row],[Price]]/Registro_Ordini[[#This Row],[Prezzo]]-1))</f>
        <v>0.50647071726255755</v>
      </c>
      <c r="P680" s="15">
        <v>1.2381645050148493E-2</v>
      </c>
      <c r="Q680" s="3">
        <v>0.20955049057926534</v>
      </c>
      <c r="R680" s="3">
        <v>0.28215589419167036</v>
      </c>
      <c r="S680" s="3">
        <v>0.39549995450761299</v>
      </c>
      <c r="T680" s="3">
        <v>0</v>
      </c>
      <c r="U680" s="3">
        <v>0.11279366072145144</v>
      </c>
      <c r="V680" s="3"/>
      <c r="W680" s="4"/>
    </row>
    <row r="681" spans="1:23" s="1" customFormat="1" ht="24.95" customHeight="1" x14ac:dyDescent="0.2">
      <c r="A681" s="8">
        <v>45756.755277777775</v>
      </c>
      <c r="B681" s="7">
        <v>45756.755277777775</v>
      </c>
      <c r="C681" s="9" t="s">
        <v>78</v>
      </c>
      <c r="D681" s="1" t="s">
        <v>388</v>
      </c>
      <c r="E681" s="1" t="s">
        <v>389</v>
      </c>
      <c r="F681" s="1" t="s">
        <v>414</v>
      </c>
      <c r="G681" s="1" t="s">
        <v>371</v>
      </c>
      <c r="H681" s="2">
        <v>100</v>
      </c>
      <c r="I681" s="16">
        <v>91.18</v>
      </c>
      <c r="J681" s="1" t="s">
        <v>366</v>
      </c>
      <c r="K681" s="6">
        <f>Registro_Ordini[[#This Row],[Numero]]*Registro_Ordini[[#This Row],[Prezzo]]</f>
        <v>9118</v>
      </c>
      <c r="L681" s="10">
        <v>0.84045000000000003</v>
      </c>
      <c r="M681" s="6">
        <f>Registro_Ordini[[#This Row],[Importo]]*Registro_Ordini[[#This Row],[Cambio]]</f>
        <v>7663.2231000000002</v>
      </c>
      <c r="N681" s="1">
        <f ca="1">IFERROR(_xlfn.NUMBERVALUE(OFFSET(Origine,MATCH(Registro_Ordini[[#This Row],[Titolo]],Descrizioni,0),MATCH("Price",Intestazioni,0)-1,1,1)),"")</f>
        <v>137.36000000000001</v>
      </c>
      <c r="O681" s="18">
        <f ca="1">IF(OR(Registro_Ordini[[#This Row],[Price]]=0,Registro_Ordini[[#This Row],[Price]]=""),"",IF(Registro_Ordini[[#This Row],[Tipo]]="Sell",Registro_Ordini[[#This Row],[Prezzo]]/Registro_Ordini[[#This Row],[Price]]-1,Registro_Ordini[[#This Row],[Price]]/Registro_Ordini[[#This Row],[Prezzo]]-1))</f>
        <v>0.50647071726255755</v>
      </c>
      <c r="P681" s="15">
        <v>1.5617243932100287E-2</v>
      </c>
      <c r="Q681" s="3">
        <v>0.32150711160797868</v>
      </c>
      <c r="R681" s="3">
        <v>0.14042773952715645</v>
      </c>
      <c r="S681" s="3">
        <v>0.47306277770414729</v>
      </c>
      <c r="T681" s="3">
        <v>0</v>
      </c>
      <c r="U681" s="3">
        <v>6.5002371160717498E-2</v>
      </c>
      <c r="V681" s="3"/>
      <c r="W681" s="4"/>
    </row>
    <row r="682" spans="1:23" s="1" customFormat="1" ht="24.95" customHeight="1" x14ac:dyDescent="0.2">
      <c r="A682" s="8">
        <v>45756.75508101852</v>
      </c>
      <c r="B682" s="7">
        <v>45756.75508101852</v>
      </c>
      <c r="C682" s="9" t="s">
        <v>367</v>
      </c>
      <c r="D682" s="1" t="s">
        <v>388</v>
      </c>
      <c r="E682" s="1" t="s">
        <v>389</v>
      </c>
      <c r="F682" s="1" t="s">
        <v>414</v>
      </c>
      <c r="G682" s="1" t="s">
        <v>371</v>
      </c>
      <c r="H682" s="2">
        <v>400</v>
      </c>
      <c r="I682" s="16">
        <v>91.18</v>
      </c>
      <c r="J682" s="1" t="s">
        <v>366</v>
      </c>
      <c r="K682" s="6">
        <f>Registro_Ordini[[#This Row],[Numero]]*Registro_Ordini[[#This Row],[Prezzo]]</f>
        <v>36472</v>
      </c>
      <c r="L682" s="10">
        <v>0.84045000000000003</v>
      </c>
      <c r="M682" s="6">
        <f>Registro_Ordini[[#This Row],[Importo]]*Registro_Ordini[[#This Row],[Cambio]]</f>
        <v>30652.892400000001</v>
      </c>
      <c r="N682" s="1">
        <f ca="1">IFERROR(_xlfn.NUMBERVALUE(OFFSET(Origine,MATCH(Registro_Ordini[[#This Row],[Titolo]],Descrizioni,0),MATCH("Price",Intestazioni,0)-1,1,1)),"")</f>
        <v>137.36000000000001</v>
      </c>
      <c r="O682" s="18">
        <f ca="1">IF(OR(Registro_Ordini[[#This Row],[Price]]=0,Registro_Ordini[[#This Row],[Price]]=""),"",IF(Registro_Ordini[[#This Row],[Tipo]]="Sell",Registro_Ordini[[#This Row],[Prezzo]]/Registro_Ordini[[#This Row],[Price]]-1,Registro_Ordini[[#This Row],[Price]]/Registro_Ordini[[#This Row],[Prezzo]]-1))</f>
        <v>0.50647071726255755</v>
      </c>
      <c r="P682" s="15">
        <v>9.6019307098813619E-3</v>
      </c>
      <c r="Q682" s="3">
        <v>0.14134565247778116</v>
      </c>
      <c r="R682" s="3">
        <v>0.43652890105393449</v>
      </c>
      <c r="S682" s="3">
        <v>0.36595480522454354</v>
      </c>
      <c r="T682" s="3">
        <v>0</v>
      </c>
      <c r="U682" s="3">
        <v>5.6170641243740875E-2</v>
      </c>
      <c r="V682" s="3"/>
      <c r="W682" s="4"/>
    </row>
    <row r="683" spans="1:23" s="1" customFormat="1" ht="24.95" customHeight="1" x14ac:dyDescent="0.2">
      <c r="A683" s="8">
        <v>45756.755069444444</v>
      </c>
      <c r="B683" s="7">
        <v>45756.755069444444</v>
      </c>
      <c r="C683" s="9" t="s">
        <v>375</v>
      </c>
      <c r="D683" s="1" t="s">
        <v>388</v>
      </c>
      <c r="E683" s="1" t="s">
        <v>389</v>
      </c>
      <c r="F683" s="1" t="s">
        <v>414</v>
      </c>
      <c r="G683" s="1" t="s">
        <v>371</v>
      </c>
      <c r="H683" s="2">
        <v>100</v>
      </c>
      <c r="I683" s="16">
        <v>91.18</v>
      </c>
      <c r="J683" s="1" t="s">
        <v>366</v>
      </c>
      <c r="K683" s="6">
        <f>Registro_Ordini[[#This Row],[Numero]]*Registro_Ordini[[#This Row],[Prezzo]]</f>
        <v>9118</v>
      </c>
      <c r="L683" s="10">
        <v>0.84045000000000003</v>
      </c>
      <c r="M683" s="6">
        <f>Registro_Ordini[[#This Row],[Importo]]*Registro_Ordini[[#This Row],[Cambio]]</f>
        <v>7663.2231000000002</v>
      </c>
      <c r="N683" s="1">
        <f ca="1">IFERROR(_xlfn.NUMBERVALUE(OFFSET(Origine,MATCH(Registro_Ordini[[#This Row],[Titolo]],Descrizioni,0),MATCH("Price",Intestazioni,0)-1,1,1)),"")</f>
        <v>137.36000000000001</v>
      </c>
      <c r="O683" s="18">
        <f ca="1">IF(OR(Registro_Ordini[[#This Row],[Price]]=0,Registro_Ordini[[#This Row],[Price]]=""),"",IF(Registro_Ordini[[#This Row],[Tipo]]="Sell",Registro_Ordini[[#This Row],[Prezzo]]/Registro_Ordini[[#This Row],[Price]]-1,Registro_Ordini[[#This Row],[Price]]/Registro_Ordini[[#This Row],[Prezzo]]-1))</f>
        <v>0.50647071726255755</v>
      </c>
      <c r="P683" s="15">
        <v>1.0045109313960099E-2</v>
      </c>
      <c r="Q683" s="3">
        <v>0.19661490145980928</v>
      </c>
      <c r="R683" s="3">
        <v>0.37257575033971535</v>
      </c>
      <c r="S683" s="3">
        <v>0.32205318663559074</v>
      </c>
      <c r="T683" s="3">
        <v>0</v>
      </c>
      <c r="U683" s="3">
        <v>0.10875616156488475</v>
      </c>
      <c r="V683" s="3"/>
      <c r="W683" s="4"/>
    </row>
    <row r="684" spans="1:23" s="1" customFormat="1" ht="24.95" customHeight="1" x14ac:dyDescent="0.2">
      <c r="A684" s="8">
        <v>45756.755057870374</v>
      </c>
      <c r="B684" s="7">
        <v>45756.755057870374</v>
      </c>
      <c r="C684" s="9" t="s">
        <v>377</v>
      </c>
      <c r="D684" s="1" t="s">
        <v>388</v>
      </c>
      <c r="E684" s="1" t="s">
        <v>389</v>
      </c>
      <c r="F684" s="1" t="s">
        <v>414</v>
      </c>
      <c r="G684" s="1" t="s">
        <v>371</v>
      </c>
      <c r="H684" s="2">
        <v>200</v>
      </c>
      <c r="I684" s="16">
        <v>91.18</v>
      </c>
      <c r="J684" s="1" t="s">
        <v>366</v>
      </c>
      <c r="K684" s="6">
        <f>Registro_Ordini[[#This Row],[Numero]]*Registro_Ordini[[#This Row],[Prezzo]]</f>
        <v>18236</v>
      </c>
      <c r="L684" s="10">
        <v>0.84045000000000003</v>
      </c>
      <c r="M684" s="6">
        <f>Registro_Ordini[[#This Row],[Importo]]*Registro_Ordini[[#This Row],[Cambio]]</f>
        <v>15326.4462</v>
      </c>
      <c r="N684" s="1">
        <f ca="1">IFERROR(_xlfn.NUMBERVALUE(OFFSET(Origine,MATCH(Registro_Ordini[[#This Row],[Titolo]],Descrizioni,0),MATCH("Price",Intestazioni,0)-1,1,1)),"")</f>
        <v>137.36000000000001</v>
      </c>
      <c r="O684" s="18">
        <f ca="1">IF(OR(Registro_Ordini[[#This Row],[Price]]=0,Registro_Ordini[[#This Row],[Price]]=""),"",IF(Registro_Ordini[[#This Row],[Tipo]]="Sell",Registro_Ordini[[#This Row],[Prezzo]]/Registro_Ordini[[#This Row],[Price]]-1,Registro_Ordini[[#This Row],[Price]]/Registro_Ordini[[#This Row],[Prezzo]]-1))</f>
        <v>0.50647071726255755</v>
      </c>
      <c r="P684" s="15">
        <v>1.0323104896974978E-2</v>
      </c>
      <c r="Q684" s="3">
        <v>0.17078968301050426</v>
      </c>
      <c r="R684" s="3">
        <v>0.34816601218454551</v>
      </c>
      <c r="S684" s="3">
        <v>0.37011354721464312</v>
      </c>
      <c r="T684" s="3">
        <v>0</v>
      </c>
      <c r="U684" s="3">
        <v>0.11093075759030695</v>
      </c>
      <c r="V684" s="3"/>
      <c r="W684" s="4"/>
    </row>
    <row r="685" spans="1:23" s="1" customFormat="1" ht="24.95" customHeight="1" x14ac:dyDescent="0.2">
      <c r="A685" s="8">
        <v>45756.755046296297</v>
      </c>
      <c r="B685" s="7">
        <v>45756.755046296297</v>
      </c>
      <c r="C685" s="9" t="s">
        <v>378</v>
      </c>
      <c r="D685" s="1" t="s">
        <v>388</v>
      </c>
      <c r="E685" s="1" t="s">
        <v>389</v>
      </c>
      <c r="F685" s="1" t="s">
        <v>414</v>
      </c>
      <c r="G685" s="1" t="s">
        <v>371</v>
      </c>
      <c r="H685" s="2">
        <v>60</v>
      </c>
      <c r="I685" s="16">
        <v>91.18</v>
      </c>
      <c r="J685" s="1" t="s">
        <v>366</v>
      </c>
      <c r="K685" s="6">
        <f>Registro_Ordini[[#This Row],[Numero]]*Registro_Ordini[[#This Row],[Prezzo]]</f>
        <v>5470.8</v>
      </c>
      <c r="L685" s="10">
        <v>0.84045000000000003</v>
      </c>
      <c r="M685" s="6">
        <f>Registro_Ordini[[#This Row],[Importo]]*Registro_Ordini[[#This Row],[Cambio]]</f>
        <v>4597.9338600000001</v>
      </c>
      <c r="N685" s="1">
        <f ca="1">IFERROR(_xlfn.NUMBERVALUE(OFFSET(Origine,MATCH(Registro_Ordini[[#This Row],[Titolo]],Descrizioni,0),MATCH("Price",Intestazioni,0)-1,1,1)),"")</f>
        <v>137.36000000000001</v>
      </c>
      <c r="O685" s="18">
        <f ca="1">IF(OR(Registro_Ordini[[#This Row],[Price]]=0,Registro_Ordini[[#This Row],[Price]]=""),"",IF(Registro_Ordini[[#This Row],[Tipo]]="Sell",Registro_Ordini[[#This Row],[Prezzo]]/Registro_Ordini[[#This Row],[Price]]-1,Registro_Ordini[[#This Row],[Price]]/Registro_Ordini[[#This Row],[Prezzo]]-1))</f>
        <v>0.50647071726255755</v>
      </c>
      <c r="P685" s="15">
        <v>9.5331936070803328E-3</v>
      </c>
      <c r="Q685" s="3">
        <v>0.18464996394831995</v>
      </c>
      <c r="R685" s="3">
        <v>0.35540386584778044</v>
      </c>
      <c r="S685" s="3">
        <v>0.35527110013413826</v>
      </c>
      <c r="T685" s="3">
        <v>0</v>
      </c>
      <c r="U685" s="3">
        <v>0.10467507006976137</v>
      </c>
      <c r="V685" s="3"/>
      <c r="W685" s="4"/>
    </row>
    <row r="686" spans="1:23" s="1" customFormat="1" ht="24.95" customHeight="1" x14ac:dyDescent="0.2">
      <c r="A686" s="8">
        <v>45756.674259259256</v>
      </c>
      <c r="B686" s="7">
        <v>45756.674259259256</v>
      </c>
      <c r="C686" s="9" t="s">
        <v>367</v>
      </c>
      <c r="D686" s="1" t="s">
        <v>388</v>
      </c>
      <c r="E686" s="1" t="s">
        <v>397</v>
      </c>
      <c r="F686" s="1" t="s">
        <v>442</v>
      </c>
      <c r="G686" s="1" t="s">
        <v>371</v>
      </c>
      <c r="H686" s="2">
        <v>850</v>
      </c>
      <c r="I686" s="16">
        <v>39.35</v>
      </c>
      <c r="J686" s="1" t="s">
        <v>369</v>
      </c>
      <c r="K686" s="6">
        <f>Registro_Ordini[[#This Row],[Numero]]*Registro_Ordini[[#This Row],[Prezzo]]</f>
        <v>33447.5</v>
      </c>
      <c r="L686" s="10">
        <v>1.0000001199999999</v>
      </c>
      <c r="M686" s="6">
        <f>Registro_Ordini[[#This Row],[Importo]]*Registro_Ordini[[#This Row],[Cambio]]</f>
        <v>33447.504013699996</v>
      </c>
      <c r="N686" s="1">
        <f ca="1">IFERROR(_xlfn.NUMBERVALUE(OFFSET(Origine,MATCH(Registro_Ordini[[#This Row],[Titolo]],Descrizioni,0),MATCH("Price",Intestazioni,0)-1,1,1)),"")</f>
        <v>67.2</v>
      </c>
      <c r="O686" s="18">
        <f ca="1">IF(OR(Registro_Ordini[[#This Row],[Price]]=0,Registro_Ordini[[#This Row],[Price]]=""),"",IF(Registro_Ordini[[#This Row],[Tipo]]="Sell",Registro_Ordini[[#This Row],[Prezzo]]/Registro_Ordini[[#This Row],[Price]]-1,Registro_Ordini[[#This Row],[Price]]/Registro_Ordini[[#This Row],[Prezzo]]-1))</f>
        <v>0.70775095298602286</v>
      </c>
      <c r="P686" s="15">
        <v>1.0469209448850153E-2</v>
      </c>
      <c r="Q686" s="3">
        <v>0.15056632973240464</v>
      </c>
      <c r="R686" s="3">
        <v>0.435985348109106</v>
      </c>
      <c r="S686" s="3">
        <v>0.35732124214805683</v>
      </c>
      <c r="T686" s="3">
        <v>0</v>
      </c>
      <c r="U686" s="3">
        <v>5.6127080010432512E-2</v>
      </c>
      <c r="V686" s="3"/>
      <c r="W686" s="4"/>
    </row>
    <row r="687" spans="1:23" s="1" customFormat="1" ht="24.95" customHeight="1" x14ac:dyDescent="0.2">
      <c r="A687" s="8">
        <v>45756.665543981479</v>
      </c>
      <c r="B687" s="7">
        <v>45756.665543981479</v>
      </c>
      <c r="C687" s="9" t="s">
        <v>367</v>
      </c>
      <c r="D687" s="1" t="s">
        <v>388</v>
      </c>
      <c r="E687" s="1" t="s">
        <v>397</v>
      </c>
      <c r="F687" s="1" t="s">
        <v>443</v>
      </c>
      <c r="G687" s="1" t="s">
        <v>371</v>
      </c>
      <c r="H687" s="2">
        <v>450</v>
      </c>
      <c r="I687" s="16">
        <v>82.8</v>
      </c>
      <c r="J687" s="1" t="s">
        <v>369</v>
      </c>
      <c r="K687" s="6">
        <f>Registro_Ordini[[#This Row],[Numero]]*Registro_Ordini[[#This Row],[Prezzo]]</f>
        <v>37260</v>
      </c>
      <c r="L687" s="10">
        <v>1.0000001199999999</v>
      </c>
      <c r="M687" s="6">
        <f>Registro_Ordini[[#This Row],[Importo]]*Registro_Ordini[[#This Row],[Cambio]]</f>
        <v>37260.004471199994</v>
      </c>
      <c r="N687" s="1">
        <f ca="1">IFERROR(_xlfn.NUMBERVALUE(OFFSET(Origine,MATCH(Registro_Ordini[[#This Row],[Titolo]],Descrizioni,0),MATCH("Price",Intestazioni,0)-1,1,1)),"")</f>
        <v>126.4</v>
      </c>
      <c r="O687" s="18">
        <f ca="1">IF(OR(Registro_Ordini[[#This Row],[Price]]=0,Registro_Ordini[[#This Row],[Price]]=""),"",IF(Registro_Ordini[[#This Row],[Tipo]]="Sell",Registro_Ordini[[#This Row],[Prezzo]]/Registro_Ordini[[#This Row],[Price]]-1,Registro_Ordini[[#This Row],[Price]]/Registro_Ordini[[#This Row],[Prezzo]]-1))</f>
        <v>0.52657004830917886</v>
      </c>
      <c r="P687" s="15">
        <v>1.1667106010175895E-2</v>
      </c>
      <c r="Q687" s="3">
        <v>0.16124652434049111</v>
      </c>
      <c r="R687" s="3">
        <v>0.43612323273434017</v>
      </c>
      <c r="S687" s="3">
        <v>0.3464811795489583</v>
      </c>
      <c r="T687" s="3">
        <v>0</v>
      </c>
      <c r="U687" s="3">
        <v>5.6149063376210485E-2</v>
      </c>
      <c r="V687" s="3"/>
      <c r="W687" s="4"/>
    </row>
    <row r="688" spans="1:23" s="1" customFormat="1" ht="24.95" customHeight="1" x14ac:dyDescent="0.2">
      <c r="A688" s="8">
        <v>45754.435057870367</v>
      </c>
      <c r="B688" s="7">
        <v>45754.435057870367</v>
      </c>
      <c r="C688" s="9" t="s">
        <v>413</v>
      </c>
      <c r="D688" s="1" t="s">
        <v>368</v>
      </c>
      <c r="E688" s="1" t="s">
        <v>363</v>
      </c>
      <c r="F688" s="19" t="s">
        <v>446</v>
      </c>
      <c r="G688" s="1" t="s">
        <v>365</v>
      </c>
      <c r="H688" s="2">
        <v>-100000</v>
      </c>
      <c r="I688" s="16">
        <v>1.0188999999999999</v>
      </c>
      <c r="J688" s="1" t="s">
        <v>369</v>
      </c>
      <c r="K688" s="6">
        <f>Registro_Ordini[[#This Row],[Numero]]*Registro_Ordini[[#This Row],[Prezzo]]</f>
        <v>-101889.99999999999</v>
      </c>
      <c r="L688" s="10">
        <v>1.00000011</v>
      </c>
      <c r="M688" s="6">
        <f>Registro_Ordini[[#This Row],[Importo]]*Registro_Ordini[[#This Row],[Cambio]]</f>
        <v>-101890.01120789998</v>
      </c>
      <c r="N688" s="1">
        <f ca="1">IFERROR(_xlfn.NUMBERVALUE(OFFSET(Origine,MATCH(Registro_Ordini[[#This Row],[Titolo]],Descrizioni,0),MATCH("Price",Intestazioni,0)-1,1,1)),"")</f>
        <v>1.01636388889</v>
      </c>
      <c r="O688" s="18">
        <f ca="1">IF(OR(Registro_Ordini[[#This Row],[Price]]=0,Registro_Ordini[[#This Row],[Price]]=""),"",IF(Registro_Ordini[[#This Row],[Tipo]]="Sell",Registro_Ordini[[#This Row],[Prezzo]]/Registro_Ordini[[#This Row],[Price]]-1,Registro_Ordini[[#This Row],[Price]]/Registro_Ordini[[#This Row],[Prezzo]]-1))</f>
        <v>2.4952786474632394E-3</v>
      </c>
      <c r="P688" s="15">
        <v>-2.1575655419615109E-2</v>
      </c>
      <c r="Q688" s="3">
        <v>0.13469856060428462</v>
      </c>
      <c r="R688" s="3">
        <v>0.20342623631253698</v>
      </c>
      <c r="S688" s="3">
        <v>0.2419632911069069</v>
      </c>
      <c r="T688" s="3">
        <v>0</v>
      </c>
      <c r="U688" s="3">
        <v>0.41991191197627153</v>
      </c>
      <c r="V688" s="3">
        <v>0</v>
      </c>
      <c r="W688" s="5"/>
    </row>
    <row r="689" spans="1:23" s="1" customFormat="1" ht="24.95" customHeight="1" x14ac:dyDescent="0.2">
      <c r="A689" s="8">
        <v>45747.707569444443</v>
      </c>
      <c r="B689" s="7">
        <v>45747.707569444443</v>
      </c>
      <c r="C689" s="9" t="s">
        <v>379</v>
      </c>
      <c r="D689" s="1" t="s">
        <v>388</v>
      </c>
      <c r="E689" s="1" t="s">
        <v>403</v>
      </c>
      <c r="F689" s="1" t="s">
        <v>447</v>
      </c>
      <c r="G689" s="1" t="s">
        <v>365</v>
      </c>
      <c r="H689" s="2">
        <v>-50</v>
      </c>
      <c r="I689" s="16">
        <v>175.98722000000001</v>
      </c>
      <c r="J689" s="1" t="s">
        <v>381</v>
      </c>
      <c r="K689" s="6">
        <f>Registro_Ordini[[#This Row],[Numero]]*Registro_Ordini[[#This Row],[Prezzo]]</f>
        <v>-8799.3610000000008</v>
      </c>
      <c r="L689" s="10">
        <v>1</v>
      </c>
      <c r="M689" s="6">
        <f>Registro_Ordini[[#This Row],[Importo]]*Registro_Ordini[[#This Row],[Cambio]]</f>
        <v>-8799.3610000000008</v>
      </c>
      <c r="N689" s="1">
        <f ca="1">IFERROR(_xlfn.NUMBERVALUE(OFFSET(Origine,MATCH(Registro_Ordini[[#This Row],[Titolo]],Descrizioni,0),MATCH("Price",Intestazioni,0)-1,1,1)),"")</f>
        <v>175.68</v>
      </c>
      <c r="O689" s="18">
        <f ca="1">IF(OR(Registro_Ordini[[#This Row],[Price]]=0,Registro_Ordini[[#This Row],[Price]]=""),"",IF(Registro_Ordini[[#This Row],[Tipo]]="Sell",Registro_Ordini[[#This Row],[Prezzo]]/Registro_Ordini[[#This Row],[Price]]-1,Registro_Ordini[[#This Row],[Price]]/Registro_Ordini[[#This Row],[Prezzo]]-1))</f>
        <v>1.7487477231330484E-3</v>
      </c>
      <c r="P689" s="15">
        <v>-1.5365029266024592E-2</v>
      </c>
      <c r="Q689" s="3">
        <v>0.20373264133447611</v>
      </c>
      <c r="R689" s="3">
        <v>0.28387892405540938</v>
      </c>
      <c r="S689" s="3">
        <v>0.39944322434606794</v>
      </c>
      <c r="T689" s="3">
        <v>0</v>
      </c>
      <c r="U689" s="3">
        <v>0.11294521026404651</v>
      </c>
      <c r="V689" s="3"/>
      <c r="W689" s="4"/>
    </row>
    <row r="690" spans="1:23" s="1" customFormat="1" ht="24.95" customHeight="1" x14ac:dyDescent="0.2">
      <c r="A690" s="8">
        <v>45747.707557870373</v>
      </c>
      <c r="B690" s="7">
        <v>45747.707557870373</v>
      </c>
      <c r="C690" s="9" t="s">
        <v>382</v>
      </c>
      <c r="D690" s="1" t="s">
        <v>388</v>
      </c>
      <c r="E690" s="1" t="s">
        <v>403</v>
      </c>
      <c r="F690" s="1" t="s">
        <v>447</v>
      </c>
      <c r="G690" s="1" t="s">
        <v>365</v>
      </c>
      <c r="H690" s="2">
        <v>-100</v>
      </c>
      <c r="I690" s="16">
        <v>175.98722000000001</v>
      </c>
      <c r="J690" s="1" t="s">
        <v>381</v>
      </c>
      <c r="K690" s="6">
        <f>Registro_Ordini[[#This Row],[Numero]]*Registro_Ordini[[#This Row],[Prezzo]]</f>
        <v>-17598.722000000002</v>
      </c>
      <c r="L690" s="10">
        <v>1</v>
      </c>
      <c r="M690" s="6">
        <f>Registro_Ordini[[#This Row],[Importo]]*Registro_Ordini[[#This Row],[Cambio]]</f>
        <v>-17598.722000000002</v>
      </c>
      <c r="N690" s="1">
        <f ca="1">IFERROR(_xlfn.NUMBERVALUE(OFFSET(Origine,MATCH(Registro_Ordini[[#This Row],[Titolo]],Descrizioni,0),MATCH("Price",Intestazioni,0)-1,1,1)),"")</f>
        <v>175.68</v>
      </c>
      <c r="O690" s="18">
        <f ca="1">IF(OR(Registro_Ordini[[#This Row],[Price]]=0,Registro_Ordini[[#This Row],[Price]]=""),"",IF(Registro_Ordini[[#This Row],[Tipo]]="Sell",Registro_Ordini[[#This Row],[Prezzo]]/Registro_Ordini[[#This Row],[Price]]-1,Registro_Ordini[[#This Row],[Price]]/Registro_Ordini[[#This Row],[Prezzo]]-1))</f>
        <v>1.7487477231330484E-3</v>
      </c>
      <c r="P690" s="15">
        <v>-1.6550570886862331E-2</v>
      </c>
      <c r="Q690" s="3">
        <v>0.19797655286970539</v>
      </c>
      <c r="R690" s="3">
        <v>0.2741250786490228</v>
      </c>
      <c r="S690" s="3">
        <v>0.41556506237340923</v>
      </c>
      <c r="T690" s="3">
        <v>0</v>
      </c>
      <c r="U690" s="3">
        <v>0.11233330610786268</v>
      </c>
      <c r="V690" s="3"/>
      <c r="W690" s="4"/>
    </row>
    <row r="691" spans="1:23" s="1" customFormat="1" ht="24.95" customHeight="1" x14ac:dyDescent="0.2">
      <c r="A691" s="8">
        <v>45747.707546296297</v>
      </c>
      <c r="B691" s="7">
        <v>45747.707546296297</v>
      </c>
      <c r="C691" s="9" t="s">
        <v>383</v>
      </c>
      <c r="D691" s="1" t="s">
        <v>388</v>
      </c>
      <c r="E691" s="1" t="s">
        <v>403</v>
      </c>
      <c r="F691" s="1" t="s">
        <v>447</v>
      </c>
      <c r="G691" s="1" t="s">
        <v>365</v>
      </c>
      <c r="H691" s="2">
        <v>-55</v>
      </c>
      <c r="I691" s="16">
        <v>175.98722000000001</v>
      </c>
      <c r="J691" s="1" t="s">
        <v>381</v>
      </c>
      <c r="K691" s="6">
        <f>Registro_Ordini[[#This Row],[Numero]]*Registro_Ordini[[#This Row],[Prezzo]]</f>
        <v>-9679.2970999999998</v>
      </c>
      <c r="L691" s="10">
        <v>1</v>
      </c>
      <c r="M691" s="6">
        <f>Registro_Ordini[[#This Row],[Importo]]*Registro_Ordini[[#This Row],[Cambio]]</f>
        <v>-9679.2970999999998</v>
      </c>
      <c r="N691" s="1">
        <f ca="1">IFERROR(_xlfn.NUMBERVALUE(OFFSET(Origine,MATCH(Registro_Ordini[[#This Row],[Titolo]],Descrizioni,0),MATCH("Price",Intestazioni,0)-1,1,1)),"")</f>
        <v>175.68</v>
      </c>
      <c r="O691" s="18">
        <f ca="1">IF(OR(Registro_Ordini[[#This Row],[Price]]=0,Registro_Ordini[[#This Row],[Price]]=""),"",IF(Registro_Ordini[[#This Row],[Tipo]]="Sell",Registro_Ordini[[#This Row],[Prezzo]]/Registro_Ordini[[#This Row],[Price]]-1,Registro_Ordini[[#This Row],[Price]]/Registro_Ordini[[#This Row],[Prezzo]]-1))</f>
        <v>1.7487477231330484E-3</v>
      </c>
      <c r="P691" s="15">
        <v>-1.5377811767549996E-2</v>
      </c>
      <c r="Q691" s="3">
        <v>0.21179538980227128</v>
      </c>
      <c r="R691" s="3">
        <v>0.26961302742365023</v>
      </c>
      <c r="S691" s="3">
        <v>0.40791565179466227</v>
      </c>
      <c r="T691" s="3">
        <v>0</v>
      </c>
      <c r="U691" s="3">
        <v>0.11067593097941623</v>
      </c>
      <c r="V691" s="3"/>
      <c r="W691" s="4"/>
    </row>
    <row r="692" spans="1:23" s="1" customFormat="1" ht="24.95" customHeight="1" x14ac:dyDescent="0.2">
      <c r="A692" s="8">
        <v>45747.697418981479</v>
      </c>
      <c r="B692" s="7">
        <v>45747.697418981479</v>
      </c>
      <c r="C692" s="9" t="s">
        <v>78</v>
      </c>
      <c r="D692" s="1" t="s">
        <v>388</v>
      </c>
      <c r="E692" s="1" t="s">
        <v>397</v>
      </c>
      <c r="F692" s="1" t="s">
        <v>442</v>
      </c>
      <c r="G692" s="1" t="s">
        <v>365</v>
      </c>
      <c r="H692" s="2">
        <v>-225</v>
      </c>
      <c r="I692" s="16">
        <v>45.1905</v>
      </c>
      <c r="J692" s="1" t="s">
        <v>369</v>
      </c>
      <c r="K692" s="6">
        <f>Registro_Ordini[[#This Row],[Numero]]*Registro_Ordini[[#This Row],[Prezzo]]</f>
        <v>-10167.862499999999</v>
      </c>
      <c r="L692" s="10">
        <v>1.0000001000000001</v>
      </c>
      <c r="M692" s="6">
        <f>Registro_Ordini[[#This Row],[Importo]]*Registro_Ordini[[#This Row],[Cambio]]</f>
        <v>-10167.86351678625</v>
      </c>
      <c r="N692" s="1">
        <f ca="1">IFERROR(_xlfn.NUMBERVALUE(OFFSET(Origine,MATCH(Registro_Ordini[[#This Row],[Titolo]],Descrizioni,0),MATCH("Price",Intestazioni,0)-1,1,1)),"")</f>
        <v>67.2</v>
      </c>
      <c r="O692" s="18">
        <f ca="1">IF(OR(Registro_Ordini[[#This Row],[Price]]=0,Registro_Ordini[[#This Row],[Price]]=""),"",IF(Registro_Ordini[[#This Row],[Tipo]]="Sell",Registro_Ordini[[#This Row],[Prezzo]]/Registro_Ordini[[#This Row],[Price]]-1,Registro_Ordini[[#This Row],[Price]]/Registro_Ordini[[#This Row],[Prezzo]]-1))</f>
        <v>-0.32752232142857141</v>
      </c>
      <c r="P692" s="15">
        <v>-1.9247215479498009E-2</v>
      </c>
      <c r="Q692" s="3">
        <v>0.31565444524780761</v>
      </c>
      <c r="R692" s="3">
        <v>0.13128656375702749</v>
      </c>
      <c r="S692" s="3">
        <v>0.49164803420991376</v>
      </c>
      <c r="T692" s="3">
        <v>0</v>
      </c>
      <c r="U692" s="3">
        <v>6.1410956785251027E-2</v>
      </c>
      <c r="V692" s="3"/>
      <c r="W692" s="4"/>
    </row>
    <row r="693" spans="1:23" s="1" customFormat="1" ht="24.95" customHeight="1" x14ac:dyDescent="0.2">
      <c r="A693" s="8">
        <v>45747.697210648148</v>
      </c>
      <c r="B693" s="7">
        <v>45747.697210648148</v>
      </c>
      <c r="C693" s="9" t="s">
        <v>375</v>
      </c>
      <c r="D693" s="1" t="s">
        <v>388</v>
      </c>
      <c r="E693" s="1" t="s">
        <v>397</v>
      </c>
      <c r="F693" s="1" t="s">
        <v>442</v>
      </c>
      <c r="G693" s="1" t="s">
        <v>365</v>
      </c>
      <c r="H693" s="2">
        <v>-320</v>
      </c>
      <c r="I693" s="16">
        <v>45.1905</v>
      </c>
      <c r="J693" s="1" t="s">
        <v>369</v>
      </c>
      <c r="K693" s="6">
        <f>Registro_Ordini[[#This Row],[Numero]]*Registro_Ordini[[#This Row],[Prezzo]]</f>
        <v>-14460.96</v>
      </c>
      <c r="L693" s="10">
        <v>1.0000001000000001</v>
      </c>
      <c r="M693" s="6">
        <f>Registro_Ordini[[#This Row],[Importo]]*Registro_Ordini[[#This Row],[Cambio]]</f>
        <v>-14460.961446096</v>
      </c>
      <c r="N693" s="1">
        <f ca="1">IFERROR(_xlfn.NUMBERVALUE(OFFSET(Origine,MATCH(Registro_Ordini[[#This Row],[Titolo]],Descrizioni,0),MATCH("Price",Intestazioni,0)-1,1,1)),"")</f>
        <v>67.2</v>
      </c>
      <c r="O693" s="18">
        <f ca="1">IF(OR(Registro_Ordini[[#This Row],[Price]]=0,Registro_Ordini[[#This Row],[Price]]=""),"",IF(Registro_Ordini[[#This Row],[Tipo]]="Sell",Registro_Ordini[[#This Row],[Prezzo]]/Registro_Ordini[[#This Row],[Price]]-1,Registro_Ordini[[#This Row],[Price]]/Registro_Ordini[[#This Row],[Prezzo]]-1))</f>
        <v>-0.32752232142857141</v>
      </c>
      <c r="P693" s="15">
        <v>-1.7567167014758609E-2</v>
      </c>
      <c r="Q693" s="3">
        <v>0.19466429479391276</v>
      </c>
      <c r="R693" s="3">
        <v>0.34713680850256323</v>
      </c>
      <c r="S693" s="3">
        <v>0.35598165771849549</v>
      </c>
      <c r="T693" s="3">
        <v>0</v>
      </c>
      <c r="U693" s="3">
        <v>0.10221723898502853</v>
      </c>
      <c r="V693" s="3"/>
      <c r="W693" s="4"/>
    </row>
    <row r="694" spans="1:23" s="1" customFormat="1" ht="24.95" customHeight="1" x14ac:dyDescent="0.2">
      <c r="A694" s="8">
        <v>45747.697199074071</v>
      </c>
      <c r="B694" s="7">
        <v>45747.697199074071</v>
      </c>
      <c r="C694" s="9" t="s">
        <v>378</v>
      </c>
      <c r="D694" s="1" t="s">
        <v>388</v>
      </c>
      <c r="E694" s="1" t="s">
        <v>397</v>
      </c>
      <c r="F694" s="1" t="s">
        <v>442</v>
      </c>
      <c r="G694" s="1" t="s">
        <v>365</v>
      </c>
      <c r="H694" s="2">
        <v>-200</v>
      </c>
      <c r="I694" s="16">
        <v>45.1905</v>
      </c>
      <c r="J694" s="1" t="s">
        <v>369</v>
      </c>
      <c r="K694" s="6">
        <f>Registro_Ordini[[#This Row],[Numero]]*Registro_Ordini[[#This Row],[Prezzo]]</f>
        <v>-9038.1</v>
      </c>
      <c r="L694" s="10">
        <v>1.0000001000000001</v>
      </c>
      <c r="M694" s="6">
        <f>Registro_Ordini[[#This Row],[Importo]]*Registro_Ordini[[#This Row],[Cambio]]</f>
        <v>-9038.1009038100001</v>
      </c>
      <c r="N694" s="1">
        <f ca="1">IFERROR(_xlfn.NUMBERVALUE(OFFSET(Origine,MATCH(Registro_Ordini[[#This Row],[Titolo]],Descrizioni,0),MATCH("Price",Intestazioni,0)-1,1,1)),"")</f>
        <v>67.2</v>
      </c>
      <c r="O694" s="18">
        <f ca="1">IF(OR(Registro_Ordini[[#This Row],[Price]]=0,Registro_Ordini[[#This Row],[Price]]=""),"",IF(Registro_Ordini[[#This Row],[Tipo]]="Sell",Registro_Ordini[[#This Row],[Prezzo]]/Registro_Ordini[[#This Row],[Price]]-1,Registro_Ordini[[#This Row],[Price]]/Registro_Ordini[[#This Row],[Prezzo]]-1))</f>
        <v>-0.32752232142857141</v>
      </c>
      <c r="P694" s="15">
        <v>-1.7226953199626683E-2</v>
      </c>
      <c r="Q694" s="3">
        <v>0.18163532273212313</v>
      </c>
      <c r="R694" s="3">
        <v>0.32840276635440385</v>
      </c>
      <c r="S694" s="3">
        <v>0.39073317774565752</v>
      </c>
      <c r="T694" s="3">
        <v>0</v>
      </c>
      <c r="U694" s="3">
        <v>9.9228733167815525E-2</v>
      </c>
      <c r="V694" s="3"/>
      <c r="W694" s="4"/>
    </row>
    <row r="695" spans="1:23" s="1" customFormat="1" ht="24.95" customHeight="1" x14ac:dyDescent="0.2">
      <c r="A695" s="8">
        <v>45747.697199074071</v>
      </c>
      <c r="B695" s="7">
        <v>45747.697199074071</v>
      </c>
      <c r="C695" s="9" t="s">
        <v>377</v>
      </c>
      <c r="D695" s="1" t="s">
        <v>388</v>
      </c>
      <c r="E695" s="1" t="s">
        <v>397</v>
      </c>
      <c r="F695" s="1" t="s">
        <v>442</v>
      </c>
      <c r="G695" s="1" t="s">
        <v>365</v>
      </c>
      <c r="H695" s="2">
        <v>-640</v>
      </c>
      <c r="I695" s="16">
        <v>45.1905</v>
      </c>
      <c r="J695" s="1" t="s">
        <v>369</v>
      </c>
      <c r="K695" s="6">
        <f>Registro_Ordini[[#This Row],[Numero]]*Registro_Ordini[[#This Row],[Prezzo]]</f>
        <v>-28921.919999999998</v>
      </c>
      <c r="L695" s="10">
        <v>1.0000001000000001</v>
      </c>
      <c r="M695" s="6">
        <f>Registro_Ordini[[#This Row],[Importo]]*Registro_Ordini[[#This Row],[Cambio]]</f>
        <v>-28921.922892192</v>
      </c>
      <c r="N695" s="1">
        <f ca="1">IFERROR(_xlfn.NUMBERVALUE(OFFSET(Origine,MATCH(Registro_Ordini[[#This Row],[Titolo]],Descrizioni,0),MATCH("Price",Intestazioni,0)-1,1,1)),"")</f>
        <v>67.2</v>
      </c>
      <c r="O695" s="18">
        <f ca="1">IF(OR(Registro_Ordini[[#This Row],[Price]]=0,Registro_Ordini[[#This Row],[Price]]=""),"",IF(Registro_Ordini[[#This Row],[Tipo]]="Sell",Registro_Ordini[[#This Row],[Prezzo]]/Registro_Ordini[[#This Row],[Price]]-1,Registro_Ordini[[#This Row],[Price]]/Registro_Ordini[[#This Row],[Prezzo]]-1))</f>
        <v>-0.32752232142857141</v>
      </c>
      <c r="P695" s="15">
        <v>-1.7795722002288537E-2</v>
      </c>
      <c r="Q695" s="3">
        <v>0.16965938476029988</v>
      </c>
      <c r="R695" s="3">
        <v>0.31980382563666648</v>
      </c>
      <c r="S695" s="3">
        <v>0.40304595044326141</v>
      </c>
      <c r="T695" s="3">
        <v>0</v>
      </c>
      <c r="U695" s="3">
        <v>0.1074908391597722</v>
      </c>
      <c r="V695" s="3"/>
      <c r="W695" s="4"/>
    </row>
    <row r="696" spans="1:23" s="1" customFormat="1" ht="24.95" customHeight="1" x14ac:dyDescent="0.2">
      <c r="A696" s="8">
        <v>45747.696203703701</v>
      </c>
      <c r="B696" s="7">
        <v>45747.696203703701</v>
      </c>
      <c r="C696" s="9" t="s">
        <v>367</v>
      </c>
      <c r="D696" s="1" t="s">
        <v>388</v>
      </c>
      <c r="E696" s="1" t="s">
        <v>403</v>
      </c>
      <c r="F696" s="1" t="s">
        <v>447</v>
      </c>
      <c r="G696" s="1" t="s">
        <v>365</v>
      </c>
      <c r="H696" s="2">
        <v>-199</v>
      </c>
      <c r="I696" s="16">
        <v>175.92</v>
      </c>
      <c r="J696" s="1" t="s">
        <v>381</v>
      </c>
      <c r="K696" s="6">
        <f>Registro_Ordini[[#This Row],[Numero]]*Registro_Ordini[[#This Row],[Prezzo]]</f>
        <v>-35008.079999999994</v>
      </c>
      <c r="L696" s="10">
        <v>0.95415000000000005</v>
      </c>
      <c r="M696" s="6">
        <f>Registro_Ordini[[#This Row],[Importo]]*Registro_Ordini[[#This Row],[Cambio]]</f>
        <v>-33402.959531999993</v>
      </c>
      <c r="N696" s="1">
        <f ca="1">IFERROR(_xlfn.NUMBERVALUE(OFFSET(Origine,MATCH(Registro_Ordini[[#This Row],[Titolo]],Descrizioni,0),MATCH("Price",Intestazioni,0)-1,1,1)),"")</f>
        <v>175.68</v>
      </c>
      <c r="O696" s="18">
        <f ca="1">IF(OR(Registro_Ordini[[#This Row],[Price]]=0,Registro_Ordini[[#This Row],[Price]]=""),"",IF(Registro_Ordini[[#This Row],[Tipo]]="Sell",Registro_Ordini[[#This Row],[Prezzo]]/Registro_Ordini[[#This Row],[Price]]-1,Registro_Ordini[[#This Row],[Price]]/Registro_Ordini[[#This Row],[Prezzo]]-1))</f>
        <v>1.36612021857907E-3</v>
      </c>
      <c r="P696" s="15">
        <v>-9.6365255971969429E-3</v>
      </c>
      <c r="Q696" s="3">
        <v>0.16289167925482781</v>
      </c>
      <c r="R696" s="3">
        <v>0.40257623004236021</v>
      </c>
      <c r="S696" s="3">
        <v>0.37965916435148966</v>
      </c>
      <c r="T696" s="3">
        <v>0</v>
      </c>
      <c r="U696" s="3">
        <v>5.4872926351322307E-2</v>
      </c>
      <c r="V696" s="3"/>
      <c r="W696" s="4"/>
    </row>
    <row r="697" spans="1:23" s="1" customFormat="1" ht="24.95" customHeight="1" x14ac:dyDescent="0.2">
      <c r="A697" s="8">
        <v>45747.695520833331</v>
      </c>
      <c r="B697" s="7">
        <v>45747.695520833331</v>
      </c>
      <c r="C697" s="9" t="s">
        <v>367</v>
      </c>
      <c r="D697" s="1" t="s">
        <v>388</v>
      </c>
      <c r="E697" s="1" t="s">
        <v>397</v>
      </c>
      <c r="F697" s="1" t="s">
        <v>442</v>
      </c>
      <c r="G697" s="1" t="s">
        <v>365</v>
      </c>
      <c r="H697" s="2">
        <v>-750</v>
      </c>
      <c r="I697" s="16">
        <v>45.26</v>
      </c>
      <c r="J697" s="1" t="s">
        <v>369</v>
      </c>
      <c r="K697" s="6">
        <f>Registro_Ordini[[#This Row],[Numero]]*Registro_Ordini[[#This Row],[Prezzo]]</f>
        <v>-33945</v>
      </c>
      <c r="L697" s="10">
        <v>1.00000011</v>
      </c>
      <c r="M697" s="6">
        <f>Registro_Ordini[[#This Row],[Importo]]*Registro_Ordini[[#This Row],[Cambio]]</f>
        <v>-33945.003733949998</v>
      </c>
      <c r="N697" s="1">
        <f ca="1">IFERROR(_xlfn.NUMBERVALUE(OFFSET(Origine,MATCH(Registro_Ordini[[#This Row],[Titolo]],Descrizioni,0),MATCH("Price",Intestazioni,0)-1,1,1)),"")</f>
        <v>67.2</v>
      </c>
      <c r="O697" s="18">
        <f ca="1">IF(OR(Registro_Ordini[[#This Row],[Price]]=0,Registro_Ordini[[#This Row],[Price]]=""),"",IF(Registro_Ordini[[#This Row],[Tipo]]="Sell",Registro_Ordini[[#This Row],[Prezzo]]/Registro_Ordini[[#This Row],[Price]]-1,Registro_Ordini[[#This Row],[Price]]/Registro_Ordini[[#This Row],[Prezzo]]-1))</f>
        <v>-0.3264880952380953</v>
      </c>
      <c r="P697" s="15">
        <v>-9.7928327273866609E-3</v>
      </c>
      <c r="Q697" s="3">
        <v>0.15324765057514739</v>
      </c>
      <c r="R697" s="3">
        <v>0.40257339687197685</v>
      </c>
      <c r="S697" s="3">
        <v>0.38930641237524721</v>
      </c>
      <c r="T697" s="3">
        <v>0</v>
      </c>
      <c r="U697" s="3">
        <v>5.4872540177628534E-2</v>
      </c>
      <c r="V697" s="3"/>
      <c r="W697" s="4"/>
    </row>
    <row r="698" spans="1:23" s="1" customFormat="1" ht="24.95" customHeight="1" x14ac:dyDescent="0.2">
      <c r="A698" s="8">
        <v>45747.678599537037</v>
      </c>
      <c r="B698" s="7">
        <v>45747.678599537037</v>
      </c>
      <c r="C698" s="9" t="s">
        <v>367</v>
      </c>
      <c r="D698" s="1" t="s">
        <v>388</v>
      </c>
      <c r="E698" s="1" t="s">
        <v>389</v>
      </c>
      <c r="F698" s="1" t="s">
        <v>414</v>
      </c>
      <c r="G698" s="1" t="s">
        <v>365</v>
      </c>
      <c r="H698" s="2">
        <v>-730</v>
      </c>
      <c r="I698" s="16">
        <v>101.4</v>
      </c>
      <c r="J698" s="1" t="s">
        <v>366</v>
      </c>
      <c r="K698" s="6">
        <f>Registro_Ordini[[#This Row],[Numero]]*Registro_Ordini[[#This Row],[Prezzo]]</f>
        <v>-74022</v>
      </c>
      <c r="L698" s="10">
        <v>0.88334999999999997</v>
      </c>
      <c r="M698" s="6">
        <f>Registro_Ordini[[#This Row],[Importo]]*Registro_Ordini[[#This Row],[Cambio]]</f>
        <v>-65387.333699999996</v>
      </c>
      <c r="N698" s="1">
        <f ca="1">IFERROR(_xlfn.NUMBERVALUE(OFFSET(Origine,MATCH(Registro_Ordini[[#This Row],[Titolo]],Descrizioni,0),MATCH("Price",Intestazioni,0)-1,1,1)),"")</f>
        <v>137.36000000000001</v>
      </c>
      <c r="O698" s="18">
        <f ca="1">IF(OR(Registro_Ordini[[#This Row],[Price]]=0,Registro_Ordini[[#This Row],[Price]]=""),"",IF(Registro_Ordini[[#This Row],[Tipo]]="Sell",Registro_Ordini[[#This Row],[Prezzo]]/Registro_Ordini[[#This Row],[Price]]-1,Registro_Ordini[[#This Row],[Price]]/Registro_Ordini[[#This Row],[Prezzo]]-1))</f>
        <v>-0.26179382644146776</v>
      </c>
      <c r="P698" s="15">
        <v>-1.8857037229731616E-2</v>
      </c>
      <c r="Q698" s="3">
        <v>0.14341130858285481</v>
      </c>
      <c r="R698" s="3">
        <v>0.40251411659461794</v>
      </c>
      <c r="S698" s="3">
        <v>0.39922131781990916</v>
      </c>
      <c r="T698" s="3">
        <v>0</v>
      </c>
      <c r="U698" s="3">
        <v>5.4853257002618103E-2</v>
      </c>
      <c r="V698" s="3"/>
      <c r="W698" s="4"/>
    </row>
    <row r="699" spans="1:23" s="1" customFormat="1" ht="24.95" customHeight="1" x14ac:dyDescent="0.2">
      <c r="A699" s="8">
        <v>45747.467499999999</v>
      </c>
      <c r="B699" s="7">
        <v>45747.467499999999</v>
      </c>
      <c r="C699" s="9" t="s">
        <v>379</v>
      </c>
      <c r="D699" s="1" t="s">
        <v>388</v>
      </c>
      <c r="E699" s="1" t="s">
        <v>389</v>
      </c>
      <c r="F699" s="1" t="s">
        <v>448</v>
      </c>
      <c r="G699" s="1" t="s">
        <v>365</v>
      </c>
      <c r="H699" s="2">
        <v>-140</v>
      </c>
      <c r="I699" s="16">
        <v>97.660499999999999</v>
      </c>
      <c r="J699" s="1" t="s">
        <v>381</v>
      </c>
      <c r="K699" s="6">
        <f>Registro_Ordini[[#This Row],[Numero]]*Registro_Ordini[[#This Row],[Prezzo]]</f>
        <v>-13672.47</v>
      </c>
      <c r="L699" s="10">
        <v>1</v>
      </c>
      <c r="M699" s="6">
        <f>Registro_Ordini[[#This Row],[Importo]]*Registro_Ordini[[#This Row],[Cambio]]</f>
        <v>-13672.47</v>
      </c>
      <c r="N699" s="1">
        <f ca="1">IFERROR(_xlfn.NUMBERVALUE(OFFSET(Origine,MATCH(Registro_Ordini[[#This Row],[Titolo]],Descrizioni,0),MATCH("Price",Intestazioni,0)-1,1,1)),"")</f>
        <v>124.02</v>
      </c>
      <c r="O699" s="18">
        <f ca="1">IF(OR(Registro_Ordini[[#This Row],[Price]]=0,Registro_Ordini[[#This Row],[Price]]=""),"",IF(Registro_Ordini[[#This Row],[Tipo]]="Sell",Registro_Ordini[[#This Row],[Prezzo]]/Registro_Ordini[[#This Row],[Price]]-1,Registro_Ordini[[#This Row],[Price]]/Registro_Ordini[[#This Row],[Prezzo]]-1))</f>
        <v>-0.21254233188195448</v>
      </c>
      <c r="P699" s="15">
        <v>-2.3863234011343087E-2</v>
      </c>
      <c r="Q699" s="3">
        <v>0.15755342244662207</v>
      </c>
      <c r="R699" s="3">
        <v>0.28383204197102502</v>
      </c>
      <c r="S699" s="3">
        <v>0.44596414341127533</v>
      </c>
      <c r="T699" s="3">
        <v>0</v>
      </c>
      <c r="U699" s="3">
        <v>0.11265039217107754</v>
      </c>
      <c r="V699" s="3"/>
      <c r="W699" s="4"/>
    </row>
    <row r="700" spans="1:23" s="1" customFormat="1" ht="24.95" customHeight="1" x14ac:dyDescent="0.2">
      <c r="A700" s="8">
        <v>45747.467476851853</v>
      </c>
      <c r="B700" s="7">
        <v>45747.467476851853</v>
      </c>
      <c r="C700" s="9" t="s">
        <v>382</v>
      </c>
      <c r="D700" s="1" t="s">
        <v>388</v>
      </c>
      <c r="E700" s="1" t="s">
        <v>389</v>
      </c>
      <c r="F700" s="1" t="s">
        <v>448</v>
      </c>
      <c r="G700" s="1" t="s">
        <v>365</v>
      </c>
      <c r="H700" s="2">
        <v>-255</v>
      </c>
      <c r="I700" s="16">
        <v>97.660499999999999</v>
      </c>
      <c r="J700" s="1" t="s">
        <v>381</v>
      </c>
      <c r="K700" s="6">
        <f>Registro_Ordini[[#This Row],[Numero]]*Registro_Ordini[[#This Row],[Prezzo]]</f>
        <v>-24903.427499999998</v>
      </c>
      <c r="L700" s="10">
        <v>1</v>
      </c>
      <c r="M700" s="6">
        <f>Registro_Ordini[[#This Row],[Importo]]*Registro_Ordini[[#This Row],[Cambio]]</f>
        <v>-24903.427499999998</v>
      </c>
      <c r="N700" s="1">
        <f ca="1">IFERROR(_xlfn.NUMBERVALUE(OFFSET(Origine,MATCH(Registro_Ordini[[#This Row],[Titolo]],Descrizioni,0),MATCH("Price",Intestazioni,0)-1,1,1)),"")</f>
        <v>124.02</v>
      </c>
      <c r="O700" s="18">
        <f ca="1">IF(OR(Registro_Ordini[[#This Row],[Price]]=0,Registro_Ordini[[#This Row],[Price]]=""),"",IF(Registro_Ordini[[#This Row],[Tipo]]="Sell",Registro_Ordini[[#This Row],[Prezzo]]/Registro_Ordini[[#This Row],[Price]]-1,Registro_Ordini[[#This Row],[Price]]/Registro_Ordini[[#This Row],[Prezzo]]-1))</f>
        <v>-0.21254233188195448</v>
      </c>
      <c r="P700" s="15">
        <v>-2.3409323008758282E-2</v>
      </c>
      <c r="Q700" s="3">
        <v>0.14814641816814622</v>
      </c>
      <c r="R700" s="3">
        <v>0.27406582385986406</v>
      </c>
      <c r="S700" s="3">
        <v>0.46559989467433294</v>
      </c>
      <c r="T700" s="3">
        <v>0</v>
      </c>
      <c r="U700" s="3">
        <v>0.11218786329765695</v>
      </c>
      <c r="V700" s="3"/>
      <c r="W700" s="4"/>
    </row>
    <row r="701" spans="1:23" s="1" customFormat="1" ht="24.95" customHeight="1" x14ac:dyDescent="0.2">
      <c r="A701" s="8">
        <v>45747.467465277776</v>
      </c>
      <c r="B701" s="7">
        <v>45747.467465277776</v>
      </c>
      <c r="C701" s="9" t="s">
        <v>383</v>
      </c>
      <c r="D701" s="1" t="s">
        <v>388</v>
      </c>
      <c r="E701" s="1" t="s">
        <v>389</v>
      </c>
      <c r="F701" s="1" t="s">
        <v>448</v>
      </c>
      <c r="G701" s="1" t="s">
        <v>365</v>
      </c>
      <c r="H701" s="2">
        <v>-150</v>
      </c>
      <c r="I701" s="16">
        <v>97.660499999999999</v>
      </c>
      <c r="J701" s="1" t="s">
        <v>381</v>
      </c>
      <c r="K701" s="6">
        <f>Registro_Ordini[[#This Row],[Numero]]*Registro_Ordini[[#This Row],[Prezzo]]</f>
        <v>-14649.075000000001</v>
      </c>
      <c r="L701" s="10">
        <v>1</v>
      </c>
      <c r="M701" s="6">
        <f>Registro_Ordini[[#This Row],[Importo]]*Registro_Ordini[[#This Row],[Cambio]]</f>
        <v>-14649.075000000001</v>
      </c>
      <c r="N701" s="1">
        <f ca="1">IFERROR(_xlfn.NUMBERVALUE(OFFSET(Origine,MATCH(Registro_Ordini[[#This Row],[Titolo]],Descrizioni,0),MATCH("Price",Intestazioni,0)-1,1,1)),"")</f>
        <v>124.02</v>
      </c>
      <c r="O701" s="18">
        <f ca="1">IF(OR(Registro_Ordini[[#This Row],[Price]]=0,Registro_Ordini[[#This Row],[Price]]=""),"",IF(Registro_Ordini[[#This Row],[Tipo]]="Sell",Registro_Ordini[[#This Row],[Prezzo]]/Registro_Ordini[[#This Row],[Price]]-1,Registro_Ordini[[#This Row],[Price]]/Registro_Ordini[[#This Row],[Prezzo]]-1))</f>
        <v>-0.21254233188195448</v>
      </c>
      <c r="P701" s="15">
        <v>-2.3261813043931722E-2</v>
      </c>
      <c r="Q701" s="3">
        <v>0.16501978729956004</v>
      </c>
      <c r="R701" s="3">
        <v>0.26955513650532159</v>
      </c>
      <c r="S701" s="3">
        <v>0.45478117589275707</v>
      </c>
      <c r="T701" s="3">
        <v>0</v>
      </c>
      <c r="U701" s="3">
        <v>0.11064390030236132</v>
      </c>
      <c r="V701" s="3"/>
      <c r="W701" s="4"/>
    </row>
    <row r="702" spans="1:23" s="1" customFormat="1" ht="24.95" customHeight="1" x14ac:dyDescent="0.2">
      <c r="A702" s="8">
        <v>45747.465879629628</v>
      </c>
      <c r="B702" s="7">
        <v>45747.465879629628</v>
      </c>
      <c r="C702" s="9" t="s">
        <v>78</v>
      </c>
      <c r="D702" s="1" t="s">
        <v>388</v>
      </c>
      <c r="E702" s="1" t="s">
        <v>389</v>
      </c>
      <c r="F702" s="1" t="s">
        <v>448</v>
      </c>
      <c r="G702" s="1" t="s">
        <v>365</v>
      </c>
      <c r="H702" s="2">
        <v>-135</v>
      </c>
      <c r="I702" s="16">
        <v>97.660499999999999</v>
      </c>
      <c r="J702" s="1" t="s">
        <v>381</v>
      </c>
      <c r="K702" s="6">
        <f>Registro_Ordini[[#This Row],[Numero]]*Registro_Ordini[[#This Row],[Prezzo]]</f>
        <v>-13184.1675</v>
      </c>
      <c r="L702" s="10">
        <v>0.95335000000000003</v>
      </c>
      <c r="M702" s="6">
        <f>Registro_Ordini[[#This Row],[Importo]]*Registro_Ordini[[#This Row],[Cambio]]</f>
        <v>-12569.126086124999</v>
      </c>
      <c r="N702" s="1">
        <f ca="1">IFERROR(_xlfn.NUMBERVALUE(OFFSET(Origine,MATCH(Registro_Ordini[[#This Row],[Titolo]],Descrizioni,0),MATCH("Price",Intestazioni,0)-1,1,1)),"")</f>
        <v>124.02</v>
      </c>
      <c r="O702" s="18">
        <f ca="1">IF(OR(Registro_Ordini[[#This Row],[Price]]=0,Registro_Ordini[[#This Row],[Price]]=""),"",IF(Registro_Ordini[[#This Row],[Tipo]]="Sell",Registro_Ordini[[#This Row],[Prezzo]]/Registro_Ordini[[#This Row],[Price]]-1,Registro_Ordini[[#This Row],[Price]]/Registro_Ordini[[#This Row],[Prezzo]]-1))</f>
        <v>-0.21254233188195448</v>
      </c>
      <c r="P702" s="15">
        <v>-2.376139880140286E-2</v>
      </c>
      <c r="Q702" s="3">
        <v>0.29586486088867492</v>
      </c>
      <c r="R702" s="3">
        <v>0.13113666707004545</v>
      </c>
      <c r="S702" s="3">
        <v>0.51167958550764669</v>
      </c>
      <c r="T702" s="3">
        <v>0</v>
      </c>
      <c r="U702" s="3">
        <v>6.1318886533632849E-2</v>
      </c>
      <c r="V702" s="3"/>
      <c r="W702" s="4"/>
    </row>
    <row r="703" spans="1:23" s="1" customFormat="1" ht="24.95" customHeight="1" x14ac:dyDescent="0.2">
      <c r="A703" s="8">
        <v>45747.464930555558</v>
      </c>
      <c r="B703" s="7">
        <v>45747.464930555558</v>
      </c>
      <c r="C703" s="9" t="s">
        <v>375</v>
      </c>
      <c r="D703" s="1" t="s">
        <v>388</v>
      </c>
      <c r="E703" s="1" t="s">
        <v>389</v>
      </c>
      <c r="F703" s="1" t="s">
        <v>448</v>
      </c>
      <c r="G703" s="1" t="s">
        <v>365</v>
      </c>
      <c r="H703" s="2">
        <v>-160</v>
      </c>
      <c r="I703" s="16">
        <v>97.660499999999999</v>
      </c>
      <c r="J703" s="1" t="s">
        <v>381</v>
      </c>
      <c r="K703" s="6">
        <f>Registro_Ordini[[#This Row],[Numero]]*Registro_Ordini[[#This Row],[Prezzo]]</f>
        <v>-15625.68</v>
      </c>
      <c r="L703" s="10">
        <v>0.95335000000000003</v>
      </c>
      <c r="M703" s="6">
        <f>Registro_Ordini[[#This Row],[Importo]]*Registro_Ordini[[#This Row],[Cambio]]</f>
        <v>-14896.742028000001</v>
      </c>
      <c r="N703" s="1">
        <f ca="1">IFERROR(_xlfn.NUMBERVALUE(OFFSET(Origine,MATCH(Registro_Ordini[[#This Row],[Titolo]],Descrizioni,0),MATCH("Price",Intestazioni,0)-1,1,1)),"")</f>
        <v>124.02</v>
      </c>
      <c r="O703" s="18">
        <f ca="1">IF(OR(Registro_Ordini[[#This Row],[Price]]=0,Registro_Ordini[[#This Row],[Price]]=""),"",IF(Registro_Ordini[[#This Row],[Tipo]]="Sell",Registro_Ordini[[#This Row],[Prezzo]]/Registro_Ordini[[#This Row],[Price]]-1,Registro_Ordini[[#This Row],[Price]]/Registro_Ordini[[#This Row],[Prezzo]]-1))</f>
        <v>-0.21254233188195448</v>
      </c>
      <c r="P703" s="15">
        <v>-1.8075942220554381E-2</v>
      </c>
      <c r="Q703" s="3">
        <v>0.17669966049125527</v>
      </c>
      <c r="R703" s="3">
        <v>0.34671050056114483</v>
      </c>
      <c r="S703" s="3">
        <v>0.37441075330105256</v>
      </c>
      <c r="T703" s="3">
        <v>0</v>
      </c>
      <c r="U703" s="3">
        <v>0.10217908564654724</v>
      </c>
      <c r="V703" s="3"/>
      <c r="W703" s="4"/>
    </row>
    <row r="704" spans="1:23" s="1" customFormat="1" ht="24.95" customHeight="1" x14ac:dyDescent="0.2">
      <c r="A704" s="8">
        <v>45747.464918981481</v>
      </c>
      <c r="B704" s="7">
        <v>45747.464918981481</v>
      </c>
      <c r="C704" s="9" t="s">
        <v>376</v>
      </c>
      <c r="D704" s="1" t="s">
        <v>388</v>
      </c>
      <c r="E704" s="1" t="s">
        <v>389</v>
      </c>
      <c r="F704" s="1" t="s">
        <v>448</v>
      </c>
      <c r="G704" s="1" t="s">
        <v>365</v>
      </c>
      <c r="H704" s="2">
        <v>-55</v>
      </c>
      <c r="I704" s="16">
        <v>97.660499999999999</v>
      </c>
      <c r="J704" s="1" t="s">
        <v>381</v>
      </c>
      <c r="K704" s="6">
        <f>Registro_Ordini[[#This Row],[Numero]]*Registro_Ordini[[#This Row],[Prezzo]]</f>
        <v>-5371.3275000000003</v>
      </c>
      <c r="L704" s="10">
        <v>0.95335000000000003</v>
      </c>
      <c r="M704" s="6">
        <f>Registro_Ordini[[#This Row],[Importo]]*Registro_Ordini[[#This Row],[Cambio]]</f>
        <v>-5120.7550721250009</v>
      </c>
      <c r="N704" s="1">
        <f ca="1">IFERROR(_xlfn.NUMBERVALUE(OFFSET(Origine,MATCH(Registro_Ordini[[#This Row],[Titolo]],Descrizioni,0),MATCH("Price",Intestazioni,0)-1,1,1)),"")</f>
        <v>124.02</v>
      </c>
      <c r="O704" s="18">
        <f ca="1">IF(OR(Registro_Ordini[[#This Row],[Price]]=0,Registro_Ordini[[#This Row],[Price]]=""),"",IF(Registro_Ordini[[#This Row],[Tipo]]="Sell",Registro_Ordini[[#This Row],[Prezzo]]/Registro_Ordini[[#This Row],[Price]]-1,Registro_Ordini[[#This Row],[Price]]/Registro_Ordini[[#This Row],[Prezzo]]-1))</f>
        <v>-0.21254233188195448</v>
      </c>
      <c r="P704" s="15">
        <v>-1.8115312277432471E-2</v>
      </c>
      <c r="Q704" s="3">
        <v>0.12467755472501064</v>
      </c>
      <c r="R704" s="3">
        <v>0.34671039884864618</v>
      </c>
      <c r="S704" s="3">
        <v>0.39965325617352687</v>
      </c>
      <c r="T704" s="3">
        <v>0</v>
      </c>
      <c r="U704" s="3">
        <v>0.12895879025281629</v>
      </c>
      <c r="V704" s="3"/>
      <c r="W704" s="4"/>
    </row>
    <row r="705" spans="1:23" s="1" customFormat="1" ht="24.95" customHeight="1" x14ac:dyDescent="0.2">
      <c r="A705" s="8">
        <v>45747.464907407404</v>
      </c>
      <c r="B705" s="7">
        <v>45747.464907407404</v>
      </c>
      <c r="C705" s="9" t="s">
        <v>378</v>
      </c>
      <c r="D705" s="1" t="s">
        <v>388</v>
      </c>
      <c r="E705" s="1" t="s">
        <v>389</v>
      </c>
      <c r="F705" s="1" t="s">
        <v>448</v>
      </c>
      <c r="G705" s="1" t="s">
        <v>365</v>
      </c>
      <c r="H705" s="2">
        <v>-100</v>
      </c>
      <c r="I705" s="16">
        <v>97.660499999999999</v>
      </c>
      <c r="J705" s="1" t="s">
        <v>381</v>
      </c>
      <c r="K705" s="6">
        <f>Registro_Ordini[[#This Row],[Numero]]*Registro_Ordini[[#This Row],[Prezzo]]</f>
        <v>-9766.0499999999993</v>
      </c>
      <c r="L705" s="10">
        <v>0.95335000000000003</v>
      </c>
      <c r="M705" s="6">
        <f>Registro_Ordini[[#This Row],[Importo]]*Registro_Ordini[[#This Row],[Cambio]]</f>
        <v>-9310.4637674999994</v>
      </c>
      <c r="N705" s="1">
        <f ca="1">IFERROR(_xlfn.NUMBERVALUE(OFFSET(Origine,MATCH(Registro_Ordini[[#This Row],[Titolo]],Descrizioni,0),MATCH("Price",Intestazioni,0)-1,1,1)),"")</f>
        <v>124.02</v>
      </c>
      <c r="O705" s="18">
        <f ca="1">IF(OR(Registro_Ordini[[#This Row],[Price]]=0,Registro_Ordini[[#This Row],[Price]]=""),"",IF(Registro_Ordini[[#This Row],[Tipo]]="Sell",Registro_Ordini[[#This Row],[Prezzo]]/Registro_Ordini[[#This Row],[Price]]-1,Registro_Ordini[[#This Row],[Price]]/Registro_Ordini[[#This Row],[Prezzo]]-1))</f>
        <v>-0.21254233188195448</v>
      </c>
      <c r="P705" s="15">
        <v>-1.7728333835095044E-2</v>
      </c>
      <c r="Q705" s="3">
        <v>0.1640553490334675</v>
      </c>
      <c r="R705" s="3">
        <v>0.32804948170426551</v>
      </c>
      <c r="S705" s="3">
        <v>0.40882237094872914</v>
      </c>
      <c r="T705" s="3">
        <v>0</v>
      </c>
      <c r="U705" s="3">
        <v>9.9072798313537949E-2</v>
      </c>
      <c r="V705" s="3"/>
      <c r="W705" s="4"/>
    </row>
    <row r="706" spans="1:23" s="1" customFormat="1" ht="24.95" customHeight="1" x14ac:dyDescent="0.2">
      <c r="A706" s="8">
        <v>45747.464907407404</v>
      </c>
      <c r="B706" s="7">
        <v>45747.464907407404</v>
      </c>
      <c r="C706" s="9" t="s">
        <v>377</v>
      </c>
      <c r="D706" s="1" t="s">
        <v>388</v>
      </c>
      <c r="E706" s="1" t="s">
        <v>389</v>
      </c>
      <c r="F706" s="1" t="s">
        <v>448</v>
      </c>
      <c r="G706" s="1" t="s">
        <v>365</v>
      </c>
      <c r="H706" s="2">
        <v>-330</v>
      </c>
      <c r="I706" s="16">
        <v>97.660499999999999</v>
      </c>
      <c r="J706" s="1" t="s">
        <v>381</v>
      </c>
      <c r="K706" s="6">
        <f>Registro_Ordini[[#This Row],[Numero]]*Registro_Ordini[[#This Row],[Prezzo]]</f>
        <v>-32227.965</v>
      </c>
      <c r="L706" s="10">
        <v>0.95335000000000003</v>
      </c>
      <c r="M706" s="6">
        <f>Registro_Ordini[[#This Row],[Importo]]*Registro_Ordini[[#This Row],[Cambio]]</f>
        <v>-30724.530432750002</v>
      </c>
      <c r="N706" s="1">
        <f ca="1">IFERROR(_xlfn.NUMBERVALUE(OFFSET(Origine,MATCH(Registro_Ordini[[#This Row],[Titolo]],Descrizioni,0),MATCH("Price",Intestazioni,0)-1,1,1)),"")</f>
        <v>124.02</v>
      </c>
      <c r="O706" s="18">
        <f ca="1">IF(OR(Registro_Ordini[[#This Row],[Price]]=0,Registro_Ordini[[#This Row],[Price]]=""),"",IF(Registro_Ordini[[#This Row],[Tipo]]="Sell",Registro_Ordini[[#This Row],[Prezzo]]/Registro_Ordini[[#This Row],[Price]]-1,Registro_Ordini[[#This Row],[Price]]/Registro_Ordini[[#This Row],[Prezzo]]-1))</f>
        <v>-0.21254233188195448</v>
      </c>
      <c r="P706" s="15">
        <v>-1.8886214400185068E-2</v>
      </c>
      <c r="Q706" s="3">
        <v>0.15146098248916487</v>
      </c>
      <c r="R706" s="3">
        <v>0.3194679479192134</v>
      </c>
      <c r="S706" s="3">
        <v>0.42168630587616096</v>
      </c>
      <c r="T706" s="3">
        <v>0</v>
      </c>
      <c r="U706" s="3">
        <v>0.10738476371546074</v>
      </c>
      <c r="V706" s="3"/>
      <c r="W706" s="4"/>
    </row>
    <row r="707" spans="1:23" s="1" customFormat="1" ht="24.95" customHeight="1" x14ac:dyDescent="0.2">
      <c r="A707" s="8">
        <v>45747.452025462961</v>
      </c>
      <c r="B707" s="7">
        <v>45747.452037037037</v>
      </c>
      <c r="C707" s="9" t="s">
        <v>78</v>
      </c>
      <c r="D707" s="1" t="s">
        <v>388</v>
      </c>
      <c r="E707" s="1" t="s">
        <v>397</v>
      </c>
      <c r="F707" s="1" t="s">
        <v>406</v>
      </c>
      <c r="G707" s="1" t="s">
        <v>365</v>
      </c>
      <c r="H707" s="2">
        <v>-150</v>
      </c>
      <c r="I707" s="16">
        <v>129.3306</v>
      </c>
      <c r="J707" s="1" t="s">
        <v>369</v>
      </c>
      <c r="K707" s="6">
        <f>Registro_Ordini[[#This Row],[Numero]]*Registro_Ordini[[#This Row],[Prezzo]]</f>
        <v>-19399.59</v>
      </c>
      <c r="L707" s="10">
        <v>1.0000001000000001</v>
      </c>
      <c r="M707" s="6">
        <f>Registro_Ordini[[#This Row],[Importo]]*Registro_Ordini[[#This Row],[Cambio]]</f>
        <v>-19399.591939959002</v>
      </c>
      <c r="N707" s="1">
        <f ca="1">IFERROR(_xlfn.NUMBERVALUE(OFFSET(Origine,MATCH(Registro_Ordini[[#This Row],[Titolo]],Descrizioni,0),MATCH("Price",Intestazioni,0)-1,1,1)),"")</f>
        <v>136.52000000000001</v>
      </c>
      <c r="O707" s="18">
        <f ca="1">IF(OR(Registro_Ordini[[#This Row],[Price]]=0,Registro_Ordini[[#This Row],[Price]]=""),"",IF(Registro_Ordini[[#This Row],[Tipo]]="Sell",Registro_Ordini[[#This Row],[Prezzo]]/Registro_Ordini[[#This Row],[Price]]-1,Registro_Ordini[[#This Row],[Price]]/Registro_Ordini[[#This Row],[Prezzo]]-1))</f>
        <v>-5.266188104307068E-2</v>
      </c>
      <c r="P707" s="15">
        <v>-3.6670517408467974E-2</v>
      </c>
      <c r="Q707" s="3">
        <v>0.27207684707956442</v>
      </c>
      <c r="R707" s="3">
        <v>0.13114274283990501</v>
      </c>
      <c r="S707" s="3">
        <v>0.53552422955615797</v>
      </c>
      <c r="T707" s="3">
        <v>0</v>
      </c>
      <c r="U707" s="3">
        <v>6.1256180524372587E-2</v>
      </c>
      <c r="V707" s="3"/>
      <c r="W707" s="4"/>
    </row>
    <row r="708" spans="1:23" s="1" customFormat="1" ht="24.95" customHeight="1" x14ac:dyDescent="0.2">
      <c r="A708" s="8">
        <v>45747.451331018521</v>
      </c>
      <c r="B708" s="7">
        <v>45747.451331018521</v>
      </c>
      <c r="C708" s="9" t="s">
        <v>385</v>
      </c>
      <c r="D708" s="1" t="s">
        <v>388</v>
      </c>
      <c r="E708" s="1" t="s">
        <v>397</v>
      </c>
      <c r="F708" s="1" t="s">
        <v>449</v>
      </c>
      <c r="G708" s="1" t="s">
        <v>365</v>
      </c>
      <c r="H708" s="2">
        <v>-430</v>
      </c>
      <c r="I708" s="16">
        <v>17.062000000000001</v>
      </c>
      <c r="J708" s="1" t="s">
        <v>381</v>
      </c>
      <c r="K708" s="6">
        <f>Registro_Ordini[[#This Row],[Numero]]*Registro_Ordini[[#This Row],[Prezzo]]</f>
        <v>-7336.6600000000008</v>
      </c>
      <c r="L708" s="10">
        <v>1</v>
      </c>
      <c r="M708" s="6">
        <f>Registro_Ordini[[#This Row],[Importo]]*Registro_Ordini[[#This Row],[Cambio]]</f>
        <v>-7336.6600000000008</v>
      </c>
      <c r="N708" s="1">
        <f ca="1">IFERROR(_xlfn.NUMBERVALUE(OFFSET(Origine,MATCH(Registro_Ordini[[#This Row],[Titolo]],Descrizioni,0),MATCH("Price",Intestazioni,0)-1,1,1)),"")</f>
        <v>18.716000000000001</v>
      </c>
      <c r="O708" s="18">
        <f ca="1">IF(OR(Registro_Ordini[[#This Row],[Price]]=0,Registro_Ordini[[#This Row],[Price]]=""),"",IF(Registro_Ordini[[#This Row],[Tipo]]="Sell",Registro_Ordini[[#This Row],[Prezzo]]/Registro_Ordini[[#This Row],[Price]]-1,Registro_Ordini[[#This Row],[Price]]/Registro_Ordini[[#This Row],[Prezzo]]-1))</f>
        <v>-8.8373584099166513E-2</v>
      </c>
      <c r="P708" s="15">
        <v>-5.2225420275057756E-2</v>
      </c>
      <c r="Q708" s="3">
        <v>0.28048731600618415</v>
      </c>
      <c r="R708" s="3">
        <v>0.46763283606389816</v>
      </c>
      <c r="S708" s="3">
        <v>0.12532717045351396</v>
      </c>
      <c r="T708" s="3">
        <v>4.3976169179879093E-2</v>
      </c>
      <c r="U708" s="3">
        <v>8.2576508296524562E-2</v>
      </c>
      <c r="V708" s="3"/>
      <c r="W708" s="4"/>
    </row>
    <row r="709" spans="1:23" s="1" customFormat="1" ht="24.95" customHeight="1" x14ac:dyDescent="0.2">
      <c r="A709" s="8">
        <v>45747.447870370372</v>
      </c>
      <c r="B709" s="7">
        <v>45747.447870370372</v>
      </c>
      <c r="C709" s="9" t="s">
        <v>383</v>
      </c>
      <c r="D709" s="1" t="s">
        <v>388</v>
      </c>
      <c r="E709" s="1" t="s">
        <v>397</v>
      </c>
      <c r="F709" s="1" t="s">
        <v>406</v>
      </c>
      <c r="G709" s="1" t="s">
        <v>365</v>
      </c>
      <c r="H709" s="2">
        <v>-145</v>
      </c>
      <c r="I709" s="16">
        <v>129.3306</v>
      </c>
      <c r="J709" s="1" t="s">
        <v>369</v>
      </c>
      <c r="K709" s="6">
        <f>Registro_Ordini[[#This Row],[Numero]]*Registro_Ordini[[#This Row],[Prezzo]]</f>
        <v>-18752.937000000002</v>
      </c>
      <c r="L709" s="10">
        <v>1.04805956</v>
      </c>
      <c r="M709" s="6">
        <f>Registro_Ordini[[#This Row],[Importo]]*Registro_Ordini[[#This Row],[Cambio]]</f>
        <v>-19654.194900927723</v>
      </c>
      <c r="N709" s="1">
        <f ca="1">IFERROR(_xlfn.NUMBERVALUE(OFFSET(Origine,MATCH(Registro_Ordini[[#This Row],[Titolo]],Descrizioni,0),MATCH("Price",Intestazioni,0)-1,1,1)),"")</f>
        <v>136.52000000000001</v>
      </c>
      <c r="O709" s="18">
        <f ca="1">IF(OR(Registro_Ordini[[#This Row],[Price]]=0,Registro_Ordini[[#This Row],[Price]]=""),"",IF(Registro_Ordini[[#This Row],[Tipo]]="Sell",Registro_Ordini[[#This Row],[Prezzo]]/Registro_Ordini[[#This Row],[Price]]-1,Registro_Ordini[[#This Row],[Price]]/Registro_Ordini[[#This Row],[Prezzo]]-1))</f>
        <v>-5.266188104307068E-2</v>
      </c>
      <c r="P709" s="15">
        <v>-3.1214452606772431E-2</v>
      </c>
      <c r="Q709" s="3">
        <v>0.19625465075393894</v>
      </c>
      <c r="R709" s="3">
        <v>0.26959012054881171</v>
      </c>
      <c r="S709" s="3">
        <v>0.42345871975754945</v>
      </c>
      <c r="T709" s="3">
        <v>0</v>
      </c>
      <c r="U709" s="3">
        <v>0.11069650893970009</v>
      </c>
      <c r="V709" s="3"/>
      <c r="W709" s="4"/>
    </row>
    <row r="710" spans="1:23" s="1" customFormat="1" ht="24.95" customHeight="1" x14ac:dyDescent="0.2">
      <c r="A710" s="8">
        <v>45747.447870370372</v>
      </c>
      <c r="B710" s="7">
        <v>45747.447870370372</v>
      </c>
      <c r="C710" s="9" t="s">
        <v>382</v>
      </c>
      <c r="D710" s="1" t="s">
        <v>388</v>
      </c>
      <c r="E710" s="1" t="s">
        <v>397</v>
      </c>
      <c r="F710" s="1" t="s">
        <v>406</v>
      </c>
      <c r="G710" s="1" t="s">
        <v>365</v>
      </c>
      <c r="H710" s="2">
        <v>-260</v>
      </c>
      <c r="I710" s="16">
        <v>129.3306</v>
      </c>
      <c r="J710" s="1" t="s">
        <v>369</v>
      </c>
      <c r="K710" s="6">
        <f>Registro_Ordini[[#This Row],[Numero]]*Registro_Ordini[[#This Row],[Prezzo]]</f>
        <v>-33625.955999999998</v>
      </c>
      <c r="L710" s="10">
        <v>1.04805956</v>
      </c>
      <c r="M710" s="6">
        <f>Registro_Ordini[[#This Row],[Importo]]*Registro_Ordini[[#This Row],[Cambio]]</f>
        <v>-35242.004649939357</v>
      </c>
      <c r="N710" s="1">
        <f ca="1">IFERROR(_xlfn.NUMBERVALUE(OFFSET(Origine,MATCH(Registro_Ordini[[#This Row],[Titolo]],Descrizioni,0),MATCH("Price",Intestazioni,0)-1,1,1)),"")</f>
        <v>136.52000000000001</v>
      </c>
      <c r="O710" s="18">
        <f ca="1">IF(OR(Registro_Ordini[[#This Row],[Price]]=0,Registro_Ordini[[#This Row],[Price]]=""),"",IF(Registro_Ordini[[#This Row],[Tipo]]="Sell",Registro_Ordini[[#This Row],[Prezzo]]/Registro_Ordini[[#This Row],[Price]]-1,Registro_Ordini[[#This Row],[Price]]/Registro_Ordini[[#This Row],[Prezzo]]-1))</f>
        <v>-5.266188104307068E-2</v>
      </c>
      <c r="P710" s="15">
        <v>-3.3132577177556188E-2</v>
      </c>
      <c r="Q710" s="3">
        <v>0.18129684311885802</v>
      </c>
      <c r="R710" s="3">
        <v>0.27410070854343915</v>
      </c>
      <c r="S710" s="3">
        <v>0.4323536786298931</v>
      </c>
      <c r="T710" s="3">
        <v>0</v>
      </c>
      <c r="U710" s="3">
        <v>0.11224876970780971</v>
      </c>
      <c r="V710" s="3"/>
      <c r="W710" s="4"/>
    </row>
    <row r="711" spans="1:23" s="1" customFormat="1" ht="24.95" customHeight="1" x14ac:dyDescent="0.2">
      <c r="A711" s="8">
        <v>45747.447870370372</v>
      </c>
      <c r="B711" s="7">
        <v>45747.447870370372</v>
      </c>
      <c r="C711" s="9" t="s">
        <v>106</v>
      </c>
      <c r="D711" s="1" t="s">
        <v>388</v>
      </c>
      <c r="E711" s="1" t="s">
        <v>397</v>
      </c>
      <c r="F711" s="1" t="s">
        <v>406</v>
      </c>
      <c r="G711" s="1" t="s">
        <v>365</v>
      </c>
      <c r="H711" s="2">
        <v>-60</v>
      </c>
      <c r="I711" s="16">
        <v>129.3306</v>
      </c>
      <c r="J711" s="1" t="s">
        <v>369</v>
      </c>
      <c r="K711" s="6">
        <f>Registro_Ordini[[#This Row],[Numero]]*Registro_Ordini[[#This Row],[Prezzo]]</f>
        <v>-7759.8360000000002</v>
      </c>
      <c r="L711" s="10">
        <v>1.04805956</v>
      </c>
      <c r="M711" s="6">
        <f>Registro_Ordini[[#This Row],[Importo]]*Registro_Ordini[[#This Row],[Cambio]]</f>
        <v>-8132.7703038321606</v>
      </c>
      <c r="N711" s="1">
        <f ca="1">IFERROR(_xlfn.NUMBERVALUE(OFFSET(Origine,MATCH(Registro_Ordini[[#This Row],[Titolo]],Descrizioni,0),MATCH("Price",Intestazioni,0)-1,1,1)),"")</f>
        <v>136.52000000000001</v>
      </c>
      <c r="O711" s="18">
        <f ca="1">IF(OR(Registro_Ordini[[#This Row],[Price]]=0,Registro_Ordini[[#This Row],[Price]]=""),"",IF(Registro_Ordini[[#This Row],[Tipo]]="Sell",Registro_Ordini[[#This Row],[Prezzo]]/Registro_Ordini[[#This Row],[Price]]-1,Registro_Ordini[[#This Row],[Price]]/Registro_Ordini[[#This Row],[Prezzo]]-1))</f>
        <v>-5.266188104307068E-2</v>
      </c>
      <c r="P711" s="15">
        <v>-5.8263139351685075E-2</v>
      </c>
      <c r="Q711" s="3">
        <v>0.24254596296019768</v>
      </c>
      <c r="R711" s="3">
        <v>0.22683704082083284</v>
      </c>
      <c r="S711" s="3">
        <v>0.38838579676525753</v>
      </c>
      <c r="T711" s="3">
        <v>0</v>
      </c>
      <c r="U711" s="3">
        <v>0.14223119945371202</v>
      </c>
      <c r="V711" s="3"/>
      <c r="W711" s="4"/>
    </row>
    <row r="712" spans="1:23" s="1" customFormat="1" ht="24.95" customHeight="1" x14ac:dyDescent="0.2">
      <c r="A712" s="8">
        <v>45747.447870370372</v>
      </c>
      <c r="B712" s="7">
        <v>45747.447870370372</v>
      </c>
      <c r="C712" s="9" t="s">
        <v>379</v>
      </c>
      <c r="D712" s="1" t="s">
        <v>388</v>
      </c>
      <c r="E712" s="1" t="s">
        <v>397</v>
      </c>
      <c r="F712" s="1" t="s">
        <v>406</v>
      </c>
      <c r="G712" s="1" t="s">
        <v>365</v>
      </c>
      <c r="H712" s="2">
        <v>-130</v>
      </c>
      <c r="I712" s="16">
        <v>129.3306</v>
      </c>
      <c r="J712" s="1" t="s">
        <v>369</v>
      </c>
      <c r="K712" s="6">
        <f>Registro_Ordini[[#This Row],[Numero]]*Registro_Ordini[[#This Row],[Prezzo]]</f>
        <v>-16812.977999999999</v>
      </c>
      <c r="L712" s="10">
        <v>1.04805956</v>
      </c>
      <c r="M712" s="6">
        <f>Registro_Ordini[[#This Row],[Importo]]*Registro_Ordini[[#This Row],[Cambio]]</f>
        <v>-17621.002324969679</v>
      </c>
      <c r="N712" s="1">
        <f ca="1">IFERROR(_xlfn.NUMBERVALUE(OFFSET(Origine,MATCH(Registro_Ordini[[#This Row],[Titolo]],Descrizioni,0),MATCH("Price",Intestazioni,0)-1,1,1)),"")</f>
        <v>136.52000000000001</v>
      </c>
      <c r="O712" s="18">
        <f ca="1">IF(OR(Registro_Ordini[[#This Row],[Price]]=0,Registro_Ordini[[#This Row],[Price]]=""),"",IF(Registro_Ordini[[#This Row],[Tipo]]="Sell",Registro_Ordini[[#This Row],[Prezzo]]/Registro_Ordini[[#This Row],[Price]]-1,Registro_Ordini[[#This Row],[Price]]/Registro_Ordini[[#This Row],[Prezzo]]-1))</f>
        <v>-5.266188104307068E-2</v>
      </c>
      <c r="P712" s="15">
        <v>-3.0760825175328861E-2</v>
      </c>
      <c r="Q712" s="3">
        <v>0.18833214133947426</v>
      </c>
      <c r="R712" s="3">
        <v>0.28388030101765049</v>
      </c>
      <c r="S712" s="3">
        <v>0.41511956181409226</v>
      </c>
      <c r="T712" s="3">
        <v>0</v>
      </c>
      <c r="U712" s="3">
        <v>0.11266799582878288</v>
      </c>
      <c r="V712" s="3"/>
      <c r="W712" s="4"/>
    </row>
    <row r="713" spans="1:23" s="1" customFormat="1" ht="24.95" customHeight="1" x14ac:dyDescent="0.2">
      <c r="A713" s="8">
        <v>45747.447870370372</v>
      </c>
      <c r="B713" s="7">
        <v>45747.447870370372</v>
      </c>
      <c r="C713" s="9" t="s">
        <v>367</v>
      </c>
      <c r="D713" s="1" t="s">
        <v>388</v>
      </c>
      <c r="E713" s="1" t="s">
        <v>397</v>
      </c>
      <c r="F713" s="1" t="s">
        <v>406</v>
      </c>
      <c r="G713" s="1" t="s">
        <v>365</v>
      </c>
      <c r="H713" s="2">
        <v>-870</v>
      </c>
      <c r="I713" s="16">
        <v>129.2619</v>
      </c>
      <c r="J713" s="1" t="s">
        <v>369</v>
      </c>
      <c r="K713" s="6">
        <f>Registro_Ordini[[#This Row],[Numero]]*Registro_Ordini[[#This Row],[Prezzo]]</f>
        <v>-112457.853</v>
      </c>
      <c r="L713" s="10">
        <v>1.00000011</v>
      </c>
      <c r="M713" s="6">
        <f>Registro_Ordini[[#This Row],[Importo]]*Registro_Ordini[[#This Row],[Cambio]]</f>
        <v>-112457.86537036383</v>
      </c>
      <c r="N713" s="1">
        <f ca="1">IFERROR(_xlfn.NUMBERVALUE(OFFSET(Origine,MATCH(Registro_Ordini[[#This Row],[Titolo]],Descrizioni,0),MATCH("Price",Intestazioni,0)-1,1,1)),"")</f>
        <v>136.52000000000001</v>
      </c>
      <c r="O713" s="18">
        <f ca="1">IF(OR(Registro_Ordini[[#This Row],[Price]]=0,Registro_Ordini[[#This Row],[Price]]=""),"",IF(Registro_Ordini[[#This Row],[Tipo]]="Sell",Registro_Ordini[[#This Row],[Prezzo]]/Registro_Ordini[[#This Row],[Price]]-1,Registro_Ordini[[#This Row],[Price]]/Registro_Ordini[[#This Row],[Prezzo]]-1))</f>
        <v>-5.3165104014063935E-2</v>
      </c>
      <c r="P713" s="15">
        <v>-3.2398110367307664E-2</v>
      </c>
      <c r="Q713" s="3">
        <v>0.12432101884863314</v>
      </c>
      <c r="R713" s="3">
        <v>0.40195755182665543</v>
      </c>
      <c r="S713" s="3">
        <v>0.41892497793925987</v>
      </c>
      <c r="T713" s="3">
        <v>0</v>
      </c>
      <c r="U713" s="3">
        <v>5.4796451385451632E-2</v>
      </c>
      <c r="V713" s="3"/>
      <c r="W713" s="4"/>
    </row>
    <row r="714" spans="1:23" s="1" customFormat="1" ht="24.95" customHeight="1" x14ac:dyDescent="0.2">
      <c r="A714" s="8">
        <v>45747.447858796295</v>
      </c>
      <c r="B714" s="7">
        <v>45747.447858796295</v>
      </c>
      <c r="C714" s="9" t="s">
        <v>375</v>
      </c>
      <c r="D714" s="1" t="s">
        <v>388</v>
      </c>
      <c r="E714" s="1" t="s">
        <v>397</v>
      </c>
      <c r="F714" s="1" t="s">
        <v>406</v>
      </c>
      <c r="G714" s="1" t="s">
        <v>365</v>
      </c>
      <c r="H714" s="2">
        <v>-190</v>
      </c>
      <c r="I714" s="16">
        <v>129.3306</v>
      </c>
      <c r="J714" s="1" t="s">
        <v>369</v>
      </c>
      <c r="K714" s="6">
        <f>Registro_Ordini[[#This Row],[Numero]]*Registro_Ordini[[#This Row],[Prezzo]]</f>
        <v>-24572.814000000002</v>
      </c>
      <c r="L714" s="10">
        <v>1.00000011</v>
      </c>
      <c r="M714" s="6">
        <f>Registro_Ordini[[#This Row],[Importo]]*Registro_Ordini[[#This Row],[Cambio]]</f>
        <v>-24572.816703009543</v>
      </c>
      <c r="N714" s="1">
        <f ca="1">IFERROR(_xlfn.NUMBERVALUE(OFFSET(Origine,MATCH(Registro_Ordini[[#This Row],[Titolo]],Descrizioni,0),MATCH("Price",Intestazioni,0)-1,1,1)),"")</f>
        <v>136.52000000000001</v>
      </c>
      <c r="O714" s="18">
        <f ca="1">IF(OR(Registro_Ordini[[#This Row],[Price]]=0,Registro_Ordini[[#This Row],[Price]]=""),"",IF(Registro_Ordini[[#This Row],[Tipo]]="Sell",Registro_Ordini[[#This Row],[Prezzo]]/Registro_Ordini[[#This Row],[Price]]-1,Registro_Ordini[[#This Row],[Price]]/Registro_Ordini[[#This Row],[Prezzo]]-1))</f>
        <v>-5.266188104307068E-2</v>
      </c>
      <c r="P714" s="15">
        <v>-2.97928213474896E-2</v>
      </c>
      <c r="Q714" s="3">
        <v>0.15860515605877668</v>
      </c>
      <c r="R714" s="3">
        <v>0.3466311586471657</v>
      </c>
      <c r="S714" s="3">
        <v>0.39263057074941682</v>
      </c>
      <c r="T714" s="3">
        <v>0</v>
      </c>
      <c r="U714" s="3">
        <v>0.10213311454464075</v>
      </c>
      <c r="V714" s="3"/>
      <c r="W714" s="4"/>
    </row>
    <row r="715" spans="1:23" s="1" customFormat="1" ht="24.95" customHeight="1" x14ac:dyDescent="0.2">
      <c r="A715" s="8">
        <v>45747.447847222225</v>
      </c>
      <c r="B715" s="7">
        <v>45747.447847222225</v>
      </c>
      <c r="C715" s="9" t="s">
        <v>377</v>
      </c>
      <c r="D715" s="1" t="s">
        <v>388</v>
      </c>
      <c r="E715" s="1" t="s">
        <v>397</v>
      </c>
      <c r="F715" s="1" t="s">
        <v>406</v>
      </c>
      <c r="G715" s="1" t="s">
        <v>365</v>
      </c>
      <c r="H715" s="2">
        <v>-380</v>
      </c>
      <c r="I715" s="16">
        <v>129.3306</v>
      </c>
      <c r="J715" s="1" t="s">
        <v>369</v>
      </c>
      <c r="K715" s="6">
        <f>Registro_Ordini[[#This Row],[Numero]]*Registro_Ordini[[#This Row],[Prezzo]]</f>
        <v>-49145.628000000004</v>
      </c>
      <c r="L715" s="10">
        <v>1.00000011</v>
      </c>
      <c r="M715" s="6">
        <f>Registro_Ordini[[#This Row],[Importo]]*Registro_Ordini[[#This Row],[Cambio]]</f>
        <v>-49145.633406019086</v>
      </c>
      <c r="N715" s="1">
        <f ca="1">IFERROR(_xlfn.NUMBERVALUE(OFFSET(Origine,MATCH(Registro_Ordini[[#This Row],[Titolo]],Descrizioni,0),MATCH("Price",Intestazioni,0)-1,1,1)),"")</f>
        <v>136.52000000000001</v>
      </c>
      <c r="O715" s="18">
        <f ca="1">IF(OR(Registro_Ordini[[#This Row],[Price]]=0,Registro_Ordini[[#This Row],[Price]]=""),"",IF(Registro_Ordini[[#This Row],[Tipo]]="Sell",Registro_Ordini[[#This Row],[Prezzo]]/Registro_Ordini[[#This Row],[Price]]-1,Registro_Ordini[[#This Row],[Price]]/Registro_Ordini[[#This Row],[Prezzo]]-1))</f>
        <v>-5.266188104307068E-2</v>
      </c>
      <c r="P715" s="15">
        <v>-3.0183034036283248E-2</v>
      </c>
      <c r="Q715" s="3">
        <v>0.13256505002343161</v>
      </c>
      <c r="R715" s="3">
        <v>0.31937843992305631</v>
      </c>
      <c r="S715" s="3">
        <v>0.44070906245411262</v>
      </c>
      <c r="T715" s="3">
        <v>0</v>
      </c>
      <c r="U715" s="3">
        <v>0.10734744759939924</v>
      </c>
      <c r="V715" s="3"/>
      <c r="W715" s="4"/>
    </row>
    <row r="716" spans="1:23" s="1" customFormat="1" ht="24.95" customHeight="1" x14ac:dyDescent="0.2">
      <c r="A716" s="8">
        <v>45747.447847222225</v>
      </c>
      <c r="B716" s="7">
        <v>45747.447847222225</v>
      </c>
      <c r="C716" s="9" t="s">
        <v>376</v>
      </c>
      <c r="D716" s="1" t="s">
        <v>388</v>
      </c>
      <c r="E716" s="1" t="s">
        <v>397</v>
      </c>
      <c r="F716" s="1" t="s">
        <v>406</v>
      </c>
      <c r="G716" s="1" t="s">
        <v>365</v>
      </c>
      <c r="H716" s="2">
        <v>-110</v>
      </c>
      <c r="I716" s="16">
        <v>129.3306</v>
      </c>
      <c r="J716" s="1" t="s">
        <v>369</v>
      </c>
      <c r="K716" s="6">
        <f>Registro_Ordini[[#This Row],[Numero]]*Registro_Ordini[[#This Row],[Prezzo]]</f>
        <v>-14226.366</v>
      </c>
      <c r="L716" s="10">
        <v>1.00000011</v>
      </c>
      <c r="M716" s="6">
        <f>Registro_Ordini[[#This Row],[Importo]]*Registro_Ordini[[#This Row],[Cambio]]</f>
        <v>-14226.36756490026</v>
      </c>
      <c r="N716" s="1">
        <f ca="1">IFERROR(_xlfn.NUMBERVALUE(OFFSET(Origine,MATCH(Registro_Ordini[[#This Row],[Titolo]],Descrizioni,0),MATCH("Price",Intestazioni,0)-1,1,1)),"")</f>
        <v>136.52000000000001</v>
      </c>
      <c r="O716" s="18">
        <f ca="1">IF(OR(Registro_Ordini[[#This Row],[Price]]=0,Registro_Ordini[[#This Row],[Price]]=""),"",IF(Registro_Ordini[[#This Row],[Tipo]]="Sell",Registro_Ordini[[#This Row],[Prezzo]]/Registro_Ordini[[#This Row],[Price]]-1,Registro_Ordini[[#This Row],[Price]]/Registro_Ordini[[#This Row],[Prezzo]]-1))</f>
        <v>-5.266188104307068E-2</v>
      </c>
      <c r="P716" s="15">
        <v>-5.028959160765769E-2</v>
      </c>
      <c r="Q716" s="3">
        <v>0.10655457610567412</v>
      </c>
      <c r="R716" s="3">
        <v>0.34665067269597927</v>
      </c>
      <c r="S716" s="3">
        <v>0.41792792139108981</v>
      </c>
      <c r="T716" s="3">
        <v>0</v>
      </c>
      <c r="U716" s="3">
        <v>0.12886682980725683</v>
      </c>
      <c r="V716" s="3"/>
      <c r="W716" s="4"/>
    </row>
    <row r="717" spans="1:23" s="1" customFormat="1" ht="24.95" customHeight="1" x14ac:dyDescent="0.2">
      <c r="A717" s="8">
        <v>45747.447835648149</v>
      </c>
      <c r="B717" s="7">
        <v>45747.447835648149</v>
      </c>
      <c r="C717" s="9" t="s">
        <v>378</v>
      </c>
      <c r="D717" s="1" t="s">
        <v>388</v>
      </c>
      <c r="E717" s="1" t="s">
        <v>397</v>
      </c>
      <c r="F717" s="1" t="s">
        <v>406</v>
      </c>
      <c r="G717" s="1" t="s">
        <v>365</v>
      </c>
      <c r="H717" s="2">
        <v>-130</v>
      </c>
      <c r="I717" s="16">
        <v>129.3306</v>
      </c>
      <c r="J717" s="1" t="s">
        <v>369</v>
      </c>
      <c r="K717" s="6">
        <f>Registro_Ordini[[#This Row],[Numero]]*Registro_Ordini[[#This Row],[Prezzo]]</f>
        <v>-16812.977999999999</v>
      </c>
      <c r="L717" s="10">
        <v>1.00000011</v>
      </c>
      <c r="M717" s="6">
        <f>Registro_Ordini[[#This Row],[Importo]]*Registro_Ordini[[#This Row],[Cambio]]</f>
        <v>-16812.979849427578</v>
      </c>
      <c r="N717" s="1">
        <f ca="1">IFERROR(_xlfn.NUMBERVALUE(OFFSET(Origine,MATCH(Registro_Ordini[[#This Row],[Titolo]],Descrizioni,0),MATCH("Price",Intestazioni,0)-1,1,1)),"")</f>
        <v>136.52000000000001</v>
      </c>
      <c r="O717" s="18">
        <f ca="1">IF(OR(Registro_Ordini[[#This Row],[Price]]=0,Registro_Ordini[[#This Row],[Price]]=""),"",IF(Registro_Ordini[[#This Row],[Tipo]]="Sell",Registro_Ordini[[#This Row],[Prezzo]]/Registro_Ordini[[#This Row],[Price]]-1,Registro_Ordini[[#This Row],[Price]]/Registro_Ordini[[#This Row],[Prezzo]]-1))</f>
        <v>-5.266188104307068E-2</v>
      </c>
      <c r="P717" s="15">
        <v>-3.1990497767907924E-2</v>
      </c>
      <c r="Q717" s="3">
        <v>0.1463219195429703</v>
      </c>
      <c r="R717" s="3">
        <v>0.32800089088205697</v>
      </c>
      <c r="S717" s="3">
        <v>0.42670438256812326</v>
      </c>
      <c r="T717" s="3">
        <v>0</v>
      </c>
      <c r="U717" s="3">
        <v>9.89728070068496E-2</v>
      </c>
      <c r="V717" s="3"/>
      <c r="W717" s="4"/>
    </row>
    <row r="718" spans="1:23" s="1" customFormat="1" ht="24.95" customHeight="1" x14ac:dyDescent="0.2">
      <c r="A718" s="8">
        <v>45740.697106481479</v>
      </c>
      <c r="B718" s="7">
        <v>45740.697106481479</v>
      </c>
      <c r="C718" s="1" t="s">
        <v>78</v>
      </c>
      <c r="D718" s="1" t="s">
        <v>388</v>
      </c>
      <c r="E718" s="1" t="s">
        <v>389</v>
      </c>
      <c r="F718" s="1" t="s">
        <v>448</v>
      </c>
      <c r="G718" s="1" t="s">
        <v>371</v>
      </c>
      <c r="H718" s="12">
        <v>135</v>
      </c>
      <c r="I718" s="17">
        <v>105.1871</v>
      </c>
      <c r="J718" s="1" t="s">
        <v>381</v>
      </c>
      <c r="K718" s="6">
        <f>Registro_Ordini[[#This Row],[Numero]]*Registro_Ordini[[#This Row],[Prezzo]]</f>
        <v>14200.2585</v>
      </c>
      <c r="L718" s="10">
        <v>0.95484999999999998</v>
      </c>
      <c r="M718" s="6">
        <f>Registro_Ordini[[#This Row],[Importo]]*Registro_Ordini[[#This Row],[Cambio]]</f>
        <v>13559.116828725</v>
      </c>
      <c r="N718" s="1">
        <f ca="1">IFERROR(_xlfn.NUMBERVALUE(OFFSET(Origine,MATCH(Registro_Ordini[[#This Row],[Titolo]],Descrizioni,0),MATCH("Price",Intestazioni,0)-1,1,1)),"")</f>
        <v>124.02</v>
      </c>
      <c r="O718" s="18">
        <f ca="1">IF(OR(Registro_Ordini[[#This Row],[Price]]=0,Registro_Ordini[[#This Row],[Price]]=""),"",IF(Registro_Ordini[[#This Row],[Tipo]]="Sell",Registro_Ordini[[#This Row],[Prezzo]]/Registro_Ordini[[#This Row],[Price]]-1,Registro_Ordini[[#This Row],[Price]]/Registro_Ordini[[#This Row],[Prezzo]]-1))</f>
        <v>0.17904191673693814</v>
      </c>
      <c r="P718" s="14">
        <v>2.5278898701871319E-2</v>
      </c>
      <c r="Q718" s="13">
        <v>0.23232013654111797</v>
      </c>
      <c r="R718" s="13">
        <v>0.12861509877859956</v>
      </c>
      <c r="S718" s="13">
        <v>0.58075171298534001</v>
      </c>
      <c r="T718" s="13">
        <v>0</v>
      </c>
      <c r="U718" s="13">
        <v>5.83130516949424E-2</v>
      </c>
      <c r="V718" s="13"/>
    </row>
    <row r="719" spans="1:23" s="1" customFormat="1" ht="24.95" customHeight="1" x14ac:dyDescent="0.2">
      <c r="A719" s="8">
        <v>45740.696828703702</v>
      </c>
      <c r="B719" s="7">
        <v>45740.696828703702</v>
      </c>
      <c r="C719" s="1" t="s">
        <v>379</v>
      </c>
      <c r="D719" s="1" t="s">
        <v>388</v>
      </c>
      <c r="E719" s="1" t="s">
        <v>389</v>
      </c>
      <c r="F719" s="1" t="s">
        <v>448</v>
      </c>
      <c r="G719" s="1" t="s">
        <v>371</v>
      </c>
      <c r="H719" s="12">
        <v>140</v>
      </c>
      <c r="I719" s="17">
        <v>105.1871</v>
      </c>
      <c r="J719" s="1" t="s">
        <v>381</v>
      </c>
      <c r="K719" s="6">
        <f>Registro_Ordini[[#This Row],[Numero]]*Registro_Ordini[[#This Row],[Prezzo]]</f>
        <v>14726.194</v>
      </c>
      <c r="L719" s="10">
        <v>1</v>
      </c>
      <c r="M719" s="6">
        <f>Registro_Ordini[[#This Row],[Importo]]*Registro_Ordini[[#This Row],[Cambio]]</f>
        <v>14726.194</v>
      </c>
      <c r="N719" s="1">
        <f ca="1">IFERROR(_xlfn.NUMBERVALUE(OFFSET(Origine,MATCH(Registro_Ordini[[#This Row],[Titolo]],Descrizioni,0),MATCH("Price",Intestazioni,0)-1,1,1)),"")</f>
        <v>124.02</v>
      </c>
      <c r="O719" s="18">
        <f ca="1">IF(OR(Registro_Ordini[[#This Row],[Price]]=0,Registro_Ordini[[#This Row],[Price]]=""),"",IF(Registro_Ordini[[#This Row],[Tipo]]="Sell",Registro_Ordini[[#This Row],[Prezzo]]/Registro_Ordini[[#This Row],[Price]]-1,Registro_Ordini[[#This Row],[Price]]/Registro_Ordini[[#This Row],[Prezzo]]-1))</f>
        <v>0.17904191673693814</v>
      </c>
      <c r="P719" s="14">
        <v>2.562051469915741E-2</v>
      </c>
      <c r="Q719" s="13">
        <v>0.13326375537082705</v>
      </c>
      <c r="R719" s="13">
        <v>0.28243923555544387</v>
      </c>
      <c r="S719" s="13">
        <v>0.47577793441665323</v>
      </c>
      <c r="T719" s="13">
        <v>0</v>
      </c>
      <c r="U719" s="13">
        <v>0.1085190746570759</v>
      </c>
      <c r="V719" s="13"/>
    </row>
    <row r="720" spans="1:23" s="1" customFormat="1" ht="24.95" customHeight="1" x14ac:dyDescent="0.2">
      <c r="A720" s="8">
        <v>45740.696817129632</v>
      </c>
      <c r="B720" s="7">
        <v>45740.696817129632</v>
      </c>
      <c r="C720" s="1" t="s">
        <v>382</v>
      </c>
      <c r="D720" s="1" t="s">
        <v>388</v>
      </c>
      <c r="E720" s="1" t="s">
        <v>389</v>
      </c>
      <c r="F720" s="1" t="s">
        <v>448</v>
      </c>
      <c r="G720" s="1" t="s">
        <v>371</v>
      </c>
      <c r="H720" s="12">
        <v>255</v>
      </c>
      <c r="I720" s="17">
        <v>105.1871</v>
      </c>
      <c r="J720" s="1" t="s">
        <v>381</v>
      </c>
      <c r="K720" s="6">
        <f>Registro_Ordini[[#This Row],[Numero]]*Registro_Ordini[[#This Row],[Prezzo]]</f>
        <v>26822.710500000001</v>
      </c>
      <c r="L720" s="10">
        <v>1</v>
      </c>
      <c r="M720" s="6">
        <f>Registro_Ordini[[#This Row],[Importo]]*Registro_Ordini[[#This Row],[Cambio]]</f>
        <v>26822.710500000001</v>
      </c>
      <c r="N720" s="1">
        <f ca="1">IFERROR(_xlfn.NUMBERVALUE(OFFSET(Origine,MATCH(Registro_Ordini[[#This Row],[Titolo]],Descrizioni,0),MATCH("Price",Intestazioni,0)-1,1,1)),"")</f>
        <v>124.02</v>
      </c>
      <c r="O720" s="18">
        <f ca="1">IF(OR(Registro_Ordini[[#This Row],[Price]]=0,Registro_Ordini[[#This Row],[Price]]=""),"",IF(Registro_Ordini[[#This Row],[Tipo]]="Sell",Registro_Ordini[[#This Row],[Prezzo]]/Registro_Ordini[[#This Row],[Price]]-1,Registro_Ordini[[#This Row],[Price]]/Registro_Ordini[[#This Row],[Prezzo]]-1))</f>
        <v>0.17904191673693814</v>
      </c>
      <c r="P720" s="14">
        <v>2.5120821497980485E-2</v>
      </c>
      <c r="Q720" s="13">
        <v>0.12436301043401381</v>
      </c>
      <c r="R720" s="13">
        <v>0.27260935755285032</v>
      </c>
      <c r="S720" s="13">
        <v>0.49491164540967053</v>
      </c>
      <c r="T720" s="13">
        <v>0</v>
      </c>
      <c r="U720" s="13">
        <v>0.10811598660346544</v>
      </c>
      <c r="V720" s="13"/>
    </row>
    <row r="721" spans="1:23" s="1" customFormat="1" ht="24.95" customHeight="1" x14ac:dyDescent="0.2">
      <c r="A721" s="8">
        <v>45740.696805555555</v>
      </c>
      <c r="B721" s="7">
        <v>45740.696805555555</v>
      </c>
      <c r="C721" s="1" t="s">
        <v>383</v>
      </c>
      <c r="D721" s="1" t="s">
        <v>388</v>
      </c>
      <c r="E721" s="1" t="s">
        <v>389</v>
      </c>
      <c r="F721" s="1" t="s">
        <v>448</v>
      </c>
      <c r="G721" s="1" t="s">
        <v>371</v>
      </c>
      <c r="H721" s="12">
        <v>150</v>
      </c>
      <c r="I721" s="17">
        <v>105.1871</v>
      </c>
      <c r="J721" s="1" t="s">
        <v>381</v>
      </c>
      <c r="K721" s="6">
        <f>Registro_Ordini[[#This Row],[Numero]]*Registro_Ordini[[#This Row],[Prezzo]]</f>
        <v>15778.065000000001</v>
      </c>
      <c r="L721" s="10">
        <v>1</v>
      </c>
      <c r="M721" s="6">
        <f>Registro_Ordini[[#This Row],[Importo]]*Registro_Ordini[[#This Row],[Cambio]]</f>
        <v>15778.065000000001</v>
      </c>
      <c r="N721" s="1">
        <f ca="1">IFERROR(_xlfn.NUMBERVALUE(OFFSET(Origine,MATCH(Registro_Ordini[[#This Row],[Titolo]],Descrizioni,0),MATCH("Price",Intestazioni,0)-1,1,1)),"")</f>
        <v>124.02</v>
      </c>
      <c r="O721" s="18">
        <f ca="1">IF(OR(Registro_Ordini[[#This Row],[Price]]=0,Registro_Ordini[[#This Row],[Price]]=""),"",IF(Registro_Ordini[[#This Row],[Tipo]]="Sell",Registro_Ordini[[#This Row],[Prezzo]]/Registro_Ordini[[#This Row],[Price]]-1,Registro_Ordini[[#This Row],[Price]]/Registro_Ordini[[#This Row],[Prezzo]]-1))</f>
        <v>0.17904191673693814</v>
      </c>
      <c r="P721" s="14">
        <v>2.496348588177633E-2</v>
      </c>
      <c r="Q721" s="13">
        <v>0.14134284588163315</v>
      </c>
      <c r="R721" s="13">
        <v>0.26810762987350151</v>
      </c>
      <c r="S721" s="13">
        <v>0.4839155199902313</v>
      </c>
      <c r="T721" s="13">
        <v>0</v>
      </c>
      <c r="U721" s="13">
        <v>0.10663400425463389</v>
      </c>
      <c r="V721" s="13"/>
    </row>
    <row r="722" spans="1:23" s="1" customFormat="1" ht="24.95" customHeight="1" x14ac:dyDescent="0.2">
      <c r="A722" s="8">
        <v>45740.696400462963</v>
      </c>
      <c r="B722" s="7">
        <v>45740.696400462963</v>
      </c>
      <c r="C722" s="1" t="s">
        <v>375</v>
      </c>
      <c r="D722" s="1" t="s">
        <v>388</v>
      </c>
      <c r="E722" s="1" t="s">
        <v>389</v>
      </c>
      <c r="F722" s="1" t="s">
        <v>448</v>
      </c>
      <c r="G722" s="1" t="s">
        <v>371</v>
      </c>
      <c r="H722" s="12">
        <v>160</v>
      </c>
      <c r="I722" s="17">
        <v>105.1871</v>
      </c>
      <c r="J722" s="1" t="s">
        <v>381</v>
      </c>
      <c r="K722" s="6">
        <f>Registro_Ordini[[#This Row],[Numero]]*Registro_Ordini[[#This Row],[Prezzo]]</f>
        <v>16829.936000000002</v>
      </c>
      <c r="L722" s="10">
        <v>0.95474999999999999</v>
      </c>
      <c r="M722" s="6">
        <f>Registro_Ordini[[#This Row],[Importo]]*Registro_Ordini[[#This Row],[Cambio]]</f>
        <v>16068.381396000001</v>
      </c>
      <c r="N722" s="1">
        <f ca="1">IFERROR(_xlfn.NUMBERVALUE(OFFSET(Origine,MATCH(Registro_Ordini[[#This Row],[Titolo]],Descrizioni,0),MATCH("Price",Intestazioni,0)-1,1,1)),"")</f>
        <v>124.02</v>
      </c>
      <c r="O722" s="18">
        <f ca="1">IF(OR(Registro_Ordini[[#This Row],[Price]]=0,Registro_Ordini[[#This Row],[Price]]=""),"",IF(Registro_Ordini[[#This Row],[Tipo]]="Sell",Registro_Ordini[[#This Row],[Prezzo]]/Registro_Ordini[[#This Row],[Price]]-1,Registro_Ordini[[#This Row],[Price]]/Registro_Ordini[[#This Row],[Prezzo]]-1))</f>
        <v>0.17904191673693814</v>
      </c>
      <c r="P722" s="14">
        <v>1.9338690509416726E-2</v>
      </c>
      <c r="Q722" s="13">
        <v>0.12796450207573812</v>
      </c>
      <c r="R722" s="13">
        <v>0.34327740285409897</v>
      </c>
      <c r="S722" s="13">
        <v>0.43075376224977902</v>
      </c>
      <c r="T722" s="13">
        <v>0</v>
      </c>
      <c r="U722" s="13">
        <v>9.8004332820383885E-2</v>
      </c>
      <c r="V722" s="13"/>
    </row>
    <row r="723" spans="1:23" s="1" customFormat="1" ht="24.95" customHeight="1" thickBot="1" x14ac:dyDescent="0.25">
      <c r="A723" s="8">
        <v>45740.696400462963</v>
      </c>
      <c r="B723" s="7">
        <v>45740.696400462963</v>
      </c>
      <c r="C723" s="1" t="s">
        <v>376</v>
      </c>
      <c r="D723" s="1" t="s">
        <v>388</v>
      </c>
      <c r="E723" s="1" t="s">
        <v>389</v>
      </c>
      <c r="F723" s="1" t="s">
        <v>448</v>
      </c>
      <c r="G723" s="1" t="s">
        <v>371</v>
      </c>
      <c r="H723" s="12">
        <v>55</v>
      </c>
      <c r="I723" s="17">
        <v>105.1871</v>
      </c>
      <c r="J723" s="1" t="s">
        <v>381</v>
      </c>
      <c r="K723" s="6">
        <f>Registro_Ordini[[#This Row],[Numero]]*Registro_Ordini[[#This Row],[Prezzo]]</f>
        <v>5785.2905000000001</v>
      </c>
      <c r="L723" s="10">
        <v>0.95474999999999999</v>
      </c>
      <c r="M723" s="6">
        <f>Registro_Ordini[[#This Row],[Importo]]*Registro_Ordini[[#This Row],[Cambio]]</f>
        <v>5523.5061048750003</v>
      </c>
      <c r="N723" s="1">
        <f ca="1">IFERROR(_xlfn.NUMBERVALUE(OFFSET(Origine,MATCH(Registro_Ordini[[#This Row],[Titolo]],Descrizioni,0),MATCH("Price",Intestazioni,0)-1,1,1)),"")</f>
        <v>124.02</v>
      </c>
      <c r="O723" s="18">
        <f ca="1">IF(OR(Registro_Ordini[[#This Row],[Price]]=0,Registro_Ordini[[#This Row],[Price]]=""),"",IF(Registro_Ordini[[#This Row],[Tipo]]="Sell",Registro_Ordini[[#This Row],[Prezzo]]/Registro_Ordini[[#This Row],[Price]]-1,Registro_Ordini[[#This Row],[Price]]/Registro_Ordini[[#This Row],[Prezzo]]-1))</f>
        <v>0.17904191673693814</v>
      </c>
      <c r="P723" s="14">
        <v>1.9396146194959062E-2</v>
      </c>
      <c r="Q723" s="13">
        <v>5.5976976748383256E-2</v>
      </c>
      <c r="R723" s="13">
        <v>0.34356870365452397</v>
      </c>
      <c r="S723" s="13">
        <v>0.47668751098982026</v>
      </c>
      <c r="T723" s="13">
        <v>0</v>
      </c>
      <c r="U723" s="13">
        <v>0.12376680860727264</v>
      </c>
      <c r="V723" s="13"/>
    </row>
    <row r="724" spans="1:23" s="1" customFormat="1" ht="24.95" customHeight="1" x14ac:dyDescent="0.2">
      <c r="A724" s="11">
        <v>45740.696388888886</v>
      </c>
      <c r="B724" s="7">
        <v>45740.696388888886</v>
      </c>
      <c r="C724" s="1" t="s">
        <v>377</v>
      </c>
      <c r="D724" s="1" t="s">
        <v>388</v>
      </c>
      <c r="E724" s="1" t="s">
        <v>389</v>
      </c>
      <c r="F724" s="1" t="s">
        <v>448</v>
      </c>
      <c r="G724" s="1" t="s">
        <v>371</v>
      </c>
      <c r="H724" s="12">
        <v>330</v>
      </c>
      <c r="I724" s="17">
        <v>105.1871</v>
      </c>
      <c r="J724" s="1" t="s">
        <v>381</v>
      </c>
      <c r="K724" s="6">
        <f>Registro_Ordini[[#This Row],[Numero]]*Registro_Ordini[[#This Row],[Prezzo]]</f>
        <v>34711.743000000002</v>
      </c>
      <c r="L724" s="10">
        <v>0.95474999999999999</v>
      </c>
      <c r="M724" s="6">
        <f>Registro_Ordini[[#This Row],[Importo]]*Registro_Ordini[[#This Row],[Cambio]]</f>
        <v>33141.036629250004</v>
      </c>
      <c r="N724" s="1">
        <f ca="1">IFERROR(_xlfn.NUMBERVALUE(OFFSET(Origine,MATCH(Registro_Ordini[[#This Row],[Titolo]],Descrizioni,0),MATCH("Price",Intestazioni,0)-1,1,1)),"")</f>
        <v>124.02</v>
      </c>
      <c r="O724" s="18">
        <f ca="1">IF(OR(Registro_Ordini[[#This Row],[Price]]=0,Registro_Ordini[[#This Row],[Price]]=""),"",IF(Registro_Ordini[[#This Row],[Tipo]]="Sell",Registro_Ordini[[#This Row],[Prezzo]]/Registro_Ordini[[#This Row],[Price]]-1,Registro_Ordini[[#This Row],[Price]]/Registro_Ordini[[#This Row],[Prezzo]]-1))</f>
        <v>0.17904191673693814</v>
      </c>
      <c r="P724" s="14">
        <v>2.017886858968318E-2</v>
      </c>
      <c r="Q724" s="13">
        <v>0.10169363022698751</v>
      </c>
      <c r="R724" s="13">
        <v>0.31583279156952887</v>
      </c>
      <c r="S724" s="13">
        <v>0.47829930723504693</v>
      </c>
      <c r="T724" s="13">
        <v>0</v>
      </c>
      <c r="U724" s="13">
        <v>0.10417427096843662</v>
      </c>
      <c r="V724" s="13"/>
    </row>
    <row r="725" spans="1:23" s="1" customFormat="1" ht="24.95" customHeight="1" x14ac:dyDescent="0.2">
      <c r="A725" s="8">
        <v>45740.696377314816</v>
      </c>
      <c r="B725" s="7">
        <v>45740.696377314816</v>
      </c>
      <c r="C725" s="1" t="s">
        <v>378</v>
      </c>
      <c r="D725" s="1" t="s">
        <v>388</v>
      </c>
      <c r="E725" s="1" t="s">
        <v>389</v>
      </c>
      <c r="F725" s="1" t="s">
        <v>448</v>
      </c>
      <c r="G725" s="1" t="s">
        <v>371</v>
      </c>
      <c r="H725" s="12">
        <v>100</v>
      </c>
      <c r="I725" s="17">
        <v>105.1871</v>
      </c>
      <c r="J725" s="1" t="s">
        <v>381</v>
      </c>
      <c r="K725" s="6">
        <f>Registro_Ordini[[#This Row],[Numero]]*Registro_Ordini[[#This Row],[Prezzo]]</f>
        <v>10518.710000000001</v>
      </c>
      <c r="L725" s="10">
        <v>0.95474999999999999</v>
      </c>
      <c r="M725" s="6">
        <f>Registro_Ordini[[#This Row],[Importo]]*Registro_Ordini[[#This Row],[Cambio]]</f>
        <v>10042.7383725</v>
      </c>
      <c r="N725" s="1">
        <f ca="1">IFERROR(_xlfn.NUMBERVALUE(OFFSET(Origine,MATCH(Registro_Ordini[[#This Row],[Titolo]],Descrizioni,0),MATCH("Price",Intestazioni,0)-1,1,1)),"")</f>
        <v>124.02</v>
      </c>
      <c r="O725" s="18">
        <f ca="1">IF(OR(Registro_Ordini[[#This Row],[Price]]=0,Registro_Ordini[[#This Row],[Price]]=""),"",IF(Registro_Ordini[[#This Row],[Tipo]]="Sell",Registro_Ordini[[#This Row],[Prezzo]]/Registro_Ordini[[#This Row],[Price]]-1,Registro_Ordini[[#This Row],[Price]]/Registro_Ordini[[#This Row],[Prezzo]]-1))</f>
        <v>0.17904191673693814</v>
      </c>
      <c r="P725" s="14">
        <v>1.8948622200014403E-2</v>
      </c>
      <c r="Q725" s="13">
        <v>0.11347777233184503</v>
      </c>
      <c r="R725" s="13">
        <v>0.32431162536332497</v>
      </c>
      <c r="S725" s="13">
        <v>0.46741995619350374</v>
      </c>
      <c r="T725" s="13">
        <v>0</v>
      </c>
      <c r="U725" s="13">
        <v>9.4790646111326246E-2</v>
      </c>
      <c r="V725" s="13"/>
    </row>
    <row r="726" spans="1:23" s="1" customFormat="1" ht="24.95" customHeight="1" x14ac:dyDescent="0.2">
      <c r="A726" s="8">
        <v>45740.671215277776</v>
      </c>
      <c r="B726" s="7">
        <v>45740.708333333336</v>
      </c>
      <c r="C726" s="1" t="s">
        <v>367</v>
      </c>
      <c r="D726" s="1" t="s">
        <v>388</v>
      </c>
      <c r="E726" s="1" t="s">
        <v>389</v>
      </c>
      <c r="F726" s="1" t="s">
        <v>414</v>
      </c>
      <c r="G726" s="1" t="s">
        <v>371</v>
      </c>
      <c r="H726" s="12">
        <v>730</v>
      </c>
      <c r="I726" s="17">
        <v>108.855</v>
      </c>
      <c r="J726" s="1" t="s">
        <v>366</v>
      </c>
      <c r="K726" s="6">
        <f>Registro_Ordini[[#This Row],[Numero]]*Registro_Ordini[[#This Row],[Prezzo]]</f>
        <v>79464.150000000009</v>
      </c>
      <c r="L726" s="10">
        <v>0.88365000000000005</v>
      </c>
      <c r="M726" s="6">
        <f>Registro_Ordini[[#This Row],[Importo]]*Registro_Ordini[[#This Row],[Cambio]]</f>
        <v>70218.496147500016</v>
      </c>
      <c r="N726" s="1">
        <f ca="1">IFERROR(_xlfn.NUMBERVALUE(OFFSET(Origine,MATCH(Registro_Ordini[[#This Row],[Titolo]],Descrizioni,0),MATCH("Price",Intestazioni,0)-1,1,1)),"")</f>
        <v>137.36000000000001</v>
      </c>
      <c r="O726" s="18">
        <f ca="1">IF(OR(Registro_Ordini[[#This Row],[Price]]=0,Registro_Ordini[[#This Row],[Price]]=""),"",IF(Registro_Ordini[[#This Row],[Tipo]]="Sell",Registro_Ordini[[#This Row],[Prezzo]]/Registro_Ordini[[#This Row],[Price]]-1,Registro_Ordini[[#This Row],[Price]]/Registro_Ordini[[#This Row],[Prezzo]]-1))</f>
        <v>0.26186211014652527</v>
      </c>
      <c r="P726" s="14">
        <v>2.0030181921537122E-2</v>
      </c>
      <c r="Q726" s="13">
        <v>9.1100178944791235E-2</v>
      </c>
      <c r="R726" s="13">
        <v>0.39714190405113509</v>
      </c>
      <c r="S726" s="13">
        <v>0.4586202524862098</v>
      </c>
      <c r="T726" s="13">
        <v>0</v>
      </c>
      <c r="U726" s="13">
        <v>5.3137664517863885E-2</v>
      </c>
      <c r="V726" s="13"/>
    </row>
    <row r="727" spans="1:23" s="1" customFormat="1" ht="24.95" customHeight="1" x14ac:dyDescent="0.2">
      <c r="A727" s="8">
        <v>45740</v>
      </c>
      <c r="B727" s="7">
        <v>45740.709722222222</v>
      </c>
      <c r="C727" s="1" t="s">
        <v>367</v>
      </c>
      <c r="D727" s="1" t="s">
        <v>450</v>
      </c>
      <c r="F727" s="1" t="s">
        <v>451</v>
      </c>
      <c r="G727" s="1" t="s">
        <v>365</v>
      </c>
      <c r="H727" s="12">
        <v>-250000</v>
      </c>
      <c r="I727" s="17">
        <v>1.1420999999999999</v>
      </c>
      <c r="J727" s="1" t="s">
        <v>366</v>
      </c>
      <c r="K727" s="6">
        <f>Registro_Ordini[[#This Row],[Numero]]*Registro_Ordini[[#This Row],[Prezzo]]</f>
        <v>-285525</v>
      </c>
      <c r="L727" s="10">
        <v>1.0000001000000001</v>
      </c>
      <c r="M727" s="6">
        <f>Registro_Ordini[[#This Row],[Importo]]*Registro_Ordini[[#This Row],[Cambio]]</f>
        <v>-285525.02855250001</v>
      </c>
      <c r="N727" s="1" t="str">
        <f ca="1">IFERROR(_xlfn.NUMBERVALUE(OFFSET(Origine,MATCH(Registro_Ordini[[#This Row],[Titolo]],Descrizioni,0),MATCH("Price",Intestazioni,0)-1,1,1)),"")</f>
        <v/>
      </c>
      <c r="O727" s="18" t="str">
        <f ca="1">IF(OR(Registro_Ordini[[#This Row],[Price]]=0,Registro_Ordini[[#This Row],[Price]]=""),"",IF(Registro_Ordini[[#This Row],[Tipo]]="Sell",Registro_Ordini[[#This Row],[Prezzo]]/Registro_Ordini[[#This Row],[Price]]-1,Registro_Ordini[[#This Row],[Price]]/Registro_Ordini[[#This Row],[Prezzo]]-1))</f>
        <v/>
      </c>
      <c r="P727" s="14"/>
      <c r="Q727" s="13"/>
      <c r="R727" s="13"/>
      <c r="S727" s="13"/>
      <c r="T727" s="13"/>
      <c r="U727" s="13"/>
      <c r="V727" s="13"/>
    </row>
    <row r="728" spans="1:23" s="1" customFormat="1" ht="24.95" customHeight="1" x14ac:dyDescent="0.2">
      <c r="A728" s="8">
        <v>45721.558506944442</v>
      </c>
      <c r="B728" s="7">
        <v>45721.558506944442</v>
      </c>
      <c r="C728" s="9" t="s">
        <v>379</v>
      </c>
      <c r="D728" s="1" t="s">
        <v>388</v>
      </c>
      <c r="E728" s="1" t="s">
        <v>403</v>
      </c>
      <c r="F728" s="1" t="s">
        <v>405</v>
      </c>
      <c r="G728" s="1" t="s">
        <v>365</v>
      </c>
      <c r="H728" s="2">
        <v>-20</v>
      </c>
      <c r="I728" s="16">
        <v>284.75224500000002</v>
      </c>
      <c r="J728" s="1" t="s">
        <v>381</v>
      </c>
      <c r="K728" s="6">
        <f>Registro_Ordini[[#This Row],[Numero]]*Registro_Ordini[[#This Row],[Prezzo]]</f>
        <v>-5695.0449000000008</v>
      </c>
      <c r="L728" s="10">
        <v>1</v>
      </c>
      <c r="M728" s="6">
        <f>Registro_Ordini[[#This Row],[Importo]]*Registro_Ordini[[#This Row],[Cambio]]</f>
        <v>-5695.0449000000008</v>
      </c>
      <c r="N728" s="1">
        <f ca="1">IFERROR(_xlfn.NUMBERVALUE(OFFSET(Origine,MATCH(Registro_Ordini[[#This Row],[Titolo]],Descrizioni,0),MATCH("Price",Intestazioni,0)-1,1,1)),"")</f>
        <v>330.2</v>
      </c>
      <c r="O728" s="18">
        <f ca="1">IF(OR(Registro_Ordini[[#This Row],[Price]]=0,Registro_Ordini[[#This Row],[Price]]=""),"",IF(Registro_Ordini[[#This Row],[Tipo]]="Sell",Registro_Ordini[[#This Row],[Prezzo]]/Registro_Ordini[[#This Row],[Price]]-1,Registro_Ordini[[#This Row],[Price]]/Registro_Ordini[[#This Row],[Prezzo]]-1))</f>
        <v>-0.1376370533010296</v>
      </c>
      <c r="P728" s="15">
        <v>-9.9903487681523937E-3</v>
      </c>
      <c r="Q728" s="3">
        <v>0.15948238694836361</v>
      </c>
      <c r="R728" s="3">
        <v>0.2855086293759464</v>
      </c>
      <c r="S728" s="3">
        <v>0.44794824279544648</v>
      </c>
      <c r="T728" s="3">
        <v>0</v>
      </c>
      <c r="U728" s="3">
        <v>0.10706074088024344</v>
      </c>
      <c r="V728" s="3"/>
      <c r="W728" s="4"/>
    </row>
    <row r="729" spans="1:23" s="1" customFormat="1" ht="24.95" customHeight="1" x14ac:dyDescent="0.2">
      <c r="A729" s="8">
        <v>45721.558495370373</v>
      </c>
      <c r="B729" s="7">
        <v>45721.558495370373</v>
      </c>
      <c r="C729" s="9" t="s">
        <v>382</v>
      </c>
      <c r="D729" s="1" t="s">
        <v>388</v>
      </c>
      <c r="E729" s="1" t="s">
        <v>403</v>
      </c>
      <c r="F729" s="1" t="s">
        <v>405</v>
      </c>
      <c r="G729" s="1" t="s">
        <v>365</v>
      </c>
      <c r="H729" s="2">
        <v>-40</v>
      </c>
      <c r="I729" s="16">
        <v>284.75224500000002</v>
      </c>
      <c r="J729" s="1" t="s">
        <v>381</v>
      </c>
      <c r="K729" s="6">
        <f>Registro_Ordini[[#This Row],[Numero]]*Registro_Ordini[[#This Row],[Prezzo]]</f>
        <v>-11390.089800000002</v>
      </c>
      <c r="L729" s="10">
        <v>1</v>
      </c>
      <c r="M729" s="6">
        <f>Registro_Ordini[[#This Row],[Importo]]*Registro_Ordini[[#This Row],[Cambio]]</f>
        <v>-11390.089800000002</v>
      </c>
      <c r="N729" s="1">
        <f ca="1">IFERROR(_xlfn.NUMBERVALUE(OFFSET(Origine,MATCH(Registro_Ordini[[#This Row],[Titolo]],Descrizioni,0),MATCH("Price",Intestazioni,0)-1,1,1)),"")</f>
        <v>330.2</v>
      </c>
      <c r="O729" s="18">
        <f ca="1">IF(OR(Registro_Ordini[[#This Row],[Price]]=0,Registro_Ordini[[#This Row],[Price]]=""),"",IF(Registro_Ordini[[#This Row],[Tipo]]="Sell",Registro_Ordini[[#This Row],[Prezzo]]/Registro_Ordini[[#This Row],[Price]]-1,Registro_Ordini[[#This Row],[Price]]/Registro_Ordini[[#This Row],[Prezzo]]-1))</f>
        <v>-0.1376370533010296</v>
      </c>
      <c r="P729" s="15">
        <v>-1.076100454140542E-2</v>
      </c>
      <c r="Q729" s="3">
        <v>0.15030312380753696</v>
      </c>
      <c r="R729" s="3">
        <v>0.27580472710399589</v>
      </c>
      <c r="S729" s="3">
        <v>0.46781975503415452</v>
      </c>
      <c r="T729" s="3">
        <v>0</v>
      </c>
      <c r="U729" s="3">
        <v>0.10607239405431265</v>
      </c>
      <c r="V729" s="3"/>
      <c r="W729" s="4"/>
    </row>
    <row r="730" spans="1:23" s="1" customFormat="1" ht="24.95" customHeight="1" x14ac:dyDescent="0.2">
      <c r="A730" s="8">
        <v>45721.558483796296</v>
      </c>
      <c r="B730" s="7">
        <v>45721.558483796296</v>
      </c>
      <c r="C730" s="9" t="s">
        <v>383</v>
      </c>
      <c r="D730" s="1" t="s">
        <v>388</v>
      </c>
      <c r="E730" s="1" t="s">
        <v>403</v>
      </c>
      <c r="F730" s="1" t="s">
        <v>405</v>
      </c>
      <c r="G730" s="1" t="s">
        <v>365</v>
      </c>
      <c r="H730" s="2">
        <v>-25</v>
      </c>
      <c r="I730" s="16">
        <v>284.75224500000002</v>
      </c>
      <c r="J730" s="1" t="s">
        <v>381</v>
      </c>
      <c r="K730" s="6">
        <f>Registro_Ordini[[#This Row],[Numero]]*Registro_Ordini[[#This Row],[Prezzo]]</f>
        <v>-7118.8061250000001</v>
      </c>
      <c r="L730" s="10">
        <v>1</v>
      </c>
      <c r="M730" s="6">
        <f>Registro_Ordini[[#This Row],[Importo]]*Registro_Ordini[[#This Row],[Cambio]]</f>
        <v>-7118.8061250000001</v>
      </c>
      <c r="N730" s="1">
        <f ca="1">IFERROR(_xlfn.NUMBERVALUE(OFFSET(Origine,MATCH(Registro_Ordini[[#This Row],[Titolo]],Descrizioni,0),MATCH("Price",Intestazioni,0)-1,1,1)),"")</f>
        <v>330.2</v>
      </c>
      <c r="O730" s="18">
        <f ca="1">IF(OR(Registro_Ordini[[#This Row],[Price]]=0,Registro_Ordini[[#This Row],[Price]]=""),"",IF(Registro_Ordini[[#This Row],[Tipo]]="Sell",Registro_Ordini[[#This Row],[Prezzo]]/Registro_Ordini[[#This Row],[Price]]-1,Registro_Ordini[[#This Row],[Price]]/Registro_Ordini[[#This Row],[Prezzo]]-1))</f>
        <v>-0.1376370533010296</v>
      </c>
      <c r="P730" s="15">
        <v>-1.1358321274212203E-2</v>
      </c>
      <c r="Q730" s="3">
        <v>0.16733844984928278</v>
      </c>
      <c r="R730" s="3">
        <v>0.27105245307131332</v>
      </c>
      <c r="S730" s="3">
        <v>0.45715184351094429</v>
      </c>
      <c r="T730" s="3">
        <v>0</v>
      </c>
      <c r="U730" s="3">
        <v>0.10445725356845977</v>
      </c>
      <c r="V730" s="3"/>
      <c r="W730" s="4"/>
    </row>
    <row r="731" spans="1:23" s="1" customFormat="1" ht="24.95" customHeight="1" x14ac:dyDescent="0.2">
      <c r="A731" s="8">
        <v>45721.558263888888</v>
      </c>
      <c r="B731" s="7">
        <v>45721.558263888888</v>
      </c>
      <c r="C731" s="9" t="s">
        <v>78</v>
      </c>
      <c r="D731" s="1" t="s">
        <v>388</v>
      </c>
      <c r="E731" s="1" t="s">
        <v>403</v>
      </c>
      <c r="F731" s="1" t="s">
        <v>405</v>
      </c>
      <c r="G731" s="1" t="s">
        <v>365</v>
      </c>
      <c r="H731" s="2">
        <v>-20</v>
      </c>
      <c r="I731" s="16">
        <v>284.75224500000002</v>
      </c>
      <c r="J731" s="1" t="s">
        <v>381</v>
      </c>
      <c r="K731" s="6">
        <f>Registro_Ordini[[#This Row],[Numero]]*Registro_Ordini[[#This Row],[Prezzo]]</f>
        <v>-5695.0449000000008</v>
      </c>
      <c r="L731" s="10">
        <v>0.94994999999999996</v>
      </c>
      <c r="M731" s="6">
        <f>Registro_Ordini[[#This Row],[Importo]]*Registro_Ordini[[#This Row],[Cambio]]</f>
        <v>-5410.0079027550009</v>
      </c>
      <c r="N731" s="1">
        <f ca="1">IFERROR(_xlfn.NUMBERVALUE(OFFSET(Origine,MATCH(Registro_Ordini[[#This Row],[Titolo]],Descrizioni,0),MATCH("Price",Intestazioni,0)-1,1,1)),"")</f>
        <v>330.2</v>
      </c>
      <c r="O731" s="18">
        <f ca="1">IF(OR(Registro_Ordini[[#This Row],[Price]]=0,Registro_Ordini[[#This Row],[Price]]=""),"",IF(Registro_Ordini[[#This Row],[Tipo]]="Sell",Registro_Ordini[[#This Row],[Prezzo]]/Registro_Ordini[[#This Row],[Price]]-1,Registro_Ordini[[#This Row],[Price]]/Registro_Ordini[[#This Row],[Prezzo]]-1))</f>
        <v>-0.1376370533010296</v>
      </c>
      <c r="P731" s="15">
        <v>-1.2481328110209087E-2</v>
      </c>
      <c r="Q731" s="3">
        <v>8.8461580269080867E-2</v>
      </c>
      <c r="R731" s="3">
        <v>0.16012129594685987</v>
      </c>
      <c r="S731" s="3">
        <v>0.68134644328126082</v>
      </c>
      <c r="T731" s="3">
        <v>0</v>
      </c>
      <c r="U731" s="3">
        <v>7.0070680502798396E-2</v>
      </c>
      <c r="V731" s="3"/>
      <c r="W731" s="4"/>
    </row>
    <row r="732" spans="1:23" s="1" customFormat="1" ht="24.95" customHeight="1" x14ac:dyDescent="0.2">
      <c r="A732" s="8">
        <v>45721.557916666665</v>
      </c>
      <c r="B732" s="7">
        <v>45721.557916666665</v>
      </c>
      <c r="C732" s="9" t="s">
        <v>375</v>
      </c>
      <c r="D732" s="1" t="s">
        <v>388</v>
      </c>
      <c r="E732" s="1" t="s">
        <v>403</v>
      </c>
      <c r="F732" s="1" t="s">
        <v>405</v>
      </c>
      <c r="G732" s="1" t="s">
        <v>365</v>
      </c>
      <c r="H732" s="2">
        <v>-30</v>
      </c>
      <c r="I732" s="16">
        <v>284.75224500000002</v>
      </c>
      <c r="J732" s="1" t="s">
        <v>381</v>
      </c>
      <c r="K732" s="6">
        <f>Registro_Ordini[[#This Row],[Numero]]*Registro_Ordini[[#This Row],[Prezzo]]</f>
        <v>-8542.5673500000012</v>
      </c>
      <c r="L732" s="10">
        <v>0.95015000000000005</v>
      </c>
      <c r="M732" s="6">
        <f>Registro_Ordini[[#This Row],[Importo]]*Registro_Ordini[[#This Row],[Cambio]]</f>
        <v>-8116.7203676025019</v>
      </c>
      <c r="N732" s="1">
        <f ca="1">IFERROR(_xlfn.NUMBERVALUE(OFFSET(Origine,MATCH(Registro_Ordini[[#This Row],[Titolo]],Descrizioni,0),MATCH("Price",Intestazioni,0)-1,1,1)),"")</f>
        <v>330.2</v>
      </c>
      <c r="O732" s="18">
        <f ca="1">IF(OR(Registro_Ordini[[#This Row],[Price]]=0,Registro_Ordini[[#This Row],[Price]]=""),"",IF(Registro_Ordini[[#This Row],[Tipo]]="Sell",Registro_Ordini[[#This Row],[Prezzo]]/Registro_Ordini[[#This Row],[Price]]-1,Registro_Ordini[[#This Row],[Price]]/Registro_Ordini[[#This Row],[Prezzo]]-1))</f>
        <v>-0.1376370533010296</v>
      </c>
      <c r="P732" s="15">
        <v>-1.0529464270240955E-2</v>
      </c>
      <c r="Q732" s="3">
        <v>8.9178810241498527E-2</v>
      </c>
      <c r="R732" s="3">
        <v>0.37059827971558151</v>
      </c>
      <c r="S732" s="3">
        <v>0.43762681379956808</v>
      </c>
      <c r="T732" s="3">
        <v>0</v>
      </c>
      <c r="U732" s="3">
        <v>0.10259609624335185</v>
      </c>
      <c r="V732" s="3"/>
      <c r="W732" s="4"/>
    </row>
    <row r="733" spans="1:23" s="1" customFormat="1" ht="24.95" customHeight="1" x14ac:dyDescent="0.2">
      <c r="A733" s="8">
        <v>45721.557905092595</v>
      </c>
      <c r="B733" s="7">
        <v>45721.557905092595</v>
      </c>
      <c r="C733" s="9" t="s">
        <v>376</v>
      </c>
      <c r="D733" s="1" t="s">
        <v>388</v>
      </c>
      <c r="E733" s="1" t="s">
        <v>403</v>
      </c>
      <c r="F733" s="1" t="s">
        <v>405</v>
      </c>
      <c r="G733" s="1" t="s">
        <v>365</v>
      </c>
      <c r="H733" s="2">
        <v>-15</v>
      </c>
      <c r="I733" s="16">
        <v>284.75224500000002</v>
      </c>
      <c r="J733" s="1" t="s">
        <v>381</v>
      </c>
      <c r="K733" s="6">
        <f>Registro_Ordini[[#This Row],[Numero]]*Registro_Ordini[[#This Row],[Prezzo]]</f>
        <v>-4271.2836750000006</v>
      </c>
      <c r="L733" s="10">
        <v>0.95015000000000005</v>
      </c>
      <c r="M733" s="6">
        <f>Registro_Ordini[[#This Row],[Importo]]*Registro_Ordini[[#This Row],[Cambio]]</f>
        <v>-4058.360183801251</v>
      </c>
      <c r="N733" s="1">
        <f ca="1">IFERROR(_xlfn.NUMBERVALUE(OFFSET(Origine,MATCH(Registro_Ordini[[#This Row],[Titolo]],Descrizioni,0),MATCH("Price",Intestazioni,0)-1,1,1)),"")</f>
        <v>330.2</v>
      </c>
      <c r="O733" s="18">
        <f ca="1">IF(OR(Registro_Ordini[[#This Row],[Price]]=0,Registro_Ordini[[#This Row],[Price]]=""),"",IF(Registro_Ordini[[#This Row],[Tipo]]="Sell",Registro_Ordini[[#This Row],[Prezzo]]/Registro_Ordini[[#This Row],[Price]]-1,Registro_Ordini[[#This Row],[Price]]/Registro_Ordini[[#This Row],[Prezzo]]-1))</f>
        <v>-0.1376370533010296</v>
      </c>
      <c r="P733" s="15">
        <v>-1.4433364080163843E-2</v>
      </c>
      <c r="Q733" s="3">
        <v>7.1512434284564649E-2</v>
      </c>
      <c r="R733" s="3">
        <v>0.34851028252647565</v>
      </c>
      <c r="S733" s="3">
        <v>0.4581281624396002</v>
      </c>
      <c r="T733" s="3">
        <v>0</v>
      </c>
      <c r="U733" s="3">
        <v>0.1218491207493594</v>
      </c>
      <c r="V733" s="3"/>
      <c r="W733" s="4"/>
    </row>
    <row r="734" spans="1:23" s="1" customFormat="1" ht="24.95" customHeight="1" x14ac:dyDescent="0.2">
      <c r="A734" s="8">
        <v>45721.557893518519</v>
      </c>
      <c r="B734" s="7">
        <v>45721.557893518519</v>
      </c>
      <c r="C734" s="9" t="s">
        <v>378</v>
      </c>
      <c r="D734" s="1" t="s">
        <v>388</v>
      </c>
      <c r="E734" s="1" t="s">
        <v>403</v>
      </c>
      <c r="F734" s="1" t="s">
        <v>405</v>
      </c>
      <c r="G734" s="1" t="s">
        <v>365</v>
      </c>
      <c r="H734" s="2">
        <v>-25</v>
      </c>
      <c r="I734" s="16">
        <v>284.75224500000002</v>
      </c>
      <c r="J734" s="1" t="s">
        <v>381</v>
      </c>
      <c r="K734" s="6">
        <f>Registro_Ordini[[#This Row],[Numero]]*Registro_Ordini[[#This Row],[Prezzo]]</f>
        <v>-7118.8061250000001</v>
      </c>
      <c r="L734" s="10">
        <v>0.95015000000000005</v>
      </c>
      <c r="M734" s="6">
        <f>Registro_Ordini[[#This Row],[Importo]]*Registro_Ordini[[#This Row],[Cambio]]</f>
        <v>-6763.9336396687504</v>
      </c>
      <c r="N734" s="1">
        <f ca="1">IFERROR(_xlfn.NUMBERVALUE(OFFSET(Origine,MATCH(Registro_Ordini[[#This Row],[Titolo]],Descrizioni,0),MATCH("Price",Intestazioni,0)-1,1,1)),"")</f>
        <v>330.2</v>
      </c>
      <c r="O734" s="18">
        <f ca="1">IF(OR(Registro_Ordini[[#This Row],[Price]]=0,Registro_Ordini[[#This Row],[Price]]=""),"",IF(Registro_Ordini[[#This Row],[Tipo]]="Sell",Registro_Ordini[[#This Row],[Prezzo]]/Registro_Ordini[[#This Row],[Price]]-1,Registro_Ordini[[#This Row],[Price]]/Registro_Ordini[[#This Row],[Prezzo]]-1))</f>
        <v>-0.1376370533010296</v>
      </c>
      <c r="P734" s="15">
        <v>-1.3513251505318964E-2</v>
      </c>
      <c r="Q734" s="3">
        <v>8.9123303659698658E-2</v>
      </c>
      <c r="R734" s="3">
        <v>0.34401086188823593</v>
      </c>
      <c r="S734" s="3">
        <v>0.46935194654414991</v>
      </c>
      <c r="T734" s="3">
        <v>0</v>
      </c>
      <c r="U734" s="3">
        <v>9.7513887907915625E-2</v>
      </c>
      <c r="V734" s="3"/>
      <c r="W734" s="4"/>
    </row>
    <row r="735" spans="1:23" s="1" customFormat="1" ht="24.95" customHeight="1" x14ac:dyDescent="0.2">
      <c r="A735" s="8">
        <v>45721.557893518519</v>
      </c>
      <c r="B735" s="7">
        <v>45721.557893518519</v>
      </c>
      <c r="C735" s="9" t="s">
        <v>377</v>
      </c>
      <c r="D735" s="1" t="s">
        <v>388</v>
      </c>
      <c r="E735" s="1" t="s">
        <v>403</v>
      </c>
      <c r="F735" s="1" t="s">
        <v>405</v>
      </c>
      <c r="G735" s="1" t="s">
        <v>365</v>
      </c>
      <c r="H735" s="2">
        <v>-70</v>
      </c>
      <c r="I735" s="16">
        <v>284.75224500000002</v>
      </c>
      <c r="J735" s="1" t="s">
        <v>381</v>
      </c>
      <c r="K735" s="6">
        <f>Registro_Ordini[[#This Row],[Numero]]*Registro_Ordini[[#This Row],[Prezzo]]</f>
        <v>-19932.657150000003</v>
      </c>
      <c r="L735" s="10">
        <v>0.95015000000000005</v>
      </c>
      <c r="M735" s="6">
        <f>Registro_Ordini[[#This Row],[Importo]]*Registro_Ordini[[#This Row],[Cambio]]</f>
        <v>-18939.014191072503</v>
      </c>
      <c r="N735" s="1">
        <f ca="1">IFERROR(_xlfn.NUMBERVALUE(OFFSET(Origine,MATCH(Registro_Ordini[[#This Row],[Titolo]],Descrizioni,0),MATCH("Price",Intestazioni,0)-1,1,1)),"")</f>
        <v>330.2</v>
      </c>
      <c r="O735" s="18">
        <f ca="1">IF(OR(Registro_Ordini[[#This Row],[Price]]=0,Registro_Ordini[[#This Row],[Price]]=""),"",IF(Registro_Ordini[[#This Row],[Tipo]]="Sell",Registro_Ordini[[#This Row],[Prezzo]]/Registro_Ordini[[#This Row],[Price]]-1,Registro_Ordini[[#This Row],[Price]]/Registro_Ordini[[#This Row],[Prezzo]]-1))</f>
        <v>-0.1376370533010296</v>
      </c>
      <c r="P735" s="15">
        <v>-1.1852958587180589E-2</v>
      </c>
      <c r="Q735" s="3">
        <v>0.10405406683638822</v>
      </c>
      <c r="R735" s="3">
        <v>0.32519482831136381</v>
      </c>
      <c r="S735" s="3">
        <v>0.46620556208126085</v>
      </c>
      <c r="T735" s="3">
        <v>0</v>
      </c>
      <c r="U735" s="3">
        <v>0.10454554277098704</v>
      </c>
      <c r="V735" s="3"/>
      <c r="W735" s="4"/>
    </row>
    <row r="736" spans="1:23" s="1" customFormat="1" ht="24.95" customHeight="1" x14ac:dyDescent="0.2">
      <c r="A736" s="8">
        <v>45721.556932870371</v>
      </c>
      <c r="B736" s="7">
        <v>45721.556932870371</v>
      </c>
      <c r="C736" s="9" t="s">
        <v>367</v>
      </c>
      <c r="D736" s="1" t="s">
        <v>388</v>
      </c>
      <c r="E736" s="1" t="s">
        <v>403</v>
      </c>
      <c r="F736" s="1" t="s">
        <v>405</v>
      </c>
      <c r="G736" s="1" t="s">
        <v>365</v>
      </c>
      <c r="H736" s="2">
        <v>-140</v>
      </c>
      <c r="I736" s="16">
        <v>284.8</v>
      </c>
      <c r="J736" s="1" t="s">
        <v>381</v>
      </c>
      <c r="K736" s="6">
        <f>Registro_Ordini[[#This Row],[Numero]]*Registro_Ordini[[#This Row],[Prezzo]]</f>
        <v>-39872</v>
      </c>
      <c r="L736" s="10">
        <v>0.95015000000000005</v>
      </c>
      <c r="M736" s="6">
        <f>Registro_Ordini[[#This Row],[Importo]]*Registro_Ordini[[#This Row],[Cambio]]</f>
        <v>-37884.380799999999</v>
      </c>
      <c r="N736" s="1">
        <f ca="1">IFERROR(_xlfn.NUMBERVALUE(OFFSET(Origine,MATCH(Registro_Ordini[[#This Row],[Titolo]],Descrizioni,0),MATCH("Price",Intestazioni,0)-1,1,1)),"")</f>
        <v>330.2</v>
      </c>
      <c r="O736" s="18">
        <f ca="1">IF(OR(Registro_Ordini[[#This Row],[Price]]=0,Registro_Ordini[[#This Row],[Price]]=""),"",IF(Registro_Ordini[[#This Row],[Tipo]]="Sell",Registro_Ordini[[#This Row],[Prezzo]]/Registro_Ordini[[#This Row],[Price]]-1,Registro_Ordini[[#This Row],[Price]]/Registro_Ordini[[#This Row],[Prezzo]]-1))</f>
        <v>-0.13749242883101143</v>
      </c>
      <c r="P736" s="15">
        <v>-1.0638686129381261E-2</v>
      </c>
      <c r="Q736" s="3">
        <v>0.13030242054981772</v>
      </c>
      <c r="R736" s="3">
        <v>0.39144057886005446</v>
      </c>
      <c r="S736" s="3">
        <v>0.42718255430990643</v>
      </c>
      <c r="T736" s="3">
        <v>0</v>
      </c>
      <c r="U736" s="3">
        <v>5.10744462802213E-2</v>
      </c>
      <c r="V736" s="3"/>
      <c r="W736" s="4"/>
    </row>
    <row r="737" spans="1:23" s="1" customFormat="1" ht="24.95" customHeight="1" x14ac:dyDescent="0.2">
      <c r="A737" s="8">
        <v>45720.690833333334</v>
      </c>
      <c r="B737" s="7">
        <v>45720.690833333334</v>
      </c>
      <c r="C737" s="1" t="s">
        <v>413</v>
      </c>
      <c r="D737" s="1" t="s">
        <v>388</v>
      </c>
      <c r="E737" s="1" t="s">
        <v>389</v>
      </c>
      <c r="F737" s="19" t="s">
        <v>452</v>
      </c>
      <c r="G737" s="1" t="s">
        <v>365</v>
      </c>
      <c r="H737" s="12">
        <v>-16500</v>
      </c>
      <c r="I737" s="17">
        <v>6.2515999999999998</v>
      </c>
      <c r="J737" s="1" t="s">
        <v>366</v>
      </c>
      <c r="K737" s="6">
        <f>Registro_Ordini[[#This Row],[Numero]]*Registro_Ordini[[#This Row],[Prezzo]]</f>
        <v>-103151.4</v>
      </c>
      <c r="L737" s="10">
        <v>0.89075000000000004</v>
      </c>
      <c r="M737" s="6">
        <f>Registro_Ordini[[#This Row],[Importo]]*Registro_Ordini[[#This Row],[Cambio]]</f>
        <v>-91882.109549999994</v>
      </c>
      <c r="N737" s="1">
        <f ca="1">IFERROR(_xlfn.NUMBERVALUE(OFFSET(Origine,MATCH(Registro_Ordini[[#This Row],[Titolo]],Descrizioni,0),MATCH("Price",Intestazioni,0)-1,1,1)),"")</f>
        <v>7.2450000000000001</v>
      </c>
      <c r="O737" s="18">
        <f ca="1">IF(OR(Registro_Ordini[[#This Row],[Price]]=0,Registro_Ordini[[#This Row],[Price]]=""),"",IF(Registro_Ordini[[#This Row],[Tipo]]="Sell",Registro_Ordini[[#This Row],[Prezzo]]/Registro_Ordini[[#This Row],[Price]]-1,Registro_Ordini[[#This Row],[Price]]/Registro_Ordini[[#This Row],[Prezzo]]-1))</f>
        <v>-0.13711525189786067</v>
      </c>
      <c r="P737" s="14">
        <v>-1.8742884801532439E-2</v>
      </c>
      <c r="Q737" s="13">
        <v>0.11201243655553877</v>
      </c>
      <c r="R737" s="13">
        <v>0.21879465653002156</v>
      </c>
      <c r="S737" s="13">
        <v>0.26384398170553675</v>
      </c>
      <c r="T737" s="13">
        <v>0</v>
      </c>
      <c r="U737" s="13">
        <v>0.40534892520890281</v>
      </c>
      <c r="V737" s="13">
        <v>0</v>
      </c>
      <c r="W737" s="19"/>
    </row>
    <row r="738" spans="1:23" s="1" customFormat="1" ht="24.95" customHeight="1" x14ac:dyDescent="0.2">
      <c r="A738" s="8">
        <v>45720.689710648148</v>
      </c>
      <c r="B738" s="7">
        <v>45720.689710648148</v>
      </c>
      <c r="C738" s="1" t="s">
        <v>413</v>
      </c>
      <c r="D738" s="1" t="s">
        <v>388</v>
      </c>
      <c r="E738" s="1" t="s">
        <v>389</v>
      </c>
      <c r="F738" s="19" t="s">
        <v>453</v>
      </c>
      <c r="G738" s="1" t="s">
        <v>365</v>
      </c>
      <c r="H738" s="12">
        <v>-500</v>
      </c>
      <c r="I738" s="17">
        <v>179.92699999999999</v>
      </c>
      <c r="J738" s="1" t="s">
        <v>366</v>
      </c>
      <c r="K738" s="6">
        <f>Registro_Ordini[[#This Row],[Numero]]*Registro_Ordini[[#This Row],[Prezzo]]</f>
        <v>-89963.5</v>
      </c>
      <c r="L738" s="10">
        <v>0.89024999999999999</v>
      </c>
      <c r="M738" s="6">
        <f>Registro_Ordini[[#This Row],[Importo]]*Registro_Ordini[[#This Row],[Cambio]]</f>
        <v>-80090.005875000003</v>
      </c>
      <c r="N738" s="1">
        <f ca="1">IFERROR(_xlfn.NUMBERVALUE(OFFSET(Origine,MATCH(Registro_Ordini[[#This Row],[Titolo]],Descrizioni,0),MATCH("Price",Intestazioni,0)-1,1,1)),"")</f>
        <v>159.41499999999999</v>
      </c>
      <c r="O738" s="18">
        <f ca="1">IF(OR(Registro_Ordini[[#This Row],[Price]]=0,Registro_Ordini[[#This Row],[Price]]=""),"",IF(Registro_Ordini[[#This Row],[Tipo]]="Sell",Registro_Ordini[[#This Row],[Prezzo]]/Registro_Ordini[[#This Row],[Price]]-1,Registro_Ordini[[#This Row],[Price]]/Registro_Ordini[[#This Row],[Prezzo]]-1))</f>
        <v>0.1286704513377035</v>
      </c>
      <c r="P738" s="14">
        <v>-1.6345043779059973E-2</v>
      </c>
      <c r="Q738" s="13">
        <v>9.3282526665859927E-2</v>
      </c>
      <c r="R738" s="13">
        <v>0.21887125934313542</v>
      </c>
      <c r="S738" s="13">
        <v>0.28263896409839279</v>
      </c>
      <c r="T738" s="13">
        <v>0</v>
      </c>
      <c r="U738" s="13">
        <v>0.40520724989261181</v>
      </c>
      <c r="V738" s="13">
        <v>0</v>
      </c>
      <c r="W738" s="19"/>
    </row>
    <row r="739" spans="1:23" s="1" customFormat="1" ht="24.95" customHeight="1" x14ac:dyDescent="0.2">
      <c r="A739" s="8">
        <v>45720.689432870371</v>
      </c>
      <c r="B739" s="7">
        <v>45720.689432870371</v>
      </c>
      <c r="C739" s="1" t="s">
        <v>413</v>
      </c>
      <c r="D739" s="1" t="s">
        <v>388</v>
      </c>
      <c r="E739" s="1" t="s">
        <v>389</v>
      </c>
      <c r="F739" s="19" t="s">
        <v>454</v>
      </c>
      <c r="G739" s="1" t="s">
        <v>365</v>
      </c>
      <c r="H739" s="12">
        <v>-1000</v>
      </c>
      <c r="I739" s="17">
        <v>94.938810000000004</v>
      </c>
      <c r="J739" s="1" t="s">
        <v>366</v>
      </c>
      <c r="K739" s="6">
        <f>Registro_Ordini[[#This Row],[Numero]]*Registro_Ordini[[#This Row],[Prezzo]]</f>
        <v>-94938.81</v>
      </c>
      <c r="L739" s="10">
        <v>0.89024999999999999</v>
      </c>
      <c r="M739" s="6">
        <f>Registro_Ordini[[#This Row],[Importo]]*Registro_Ordini[[#This Row],[Cambio]]</f>
        <v>-84519.275602499998</v>
      </c>
      <c r="N739" s="1">
        <f ca="1">IFERROR(_xlfn.NUMBERVALUE(OFFSET(Origine,MATCH(Registro_Ordini[[#This Row],[Titolo]],Descrizioni,0),MATCH("Price",Intestazioni,0)-1,1,1)),"")</f>
        <v>95.27</v>
      </c>
      <c r="O739" s="18">
        <f ca="1">IF(OR(Registro_Ordini[[#This Row],[Price]]=0,Registro_Ordini[[#This Row],[Price]]=""),"",IF(Registro_Ordini[[#This Row],[Tipo]]="Sell",Registro_Ordini[[#This Row],[Prezzo]]/Registro_Ordini[[#This Row],[Price]]-1,Registro_Ordini[[#This Row],[Price]]/Registro_Ordini[[#This Row],[Prezzo]]-1))</f>
        <v>-3.4763304293060626E-3</v>
      </c>
      <c r="P739" s="14">
        <v>-1.7250052155823949E-2</v>
      </c>
      <c r="Q739" s="13">
        <v>7.6942245625287814E-2</v>
      </c>
      <c r="R739" s="13">
        <v>0.21888480835113058</v>
      </c>
      <c r="S739" s="13">
        <v>0.29894061217849049</v>
      </c>
      <c r="T739" s="13">
        <v>0</v>
      </c>
      <c r="U739" s="13">
        <v>0.40523233384509127</v>
      </c>
      <c r="V739" s="13">
        <v>0</v>
      </c>
      <c r="W739" s="19"/>
    </row>
    <row r="740" spans="1:23" s="1" customFormat="1" ht="24.95" customHeight="1" x14ac:dyDescent="0.2">
      <c r="A740" s="8">
        <v>45700.638252314813</v>
      </c>
      <c r="B740" s="7">
        <v>45700.638252314813</v>
      </c>
      <c r="C740" s="1" t="s">
        <v>367</v>
      </c>
      <c r="D740" s="1" t="s">
        <v>450</v>
      </c>
      <c r="F740" s="1" t="s">
        <v>455</v>
      </c>
      <c r="G740" s="1" t="s">
        <v>371</v>
      </c>
      <c r="H740" s="12">
        <v>250000</v>
      </c>
      <c r="I740" s="17">
        <v>1.0972999999999999</v>
      </c>
      <c r="J740" s="1" t="s">
        <v>366</v>
      </c>
      <c r="K740" s="6">
        <f>Registro_Ordini[[#This Row],[Numero]]*Registro_Ordini[[#This Row],[Prezzo]]</f>
        <v>274325</v>
      </c>
      <c r="L740" s="10">
        <v>1.0000001000000001</v>
      </c>
      <c r="M740" s="6">
        <f>Registro_Ordini[[#This Row],[Importo]]*Registro_Ordini[[#This Row],[Cambio]]</f>
        <v>274325.02743250004</v>
      </c>
      <c r="N740" s="1" t="str">
        <f ca="1">IFERROR(_xlfn.NUMBERVALUE(OFFSET(Origine,MATCH(Registro_Ordini[[#This Row],[Titolo]],Descrizioni,0),MATCH("Price",Intestazioni,0)-1,1,1)),"")</f>
        <v/>
      </c>
      <c r="O740" s="18" t="str">
        <f ca="1">IF(OR(Registro_Ordini[[#This Row],[Price]]=0,Registro_Ordini[[#This Row],[Price]]=""),"",IF(Registro_Ordini[[#This Row],[Tipo]]="Sell",Registro_Ordini[[#This Row],[Prezzo]]/Registro_Ordini[[#This Row],[Price]]-1,Registro_Ordini[[#This Row],[Price]]/Registro_Ordini[[#This Row],[Prezzo]]-1))</f>
        <v/>
      </c>
      <c r="P740" s="14">
        <v>7.6094605776239096E-2</v>
      </c>
      <c r="Q740" s="13">
        <v>5.3882147693991023E-2</v>
      </c>
      <c r="R740" s="13">
        <v>0.42502471688972954</v>
      </c>
      <c r="S740" s="13">
        <v>0.46454360043784393</v>
      </c>
      <c r="T740" s="13">
        <v>0</v>
      </c>
      <c r="U740" s="13">
        <v>5.6549534978435553E-2</v>
      </c>
      <c r="V740" s="13"/>
    </row>
    <row r="741" spans="1:23" s="1" customFormat="1" ht="24.95" customHeight="1" x14ac:dyDescent="0.2">
      <c r="A741" s="8">
        <v>45700.619606481479</v>
      </c>
      <c r="B741" s="7">
        <v>45700.619606481479</v>
      </c>
      <c r="C741" s="1" t="s">
        <v>456</v>
      </c>
      <c r="D741" s="1" t="s">
        <v>362</v>
      </c>
      <c r="E741" s="1" t="s">
        <v>363</v>
      </c>
      <c r="F741" s="1" t="s">
        <v>364</v>
      </c>
      <c r="G741" s="1" t="s">
        <v>365</v>
      </c>
      <c r="H741" s="12">
        <v>-30000</v>
      </c>
      <c r="I741" s="17">
        <v>1</v>
      </c>
      <c r="J741" s="1" t="s">
        <v>369</v>
      </c>
      <c r="K741" s="6">
        <f>Registro_Ordini[[#This Row],[Numero]]*Registro_Ordini[[#This Row],[Prezzo]]</f>
        <v>-30000</v>
      </c>
      <c r="L741" s="10">
        <v>0.89978999999999998</v>
      </c>
      <c r="M741" s="6">
        <f>Registro_Ordini[[#This Row],[Importo]]*Registro_Ordini[[#This Row],[Cambio]]</f>
        <v>-26993.7</v>
      </c>
      <c r="N741" s="1">
        <f ca="1">IFERROR(_xlfn.NUMBERVALUE(OFFSET(Origine,MATCH(Registro_Ordini[[#This Row],[Titolo]],Descrizioni,0),MATCH("Price",Intestazioni,0)-1,1,1)),"")</f>
        <v>0.78225</v>
      </c>
      <c r="O741" s="18">
        <f ca="1">IF(OR(Registro_Ordini[[#This Row],[Price]]=0,Registro_Ordini[[#This Row],[Price]]=""),"",IF(Registro_Ordini[[#This Row],[Tipo]]="Sell",Registro_Ordini[[#This Row],[Prezzo]]/Registro_Ordini[[#This Row],[Price]]-1,Registro_Ordini[[#This Row],[Price]]/Registro_Ordini[[#This Row],[Prezzo]]-1))</f>
        <v>0.27836369447107701</v>
      </c>
      <c r="P741" s="14">
        <v>-3.6100128550283966E-2</v>
      </c>
      <c r="Q741" s="13">
        <v>0.10929099644384078</v>
      </c>
      <c r="R741" s="13">
        <v>0.30424722057194942</v>
      </c>
      <c r="S741" s="13">
        <v>0.52305396204147181</v>
      </c>
      <c r="T741" s="13">
        <v>0</v>
      </c>
      <c r="U741" s="13">
        <v>0</v>
      </c>
      <c r="V741" s="13">
        <v>6.3407820942737961E-2</v>
      </c>
      <c r="W741" s="1" t="s">
        <v>457</v>
      </c>
    </row>
    <row r="742" spans="1:23" s="1" customFormat="1" ht="24.95" customHeight="1" x14ac:dyDescent="0.2">
      <c r="A742" s="8">
        <v>45699.7187962963</v>
      </c>
      <c r="B742" s="7">
        <v>45699.717048611114</v>
      </c>
      <c r="C742" s="1" t="s">
        <v>78</v>
      </c>
      <c r="D742" s="1" t="s">
        <v>388</v>
      </c>
      <c r="E742" s="1" t="s">
        <v>397</v>
      </c>
      <c r="F742" s="1" t="s">
        <v>458</v>
      </c>
      <c r="G742" s="1" t="s">
        <v>365</v>
      </c>
      <c r="H742" s="12">
        <v>-3</v>
      </c>
      <c r="I742" s="17">
        <v>3835.2777780000001</v>
      </c>
      <c r="J742" s="1" t="s">
        <v>369</v>
      </c>
      <c r="K742" s="6">
        <f>Registro_Ordini[[#This Row],[Numero]]*Registro_Ordini[[#This Row],[Prezzo]]</f>
        <v>-11505.833334000001</v>
      </c>
      <c r="L742" s="10">
        <v>1.0000001000000001</v>
      </c>
      <c r="M742" s="6">
        <f>Registro_Ordini[[#This Row],[Importo]]*Registro_Ordini[[#This Row],[Cambio]]</f>
        <v>-11505.834484583334</v>
      </c>
      <c r="N742" s="1">
        <f ca="1">IFERROR(_xlfn.NUMBERVALUE(OFFSET(Origine,MATCH(Registro_Ordini[[#This Row],[Titolo]],Descrizioni,0),MATCH("Price",Intestazioni,0)-1,1,1)),"")</f>
        <v>2961</v>
      </c>
      <c r="O742" s="18">
        <f ca="1">IF(OR(Registro_Ordini[[#This Row],[Price]]=0,Registro_Ordini[[#This Row],[Price]]=""),"",IF(Registro_Ordini[[#This Row],[Tipo]]="Sell",Registro_Ordini[[#This Row],[Prezzo]]/Registro_Ordini[[#This Row],[Price]]-1,Registro_Ordini[[#This Row],[Price]]/Registro_Ordini[[#This Row],[Prezzo]]-1))</f>
        <v>0.29526436271529888</v>
      </c>
      <c r="P742" s="14">
        <v>-2.6675473224171849E-2</v>
      </c>
      <c r="Q742" s="13">
        <v>7.7249821749013819E-2</v>
      </c>
      <c r="R742" s="13">
        <v>0.16129226576145611</v>
      </c>
      <c r="S742" s="13">
        <v>0.69115383050187873</v>
      </c>
      <c r="T742" s="13">
        <v>0</v>
      </c>
      <c r="U742" s="13">
        <v>7.0304081987651285E-2</v>
      </c>
      <c r="V742" s="13"/>
    </row>
    <row r="743" spans="1:23" s="1" customFormat="1" ht="24.95" customHeight="1" x14ac:dyDescent="0.2">
      <c r="A743" s="8">
        <v>45699.718298611115</v>
      </c>
      <c r="B743" s="7">
        <v>45699.718298611115</v>
      </c>
      <c r="C743" s="1" t="s">
        <v>78</v>
      </c>
      <c r="D743" s="1" t="s">
        <v>388</v>
      </c>
      <c r="E743" s="1" t="s">
        <v>397</v>
      </c>
      <c r="F743" s="1" t="s">
        <v>442</v>
      </c>
      <c r="G743" s="1" t="s">
        <v>371</v>
      </c>
      <c r="H743" s="12">
        <v>225</v>
      </c>
      <c r="I743" s="17">
        <v>50.71</v>
      </c>
      <c r="J743" s="1" t="s">
        <v>369</v>
      </c>
      <c r="K743" s="6">
        <f>Registro_Ordini[[#This Row],[Numero]]*Registro_Ordini[[#This Row],[Prezzo]]</f>
        <v>11409.75</v>
      </c>
      <c r="L743" s="10">
        <v>1.0000001000000001</v>
      </c>
      <c r="M743" s="6">
        <f>Registro_Ordini[[#This Row],[Importo]]*Registro_Ordini[[#This Row],[Cambio]]</f>
        <v>11409.751140975</v>
      </c>
      <c r="N743" s="1">
        <f ca="1">IFERROR(_xlfn.NUMBERVALUE(OFFSET(Origine,MATCH(Registro_Ordini[[#This Row],[Titolo]],Descrizioni,0),MATCH("Price",Intestazioni,0)-1,1,1)),"")</f>
        <v>67.2</v>
      </c>
      <c r="O743" s="18">
        <f ca="1">IF(OR(Registro_Ordini[[#This Row],[Price]]=0,Registro_Ordini[[#This Row],[Price]]=""),"",IF(Registro_Ordini[[#This Row],[Tipo]]="Sell",Registro_Ordini[[#This Row],[Prezzo]]/Registro_Ordini[[#This Row],[Price]]-1,Registro_Ordini[[#This Row],[Price]]/Registro_Ordini[[#This Row],[Prezzo]]-1))</f>
        <v>0.32518240978110824</v>
      </c>
      <c r="P743" s="14">
        <v>2.6454976736672724E-2</v>
      </c>
      <c r="Q743" s="13">
        <v>5.0586546929510173E-2</v>
      </c>
      <c r="R743" s="13">
        <v>0.16130608261270815</v>
      </c>
      <c r="S743" s="13">
        <v>0.71778335420648054</v>
      </c>
      <c r="T743" s="13">
        <v>0</v>
      </c>
      <c r="U743" s="13">
        <v>7.0324016251301177E-2</v>
      </c>
      <c r="V743" s="13"/>
    </row>
    <row r="744" spans="1:23" s="1" customFormat="1" ht="24.95" customHeight="1" x14ac:dyDescent="0.2">
      <c r="A744" s="8">
        <v>45699.718032407407</v>
      </c>
      <c r="B744" s="7">
        <v>45699.718032407407</v>
      </c>
      <c r="C744" s="1" t="s">
        <v>367</v>
      </c>
      <c r="D744" s="1" t="s">
        <v>388</v>
      </c>
      <c r="E744" s="1" t="s">
        <v>397</v>
      </c>
      <c r="F744" s="1" t="s">
        <v>442</v>
      </c>
      <c r="G744" s="1" t="s">
        <v>371</v>
      </c>
      <c r="H744" s="12">
        <v>750</v>
      </c>
      <c r="I744" s="17">
        <v>50.71</v>
      </c>
      <c r="J744" s="1" t="s">
        <v>369</v>
      </c>
      <c r="K744" s="6">
        <f>Registro_Ordini[[#This Row],[Numero]]*Registro_Ordini[[#This Row],[Prezzo]]</f>
        <v>38032.5</v>
      </c>
      <c r="L744" s="10">
        <v>1.0000001000000001</v>
      </c>
      <c r="M744" s="6">
        <f>Registro_Ordini[[#This Row],[Importo]]*Registro_Ordini[[#This Row],[Cambio]]</f>
        <v>38032.503803250002</v>
      </c>
      <c r="N744" s="1">
        <f ca="1">IFERROR(_xlfn.NUMBERVALUE(OFFSET(Origine,MATCH(Registro_Ordini[[#This Row],[Titolo]],Descrizioni,0),MATCH("Price",Intestazioni,0)-1,1,1)),"")</f>
        <v>67.2</v>
      </c>
      <c r="O744" s="18">
        <f ca="1">IF(OR(Registro_Ordini[[#This Row],[Price]]=0,Registro_Ordini[[#This Row],[Price]]=""),"",IF(Registro_Ordini[[#This Row],[Tipo]]="Sell",Registro_Ordini[[#This Row],[Prezzo]]/Registro_Ordini[[#This Row],[Price]]-1,Registro_Ordini[[#This Row],[Price]]/Registro_Ordini[[#This Row],[Prezzo]]-1))</f>
        <v>0.32518240978110824</v>
      </c>
      <c r="P744" s="14">
        <v>1.0754726793195682E-2</v>
      </c>
      <c r="Q744" s="13">
        <v>0.12063777757008171</v>
      </c>
      <c r="R744" s="13">
        <v>0.39478855554663356</v>
      </c>
      <c r="S744" s="13">
        <v>0.43203734265188787</v>
      </c>
      <c r="T744" s="13">
        <v>0</v>
      </c>
      <c r="U744" s="13">
        <v>5.2536324231396918E-2</v>
      </c>
      <c r="V744" s="13"/>
    </row>
    <row r="745" spans="1:23" s="1" customFormat="1" ht="24.95" customHeight="1" x14ac:dyDescent="0.2">
      <c r="A745" s="8">
        <v>45699.71802083333</v>
      </c>
      <c r="B745" s="7">
        <v>45699.71802083333</v>
      </c>
      <c r="C745" s="1" t="s">
        <v>375</v>
      </c>
      <c r="D745" s="1" t="s">
        <v>388</v>
      </c>
      <c r="E745" s="1" t="s">
        <v>397</v>
      </c>
      <c r="F745" s="1" t="s">
        <v>442</v>
      </c>
      <c r="G745" s="1" t="s">
        <v>371</v>
      </c>
      <c r="H745" s="12">
        <v>320</v>
      </c>
      <c r="I745" s="17">
        <v>50.71</v>
      </c>
      <c r="J745" s="1" t="s">
        <v>369</v>
      </c>
      <c r="K745" s="6">
        <f>Registro_Ordini[[#This Row],[Numero]]*Registro_Ordini[[#This Row],[Prezzo]]</f>
        <v>16227.2</v>
      </c>
      <c r="L745" s="10">
        <v>1.0000001000000001</v>
      </c>
      <c r="M745" s="6">
        <f>Registro_Ordini[[#This Row],[Importo]]*Registro_Ordini[[#This Row],[Cambio]]</f>
        <v>16227.201622720002</v>
      </c>
      <c r="N745" s="1">
        <f ca="1">IFERROR(_xlfn.NUMBERVALUE(OFFSET(Origine,MATCH(Registro_Ordini[[#This Row],[Titolo]],Descrizioni,0),MATCH("Price",Intestazioni,0)-1,1,1)),"")</f>
        <v>67.2</v>
      </c>
      <c r="O745" s="18">
        <f ca="1">IF(OR(Registro_Ordini[[#This Row],[Price]]=0,Registro_Ordini[[#This Row],[Price]]=""),"",IF(Registro_Ordini[[#This Row],[Tipo]]="Sell",Registro_Ordini[[#This Row],[Prezzo]]/Registro_Ordini[[#This Row],[Price]]-1,Registro_Ordini[[#This Row],[Price]]/Registro_Ordini[[#This Row],[Prezzo]]-1))</f>
        <v>0.32518240978110824</v>
      </c>
      <c r="P745" s="14">
        <v>1.9890370391358946E-2</v>
      </c>
      <c r="Q745" s="13">
        <v>0.13777184298121981</v>
      </c>
      <c r="R745" s="13">
        <v>0.3503609596194594</v>
      </c>
      <c r="S745" s="13">
        <v>0.41512362372711659</v>
      </c>
      <c r="T745" s="13">
        <v>0</v>
      </c>
      <c r="U745" s="13">
        <v>9.6743573672204181E-2</v>
      </c>
      <c r="V745" s="13"/>
    </row>
    <row r="746" spans="1:23" s="1" customFormat="1" ht="24.95" customHeight="1" x14ac:dyDescent="0.2">
      <c r="A746" s="8">
        <v>45699.718009259261</v>
      </c>
      <c r="B746" s="7">
        <v>45699.71802083333</v>
      </c>
      <c r="C746" s="1" t="s">
        <v>377</v>
      </c>
      <c r="D746" s="1" t="s">
        <v>388</v>
      </c>
      <c r="E746" s="1" t="s">
        <v>397</v>
      </c>
      <c r="F746" s="1" t="s">
        <v>442</v>
      </c>
      <c r="G746" s="1" t="s">
        <v>371</v>
      </c>
      <c r="H746" s="12">
        <v>640</v>
      </c>
      <c r="I746" s="17">
        <v>50.71</v>
      </c>
      <c r="J746" s="1" t="s">
        <v>369</v>
      </c>
      <c r="K746" s="6">
        <f>Registro_Ordini[[#This Row],[Numero]]*Registro_Ordini[[#This Row],[Prezzo]]</f>
        <v>32454.400000000001</v>
      </c>
      <c r="L746" s="10">
        <v>1.0000001000000001</v>
      </c>
      <c r="M746" s="6">
        <f>Registro_Ordini[[#This Row],[Importo]]*Registro_Ordini[[#This Row],[Cambio]]</f>
        <v>32454.403245440004</v>
      </c>
      <c r="N746" s="1">
        <f ca="1">IFERROR(_xlfn.NUMBERVALUE(OFFSET(Origine,MATCH(Registro_Ordini[[#This Row],[Titolo]],Descrizioni,0),MATCH("Price",Intestazioni,0)-1,1,1)),"")</f>
        <v>67.2</v>
      </c>
      <c r="O746" s="18">
        <f ca="1">IF(OR(Registro_Ordini[[#This Row],[Price]]=0,Registro_Ordini[[#This Row],[Price]]=""),"",IF(Registro_Ordini[[#This Row],[Tipo]]="Sell",Registro_Ordini[[#This Row],[Prezzo]]/Registro_Ordini[[#This Row],[Price]]-1,Registro_Ordini[[#This Row],[Price]]/Registro_Ordini[[#This Row],[Prezzo]]-1))</f>
        <v>0.32518240978110824</v>
      </c>
      <c r="P746" s="14">
        <v>1.9950827713732178E-2</v>
      </c>
      <c r="Q746" s="13">
        <v>0.1132355270496618</v>
      </c>
      <c r="R746" s="13">
        <v>0.31962883742415915</v>
      </c>
      <c r="S746" s="13">
        <v>0.46223863113183383</v>
      </c>
      <c r="T746" s="13">
        <v>0</v>
      </c>
      <c r="U746" s="13">
        <v>0.10489700439434503</v>
      </c>
      <c r="V746" s="13"/>
    </row>
    <row r="747" spans="1:23" s="1" customFormat="1" ht="24.95" customHeight="1" x14ac:dyDescent="0.2">
      <c r="A747" s="8">
        <v>45699.718009259261</v>
      </c>
      <c r="B747" s="7">
        <v>45699.718009259261</v>
      </c>
      <c r="C747" s="1" t="s">
        <v>378</v>
      </c>
      <c r="D747" s="1" t="s">
        <v>388</v>
      </c>
      <c r="E747" s="1" t="s">
        <v>397</v>
      </c>
      <c r="F747" s="1" t="s">
        <v>442</v>
      </c>
      <c r="G747" s="1" t="s">
        <v>371</v>
      </c>
      <c r="H747" s="12">
        <v>200</v>
      </c>
      <c r="I747" s="17">
        <v>50.71</v>
      </c>
      <c r="J747" s="1" t="s">
        <v>369</v>
      </c>
      <c r="K747" s="6">
        <f>Registro_Ordini[[#This Row],[Numero]]*Registro_Ordini[[#This Row],[Prezzo]]</f>
        <v>10142</v>
      </c>
      <c r="L747" s="10">
        <v>1.0000001000000001</v>
      </c>
      <c r="M747" s="6">
        <f>Registro_Ordini[[#This Row],[Importo]]*Registro_Ordini[[#This Row],[Cambio]]</f>
        <v>10142.001014200001</v>
      </c>
      <c r="N747" s="1">
        <f ca="1">IFERROR(_xlfn.NUMBERVALUE(OFFSET(Origine,MATCH(Registro_Ordini[[#This Row],[Titolo]],Descrizioni,0),MATCH("Price",Intestazioni,0)-1,1,1)),"")</f>
        <v>67.2</v>
      </c>
      <c r="O747" s="18">
        <f ca="1">IF(OR(Registro_Ordini[[#This Row],[Price]]=0,Registro_Ordini[[#This Row],[Price]]=""),"",IF(Registro_Ordini[[#This Row],[Tipo]]="Sell",Registro_Ordini[[#This Row],[Prezzo]]/Registro_Ordini[[#This Row],[Price]]-1,Registro_Ordini[[#This Row],[Price]]/Registro_Ordini[[#This Row],[Prezzo]]-1))</f>
        <v>0.32518240978110824</v>
      </c>
      <c r="P747" s="14">
        <v>1.9401617250649102E-2</v>
      </c>
      <c r="Q747" s="13">
        <v>0.12265077815256215</v>
      </c>
      <c r="R747" s="13">
        <v>0.32978091709388713</v>
      </c>
      <c r="S747" s="13">
        <v>0.45363340879665598</v>
      </c>
      <c r="T747" s="13">
        <v>0</v>
      </c>
      <c r="U747" s="13">
        <v>9.3934895956894873E-2</v>
      </c>
      <c r="V747" s="13"/>
    </row>
    <row r="748" spans="1:23" s="1" customFormat="1" ht="24.95" customHeight="1" x14ac:dyDescent="0.2">
      <c r="A748" s="8">
        <v>45699.714918981481</v>
      </c>
      <c r="B748" s="7">
        <v>45699.717048611114</v>
      </c>
      <c r="C748" s="1" t="s">
        <v>367</v>
      </c>
      <c r="D748" s="1" t="s">
        <v>388</v>
      </c>
      <c r="E748" s="1" t="s">
        <v>397</v>
      </c>
      <c r="F748" s="1" t="s">
        <v>458</v>
      </c>
      <c r="G748" s="1" t="s">
        <v>365</v>
      </c>
      <c r="H748" s="12">
        <v>-16</v>
      </c>
      <c r="I748" s="17">
        <v>3835.2777780000001</v>
      </c>
      <c r="J748" s="1" t="s">
        <v>369</v>
      </c>
      <c r="K748" s="6">
        <f>Registro_Ordini[[#This Row],[Numero]]*Registro_Ordini[[#This Row],[Prezzo]]</f>
        <v>-61364.444448000002</v>
      </c>
      <c r="L748" s="10">
        <v>1.0000001000000001</v>
      </c>
      <c r="M748" s="6">
        <f>Registro_Ordini[[#This Row],[Importo]]*Registro_Ordini[[#This Row],[Cambio]]</f>
        <v>-61364.45058444445</v>
      </c>
      <c r="N748" s="1">
        <f ca="1">IFERROR(_xlfn.NUMBERVALUE(OFFSET(Origine,MATCH(Registro_Ordini[[#This Row],[Titolo]],Descrizioni,0),MATCH("Price",Intestazioni,0)-1,1,1)),"")</f>
        <v>2961</v>
      </c>
      <c r="O748" s="18">
        <f ca="1">IF(OR(Registro_Ordini[[#This Row],[Price]]=0,Registro_Ordini[[#This Row],[Price]]=""),"",IF(Registro_Ordini[[#This Row],[Tipo]]="Sell",Registro_Ordini[[#This Row],[Prezzo]]/Registro_Ordini[[#This Row],[Price]]-1,Registro_Ordini[[#This Row],[Price]]/Registro_Ordini[[#This Row],[Prezzo]]-1))</f>
        <v>0.29526436271529888</v>
      </c>
      <c r="P748" s="14">
        <v>-1.7366603471514714E-2</v>
      </c>
      <c r="Q748" s="13">
        <v>0.13140079002539978</v>
      </c>
      <c r="R748" s="13">
        <v>0.39484399258170011</v>
      </c>
      <c r="S748" s="13">
        <v>0.42121339762121573</v>
      </c>
      <c r="T748" s="13">
        <v>0</v>
      </c>
      <c r="U748" s="13">
        <v>5.2541819771684567E-2</v>
      </c>
      <c r="V748" s="13"/>
    </row>
    <row r="749" spans="1:23" s="1" customFormat="1" ht="24.95" customHeight="1" x14ac:dyDescent="0.2">
      <c r="A749" s="8">
        <v>45699.714907407404</v>
      </c>
      <c r="B749" s="7">
        <v>45699.717048611114</v>
      </c>
      <c r="C749" s="1" t="s">
        <v>375</v>
      </c>
      <c r="D749" s="1" t="s">
        <v>388</v>
      </c>
      <c r="E749" s="1" t="s">
        <v>397</v>
      </c>
      <c r="F749" s="1" t="s">
        <v>458</v>
      </c>
      <c r="G749" s="1" t="s">
        <v>365</v>
      </c>
      <c r="H749" s="12">
        <v>-4</v>
      </c>
      <c r="I749" s="17">
        <v>3835.2777780000001</v>
      </c>
      <c r="J749" s="1" t="s">
        <v>369</v>
      </c>
      <c r="K749" s="6">
        <f>Registro_Ordini[[#This Row],[Numero]]*Registro_Ordini[[#This Row],[Prezzo]]</f>
        <v>-15341.111112000001</v>
      </c>
      <c r="L749" s="10">
        <v>1.0000001000000001</v>
      </c>
      <c r="M749" s="6">
        <f>Registro_Ordini[[#This Row],[Importo]]*Registro_Ordini[[#This Row],[Cambio]]</f>
        <v>-15341.112646111113</v>
      </c>
      <c r="N749" s="1">
        <f ca="1">IFERROR(_xlfn.NUMBERVALUE(OFFSET(Origine,MATCH(Registro_Ordini[[#This Row],[Titolo]],Descrizioni,0),MATCH("Price",Intestazioni,0)-1,1,1)),"")</f>
        <v>2961</v>
      </c>
      <c r="O749" s="18">
        <f ca="1">IF(OR(Registro_Ordini[[#This Row],[Price]]=0,Registro_Ordini[[#This Row],[Price]]=""),"",IF(Registro_Ordini[[#This Row],[Tipo]]="Sell",Registro_Ordini[[#This Row],[Prezzo]]/Registro_Ordini[[#This Row],[Price]]-1,Registro_Ordini[[#This Row],[Price]]/Registro_Ordini[[#This Row],[Prezzo]]-1))</f>
        <v>0.29526436271529888</v>
      </c>
      <c r="P749" s="14">
        <v>-1.8818641622528366E-2</v>
      </c>
      <c r="Q749" s="13">
        <v>0.15766761741262328</v>
      </c>
      <c r="R749" s="13">
        <v>0.35038034473338042</v>
      </c>
      <c r="S749" s="13">
        <v>0.39519024044925921</v>
      </c>
      <c r="T749" s="13">
        <v>0</v>
      </c>
      <c r="U749" s="13">
        <v>9.6761797404736963E-2</v>
      </c>
      <c r="V749" s="13"/>
    </row>
    <row r="750" spans="1:23" s="1" customFormat="1" ht="24.95" customHeight="1" x14ac:dyDescent="0.2">
      <c r="A750" s="8">
        <v>45699.714895833335</v>
      </c>
      <c r="B750" s="7">
        <v>45699.717048611114</v>
      </c>
      <c r="C750" s="1" t="s">
        <v>377</v>
      </c>
      <c r="D750" s="1" t="s">
        <v>388</v>
      </c>
      <c r="E750" s="1" t="s">
        <v>397</v>
      </c>
      <c r="F750" s="1" t="s">
        <v>458</v>
      </c>
      <c r="G750" s="1" t="s">
        <v>365</v>
      </c>
      <c r="H750" s="12">
        <v>-8</v>
      </c>
      <c r="I750" s="17">
        <v>3835.2777780000001</v>
      </c>
      <c r="J750" s="1" t="s">
        <v>369</v>
      </c>
      <c r="K750" s="6">
        <f>Registro_Ordini[[#This Row],[Numero]]*Registro_Ordini[[#This Row],[Prezzo]]</f>
        <v>-30682.222224000001</v>
      </c>
      <c r="L750" s="10">
        <v>1.0000001000000001</v>
      </c>
      <c r="M750" s="6">
        <f>Registro_Ordini[[#This Row],[Importo]]*Registro_Ordini[[#This Row],[Cambio]]</f>
        <v>-30682.225292222225</v>
      </c>
      <c r="N750" s="1">
        <f ca="1">IFERROR(_xlfn.NUMBERVALUE(OFFSET(Origine,MATCH(Registro_Ordini[[#This Row],[Titolo]],Descrizioni,0),MATCH("Price",Intestazioni,0)-1,1,1)),"")</f>
        <v>2961</v>
      </c>
      <c r="O750" s="18">
        <f ca="1">IF(OR(Registro_Ordini[[#This Row],[Price]]=0,Registro_Ordini[[#This Row],[Price]]=""),"",IF(Registro_Ordini[[#This Row],[Tipo]]="Sell",Registro_Ordini[[#This Row],[Prezzo]]/Registro_Ordini[[#This Row],[Price]]-1,Registro_Ordini[[#This Row],[Price]]/Registro_Ordini[[#This Row],[Prezzo]]-1))</f>
        <v>0.29526436271529888</v>
      </c>
      <c r="P750" s="14">
        <v>-1.8875619775087407E-2</v>
      </c>
      <c r="Q750" s="13">
        <v>0.13318922179951168</v>
      </c>
      <c r="R750" s="13">
        <v>0.31964276919495271</v>
      </c>
      <c r="S750" s="13">
        <v>0.44226643242980079</v>
      </c>
      <c r="T750" s="13">
        <v>0</v>
      </c>
      <c r="U750" s="13">
        <v>0.10490157657573493</v>
      </c>
      <c r="V750" s="13"/>
    </row>
    <row r="751" spans="1:23" s="1" customFormat="1" ht="24.95" customHeight="1" x14ac:dyDescent="0.2">
      <c r="A751" s="8">
        <v>45699.714884259258</v>
      </c>
      <c r="B751" s="7">
        <v>45699.717048611114</v>
      </c>
      <c r="C751" s="1" t="s">
        <v>378</v>
      </c>
      <c r="D751" s="1" t="s">
        <v>388</v>
      </c>
      <c r="E751" s="1" t="s">
        <v>397</v>
      </c>
      <c r="F751" s="1" t="s">
        <v>458</v>
      </c>
      <c r="G751" s="1" t="s">
        <v>365</v>
      </c>
      <c r="H751" s="12">
        <v>-3</v>
      </c>
      <c r="I751" s="17">
        <v>3835.2777780000001</v>
      </c>
      <c r="J751" s="1" t="s">
        <v>369</v>
      </c>
      <c r="K751" s="6">
        <f>Registro_Ordini[[#This Row],[Numero]]*Registro_Ordini[[#This Row],[Prezzo]]</f>
        <v>-11505.833334000001</v>
      </c>
      <c r="L751" s="10">
        <v>1.0000001000000001</v>
      </c>
      <c r="M751" s="6">
        <f>Registro_Ordini[[#This Row],[Importo]]*Registro_Ordini[[#This Row],[Cambio]]</f>
        <v>-11505.834484583334</v>
      </c>
      <c r="N751" s="1">
        <f ca="1">IFERROR(_xlfn.NUMBERVALUE(OFFSET(Origine,MATCH(Registro_Ordini[[#This Row],[Titolo]],Descrizioni,0),MATCH("Price",Intestazioni,0)-1,1,1)),"")</f>
        <v>2961</v>
      </c>
      <c r="O751" s="18">
        <f ca="1">IF(OR(Registro_Ordini[[#This Row],[Price]]=0,Registro_Ordini[[#This Row],[Price]]=""),"",IF(Registro_Ordini[[#This Row],[Tipo]]="Sell",Registro_Ordini[[#This Row],[Prezzo]]/Registro_Ordini[[#This Row],[Price]]-1,Registro_Ordini[[#This Row],[Price]]/Registro_Ordini[[#This Row],[Prezzo]]-1))</f>
        <v>0.29526436271529888</v>
      </c>
      <c r="P751" s="14">
        <v>-2.2027297736051429E-2</v>
      </c>
      <c r="Q751" s="13">
        <v>0.14205574815868038</v>
      </c>
      <c r="R751" s="13">
        <v>0.32979661354438294</v>
      </c>
      <c r="S751" s="13">
        <v>0.43416981828517398</v>
      </c>
      <c r="T751" s="13">
        <v>0</v>
      </c>
      <c r="U751" s="13">
        <v>9.3977820011762803E-2</v>
      </c>
      <c r="V751" s="13"/>
    </row>
    <row r="752" spans="1:23" s="1" customFormat="1" ht="24.95" customHeight="1" x14ac:dyDescent="0.2">
      <c r="A752" s="8">
        <v>45699.686064814814</v>
      </c>
      <c r="B752" s="7">
        <v>45699.686064814814</v>
      </c>
      <c r="C752" s="1" t="s">
        <v>379</v>
      </c>
      <c r="D752" s="1" t="s">
        <v>388</v>
      </c>
      <c r="E752" s="1" t="s">
        <v>389</v>
      </c>
      <c r="F752" s="1" t="s">
        <v>459</v>
      </c>
      <c r="G752" s="1" t="s">
        <v>365</v>
      </c>
      <c r="H752" s="12">
        <v>-100</v>
      </c>
      <c r="I752" s="17">
        <v>67.0608</v>
      </c>
      <c r="J752" s="1" t="s">
        <v>366</v>
      </c>
      <c r="K752" s="6">
        <f>Registro_Ordini[[#This Row],[Numero]]*Registro_Ordini[[#This Row],[Prezzo]]</f>
        <v>-6706.08</v>
      </c>
      <c r="L752" s="10">
        <v>0.96714999999999995</v>
      </c>
      <c r="M752" s="6">
        <f>Registro_Ordini[[#This Row],[Importo]]*Registro_Ordini[[#This Row],[Cambio]]</f>
        <v>-6485.7852719999992</v>
      </c>
      <c r="N752" s="1">
        <f ca="1">IFERROR(_xlfn.NUMBERVALUE(OFFSET(Origine,MATCH(Registro_Ordini[[#This Row],[Titolo]],Descrizioni,0),MATCH("Price",Intestazioni,0)-1,1,1)),"")</f>
        <v>68.510000000000005</v>
      </c>
      <c r="O752" s="18">
        <f ca="1">IF(OR(Registro_Ordini[[#This Row],[Price]]=0,Registro_Ordini[[#This Row],[Price]]=""),"",IF(Registro_Ordini[[#This Row],[Tipo]]="Sell",Registro_Ordini[[#This Row],[Prezzo]]/Registro_Ordini[[#This Row],[Price]]-1,Registro_Ordini[[#This Row],[Price]]/Registro_Ordini[[#This Row],[Prezzo]]-1))</f>
        <v>-2.1153116333382016E-2</v>
      </c>
      <c r="P752" s="14">
        <v>-1.1351185307980136E-2</v>
      </c>
      <c r="Q752" s="13">
        <v>0.14990271158560417</v>
      </c>
      <c r="R752" s="13">
        <v>0.2863641568509015</v>
      </c>
      <c r="S752" s="13">
        <v>0.45396275785834389</v>
      </c>
      <c r="T752" s="13">
        <v>0</v>
      </c>
      <c r="U752" s="13">
        <v>0.1097703737051504</v>
      </c>
      <c r="V752" s="13"/>
    </row>
    <row r="753" spans="1:23" s="1" customFormat="1" ht="24.95" customHeight="1" x14ac:dyDescent="0.2">
      <c r="A753" s="8">
        <v>45699.686041666668</v>
      </c>
      <c r="B753" s="7">
        <v>45699.686041666668</v>
      </c>
      <c r="C753" s="1" t="s">
        <v>382</v>
      </c>
      <c r="D753" s="1" t="s">
        <v>388</v>
      </c>
      <c r="E753" s="1" t="s">
        <v>389</v>
      </c>
      <c r="F753" s="1" t="s">
        <v>459</v>
      </c>
      <c r="G753" s="1" t="s">
        <v>365</v>
      </c>
      <c r="H753" s="12">
        <v>-320</v>
      </c>
      <c r="I753" s="17">
        <v>67.0608</v>
      </c>
      <c r="J753" s="1" t="s">
        <v>366</v>
      </c>
      <c r="K753" s="6">
        <f>Registro_Ordini[[#This Row],[Numero]]*Registro_Ordini[[#This Row],[Prezzo]]</f>
        <v>-21459.455999999998</v>
      </c>
      <c r="L753" s="10">
        <v>0.96714999999999995</v>
      </c>
      <c r="M753" s="6">
        <f>Registro_Ordini[[#This Row],[Importo]]*Registro_Ordini[[#This Row],[Cambio]]</f>
        <v>-20754.512870399998</v>
      </c>
      <c r="N753" s="1">
        <f ca="1">IFERROR(_xlfn.NUMBERVALUE(OFFSET(Origine,MATCH(Registro_Ordini[[#This Row],[Titolo]],Descrizioni,0),MATCH("Price",Intestazioni,0)-1,1,1)),"")</f>
        <v>68.510000000000005</v>
      </c>
      <c r="O753" s="18">
        <f ca="1">IF(OR(Registro_Ordini[[#This Row],[Price]]=0,Registro_Ordini[[#This Row],[Price]]=""),"",IF(Registro_Ordini[[#This Row],[Tipo]]="Sell",Registro_Ordini[[#This Row],[Prezzo]]/Registro_Ordini[[#This Row],[Price]]-1,Registro_Ordini[[#This Row],[Price]]/Registro_Ordini[[#This Row],[Prezzo]]-1))</f>
        <v>-2.1153116333382016E-2</v>
      </c>
      <c r="P753" s="14">
        <v>-1.9581955714489448E-2</v>
      </c>
      <c r="Q753" s="13">
        <v>0.14073153572110289</v>
      </c>
      <c r="R753" s="13">
        <v>0.27681967243524513</v>
      </c>
      <c r="S753" s="13">
        <v>0.47521188498411937</v>
      </c>
      <c r="T753" s="13">
        <v>0</v>
      </c>
      <c r="U753" s="13">
        <v>0.10723690685953259</v>
      </c>
      <c r="V753" s="13"/>
    </row>
    <row r="754" spans="1:23" s="1" customFormat="1" ht="24.95" customHeight="1" x14ac:dyDescent="0.2">
      <c r="A754" s="8">
        <v>45699.686030092591</v>
      </c>
      <c r="B754" s="7">
        <v>45699.686030092591</v>
      </c>
      <c r="C754" s="1" t="s">
        <v>383</v>
      </c>
      <c r="D754" s="1" t="s">
        <v>388</v>
      </c>
      <c r="E754" s="1" t="s">
        <v>389</v>
      </c>
      <c r="F754" s="1" t="s">
        <v>459</v>
      </c>
      <c r="G754" s="1" t="s">
        <v>365</v>
      </c>
      <c r="H754" s="12">
        <v>-230</v>
      </c>
      <c r="I754" s="17">
        <v>67.0608</v>
      </c>
      <c r="J754" s="1" t="s">
        <v>366</v>
      </c>
      <c r="K754" s="6">
        <f>Registro_Ordini[[#This Row],[Numero]]*Registro_Ordini[[#This Row],[Prezzo]]</f>
        <v>-15423.984</v>
      </c>
      <c r="L754" s="10">
        <v>0.96714999999999995</v>
      </c>
      <c r="M754" s="6">
        <f>Registro_Ordini[[#This Row],[Importo]]*Registro_Ordini[[#This Row],[Cambio]]</f>
        <v>-14917.3061256</v>
      </c>
      <c r="N754" s="1">
        <f ca="1">IFERROR(_xlfn.NUMBERVALUE(OFFSET(Origine,MATCH(Registro_Ordini[[#This Row],[Titolo]],Descrizioni,0),MATCH("Price",Intestazioni,0)-1,1,1)),"")</f>
        <v>68.510000000000005</v>
      </c>
      <c r="O754" s="18">
        <f ca="1">IF(OR(Registro_Ordini[[#This Row],[Price]]=0,Registro_Ordini[[#This Row],[Price]]=""),"",IF(Registro_Ordini[[#This Row],[Tipo]]="Sell",Registro_Ordini[[#This Row],[Prezzo]]/Registro_Ordini[[#This Row],[Price]]-1,Registro_Ordini[[#This Row],[Price]]/Registro_Ordini[[#This Row],[Prezzo]]-1))</f>
        <v>-2.1153116333382016E-2</v>
      </c>
      <c r="P754" s="14">
        <v>-2.3764174916335385E-2</v>
      </c>
      <c r="Q754" s="13">
        <v>0.15737991789096939</v>
      </c>
      <c r="R754" s="13">
        <v>0.27201240261776177</v>
      </c>
      <c r="S754" s="13">
        <v>0.46536557545344981</v>
      </c>
      <c r="T754" s="13">
        <v>0</v>
      </c>
      <c r="U754" s="13">
        <v>0.10524210403781908</v>
      </c>
      <c r="V754" s="13"/>
    </row>
    <row r="755" spans="1:23" s="1" customFormat="1" ht="24.95" customHeight="1" x14ac:dyDescent="0.2">
      <c r="A755" s="8">
        <v>45699.685694444444</v>
      </c>
      <c r="B755" s="7">
        <v>45699.685694444444</v>
      </c>
      <c r="C755" s="1" t="s">
        <v>78</v>
      </c>
      <c r="D755" s="1" t="s">
        <v>388</v>
      </c>
      <c r="E755" s="1" t="s">
        <v>389</v>
      </c>
      <c r="F755" s="1" t="s">
        <v>459</v>
      </c>
      <c r="G755" s="1" t="s">
        <v>365</v>
      </c>
      <c r="H755" s="12">
        <v>-135</v>
      </c>
      <c r="I755" s="17">
        <v>67.0608</v>
      </c>
      <c r="J755" s="1" t="s">
        <v>366</v>
      </c>
      <c r="K755" s="6">
        <f>Registro_Ordini[[#This Row],[Numero]]*Registro_Ordini[[#This Row],[Prezzo]]</f>
        <v>-9053.2080000000005</v>
      </c>
      <c r="L755" s="10">
        <v>0.91364999999999996</v>
      </c>
      <c r="M755" s="6">
        <f>Registro_Ordini[[#This Row],[Importo]]*Registro_Ordini[[#This Row],[Cambio]]</f>
        <v>-8271.4634891999995</v>
      </c>
      <c r="N755" s="1">
        <f ca="1">IFERROR(_xlfn.NUMBERVALUE(OFFSET(Origine,MATCH(Registro_Ordini[[#This Row],[Titolo]],Descrizioni,0),MATCH("Price",Intestazioni,0)-1,1,1)),"")</f>
        <v>68.510000000000005</v>
      </c>
      <c r="O755" s="18">
        <f ca="1">IF(OR(Registro_Ordini[[#This Row],[Price]]=0,Registro_Ordini[[#This Row],[Price]]=""),"",IF(Registro_Ordini[[#This Row],[Tipo]]="Sell",Registro_Ordini[[#This Row],[Prezzo]]/Registro_Ordini[[#This Row],[Price]]-1,Registro_Ordini[[#This Row],[Price]]/Registro_Ordini[[#This Row],[Prezzo]]-1))</f>
        <v>-2.1153116333382016E-2</v>
      </c>
      <c r="P755" s="14">
        <v>-1.919652106285687E-2</v>
      </c>
      <c r="Q755" s="13">
        <v>7.717018511252198E-2</v>
      </c>
      <c r="R755" s="13">
        <v>0.16115634503019904</v>
      </c>
      <c r="S755" s="13">
        <v>0.69149207381424127</v>
      </c>
      <c r="T755" s="13">
        <v>0</v>
      </c>
      <c r="U755" s="13">
        <v>7.0181396043037678E-2</v>
      </c>
      <c r="V755" s="13"/>
    </row>
    <row r="756" spans="1:23" s="1" customFormat="1" ht="24.95" customHeight="1" x14ac:dyDescent="0.2">
      <c r="A756" s="8">
        <v>45699.685439814813</v>
      </c>
      <c r="B756" s="7">
        <v>45699.685439814813</v>
      </c>
      <c r="C756" s="1" t="s">
        <v>375</v>
      </c>
      <c r="D756" s="1" t="s">
        <v>388</v>
      </c>
      <c r="E756" s="1" t="s">
        <v>389</v>
      </c>
      <c r="F756" s="1" t="s">
        <v>459</v>
      </c>
      <c r="G756" s="1" t="s">
        <v>365</v>
      </c>
      <c r="H756" s="12">
        <v>-160</v>
      </c>
      <c r="I756" s="17">
        <v>67.0608</v>
      </c>
      <c r="J756" s="1" t="s">
        <v>366</v>
      </c>
      <c r="K756" s="6">
        <f>Registro_Ordini[[#This Row],[Numero]]*Registro_Ordini[[#This Row],[Prezzo]]</f>
        <v>-10729.727999999999</v>
      </c>
      <c r="L756" s="10">
        <v>0.91364999999999996</v>
      </c>
      <c r="M756" s="6">
        <f>Registro_Ordini[[#This Row],[Importo]]*Registro_Ordini[[#This Row],[Cambio]]</f>
        <v>-9803.2159871999993</v>
      </c>
      <c r="N756" s="1">
        <f ca="1">IFERROR(_xlfn.NUMBERVALUE(OFFSET(Origine,MATCH(Registro_Ordini[[#This Row],[Titolo]],Descrizioni,0),MATCH("Price",Intestazioni,0)-1,1,1)),"")</f>
        <v>68.510000000000005</v>
      </c>
      <c r="O756" s="18">
        <f ca="1">IF(OR(Registro_Ordini[[#This Row],[Price]]=0,Registro_Ordini[[#This Row],[Price]]=""),"",IF(Registro_Ordini[[#This Row],[Tipo]]="Sell",Registro_Ordini[[#This Row],[Prezzo]]/Registro_Ordini[[#This Row],[Price]]-1,Registro_Ordini[[#This Row],[Price]]/Registro_Ordini[[#This Row],[Prezzo]]-1))</f>
        <v>-2.1153116333382016E-2</v>
      </c>
      <c r="P756" s="14">
        <v>-1.2022930230038212E-2</v>
      </c>
      <c r="Q756" s="13">
        <v>0.13898182046793792</v>
      </c>
      <c r="R756" s="13">
        <v>0.35061185102373083</v>
      </c>
      <c r="S756" s="13">
        <v>0.41399001272525482</v>
      </c>
      <c r="T756" s="13">
        <v>0</v>
      </c>
      <c r="U756" s="13">
        <v>9.641631578307655E-2</v>
      </c>
      <c r="V756" s="13"/>
    </row>
    <row r="757" spans="1:23" s="1" customFormat="1" ht="24.95" customHeight="1" x14ac:dyDescent="0.2">
      <c r="A757" s="8">
        <v>45699.685428240744</v>
      </c>
      <c r="B757" s="7">
        <v>45699.685428240744</v>
      </c>
      <c r="C757" s="1" t="s">
        <v>378</v>
      </c>
      <c r="D757" s="1" t="s">
        <v>388</v>
      </c>
      <c r="E757" s="1" t="s">
        <v>389</v>
      </c>
      <c r="F757" s="1" t="s">
        <v>459</v>
      </c>
      <c r="G757" s="1" t="s">
        <v>365</v>
      </c>
      <c r="H757" s="12">
        <v>-165</v>
      </c>
      <c r="I757" s="17">
        <v>67.0608</v>
      </c>
      <c r="J757" s="1" t="s">
        <v>366</v>
      </c>
      <c r="K757" s="6">
        <f>Registro_Ordini[[#This Row],[Numero]]*Registro_Ordini[[#This Row],[Prezzo]]</f>
        <v>-11065.031999999999</v>
      </c>
      <c r="L757" s="10">
        <v>0.91364999999999996</v>
      </c>
      <c r="M757" s="6">
        <f>Registro_Ordini[[#This Row],[Importo]]*Registro_Ordini[[#This Row],[Cambio]]</f>
        <v>-10109.566486799999</v>
      </c>
      <c r="N757" s="1">
        <f ca="1">IFERROR(_xlfn.NUMBERVALUE(OFFSET(Origine,MATCH(Registro_Ordini[[#This Row],[Titolo]],Descrizioni,0),MATCH("Price",Intestazioni,0)-1,1,1)),"")</f>
        <v>68.510000000000005</v>
      </c>
      <c r="O757" s="18">
        <f ca="1">IF(OR(Registro_Ordini[[#This Row],[Price]]=0,Registro_Ordini[[#This Row],[Price]]=""),"",IF(Registro_Ordini[[#This Row],[Tipo]]="Sell",Registro_Ordini[[#This Row],[Prezzo]]/Registro_Ordini[[#This Row],[Price]]-1,Registro_Ordini[[#This Row],[Price]]/Registro_Ordini[[#This Row],[Prezzo]]-1))</f>
        <v>-2.1153116333382016E-2</v>
      </c>
      <c r="P757" s="14">
        <v>-1.934905637288474E-2</v>
      </c>
      <c r="Q757" s="13">
        <v>0.1201414244806039</v>
      </c>
      <c r="R757" s="13">
        <v>0.32998095702504426</v>
      </c>
      <c r="S757" s="13">
        <v>0.45614303049348992</v>
      </c>
      <c r="T757" s="13">
        <v>0</v>
      </c>
      <c r="U757" s="13">
        <v>9.3734588000861943E-2</v>
      </c>
      <c r="V757" s="13"/>
    </row>
    <row r="758" spans="1:23" s="1" customFormat="1" ht="24.95" customHeight="1" x14ac:dyDescent="0.2">
      <c r="A758" s="8">
        <v>45699.685428240744</v>
      </c>
      <c r="B758" s="7">
        <v>45699.685428240744</v>
      </c>
      <c r="C758" s="1" t="s">
        <v>377</v>
      </c>
      <c r="D758" s="1" t="s">
        <v>388</v>
      </c>
      <c r="E758" s="1" t="s">
        <v>389</v>
      </c>
      <c r="F758" s="1" t="s">
        <v>459</v>
      </c>
      <c r="G758" s="1" t="s">
        <v>365</v>
      </c>
      <c r="H758" s="12">
        <v>-510</v>
      </c>
      <c r="I758" s="17">
        <v>67.0608</v>
      </c>
      <c r="J758" s="1" t="s">
        <v>366</v>
      </c>
      <c r="K758" s="6">
        <f>Registro_Ordini[[#This Row],[Numero]]*Registro_Ordini[[#This Row],[Prezzo]]</f>
        <v>-34201.008000000002</v>
      </c>
      <c r="L758" s="10">
        <v>0.91364999999999996</v>
      </c>
      <c r="M758" s="6">
        <f>Registro_Ordini[[#This Row],[Importo]]*Registro_Ordini[[#This Row],[Cambio]]</f>
        <v>-31247.750959199999</v>
      </c>
      <c r="N758" s="1">
        <f ca="1">IFERROR(_xlfn.NUMBERVALUE(OFFSET(Origine,MATCH(Registro_Ordini[[#This Row],[Titolo]],Descrizioni,0),MATCH("Price",Intestazioni,0)-1,1,1)),"")</f>
        <v>68.510000000000005</v>
      </c>
      <c r="O758" s="18">
        <f ca="1">IF(OR(Registro_Ordini[[#This Row],[Price]]=0,Registro_Ordini[[#This Row],[Price]]=""),"",IF(Registro_Ordini[[#This Row],[Tipo]]="Sell",Registro_Ordini[[#This Row],[Prezzo]]/Registro_Ordini[[#This Row],[Price]]-1,Registro_Ordini[[#This Row],[Price]]/Registro_Ordini[[#This Row],[Prezzo]]-1))</f>
        <v>-2.1153116333382016E-2</v>
      </c>
      <c r="P758" s="14">
        <v>-1.9215100972255317E-2</v>
      </c>
      <c r="Q758" s="13">
        <v>0.11442632160157463</v>
      </c>
      <c r="R758" s="13">
        <v>0.31978935427971056</v>
      </c>
      <c r="S758" s="13">
        <v>0.46111996579716591</v>
      </c>
      <c r="T758" s="13">
        <v>0</v>
      </c>
      <c r="U758" s="13">
        <v>0.10466435832154904</v>
      </c>
      <c r="V758" s="13"/>
    </row>
    <row r="759" spans="1:23" s="1" customFormat="1" ht="24.95" customHeight="1" x14ac:dyDescent="0.2">
      <c r="A759" s="8">
        <v>45699.68204861111</v>
      </c>
      <c r="B759" s="7">
        <v>45699.68204861111</v>
      </c>
      <c r="C759" s="1" t="s">
        <v>367</v>
      </c>
      <c r="D759" s="1" t="s">
        <v>388</v>
      </c>
      <c r="E759" s="1" t="s">
        <v>389</v>
      </c>
      <c r="F759" s="1" t="s">
        <v>460</v>
      </c>
      <c r="G759" s="1" t="s">
        <v>365</v>
      </c>
      <c r="H759" s="12">
        <v>-190</v>
      </c>
      <c r="I759" s="17">
        <v>224.97</v>
      </c>
      <c r="J759" s="1" t="s">
        <v>366</v>
      </c>
      <c r="K759" s="6">
        <f>Registro_Ordini[[#This Row],[Numero]]*Registro_Ordini[[#This Row],[Prezzo]]</f>
        <v>-42744.3</v>
      </c>
      <c r="L759" s="10">
        <v>0.91354999999999997</v>
      </c>
      <c r="M759" s="6">
        <f>Registro_Ordini[[#This Row],[Importo]]*Registro_Ordini[[#This Row],[Cambio]]</f>
        <v>-39049.055265000003</v>
      </c>
      <c r="N759" s="1">
        <f ca="1">IFERROR(_xlfn.NUMBERVALUE(OFFSET(Origine,MATCH(Registro_Ordini[[#This Row],[Titolo]],Descrizioni,0),MATCH("Price",Intestazioni,0)-1,1,1)),"")</f>
        <v>113.6</v>
      </c>
      <c r="O759" s="18">
        <f ca="1">IF(OR(Registro_Ordini[[#This Row],[Price]]=0,Registro_Ordini[[#This Row],[Price]]=""),"",IF(Registro_Ordini[[#This Row],[Tipo]]="Sell",Registro_Ordini[[#This Row],[Prezzo]]/Registro_Ordini[[#This Row],[Price]]-1,Registro_Ordini[[#This Row],[Price]]/Registro_Ordini[[#This Row],[Prezzo]]-1))</f>
        <v>0.98036971830985919</v>
      </c>
      <c r="P759" s="14">
        <v>-1.1048238247731988E-2</v>
      </c>
      <c r="Q759" s="13">
        <v>0.11413572915162891</v>
      </c>
      <c r="R759" s="13">
        <v>0.39497670339798913</v>
      </c>
      <c r="S759" s="13">
        <v>0.43845555078221299</v>
      </c>
      <c r="T759" s="13">
        <v>0</v>
      </c>
      <c r="U759" s="13">
        <v>5.24320166681689E-2</v>
      </c>
      <c r="V759" s="13"/>
    </row>
    <row r="760" spans="1:23" s="1" customFormat="1" ht="24.95" customHeight="1" x14ac:dyDescent="0.2">
      <c r="A760" s="8">
        <v>45698.482303240744</v>
      </c>
      <c r="B760" s="7">
        <v>45698.482303240744</v>
      </c>
      <c r="C760" s="1" t="s">
        <v>367</v>
      </c>
      <c r="D760" s="1" t="s">
        <v>368</v>
      </c>
      <c r="E760" s="1" t="s">
        <v>369</v>
      </c>
      <c r="F760" s="1" t="s">
        <v>392</v>
      </c>
      <c r="G760" s="1" t="s">
        <v>365</v>
      </c>
      <c r="H760" s="12">
        <v>-600</v>
      </c>
      <c r="I760" s="17">
        <v>110.07</v>
      </c>
      <c r="J760" s="1" t="s">
        <v>369</v>
      </c>
      <c r="K760" s="6">
        <f>Registro_Ordini[[#This Row],[Numero]]*Registro_Ordini[[#This Row],[Prezzo]]</f>
        <v>-66042</v>
      </c>
      <c r="L760" s="10">
        <v>1.0000001000000001</v>
      </c>
      <c r="M760" s="6">
        <f>Registro_Ordini[[#This Row],[Importo]]*Registro_Ordini[[#This Row],[Cambio]]</f>
        <v>-66042.006604200011</v>
      </c>
      <c r="N760" s="1">
        <f ca="1">IFERROR(_xlfn.NUMBERVALUE(OFFSET(Origine,MATCH(Registro_Ordini[[#This Row],[Titolo]],Descrizioni,0),MATCH("Price",Intestazioni,0)-1,1,1)),"")</f>
        <v>111.39</v>
      </c>
      <c r="O760" s="18">
        <f ca="1">IF(OR(Registro_Ordini[[#This Row],[Price]]=0,Registro_Ordini[[#This Row],[Price]]=""),"",IF(Registro_Ordini[[#This Row],[Tipo]]="Sell",Registro_Ordini[[#This Row],[Prezzo]]/Registro_Ordini[[#This Row],[Price]]-1,Registro_Ordini[[#This Row],[Price]]/Registro_Ordini[[#This Row],[Prezzo]]-1))</f>
        <v>-1.1850255857796976E-2</v>
      </c>
      <c r="P760" s="14">
        <v>-1.8742895618255154E-2</v>
      </c>
      <c r="Q760" s="13">
        <v>0.10325542297025549</v>
      </c>
      <c r="R760" s="13">
        <v>0.39602624862761471</v>
      </c>
      <c r="S760" s="13">
        <v>0.44860207558242915</v>
      </c>
      <c r="T760" s="13">
        <v>0</v>
      </c>
      <c r="U760" s="13">
        <v>5.2116252819700691E-2</v>
      </c>
      <c r="V760" s="13"/>
    </row>
    <row r="761" spans="1:23" s="1" customFormat="1" ht="24.95" customHeight="1" x14ac:dyDescent="0.2">
      <c r="A761" s="8">
        <v>45698.480358796296</v>
      </c>
      <c r="B761" s="7">
        <v>45698.480358796296</v>
      </c>
      <c r="C761" s="1" t="s">
        <v>367</v>
      </c>
      <c r="D761" s="1" t="s">
        <v>362</v>
      </c>
      <c r="E761" s="1" t="s">
        <v>363</v>
      </c>
      <c r="F761" s="1" t="s">
        <v>461</v>
      </c>
      <c r="G761" s="1" t="s">
        <v>365</v>
      </c>
      <c r="H761" s="12">
        <v>-120000</v>
      </c>
      <c r="I761" s="17">
        <v>1.0036499999999999</v>
      </c>
      <c r="J761" s="1" t="s">
        <v>366</v>
      </c>
      <c r="K761" s="6">
        <f>Registro_Ordini[[#This Row],[Numero]]*Registro_Ordini[[#This Row],[Prezzo]]</f>
        <v>-120437.99999999999</v>
      </c>
      <c r="L761" s="10">
        <v>0.91005000000000003</v>
      </c>
      <c r="M761" s="6">
        <f>Registro_Ordini[[#This Row],[Importo]]*Registro_Ordini[[#This Row],[Cambio]]</f>
        <v>-109604.60189999999</v>
      </c>
      <c r="N761" s="1" t="str">
        <f ca="1">IFERROR(_xlfn.NUMBERVALUE(OFFSET(Origine,MATCH(Registro_Ordini[[#This Row],[Titolo]],Descrizioni,0),MATCH("Price",Intestazioni,0)-1,1,1)),"")</f>
        <v/>
      </c>
      <c r="O761" s="18" t="str">
        <f ca="1">IF(OR(Registro_Ordini[[#This Row],[Price]]=0,Registro_Ordini[[#This Row],[Price]]=""),"",IF(Registro_Ordini[[#This Row],[Tipo]]="Sell",Registro_Ordini[[#This Row],[Prezzo]]/Registro_Ordini[[#This Row],[Price]]-1,Registro_Ordini[[#This Row],[Price]]/Registro_Ordini[[#This Row],[Prezzo]]-1))</f>
        <v/>
      </c>
      <c r="P761" s="14">
        <v>-3.1638244832443971E-2</v>
      </c>
      <c r="Q761" s="13">
        <v>8.5110705574186124E-2</v>
      </c>
      <c r="R761" s="13">
        <v>0.41453325921196121</v>
      </c>
      <c r="S761" s="13">
        <v>0.44826806728821789</v>
      </c>
      <c r="T761" s="13">
        <v>0</v>
      </c>
      <c r="U761" s="13">
        <v>5.2087967925634721E-2</v>
      </c>
      <c r="V761" s="13"/>
    </row>
    <row r="762" spans="1:23" s="1" customFormat="1" ht="24.95" customHeight="1" x14ac:dyDescent="0.2">
      <c r="A762" s="8">
        <v>45693.718657407408</v>
      </c>
      <c r="B762" s="7">
        <v>0.6875</v>
      </c>
      <c r="C762" s="1" t="s">
        <v>413</v>
      </c>
      <c r="D762" s="1" t="s">
        <v>388</v>
      </c>
      <c r="E762" s="1" t="s">
        <v>403</v>
      </c>
      <c r="F762" s="19" t="s">
        <v>433</v>
      </c>
      <c r="G762" s="1" t="s">
        <v>371</v>
      </c>
      <c r="H762" s="12">
        <v>650</v>
      </c>
      <c r="I762" s="17">
        <v>100.08199999999999</v>
      </c>
      <c r="J762" s="1" t="s">
        <v>381</v>
      </c>
      <c r="K762" s="6">
        <f>Registro_Ordini[[#This Row],[Numero]]*Registro_Ordini[[#This Row],[Prezzo]]</f>
        <v>65053.299999999996</v>
      </c>
      <c r="L762" s="10">
        <v>0.93835000000000002</v>
      </c>
      <c r="M762" s="6">
        <f>Registro_Ordini[[#This Row],[Importo]]*Registro_Ordini[[#This Row],[Cambio]]</f>
        <v>61042.764055</v>
      </c>
      <c r="N762" s="1">
        <f ca="1">IFERROR(_xlfn.NUMBERVALUE(OFFSET(Origine,MATCH(Registro_Ordini[[#This Row],[Titolo]],Descrizioni,0),MATCH("Price",Intestazioni,0)-1,1,1)),"")</f>
        <v>135.26</v>
      </c>
      <c r="O762" s="18">
        <f ca="1">IF(OR(Registro_Ordini[[#This Row],[Price]]=0,Registro_Ordini[[#This Row],[Price]]=""),"",IF(Registro_Ordini[[#This Row],[Tipo]]="Sell",Registro_Ordini[[#This Row],[Prezzo]]/Registro_Ordini[[#This Row],[Price]]-1,Registro_Ordini[[#This Row],[Price]]/Registro_Ordini[[#This Row],[Prezzo]]-1))</f>
        <v>0.35149177674307075</v>
      </c>
      <c r="P762" s="14">
        <v>-1.2474811395832345E-2</v>
      </c>
      <c r="Q762" s="13">
        <v>1.0814974455188803E-2</v>
      </c>
      <c r="R762" s="13">
        <v>0.21967084854481825</v>
      </c>
      <c r="S762" s="13">
        <v>0.36171453106611418</v>
      </c>
      <c r="T762" s="13">
        <v>0</v>
      </c>
      <c r="U762" s="13">
        <v>0.4077996459338788</v>
      </c>
      <c r="V762" s="13">
        <v>0</v>
      </c>
      <c r="W762" s="19"/>
    </row>
    <row r="763" spans="1:23" s="1" customFormat="1" ht="24.95" customHeight="1" x14ac:dyDescent="0.2">
      <c r="A763" s="8">
        <v>45693</v>
      </c>
      <c r="B763" s="7">
        <v>0.6875</v>
      </c>
      <c r="C763" s="9" t="s">
        <v>413</v>
      </c>
      <c r="D763" s="1" t="s">
        <v>388</v>
      </c>
      <c r="E763" s="1" t="s">
        <v>403</v>
      </c>
      <c r="F763" s="19" t="s">
        <v>404</v>
      </c>
      <c r="G763" s="1" t="s">
        <v>365</v>
      </c>
      <c r="H763" s="2">
        <v>-250</v>
      </c>
      <c r="I763" s="16">
        <v>269.55</v>
      </c>
      <c r="J763" s="1" t="s">
        <v>381</v>
      </c>
      <c r="K763" s="6">
        <f>Registro_Ordini[[#This Row],[Numero]]*Registro_Ordini[[#This Row],[Prezzo]]</f>
        <v>-67387.5</v>
      </c>
      <c r="L763" s="10">
        <v>0.93905000000000005</v>
      </c>
      <c r="M763" s="6">
        <f>Registro_Ordini[[#This Row],[Importo]]*Registro_Ordini[[#This Row],[Cambio]]</f>
        <v>-63280.231875000005</v>
      </c>
      <c r="N763" s="1">
        <f ca="1">IFERROR(_xlfn.NUMBERVALUE(OFFSET(Origine,MATCH(Registro_Ordini[[#This Row],[Titolo]],Descrizioni,0),MATCH("Price",Intestazioni,0)-1,1,1)),"")</f>
        <v>165.04</v>
      </c>
      <c r="O763" s="18">
        <f ca="1">IF(OR(Registro_Ordini[[#This Row],[Price]]=0,Registro_Ordini[[#This Row],[Price]]=""),"",IF(Registro_Ordini[[#This Row],[Tipo]]="Sell",Registro_Ordini[[#This Row],[Prezzo]]/Registro_Ordini[[#This Row],[Price]]-1,Registro_Ordini[[#This Row],[Price]]/Registro_Ordini[[#This Row],[Prezzo]]-1))</f>
        <v>0.63324042656325763</v>
      </c>
      <c r="P763" s="15">
        <v>-1.2932953196579132E-2</v>
      </c>
      <c r="Q763" s="3">
        <v>7.3215544200822311E-2</v>
      </c>
      <c r="R763" s="3">
        <v>0.21970817816500715</v>
      </c>
      <c r="S763" s="3">
        <v>0.29937037806513961</v>
      </c>
      <c r="T763" s="3">
        <v>0</v>
      </c>
      <c r="U763" s="3">
        <v>0.40770589956903108</v>
      </c>
      <c r="V763" s="3">
        <v>0</v>
      </c>
      <c r="W763" s="5"/>
    </row>
    <row r="764" spans="1:23" s="1" customFormat="1" ht="24.95" customHeight="1" x14ac:dyDescent="0.2">
      <c r="A764" s="8">
        <v>45693</v>
      </c>
      <c r="B764" s="7">
        <v>0.6875</v>
      </c>
      <c r="C764" s="9" t="s">
        <v>413</v>
      </c>
      <c r="D764" s="1" t="s">
        <v>388</v>
      </c>
      <c r="E764" s="1" t="s">
        <v>389</v>
      </c>
      <c r="F764" s="19" t="s">
        <v>462</v>
      </c>
      <c r="G764" s="1" t="s">
        <v>371</v>
      </c>
      <c r="H764" s="2">
        <v>1800</v>
      </c>
      <c r="I764" s="16">
        <v>43.523400000000002</v>
      </c>
      <c r="J764" s="1" t="s">
        <v>366</v>
      </c>
      <c r="K764" s="6">
        <f>Registro_Ordini[[#This Row],[Numero]]*Registro_Ordini[[#This Row],[Prezzo]]</f>
        <v>78342.12000000001</v>
      </c>
      <c r="L764" s="10">
        <v>0.90105000000000002</v>
      </c>
      <c r="M764" s="6">
        <f>Registro_Ordini[[#This Row],[Importo]]*Registro_Ordini[[#This Row],[Cambio]]</f>
        <v>70590.167226000005</v>
      </c>
      <c r="N764" s="1">
        <f ca="1">IFERROR(_xlfn.NUMBERVALUE(OFFSET(Origine,MATCH(Registro_Ordini[[#This Row],[Titolo]],Descrizioni,0),MATCH("Price",Intestazioni,0)-1,1,1)),"")</f>
        <v>53.88</v>
      </c>
      <c r="O764" s="18">
        <f ca="1">IF(OR(Registro_Ordini[[#This Row],[Price]]=0,Registro_Ordini[[#This Row],[Price]]=""),"",IF(Registro_Ordini[[#This Row],[Tipo]]="Sell",Registro_Ordini[[#This Row],[Prezzo]]/Registro_Ordini[[#This Row],[Price]]-1,Registro_Ordini[[#This Row],[Price]]/Registro_Ordini[[#This Row],[Prezzo]]-1))</f>
        <v>0.23795475537297173</v>
      </c>
      <c r="P764" s="15">
        <v>1.4431199871301769E-2</v>
      </c>
      <c r="Q764" s="3">
        <v>6.030044225644015E-2</v>
      </c>
      <c r="R764" s="3">
        <v>0.21977323950415711</v>
      </c>
      <c r="S764" s="3">
        <v>0.31209968628786849</v>
      </c>
      <c r="T764" s="3">
        <v>0</v>
      </c>
      <c r="U764" s="3">
        <v>0.40782663195153424</v>
      </c>
      <c r="V764" s="3">
        <v>0</v>
      </c>
      <c r="W764" s="5"/>
    </row>
    <row r="765" spans="1:23" s="1" customFormat="1" ht="24.95" customHeight="1" x14ac:dyDescent="0.2">
      <c r="A765" s="8">
        <v>45692</v>
      </c>
      <c r="B765" s="7">
        <v>0.78541666666666665</v>
      </c>
      <c r="C765" s="9" t="s">
        <v>367</v>
      </c>
      <c r="D765" s="1" t="s">
        <v>388</v>
      </c>
      <c r="E765" s="1" t="s">
        <v>389</v>
      </c>
      <c r="F765" s="1" t="s">
        <v>415</v>
      </c>
      <c r="G765" s="1" t="s">
        <v>371</v>
      </c>
      <c r="H765" s="2">
        <v>400</v>
      </c>
      <c r="I765" s="16">
        <v>103.18</v>
      </c>
      <c r="J765" s="1" t="s">
        <v>366</v>
      </c>
      <c r="K765" s="6">
        <f>Registro_Ordini[[#This Row],[Numero]]*Registro_Ordini[[#This Row],[Prezzo]]</f>
        <v>41272</v>
      </c>
      <c r="L765" s="10">
        <v>0.90585000000000004</v>
      </c>
      <c r="M765" s="6">
        <f>Registro_Ordini[[#This Row],[Importo]]*Registro_Ordini[[#This Row],[Cambio]]</f>
        <v>37386.241200000004</v>
      </c>
      <c r="N765" s="1">
        <f ca="1">IFERROR(_xlfn.NUMBERVALUE(OFFSET(Origine,MATCH(Registro_Ordini[[#This Row],[Titolo]],Descrizioni,0),MATCH("Price",Intestazioni,0)-1,1,1)),"")</f>
        <v>117.35</v>
      </c>
      <c r="O765" s="18">
        <f ca="1">IF(OR(Registro_Ordini[[#This Row],[Price]]=0,Registro_Ordini[[#This Row],[Price]]=""),"",IF(Registro_Ordini[[#This Row],[Tipo]]="Sell",Registro_Ordini[[#This Row],[Prezzo]]/Registro_Ordini[[#This Row],[Price]]-1,Registro_Ordini[[#This Row],[Price]]/Registro_Ordini[[#This Row],[Prezzo]]-1))</f>
        <v>0.137332816437294</v>
      </c>
      <c r="P765" s="15">
        <v>1.066713119103207E-2</v>
      </c>
      <c r="Q765" s="3">
        <v>8.5514759610509333E-2</v>
      </c>
      <c r="R765" s="3">
        <v>0.41672041459979386</v>
      </c>
      <c r="S765" s="3">
        <v>0.44645376061584613</v>
      </c>
      <c r="T765" s="3">
        <v>0</v>
      </c>
      <c r="U765" s="3">
        <v>5.1311065173850721E-2</v>
      </c>
      <c r="V765" s="3"/>
      <c r="W765" s="4"/>
    </row>
    <row r="766" spans="1:23" s="1" customFormat="1" ht="24.95" customHeight="1" x14ac:dyDescent="0.2">
      <c r="A766" s="8">
        <v>45692</v>
      </c>
      <c r="B766" s="7">
        <v>0.67152777777777772</v>
      </c>
      <c r="C766" s="9" t="s">
        <v>367</v>
      </c>
      <c r="D766" s="1" t="s">
        <v>368</v>
      </c>
      <c r="E766" s="1" t="s">
        <v>369</v>
      </c>
      <c r="F766" s="1" t="s">
        <v>392</v>
      </c>
      <c r="G766" s="1" t="s">
        <v>365</v>
      </c>
      <c r="H766" s="2">
        <v>-350</v>
      </c>
      <c r="I766" s="16">
        <v>109.9</v>
      </c>
      <c r="J766" s="1" t="s">
        <v>369</v>
      </c>
      <c r="K766" s="6">
        <f>Registro_Ordini[[#This Row],[Numero]]*Registro_Ordini[[#This Row],[Prezzo]]</f>
        <v>-38465</v>
      </c>
      <c r="L766" s="10">
        <v>1.0000001000000001</v>
      </c>
      <c r="M766" s="6">
        <f>Registro_Ordini[[#This Row],[Importo]]*Registro_Ordini[[#This Row],[Cambio]]</f>
        <v>-38465.003846500003</v>
      </c>
      <c r="N766" s="1">
        <f ca="1">IFERROR(_xlfn.NUMBERVALUE(OFFSET(Origine,MATCH(Registro_Ordini[[#This Row],[Titolo]],Descrizioni,0),MATCH("Price",Intestazioni,0)-1,1,1)),"")</f>
        <v>111.39</v>
      </c>
      <c r="O766" s="18">
        <f ca="1">IF(OR(Registro_Ordini[[#This Row],[Price]]=0,Registro_Ordini[[#This Row],[Price]]=""),"",IF(Registro_Ordini[[#This Row],[Tipo]]="Sell",Registro_Ordini[[#This Row],[Prezzo]]/Registro_Ordini[[#This Row],[Price]]-1,Registro_Ordini[[#This Row],[Price]]/Registro_Ordini[[#This Row],[Prezzo]]-1))</f>
        <v>-1.3376425172816231E-2</v>
      </c>
      <c r="P766" s="15">
        <v>-1.1218369838963337E-2</v>
      </c>
      <c r="Q766" s="3">
        <v>9.7479103265376538E-2</v>
      </c>
      <c r="R766" s="3">
        <v>0.425991726778778</v>
      </c>
      <c r="S766" s="3">
        <v>0.42400683516525101</v>
      </c>
      <c r="T766" s="3">
        <v>0</v>
      </c>
      <c r="U766" s="3">
        <v>5.252233479059458E-2</v>
      </c>
      <c r="V766" s="3"/>
      <c r="W766" s="4"/>
    </row>
    <row r="767" spans="1:23" s="1" customFormat="1" ht="24.95" customHeight="1" x14ac:dyDescent="0.2">
      <c r="A767" s="8">
        <v>45692</v>
      </c>
      <c r="B767" s="7">
        <v>0.53749999999999998</v>
      </c>
      <c r="C767" s="9" t="s">
        <v>382</v>
      </c>
      <c r="D767" s="1" t="s">
        <v>388</v>
      </c>
      <c r="E767" s="1" t="s">
        <v>463</v>
      </c>
      <c r="F767" s="1" t="s">
        <v>464</v>
      </c>
      <c r="G767" s="1" t="s">
        <v>365</v>
      </c>
      <c r="H767" s="2">
        <v>-2300</v>
      </c>
      <c r="I767" s="17">
        <v>9.9169</v>
      </c>
      <c r="J767" s="1" t="s">
        <v>381</v>
      </c>
      <c r="K767" s="6">
        <f>Registro_Ordini[[#This Row],[Numero]]*Registro_Ordini[[#This Row],[Prezzo]]</f>
        <v>-22808.87</v>
      </c>
      <c r="L767" s="10">
        <v>1</v>
      </c>
      <c r="M767" s="6">
        <f>Registro_Ordini[[#This Row],[Importo]]*Registro_Ordini[[#This Row],[Cambio]]</f>
        <v>-22808.87</v>
      </c>
      <c r="N767" s="1">
        <f ca="1">IFERROR(_xlfn.NUMBERVALUE(OFFSET(Origine,MATCH(Registro_Ordini[[#This Row],[Titolo]],Descrizioni,0),MATCH("Price",Intestazioni,0)-1,1,1)),"")</f>
        <v>12.664</v>
      </c>
      <c r="O767" s="18">
        <f ca="1">IF(OR(Registro_Ordini[[#This Row],[Price]]=0,Registro_Ordini[[#This Row],[Price]]=""),"",IF(Registro_Ordini[[#This Row],[Tipo]]="Sell",Registro_Ordini[[#This Row],[Prezzo]]/Registro_Ordini[[#This Row],[Price]]-1,Registro_Ordini[[#This Row],[Price]]/Registro_Ordini[[#This Row],[Prezzo]]-1))</f>
        <v>-0.21692198357548953</v>
      </c>
      <c r="P767" s="15">
        <v>-2.1667274322479339E-2</v>
      </c>
      <c r="Q767" s="3">
        <v>0.12208694192565295</v>
      </c>
      <c r="R767" s="3">
        <v>0.27851246477531599</v>
      </c>
      <c r="S767" s="3">
        <v>0.4941205142745505</v>
      </c>
      <c r="T767" s="3">
        <v>0</v>
      </c>
      <c r="U767" s="3">
        <v>0.10528007902448058</v>
      </c>
      <c r="V767" s="3"/>
      <c r="W767" s="4"/>
    </row>
    <row r="768" spans="1:23" s="1" customFormat="1" ht="24.95" customHeight="1" x14ac:dyDescent="0.2">
      <c r="A768" s="8">
        <v>45692</v>
      </c>
      <c r="B768" s="7">
        <v>0.53749999999999998</v>
      </c>
      <c r="C768" s="9" t="s">
        <v>379</v>
      </c>
      <c r="D768" s="1" t="s">
        <v>388</v>
      </c>
      <c r="E768" s="1" t="s">
        <v>463</v>
      </c>
      <c r="F768" s="1" t="s">
        <v>464</v>
      </c>
      <c r="G768" s="1" t="s">
        <v>365</v>
      </c>
      <c r="H768" s="2">
        <v>-1000</v>
      </c>
      <c r="I768" s="17">
        <v>9.9169</v>
      </c>
      <c r="J768" s="1" t="s">
        <v>381</v>
      </c>
      <c r="K768" s="6">
        <f>Registro_Ordini[[#This Row],[Numero]]*Registro_Ordini[[#This Row],[Prezzo]]</f>
        <v>-9916.9</v>
      </c>
      <c r="L768" s="10">
        <v>1</v>
      </c>
      <c r="M768" s="6">
        <f>Registro_Ordini[[#This Row],[Importo]]*Registro_Ordini[[#This Row],[Cambio]]</f>
        <v>-9916.9</v>
      </c>
      <c r="N768" s="1">
        <f ca="1">IFERROR(_xlfn.NUMBERVALUE(OFFSET(Origine,MATCH(Registro_Ordini[[#This Row],[Titolo]],Descrizioni,0),MATCH("Price",Intestazioni,0)-1,1,1)),"")</f>
        <v>12.664</v>
      </c>
      <c r="O768" s="18">
        <f ca="1">IF(OR(Registro_Ordini[[#This Row],[Price]]=0,Registro_Ordini[[#This Row],[Price]]=""),"",IF(Registro_Ordini[[#This Row],[Tipo]]="Sell",Registro_Ordini[[#This Row],[Prezzo]]/Registro_Ordini[[#This Row],[Price]]-1,Registro_Ordini[[#This Row],[Price]]/Registro_Ordini[[#This Row],[Prezzo]]-1))</f>
        <v>-0.21692198357548953</v>
      </c>
      <c r="P768" s="15">
        <v>-1.7482774432828981E-2</v>
      </c>
      <c r="Q768" s="3">
        <v>0.13964821775956193</v>
      </c>
      <c r="R768" s="3">
        <v>0.28824902514124856</v>
      </c>
      <c r="S768" s="3">
        <v>0.46446865973004486</v>
      </c>
      <c r="T768" s="3">
        <v>0</v>
      </c>
      <c r="U768" s="3">
        <v>0.10763409736914466</v>
      </c>
      <c r="V768" s="3"/>
      <c r="W768" s="4"/>
    </row>
    <row r="769" spans="1:23" s="1" customFormat="1" ht="24.95" customHeight="1" x14ac:dyDescent="0.2">
      <c r="A769" s="8">
        <v>45688</v>
      </c>
      <c r="B769" s="7">
        <v>0.74236111111111114</v>
      </c>
      <c r="C769" s="9" t="s">
        <v>383</v>
      </c>
      <c r="D769" s="1" t="s">
        <v>388</v>
      </c>
      <c r="E769" s="1" t="s">
        <v>389</v>
      </c>
      <c r="F769" s="1" t="s">
        <v>444</v>
      </c>
      <c r="G769" s="1" t="s">
        <v>371</v>
      </c>
      <c r="H769" s="2">
        <v>360</v>
      </c>
      <c r="I769" s="17">
        <v>45.147500000000001</v>
      </c>
      <c r="J769" s="1" t="s">
        <v>366</v>
      </c>
      <c r="K769" s="6">
        <f>Registro_Ordini[[#This Row],[Numero]]*Registro_Ordini[[#This Row],[Prezzo]]</f>
        <v>16253.1</v>
      </c>
      <c r="L769" s="10">
        <v>0.96104999999999996</v>
      </c>
      <c r="M769" s="6">
        <f>Registro_Ordini[[#This Row],[Importo]]*Registro_Ordini[[#This Row],[Cambio]]</f>
        <v>15620.041755</v>
      </c>
      <c r="N769" s="1">
        <f ca="1">IFERROR(_xlfn.NUMBERVALUE(OFFSET(Origine,MATCH(Registro_Ordini[[#This Row],[Titolo]],Descrizioni,0),MATCH("Price",Intestazioni,0)-1,1,1)),"")</f>
        <v>48.0075</v>
      </c>
      <c r="O769" s="18">
        <f ca="1">IF(OR(Registro_Ordini[[#This Row],[Price]]=0,Registro_Ordini[[#This Row],[Price]]=""),"",IF(Registro_Ordini[[#This Row],[Tipo]]="Sell",Registro_Ordini[[#This Row],[Prezzo]]/Registro_Ordini[[#This Row],[Price]]-1,Registro_Ordini[[#This Row],[Price]]/Registro_Ordini[[#This Row],[Prezzo]]-1))</f>
        <v>6.3347915166952706E-2</v>
      </c>
      <c r="P769" s="15">
        <v>2.5027874203856819E-2</v>
      </c>
      <c r="Q769" s="3">
        <v>0.13422939236167453</v>
      </c>
      <c r="R769" s="3">
        <v>0.27245612229192112</v>
      </c>
      <c r="S769" s="3">
        <v>0.49098862202738408</v>
      </c>
      <c r="T769" s="3">
        <v>0</v>
      </c>
      <c r="U769" s="3">
        <v>0.10232586331902023</v>
      </c>
      <c r="V769" s="3"/>
      <c r="W769" s="4"/>
    </row>
    <row r="770" spans="1:23" s="1" customFormat="1" ht="24.95" customHeight="1" x14ac:dyDescent="0.2">
      <c r="A770" s="8">
        <v>45688</v>
      </c>
      <c r="B770" s="7">
        <v>0.74236111111111114</v>
      </c>
      <c r="C770" s="9" t="s">
        <v>78</v>
      </c>
      <c r="D770" s="1" t="s">
        <v>388</v>
      </c>
      <c r="E770" s="1" t="s">
        <v>389</v>
      </c>
      <c r="F770" s="1" t="s">
        <v>444</v>
      </c>
      <c r="G770" s="1" t="s">
        <v>371</v>
      </c>
      <c r="H770" s="2">
        <v>210</v>
      </c>
      <c r="I770" s="17">
        <v>45.147500000000001</v>
      </c>
      <c r="J770" s="1" t="s">
        <v>366</v>
      </c>
      <c r="K770" s="6">
        <f>Registro_Ordini[[#This Row],[Numero]]*Registro_Ordini[[#This Row],[Prezzo]]</f>
        <v>9480.9750000000004</v>
      </c>
      <c r="L770" s="10">
        <v>0.90854999999999997</v>
      </c>
      <c r="M770" s="6">
        <f>Registro_Ordini[[#This Row],[Importo]]*Registro_Ordini[[#This Row],[Cambio]]</f>
        <v>8613.9398362499996</v>
      </c>
      <c r="N770" s="1">
        <f ca="1">IFERROR(_xlfn.NUMBERVALUE(OFFSET(Origine,MATCH(Registro_Ordini[[#This Row],[Titolo]],Descrizioni,0),MATCH("Price",Intestazioni,0)-1,1,1)),"")</f>
        <v>48.0075</v>
      </c>
      <c r="O770" s="18">
        <f ca="1">IF(OR(Registro_Ordini[[#This Row],[Price]]=0,Registro_Ordini[[#This Row],[Price]]=""),"",IF(Registro_Ordini[[#This Row],[Tipo]]="Sell",Registro_Ordini[[#This Row],[Prezzo]]/Registro_Ordini[[#This Row],[Price]]-1,Registro_Ordini[[#This Row],[Price]]/Registro_Ordini[[#This Row],[Prezzo]]-1))</f>
        <v>6.3347915166952706E-2</v>
      </c>
      <c r="P770" s="15">
        <v>2.0108905666725529E-2</v>
      </c>
      <c r="Q770" s="3">
        <v>5.8223179178768091E-2</v>
      </c>
      <c r="R770" s="3">
        <v>0.16181437250753092</v>
      </c>
      <c r="S770" s="3">
        <v>0.71146935891709517</v>
      </c>
      <c r="T770" s="3">
        <v>0</v>
      </c>
      <c r="U770" s="3">
        <v>6.8493089396605922E-2</v>
      </c>
      <c r="V770" s="3"/>
      <c r="W770" s="4"/>
    </row>
    <row r="771" spans="1:23" s="1" customFormat="1" ht="24.95" customHeight="1" x14ac:dyDescent="0.2">
      <c r="A771" s="8">
        <v>45688</v>
      </c>
      <c r="B771" s="7">
        <v>0.74236111111111114</v>
      </c>
      <c r="C771" s="9" t="s">
        <v>382</v>
      </c>
      <c r="D771" s="1" t="s">
        <v>388</v>
      </c>
      <c r="E771" s="1" t="s">
        <v>389</v>
      </c>
      <c r="F771" s="1" t="s">
        <v>444</v>
      </c>
      <c r="G771" s="1" t="s">
        <v>371</v>
      </c>
      <c r="H771" s="2">
        <v>500</v>
      </c>
      <c r="I771" s="17">
        <v>45.147500000000001</v>
      </c>
      <c r="J771" s="1" t="s">
        <v>366</v>
      </c>
      <c r="K771" s="6">
        <f>Registro_Ordini[[#This Row],[Numero]]*Registro_Ordini[[#This Row],[Prezzo]]</f>
        <v>22573.75</v>
      </c>
      <c r="L771" s="10">
        <v>0.96104999999999996</v>
      </c>
      <c r="M771" s="6">
        <f>Registro_Ordini[[#This Row],[Importo]]*Registro_Ordini[[#This Row],[Cambio]]</f>
        <v>21694.502437499999</v>
      </c>
      <c r="N771" s="1">
        <f ca="1">IFERROR(_xlfn.NUMBERVALUE(OFFSET(Origine,MATCH(Registro_Ordini[[#This Row],[Titolo]],Descrizioni,0),MATCH("Price",Intestazioni,0)-1,1,1)),"")</f>
        <v>48.0075</v>
      </c>
      <c r="O771" s="18">
        <f ca="1">IF(OR(Registro_Ordini[[#This Row],[Price]]=0,Registro_Ordini[[#This Row],[Price]]=""),"",IF(Registro_Ordini[[#This Row],[Tipo]]="Sell",Registro_Ordini[[#This Row],[Prezzo]]/Registro_Ordini[[#This Row],[Price]]-1,Registro_Ordini[[#This Row],[Price]]/Registro_Ordini[[#This Row],[Prezzo]]-1))</f>
        <v>6.3347915166952706E-2</v>
      </c>
      <c r="P771" s="15">
        <v>2.0588566448205673E-2</v>
      </c>
      <c r="Q771" s="3">
        <v>0.10015475944642979</v>
      </c>
      <c r="R771" s="3">
        <v>0.27717746578364094</v>
      </c>
      <c r="S771" s="3">
        <v>0.51840908851359213</v>
      </c>
      <c r="T771" s="3">
        <v>0</v>
      </c>
      <c r="U771" s="3">
        <v>0.10425868625633725</v>
      </c>
      <c r="V771" s="3"/>
      <c r="W771" s="4"/>
    </row>
    <row r="772" spans="1:23" s="1" customFormat="1" ht="24.95" customHeight="1" x14ac:dyDescent="0.2">
      <c r="A772" s="8">
        <v>45688</v>
      </c>
      <c r="B772" s="7">
        <v>0.74236111111111114</v>
      </c>
      <c r="C772" s="9" t="s">
        <v>379</v>
      </c>
      <c r="D772" s="1" t="s">
        <v>388</v>
      </c>
      <c r="E772" s="1" t="s">
        <v>389</v>
      </c>
      <c r="F772" s="1" t="s">
        <v>444</v>
      </c>
      <c r="G772" s="1" t="s">
        <v>371</v>
      </c>
      <c r="H772" s="2">
        <v>160</v>
      </c>
      <c r="I772" s="17">
        <v>45.147500000000001</v>
      </c>
      <c r="J772" s="1" t="s">
        <v>366</v>
      </c>
      <c r="K772" s="6">
        <f>Registro_Ordini[[#This Row],[Numero]]*Registro_Ordini[[#This Row],[Prezzo]]</f>
        <v>7223.6</v>
      </c>
      <c r="L772" s="10">
        <v>0.96104999999999996</v>
      </c>
      <c r="M772" s="6">
        <f>Registro_Ordini[[#This Row],[Importo]]*Registro_Ordini[[#This Row],[Cambio]]</f>
        <v>6942.2407800000001</v>
      </c>
      <c r="N772" s="1">
        <f ca="1">IFERROR(_xlfn.NUMBERVALUE(OFFSET(Origine,MATCH(Registro_Ordini[[#This Row],[Titolo]],Descrizioni,0),MATCH("Price",Intestazioni,0)-1,1,1)),"")</f>
        <v>48.0075</v>
      </c>
      <c r="O772" s="18">
        <f ca="1">IF(OR(Registro_Ordini[[#This Row],[Price]]=0,Registro_Ordini[[#This Row],[Price]]=""),"",IF(Registro_Ordini[[#This Row],[Tipo]]="Sell",Registro_Ordini[[#This Row],[Prezzo]]/Registro_Ordini[[#This Row],[Price]]-1,Registro_Ordini[[#This Row],[Price]]/Registro_Ordini[[#This Row],[Prezzo]]-1))</f>
        <v>6.3347915166952706E-2</v>
      </c>
      <c r="P772" s="15">
        <v>1.2234562386529174E-2</v>
      </c>
      <c r="Q772" s="3">
        <v>0.12189924567935129</v>
      </c>
      <c r="R772" s="3">
        <v>0.28715559051548645</v>
      </c>
      <c r="S772" s="3">
        <v>0.48454735535483789</v>
      </c>
      <c r="T772" s="3">
        <v>0</v>
      </c>
      <c r="U772" s="3">
        <v>0.1063978084503243</v>
      </c>
      <c r="V772" s="3"/>
      <c r="W772" s="4"/>
    </row>
    <row r="773" spans="1:23" s="1" customFormat="1" ht="24.95" customHeight="1" x14ac:dyDescent="0.2">
      <c r="A773" s="8">
        <v>45688</v>
      </c>
      <c r="B773" s="7">
        <v>0.7416666666666667</v>
      </c>
      <c r="C773" s="9" t="s">
        <v>378</v>
      </c>
      <c r="D773" s="1" t="s">
        <v>388</v>
      </c>
      <c r="E773" s="1" t="s">
        <v>389</v>
      </c>
      <c r="F773" s="1" t="s">
        <v>444</v>
      </c>
      <c r="G773" s="1" t="s">
        <v>371</v>
      </c>
      <c r="H773" s="2">
        <v>250</v>
      </c>
      <c r="I773" s="17">
        <v>45.147500000000001</v>
      </c>
      <c r="J773" s="1" t="s">
        <v>366</v>
      </c>
      <c r="K773" s="6">
        <f>Registro_Ordini[[#This Row],[Numero]]*Registro_Ordini[[#This Row],[Prezzo]]</f>
        <v>11286.875</v>
      </c>
      <c r="L773" s="10">
        <v>0.90854999999999997</v>
      </c>
      <c r="M773" s="6">
        <f>Registro_Ordini[[#This Row],[Importo]]*Registro_Ordini[[#This Row],[Cambio]]</f>
        <v>10254.690281249999</v>
      </c>
      <c r="N773" s="1">
        <f ca="1">IFERROR(_xlfn.NUMBERVALUE(OFFSET(Origine,MATCH(Registro_Ordini[[#This Row],[Titolo]],Descrizioni,0),MATCH("Price",Intestazioni,0)-1,1,1)),"")</f>
        <v>48.0075</v>
      </c>
      <c r="O773" s="18">
        <f ca="1">IF(OR(Registro_Ordini[[#This Row],[Price]]=0,Registro_Ordini[[#This Row],[Price]]=""),"",IF(Registro_Ordini[[#This Row],[Tipo]]="Sell",Registro_Ordini[[#This Row],[Prezzo]]/Registro_Ordini[[#This Row],[Price]]-1,Registro_Ordini[[#This Row],[Price]]/Registro_Ordini[[#This Row],[Prezzo]]-1))</f>
        <v>6.3347915166952706E-2</v>
      </c>
      <c r="P773" s="15">
        <v>1.9738832868958937E-2</v>
      </c>
      <c r="Q773" s="3">
        <v>0.10127591959852845</v>
      </c>
      <c r="R773" s="3">
        <v>0.33129109780905791</v>
      </c>
      <c r="S773" s="3">
        <v>0.47611121536741086</v>
      </c>
      <c r="T773" s="3">
        <v>0</v>
      </c>
      <c r="U773" s="3">
        <v>9.1321767225002778E-2</v>
      </c>
      <c r="V773" s="3"/>
      <c r="W773" s="4"/>
    </row>
    <row r="774" spans="1:23" s="1" customFormat="1" ht="24.95" customHeight="1" x14ac:dyDescent="0.2">
      <c r="A774" s="8">
        <v>45688</v>
      </c>
      <c r="B774" s="7">
        <v>0.7416666666666667</v>
      </c>
      <c r="C774" s="9" t="s">
        <v>377</v>
      </c>
      <c r="D774" s="1" t="s">
        <v>388</v>
      </c>
      <c r="E774" s="1" t="s">
        <v>389</v>
      </c>
      <c r="F774" s="1" t="s">
        <v>444</v>
      </c>
      <c r="G774" s="1" t="s">
        <v>371</v>
      </c>
      <c r="H774" s="2">
        <v>790</v>
      </c>
      <c r="I774" s="17">
        <v>45.147500000000001</v>
      </c>
      <c r="J774" s="1" t="s">
        <v>366</v>
      </c>
      <c r="K774" s="6">
        <f>Registro_Ordini[[#This Row],[Numero]]*Registro_Ordini[[#This Row],[Prezzo]]</f>
        <v>35666.525000000001</v>
      </c>
      <c r="L774" s="10">
        <v>0.90854999999999997</v>
      </c>
      <c r="M774" s="6">
        <f>Registro_Ordini[[#This Row],[Importo]]*Registro_Ordini[[#This Row],[Cambio]]</f>
        <v>32404.821288750001</v>
      </c>
      <c r="N774" s="1">
        <f ca="1">IFERROR(_xlfn.NUMBERVALUE(OFFSET(Origine,MATCH(Registro_Ordini[[#This Row],[Titolo]],Descrizioni,0),MATCH("Price",Intestazioni,0)-1,1,1)),"")</f>
        <v>48.0075</v>
      </c>
      <c r="O774" s="18">
        <f ca="1">IF(OR(Registro_Ordini[[#This Row],[Price]]=0,Registro_Ordini[[#This Row],[Price]]=""),"",IF(Registro_Ordini[[#This Row],[Tipo]]="Sell",Registro_Ordini[[#This Row],[Prezzo]]/Registro_Ordini[[#This Row],[Price]]-1,Registro_Ordini[[#This Row],[Price]]/Registro_Ordini[[#This Row],[Prezzo]]-1))</f>
        <v>6.3347915166952706E-2</v>
      </c>
      <c r="P774" s="15">
        <v>2.0083161911271252E-2</v>
      </c>
      <c r="Q774" s="3">
        <v>9.5704657476625696E-2</v>
      </c>
      <c r="R774" s="3">
        <v>0.32181864919206249</v>
      </c>
      <c r="S774" s="3">
        <v>0.48086480576891455</v>
      </c>
      <c r="T774" s="3">
        <v>0</v>
      </c>
      <c r="U774" s="3">
        <v>0.1016118875623972</v>
      </c>
      <c r="V774" s="3"/>
      <c r="W774" s="4"/>
    </row>
    <row r="775" spans="1:23" s="1" customFormat="1" ht="24.95" customHeight="1" x14ac:dyDescent="0.2">
      <c r="A775" s="8">
        <v>45688</v>
      </c>
      <c r="B775" s="7">
        <v>0.72361111111111109</v>
      </c>
      <c r="C775" s="9" t="s">
        <v>383</v>
      </c>
      <c r="D775" s="1" t="s">
        <v>388</v>
      </c>
      <c r="E775" s="1" t="s">
        <v>389</v>
      </c>
      <c r="F775" s="1" t="s">
        <v>459</v>
      </c>
      <c r="G775" s="1" t="s">
        <v>371</v>
      </c>
      <c r="H775" s="2">
        <v>230</v>
      </c>
      <c r="I775" s="17">
        <v>70.067099999999996</v>
      </c>
      <c r="J775" s="1" t="s">
        <v>366</v>
      </c>
      <c r="K775" s="6">
        <f>Registro_Ordini[[#This Row],[Numero]]*Registro_Ordini[[#This Row],[Prezzo]]</f>
        <v>16115.432999999999</v>
      </c>
      <c r="L775" s="10">
        <v>0.96225000000000005</v>
      </c>
      <c r="M775" s="6">
        <f>Registro_Ordini[[#This Row],[Importo]]*Registro_Ordini[[#This Row],[Cambio]]</f>
        <v>15507.075404249999</v>
      </c>
      <c r="N775" s="1">
        <f ca="1">IFERROR(_xlfn.NUMBERVALUE(OFFSET(Origine,MATCH(Registro_Ordini[[#This Row],[Titolo]],Descrizioni,0),MATCH("Price",Intestazioni,0)-1,1,1)),"")</f>
        <v>68.510000000000005</v>
      </c>
      <c r="O775" s="18">
        <f ca="1">IF(OR(Registro_Ordini[[#This Row],[Price]]=0,Registro_Ordini[[#This Row],[Price]]=""),"",IF(Registro_Ordini[[#This Row],[Tipo]]="Sell",Registro_Ordini[[#This Row],[Prezzo]]/Registro_Ordini[[#This Row],[Price]]-1,Registro_Ordini[[#This Row],[Price]]/Registro_Ordini[[#This Row],[Prezzo]]-1))</f>
        <v>-2.2222983397343299E-2</v>
      </c>
      <c r="P775" s="15">
        <v>2.4829248751245026E-2</v>
      </c>
      <c r="Q775" s="3">
        <v>0.15920713602598266</v>
      </c>
      <c r="R775" s="3">
        <v>0.27227491683901128</v>
      </c>
      <c r="S775" s="3">
        <v>0.4659591281392314</v>
      </c>
      <c r="T775" s="3">
        <v>0</v>
      </c>
      <c r="U775" s="3">
        <v>0.10255881899577472</v>
      </c>
      <c r="V775" s="3"/>
      <c r="W775" s="4"/>
    </row>
    <row r="776" spans="1:23" s="1" customFormat="1" ht="24.95" customHeight="1" x14ac:dyDescent="0.2">
      <c r="A776" s="8">
        <v>45688</v>
      </c>
      <c r="B776" s="7">
        <v>0.72361111111111109</v>
      </c>
      <c r="C776" s="9" t="s">
        <v>382</v>
      </c>
      <c r="D776" s="1" t="s">
        <v>388</v>
      </c>
      <c r="E776" s="1" t="s">
        <v>389</v>
      </c>
      <c r="F776" s="1" t="s">
        <v>459</v>
      </c>
      <c r="G776" s="1" t="s">
        <v>371</v>
      </c>
      <c r="H776" s="2">
        <v>320</v>
      </c>
      <c r="I776" s="17">
        <v>70.067099999999996</v>
      </c>
      <c r="J776" s="1" t="s">
        <v>366</v>
      </c>
      <c r="K776" s="6">
        <f>Registro_Ordini[[#This Row],[Numero]]*Registro_Ordini[[#This Row],[Prezzo]]</f>
        <v>22421.471999999998</v>
      </c>
      <c r="L776" s="10">
        <v>0.96225000000000005</v>
      </c>
      <c r="M776" s="6">
        <f>Registro_Ordini[[#This Row],[Importo]]*Registro_Ordini[[#This Row],[Cambio]]</f>
        <v>21575.061431999999</v>
      </c>
      <c r="N776" s="1">
        <f ca="1">IFERROR(_xlfn.NUMBERVALUE(OFFSET(Origine,MATCH(Registro_Ordini[[#This Row],[Titolo]],Descrizioni,0),MATCH("Price",Intestazioni,0)-1,1,1)),"")</f>
        <v>68.510000000000005</v>
      </c>
      <c r="O776" s="18">
        <f ca="1">IF(OR(Registro_Ordini[[#This Row],[Price]]=0,Registro_Ordini[[#This Row],[Price]]=""),"",IF(Registro_Ordini[[#This Row],[Tipo]]="Sell",Registro_Ordini[[#This Row],[Prezzo]]/Registro_Ordini[[#This Row],[Price]]-1,Registro_Ordini[[#This Row],[Price]]/Registro_Ordini[[#This Row],[Prezzo]]-1))</f>
        <v>-2.2222983397343299E-2</v>
      </c>
      <c r="P776" s="15">
        <v>2.04617048085525E-2</v>
      </c>
      <c r="Q776" s="3">
        <v>0.12071639662707213</v>
      </c>
      <c r="R776" s="3">
        <v>0.2770059659775258</v>
      </c>
      <c r="S776" s="3">
        <v>0.49781250991024778</v>
      </c>
      <c r="T776" s="3">
        <v>0</v>
      </c>
      <c r="U776" s="3">
        <v>0.10446512748515438</v>
      </c>
      <c r="V776" s="3"/>
      <c r="W776" s="4"/>
    </row>
    <row r="777" spans="1:23" s="1" customFormat="1" ht="24.95" customHeight="1" x14ac:dyDescent="0.2">
      <c r="A777" s="8">
        <v>45688</v>
      </c>
      <c r="B777" s="7">
        <v>0.72361111111111109</v>
      </c>
      <c r="C777" s="9" t="s">
        <v>379</v>
      </c>
      <c r="D777" s="1" t="s">
        <v>388</v>
      </c>
      <c r="E777" s="1" t="s">
        <v>389</v>
      </c>
      <c r="F777" s="1" t="s">
        <v>459</v>
      </c>
      <c r="G777" s="1" t="s">
        <v>371</v>
      </c>
      <c r="H777" s="2">
        <v>100</v>
      </c>
      <c r="I777" s="17">
        <v>70.067099999999996</v>
      </c>
      <c r="J777" s="1" t="s">
        <v>366</v>
      </c>
      <c r="K777" s="6">
        <f>Registro_Ordini[[#This Row],[Numero]]*Registro_Ordini[[#This Row],[Prezzo]]</f>
        <v>7006.71</v>
      </c>
      <c r="L777" s="10">
        <v>0.96225000000000005</v>
      </c>
      <c r="M777" s="6">
        <f>Registro_Ordini[[#This Row],[Importo]]*Registro_Ordini[[#This Row],[Cambio]]</f>
        <v>6742.2066975000007</v>
      </c>
      <c r="N777" s="1">
        <f ca="1">IFERROR(_xlfn.NUMBERVALUE(OFFSET(Origine,MATCH(Registro_Ordini[[#This Row],[Titolo]],Descrizioni,0),MATCH("Price",Intestazioni,0)-1,1,1)),"")</f>
        <v>68.510000000000005</v>
      </c>
      <c r="O777" s="18">
        <f ca="1">IF(OR(Registro_Ordini[[#This Row],[Price]]=0,Registro_Ordini[[#This Row],[Price]]=""),"",IF(Registro_Ordini[[#This Row],[Tipo]]="Sell",Registro_Ordini[[#This Row],[Prezzo]]/Registro_Ordini[[#This Row],[Price]]-1,Registro_Ordini[[#This Row],[Price]]/Registro_Ordini[[#This Row],[Prezzo]]-1))</f>
        <v>-2.2222983397343299E-2</v>
      </c>
      <c r="P777" s="15">
        <v>1.1874864539367664E-2</v>
      </c>
      <c r="Q777" s="3">
        <v>0.13409721633398811</v>
      </c>
      <c r="R777" s="3">
        <v>0.28699638882756667</v>
      </c>
      <c r="S777" s="3">
        <v>0.47233020122043795</v>
      </c>
      <c r="T777" s="3">
        <v>0</v>
      </c>
      <c r="U777" s="3">
        <v>0.10657619361800724</v>
      </c>
      <c r="V777" s="3"/>
      <c r="W777" s="4"/>
    </row>
    <row r="778" spans="1:23" s="1" customFormat="1" ht="24.95" customHeight="1" x14ac:dyDescent="0.2">
      <c r="A778" s="8">
        <v>45688</v>
      </c>
      <c r="B778" s="7">
        <v>0.72291666666666665</v>
      </c>
      <c r="C778" s="9" t="s">
        <v>78</v>
      </c>
      <c r="D778" s="1" t="s">
        <v>388</v>
      </c>
      <c r="E778" s="1" t="s">
        <v>389</v>
      </c>
      <c r="F778" s="1" t="s">
        <v>459</v>
      </c>
      <c r="G778" s="1" t="s">
        <v>371</v>
      </c>
      <c r="H778" s="2">
        <v>135</v>
      </c>
      <c r="I778" s="17">
        <v>70.067099999999996</v>
      </c>
      <c r="J778" s="1" t="s">
        <v>366</v>
      </c>
      <c r="K778" s="6">
        <f>Registro_Ordini[[#This Row],[Numero]]*Registro_Ordini[[#This Row],[Prezzo]]</f>
        <v>9459.0584999999992</v>
      </c>
      <c r="L778" s="10">
        <v>0.90925</v>
      </c>
      <c r="M778" s="6">
        <f>Registro_Ordini[[#This Row],[Importo]]*Registro_Ordini[[#This Row],[Cambio]]</f>
        <v>8600.6489411249986</v>
      </c>
      <c r="N778" s="1">
        <f ca="1">IFERROR(_xlfn.NUMBERVALUE(OFFSET(Origine,MATCH(Registro_Ordini[[#This Row],[Titolo]],Descrizioni,0),MATCH("Price",Intestazioni,0)-1,1,1)),"")</f>
        <v>68.510000000000005</v>
      </c>
      <c r="O778" s="18">
        <f ca="1">IF(OR(Registro_Ordini[[#This Row],[Price]]=0,Registro_Ordini[[#This Row],[Price]]=""),"",IF(Registro_Ordini[[#This Row],[Tipo]]="Sell",Registro_Ordini[[#This Row],[Prezzo]]/Registro_Ordini[[#This Row],[Price]]-1,Registro_Ordini[[#This Row],[Price]]/Registro_Ordini[[#This Row],[Prezzo]]-1))</f>
        <v>-2.2222983397343299E-2</v>
      </c>
      <c r="P778" s="15">
        <v>2.0068979334055801E-2</v>
      </c>
      <c r="Q778" s="3">
        <v>7.8312552231655994E-2</v>
      </c>
      <c r="R778" s="3">
        <v>0.1617426503976106</v>
      </c>
      <c r="S778" s="3">
        <v>0.69132806049984208</v>
      </c>
      <c r="T778" s="3">
        <v>0</v>
      </c>
      <c r="U778" s="3">
        <v>6.8616736870891495E-2</v>
      </c>
      <c r="V778" s="3"/>
      <c r="W778" s="4"/>
    </row>
    <row r="779" spans="1:23" s="1" customFormat="1" ht="24.95" customHeight="1" x14ac:dyDescent="0.2">
      <c r="A779" s="8">
        <v>45688</v>
      </c>
      <c r="B779" s="7">
        <v>0.72291666666666665</v>
      </c>
      <c r="C779" s="9" t="s">
        <v>375</v>
      </c>
      <c r="D779" s="1" t="s">
        <v>388</v>
      </c>
      <c r="E779" s="1" t="s">
        <v>389</v>
      </c>
      <c r="F779" s="1" t="s">
        <v>459</v>
      </c>
      <c r="G779" s="1" t="s">
        <v>371</v>
      </c>
      <c r="H779" s="2">
        <v>160</v>
      </c>
      <c r="I779" s="17">
        <v>70.067099999999996</v>
      </c>
      <c r="J779" s="1" t="s">
        <v>366</v>
      </c>
      <c r="K779" s="6">
        <f>Registro_Ordini[[#This Row],[Numero]]*Registro_Ordini[[#This Row],[Prezzo]]</f>
        <v>11210.735999999999</v>
      </c>
      <c r="L779" s="10">
        <v>0.90925</v>
      </c>
      <c r="M779" s="6">
        <f>Registro_Ordini[[#This Row],[Importo]]*Registro_Ordini[[#This Row],[Cambio]]</f>
        <v>10193.361707999999</v>
      </c>
      <c r="N779" s="1">
        <f ca="1">IFERROR(_xlfn.NUMBERVALUE(OFFSET(Origine,MATCH(Registro_Ordini[[#This Row],[Titolo]],Descrizioni,0),MATCH("Price",Intestazioni,0)-1,1,1)),"")</f>
        <v>68.510000000000005</v>
      </c>
      <c r="O779" s="18">
        <f ca="1">IF(OR(Registro_Ordini[[#This Row],[Price]]=0,Registro_Ordini[[#This Row],[Price]]=""),"",IF(Registro_Ordini[[#This Row],[Tipo]]="Sell",Registro_Ordini[[#This Row],[Prezzo]]/Registro_Ordini[[#This Row],[Price]]-1,Registro_Ordini[[#This Row],[Price]]/Registro_Ordini[[#This Row],[Prezzo]]-1))</f>
        <v>-2.2222983397343299E-2</v>
      </c>
      <c r="P779" s="15">
        <v>1.2570771340928067E-2</v>
      </c>
      <c r="Q779" s="3">
        <v>0.12757659790379552</v>
      </c>
      <c r="R779" s="3">
        <v>0.35206683012823831</v>
      </c>
      <c r="S779" s="3">
        <v>0.42616051627017165</v>
      </c>
      <c r="T779" s="3">
        <v>0</v>
      </c>
      <c r="U779" s="3">
        <v>9.4196055697794587E-2</v>
      </c>
      <c r="V779" s="3"/>
      <c r="W779" s="4"/>
    </row>
    <row r="780" spans="1:23" s="1" customFormat="1" ht="24.95" customHeight="1" x14ac:dyDescent="0.2">
      <c r="A780" s="8">
        <v>45688</v>
      </c>
      <c r="B780" s="7">
        <v>0.72291666666666665</v>
      </c>
      <c r="C780" s="9" t="s">
        <v>378</v>
      </c>
      <c r="D780" s="1" t="s">
        <v>388</v>
      </c>
      <c r="E780" s="1" t="s">
        <v>389</v>
      </c>
      <c r="F780" s="1" t="s">
        <v>459</v>
      </c>
      <c r="G780" s="1" t="s">
        <v>371</v>
      </c>
      <c r="H780" s="2">
        <v>165</v>
      </c>
      <c r="I780" s="17">
        <v>70.067099999999996</v>
      </c>
      <c r="J780" s="1" t="s">
        <v>366</v>
      </c>
      <c r="K780" s="6">
        <f>Registro_Ordini[[#This Row],[Numero]]*Registro_Ordini[[#This Row],[Prezzo]]</f>
        <v>11561.0715</v>
      </c>
      <c r="L780" s="10">
        <v>0.90925</v>
      </c>
      <c r="M780" s="6">
        <f>Registro_Ordini[[#This Row],[Importo]]*Registro_Ordini[[#This Row],[Cambio]]</f>
        <v>10511.904261375001</v>
      </c>
      <c r="N780" s="1">
        <f ca="1">IFERROR(_xlfn.NUMBERVALUE(OFFSET(Origine,MATCH(Registro_Ordini[[#This Row],[Titolo]],Descrizioni,0),MATCH("Price",Intestazioni,0)-1,1,1)),"")</f>
        <v>68.510000000000005</v>
      </c>
      <c r="O780" s="18">
        <f ca="1">IF(OR(Registro_Ordini[[#This Row],[Price]]=0,Registro_Ordini[[#This Row],[Price]]=""),"",IF(Registro_Ordini[[#This Row],[Tipo]]="Sell",Registro_Ordini[[#This Row],[Prezzo]]/Registro_Ordini[[#This Row],[Price]]-1,Registro_Ordini[[#This Row],[Price]]/Registro_Ordini[[#This Row],[Prezzo]]-1))</f>
        <v>-2.2222983397343299E-2</v>
      </c>
      <c r="P780" s="15">
        <v>2.0227102028238041E-2</v>
      </c>
      <c r="Q780" s="3">
        <v>0.12098877535570855</v>
      </c>
      <c r="R780" s="3">
        <v>0.33117924559961814</v>
      </c>
      <c r="S780" s="3">
        <v>0.45637746615997743</v>
      </c>
      <c r="T780" s="3">
        <v>0</v>
      </c>
      <c r="U780" s="3">
        <v>9.1454512884695832E-2</v>
      </c>
      <c r="V780" s="3"/>
      <c r="W780" s="4"/>
    </row>
    <row r="781" spans="1:23" s="1" customFormat="1" ht="24.95" customHeight="1" x14ac:dyDescent="0.2">
      <c r="A781" s="8">
        <v>45688</v>
      </c>
      <c r="B781" s="7">
        <v>0.72291666666666665</v>
      </c>
      <c r="C781" s="9" t="s">
        <v>377</v>
      </c>
      <c r="D781" s="1" t="s">
        <v>388</v>
      </c>
      <c r="E781" s="1" t="s">
        <v>389</v>
      </c>
      <c r="F781" s="1" t="s">
        <v>459</v>
      </c>
      <c r="G781" s="1" t="s">
        <v>371</v>
      </c>
      <c r="H781" s="2">
        <v>510</v>
      </c>
      <c r="I781" s="17">
        <v>70.067099999999996</v>
      </c>
      <c r="J781" s="1" t="s">
        <v>366</v>
      </c>
      <c r="K781" s="6">
        <f>Registro_Ordini[[#This Row],[Numero]]*Registro_Ordini[[#This Row],[Prezzo]]</f>
        <v>35734.220999999998</v>
      </c>
      <c r="L781" s="10">
        <v>0.90925</v>
      </c>
      <c r="M781" s="6">
        <f>Registro_Ordini[[#This Row],[Importo]]*Registro_Ordini[[#This Row],[Cambio]]</f>
        <v>32491.34044425</v>
      </c>
      <c r="N781" s="1">
        <f ca="1">IFERROR(_xlfn.NUMBERVALUE(OFFSET(Origine,MATCH(Registro_Ordini[[#This Row],[Titolo]],Descrizioni,0),MATCH("Price",Intestazioni,0)-1,1,1)),"")</f>
        <v>68.510000000000005</v>
      </c>
      <c r="O781" s="18">
        <f ca="1">IF(OR(Registro_Ordini[[#This Row],[Price]]=0,Registro_Ordini[[#This Row],[Price]]=""),"",IF(Registro_Ordini[[#This Row],[Tipo]]="Sell",Registro_Ordini[[#This Row],[Prezzo]]/Registro_Ordini[[#This Row],[Price]]-1,Registro_Ordini[[#This Row],[Price]]/Registro_Ordini[[#This Row],[Prezzo]]-1))</f>
        <v>-2.2222983397343299E-2</v>
      </c>
      <c r="P781" s="15">
        <v>2.0132735666465472E-2</v>
      </c>
      <c r="Q781" s="3">
        <v>0.11579645142636913</v>
      </c>
      <c r="R781" s="3">
        <v>0.32175396796801981</v>
      </c>
      <c r="S781" s="3">
        <v>0.46085811566720197</v>
      </c>
      <c r="T781" s="3">
        <v>0</v>
      </c>
      <c r="U781" s="3">
        <v>0.10159146493840902</v>
      </c>
      <c r="V781" s="3"/>
      <c r="W781" s="4"/>
    </row>
    <row r="782" spans="1:23" s="1" customFormat="1" ht="24.95" customHeight="1" x14ac:dyDescent="0.2">
      <c r="A782" s="8">
        <v>45688</v>
      </c>
      <c r="B782" s="7">
        <v>0.72152777777777777</v>
      </c>
      <c r="C782" s="9" t="s">
        <v>367</v>
      </c>
      <c r="D782" s="1" t="s">
        <v>388</v>
      </c>
      <c r="E782" s="1" t="s">
        <v>389</v>
      </c>
      <c r="F782" s="1" t="s">
        <v>445</v>
      </c>
      <c r="G782" s="1" t="s">
        <v>371</v>
      </c>
      <c r="H782" s="2">
        <v>300</v>
      </c>
      <c r="I782" s="17">
        <v>148.27000000000001</v>
      </c>
      <c r="J782" s="1" t="s">
        <v>366</v>
      </c>
      <c r="K782" s="6">
        <f>Registro_Ordini[[#This Row],[Numero]]*Registro_Ordini[[#This Row],[Prezzo]]</f>
        <v>44481</v>
      </c>
      <c r="L782" s="10">
        <v>0.90925</v>
      </c>
      <c r="M782" s="6">
        <f>Registro_Ordini[[#This Row],[Importo]]*Registro_Ordini[[#This Row],[Cambio]]</f>
        <v>40444.349249999999</v>
      </c>
      <c r="N782" s="1">
        <f ca="1">IFERROR(_xlfn.NUMBERVALUE(OFFSET(Origine,MATCH(Registro_Ordini[[#This Row],[Titolo]],Descrizioni,0),MATCH("Price",Intestazioni,0)-1,1,1)),"")</f>
        <v>156.24</v>
      </c>
      <c r="O782" s="18">
        <f ca="1">IF(OR(Registro_Ordini[[#This Row],[Price]]=0,Registro_Ordini[[#This Row],[Price]]=""),"",IF(Registro_Ordini[[#This Row],[Tipo]]="Sell",Registro_Ordini[[#This Row],[Prezzo]]/Registro_Ordini[[#This Row],[Price]]-1,Registro_Ordini[[#This Row],[Price]]/Registro_Ordini[[#This Row],[Prezzo]]-1))</f>
        <v>5.3753287920685233E-2</v>
      </c>
      <c r="P782" s="15">
        <v>1.1506328331492852E-2</v>
      </c>
      <c r="Q782" s="3">
        <v>0.10493018711725771</v>
      </c>
      <c r="R782" s="3">
        <v>0.42636594631034436</v>
      </c>
      <c r="S782" s="3">
        <v>0.4179183308008711</v>
      </c>
      <c r="T782" s="3">
        <v>0</v>
      </c>
      <c r="U782" s="3">
        <v>5.0785535771527071E-2</v>
      </c>
      <c r="V782" s="3"/>
      <c r="W782" s="4"/>
    </row>
    <row r="783" spans="1:23" s="1" customFormat="1" ht="24.95" customHeight="1" x14ac:dyDescent="0.2">
      <c r="A783" s="8">
        <v>45688</v>
      </c>
      <c r="B783" s="7">
        <v>0.71458333333333335</v>
      </c>
      <c r="C783" s="9" t="s">
        <v>367</v>
      </c>
      <c r="D783" s="1" t="s">
        <v>388</v>
      </c>
      <c r="E783" s="1" t="s">
        <v>389</v>
      </c>
      <c r="F783" s="1" t="s">
        <v>460</v>
      </c>
      <c r="G783" s="1" t="s">
        <v>371</v>
      </c>
      <c r="H783" s="2">
        <v>190</v>
      </c>
      <c r="I783" s="17">
        <v>235.13</v>
      </c>
      <c r="J783" s="1" t="s">
        <v>366</v>
      </c>
      <c r="K783" s="6">
        <f>Registro_Ordini[[#This Row],[Numero]]*Registro_Ordini[[#This Row],[Prezzo]]</f>
        <v>44674.7</v>
      </c>
      <c r="L783" s="10">
        <v>0.90905000000000002</v>
      </c>
      <c r="M783" s="6">
        <f>Registro_Ordini[[#This Row],[Importo]]*Registro_Ordini[[#This Row],[Cambio]]</f>
        <v>40611.536034999997</v>
      </c>
      <c r="N783" s="1">
        <f ca="1">IFERROR(_xlfn.NUMBERVALUE(OFFSET(Origine,MATCH(Registro_Ordini[[#This Row],[Titolo]],Descrizioni,0),MATCH("Price",Intestazioni,0)-1,1,1)),"")</f>
        <v>113.6</v>
      </c>
      <c r="O783" s="18">
        <f ca="1">IF(OR(Registro_Ordini[[#This Row],[Price]]=0,Registro_Ordini[[#This Row],[Price]]=""),"",IF(Registro_Ordini[[#This Row],[Tipo]]="Sell",Registro_Ordini[[#This Row],[Prezzo]]/Registro_Ordini[[#This Row],[Price]]-1,Registro_Ordini[[#This Row],[Price]]/Registro_Ordini[[#This Row],[Prezzo]]-1))</f>
        <v>-0.51686301195083573</v>
      </c>
      <c r="P783" s="15">
        <v>1.1550480143065665E-2</v>
      </c>
      <c r="Q783" s="3">
        <v>0.11640728270151186</v>
      </c>
      <c r="R783" s="3">
        <v>0.42634490066134695</v>
      </c>
      <c r="S783" s="3">
        <v>0.40646648188951223</v>
      </c>
      <c r="T783" s="3">
        <v>0</v>
      </c>
      <c r="U783" s="3">
        <v>5.0781334747629032E-2</v>
      </c>
      <c r="V783" s="3"/>
      <c r="W783" s="4"/>
    </row>
    <row r="784" spans="1:23" s="1" customFormat="1" ht="24.95" customHeight="1" x14ac:dyDescent="0.2">
      <c r="A784" s="8">
        <v>45688</v>
      </c>
      <c r="B784" s="7">
        <v>0.67708333333333337</v>
      </c>
      <c r="C784" s="9" t="s">
        <v>376</v>
      </c>
      <c r="D784" s="1" t="s">
        <v>388</v>
      </c>
      <c r="E784" s="1" t="s">
        <v>389</v>
      </c>
      <c r="F784" s="1" t="s">
        <v>399</v>
      </c>
      <c r="G784" s="1" t="s">
        <v>371</v>
      </c>
      <c r="H784" s="2">
        <v>10</v>
      </c>
      <c r="I784" s="17">
        <v>648.19000000000005</v>
      </c>
      <c r="J784" s="1" t="s">
        <v>366</v>
      </c>
      <c r="K784" s="6">
        <f>Registro_Ordini[[#This Row],[Numero]]*Registro_Ordini[[#This Row],[Prezzo]]</f>
        <v>6481.9000000000005</v>
      </c>
      <c r="L784" s="10">
        <v>0.90944999999999998</v>
      </c>
      <c r="M784" s="6">
        <f>Registro_Ordini[[#This Row],[Importo]]*Registro_Ordini[[#This Row],[Cambio]]</f>
        <v>5894.9639550000002</v>
      </c>
      <c r="N784" s="1">
        <f ca="1">IFERROR(_xlfn.NUMBERVALUE(OFFSET(Origine,MATCH(Registro_Ordini[[#This Row],[Titolo]],Descrizioni,0),MATCH("Price",Intestazioni,0)-1,1,1)),"")</f>
        <v>727.16</v>
      </c>
      <c r="O784" s="18">
        <f ca="1">IF(OR(Registro_Ordini[[#This Row],[Price]]=0,Registro_Ordini[[#This Row],[Price]]=""),"",IF(Registro_Ordini[[#This Row],[Tipo]]="Sell",Registro_Ordini[[#This Row],[Prezzo]]/Registro_Ordini[[#This Row],[Price]]-1,Registro_Ordini[[#This Row],[Price]]/Registro_Ordini[[#This Row],[Prezzo]]-1))</f>
        <v>0.12183156173344223</v>
      </c>
      <c r="P784" s="15">
        <v>2.1215087477193539E-2</v>
      </c>
      <c r="Q784" s="3">
        <v>6.3401590029973906E-2</v>
      </c>
      <c r="R784" s="3">
        <v>0.35246892600256768</v>
      </c>
      <c r="S784" s="3">
        <v>0.463369117104585</v>
      </c>
      <c r="T784" s="3">
        <v>0</v>
      </c>
      <c r="U784" s="3">
        <v>0.12076036686287332</v>
      </c>
      <c r="V784" s="3"/>
      <c r="W784" s="4"/>
    </row>
    <row r="785" spans="1:23" s="1" customFormat="1" ht="24.95" customHeight="1" x14ac:dyDescent="0.2">
      <c r="A785" s="8">
        <v>45688</v>
      </c>
      <c r="B785" s="7">
        <v>0.67500000000000004</v>
      </c>
      <c r="C785" s="9" t="s">
        <v>383</v>
      </c>
      <c r="D785" s="1" t="s">
        <v>388</v>
      </c>
      <c r="E785" s="1" t="s">
        <v>420</v>
      </c>
      <c r="F785" s="1" t="s">
        <v>465</v>
      </c>
      <c r="G785" s="1" t="s">
        <v>365</v>
      </c>
      <c r="H785" s="2">
        <v>-200</v>
      </c>
      <c r="I785" s="17">
        <v>61.686700000000002</v>
      </c>
      <c r="J785" s="1" t="s">
        <v>366</v>
      </c>
      <c r="K785" s="6">
        <f>Registro_Ordini[[#This Row],[Numero]]*Registro_Ordini[[#This Row],[Prezzo]]</f>
        <v>-12337.34</v>
      </c>
      <c r="L785" s="10">
        <v>0.96484999999999999</v>
      </c>
      <c r="M785" s="6">
        <f>Registro_Ordini[[#This Row],[Importo]]*Registro_Ordini[[#This Row],[Cambio]]</f>
        <v>-11903.682499</v>
      </c>
      <c r="N785" s="1">
        <f ca="1">IFERROR(_xlfn.NUMBERVALUE(OFFSET(Origine,MATCH(Registro_Ordini[[#This Row],[Titolo]],Descrizioni,0),MATCH("Price",Intestazioni,0)-1,1,1)),"")</f>
        <v>86.364999999999995</v>
      </c>
      <c r="O785" s="18">
        <f ca="1">IF(OR(Registro_Ordini[[#This Row],[Price]]=0,Registro_Ordini[[#This Row],[Price]]=""),"",IF(Registro_Ordini[[#This Row],[Tipo]]="Sell",Registro_Ordini[[#This Row],[Prezzo]]/Registro_Ordini[[#This Row],[Price]]-1,Registro_Ordini[[#This Row],[Price]]/Registro_Ordini[[#This Row],[Prezzo]]-1))</f>
        <v>-0.28574422509118269</v>
      </c>
      <c r="P785" s="15">
        <v>-1.9042515069538031E-2</v>
      </c>
      <c r="Q785" s="3">
        <v>0.18407388284641985</v>
      </c>
      <c r="R785" s="3">
        <v>0.27202048003991608</v>
      </c>
      <c r="S785" s="3">
        <v>0.44137635083630194</v>
      </c>
      <c r="T785" s="3">
        <v>0</v>
      </c>
      <c r="U785" s="3">
        <v>0.1025292862773622</v>
      </c>
      <c r="V785" s="3"/>
      <c r="W785" s="4"/>
    </row>
    <row r="786" spans="1:23" s="1" customFormat="1" ht="24.95" customHeight="1" x14ac:dyDescent="0.2">
      <c r="A786" s="8">
        <v>45688</v>
      </c>
      <c r="B786" s="7">
        <v>0.67500000000000004</v>
      </c>
      <c r="C786" s="9" t="s">
        <v>382</v>
      </c>
      <c r="D786" s="1" t="s">
        <v>388</v>
      </c>
      <c r="E786" s="1" t="s">
        <v>420</v>
      </c>
      <c r="F786" s="1" t="s">
        <v>465</v>
      </c>
      <c r="G786" s="1" t="s">
        <v>365</v>
      </c>
      <c r="H786" s="2">
        <v>-350</v>
      </c>
      <c r="I786" s="17">
        <v>61.686700000000002</v>
      </c>
      <c r="J786" s="1" t="s">
        <v>366</v>
      </c>
      <c r="K786" s="6">
        <f>Registro_Ordini[[#This Row],[Numero]]*Registro_Ordini[[#This Row],[Prezzo]]</f>
        <v>-21590.345000000001</v>
      </c>
      <c r="L786" s="10">
        <v>0.96484999999999999</v>
      </c>
      <c r="M786" s="6">
        <f>Registro_Ordini[[#This Row],[Importo]]*Registro_Ordini[[#This Row],[Cambio]]</f>
        <v>-20831.44437325</v>
      </c>
      <c r="N786" s="1">
        <f ca="1">IFERROR(_xlfn.NUMBERVALUE(OFFSET(Origine,MATCH(Registro_Ordini[[#This Row],[Titolo]],Descrizioni,0),MATCH("Price",Intestazioni,0)-1,1,1)),"")</f>
        <v>86.364999999999995</v>
      </c>
      <c r="O786" s="18">
        <f ca="1">IF(OR(Registro_Ordini[[#This Row],[Price]]=0,Registro_Ordini[[#This Row],[Price]]=""),"",IF(Registro_Ordini[[#This Row],[Tipo]]="Sell",Registro_Ordini[[#This Row],[Prezzo]]/Registro_Ordini[[#This Row],[Price]]-1,Registro_Ordini[[#This Row],[Price]]/Registro_Ordini[[#This Row],[Prezzo]]-1))</f>
        <v>-0.28574422509118269</v>
      </c>
      <c r="P786" s="15">
        <v>-1.9737678016152074E-2</v>
      </c>
      <c r="Q786" s="3">
        <v>0.14121326698052752</v>
      </c>
      <c r="R786" s="3">
        <v>0.2767340779840034</v>
      </c>
      <c r="S786" s="3">
        <v>0.47756575953217051</v>
      </c>
      <c r="T786" s="3">
        <v>0</v>
      </c>
      <c r="U786" s="3">
        <v>0.10448689550329852</v>
      </c>
      <c r="V786" s="3"/>
      <c r="W786" s="4"/>
    </row>
    <row r="787" spans="1:23" s="1" customFormat="1" ht="24.95" customHeight="1" x14ac:dyDescent="0.2">
      <c r="A787" s="8">
        <v>45688</v>
      </c>
      <c r="B787" s="7">
        <v>0.67500000000000004</v>
      </c>
      <c r="C787" s="9" t="s">
        <v>106</v>
      </c>
      <c r="D787" s="1" t="s">
        <v>388</v>
      </c>
      <c r="E787" s="1" t="s">
        <v>420</v>
      </c>
      <c r="F787" s="1" t="s">
        <v>465</v>
      </c>
      <c r="G787" s="1" t="s">
        <v>365</v>
      </c>
      <c r="H787" s="2">
        <v>-90</v>
      </c>
      <c r="I787" s="17">
        <v>61.686700000000002</v>
      </c>
      <c r="J787" s="1" t="s">
        <v>366</v>
      </c>
      <c r="K787" s="6">
        <f>Registro_Ordini[[#This Row],[Numero]]*Registro_Ordini[[#This Row],[Prezzo]]</f>
        <v>-5551.8029999999999</v>
      </c>
      <c r="L787" s="10">
        <v>0.96484999999999999</v>
      </c>
      <c r="M787" s="6">
        <f>Registro_Ordini[[#This Row],[Importo]]*Registro_Ordini[[#This Row],[Cambio]]</f>
        <v>-5356.6571245499999</v>
      </c>
      <c r="N787" s="1">
        <f ca="1">IFERROR(_xlfn.NUMBERVALUE(OFFSET(Origine,MATCH(Registro_Ordini[[#This Row],[Titolo]],Descrizioni,0),MATCH("Price",Intestazioni,0)-1,1,1)),"")</f>
        <v>86.364999999999995</v>
      </c>
      <c r="O787" s="18">
        <f ca="1">IF(OR(Registro_Ordini[[#This Row],[Price]]=0,Registro_Ordini[[#This Row],[Price]]=""),"",IF(Registro_Ordini[[#This Row],[Tipo]]="Sell",Registro_Ordini[[#This Row],[Prezzo]]/Registro_Ordini[[#This Row],[Price]]-1,Registro_Ordini[[#This Row],[Price]]/Registro_Ordini[[#This Row],[Prezzo]]-1))</f>
        <v>-0.28574422509118269</v>
      </c>
      <c r="P787" s="15">
        <v>-3.8488317085374375E-2</v>
      </c>
      <c r="Q787" s="3">
        <v>0.18589976138314313</v>
      </c>
      <c r="R787" s="3">
        <v>0.2278871412453429</v>
      </c>
      <c r="S787" s="3">
        <v>0.45438438607268672</v>
      </c>
      <c r="T787" s="3">
        <v>0</v>
      </c>
      <c r="U787" s="3">
        <v>0.13182871129882726</v>
      </c>
      <c r="V787" s="3"/>
      <c r="W787" s="4"/>
    </row>
    <row r="788" spans="1:23" s="1" customFormat="1" ht="24.95" customHeight="1" x14ac:dyDescent="0.2">
      <c r="A788" s="8">
        <v>45688</v>
      </c>
      <c r="B788" s="7">
        <v>0.67500000000000004</v>
      </c>
      <c r="C788" s="9" t="s">
        <v>379</v>
      </c>
      <c r="D788" s="1" t="s">
        <v>388</v>
      </c>
      <c r="E788" s="1" t="s">
        <v>420</v>
      </c>
      <c r="F788" s="1" t="s">
        <v>465</v>
      </c>
      <c r="G788" s="1" t="s">
        <v>365</v>
      </c>
      <c r="H788" s="2">
        <v>-250</v>
      </c>
      <c r="I788" s="17">
        <v>61.686700000000002</v>
      </c>
      <c r="J788" s="1" t="s">
        <v>366</v>
      </c>
      <c r="K788" s="6">
        <f>Registro_Ordini[[#This Row],[Numero]]*Registro_Ordini[[#This Row],[Prezzo]]</f>
        <v>-15421.675000000001</v>
      </c>
      <c r="L788" s="10">
        <v>0.96484999999999999</v>
      </c>
      <c r="M788" s="6">
        <f>Registro_Ordini[[#This Row],[Importo]]*Registro_Ordini[[#This Row],[Cambio]]</f>
        <v>-14879.603123750001</v>
      </c>
      <c r="N788" s="1">
        <f ca="1">IFERROR(_xlfn.NUMBERVALUE(OFFSET(Origine,MATCH(Registro_Ordini[[#This Row],[Titolo]],Descrizioni,0),MATCH("Price",Intestazioni,0)-1,1,1)),"")</f>
        <v>86.364999999999995</v>
      </c>
      <c r="O788" s="18">
        <f ca="1">IF(OR(Registro_Ordini[[#This Row],[Price]]=0,Registro_Ordini[[#This Row],[Price]]=""),"",IF(Registro_Ordini[[#This Row],[Tipo]]="Sell",Registro_Ordini[[#This Row],[Prezzo]]/Registro_Ordini[[#This Row],[Price]]-1,Registro_Ordini[[#This Row],[Price]]/Registro_Ordini[[#This Row],[Prezzo]]-1))</f>
        <v>-0.28574422509118269</v>
      </c>
      <c r="P788" s="15">
        <v>-2.6182480817881007E-2</v>
      </c>
      <c r="Q788" s="3">
        <v>0.14595963693813621</v>
      </c>
      <c r="R788" s="3">
        <v>0.28671689538359602</v>
      </c>
      <c r="S788" s="3">
        <v>0.4606776092308969</v>
      </c>
      <c r="T788" s="3">
        <v>0</v>
      </c>
      <c r="U788" s="3">
        <v>0.10664585844737093</v>
      </c>
      <c r="V788" s="3"/>
      <c r="W788" s="4"/>
    </row>
    <row r="789" spans="1:23" s="1" customFormat="1" ht="24.95" customHeight="1" x14ac:dyDescent="0.2">
      <c r="A789" s="8">
        <v>45688</v>
      </c>
      <c r="B789" s="7">
        <v>0.6743055555555556</v>
      </c>
      <c r="C789" s="9" t="s">
        <v>78</v>
      </c>
      <c r="D789" s="1" t="s">
        <v>388</v>
      </c>
      <c r="E789" s="1" t="s">
        <v>420</v>
      </c>
      <c r="F789" s="1" t="s">
        <v>465</v>
      </c>
      <c r="G789" s="1" t="s">
        <v>365</v>
      </c>
      <c r="H789" s="2">
        <v>-195</v>
      </c>
      <c r="I789" s="17">
        <v>61.686700000000002</v>
      </c>
      <c r="J789" s="1" t="s">
        <v>366</v>
      </c>
      <c r="K789" s="6">
        <f>Registro_Ordini[[#This Row],[Numero]]*Registro_Ordini[[#This Row],[Prezzo]]</f>
        <v>-12028.906500000001</v>
      </c>
      <c r="L789" s="10">
        <v>0.91005000000000003</v>
      </c>
      <c r="M789" s="6">
        <f>Registro_Ordini[[#This Row],[Importo]]*Registro_Ordini[[#This Row],[Cambio]]</f>
        <v>-10946.906360325002</v>
      </c>
      <c r="N789" s="1">
        <f ca="1">IFERROR(_xlfn.NUMBERVALUE(OFFSET(Origine,MATCH(Registro_Ordini[[#This Row],[Titolo]],Descrizioni,0),MATCH("Price",Intestazioni,0)-1,1,1)),"")</f>
        <v>86.364999999999995</v>
      </c>
      <c r="O789" s="18">
        <f ca="1">IF(OR(Registro_Ordini[[#This Row],[Price]]=0,Registro_Ordini[[#This Row],[Price]]=""),"",IF(Registro_Ordini[[#This Row],[Tipo]]="Sell",Registro_Ordini[[#This Row],[Prezzo]]/Registro_Ordini[[#This Row],[Price]]-1,Registro_Ordini[[#This Row],[Price]]/Registro_Ordini[[#This Row],[Prezzo]]-1))</f>
        <v>-0.28574422509118269</v>
      </c>
      <c r="P789" s="15">
        <v>-2.5534757605491211E-2</v>
      </c>
      <c r="Q789" s="3">
        <v>9.8343239623206971E-2</v>
      </c>
      <c r="R789" s="3">
        <v>0.16163875610199765</v>
      </c>
      <c r="S789" s="3">
        <v>0.67155151196036345</v>
      </c>
      <c r="T789" s="3">
        <v>0</v>
      </c>
      <c r="U789" s="3">
        <v>6.8466492314432012E-2</v>
      </c>
      <c r="V789" s="3"/>
      <c r="W789" s="4"/>
    </row>
    <row r="790" spans="1:23" s="1" customFormat="1" ht="24.95" customHeight="1" x14ac:dyDescent="0.2">
      <c r="A790" s="8">
        <v>45688</v>
      </c>
      <c r="B790" s="7">
        <v>0.6743055555555556</v>
      </c>
      <c r="C790" s="9" t="s">
        <v>375</v>
      </c>
      <c r="D790" s="1" t="s">
        <v>388</v>
      </c>
      <c r="E790" s="1" t="s">
        <v>420</v>
      </c>
      <c r="F790" s="1" t="s">
        <v>465</v>
      </c>
      <c r="G790" s="1" t="s">
        <v>365</v>
      </c>
      <c r="H790" s="2">
        <v>-300</v>
      </c>
      <c r="I790" s="17">
        <v>61.686700000000002</v>
      </c>
      <c r="J790" s="1" t="s">
        <v>366</v>
      </c>
      <c r="K790" s="6">
        <f>Registro_Ordini[[#This Row],[Numero]]*Registro_Ordini[[#This Row],[Prezzo]]</f>
        <v>-18506.010000000002</v>
      </c>
      <c r="L790" s="10">
        <v>0.90995000000000004</v>
      </c>
      <c r="M790" s="6">
        <f>Registro_Ordini[[#This Row],[Importo]]*Registro_Ordini[[#This Row],[Cambio]]</f>
        <v>-16839.543799500003</v>
      </c>
      <c r="N790" s="1">
        <f ca="1">IFERROR(_xlfn.NUMBERVALUE(OFFSET(Origine,MATCH(Registro_Ordini[[#This Row],[Titolo]],Descrizioni,0),MATCH("Price",Intestazioni,0)-1,1,1)),"")</f>
        <v>86.364999999999995</v>
      </c>
      <c r="O790" s="18">
        <f ca="1">IF(OR(Registro_Ordini[[#This Row],[Price]]=0,Registro_Ordini[[#This Row],[Price]]=""),"",IF(Registro_Ordini[[#This Row],[Tipo]]="Sell",Registro_Ordini[[#This Row],[Prezzo]]/Registro_Ordini[[#This Row],[Price]]-1,Registro_Ordini[[#This Row],[Price]]/Registro_Ordini[[#This Row],[Prezzo]]-1))</f>
        <v>-0.28574422509118269</v>
      </c>
      <c r="P790" s="15">
        <v>-2.0760320055023741E-2</v>
      </c>
      <c r="Q790" s="3">
        <v>0.14007608236655439</v>
      </c>
      <c r="R790" s="3">
        <v>0.35194841760251205</v>
      </c>
      <c r="S790" s="3">
        <v>0.4138488055326438</v>
      </c>
      <c r="T790" s="3">
        <v>0</v>
      </c>
      <c r="U790" s="3">
        <v>9.4126694498289754E-2</v>
      </c>
      <c r="V790" s="3"/>
      <c r="W790" s="4"/>
    </row>
    <row r="791" spans="1:23" s="1" customFormat="1" ht="24.95" customHeight="1" x14ac:dyDescent="0.2">
      <c r="A791" s="8">
        <v>45688</v>
      </c>
      <c r="B791" s="7">
        <v>0.6743055555555556</v>
      </c>
      <c r="C791" s="9" t="s">
        <v>378</v>
      </c>
      <c r="D791" s="1" t="s">
        <v>388</v>
      </c>
      <c r="E791" s="1" t="s">
        <v>420</v>
      </c>
      <c r="F791" s="1" t="s">
        <v>465</v>
      </c>
      <c r="G791" s="1" t="s">
        <v>365</v>
      </c>
      <c r="H791" s="2">
        <v>-190</v>
      </c>
      <c r="I791" s="17">
        <v>61.686700000000002</v>
      </c>
      <c r="J791" s="1" t="s">
        <v>366</v>
      </c>
      <c r="K791" s="6">
        <f>Registro_Ordini[[#This Row],[Numero]]*Registro_Ordini[[#This Row],[Prezzo]]</f>
        <v>-11720.473</v>
      </c>
      <c r="L791" s="10">
        <v>0.90995000000000004</v>
      </c>
      <c r="M791" s="6">
        <f>Registro_Ordini[[#This Row],[Importo]]*Registro_Ordini[[#This Row],[Cambio]]</f>
        <v>-10665.04440635</v>
      </c>
      <c r="N791" s="1">
        <f ca="1">IFERROR(_xlfn.NUMBERVALUE(OFFSET(Origine,MATCH(Registro_Ordini[[#This Row],[Titolo]],Descrizioni,0),MATCH("Price",Intestazioni,0)-1,1,1)),"")</f>
        <v>86.364999999999995</v>
      </c>
      <c r="O791" s="18">
        <f ca="1">IF(OR(Registro_Ordini[[#This Row],[Price]]=0,Registro_Ordini[[#This Row],[Price]]=""),"",IF(Registro_Ordini[[#This Row],[Tipo]]="Sell",Registro_Ordini[[#This Row],[Prezzo]]/Registro_Ordini[[#This Row],[Price]]-1,Registro_Ordini[[#This Row],[Price]]/Registro_Ordini[[#This Row],[Prezzo]]-1))</f>
        <v>-0.28574422509118269</v>
      </c>
      <c r="P791" s="15">
        <v>-2.0517579557617266E-2</v>
      </c>
      <c r="Q791" s="3">
        <v>0.14117289069280137</v>
      </c>
      <c r="R791" s="3">
        <v>0.33111730007722306</v>
      </c>
      <c r="S791" s="3">
        <v>0.43638399802818467</v>
      </c>
      <c r="T791" s="3">
        <v>0</v>
      </c>
      <c r="U791" s="3">
        <v>9.132581120179098E-2</v>
      </c>
      <c r="V791" s="3"/>
      <c r="W791" s="4"/>
    </row>
    <row r="792" spans="1:23" s="1" customFormat="1" ht="24.95" customHeight="1" x14ac:dyDescent="0.2">
      <c r="A792" s="8">
        <v>45688</v>
      </c>
      <c r="B792" s="7">
        <v>0.6743055555555556</v>
      </c>
      <c r="C792" s="9" t="s">
        <v>377</v>
      </c>
      <c r="D792" s="1" t="s">
        <v>388</v>
      </c>
      <c r="E792" s="1" t="s">
        <v>420</v>
      </c>
      <c r="F792" s="1" t="s">
        <v>465</v>
      </c>
      <c r="G792" s="1" t="s">
        <v>365</v>
      </c>
      <c r="H792" s="2">
        <v>-590</v>
      </c>
      <c r="I792" s="17">
        <v>61.686700000000002</v>
      </c>
      <c r="J792" s="1" t="s">
        <v>366</v>
      </c>
      <c r="K792" s="6">
        <f>Registro_Ordini[[#This Row],[Numero]]*Registro_Ordini[[#This Row],[Prezzo]]</f>
        <v>-36395.152999999998</v>
      </c>
      <c r="L792" s="10">
        <v>0.90995000000000004</v>
      </c>
      <c r="M792" s="6">
        <f>Registro_Ordini[[#This Row],[Importo]]*Registro_Ordini[[#This Row],[Cambio]]</f>
        <v>-33117.769472350003</v>
      </c>
      <c r="N792" s="1">
        <f ca="1">IFERROR(_xlfn.NUMBERVALUE(OFFSET(Origine,MATCH(Registro_Ordini[[#This Row],[Titolo]],Descrizioni,0),MATCH("Price",Intestazioni,0)-1,1,1)),"")</f>
        <v>86.364999999999995</v>
      </c>
      <c r="O792" s="18">
        <f ca="1">IF(OR(Registro_Ordini[[#This Row],[Price]]=0,Registro_Ordini[[#This Row],[Price]]=""),"",IF(Registro_Ordini[[#This Row],[Tipo]]="Sell",Registro_Ordini[[#This Row],[Prezzo]]/Registro_Ordini[[#This Row],[Price]]-1,Registro_Ordini[[#This Row],[Price]]/Registro_Ordini[[#This Row],[Prezzo]]-1))</f>
        <v>-0.28574422509118269</v>
      </c>
      <c r="P792" s="15">
        <v>-2.0526293763100705E-2</v>
      </c>
      <c r="Q792" s="3">
        <v>0.13596908311030073</v>
      </c>
      <c r="R792" s="3">
        <v>0.32183494019820658</v>
      </c>
      <c r="S792" s="3">
        <v>0.44111823421201518</v>
      </c>
      <c r="T792" s="3">
        <v>0</v>
      </c>
      <c r="U792" s="3">
        <v>0.10107774247947746</v>
      </c>
      <c r="V792" s="3"/>
      <c r="W792" s="4"/>
    </row>
    <row r="793" spans="1:23" s="1" customFormat="1" ht="24.95" customHeight="1" x14ac:dyDescent="0.2">
      <c r="A793" s="8">
        <v>45688</v>
      </c>
      <c r="B793" s="7">
        <v>0.6743055555555556</v>
      </c>
      <c r="C793" s="9" t="s">
        <v>376</v>
      </c>
      <c r="D793" s="1" t="s">
        <v>388</v>
      </c>
      <c r="E793" s="1" t="s">
        <v>420</v>
      </c>
      <c r="F793" s="1" t="s">
        <v>465</v>
      </c>
      <c r="G793" s="1" t="s">
        <v>365</v>
      </c>
      <c r="H793" s="2">
        <v>-105</v>
      </c>
      <c r="I793" s="17">
        <v>61.686700000000002</v>
      </c>
      <c r="J793" s="1" t="s">
        <v>366</v>
      </c>
      <c r="K793" s="6">
        <f>Registro_Ordini[[#This Row],[Numero]]*Registro_Ordini[[#This Row],[Prezzo]]</f>
        <v>-6477.1035000000002</v>
      </c>
      <c r="L793" s="10">
        <v>0.90995000000000004</v>
      </c>
      <c r="M793" s="6">
        <f>Registro_Ordini[[#This Row],[Importo]]*Registro_Ordini[[#This Row],[Cambio]]</f>
        <v>-5893.8403298250005</v>
      </c>
      <c r="N793" s="1">
        <f ca="1">IFERROR(_xlfn.NUMBERVALUE(OFFSET(Origine,MATCH(Registro_Ordini[[#This Row],[Titolo]],Descrizioni,0),MATCH("Price",Intestazioni,0)-1,1,1)),"")</f>
        <v>86.364999999999995</v>
      </c>
      <c r="O793" s="18">
        <f ca="1">IF(OR(Registro_Ordini[[#This Row],[Price]]=0,Registro_Ordini[[#This Row],[Price]]=""),"",IF(Registro_Ordini[[#This Row],[Tipo]]="Sell",Registro_Ordini[[#This Row],[Prezzo]]/Registro_Ordini[[#This Row],[Price]]-1,Registro_Ordini[[#This Row],[Price]]/Registro_Ordini[[#This Row],[Prezzo]]-1))</f>
        <v>-0.28574422509118269</v>
      </c>
      <c r="P793" s="15">
        <v>-2.121187689180553E-2</v>
      </c>
      <c r="Q793" s="3">
        <v>8.4641550150981806E-2</v>
      </c>
      <c r="R793" s="3">
        <v>0.3524827710251634</v>
      </c>
      <c r="S793" s="3">
        <v>0.44217700990804343</v>
      </c>
      <c r="T793" s="3">
        <v>0</v>
      </c>
      <c r="U793" s="3">
        <v>0.1206986689158113</v>
      </c>
      <c r="V793" s="3"/>
      <c r="W793" s="4"/>
    </row>
    <row r="794" spans="1:23" s="1" customFormat="1" ht="24.95" customHeight="1" x14ac:dyDescent="0.2">
      <c r="A794" s="8">
        <v>45688</v>
      </c>
      <c r="B794" s="7">
        <v>0.6743055555555556</v>
      </c>
      <c r="C794" s="9" t="s">
        <v>367</v>
      </c>
      <c r="D794" s="1" t="s">
        <v>388</v>
      </c>
      <c r="E794" s="1" t="s">
        <v>420</v>
      </c>
      <c r="F794" s="1" t="s">
        <v>465</v>
      </c>
      <c r="G794" s="1" t="s">
        <v>365</v>
      </c>
      <c r="H794" s="2">
        <v>-1290</v>
      </c>
      <c r="I794" s="17">
        <v>61.686700000000002</v>
      </c>
      <c r="J794" s="1" t="s">
        <v>366</v>
      </c>
      <c r="K794" s="6">
        <f>Registro_Ordini[[#This Row],[Numero]]*Registro_Ordini[[#This Row],[Prezzo]]</f>
        <v>-79575.843000000008</v>
      </c>
      <c r="L794" s="10">
        <v>0.90995000000000004</v>
      </c>
      <c r="M794" s="6">
        <f>Registro_Ordini[[#This Row],[Importo]]*Registro_Ordini[[#This Row],[Cambio]]</f>
        <v>-72410.038337850012</v>
      </c>
      <c r="N794" s="1">
        <f ca="1">IFERROR(_xlfn.NUMBERVALUE(OFFSET(Origine,MATCH(Registro_Ordini[[#This Row],[Titolo]],Descrizioni,0),MATCH("Price",Intestazioni,0)-1,1,1)),"")</f>
        <v>86.364999999999995</v>
      </c>
      <c r="O794" s="18">
        <f ca="1">IF(OR(Registro_Ordini[[#This Row],[Price]]=0,Registro_Ordini[[#This Row],[Price]]=""),"",IF(Registro_Ordini[[#This Row],[Tipo]]="Sell",Registro_Ordini[[#This Row],[Prezzo]]/Registro_Ordini[[#This Row],[Price]]-1,Registro_Ordini[[#This Row],[Price]]/Registro_Ordini[[#This Row],[Prezzo]]-1))</f>
        <v>-0.28574422509118269</v>
      </c>
      <c r="P794" s="15">
        <v>-2.0600064941258319E-2</v>
      </c>
      <c r="Q794" s="3">
        <v>0.12795281924388729</v>
      </c>
      <c r="R794" s="3">
        <v>0.42637123875929267</v>
      </c>
      <c r="S794" s="3">
        <v>0.39516154841312301</v>
      </c>
      <c r="T794" s="3">
        <v>0</v>
      </c>
      <c r="U794" s="3">
        <v>5.0514393583696963E-2</v>
      </c>
      <c r="V794" s="3"/>
      <c r="W794" s="4"/>
    </row>
    <row r="795" spans="1:23" s="1" customFormat="1" ht="24.95" customHeight="1" x14ac:dyDescent="0.2">
      <c r="A795" s="8">
        <v>45688</v>
      </c>
      <c r="B795" s="7">
        <v>0.66736111111111107</v>
      </c>
      <c r="C795" s="9" t="s">
        <v>367</v>
      </c>
      <c r="D795" s="1" t="s">
        <v>388</v>
      </c>
      <c r="E795" s="1" t="s">
        <v>420</v>
      </c>
      <c r="F795" s="1" t="s">
        <v>465</v>
      </c>
      <c r="G795" s="1" t="s">
        <v>365</v>
      </c>
      <c r="H795" s="2">
        <v>-1290</v>
      </c>
      <c r="I795" s="17">
        <v>61.674999999999997</v>
      </c>
      <c r="J795" s="1" t="s">
        <v>366</v>
      </c>
      <c r="K795" s="6">
        <f>Registro_Ordini[[#This Row],[Numero]]*Registro_Ordini[[#This Row],[Prezzo]]</f>
        <v>-79560.75</v>
      </c>
      <c r="L795" s="10">
        <v>0.91015000000000001</v>
      </c>
      <c r="M795" s="6">
        <f>Registro_Ordini[[#This Row],[Importo]]*Registro_Ordini[[#This Row],[Cambio]]</f>
        <v>-72412.216612500008</v>
      </c>
      <c r="N795" s="1">
        <f ca="1">IFERROR(_xlfn.NUMBERVALUE(OFFSET(Origine,MATCH(Registro_Ordini[[#This Row],[Titolo]],Descrizioni,0),MATCH("Price",Intestazioni,0)-1,1,1)),"")</f>
        <v>86.364999999999995</v>
      </c>
      <c r="O795" s="18">
        <f ca="1">IF(OR(Registro_Ordini[[#This Row],[Price]]=0,Registro_Ordini[[#This Row],[Price]]=""),"",IF(Registro_Ordini[[#This Row],[Tipo]]="Sell",Registro_Ordini[[#This Row],[Prezzo]]/Registro_Ordini[[#This Row],[Price]]-1,Registro_Ordini[[#This Row],[Price]]/Registro_Ordini[[#This Row],[Prezzo]]-1))</f>
        <v>-0.28587969663636892</v>
      </c>
      <c r="P795" s="15">
        <v>-2.0595022185855565E-2</v>
      </c>
      <c r="Q795" s="3">
        <v>0.10734634359003253</v>
      </c>
      <c r="R795" s="3">
        <v>0.42624693286088627</v>
      </c>
      <c r="S795" s="3">
        <v>0.41590621472574707</v>
      </c>
      <c r="T795" s="3">
        <v>0</v>
      </c>
      <c r="U795" s="3">
        <v>5.050050882333406E-2</v>
      </c>
      <c r="V795" s="3"/>
      <c r="W795" s="4"/>
    </row>
    <row r="796" spans="1:23" s="1" customFormat="1" ht="24.95" customHeight="1" x14ac:dyDescent="0.2">
      <c r="A796" s="8">
        <v>45688</v>
      </c>
      <c r="B796" s="7">
        <v>0.65625</v>
      </c>
      <c r="C796" s="9" t="s">
        <v>383</v>
      </c>
      <c r="D796" s="1" t="s">
        <v>388</v>
      </c>
      <c r="E796" s="1" t="s">
        <v>403</v>
      </c>
      <c r="F796" s="1" t="s">
        <v>404</v>
      </c>
      <c r="G796" s="1" t="s">
        <v>365</v>
      </c>
      <c r="H796" s="2">
        <v>-65</v>
      </c>
      <c r="I796" s="16">
        <v>268.23780499999998</v>
      </c>
      <c r="J796" s="1" t="s">
        <v>381</v>
      </c>
      <c r="K796" s="6">
        <f>Registro_Ordini[[#This Row],[Numero]]*Registro_Ordini[[#This Row],[Prezzo]]</f>
        <v>-17435.457324999999</v>
      </c>
      <c r="L796" s="10">
        <v>1</v>
      </c>
      <c r="M796" s="6">
        <f>Registro_Ordini[[#This Row],[Importo]]*Registro_Ordini[[#This Row],[Cambio]]</f>
        <v>-17435.457324999999</v>
      </c>
      <c r="N796" s="1">
        <f ca="1">IFERROR(_xlfn.NUMBERVALUE(OFFSET(Origine,MATCH(Registro_Ordini[[#This Row],[Titolo]],Descrizioni,0),MATCH("Price",Intestazioni,0)-1,1,1)),"")</f>
        <v>165.04</v>
      </c>
      <c r="O796" s="18">
        <f ca="1">IF(OR(Registro_Ordini[[#This Row],[Price]]=0,Registro_Ordini[[#This Row],[Price]]=""),"",IF(Registro_Ordini[[#This Row],[Tipo]]="Sell",Registro_Ordini[[#This Row],[Prezzo]]/Registro_Ordini[[#This Row],[Price]]-1,Registro_Ordini[[#This Row],[Price]]/Registro_Ordini[[#This Row],[Prezzo]]-1))</f>
        <v>0.62528965705283568</v>
      </c>
      <c r="P796" s="15">
        <v>-2.7907084409315035E-2</v>
      </c>
      <c r="Q796" s="3">
        <v>0.16508103100909502</v>
      </c>
      <c r="R796" s="3">
        <v>0.27214759771792618</v>
      </c>
      <c r="S796" s="3">
        <v>0.46020136544448925</v>
      </c>
      <c r="T796" s="3">
        <v>0</v>
      </c>
      <c r="U796" s="3">
        <v>0.1025700058284895</v>
      </c>
      <c r="V796" s="3"/>
      <c r="W796" s="4"/>
    </row>
    <row r="797" spans="1:23" s="1" customFormat="1" ht="24.95" customHeight="1" x14ac:dyDescent="0.2">
      <c r="A797" s="8">
        <v>45688</v>
      </c>
      <c r="B797" s="7">
        <v>0.65625</v>
      </c>
      <c r="C797" s="9" t="s">
        <v>78</v>
      </c>
      <c r="D797" s="1" t="s">
        <v>388</v>
      </c>
      <c r="E797" s="1" t="s">
        <v>403</v>
      </c>
      <c r="F797" s="1" t="s">
        <v>404</v>
      </c>
      <c r="G797" s="1" t="s">
        <v>365</v>
      </c>
      <c r="H797" s="2">
        <v>-50</v>
      </c>
      <c r="I797" s="16">
        <v>268.23780499999998</v>
      </c>
      <c r="J797" s="1" t="s">
        <v>381</v>
      </c>
      <c r="K797" s="6">
        <f>Registro_Ordini[[#This Row],[Numero]]*Registro_Ordini[[#This Row],[Prezzo]]</f>
        <v>-13411.890249999999</v>
      </c>
      <c r="L797" s="10">
        <v>0.94435000000000002</v>
      </c>
      <c r="M797" s="6">
        <f>Registro_Ordini[[#This Row],[Importo]]*Registro_Ordini[[#This Row],[Cambio]]</f>
        <v>-12665.518557587498</v>
      </c>
      <c r="N797" s="1">
        <f ca="1">IFERROR(_xlfn.NUMBERVALUE(OFFSET(Origine,MATCH(Registro_Ordini[[#This Row],[Titolo]],Descrizioni,0),MATCH("Price",Intestazioni,0)-1,1,1)),"")</f>
        <v>165.04</v>
      </c>
      <c r="O797" s="18">
        <f ca="1">IF(OR(Registro_Ordini[[#This Row],[Price]]=0,Registro_Ordini[[#This Row],[Price]]=""),"",IF(Registro_Ordini[[#This Row],[Tipo]]="Sell",Registro_Ordini[[#This Row],[Prezzo]]/Registro_Ordini[[#This Row],[Price]]-1,Registro_Ordini[[#This Row],[Price]]/Registro_Ordini[[#This Row],[Prezzo]]-1))</f>
        <v>0.62528965705283568</v>
      </c>
      <c r="P797" s="15">
        <v>-2.9540840282357574E-2</v>
      </c>
      <c r="Q797" s="3">
        <v>7.2858621695963785E-2</v>
      </c>
      <c r="R797" s="3">
        <v>0.16162369534860388</v>
      </c>
      <c r="S797" s="3">
        <v>0.69708555863171351</v>
      </c>
      <c r="T797" s="3">
        <v>0</v>
      </c>
      <c r="U797" s="3">
        <v>6.8432124323718896E-2</v>
      </c>
      <c r="V797" s="3"/>
      <c r="W797" s="4"/>
    </row>
    <row r="798" spans="1:23" s="1" customFormat="1" ht="24.95" customHeight="1" x14ac:dyDescent="0.2">
      <c r="A798" s="8">
        <v>45688</v>
      </c>
      <c r="B798" s="7">
        <v>0.65625</v>
      </c>
      <c r="C798" s="9" t="s">
        <v>382</v>
      </c>
      <c r="D798" s="1" t="s">
        <v>388</v>
      </c>
      <c r="E798" s="1" t="s">
        <v>403</v>
      </c>
      <c r="F798" s="1" t="s">
        <v>404</v>
      </c>
      <c r="G798" s="1" t="s">
        <v>365</v>
      </c>
      <c r="H798" s="2">
        <v>-110</v>
      </c>
      <c r="I798" s="16">
        <v>268.23780499999998</v>
      </c>
      <c r="J798" s="1" t="s">
        <v>381</v>
      </c>
      <c r="K798" s="6">
        <f>Registro_Ordini[[#This Row],[Numero]]*Registro_Ordini[[#This Row],[Prezzo]]</f>
        <v>-29506.158549999996</v>
      </c>
      <c r="L798" s="10">
        <v>1</v>
      </c>
      <c r="M798" s="6">
        <f>Registro_Ordini[[#This Row],[Importo]]*Registro_Ordini[[#This Row],[Cambio]]</f>
        <v>-29506.158549999996</v>
      </c>
      <c r="N798" s="1">
        <f ca="1">IFERROR(_xlfn.NUMBERVALUE(OFFSET(Origine,MATCH(Registro_Ordini[[#This Row],[Titolo]],Descrizioni,0),MATCH("Price",Intestazioni,0)-1,1,1)),"")</f>
        <v>165.04</v>
      </c>
      <c r="O798" s="18">
        <f ca="1">IF(OR(Registro_Ordini[[#This Row],[Price]]=0,Registro_Ordini[[#This Row],[Price]]=""),"",IF(Registro_Ordini[[#This Row],[Tipo]]="Sell",Registro_Ordini[[#This Row],[Prezzo]]/Registro_Ordini[[#This Row],[Price]]-1,Registro_Ordini[[#This Row],[Price]]/Registro_Ordini[[#This Row],[Prezzo]]-1))</f>
        <v>0.62528965705283568</v>
      </c>
      <c r="P798" s="15">
        <v>-2.7972600432058833E-2</v>
      </c>
      <c r="Q798" s="3">
        <v>0.12151241247670698</v>
      </c>
      <c r="R798" s="3">
        <v>0.27686965226177074</v>
      </c>
      <c r="S798" s="3">
        <v>0.49710714925976923</v>
      </c>
      <c r="T798" s="3">
        <v>0</v>
      </c>
      <c r="U798" s="3">
        <v>0.10451078600175306</v>
      </c>
      <c r="V798" s="3"/>
      <c r="W798" s="4"/>
    </row>
    <row r="799" spans="1:23" s="1" customFormat="1" ht="24.95" customHeight="1" x14ac:dyDescent="0.2">
      <c r="A799" s="8">
        <v>45688</v>
      </c>
      <c r="B799" s="7">
        <v>0.65625</v>
      </c>
      <c r="C799" s="9" t="s">
        <v>379</v>
      </c>
      <c r="D799" s="1" t="s">
        <v>388</v>
      </c>
      <c r="E799" s="1" t="s">
        <v>403</v>
      </c>
      <c r="F799" s="1" t="s">
        <v>404</v>
      </c>
      <c r="G799" s="1" t="s">
        <v>365</v>
      </c>
      <c r="H799" s="2">
        <v>-65</v>
      </c>
      <c r="I799" s="16">
        <v>268.23780499999998</v>
      </c>
      <c r="J799" s="1" t="s">
        <v>381</v>
      </c>
      <c r="K799" s="6">
        <f>Registro_Ordini[[#This Row],[Numero]]*Registro_Ordini[[#This Row],[Prezzo]]</f>
        <v>-17435.457324999999</v>
      </c>
      <c r="L799" s="10">
        <v>1</v>
      </c>
      <c r="M799" s="6">
        <f>Registro_Ordini[[#This Row],[Importo]]*Registro_Ordini[[#This Row],[Cambio]]</f>
        <v>-17435.457324999999</v>
      </c>
      <c r="N799" s="1">
        <f ca="1">IFERROR(_xlfn.NUMBERVALUE(OFFSET(Origine,MATCH(Registro_Ordini[[#This Row],[Titolo]],Descrizioni,0),MATCH("Price",Intestazioni,0)-1,1,1)),"")</f>
        <v>165.04</v>
      </c>
      <c r="O799" s="18">
        <f ca="1">IF(OR(Registro_Ordini[[#This Row],[Price]]=0,Registro_Ordini[[#This Row],[Price]]=""),"",IF(Registro_Ordini[[#This Row],[Tipo]]="Sell",Registro_Ordini[[#This Row],[Prezzo]]/Registro_Ordini[[#This Row],[Price]]-1,Registro_Ordini[[#This Row],[Price]]/Registro_Ordini[[#This Row],[Prezzo]]-1))</f>
        <v>0.62528965705283568</v>
      </c>
      <c r="P799" s="15">
        <v>-3.069610495261213E-2</v>
      </c>
      <c r="Q799" s="3">
        <v>0.11980237799061778</v>
      </c>
      <c r="R799" s="3">
        <v>0.28684480166149956</v>
      </c>
      <c r="S799" s="3">
        <v>0.48662998980429173</v>
      </c>
      <c r="T799" s="3">
        <v>0</v>
      </c>
      <c r="U799" s="3">
        <v>0.10672283054359094</v>
      </c>
      <c r="V799" s="3"/>
      <c r="W799" s="4"/>
    </row>
    <row r="800" spans="1:23" s="1" customFormat="1" ht="24.95" customHeight="1" x14ac:dyDescent="0.2">
      <c r="A800" s="8">
        <v>45688</v>
      </c>
      <c r="B800" s="7">
        <v>0.65555555555555556</v>
      </c>
      <c r="C800" s="9" t="s">
        <v>375</v>
      </c>
      <c r="D800" s="1" t="s">
        <v>388</v>
      </c>
      <c r="E800" s="1" t="s">
        <v>403</v>
      </c>
      <c r="F800" s="1" t="s">
        <v>404</v>
      </c>
      <c r="G800" s="1" t="s">
        <v>365</v>
      </c>
      <c r="H800" s="2">
        <v>-90</v>
      </c>
      <c r="I800" s="16">
        <v>268.23780499999998</v>
      </c>
      <c r="J800" s="1" t="s">
        <v>381</v>
      </c>
      <c r="K800" s="6">
        <f>Registro_Ordini[[#This Row],[Numero]]*Registro_Ordini[[#This Row],[Prezzo]]</f>
        <v>-24141.402449999998</v>
      </c>
      <c r="L800" s="10">
        <v>0.94435000000000002</v>
      </c>
      <c r="M800" s="6">
        <f>Registro_Ordini[[#This Row],[Importo]]*Registro_Ordini[[#This Row],[Cambio]]</f>
        <v>-22797.933403657498</v>
      </c>
      <c r="N800" s="1">
        <f ca="1">IFERROR(_xlfn.NUMBERVALUE(OFFSET(Origine,MATCH(Registro_Ordini[[#This Row],[Titolo]],Descrizioni,0),MATCH("Price",Intestazioni,0)-1,1,1)),"")</f>
        <v>165.04</v>
      </c>
      <c r="O800" s="18">
        <f ca="1">IF(OR(Registro_Ordini[[#This Row],[Price]]=0,Registro_Ordini[[#This Row],[Price]]=""),"",IF(Registro_Ordini[[#This Row],[Tipo]]="Sell",Registro_Ordini[[#This Row],[Prezzo]]/Registro_Ordini[[#This Row],[Price]]-1,Registro_Ordini[[#This Row],[Price]]/Registro_Ordini[[#This Row],[Prezzo]]-1))</f>
        <v>0.62528965705283568</v>
      </c>
      <c r="P800" s="15">
        <v>-2.8101852333997958E-2</v>
      </c>
      <c r="Q800" s="3">
        <v>0.1193573074689374</v>
      </c>
      <c r="R800" s="3">
        <v>0.35189203463062213</v>
      </c>
      <c r="S800" s="3">
        <v>0.43464651743794591</v>
      </c>
      <c r="T800" s="3">
        <v>0</v>
      </c>
      <c r="U800" s="3">
        <v>9.4104140462494365E-2</v>
      </c>
      <c r="V800" s="3"/>
      <c r="W800" s="4"/>
    </row>
    <row r="801" spans="1:23" s="1" customFormat="1" ht="24.95" customHeight="1" x14ac:dyDescent="0.2">
      <c r="A801" s="8">
        <v>45688</v>
      </c>
      <c r="B801" s="7">
        <v>0.65555555555555556</v>
      </c>
      <c r="C801" s="9" t="s">
        <v>378</v>
      </c>
      <c r="D801" s="1" t="s">
        <v>388</v>
      </c>
      <c r="E801" s="1" t="s">
        <v>403</v>
      </c>
      <c r="F801" s="1" t="s">
        <v>404</v>
      </c>
      <c r="G801" s="1" t="s">
        <v>365</v>
      </c>
      <c r="H801" s="2">
        <v>-40</v>
      </c>
      <c r="I801" s="16">
        <v>268.23780499999998</v>
      </c>
      <c r="J801" s="1" t="s">
        <v>381</v>
      </c>
      <c r="K801" s="6">
        <f>Registro_Ordini[[#This Row],[Numero]]*Registro_Ordini[[#This Row],[Prezzo]]</f>
        <v>-10729.512199999999</v>
      </c>
      <c r="L801" s="10">
        <v>0.94435000000000002</v>
      </c>
      <c r="M801" s="6">
        <f>Registro_Ordini[[#This Row],[Importo]]*Registro_Ordini[[#This Row],[Cambio]]</f>
        <v>-10132.41484607</v>
      </c>
      <c r="N801" s="1">
        <f ca="1">IFERROR(_xlfn.NUMBERVALUE(OFFSET(Origine,MATCH(Registro_Ordini[[#This Row],[Titolo]],Descrizioni,0),MATCH("Price",Intestazioni,0)-1,1,1)),"")</f>
        <v>165.04</v>
      </c>
      <c r="O801" s="18">
        <f ca="1">IF(OR(Registro_Ordini[[#This Row],[Price]]=0,Registro_Ordini[[#This Row],[Price]]=""),"",IF(Registro_Ordini[[#This Row],[Tipo]]="Sell",Registro_Ordini[[#This Row],[Prezzo]]/Registro_Ordini[[#This Row],[Price]]-1,Registro_Ordini[[#This Row],[Price]]/Registro_Ordini[[#This Row],[Prezzo]]-1))</f>
        <v>0.62528965705283568</v>
      </c>
      <c r="P801" s="15">
        <v>-1.948993904685135E-2</v>
      </c>
      <c r="Q801" s="3">
        <v>0.12070879840943652</v>
      </c>
      <c r="R801" s="3">
        <v>0.33105356511123152</v>
      </c>
      <c r="S801" s="3">
        <v>0.45694333659747255</v>
      </c>
      <c r="T801" s="3">
        <v>0</v>
      </c>
      <c r="U801" s="3">
        <v>9.1294299881859414E-2</v>
      </c>
      <c r="V801" s="3"/>
      <c r="W801" s="4"/>
    </row>
    <row r="802" spans="1:23" s="1" customFormat="1" ht="24.95" customHeight="1" x14ac:dyDescent="0.2">
      <c r="A802" s="8">
        <v>45688</v>
      </c>
      <c r="B802" s="7">
        <v>0.65555555555555556</v>
      </c>
      <c r="C802" s="9" t="s">
        <v>377</v>
      </c>
      <c r="D802" s="1" t="s">
        <v>388</v>
      </c>
      <c r="E802" s="1" t="s">
        <v>403</v>
      </c>
      <c r="F802" s="1" t="s">
        <v>404</v>
      </c>
      <c r="G802" s="1" t="s">
        <v>365</v>
      </c>
      <c r="H802" s="2">
        <v>-160</v>
      </c>
      <c r="I802" s="16">
        <v>268.23780499999998</v>
      </c>
      <c r="J802" s="1" t="s">
        <v>381</v>
      </c>
      <c r="K802" s="6">
        <f>Registro_Ordini[[#This Row],[Numero]]*Registro_Ordini[[#This Row],[Prezzo]]</f>
        <v>-42918.048799999997</v>
      </c>
      <c r="L802" s="10">
        <v>0.94435000000000002</v>
      </c>
      <c r="M802" s="6">
        <f>Registro_Ordini[[#This Row],[Importo]]*Registro_Ordini[[#This Row],[Cambio]]</f>
        <v>-40529.659384279999</v>
      </c>
      <c r="N802" s="1">
        <f ca="1">IFERROR(_xlfn.NUMBERVALUE(OFFSET(Origine,MATCH(Registro_Ordini[[#This Row],[Titolo]],Descrizioni,0),MATCH("Price",Intestazioni,0)-1,1,1)),"")</f>
        <v>165.04</v>
      </c>
      <c r="O802" s="18">
        <f ca="1">IF(OR(Registro_Ordini[[#This Row],[Price]]=0,Registro_Ordini[[#This Row],[Price]]=""),"",IF(Registro_Ordini[[#This Row],[Tipo]]="Sell",Registro_Ordini[[#This Row],[Prezzo]]/Registro_Ordini[[#This Row],[Price]]-1,Registro_Ordini[[#This Row],[Price]]/Registro_Ordini[[#This Row],[Prezzo]]-1))</f>
        <v>0.62528965705283568</v>
      </c>
      <c r="P802" s="15">
        <v>-2.5115251374272504E-2</v>
      </c>
      <c r="Q802" s="3">
        <v>0.11549500688551313</v>
      </c>
      <c r="R802" s="3">
        <v>0.32176832341059675</v>
      </c>
      <c r="S802" s="3">
        <v>0.46167868164213288</v>
      </c>
      <c r="T802" s="3">
        <v>0</v>
      </c>
      <c r="U802" s="3">
        <v>0.10105798806175714</v>
      </c>
      <c r="V802" s="3"/>
      <c r="W802" s="4"/>
    </row>
    <row r="803" spans="1:23" s="1" customFormat="1" ht="24.95" customHeight="1" x14ac:dyDescent="0.2">
      <c r="A803" s="8">
        <v>45688</v>
      </c>
      <c r="B803" s="7">
        <v>0.65555555555555556</v>
      </c>
      <c r="C803" s="9" t="s">
        <v>376</v>
      </c>
      <c r="D803" s="1" t="s">
        <v>388</v>
      </c>
      <c r="E803" s="1" t="s">
        <v>403</v>
      </c>
      <c r="F803" s="1" t="s">
        <v>404</v>
      </c>
      <c r="G803" s="1" t="s">
        <v>365</v>
      </c>
      <c r="H803" s="2">
        <v>-35</v>
      </c>
      <c r="I803" s="16">
        <v>268.23780499999998</v>
      </c>
      <c r="J803" s="1" t="s">
        <v>381</v>
      </c>
      <c r="K803" s="6">
        <f>Registro_Ordini[[#This Row],[Numero]]*Registro_Ordini[[#This Row],[Prezzo]]</f>
        <v>-9388.3231749999995</v>
      </c>
      <c r="L803" s="10">
        <v>0.94435000000000002</v>
      </c>
      <c r="M803" s="6">
        <f>Registro_Ordini[[#This Row],[Importo]]*Registro_Ordini[[#This Row],[Cambio]]</f>
        <v>-8865.8629903112505</v>
      </c>
      <c r="N803" s="1">
        <f ca="1">IFERROR(_xlfn.NUMBERVALUE(OFFSET(Origine,MATCH(Registro_Ordini[[#This Row],[Titolo]],Descrizioni,0),MATCH("Price",Intestazioni,0)-1,1,1)),"")</f>
        <v>165.04</v>
      </c>
      <c r="O803" s="18">
        <f ca="1">IF(OR(Registro_Ordini[[#This Row],[Price]]=0,Registro_Ordini[[#This Row],[Price]]=""),"",IF(Registro_Ordini[[#This Row],[Tipo]]="Sell",Registro_Ordini[[#This Row],[Prezzo]]/Registro_Ordini[[#This Row],[Price]]-1,Registro_Ordini[[#This Row],[Price]]/Registro_Ordini[[#This Row],[Prezzo]]-1))</f>
        <v>0.62528965705283568</v>
      </c>
      <c r="P803" s="15">
        <v>-3.1905589798548253E-2</v>
      </c>
      <c r="Q803" s="3">
        <v>6.348705372098945E-2</v>
      </c>
      <c r="R803" s="3">
        <v>0.35245079103151822</v>
      </c>
      <c r="S803" s="3">
        <v>0.46337037269022791</v>
      </c>
      <c r="T803" s="3">
        <v>0</v>
      </c>
      <c r="U803" s="3">
        <v>0.12069178255726443</v>
      </c>
      <c r="V803" s="3"/>
      <c r="W803" s="4"/>
    </row>
    <row r="804" spans="1:23" s="1" customFormat="1" ht="24.95" customHeight="1" x14ac:dyDescent="0.2">
      <c r="A804" s="8">
        <v>45688</v>
      </c>
      <c r="B804" s="7">
        <v>0.47430555555555554</v>
      </c>
      <c r="C804" s="9" t="s">
        <v>383</v>
      </c>
      <c r="D804" s="1" t="s">
        <v>368</v>
      </c>
      <c r="E804" s="1" t="s">
        <v>363</v>
      </c>
      <c r="F804" s="1" t="s">
        <v>466</v>
      </c>
      <c r="G804" s="1" t="s">
        <v>467</v>
      </c>
      <c r="H804" s="2">
        <v>-25000</v>
      </c>
      <c r="I804" s="16">
        <v>1.0020931693999999</v>
      </c>
      <c r="J804" s="1" t="s">
        <v>381</v>
      </c>
      <c r="K804" s="6">
        <f>Registro_Ordini[[#This Row],[Numero]]*Registro_Ordini[[#This Row],[Prezzo]]</f>
        <v>-25052.329234999997</v>
      </c>
      <c r="L804" s="10">
        <v>1</v>
      </c>
      <c r="M804" s="6">
        <f>Registro_Ordini[[#This Row],[Importo]]*Registro_Ordini[[#This Row],[Cambio]]</f>
        <v>-25052.329234999997</v>
      </c>
      <c r="N804" s="1" t="str">
        <f ca="1">IFERROR(_xlfn.NUMBERVALUE(OFFSET(Origine,MATCH(Registro_Ordini[[#This Row],[Titolo]],Descrizioni,0),MATCH("Price",Intestazioni,0)-1,1,1)),"")</f>
        <v/>
      </c>
      <c r="O804" s="18" t="str">
        <f ca="1">IF(OR(Registro_Ordini[[#This Row],[Price]]=0,Registro_Ordini[[#This Row],[Price]]=""),"",IF(Registro_Ordini[[#This Row],[Tipo]]="Sell",Registro_Ordini[[#This Row],[Prezzo]]/Registro_Ordini[[#This Row],[Price]]-1,Registro_Ordini[[#This Row],[Price]]/Registro_Ordini[[#This Row],[Prezzo]]-1))</f>
        <v/>
      </c>
      <c r="P804" s="15">
        <v>-4.0126090697297292E-2</v>
      </c>
      <c r="Q804" s="3">
        <v>0.13752981447707141</v>
      </c>
      <c r="R804" s="3">
        <v>0.27227778184474793</v>
      </c>
      <c r="S804" s="3">
        <v>0.48826350584947503</v>
      </c>
      <c r="T804" s="3">
        <v>0</v>
      </c>
      <c r="U804" s="3">
        <v>0.10192889782870571</v>
      </c>
      <c r="V804" s="3"/>
      <c r="W804" s="4"/>
    </row>
    <row r="805" spans="1:23" s="1" customFormat="1" ht="24.95" customHeight="1" x14ac:dyDescent="0.2">
      <c r="A805" s="8">
        <v>45688</v>
      </c>
      <c r="B805" s="7">
        <v>0.47430555555555554</v>
      </c>
      <c r="C805" s="9" t="s">
        <v>382</v>
      </c>
      <c r="D805" s="1" t="s">
        <v>368</v>
      </c>
      <c r="E805" s="1" t="s">
        <v>363</v>
      </c>
      <c r="F805" s="1" t="s">
        <v>466</v>
      </c>
      <c r="G805" s="1" t="s">
        <v>467</v>
      </c>
      <c r="H805" s="2">
        <v>-40000</v>
      </c>
      <c r="I805" s="16">
        <v>1.0020931693999999</v>
      </c>
      <c r="J805" s="1" t="s">
        <v>381</v>
      </c>
      <c r="K805" s="6">
        <f>Registro_Ordini[[#This Row],[Numero]]*Registro_Ordini[[#This Row],[Prezzo]]</f>
        <v>-40083.726775999996</v>
      </c>
      <c r="L805" s="10">
        <v>1</v>
      </c>
      <c r="M805" s="6">
        <f>Registro_Ordini[[#This Row],[Importo]]*Registro_Ordini[[#This Row],[Cambio]]</f>
        <v>-40083.726775999996</v>
      </c>
      <c r="N805" s="1" t="str">
        <f ca="1">IFERROR(_xlfn.NUMBERVALUE(OFFSET(Origine,MATCH(Registro_Ordini[[#This Row],[Titolo]],Descrizioni,0),MATCH("Price",Intestazioni,0)-1,1,1)),"")</f>
        <v/>
      </c>
      <c r="O805" s="18" t="str">
        <f ca="1">IF(OR(Registro_Ordini[[#This Row],[Price]]=0,Registro_Ordini[[#This Row],[Price]]=""),"",IF(Registro_Ordini[[#This Row],[Tipo]]="Sell",Registro_Ordini[[#This Row],[Prezzo]]/Registro_Ordini[[#This Row],[Price]]-1,Registro_Ordini[[#This Row],[Price]]/Registro_Ordini[[#This Row],[Prezzo]]-1))</f>
        <v/>
      </c>
      <c r="P805" s="15">
        <v>-3.8058450586015792E-2</v>
      </c>
      <c r="Q805" s="3">
        <v>9.3108091000743659E-2</v>
      </c>
      <c r="R805" s="3">
        <v>0.27724189174205921</v>
      </c>
      <c r="S805" s="3">
        <v>0.52571402379833054</v>
      </c>
      <c r="T805" s="3">
        <v>0</v>
      </c>
      <c r="U805" s="3">
        <v>0.10393599345886663</v>
      </c>
      <c r="V805" s="3"/>
      <c r="W805" s="4"/>
    </row>
    <row r="806" spans="1:23" s="1" customFormat="1" ht="24.95" customHeight="1" x14ac:dyDescent="0.2">
      <c r="A806" s="8">
        <v>45688</v>
      </c>
      <c r="B806" s="7">
        <v>0.47430555555555554</v>
      </c>
      <c r="C806" s="9" t="s">
        <v>106</v>
      </c>
      <c r="D806" s="1" t="s">
        <v>368</v>
      </c>
      <c r="E806" s="1" t="s">
        <v>363</v>
      </c>
      <c r="F806" s="1" t="s">
        <v>466</v>
      </c>
      <c r="G806" s="1" t="s">
        <v>467</v>
      </c>
      <c r="H806" s="2">
        <v>-5000</v>
      </c>
      <c r="I806" s="16">
        <v>1.0020931693999999</v>
      </c>
      <c r="J806" s="1" t="s">
        <v>381</v>
      </c>
      <c r="K806" s="6">
        <f>Registro_Ordini[[#This Row],[Numero]]*Registro_Ordini[[#This Row],[Prezzo]]</f>
        <v>-5010.4658469999995</v>
      </c>
      <c r="L806" s="10">
        <v>1</v>
      </c>
      <c r="M806" s="6">
        <f>Registro_Ordini[[#This Row],[Importo]]*Registro_Ordini[[#This Row],[Cambio]]</f>
        <v>-5010.4658469999995</v>
      </c>
      <c r="N806" s="1" t="str">
        <f ca="1">IFERROR(_xlfn.NUMBERVALUE(OFFSET(Origine,MATCH(Registro_Ordini[[#This Row],[Titolo]],Descrizioni,0),MATCH("Price",Intestazioni,0)-1,1,1)),"")</f>
        <v/>
      </c>
      <c r="O806" s="18" t="str">
        <f ca="1">IF(OR(Registro_Ordini[[#This Row],[Price]]=0,Registro_Ordini[[#This Row],[Price]]=""),"",IF(Registro_Ordini[[#This Row],[Tipo]]="Sell",Registro_Ordini[[#This Row],[Prezzo]]/Registro_Ordini[[#This Row],[Price]]-1,Registro_Ordini[[#This Row],[Price]]/Registro_Ordini[[#This Row],[Prezzo]]-1))</f>
        <v/>
      </c>
      <c r="P806" s="15">
        <v>-3.6064659225907389E-2</v>
      </c>
      <c r="Q806" s="3">
        <v>0.14760638418375202</v>
      </c>
      <c r="R806" s="3">
        <v>0.22823073129623944</v>
      </c>
      <c r="S806" s="3">
        <v>0.49307509408278327</v>
      </c>
      <c r="T806" s="3">
        <v>0</v>
      </c>
      <c r="U806" s="3">
        <v>0.13108779043722535</v>
      </c>
      <c r="V806" s="3"/>
      <c r="W806" s="4"/>
    </row>
    <row r="807" spans="1:23" s="1" customFormat="1" ht="24.95" customHeight="1" x14ac:dyDescent="0.2">
      <c r="A807" s="8">
        <v>45688</v>
      </c>
      <c r="B807" s="7">
        <v>0.47430555555555554</v>
      </c>
      <c r="C807" s="9" t="s">
        <v>379</v>
      </c>
      <c r="D807" s="1" t="s">
        <v>368</v>
      </c>
      <c r="E807" s="1" t="s">
        <v>363</v>
      </c>
      <c r="F807" s="1" t="s">
        <v>466</v>
      </c>
      <c r="G807" s="1" t="s">
        <v>467</v>
      </c>
      <c r="H807" s="2">
        <v>-25000</v>
      </c>
      <c r="I807" s="16">
        <v>1.0020931693999999</v>
      </c>
      <c r="J807" s="1" t="s">
        <v>381</v>
      </c>
      <c r="K807" s="6">
        <f>Registro_Ordini[[#This Row],[Numero]]*Registro_Ordini[[#This Row],[Prezzo]]</f>
        <v>-25052.329234999997</v>
      </c>
      <c r="L807" s="10">
        <v>1</v>
      </c>
      <c r="M807" s="6">
        <f>Registro_Ordini[[#This Row],[Importo]]*Registro_Ordini[[#This Row],[Cambio]]</f>
        <v>-25052.329234999997</v>
      </c>
      <c r="N807" s="1" t="str">
        <f ca="1">IFERROR(_xlfn.NUMBERVALUE(OFFSET(Origine,MATCH(Registro_Ordini[[#This Row],[Titolo]],Descrizioni,0),MATCH("Price",Intestazioni,0)-1,1,1)),"")</f>
        <v/>
      </c>
      <c r="O807" s="18" t="str">
        <f ca="1">IF(OR(Registro_Ordini[[#This Row],[Price]]=0,Registro_Ordini[[#This Row],[Price]]=""),"",IF(Registro_Ordini[[#This Row],[Tipo]]="Sell",Registro_Ordini[[#This Row],[Prezzo]]/Registro_Ordini[[#This Row],[Price]]-1,Registro_Ordini[[#This Row],[Price]]/Registro_Ordini[[#This Row],[Prezzo]]-1))</f>
        <v/>
      </c>
      <c r="P807" s="15">
        <v>-4.4083227946166974E-2</v>
      </c>
      <c r="Q807" s="3">
        <v>9.0440241253910619E-2</v>
      </c>
      <c r="R807" s="3">
        <v>0.2866336424038497</v>
      </c>
      <c r="S807" s="3">
        <v>0.51688568660414347</v>
      </c>
      <c r="T807" s="3">
        <v>0</v>
      </c>
      <c r="U807" s="3">
        <v>0.10604042973809624</v>
      </c>
      <c r="V807" s="3"/>
      <c r="W807" s="4"/>
    </row>
    <row r="808" spans="1:23" s="1" customFormat="1" ht="24.95" customHeight="1" x14ac:dyDescent="0.2">
      <c r="A808" s="8">
        <v>45688</v>
      </c>
      <c r="B808" s="7">
        <v>0.47361111111111109</v>
      </c>
      <c r="C808" s="9" t="s">
        <v>385</v>
      </c>
      <c r="D808" s="1" t="s">
        <v>368</v>
      </c>
      <c r="E808" s="1" t="s">
        <v>363</v>
      </c>
      <c r="F808" s="1" t="s">
        <v>466</v>
      </c>
      <c r="G808" s="1" t="s">
        <v>467</v>
      </c>
      <c r="H808" s="2">
        <v>-10000</v>
      </c>
      <c r="I808" s="16">
        <v>1.0020931693999999</v>
      </c>
      <c r="J808" s="1" t="s">
        <v>381</v>
      </c>
      <c r="K808" s="6">
        <f>Registro_Ordini[[#This Row],[Numero]]*Registro_Ordini[[#This Row],[Prezzo]]</f>
        <v>-10020.931693999999</v>
      </c>
      <c r="L808" s="10">
        <v>1</v>
      </c>
      <c r="M808" s="6">
        <f>Registro_Ordini[[#This Row],[Importo]]*Registro_Ordini[[#This Row],[Cambio]]</f>
        <v>-10020.931693999999</v>
      </c>
      <c r="N808" s="1" t="str">
        <f ca="1">IFERROR(_xlfn.NUMBERVALUE(OFFSET(Origine,MATCH(Registro_Ordini[[#This Row],[Titolo]],Descrizioni,0),MATCH("Price",Intestazioni,0)-1,1,1)),"")</f>
        <v/>
      </c>
      <c r="O808" s="18" t="str">
        <f ca="1">IF(OR(Registro_Ordini[[#This Row],[Price]]=0,Registro_Ordini[[#This Row],[Price]]=""),"",IF(Registro_Ordini[[#This Row],[Tipo]]="Sell",Registro_Ordini[[#This Row],[Prezzo]]/Registro_Ordini[[#This Row],[Price]]-1,Registro_Ordini[[#This Row],[Price]]/Registro_Ordini[[#This Row],[Prezzo]]-1))</f>
        <v/>
      </c>
      <c r="P808" s="15">
        <v>-7.1439545709153882E-2</v>
      </c>
      <c r="Q808" s="3">
        <v>0.1558851602929377</v>
      </c>
      <c r="R808" s="3">
        <v>0.53891597667898006</v>
      </c>
      <c r="S808" s="3">
        <v>0.184707523632344</v>
      </c>
      <c r="T808" s="3">
        <v>4.625530026337122E-2</v>
      </c>
      <c r="U808" s="3">
        <v>7.4236039132367052E-2</v>
      </c>
      <c r="V808" s="3"/>
      <c r="W808" s="4"/>
    </row>
    <row r="809" spans="1:23" s="1" customFormat="1" ht="24.95" customHeight="1" x14ac:dyDescent="0.2">
      <c r="A809" s="8">
        <v>45688</v>
      </c>
      <c r="B809" s="7">
        <v>0.46944444444444444</v>
      </c>
      <c r="C809" s="9" t="s">
        <v>382</v>
      </c>
      <c r="D809" s="1" t="s">
        <v>388</v>
      </c>
      <c r="E809" s="1" t="s">
        <v>420</v>
      </c>
      <c r="F809" s="1" t="s">
        <v>422</v>
      </c>
      <c r="G809" s="1" t="s">
        <v>365</v>
      </c>
      <c r="H809" s="2">
        <v>-140</v>
      </c>
      <c r="I809" s="16">
        <v>62.37</v>
      </c>
      <c r="J809" s="1" t="s">
        <v>366</v>
      </c>
      <c r="K809" s="6">
        <f>Registro_Ordini[[#This Row],[Numero]]*Registro_Ordini[[#This Row],[Prezzo]]</f>
        <v>-8731.7999999999993</v>
      </c>
      <c r="L809" s="10">
        <v>0.96375</v>
      </c>
      <c r="M809" s="6">
        <f>Registro_Ordini[[#This Row],[Importo]]*Registro_Ordini[[#This Row],[Cambio]]</f>
        <v>-8415.27225</v>
      </c>
      <c r="N809" s="1">
        <f ca="1">IFERROR(_xlfn.NUMBERVALUE(OFFSET(Origine,MATCH(Registro_Ordini[[#This Row],[Titolo]],Descrizioni,0),MATCH("Price",Intestazioni,0)-1,1,1)),"")</f>
        <v>71.75</v>
      </c>
      <c r="O809" s="18">
        <f ca="1">IF(OR(Registro_Ordini[[#This Row],[Price]]=0,Registro_Ordini[[#This Row],[Price]]=""),"",IF(Registro_Ordini[[#This Row],[Tipo]]="Sell",Registro_Ordini[[#This Row],[Prezzo]]/Registro_Ordini[[#This Row],[Price]]-1,Registro_Ordini[[#This Row],[Price]]/Registro_Ordini[[#This Row],[Prezzo]]-1))</f>
        <v>-0.13073170731707318</v>
      </c>
      <c r="P809" s="15">
        <v>-7.9875032083999899E-3</v>
      </c>
      <c r="Q809" s="3">
        <v>5.5058747401543325E-2</v>
      </c>
      <c r="R809" s="3">
        <v>0.31521167055323784</v>
      </c>
      <c r="S809" s="3">
        <v>0.52568208584195453</v>
      </c>
      <c r="T809" s="3">
        <v>0</v>
      </c>
      <c r="U809" s="3">
        <v>0.10404749620326419</v>
      </c>
      <c r="V809" s="3"/>
      <c r="W809" s="4"/>
    </row>
    <row r="810" spans="1:23" s="1" customFormat="1" ht="24.95" customHeight="1" x14ac:dyDescent="0.2">
      <c r="A810" s="8">
        <v>45687</v>
      </c>
      <c r="B810" s="7">
        <v>0.72013888888888888</v>
      </c>
      <c r="C810" s="9" t="s">
        <v>383</v>
      </c>
      <c r="D810" s="1" t="s">
        <v>388</v>
      </c>
      <c r="E810" s="1" t="s">
        <v>403</v>
      </c>
      <c r="F810" s="1" t="s">
        <v>429</v>
      </c>
      <c r="G810" s="1" t="s">
        <v>371</v>
      </c>
      <c r="H810" s="2">
        <v>180</v>
      </c>
      <c r="I810" s="16">
        <v>52.68</v>
      </c>
      <c r="J810" s="1" t="s">
        <v>381</v>
      </c>
      <c r="K810" s="6">
        <f>Registro_Ordini[[#This Row],[Numero]]*Registro_Ordini[[#This Row],[Prezzo]]</f>
        <v>9482.4</v>
      </c>
      <c r="L810" s="10">
        <v>1</v>
      </c>
      <c r="M810" s="6">
        <f>Registro_Ordini[[#This Row],[Importo]]*Registro_Ordini[[#This Row],[Cambio]]</f>
        <v>9482.4</v>
      </c>
      <c r="N810" s="1">
        <f ca="1">IFERROR(_xlfn.NUMBERVALUE(OFFSET(Origine,MATCH(Registro_Ordini[[#This Row],[Titolo]],Descrizioni,0),MATCH("Price",Intestazioni,0)-1,1,1)),"")</f>
        <v>51.8</v>
      </c>
      <c r="O810" s="18">
        <f ca="1">IF(OR(Registro_Ordini[[#This Row],[Price]]=0,Registro_Ordini[[#This Row],[Price]]=""),"",IF(Registro_Ordini[[#This Row],[Tipo]]="Sell",Registro_Ordini[[#This Row],[Prezzo]]/Registro_Ordini[[#This Row],[Price]]-1,Registro_Ordini[[#This Row],[Price]]/Registro_Ordini[[#This Row],[Prezzo]]-1))</f>
        <v>-1.6704631738800324E-2</v>
      </c>
      <c r="P810" s="15">
        <v>1.5243161395442692E-2</v>
      </c>
      <c r="Q810" s="3">
        <v>9.7500356438003977E-2</v>
      </c>
      <c r="R810" s="3">
        <v>0.31323339594755523</v>
      </c>
      <c r="S810" s="3">
        <v>0.48715928924431712</v>
      </c>
      <c r="T810" s="3">
        <v>0</v>
      </c>
      <c r="U810" s="3">
        <v>0.10210695837012367</v>
      </c>
      <c r="V810" s="3"/>
      <c r="W810" s="4"/>
    </row>
    <row r="811" spans="1:23" s="1" customFormat="1" ht="24.95" customHeight="1" x14ac:dyDescent="0.2">
      <c r="A811" s="8">
        <v>45687</v>
      </c>
      <c r="B811" s="7">
        <v>0.72013888888888888</v>
      </c>
      <c r="C811" s="9" t="s">
        <v>382</v>
      </c>
      <c r="D811" s="1" t="s">
        <v>388</v>
      </c>
      <c r="E811" s="1" t="s">
        <v>403</v>
      </c>
      <c r="F811" s="1" t="s">
        <v>429</v>
      </c>
      <c r="G811" s="1" t="s">
        <v>371</v>
      </c>
      <c r="H811" s="2">
        <v>300</v>
      </c>
      <c r="I811" s="16">
        <v>52.68</v>
      </c>
      <c r="J811" s="1" t="s">
        <v>381</v>
      </c>
      <c r="K811" s="6">
        <f>Registro_Ordini[[#This Row],[Numero]]*Registro_Ordini[[#This Row],[Prezzo]]</f>
        <v>15804</v>
      </c>
      <c r="L811" s="10">
        <v>1</v>
      </c>
      <c r="M811" s="6">
        <f>Registro_Ordini[[#This Row],[Importo]]*Registro_Ordini[[#This Row],[Cambio]]</f>
        <v>15804</v>
      </c>
      <c r="N811" s="1">
        <f ca="1">IFERROR(_xlfn.NUMBERVALUE(OFFSET(Origine,MATCH(Registro_Ordini[[#This Row],[Titolo]],Descrizioni,0),MATCH("Price",Intestazioni,0)-1,1,1)),"")</f>
        <v>51.8</v>
      </c>
      <c r="O811" s="18">
        <f ca="1">IF(OR(Registro_Ordini[[#This Row],[Price]]=0,Registro_Ordini[[#This Row],[Price]]=""),"",IF(Registro_Ordini[[#This Row],[Tipo]]="Sell",Registro_Ordini[[#This Row],[Prezzo]]/Registro_Ordini[[#This Row],[Price]]-1,Registro_Ordini[[#This Row],[Price]]/Registro_Ordini[[#This Row],[Prezzo]]-1))</f>
        <v>-1.6704631738800324E-2</v>
      </c>
      <c r="P811" s="15">
        <v>1.5060614101148239E-2</v>
      </c>
      <c r="Q811" s="3">
        <v>4.7076245041165664E-2</v>
      </c>
      <c r="R811" s="3">
        <v>0.31618877277656071</v>
      </c>
      <c r="S811" s="3">
        <v>0.53264188889373376</v>
      </c>
      <c r="T811" s="3">
        <v>0</v>
      </c>
      <c r="U811" s="3">
        <v>0.10409309328853993</v>
      </c>
      <c r="V811" s="3"/>
      <c r="W811" s="4"/>
    </row>
    <row r="812" spans="1:23" s="1" customFormat="1" ht="24.95" customHeight="1" x14ac:dyDescent="0.2">
      <c r="A812" s="8">
        <v>45687</v>
      </c>
      <c r="B812" s="7">
        <v>0.72013888888888888</v>
      </c>
      <c r="C812" s="9" t="s">
        <v>379</v>
      </c>
      <c r="D812" s="1" t="s">
        <v>388</v>
      </c>
      <c r="E812" s="1" t="s">
        <v>403</v>
      </c>
      <c r="F812" s="1" t="s">
        <v>429</v>
      </c>
      <c r="G812" s="1" t="s">
        <v>371</v>
      </c>
      <c r="H812" s="2">
        <v>165</v>
      </c>
      <c r="I812" s="16">
        <v>52.68</v>
      </c>
      <c r="J812" s="1" t="s">
        <v>381</v>
      </c>
      <c r="K812" s="6">
        <f>Registro_Ordini[[#This Row],[Numero]]*Registro_Ordini[[#This Row],[Prezzo]]</f>
        <v>8692.2000000000007</v>
      </c>
      <c r="L812" s="10">
        <v>1</v>
      </c>
      <c r="M812" s="6">
        <f>Registro_Ordini[[#This Row],[Importo]]*Registro_Ordini[[#This Row],[Cambio]]</f>
        <v>8692.2000000000007</v>
      </c>
      <c r="N812" s="1">
        <f ca="1">IFERROR(_xlfn.NUMBERVALUE(OFFSET(Origine,MATCH(Registro_Ordini[[#This Row],[Titolo]],Descrizioni,0),MATCH("Price",Intestazioni,0)-1,1,1)),"")</f>
        <v>51.8</v>
      </c>
      <c r="O812" s="18">
        <f ca="1">IF(OR(Registro_Ordini[[#This Row],[Price]]=0,Registro_Ordini[[#This Row],[Price]]=""),"",IF(Registro_Ordini[[#This Row],[Tipo]]="Sell",Registro_Ordini[[#This Row],[Prezzo]]/Registro_Ordini[[#This Row],[Price]]-1,Registro_Ordini[[#This Row],[Price]]/Registro_Ordini[[#This Row],[Prezzo]]-1))</f>
        <v>-1.6704631738800324E-2</v>
      </c>
      <c r="P812" s="15">
        <v>1.5353710480104614E-2</v>
      </c>
      <c r="Q812" s="3">
        <v>4.649542578042419E-2</v>
      </c>
      <c r="R812" s="3">
        <v>0.3316576185707753</v>
      </c>
      <c r="S812" s="3">
        <v>0.51585053755900723</v>
      </c>
      <c r="T812" s="3">
        <v>0</v>
      </c>
      <c r="U812" s="3">
        <v>0.10599641808979332</v>
      </c>
      <c r="V812" s="3"/>
      <c r="W812" s="4"/>
    </row>
    <row r="813" spans="1:23" s="1" customFormat="1" ht="24.95" customHeight="1" x14ac:dyDescent="0.2">
      <c r="A813" s="8">
        <v>45687</v>
      </c>
      <c r="B813" s="7">
        <v>0.71666666666666667</v>
      </c>
      <c r="C813" s="9" t="s">
        <v>383</v>
      </c>
      <c r="D813" s="1" t="s">
        <v>388</v>
      </c>
      <c r="E813" s="1" t="s">
        <v>403</v>
      </c>
      <c r="F813" s="1" t="s">
        <v>468</v>
      </c>
      <c r="G813" s="1" t="s">
        <v>371</v>
      </c>
      <c r="H813" s="2">
        <v>185</v>
      </c>
      <c r="I813" s="16">
        <v>50.5</v>
      </c>
      <c r="J813" s="1" t="s">
        <v>381</v>
      </c>
      <c r="K813" s="6">
        <f>Registro_Ordini[[#This Row],[Numero]]*Registro_Ordini[[#This Row],[Prezzo]]</f>
        <v>9342.5</v>
      </c>
      <c r="L813" s="10">
        <v>1</v>
      </c>
      <c r="M813" s="6">
        <f>Registro_Ordini[[#This Row],[Importo]]*Registro_Ordini[[#This Row],[Cambio]]</f>
        <v>9342.5</v>
      </c>
      <c r="N813" s="1">
        <f ca="1">IFERROR(_xlfn.NUMBERVALUE(OFFSET(Origine,MATCH(Registro_Ordini[[#This Row],[Titolo]],Descrizioni,0),MATCH("Price",Intestazioni,0)-1,1,1)),"")</f>
        <v>64.349999999999994</v>
      </c>
      <c r="O813" s="18">
        <f ca="1">IF(OR(Registro_Ordini[[#This Row],[Price]]=0,Registro_Ordini[[#This Row],[Price]]=""),"",IF(Registro_Ordini[[#This Row],[Tipo]]="Sell",Registro_Ordini[[#This Row],[Prezzo]]/Registro_Ordini[[#This Row],[Price]]-1,Registro_Ordini[[#This Row],[Price]]/Registro_Ordini[[#This Row],[Prezzo]]-1))</f>
        <v>0.27425742574257406</v>
      </c>
      <c r="P813" s="15">
        <v>1.5014912042578E-2</v>
      </c>
      <c r="Q813" s="3">
        <v>0.11272417658228627</v>
      </c>
      <c r="R813" s="3">
        <v>0.31316337746124845</v>
      </c>
      <c r="S813" s="3">
        <v>0.4720232713964711</v>
      </c>
      <c r="T813" s="3">
        <v>0</v>
      </c>
      <c r="U813" s="3">
        <v>0.10208917455999411</v>
      </c>
      <c r="V813" s="3"/>
      <c r="W813" s="4"/>
    </row>
    <row r="814" spans="1:23" s="1" customFormat="1" ht="24.95" customHeight="1" x14ac:dyDescent="0.2">
      <c r="A814" s="8">
        <v>45687</v>
      </c>
      <c r="B814" s="7">
        <v>0.71666666666666667</v>
      </c>
      <c r="C814" s="9" t="s">
        <v>382</v>
      </c>
      <c r="D814" s="1" t="s">
        <v>388</v>
      </c>
      <c r="E814" s="1" t="s">
        <v>403</v>
      </c>
      <c r="F814" s="1" t="s">
        <v>468</v>
      </c>
      <c r="G814" s="1" t="s">
        <v>371</v>
      </c>
      <c r="H814" s="2">
        <v>315</v>
      </c>
      <c r="I814" s="16">
        <v>50.5</v>
      </c>
      <c r="J814" s="1" t="s">
        <v>381</v>
      </c>
      <c r="K814" s="6">
        <f>Registro_Ordini[[#This Row],[Numero]]*Registro_Ordini[[#This Row],[Prezzo]]</f>
        <v>15907.5</v>
      </c>
      <c r="L814" s="10">
        <v>1</v>
      </c>
      <c r="M814" s="6">
        <f>Registro_Ordini[[#This Row],[Importo]]*Registro_Ordini[[#This Row],[Cambio]]</f>
        <v>15907.5</v>
      </c>
      <c r="N814" s="1">
        <f ca="1">IFERROR(_xlfn.NUMBERVALUE(OFFSET(Origine,MATCH(Registro_Ordini[[#This Row],[Titolo]],Descrizioni,0),MATCH("Price",Intestazioni,0)-1,1,1)),"")</f>
        <v>64.349999999999994</v>
      </c>
      <c r="O814" s="18">
        <f ca="1">IF(OR(Registro_Ordini[[#This Row],[Price]]=0,Registro_Ordini[[#This Row],[Price]]=""),"",IF(Registro_Ordini[[#This Row],[Tipo]]="Sell",Registro_Ordini[[#This Row],[Prezzo]]/Registro_Ordini[[#This Row],[Price]]-1,Registro_Ordini[[#This Row],[Price]]/Registro_Ordini[[#This Row],[Prezzo]]-1))</f>
        <v>0.27425742574257406</v>
      </c>
      <c r="P814" s="15">
        <v>1.5155836673617529E-2</v>
      </c>
      <c r="Q814" s="3">
        <v>6.2126548641581396E-2</v>
      </c>
      <c r="R814" s="3">
        <v>0.31611766822998</v>
      </c>
      <c r="S814" s="3">
        <v>0.51767982318315953</v>
      </c>
      <c r="T814" s="3">
        <v>0</v>
      </c>
      <c r="U814" s="3">
        <v>0.10407595994527896</v>
      </c>
      <c r="V814" s="3"/>
      <c r="W814" s="4"/>
    </row>
    <row r="815" spans="1:23" s="1" customFormat="1" ht="24.95" customHeight="1" x14ac:dyDescent="0.2">
      <c r="A815" s="8">
        <v>45687</v>
      </c>
      <c r="B815" s="7">
        <v>0.71666666666666667</v>
      </c>
      <c r="C815" s="9" t="s">
        <v>379</v>
      </c>
      <c r="D815" s="1" t="s">
        <v>388</v>
      </c>
      <c r="E815" s="1" t="s">
        <v>403</v>
      </c>
      <c r="F815" s="1" t="s">
        <v>468</v>
      </c>
      <c r="G815" s="1" t="s">
        <v>371</v>
      </c>
      <c r="H815" s="2">
        <v>170</v>
      </c>
      <c r="I815" s="16">
        <v>50.5</v>
      </c>
      <c r="J815" s="1" t="s">
        <v>381</v>
      </c>
      <c r="K815" s="6">
        <f>Registro_Ordini[[#This Row],[Numero]]*Registro_Ordini[[#This Row],[Prezzo]]</f>
        <v>8585</v>
      </c>
      <c r="L815" s="10">
        <v>1</v>
      </c>
      <c r="M815" s="6">
        <f>Registro_Ordini[[#This Row],[Importo]]*Registro_Ordini[[#This Row],[Cambio]]</f>
        <v>8585</v>
      </c>
      <c r="N815" s="1">
        <f ca="1">IFERROR(_xlfn.NUMBERVALUE(OFFSET(Origine,MATCH(Registro_Ordini[[#This Row],[Titolo]],Descrizioni,0),MATCH("Price",Intestazioni,0)-1,1,1)),"")</f>
        <v>64.349999999999994</v>
      </c>
      <c r="O815" s="18">
        <f ca="1">IF(OR(Registro_Ordini[[#This Row],[Price]]=0,Registro_Ordini[[#This Row],[Price]]=""),"",IF(Registro_Ordini[[#This Row],[Tipo]]="Sell",Registro_Ordini[[#This Row],[Prezzo]]/Registro_Ordini[[#This Row],[Price]]-1,Registro_Ordini[[#This Row],[Price]]/Registro_Ordini[[#This Row],[Prezzo]]-1))</f>
        <v>0.27425742574257406</v>
      </c>
      <c r="P815" s="15">
        <v>1.51618318168079E-2</v>
      </c>
      <c r="Q815" s="3">
        <v>6.183647091472947E-2</v>
      </c>
      <c r="R815" s="3">
        <v>0.33160243954288227</v>
      </c>
      <c r="S815" s="3">
        <v>0.50062815116112525</v>
      </c>
      <c r="T815" s="3">
        <v>0</v>
      </c>
      <c r="U815" s="3">
        <v>0.10593293838126305</v>
      </c>
      <c r="V815" s="3"/>
      <c r="W815" s="4"/>
    </row>
    <row r="816" spans="1:23" s="1" customFormat="1" ht="24.95" customHeight="1" x14ac:dyDescent="0.2">
      <c r="A816" s="8">
        <v>45687</v>
      </c>
      <c r="B816" s="7">
        <v>0.71597222222222223</v>
      </c>
      <c r="C816" s="9" t="s">
        <v>382</v>
      </c>
      <c r="D816" s="1" t="s">
        <v>388</v>
      </c>
      <c r="E816" s="1" t="s">
        <v>403</v>
      </c>
      <c r="F816" s="1" t="s">
        <v>412</v>
      </c>
      <c r="G816" s="1" t="s">
        <v>371</v>
      </c>
      <c r="H816" s="2">
        <v>155</v>
      </c>
      <c r="I816" s="16">
        <v>102.82181799999999</v>
      </c>
      <c r="J816" s="1" t="s">
        <v>381</v>
      </c>
      <c r="K816" s="6">
        <f>Registro_Ordini[[#This Row],[Numero]]*Registro_Ordini[[#This Row],[Prezzo]]</f>
        <v>15937.381789999999</v>
      </c>
      <c r="L816" s="10">
        <v>1</v>
      </c>
      <c r="M816" s="6">
        <f>Registro_Ordini[[#This Row],[Importo]]*Registro_Ordini[[#This Row],[Cambio]]</f>
        <v>15937.381789999999</v>
      </c>
      <c r="N816" s="1">
        <f ca="1">IFERROR(_xlfn.NUMBERVALUE(OFFSET(Origine,MATCH(Registro_Ordini[[#This Row],[Titolo]],Descrizioni,0),MATCH("Price",Intestazioni,0)-1,1,1)),"")</f>
        <v>74.36</v>
      </c>
      <c r="O816" s="18">
        <f ca="1">IF(OR(Registro_Ordini[[#This Row],[Price]]=0,Registro_Ordini[[#This Row],[Price]]=""),"",IF(Registro_Ordini[[#This Row],[Tipo]]="Sell",Registro_Ordini[[#This Row],[Prezzo]]/Registro_Ordini[[#This Row],[Price]]-1,Registro_Ordini[[#This Row],[Price]]/Registro_Ordini[[#This Row],[Prezzo]]-1))</f>
        <v>-0.27680718502759794</v>
      </c>
      <c r="P816" s="15">
        <v>1.5180203338523632E-2</v>
      </c>
      <c r="Q816" s="3">
        <v>7.7266994622019788E-2</v>
      </c>
      <c r="R816" s="3">
        <v>0.31603224600928048</v>
      </c>
      <c r="S816" s="3">
        <v>0.50264351299567001</v>
      </c>
      <c r="T816" s="3">
        <v>0</v>
      </c>
      <c r="U816" s="3">
        <v>0.10405724637302965</v>
      </c>
      <c r="V816" s="3"/>
      <c r="W816" s="4"/>
    </row>
    <row r="817" spans="1:23" s="1" customFormat="1" ht="24.95" customHeight="1" x14ac:dyDescent="0.2">
      <c r="A817" s="8">
        <v>45687</v>
      </c>
      <c r="B817" s="7">
        <v>0.71597222222222223</v>
      </c>
      <c r="C817" s="9" t="s">
        <v>379</v>
      </c>
      <c r="D817" s="1" t="s">
        <v>388</v>
      </c>
      <c r="E817" s="1" t="s">
        <v>403</v>
      </c>
      <c r="F817" s="1" t="s">
        <v>412</v>
      </c>
      <c r="G817" s="1" t="s">
        <v>371</v>
      </c>
      <c r="H817" s="2">
        <v>85</v>
      </c>
      <c r="I817" s="16">
        <v>102.82181799999999</v>
      </c>
      <c r="J817" s="1" t="s">
        <v>381</v>
      </c>
      <c r="K817" s="6">
        <f>Registro_Ordini[[#This Row],[Numero]]*Registro_Ordini[[#This Row],[Prezzo]]</f>
        <v>8739.8545299999987</v>
      </c>
      <c r="L817" s="10">
        <v>1</v>
      </c>
      <c r="M817" s="6">
        <f>Registro_Ordini[[#This Row],[Importo]]*Registro_Ordini[[#This Row],[Cambio]]</f>
        <v>8739.8545299999987</v>
      </c>
      <c r="N817" s="1">
        <f ca="1">IFERROR(_xlfn.NUMBERVALUE(OFFSET(Origine,MATCH(Registro_Ordini[[#This Row],[Titolo]],Descrizioni,0),MATCH("Price",Intestazioni,0)-1,1,1)),"")</f>
        <v>74.36</v>
      </c>
      <c r="O817" s="18">
        <f ca="1">IF(OR(Registro_Ordini[[#This Row],[Price]]=0,Registro_Ordini[[#This Row],[Price]]=""),"",IF(Registro_Ordini[[#This Row],[Tipo]]="Sell",Registro_Ordini[[#This Row],[Prezzo]]/Registro_Ordini[[#This Row],[Price]]-1,Registro_Ordini[[#This Row],[Price]]/Registro_Ordini[[#This Row],[Prezzo]]-1))</f>
        <v>-0.27680718502759794</v>
      </c>
      <c r="P817" s="15">
        <v>1.5430996546742131E-2</v>
      </c>
      <c r="Q817" s="3">
        <v>7.6981460436159582E-2</v>
      </c>
      <c r="R817" s="3">
        <v>0.33150960157974496</v>
      </c>
      <c r="S817" s="3">
        <v>0.48558909016725738</v>
      </c>
      <c r="T817" s="3">
        <v>0</v>
      </c>
      <c r="U817" s="3">
        <v>0.10591984781683805</v>
      </c>
      <c r="V817" s="3"/>
      <c r="W817" s="4"/>
    </row>
    <row r="818" spans="1:23" s="1" customFormat="1" ht="24.95" customHeight="1" x14ac:dyDescent="0.2">
      <c r="A818" s="8">
        <v>45687</v>
      </c>
      <c r="B818" s="7">
        <v>0.71527777777777779</v>
      </c>
      <c r="C818" s="9" t="s">
        <v>383</v>
      </c>
      <c r="D818" s="1" t="s">
        <v>388</v>
      </c>
      <c r="E818" s="1" t="s">
        <v>403</v>
      </c>
      <c r="F818" s="1" t="s">
        <v>412</v>
      </c>
      <c r="G818" s="1" t="s">
        <v>371</v>
      </c>
      <c r="H818" s="2">
        <v>90</v>
      </c>
      <c r="I818" s="16">
        <v>102.82181799999999</v>
      </c>
      <c r="J818" s="1" t="s">
        <v>381</v>
      </c>
      <c r="K818" s="6">
        <f>Registro_Ordini[[#This Row],[Numero]]*Registro_Ordini[[#This Row],[Prezzo]]</f>
        <v>9253.9636199999986</v>
      </c>
      <c r="L818" s="10">
        <v>1</v>
      </c>
      <c r="M818" s="6">
        <f>Registro_Ordini[[#This Row],[Importo]]*Registro_Ordini[[#This Row],[Cambio]]</f>
        <v>9253.9636199999986</v>
      </c>
      <c r="N818" s="1">
        <f ca="1">IFERROR(_xlfn.NUMBERVALUE(OFFSET(Origine,MATCH(Registro_Ordini[[#This Row],[Titolo]],Descrizioni,0),MATCH("Price",Intestazioni,0)-1,1,1)),"")</f>
        <v>74.36</v>
      </c>
      <c r="O818" s="18">
        <f ca="1">IF(OR(Registro_Ordini[[#This Row],[Price]]=0,Registro_Ordini[[#This Row],[Price]]=""),"",IF(Registro_Ordini[[#This Row],[Tipo]]="Sell",Registro_Ordini[[#This Row],[Prezzo]]/Registro_Ordini[[#This Row],[Price]]-1,Registro_Ordini[[#This Row],[Price]]/Registro_Ordini[[#This Row],[Prezzo]]-1))</f>
        <v>-0.27680718502759794</v>
      </c>
      <c r="P818" s="15">
        <v>1.4868667012629863E-2</v>
      </c>
      <c r="Q818" s="3">
        <v>0.12771392814487104</v>
      </c>
      <c r="R818" s="3">
        <v>0.31308014764661884</v>
      </c>
      <c r="S818" s="3">
        <v>0.45713632308869379</v>
      </c>
      <c r="T818" s="3">
        <v>0</v>
      </c>
      <c r="U818" s="3">
        <v>0.10206960111981632</v>
      </c>
      <c r="V818" s="3"/>
      <c r="W818" s="4"/>
    </row>
    <row r="819" spans="1:23" s="1" customFormat="1" ht="24.95" customHeight="1" x14ac:dyDescent="0.2">
      <c r="A819" s="8">
        <v>45687</v>
      </c>
      <c r="B819" s="7">
        <v>0.71458333333333335</v>
      </c>
      <c r="C819" s="9" t="s">
        <v>383</v>
      </c>
      <c r="D819" s="1" t="s">
        <v>388</v>
      </c>
      <c r="E819" s="1" t="s">
        <v>403</v>
      </c>
      <c r="F819" s="1" t="s">
        <v>447</v>
      </c>
      <c r="G819" s="1" t="s">
        <v>371</v>
      </c>
      <c r="H819" s="2">
        <v>55</v>
      </c>
      <c r="I819" s="16">
        <v>169.40595099999999</v>
      </c>
      <c r="J819" s="1" t="s">
        <v>381</v>
      </c>
      <c r="K819" s="6">
        <f>Registro_Ordini[[#This Row],[Numero]]*Registro_Ordini[[#This Row],[Prezzo]]</f>
        <v>9317.3273049999989</v>
      </c>
      <c r="L819" s="10">
        <v>1</v>
      </c>
      <c r="M819" s="6">
        <f>Registro_Ordini[[#This Row],[Importo]]*Registro_Ordini[[#This Row],[Cambio]]</f>
        <v>9317.3273049999989</v>
      </c>
      <c r="N819" s="1">
        <f ca="1">IFERROR(_xlfn.NUMBERVALUE(OFFSET(Origine,MATCH(Registro_Ordini[[#This Row],[Titolo]],Descrizioni,0),MATCH("Price",Intestazioni,0)-1,1,1)),"")</f>
        <v>175.68</v>
      </c>
      <c r="O819" s="18">
        <f ca="1">IF(OR(Registro_Ordini[[#This Row],[Price]]=0,Registro_Ordini[[#This Row],[Price]]=""),"",IF(Registro_Ordini[[#This Row],[Tipo]]="Sell",Registro_Ordini[[#This Row],[Prezzo]]/Registro_Ordini[[#This Row],[Price]]-1,Registro_Ordini[[#This Row],[Price]]/Registro_Ordini[[#This Row],[Prezzo]]-1))</f>
        <v>3.7035587964675543E-2</v>
      </c>
      <c r="P819" s="15">
        <v>1.4968608109855524E-2</v>
      </c>
      <c r="Q819" s="3">
        <v>0.1425560203256161</v>
      </c>
      <c r="R819" s="3">
        <v>0.3130410912157065</v>
      </c>
      <c r="S819" s="3">
        <v>0.44235357839998163</v>
      </c>
      <c r="T819" s="3">
        <v>0</v>
      </c>
      <c r="U819" s="3">
        <v>0.10204931005869571</v>
      </c>
      <c r="V819" s="3"/>
      <c r="W819" s="4"/>
    </row>
    <row r="820" spans="1:23" s="1" customFormat="1" ht="24.95" customHeight="1" x14ac:dyDescent="0.2">
      <c r="A820" s="8">
        <v>45687</v>
      </c>
      <c r="B820" s="7">
        <v>0.71458333333333335</v>
      </c>
      <c r="C820" s="9" t="s">
        <v>382</v>
      </c>
      <c r="D820" s="1" t="s">
        <v>388</v>
      </c>
      <c r="E820" s="1" t="s">
        <v>403</v>
      </c>
      <c r="F820" s="1" t="s">
        <v>447</v>
      </c>
      <c r="G820" s="1" t="s">
        <v>371</v>
      </c>
      <c r="H820" s="2">
        <v>100</v>
      </c>
      <c r="I820" s="16">
        <v>169.40595099999999</v>
      </c>
      <c r="J820" s="1" t="s">
        <v>381</v>
      </c>
      <c r="K820" s="6">
        <f>Registro_Ordini[[#This Row],[Numero]]*Registro_Ordini[[#This Row],[Prezzo]]</f>
        <v>16940.595099999999</v>
      </c>
      <c r="L820" s="10">
        <v>1</v>
      </c>
      <c r="M820" s="6">
        <f>Registro_Ordini[[#This Row],[Importo]]*Registro_Ordini[[#This Row],[Cambio]]</f>
        <v>16940.595099999999</v>
      </c>
      <c r="N820" s="1">
        <f ca="1">IFERROR(_xlfn.NUMBERVALUE(OFFSET(Origine,MATCH(Registro_Ordini[[#This Row],[Titolo]],Descrizioni,0),MATCH("Price",Intestazioni,0)-1,1,1)),"")</f>
        <v>175.68</v>
      </c>
      <c r="O820" s="18">
        <f ca="1">IF(OR(Registro_Ordini[[#This Row],[Price]]=0,Registro_Ordini[[#This Row],[Price]]=""),"",IF(Registro_Ordini[[#This Row],[Tipo]]="Sell",Registro_Ordini[[#This Row],[Prezzo]]/Registro_Ordini[[#This Row],[Price]]-1,Registro_Ordini[[#This Row],[Price]]/Registro_Ordini[[#This Row],[Prezzo]]-1))</f>
        <v>3.7035587964675543E-2</v>
      </c>
      <c r="P820" s="15">
        <v>1.613350398591749E-2</v>
      </c>
      <c r="Q820" s="3">
        <v>9.2428812586182282E-2</v>
      </c>
      <c r="R820" s="3">
        <v>0.31598816982726435</v>
      </c>
      <c r="S820" s="3">
        <v>0.48754969262162673</v>
      </c>
      <c r="T820" s="3">
        <v>0</v>
      </c>
      <c r="U820" s="3">
        <v>0.10403332496492662</v>
      </c>
      <c r="V820" s="3"/>
      <c r="W820" s="4"/>
    </row>
    <row r="821" spans="1:23" s="1" customFormat="1" ht="24.95" customHeight="1" x14ac:dyDescent="0.2">
      <c r="A821" s="8">
        <v>45687</v>
      </c>
      <c r="B821" s="7">
        <v>0.71458333333333335</v>
      </c>
      <c r="C821" s="9" t="s">
        <v>379</v>
      </c>
      <c r="D821" s="1" t="s">
        <v>388</v>
      </c>
      <c r="E821" s="1" t="s">
        <v>403</v>
      </c>
      <c r="F821" s="1" t="s">
        <v>447</v>
      </c>
      <c r="G821" s="1" t="s">
        <v>371</v>
      </c>
      <c r="H821" s="2">
        <v>50</v>
      </c>
      <c r="I821" s="16">
        <v>169.40595099999999</v>
      </c>
      <c r="J821" s="1" t="s">
        <v>381</v>
      </c>
      <c r="K821" s="6">
        <f>Registro_Ordini[[#This Row],[Numero]]*Registro_Ordini[[#This Row],[Prezzo]]</f>
        <v>8470.2975499999993</v>
      </c>
      <c r="L821" s="10">
        <v>1</v>
      </c>
      <c r="M821" s="6">
        <f>Registro_Ordini[[#This Row],[Importo]]*Registro_Ordini[[#This Row],[Cambio]]</f>
        <v>8470.2975499999993</v>
      </c>
      <c r="N821" s="1">
        <f ca="1">IFERROR(_xlfn.NUMBERVALUE(OFFSET(Origine,MATCH(Registro_Ordini[[#This Row],[Titolo]],Descrizioni,0),MATCH("Price",Intestazioni,0)-1,1,1)),"")</f>
        <v>175.68</v>
      </c>
      <c r="O821" s="18">
        <f ca="1">IF(OR(Registro_Ordini[[#This Row],[Price]]=0,Registro_Ordini[[#This Row],[Price]]=""),"",IF(Registro_Ordini[[#This Row],[Tipo]]="Sell",Registro_Ordini[[#This Row],[Prezzo]]/Registro_Ordini[[#This Row],[Price]]-1,Registro_Ordini[[#This Row],[Price]]/Registro_Ordini[[#This Row],[Prezzo]]-1))</f>
        <v>3.7035587964675543E-2</v>
      </c>
      <c r="P821" s="15">
        <v>1.495329292124011E-2</v>
      </c>
      <c r="Q821" s="3">
        <v>9.2396764487052613E-2</v>
      </c>
      <c r="R821" s="3">
        <v>0.33147021925842174</v>
      </c>
      <c r="S821" s="3">
        <v>0.47024231665554006</v>
      </c>
      <c r="T821" s="3">
        <v>0</v>
      </c>
      <c r="U821" s="3">
        <v>0.10589069959898564</v>
      </c>
      <c r="V821" s="3"/>
      <c r="W821" s="4"/>
    </row>
    <row r="822" spans="1:23" s="1" customFormat="1" ht="24.95" customHeight="1" x14ac:dyDescent="0.2">
      <c r="A822" s="8">
        <v>45687</v>
      </c>
      <c r="B822" s="7">
        <v>0.6333333333333333</v>
      </c>
      <c r="C822" s="9" t="s">
        <v>383</v>
      </c>
      <c r="D822" s="1" t="s">
        <v>362</v>
      </c>
      <c r="E822" s="1" t="s">
        <v>363</v>
      </c>
      <c r="F822" s="1" t="s">
        <v>364</v>
      </c>
      <c r="G822" s="1" t="s">
        <v>365</v>
      </c>
      <c r="H822" s="2">
        <v>-25000</v>
      </c>
      <c r="I822" s="16">
        <v>1</v>
      </c>
      <c r="J822" s="1" t="s">
        <v>381</v>
      </c>
      <c r="K822" s="6">
        <f>Registro_Ordini[[#This Row],[Numero]]*Registro_Ordini[[#This Row],[Prezzo]]</f>
        <v>-25000</v>
      </c>
      <c r="L822" s="10">
        <v>0.95574882920768423</v>
      </c>
      <c r="M822" s="6">
        <f>Registro_Ordini[[#This Row],[Importo]]*Registro_Ordini[[#This Row],[Cambio]]</f>
        <v>-23893.720730192104</v>
      </c>
      <c r="N822" s="1">
        <f ca="1">IFERROR(_xlfn.NUMBERVALUE(OFFSET(Origine,MATCH(Registro_Ordini[[#This Row],[Titolo]],Descrizioni,0),MATCH("Price",Intestazioni,0)-1,1,1)),"")</f>
        <v>0.78225</v>
      </c>
      <c r="O822" s="18">
        <f ca="1">IF(OR(Registro_Ordini[[#This Row],[Price]]=0,Registro_Ordini[[#This Row],[Price]]=""),"",IF(Registro_Ordini[[#This Row],[Tipo]]="Sell",Registro_Ordini[[#This Row],[Prezzo]]/Registro_Ordini[[#This Row],[Price]]-1,Registro_Ordini[[#This Row],[Price]]/Registro_Ordini[[#This Row],[Prezzo]]-1))</f>
        <v>0.27836369447107701</v>
      </c>
      <c r="P822" s="15">
        <v>-3.8410073238853433E-2</v>
      </c>
      <c r="Q822" s="3">
        <v>0.1574412615759356</v>
      </c>
      <c r="R822" s="3">
        <v>0.31325116373975376</v>
      </c>
      <c r="S822" s="3">
        <v>0.4275317239059202</v>
      </c>
      <c r="T822" s="3">
        <v>0</v>
      </c>
      <c r="U822" s="3">
        <v>0.10177585077839045</v>
      </c>
      <c r="V822" s="3"/>
      <c r="W822" s="4"/>
    </row>
    <row r="823" spans="1:23" s="1" customFormat="1" ht="24.95" customHeight="1" x14ac:dyDescent="0.2">
      <c r="A823" s="8">
        <v>45687</v>
      </c>
      <c r="B823" s="7">
        <v>0.6333333333333333</v>
      </c>
      <c r="C823" s="9" t="s">
        <v>382</v>
      </c>
      <c r="D823" s="1" t="s">
        <v>362</v>
      </c>
      <c r="E823" s="1" t="s">
        <v>363</v>
      </c>
      <c r="F823" s="1" t="s">
        <v>364</v>
      </c>
      <c r="G823" s="1" t="s">
        <v>365</v>
      </c>
      <c r="H823" s="2">
        <v>-70000</v>
      </c>
      <c r="I823" s="16">
        <v>1</v>
      </c>
      <c r="J823" s="1" t="s">
        <v>381</v>
      </c>
      <c r="K823" s="6">
        <f>Registro_Ordini[[#This Row],[Numero]]*Registro_Ordini[[#This Row],[Prezzo]]</f>
        <v>-70000</v>
      </c>
      <c r="L823" s="10">
        <v>0.95574882920768423</v>
      </c>
      <c r="M823" s="6">
        <f>Registro_Ordini[[#This Row],[Importo]]*Registro_Ordini[[#This Row],[Cambio]]</f>
        <v>-66902.418044537902</v>
      </c>
      <c r="N823" s="1">
        <f ca="1">IFERROR(_xlfn.NUMBERVALUE(OFFSET(Origine,MATCH(Registro_Ordini[[#This Row],[Titolo]],Descrizioni,0),MATCH("Price",Intestazioni,0)-1,1,1)),"")</f>
        <v>0.78225</v>
      </c>
      <c r="O823" s="18">
        <f ca="1">IF(OR(Registro_Ordini[[#This Row],[Price]]=0,Registro_Ordini[[#This Row],[Price]]=""),"",IF(Registro_Ordini[[#This Row],[Tipo]]="Sell",Registro_Ordini[[#This Row],[Prezzo]]/Registro_Ordini[[#This Row],[Price]]-1,Registro_Ordini[[#This Row],[Price]]/Registro_Ordini[[#This Row],[Prezzo]]-1))</f>
        <v>0.27836369447107701</v>
      </c>
      <c r="P823" s="15">
        <v>-6.2892526430860907E-2</v>
      </c>
      <c r="Q823" s="3">
        <v>0.10851649152395701</v>
      </c>
      <c r="R823" s="3">
        <v>0.31619806318597027</v>
      </c>
      <c r="S823" s="3">
        <v>0.47157909064625619</v>
      </c>
      <c r="T823" s="3">
        <v>0</v>
      </c>
      <c r="U823" s="3">
        <v>0.10370635464381653</v>
      </c>
      <c r="V823" s="3"/>
      <c r="W823" s="4"/>
    </row>
    <row r="824" spans="1:23" s="1" customFormat="1" ht="24.95" customHeight="1" x14ac:dyDescent="0.2">
      <c r="A824" s="8">
        <v>45687</v>
      </c>
      <c r="B824" s="7">
        <v>0.6333333333333333</v>
      </c>
      <c r="C824" s="9" t="s">
        <v>106</v>
      </c>
      <c r="D824" s="1" t="s">
        <v>362</v>
      </c>
      <c r="E824" s="1" t="s">
        <v>363</v>
      </c>
      <c r="F824" s="1" t="s">
        <v>364</v>
      </c>
      <c r="G824" s="1" t="s">
        <v>365</v>
      </c>
      <c r="H824" s="2">
        <v>-14000</v>
      </c>
      <c r="I824" s="16">
        <v>1</v>
      </c>
      <c r="J824" s="1" t="s">
        <v>381</v>
      </c>
      <c r="K824" s="6">
        <f>Registro_Ordini[[#This Row],[Numero]]*Registro_Ordini[[#This Row],[Prezzo]]</f>
        <v>-14000</v>
      </c>
      <c r="L824" s="10">
        <v>0.95574882920768423</v>
      </c>
      <c r="M824" s="6">
        <f>Registro_Ordini[[#This Row],[Importo]]*Registro_Ordini[[#This Row],[Cambio]]</f>
        <v>-13380.48360890758</v>
      </c>
      <c r="N824" s="1">
        <f ca="1">IFERROR(_xlfn.NUMBERVALUE(OFFSET(Origine,MATCH(Registro_Ordini[[#This Row],[Titolo]],Descrizioni,0),MATCH("Price",Intestazioni,0)-1,1,1)),"")</f>
        <v>0.78225</v>
      </c>
      <c r="O824" s="18">
        <f ca="1">IF(OR(Registro_Ordini[[#This Row],[Price]]=0,Registro_Ordini[[#This Row],[Price]]=""),"",IF(Registro_Ordini[[#This Row],[Tipo]]="Sell",Registro_Ordini[[#This Row],[Prezzo]]/Registro_Ordini[[#This Row],[Price]]-1,Registro_Ordini[[#This Row],[Price]]/Registro_Ordini[[#This Row],[Prezzo]]-1))</f>
        <v>0.27836369447107701</v>
      </c>
      <c r="P824" s="15">
        <v>-9.6859704512036779E-2</v>
      </c>
      <c r="Q824" s="3">
        <v>0.11209650331492768</v>
      </c>
      <c r="R824" s="3">
        <v>0.26556406589658554</v>
      </c>
      <c r="S824" s="3">
        <v>0.49128775796242186</v>
      </c>
      <c r="T824" s="3">
        <v>0</v>
      </c>
      <c r="U824" s="3">
        <v>0.13105167282606489</v>
      </c>
      <c r="V824" s="3"/>
      <c r="W824" s="4"/>
    </row>
    <row r="825" spans="1:23" s="1" customFormat="1" ht="24.95" customHeight="1" x14ac:dyDescent="0.2">
      <c r="A825" s="8">
        <v>45687</v>
      </c>
      <c r="B825" s="7">
        <v>0.6333333333333333</v>
      </c>
      <c r="C825" s="9" t="s">
        <v>379</v>
      </c>
      <c r="D825" s="1" t="s">
        <v>362</v>
      </c>
      <c r="E825" s="1" t="s">
        <v>363</v>
      </c>
      <c r="F825" s="1" t="s">
        <v>364</v>
      </c>
      <c r="G825" s="1" t="s">
        <v>365</v>
      </c>
      <c r="H825" s="2">
        <v>-45000</v>
      </c>
      <c r="I825" s="16">
        <v>1</v>
      </c>
      <c r="J825" s="1" t="s">
        <v>381</v>
      </c>
      <c r="K825" s="6">
        <f>Registro_Ordini[[#This Row],[Numero]]*Registro_Ordini[[#This Row],[Prezzo]]</f>
        <v>-45000</v>
      </c>
      <c r="L825" s="10">
        <v>0.95574882920768423</v>
      </c>
      <c r="M825" s="6">
        <f>Registro_Ordini[[#This Row],[Importo]]*Registro_Ordini[[#This Row],[Cambio]]</f>
        <v>-43008.697314345787</v>
      </c>
      <c r="N825" s="1">
        <f ca="1">IFERROR(_xlfn.NUMBERVALUE(OFFSET(Origine,MATCH(Registro_Ordini[[#This Row],[Titolo]],Descrizioni,0),MATCH("Price",Intestazioni,0)-1,1,1)),"")</f>
        <v>0.78225</v>
      </c>
      <c r="O825" s="18">
        <f ca="1">IF(OR(Registro_Ordini[[#This Row],[Price]]=0,Registro_Ordini[[#This Row],[Price]]=""),"",IF(Registro_Ordini[[#This Row],[Tipo]]="Sell",Registro_Ordini[[#This Row],[Prezzo]]/Registro_Ordini[[#This Row],[Price]]-1,Registro_Ordini[[#This Row],[Price]]/Registro_Ordini[[#This Row],[Prezzo]]-1))</f>
        <v>0.27836369447107701</v>
      </c>
      <c r="P825" s="15">
        <v>-7.7143216172308002E-2</v>
      </c>
      <c r="Q825" s="3">
        <v>0.10738082526859209</v>
      </c>
      <c r="R825" s="3">
        <v>0.33168055745266589</v>
      </c>
      <c r="S825" s="3">
        <v>0.45543189982825494</v>
      </c>
      <c r="T825" s="3">
        <v>0</v>
      </c>
      <c r="U825" s="3">
        <v>0.10550671745048699</v>
      </c>
      <c r="V825" s="3"/>
      <c r="W825" s="4"/>
    </row>
    <row r="826" spans="1:23" s="1" customFormat="1" ht="24.95" customHeight="1" x14ac:dyDescent="0.2">
      <c r="A826" s="8">
        <v>45686</v>
      </c>
      <c r="B826" s="7">
        <v>0.72638888888888886</v>
      </c>
      <c r="C826" s="9" t="s">
        <v>383</v>
      </c>
      <c r="D826" s="1" t="s">
        <v>388</v>
      </c>
      <c r="E826" s="1" t="s">
        <v>389</v>
      </c>
      <c r="F826" s="1" t="s">
        <v>469</v>
      </c>
      <c r="G826" s="1" t="s">
        <v>365</v>
      </c>
      <c r="H826" s="2">
        <v>-265</v>
      </c>
      <c r="I826" s="16">
        <v>59.339100000000002</v>
      </c>
      <c r="J826" s="1" t="s">
        <v>366</v>
      </c>
      <c r="K826" s="6">
        <f>Registro_Ordini[[#This Row],[Numero]]*Registro_Ordini[[#This Row],[Prezzo]]</f>
        <v>-15724.861500000001</v>
      </c>
      <c r="L826" s="10">
        <v>0.96009999999999995</v>
      </c>
      <c r="M826" s="6">
        <f>Registro_Ordini[[#This Row],[Importo]]*Registro_Ordini[[#This Row],[Cambio]]</f>
        <v>-15097.439526149999</v>
      </c>
      <c r="N826" s="1">
        <f ca="1">IFERROR(_xlfn.NUMBERVALUE(OFFSET(Origine,MATCH(Registro_Ordini[[#This Row],[Titolo]],Descrizioni,0),MATCH("Price",Intestazioni,0)-1,1,1)),"")</f>
        <v>75.724999999999994</v>
      </c>
      <c r="O826" s="18">
        <f ca="1">IF(OR(Registro_Ordini[[#This Row],[Price]]=0,Registro_Ordini[[#This Row],[Price]]=""),"",IF(Registro_Ordini[[#This Row],[Tipo]]="Sell",Registro_Ordini[[#This Row],[Prezzo]]/Registro_Ordini[[#This Row],[Price]]-1,Registro_Ordini[[#This Row],[Price]]/Registro_Ordini[[#This Row],[Prezzo]]-1))</f>
        <v>-0.21638692637834256</v>
      </c>
      <c r="P826" s="15">
        <v>-2.4459800335388002E-2</v>
      </c>
      <c r="Q826" s="3">
        <v>0.15876351428925808</v>
      </c>
      <c r="R826" s="3">
        <v>0.3137953068068946</v>
      </c>
      <c r="S826" s="3">
        <v>0.42624575450821389</v>
      </c>
      <c r="T826" s="3">
        <v>0</v>
      </c>
      <c r="U826" s="3">
        <v>0.10119542439563342</v>
      </c>
      <c r="V826" s="3"/>
      <c r="W826" s="4"/>
    </row>
    <row r="827" spans="1:23" s="1" customFormat="1" ht="24.95" customHeight="1" x14ac:dyDescent="0.2">
      <c r="A827" s="8">
        <v>45686</v>
      </c>
      <c r="B827" s="7">
        <v>0.72638888888888886</v>
      </c>
      <c r="C827" s="9" t="s">
        <v>382</v>
      </c>
      <c r="D827" s="1" t="s">
        <v>388</v>
      </c>
      <c r="E827" s="1" t="s">
        <v>389</v>
      </c>
      <c r="F827" s="1" t="s">
        <v>469</v>
      </c>
      <c r="G827" s="1" t="s">
        <v>365</v>
      </c>
      <c r="H827" s="2">
        <v>-450</v>
      </c>
      <c r="I827" s="16">
        <v>59.339100000000002</v>
      </c>
      <c r="J827" s="1" t="s">
        <v>366</v>
      </c>
      <c r="K827" s="6">
        <f>Registro_Ordini[[#This Row],[Numero]]*Registro_Ordini[[#This Row],[Prezzo]]</f>
        <v>-26702.595000000001</v>
      </c>
      <c r="L827" s="10">
        <v>0.96009999999999995</v>
      </c>
      <c r="M827" s="6">
        <f>Registro_Ordini[[#This Row],[Importo]]*Registro_Ordini[[#This Row],[Cambio]]</f>
        <v>-25637.161459499999</v>
      </c>
      <c r="N827" s="1">
        <f ca="1">IFERROR(_xlfn.NUMBERVALUE(OFFSET(Origine,MATCH(Registro_Ordini[[#This Row],[Titolo]],Descrizioni,0),MATCH("Price",Intestazioni,0)-1,1,1)),"")</f>
        <v>75.724999999999994</v>
      </c>
      <c r="O827" s="18">
        <f ca="1">IF(OR(Registro_Ordini[[#This Row],[Price]]=0,Registro_Ordini[[#This Row],[Price]]=""),"",IF(Registro_Ordini[[#This Row],[Tipo]]="Sell",Registro_Ordini[[#This Row],[Prezzo]]/Registro_Ordini[[#This Row],[Price]]-1,Registro_Ordini[[#This Row],[Price]]/Registro_Ordini[[#This Row],[Prezzo]]-1))</f>
        <v>-0.21638692637834256</v>
      </c>
      <c r="P827" s="15">
        <v>-2.4603517908772559E-2</v>
      </c>
      <c r="Q827" s="3">
        <v>0.11044962633256908</v>
      </c>
      <c r="R827" s="3">
        <v>0.31650555303942657</v>
      </c>
      <c r="S827" s="3">
        <v>0.46997087484231914</v>
      </c>
      <c r="T827" s="3">
        <v>0</v>
      </c>
      <c r="U827" s="3">
        <v>0.10307394578568523</v>
      </c>
      <c r="V827" s="3"/>
      <c r="W827" s="4"/>
    </row>
    <row r="828" spans="1:23" s="1" customFormat="1" ht="24.95" customHeight="1" x14ac:dyDescent="0.2">
      <c r="A828" s="8">
        <v>45686</v>
      </c>
      <c r="B828" s="7">
        <v>0.72638888888888886</v>
      </c>
      <c r="C828" s="9" t="s">
        <v>379</v>
      </c>
      <c r="D828" s="1" t="s">
        <v>388</v>
      </c>
      <c r="E828" s="1" t="s">
        <v>389</v>
      </c>
      <c r="F828" s="1" t="s">
        <v>469</v>
      </c>
      <c r="G828" s="1" t="s">
        <v>365</v>
      </c>
      <c r="H828" s="2">
        <v>-245</v>
      </c>
      <c r="I828" s="16">
        <v>59.339100000000002</v>
      </c>
      <c r="J828" s="1" t="s">
        <v>366</v>
      </c>
      <c r="K828" s="6">
        <f>Registro_Ordini[[#This Row],[Numero]]*Registro_Ordini[[#This Row],[Prezzo]]</f>
        <v>-14538.0795</v>
      </c>
      <c r="L828" s="10">
        <v>0.96009999999999995</v>
      </c>
      <c r="M828" s="6">
        <f>Registro_Ordini[[#This Row],[Importo]]*Registro_Ordini[[#This Row],[Cambio]]</f>
        <v>-13958.01012795</v>
      </c>
      <c r="N828" s="1">
        <f ca="1">IFERROR(_xlfn.NUMBERVALUE(OFFSET(Origine,MATCH(Registro_Ordini[[#This Row],[Titolo]],Descrizioni,0),MATCH("Price",Intestazioni,0)-1,1,1)),"")</f>
        <v>75.724999999999994</v>
      </c>
      <c r="O828" s="18">
        <f ca="1">IF(OR(Registro_Ordini[[#This Row],[Price]]=0,Registro_Ordini[[#This Row],[Price]]=""),"",IF(Registro_Ordini[[#This Row],[Tipo]]="Sell",Registro_Ordini[[#This Row],[Prezzo]]/Registro_Ordini[[#This Row],[Price]]-1,Registro_Ordini[[#This Row],[Price]]/Registro_Ordini[[#This Row],[Prezzo]]-1))</f>
        <v>-0.21638692637834256</v>
      </c>
      <c r="P828" s="15">
        <v>-2.4882473025074927E-2</v>
      </c>
      <c r="Q828" s="3">
        <v>0.10747918957807436</v>
      </c>
      <c r="R828" s="3">
        <v>0.33270133634255994</v>
      </c>
      <c r="S828" s="3">
        <v>0.45477906396168355</v>
      </c>
      <c r="T828" s="3">
        <v>0</v>
      </c>
      <c r="U828" s="3">
        <v>0.1050404101176822</v>
      </c>
      <c r="V828" s="3"/>
      <c r="W828" s="4"/>
    </row>
    <row r="829" spans="1:23" s="1" customFormat="1" ht="24.95" customHeight="1" x14ac:dyDescent="0.2">
      <c r="A829" s="8">
        <v>45686</v>
      </c>
      <c r="B829" s="7">
        <v>0.72569444444444442</v>
      </c>
      <c r="C829" s="9" t="s">
        <v>78</v>
      </c>
      <c r="D829" s="1" t="s">
        <v>388</v>
      </c>
      <c r="E829" s="1" t="s">
        <v>389</v>
      </c>
      <c r="F829" s="1" t="s">
        <v>469</v>
      </c>
      <c r="G829" s="1" t="s">
        <v>365</v>
      </c>
      <c r="H829" s="2">
        <v>-230</v>
      </c>
      <c r="I829" s="16">
        <v>59.339100000000002</v>
      </c>
      <c r="J829" s="1" t="s">
        <v>366</v>
      </c>
      <c r="K829" s="6">
        <f>Registro_Ordini[[#This Row],[Numero]]*Registro_Ordini[[#This Row],[Prezzo]]</f>
        <v>-13647.993</v>
      </c>
      <c r="L829" s="10">
        <v>0.90674999999999994</v>
      </c>
      <c r="M829" s="6">
        <f>Registro_Ordini[[#This Row],[Importo]]*Registro_Ordini[[#This Row],[Cambio]]</f>
        <v>-12375.31765275</v>
      </c>
      <c r="N829" s="1">
        <f ca="1">IFERROR(_xlfn.NUMBERVALUE(OFFSET(Origine,MATCH(Registro_Ordini[[#This Row],[Titolo]],Descrizioni,0),MATCH("Price",Intestazioni,0)-1,1,1)),"")</f>
        <v>75.724999999999994</v>
      </c>
      <c r="O829" s="18">
        <f ca="1">IF(OR(Registro_Ordini[[#This Row],[Price]]=0,Registro_Ordini[[#This Row],[Price]]=""),"",IF(Registro_Ordini[[#This Row],[Tipo]]="Sell",Registro_Ordini[[#This Row],[Prezzo]]/Registro_Ordini[[#This Row],[Price]]-1,Registro_Ordini[[#This Row],[Price]]/Registro_Ordini[[#This Row],[Prezzo]]-1))</f>
        <v>-0.21638692637834256</v>
      </c>
      <c r="P829" s="15">
        <v>-2.9240037479972777E-2</v>
      </c>
      <c r="Q829" s="3">
        <v>4.4219190847044385E-2</v>
      </c>
      <c r="R829" s="3">
        <v>0.16322243876215398</v>
      </c>
      <c r="S829" s="3">
        <v>0.72460799471645942</v>
      </c>
      <c r="T829" s="3">
        <v>0</v>
      </c>
      <c r="U829" s="3">
        <v>6.7950375674342145E-2</v>
      </c>
      <c r="V829" s="3"/>
      <c r="W829" s="4"/>
    </row>
    <row r="830" spans="1:23" s="1" customFormat="1" ht="24.95" customHeight="1" x14ac:dyDescent="0.2">
      <c r="A830" s="8">
        <v>45686</v>
      </c>
      <c r="B830" s="7">
        <v>0.72569444444444442</v>
      </c>
      <c r="C830" s="9" t="s">
        <v>375</v>
      </c>
      <c r="D830" s="1" t="s">
        <v>388</v>
      </c>
      <c r="E830" s="1" t="s">
        <v>389</v>
      </c>
      <c r="F830" s="1" t="s">
        <v>469</v>
      </c>
      <c r="G830" s="1" t="s">
        <v>365</v>
      </c>
      <c r="H830" s="2">
        <v>-300</v>
      </c>
      <c r="I830" s="16">
        <v>59.339100000000002</v>
      </c>
      <c r="J830" s="1" t="s">
        <v>366</v>
      </c>
      <c r="K830" s="6">
        <f>Registro_Ordini[[#This Row],[Numero]]*Registro_Ordini[[#This Row],[Prezzo]]</f>
        <v>-17801.73</v>
      </c>
      <c r="L830" s="10">
        <v>0.90674999999999994</v>
      </c>
      <c r="M830" s="6">
        <f>Registro_Ordini[[#This Row],[Importo]]*Registro_Ordini[[#This Row],[Cambio]]</f>
        <v>-16141.718677499999</v>
      </c>
      <c r="N830" s="1">
        <f ca="1">IFERROR(_xlfn.NUMBERVALUE(OFFSET(Origine,MATCH(Registro_Ordini[[#This Row],[Titolo]],Descrizioni,0),MATCH("Price",Intestazioni,0)-1,1,1)),"")</f>
        <v>75.724999999999994</v>
      </c>
      <c r="O830" s="18">
        <f ca="1">IF(OR(Registro_Ordini[[#This Row],[Price]]=0,Registro_Ordini[[#This Row],[Price]]=""),"",IF(Registro_Ordini[[#This Row],[Tipo]]="Sell",Registro_Ordini[[#This Row],[Prezzo]]/Registro_Ordini[[#This Row],[Price]]-1,Registro_Ordini[[#This Row],[Price]]/Registro_Ordini[[#This Row],[Prezzo]]-1))</f>
        <v>-0.21638692637834256</v>
      </c>
      <c r="P830" s="15">
        <v>-1.9444564026611596E-2</v>
      </c>
      <c r="Q830" s="3">
        <v>0.12222718935444893</v>
      </c>
      <c r="R830" s="3">
        <v>0.34223017326758198</v>
      </c>
      <c r="S830" s="3">
        <v>0.44546273025598543</v>
      </c>
      <c r="T830" s="3">
        <v>0</v>
      </c>
      <c r="U830" s="3">
        <v>9.0079907121983521E-2</v>
      </c>
      <c r="V830" s="3"/>
      <c r="W830" s="4"/>
    </row>
    <row r="831" spans="1:23" s="1" customFormat="1" ht="24.95" customHeight="1" x14ac:dyDescent="0.2">
      <c r="A831" s="8">
        <v>45686</v>
      </c>
      <c r="B831" s="7">
        <v>0.72569444444444442</v>
      </c>
      <c r="C831" s="9" t="s">
        <v>378</v>
      </c>
      <c r="D831" s="1" t="s">
        <v>388</v>
      </c>
      <c r="E831" s="1" t="s">
        <v>389</v>
      </c>
      <c r="F831" s="1" t="s">
        <v>469</v>
      </c>
      <c r="G831" s="1" t="s">
        <v>365</v>
      </c>
      <c r="H831" s="2">
        <v>-190</v>
      </c>
      <c r="I831" s="16">
        <v>59.339100000000002</v>
      </c>
      <c r="J831" s="1" t="s">
        <v>366</v>
      </c>
      <c r="K831" s="6">
        <f>Registro_Ordini[[#This Row],[Numero]]*Registro_Ordini[[#This Row],[Prezzo]]</f>
        <v>-11274.429</v>
      </c>
      <c r="L831" s="10">
        <v>0.90674999999999994</v>
      </c>
      <c r="M831" s="6">
        <f>Registro_Ordini[[#This Row],[Importo]]*Registro_Ordini[[#This Row],[Cambio]]</f>
        <v>-10223.08849575</v>
      </c>
      <c r="N831" s="1">
        <f ca="1">IFERROR(_xlfn.NUMBERVALUE(OFFSET(Origine,MATCH(Registro_Ordini[[#This Row],[Titolo]],Descrizioni,0),MATCH("Price",Intestazioni,0)-1,1,1)),"")</f>
        <v>75.724999999999994</v>
      </c>
      <c r="O831" s="18">
        <f ca="1">IF(OR(Registro_Ordini[[#This Row],[Price]]=0,Registro_Ordini[[#This Row],[Price]]=""),"",IF(Registro_Ordini[[#This Row],[Tipo]]="Sell",Registro_Ordini[[#This Row],[Prezzo]]/Registro_Ordini[[#This Row],[Price]]-1,Registro_Ordini[[#This Row],[Price]]/Registro_Ordini[[#This Row],[Prezzo]]-1))</f>
        <v>-0.21638692637834256</v>
      </c>
      <c r="P831" s="15">
        <v>-1.9883393048985336E-2</v>
      </c>
      <c r="Q831" s="3">
        <v>0.10231558739124903</v>
      </c>
      <c r="R831" s="3">
        <v>0.33314194474663134</v>
      </c>
      <c r="S831" s="3">
        <v>0.47427366360243228</v>
      </c>
      <c r="T831" s="3">
        <v>0</v>
      </c>
      <c r="U831" s="3">
        <v>9.0268804259687349E-2</v>
      </c>
      <c r="V831" s="3"/>
      <c r="W831" s="4"/>
    </row>
    <row r="832" spans="1:23" s="1" customFormat="1" ht="24.95" customHeight="1" x14ac:dyDescent="0.2">
      <c r="A832" s="8">
        <v>45686</v>
      </c>
      <c r="B832" s="7">
        <v>0.72569444444444442</v>
      </c>
      <c r="C832" s="9" t="s">
        <v>377</v>
      </c>
      <c r="D832" s="1" t="s">
        <v>388</v>
      </c>
      <c r="E832" s="1" t="s">
        <v>389</v>
      </c>
      <c r="F832" s="1" t="s">
        <v>469</v>
      </c>
      <c r="G832" s="1" t="s">
        <v>365</v>
      </c>
      <c r="H832" s="2">
        <v>-585</v>
      </c>
      <c r="I832" s="16">
        <v>59.339100000000002</v>
      </c>
      <c r="J832" s="1" t="s">
        <v>366</v>
      </c>
      <c r="K832" s="6">
        <f>Registro_Ordini[[#This Row],[Numero]]*Registro_Ordini[[#This Row],[Prezzo]]</f>
        <v>-34713.373500000002</v>
      </c>
      <c r="L832" s="10">
        <v>0.90674999999999994</v>
      </c>
      <c r="M832" s="6">
        <f>Registro_Ordini[[#This Row],[Importo]]*Registro_Ordini[[#This Row],[Cambio]]</f>
        <v>-31476.351421125</v>
      </c>
      <c r="N832" s="1">
        <f ca="1">IFERROR(_xlfn.NUMBERVALUE(OFFSET(Origine,MATCH(Registro_Ordini[[#This Row],[Titolo]],Descrizioni,0),MATCH("Price",Intestazioni,0)-1,1,1)),"")</f>
        <v>75.724999999999994</v>
      </c>
      <c r="O832" s="18">
        <f ca="1">IF(OR(Registro_Ordini[[#This Row],[Price]]=0,Registro_Ordini[[#This Row],[Price]]=""),"",IF(Registro_Ordini[[#This Row],[Tipo]]="Sell",Registro_Ordini[[#This Row],[Prezzo]]/Registro_Ordini[[#This Row],[Price]]-1,Registro_Ordini[[#This Row],[Price]]/Registro_Ordini[[#This Row],[Prezzo]]-1))</f>
        <v>-0.21638692637834256</v>
      </c>
      <c r="P832" s="15">
        <v>-1.9721359475535206E-2</v>
      </c>
      <c r="Q832" s="3">
        <v>9.1280347766320338E-2</v>
      </c>
      <c r="R832" s="3">
        <v>0.32376802834995938</v>
      </c>
      <c r="S832" s="3">
        <v>0.4848196156746058</v>
      </c>
      <c r="T832" s="3">
        <v>0</v>
      </c>
      <c r="U832" s="3">
        <v>0.10013200820911453</v>
      </c>
      <c r="V832" s="3"/>
      <c r="W832" s="4"/>
    </row>
    <row r="833" spans="1:23" s="1" customFormat="1" ht="24.95" customHeight="1" x14ac:dyDescent="0.2">
      <c r="A833" s="8">
        <v>45686</v>
      </c>
      <c r="B833" s="7">
        <v>0.72569444444444442</v>
      </c>
      <c r="C833" s="9" t="s">
        <v>376</v>
      </c>
      <c r="D833" s="1" t="s">
        <v>388</v>
      </c>
      <c r="E833" s="1" t="s">
        <v>389</v>
      </c>
      <c r="F833" s="1" t="s">
        <v>469</v>
      </c>
      <c r="G833" s="1" t="s">
        <v>365</v>
      </c>
      <c r="H833" s="2">
        <v>-105</v>
      </c>
      <c r="I833" s="16">
        <v>59.339100000000002</v>
      </c>
      <c r="J833" s="1" t="s">
        <v>366</v>
      </c>
      <c r="K833" s="6">
        <f>Registro_Ordini[[#This Row],[Numero]]*Registro_Ordini[[#This Row],[Prezzo]]</f>
        <v>-6230.6055000000006</v>
      </c>
      <c r="L833" s="10">
        <v>0.90674999999999994</v>
      </c>
      <c r="M833" s="6">
        <f>Registro_Ordini[[#This Row],[Importo]]*Registro_Ordini[[#This Row],[Cambio]]</f>
        <v>-5649.6015371250005</v>
      </c>
      <c r="N833" s="1">
        <f ca="1">IFERROR(_xlfn.NUMBERVALUE(OFFSET(Origine,MATCH(Registro_Ordini[[#This Row],[Titolo]],Descrizioni,0),MATCH("Price",Intestazioni,0)-1,1,1)),"")</f>
        <v>75.724999999999994</v>
      </c>
      <c r="O833" s="18">
        <f ca="1">IF(OR(Registro_Ordini[[#This Row],[Price]]=0,Registro_Ordini[[#This Row],[Price]]=""),"",IF(Registro_Ordini[[#This Row],[Tipo]]="Sell",Registro_Ordini[[#This Row],[Prezzo]]/Registro_Ordini[[#This Row],[Price]]-1,Registro_Ordini[[#This Row],[Price]]/Registro_Ordini[[#This Row],[Prezzo]]-1))</f>
        <v>-0.21638692637834256</v>
      </c>
      <c r="P833" s="15">
        <v>-2.0577476517652619E-2</v>
      </c>
      <c r="Q833" s="3">
        <v>3.2341429610127946E-2</v>
      </c>
      <c r="R833" s="3">
        <v>0.35499988988383319</v>
      </c>
      <c r="S833" s="3">
        <v>0.49349195650635935</v>
      </c>
      <c r="T833" s="3">
        <v>0</v>
      </c>
      <c r="U833" s="3">
        <v>0.11916672399967955</v>
      </c>
      <c r="V833" s="3"/>
      <c r="W833" s="4"/>
    </row>
    <row r="834" spans="1:23" s="1" customFormat="1" ht="24.95" customHeight="1" x14ac:dyDescent="0.2">
      <c r="A834" s="8">
        <v>45686</v>
      </c>
      <c r="B834" s="7">
        <v>0.68263888888888891</v>
      </c>
      <c r="C834" s="9" t="s">
        <v>78</v>
      </c>
      <c r="D834" s="1" t="s">
        <v>388</v>
      </c>
      <c r="E834" s="1" t="s">
        <v>403</v>
      </c>
      <c r="F834" s="1" t="s">
        <v>433</v>
      </c>
      <c r="G834" s="1" t="s">
        <v>371</v>
      </c>
      <c r="H834" s="2">
        <v>180</v>
      </c>
      <c r="I834" s="16">
        <v>100.52200000000001</v>
      </c>
      <c r="J834" s="1" t="s">
        <v>381</v>
      </c>
      <c r="K834" s="6">
        <f>Registro_Ordini[[#This Row],[Numero]]*Registro_Ordini[[#This Row],[Prezzo]]</f>
        <v>18093.960000000003</v>
      </c>
      <c r="L834" s="10">
        <v>0.94335000000000002</v>
      </c>
      <c r="M834" s="6">
        <f>Registro_Ordini[[#This Row],[Importo]]*Registro_Ordini[[#This Row],[Cambio]]</f>
        <v>17068.937166000003</v>
      </c>
      <c r="N834" s="1">
        <f ca="1">IFERROR(_xlfn.NUMBERVALUE(OFFSET(Origine,MATCH(Registro_Ordini[[#This Row],[Titolo]],Descrizioni,0),MATCH("Price",Intestazioni,0)-1,1,1)),"")</f>
        <v>135.26</v>
      </c>
      <c r="O834" s="18">
        <f ca="1">IF(OR(Registro_Ordini[[#This Row],[Price]]=0,Registro_Ordini[[#This Row],[Price]]=""),"",IF(Registro_Ordini[[#This Row],[Tipo]]="Sell",Registro_Ordini[[#This Row],[Prezzo]]/Registro_Ordini[[#This Row],[Price]]-1,Registro_Ordini[[#This Row],[Price]]/Registro_Ordini[[#This Row],[Prezzo]]-1))</f>
        <v>0.34557609279560686</v>
      </c>
      <c r="P834" s="15">
        <v>3.985930924587032E-2</v>
      </c>
      <c r="Q834" s="3">
        <v>1.4970036678692237E-2</v>
      </c>
      <c r="R834" s="3">
        <v>0.16319214398754028</v>
      </c>
      <c r="S834" s="3">
        <v>0.7538718304579558</v>
      </c>
      <c r="T834" s="3">
        <v>0</v>
      </c>
      <c r="U834" s="3">
        <v>6.796598887581165E-2</v>
      </c>
      <c r="V834" s="3"/>
      <c r="W834" s="4"/>
    </row>
    <row r="835" spans="1:23" s="1" customFormat="1" ht="24.95" customHeight="1" x14ac:dyDescent="0.2">
      <c r="A835" s="8">
        <v>45686</v>
      </c>
      <c r="B835" s="7">
        <v>0.68263888888888891</v>
      </c>
      <c r="C835" s="9" t="s">
        <v>375</v>
      </c>
      <c r="D835" s="1" t="s">
        <v>388</v>
      </c>
      <c r="E835" s="1" t="s">
        <v>403</v>
      </c>
      <c r="F835" s="1" t="s">
        <v>433</v>
      </c>
      <c r="G835" s="1" t="s">
        <v>371</v>
      </c>
      <c r="H835" s="2">
        <v>250</v>
      </c>
      <c r="I835" s="16">
        <v>100.52200000000001</v>
      </c>
      <c r="J835" s="1" t="s">
        <v>381</v>
      </c>
      <c r="K835" s="6">
        <f>Registro_Ordini[[#This Row],[Numero]]*Registro_Ordini[[#This Row],[Prezzo]]</f>
        <v>25130.5</v>
      </c>
      <c r="L835" s="10">
        <v>0.94335000000000002</v>
      </c>
      <c r="M835" s="6">
        <f>Registro_Ordini[[#This Row],[Importo]]*Registro_Ordini[[#This Row],[Cambio]]</f>
        <v>23706.857175000001</v>
      </c>
      <c r="N835" s="1">
        <f ca="1">IFERROR(_xlfn.NUMBERVALUE(OFFSET(Origine,MATCH(Registro_Ordini[[#This Row],[Titolo]],Descrizioni,0),MATCH("Price",Intestazioni,0)-1,1,1)),"")</f>
        <v>135.26</v>
      </c>
      <c r="O835" s="18">
        <f ca="1">IF(OR(Registro_Ordini[[#This Row],[Price]]=0,Registro_Ordini[[#This Row],[Price]]=""),"",IF(Registro_Ordini[[#This Row],[Tipo]]="Sell",Registro_Ordini[[#This Row],[Prezzo]]/Registro_Ordini[[#This Row],[Price]]-1,Registro_Ordini[[#This Row],[Price]]/Registro_Ordini[[#This Row],[Prezzo]]-1))</f>
        <v>0.34557609279560686</v>
      </c>
      <c r="P835" s="15">
        <v>2.822565146192358E-2</v>
      </c>
      <c r="Q835" s="3">
        <v>0.10276193855294101</v>
      </c>
      <c r="R835" s="3">
        <v>0.34218228258416161</v>
      </c>
      <c r="S835" s="3">
        <v>0.46498008268420171</v>
      </c>
      <c r="T835" s="3">
        <v>0</v>
      </c>
      <c r="U835" s="3">
        <v>9.0075696178695597E-2</v>
      </c>
      <c r="V835" s="3"/>
      <c r="W835" s="4"/>
    </row>
    <row r="836" spans="1:23" s="1" customFormat="1" ht="24.95" customHeight="1" x14ac:dyDescent="0.2">
      <c r="A836" s="8">
        <v>45686</v>
      </c>
      <c r="B836" s="7">
        <v>0.68263888888888891</v>
      </c>
      <c r="C836" s="9" t="s">
        <v>378</v>
      </c>
      <c r="D836" s="1" t="s">
        <v>388</v>
      </c>
      <c r="E836" s="1" t="s">
        <v>403</v>
      </c>
      <c r="F836" s="1" t="s">
        <v>433</v>
      </c>
      <c r="G836" s="1" t="s">
        <v>371</v>
      </c>
      <c r="H836" s="2">
        <v>220</v>
      </c>
      <c r="I836" s="16">
        <v>100.52200000000001</v>
      </c>
      <c r="J836" s="1" t="s">
        <v>381</v>
      </c>
      <c r="K836" s="6">
        <f>Registro_Ordini[[#This Row],[Numero]]*Registro_Ordini[[#This Row],[Prezzo]]</f>
        <v>22114.84</v>
      </c>
      <c r="L836" s="10">
        <v>0.94335000000000002</v>
      </c>
      <c r="M836" s="6">
        <f>Registro_Ordini[[#This Row],[Importo]]*Registro_Ordini[[#This Row],[Cambio]]</f>
        <v>20862.034314</v>
      </c>
      <c r="N836" s="1">
        <f ca="1">IFERROR(_xlfn.NUMBERVALUE(OFFSET(Origine,MATCH(Registro_Ordini[[#This Row],[Titolo]],Descrizioni,0),MATCH("Price",Intestazioni,0)-1,1,1)),"")</f>
        <v>135.26</v>
      </c>
      <c r="O836" s="18">
        <f ca="1">IF(OR(Registro_Ordini[[#This Row],[Price]]=0,Registro_Ordini[[#This Row],[Price]]=""),"",IF(Registro_Ordini[[#This Row],[Tipo]]="Sell",Registro_Ordini[[#This Row],[Prezzo]]/Registro_Ordini[[#This Row],[Price]]-1,Registro_Ordini[[#This Row],[Price]]/Registro_Ordini[[#This Row],[Prezzo]]-1))</f>
        <v>0.34557609279560686</v>
      </c>
      <c r="P836" s="15">
        <v>4.0106403105168421E-2</v>
      </c>
      <c r="Q836" s="3">
        <v>8.2399294649319429E-2</v>
      </c>
      <c r="R836" s="3">
        <v>0.33311613214454233</v>
      </c>
      <c r="S836" s="3">
        <v>0.49417749188915344</v>
      </c>
      <c r="T836" s="3">
        <v>0</v>
      </c>
      <c r="U836" s="3">
        <v>9.0307081316984755E-2</v>
      </c>
      <c r="V836" s="3"/>
      <c r="W836" s="4"/>
    </row>
    <row r="837" spans="1:23" s="1" customFormat="1" ht="24.95" customHeight="1" x14ac:dyDescent="0.2">
      <c r="A837" s="8">
        <v>45686</v>
      </c>
      <c r="B837" s="7">
        <v>0.68263888888888891</v>
      </c>
      <c r="C837" s="9" t="s">
        <v>377</v>
      </c>
      <c r="D837" s="1" t="s">
        <v>388</v>
      </c>
      <c r="E837" s="1" t="s">
        <v>403</v>
      </c>
      <c r="F837" s="1" t="s">
        <v>433</v>
      </c>
      <c r="G837" s="1" t="s">
        <v>371</v>
      </c>
      <c r="H837" s="2">
        <v>650</v>
      </c>
      <c r="I837" s="16">
        <v>100.52200000000001</v>
      </c>
      <c r="J837" s="1" t="s">
        <v>381</v>
      </c>
      <c r="K837" s="6">
        <f>Registro_Ordini[[#This Row],[Numero]]*Registro_Ordini[[#This Row],[Prezzo]]</f>
        <v>65339.3</v>
      </c>
      <c r="L837" s="10">
        <v>0.94335000000000002</v>
      </c>
      <c r="M837" s="6">
        <f>Registro_Ordini[[#This Row],[Importo]]*Registro_Ordini[[#This Row],[Cambio]]</f>
        <v>61637.828655000005</v>
      </c>
      <c r="N837" s="1">
        <f ca="1">IFERROR(_xlfn.NUMBERVALUE(OFFSET(Origine,MATCH(Registro_Ordini[[#This Row],[Titolo]],Descrizioni,0),MATCH("Price",Intestazioni,0)-1,1,1)),"")</f>
        <v>135.26</v>
      </c>
      <c r="O837" s="18">
        <f ca="1">IF(OR(Registro_Ordini[[#This Row],[Price]]=0,Registro_Ordini[[#This Row],[Price]]=""),"",IF(Registro_Ordini[[#This Row],[Tipo]]="Sell",Registro_Ordini[[#This Row],[Prezzo]]/Registro_Ordini[[#This Row],[Price]]-1,Registro_Ordini[[#This Row],[Price]]/Registro_Ordini[[#This Row],[Prezzo]]-1))</f>
        <v>0.34557609279560686</v>
      </c>
      <c r="P837" s="15">
        <v>3.8177546899297102E-2</v>
      </c>
      <c r="Q837" s="3">
        <v>7.1536568030209455E-2</v>
      </c>
      <c r="R837" s="3">
        <v>0.32378733067727211</v>
      </c>
      <c r="S837" s="3">
        <v>0.50453438024059161</v>
      </c>
      <c r="T837" s="3">
        <v>0</v>
      </c>
      <c r="U837" s="3">
        <v>0.10014172105192679</v>
      </c>
      <c r="V837" s="3"/>
      <c r="W837" s="4"/>
    </row>
    <row r="838" spans="1:23" s="1" customFormat="1" ht="24.95" customHeight="1" x14ac:dyDescent="0.2">
      <c r="A838" s="8">
        <v>45686</v>
      </c>
      <c r="B838" s="7">
        <v>0.68263888888888891</v>
      </c>
      <c r="C838" s="9" t="s">
        <v>376</v>
      </c>
      <c r="D838" s="1" t="s">
        <v>388</v>
      </c>
      <c r="E838" s="1" t="s">
        <v>403</v>
      </c>
      <c r="F838" s="1" t="s">
        <v>433</v>
      </c>
      <c r="G838" s="1" t="s">
        <v>371</v>
      </c>
      <c r="H838" s="2">
        <v>100</v>
      </c>
      <c r="I838" s="16">
        <v>100.52200000000001</v>
      </c>
      <c r="J838" s="1" t="s">
        <v>381</v>
      </c>
      <c r="K838" s="6">
        <f>Registro_Ordini[[#This Row],[Numero]]*Registro_Ordini[[#This Row],[Prezzo]]</f>
        <v>10052.200000000001</v>
      </c>
      <c r="L838" s="10">
        <v>0.94335000000000002</v>
      </c>
      <c r="M838" s="6">
        <f>Registro_Ordini[[#This Row],[Importo]]*Registro_Ordini[[#This Row],[Cambio]]</f>
        <v>9482.74287</v>
      </c>
      <c r="N838" s="1">
        <f ca="1">IFERROR(_xlfn.NUMBERVALUE(OFFSET(Origine,MATCH(Registro_Ordini[[#This Row],[Titolo]],Descrizioni,0),MATCH("Price",Intestazioni,0)-1,1,1)),"")</f>
        <v>135.26</v>
      </c>
      <c r="O838" s="18">
        <f ca="1">IF(OR(Registro_Ordini[[#This Row],[Price]]=0,Registro_Ordini[[#This Row],[Price]]=""),"",IF(Registro_Ordini[[#This Row],[Tipo]]="Sell",Registro_Ordini[[#This Row],[Prezzo]]/Registro_Ordini[[#This Row],[Price]]-1,Registro_Ordini[[#This Row],[Price]]/Registro_Ordini[[#This Row],[Prezzo]]-1))</f>
        <v>0.34557609279560686</v>
      </c>
      <c r="P838" s="15">
        <v>3.4134563206885862E-2</v>
      </c>
      <c r="Q838" s="3">
        <v>1.1756870262490157E-2</v>
      </c>
      <c r="R838" s="3">
        <v>0.35492121865687914</v>
      </c>
      <c r="S838" s="3">
        <v>0.51411148323675182</v>
      </c>
      <c r="T838" s="3">
        <v>0</v>
      </c>
      <c r="U838" s="3">
        <v>0.11921042784387878</v>
      </c>
      <c r="V838" s="3"/>
      <c r="W838" s="4"/>
    </row>
    <row r="839" spans="1:23" s="1" customFormat="1" ht="24.95" customHeight="1" x14ac:dyDescent="0.2">
      <c r="A839" s="8">
        <v>45686</v>
      </c>
      <c r="B839" s="7">
        <v>0.6791666666666667</v>
      </c>
      <c r="C839" s="9" t="s">
        <v>367</v>
      </c>
      <c r="D839" s="1" t="s">
        <v>388</v>
      </c>
      <c r="E839" s="1" t="s">
        <v>403</v>
      </c>
      <c r="F839" s="1" t="s">
        <v>433</v>
      </c>
      <c r="G839" s="1" t="s">
        <v>371</v>
      </c>
      <c r="H839" s="2">
        <v>1470</v>
      </c>
      <c r="I839" s="16">
        <v>100.517</v>
      </c>
      <c r="J839" s="1" t="s">
        <v>381</v>
      </c>
      <c r="K839" s="6">
        <f>Registro_Ordini[[#This Row],[Numero]]*Registro_Ordini[[#This Row],[Prezzo]]</f>
        <v>147759.99</v>
      </c>
      <c r="L839" s="10">
        <v>0.94335000000000002</v>
      </c>
      <c r="M839" s="6">
        <f>Registro_Ordini[[#This Row],[Importo]]*Registro_Ordini[[#This Row],[Cambio]]</f>
        <v>139389.3865665</v>
      </c>
      <c r="N839" s="1">
        <f ca="1">IFERROR(_xlfn.NUMBERVALUE(OFFSET(Origine,MATCH(Registro_Ordini[[#This Row],[Titolo]],Descrizioni,0),MATCH("Price",Intestazioni,0)-1,1,1)),"")</f>
        <v>135.26</v>
      </c>
      <c r="O839" s="18">
        <f ca="1">IF(OR(Registro_Ordini[[#This Row],[Price]]=0,Registro_Ordini[[#This Row],[Price]]=""),"",IF(Registro_Ordini[[#This Row],[Tipo]]="Sell",Registro_Ordini[[#This Row],[Prezzo]]/Registro_Ordini[[#This Row],[Price]]-1,Registro_Ordini[[#This Row],[Price]]/Registro_Ordini[[#This Row],[Prezzo]]-1))</f>
        <v>0.34564302555786575</v>
      </c>
      <c r="P839" s="15">
        <v>3.7610057074628354E-2</v>
      </c>
      <c r="Q839" s="3">
        <v>0.1489805851399974</v>
      </c>
      <c r="R839" s="3">
        <v>0.40706360942532616</v>
      </c>
      <c r="S839" s="3">
        <v>0.41231847002616751</v>
      </c>
      <c r="T839" s="3">
        <v>0</v>
      </c>
      <c r="U839" s="3">
        <v>4.7494725251225257E-2</v>
      </c>
      <c r="V839" s="3"/>
      <c r="W839" s="4"/>
    </row>
    <row r="840" spans="1:23" s="1" customFormat="1" ht="24.95" customHeight="1" x14ac:dyDescent="0.2">
      <c r="A840" s="8">
        <v>45686</v>
      </c>
      <c r="B840" s="7">
        <v>0.67083333333333328</v>
      </c>
      <c r="C840" s="9" t="s">
        <v>367</v>
      </c>
      <c r="D840" s="1" t="s">
        <v>362</v>
      </c>
      <c r="E840" s="1" t="s">
        <v>363</v>
      </c>
      <c r="F840" s="1" t="s">
        <v>364</v>
      </c>
      <c r="G840" s="1" t="s">
        <v>365</v>
      </c>
      <c r="H840" s="2">
        <v>-250000</v>
      </c>
      <c r="I840" s="16">
        <v>0.95923261390887293</v>
      </c>
      <c r="J840" s="1" t="s">
        <v>381</v>
      </c>
      <c r="K840" s="6">
        <f>Registro_Ordini[[#This Row],[Numero]]*Registro_Ordini[[#This Row],[Prezzo]]</f>
        <v>-239808.15347721823</v>
      </c>
      <c r="L840" s="10">
        <v>0.90705000000000002</v>
      </c>
      <c r="M840" s="6">
        <f>Registro_Ordini[[#This Row],[Importo]]*Registro_Ordini[[#This Row],[Cambio]]</f>
        <v>-217517.98561151081</v>
      </c>
      <c r="N840" s="1">
        <f ca="1">IFERROR(_xlfn.NUMBERVALUE(OFFSET(Origine,MATCH(Registro_Ordini[[#This Row],[Titolo]],Descrizioni,0),MATCH("Price",Intestazioni,0)-1,1,1)),"")</f>
        <v>0.78225</v>
      </c>
      <c r="O840" s="18">
        <f ca="1">IF(OR(Registro_Ordini[[#This Row],[Price]]=0,Registro_Ordini[[#This Row],[Price]]=""),"",IF(Registro_Ordini[[#This Row],[Tipo]]="Sell",Registro_Ordini[[#This Row],[Prezzo]]/Registro_Ordini[[#This Row],[Price]]-1,Registro_Ordini[[#This Row],[Price]]/Registro_Ordini[[#This Row],[Prezzo]]-1))</f>
        <v>0.2262481481736951</v>
      </c>
      <c r="P840" s="15">
        <v>-6.529852483921747E-2</v>
      </c>
      <c r="Q840" s="3">
        <v>0.12982393053244273</v>
      </c>
      <c r="R840" s="3">
        <v>0.43134587287710896</v>
      </c>
      <c r="S840" s="3">
        <v>0.3969359432829917</v>
      </c>
      <c r="T840" s="3">
        <v>0</v>
      </c>
      <c r="U840" s="3">
        <v>5.0326212948378385E-2</v>
      </c>
      <c r="V840" s="3"/>
      <c r="W840" s="4"/>
    </row>
    <row r="841" spans="1:23" s="1" customFormat="1" ht="24.95" customHeight="1" x14ac:dyDescent="0.2">
      <c r="A841" s="8">
        <v>45686</v>
      </c>
      <c r="B841" s="7">
        <v>0.67083333333333328</v>
      </c>
      <c r="C841" s="9" t="s">
        <v>367</v>
      </c>
      <c r="D841" s="1" t="s">
        <v>450</v>
      </c>
      <c r="E841" s="1" t="s">
        <v>470</v>
      </c>
      <c r="F841" s="1" t="s">
        <v>381</v>
      </c>
      <c r="G841" s="1" t="s">
        <v>365</v>
      </c>
      <c r="H841" s="2">
        <v>-250000</v>
      </c>
      <c r="I841" s="16">
        <v>0.9425</v>
      </c>
      <c r="J841" s="1" t="s">
        <v>369</v>
      </c>
      <c r="K841" s="6">
        <f>Registro_Ordini[[#This Row],[Numero]]*Registro_Ordini[[#This Row],[Prezzo]]</f>
        <v>-235625</v>
      </c>
      <c r="L841" s="10">
        <v>0.94315000000000004</v>
      </c>
      <c r="M841" s="6">
        <f>Registro_Ordini[[#This Row],[Importo]]*Registro_Ordini[[#This Row],[Cambio]]</f>
        <v>-222229.71875</v>
      </c>
      <c r="N841" s="1" t="str">
        <f ca="1">IFERROR(_xlfn.NUMBERVALUE(OFFSET(Origine,MATCH(Registro_Ordini[[#This Row],[Titolo]],Descrizioni,0),MATCH("Price",Intestazioni,0)-1,1,1)),"")</f>
        <v/>
      </c>
      <c r="O841" s="18" t="str">
        <f ca="1">IF(OR(Registro_Ordini[[#This Row],[Price]]=0,Registro_Ordini[[#This Row],[Price]]=""),"",IF(Registro_Ordini[[#This Row],[Tipo]]="Sell",Registro_Ordini[[#This Row],[Prezzo]]/Registro_Ordini[[#This Row],[Price]]-1,Registro_Ordini[[#This Row],[Price]]/Registro_Ordini[[#This Row],[Prezzo]]-1))</f>
        <v/>
      </c>
      <c r="P841" s="15">
        <v>-6.408643774167172E-2</v>
      </c>
      <c r="Q841" s="3">
        <v>0.18662364380873675</v>
      </c>
      <c r="R841" s="3">
        <v>0.40713540172558371</v>
      </c>
      <c r="S841" s="3">
        <v>0.37465682388454496</v>
      </c>
      <c r="T841" s="3">
        <v>0</v>
      </c>
      <c r="U841" s="3">
        <v>4.7501516102143891E-2</v>
      </c>
      <c r="V841" s="3"/>
      <c r="W841" s="4"/>
    </row>
    <row r="842" spans="1:23" s="1" customFormat="1" ht="24.95" customHeight="1" x14ac:dyDescent="0.2">
      <c r="A842" s="8">
        <v>45686</v>
      </c>
      <c r="B842" s="7">
        <v>0.4861111111111111</v>
      </c>
      <c r="C842" s="9" t="s">
        <v>375</v>
      </c>
      <c r="D842" s="1" t="s">
        <v>362</v>
      </c>
      <c r="E842" s="1" t="s">
        <v>363</v>
      </c>
      <c r="F842" s="1" t="s">
        <v>427</v>
      </c>
      <c r="G842" s="1" t="s">
        <v>371</v>
      </c>
      <c r="H842" s="2">
        <v>24880</v>
      </c>
      <c r="I842" s="16">
        <v>1.0449999999999999</v>
      </c>
      <c r="J842" s="1" t="s">
        <v>366</v>
      </c>
      <c r="K842" s="6">
        <f>Registro_Ordini[[#This Row],[Numero]]*Registro_Ordini[[#This Row],[Prezzo]]</f>
        <v>25999.599999999999</v>
      </c>
      <c r="L842" s="10">
        <v>0.94245000000000001</v>
      </c>
      <c r="M842" s="6">
        <f>Registro_Ordini[[#This Row],[Importo]]*Registro_Ordini[[#This Row],[Cambio]]</f>
        <v>24503.32302</v>
      </c>
      <c r="N842" s="1">
        <f ca="1">IFERROR(_xlfn.NUMBERVALUE(OFFSET(Origine,MATCH(Registro_Ordini[[#This Row],[Titolo]],Descrizioni,0),MATCH("Price",Intestazioni,0)-1,1,1)),"")</f>
        <v>1</v>
      </c>
      <c r="O842" s="18">
        <f ca="1">IF(OR(Registro_Ordini[[#This Row],[Price]]=0,Registro_Ordini[[#This Row],[Price]]=""),"",IF(Registro_Ordini[[#This Row],[Tipo]]="Sell",Registro_Ordini[[#This Row],[Prezzo]]/Registro_Ordini[[#This Row],[Price]]-1,Registro_Ordini[[#This Row],[Price]]/Registro_Ordini[[#This Row],[Prezzo]]-1))</f>
        <v>-4.3062200956937691E-2</v>
      </c>
      <c r="P842" s="15">
        <v>-3.7799302304153681E-3</v>
      </c>
      <c r="Q842" s="3">
        <v>0.13100411319009497</v>
      </c>
      <c r="R842" s="3">
        <v>0.3422041982712376</v>
      </c>
      <c r="S842" s="3">
        <v>0.43667153784524099</v>
      </c>
      <c r="T842" s="3">
        <v>0</v>
      </c>
      <c r="U842" s="3">
        <v>9.0120150693426451E-2</v>
      </c>
      <c r="V842" s="3"/>
      <c r="W842" s="4"/>
    </row>
    <row r="843" spans="1:23" s="1" customFormat="1" ht="24.95" customHeight="1" x14ac:dyDescent="0.2">
      <c r="A843" s="8">
        <v>45686</v>
      </c>
      <c r="B843" s="7">
        <v>0.48472222222222222</v>
      </c>
      <c r="C843" s="9" t="s">
        <v>375</v>
      </c>
      <c r="D843" s="1" t="s">
        <v>362</v>
      </c>
      <c r="E843" s="1" t="s">
        <v>363</v>
      </c>
      <c r="F843" s="1" t="s">
        <v>364</v>
      </c>
      <c r="G843" s="1" t="s">
        <v>365</v>
      </c>
      <c r="H843" s="2">
        <v>-26000</v>
      </c>
      <c r="I843" s="16">
        <v>0.95693779904306231</v>
      </c>
      <c r="J843" s="1" t="s">
        <v>381</v>
      </c>
      <c r="K843" s="6">
        <f>Registro_Ordini[[#This Row],[Numero]]*Registro_Ordini[[#This Row],[Prezzo]]</f>
        <v>-24880.382775119619</v>
      </c>
      <c r="L843" s="10">
        <v>0.90575000000000006</v>
      </c>
      <c r="M843" s="6">
        <f>Registro_Ordini[[#This Row],[Importo]]*Registro_Ordini[[#This Row],[Cambio]]</f>
        <v>-22535.406698564595</v>
      </c>
      <c r="N843" s="1">
        <f ca="1">IFERROR(_xlfn.NUMBERVALUE(OFFSET(Origine,MATCH(Registro_Ordini[[#This Row],[Titolo]],Descrizioni,0),MATCH("Price",Intestazioni,0)-1,1,1)),"")</f>
        <v>0.78225</v>
      </c>
      <c r="O843" s="18">
        <f ca="1">IF(OR(Registro_Ordini[[#This Row],[Price]]=0,Registro_Ordini[[#This Row],[Price]]=""),"",IF(Registro_Ordini[[#This Row],[Tipo]]="Sell",Registro_Ordini[[#This Row],[Prezzo]]/Registro_Ordini[[#This Row],[Price]]-1,Registro_Ordini[[#This Row],[Price]]/Registro_Ordini[[#This Row],[Prezzo]]-1))</f>
        <v>0.22331454016371022</v>
      </c>
      <c r="P843" s="15">
        <v>-3.0275480103144521E-2</v>
      </c>
      <c r="Q843" s="3">
        <v>0.10236328959046483</v>
      </c>
      <c r="R843" s="3">
        <v>0.35349405205285422</v>
      </c>
      <c r="S843" s="3">
        <v>0.45104930239795971</v>
      </c>
      <c r="T843" s="3">
        <v>0</v>
      </c>
      <c r="U843" s="3">
        <v>9.3093355958721272E-2</v>
      </c>
      <c r="V843" s="3"/>
      <c r="W843" s="4"/>
    </row>
    <row r="844" spans="1:23" s="1" customFormat="1" ht="24.95" customHeight="1" x14ac:dyDescent="0.2">
      <c r="A844" s="8">
        <v>45686</v>
      </c>
      <c r="B844" s="7">
        <v>0.48333333333333334</v>
      </c>
      <c r="C844" s="9" t="s">
        <v>367</v>
      </c>
      <c r="D844" s="1" t="s">
        <v>362</v>
      </c>
      <c r="E844" s="1" t="s">
        <v>363</v>
      </c>
      <c r="F844" s="1" t="s">
        <v>407</v>
      </c>
      <c r="G844" s="1" t="s">
        <v>365</v>
      </c>
      <c r="H844" s="2">
        <v>-100000</v>
      </c>
      <c r="I844" s="16">
        <v>1.0139499999999999</v>
      </c>
      <c r="J844" s="1" t="s">
        <v>381</v>
      </c>
      <c r="K844" s="6">
        <f>Registro_Ordini[[#This Row],[Numero]]*Registro_Ordini[[#This Row],[Prezzo]]</f>
        <v>-101394.99999999999</v>
      </c>
      <c r="L844" s="10">
        <v>0.94255</v>
      </c>
      <c r="M844" s="6">
        <f>Registro_Ordini[[#This Row],[Importo]]*Registro_Ordini[[#This Row],[Cambio]]</f>
        <v>-95569.857249999986</v>
      </c>
      <c r="N844" s="1" t="str">
        <f ca="1">IFERROR(_xlfn.NUMBERVALUE(OFFSET(Origine,MATCH(Registro_Ordini[[#This Row],[Titolo]],Descrizioni,0),MATCH("Price",Intestazioni,0)-1,1,1)),"")</f>
        <v/>
      </c>
      <c r="O844" s="18" t="str">
        <f ca="1">IF(OR(Registro_Ordini[[#This Row],[Price]]=0,Registro_Ordini[[#This Row],[Price]]=""),"",IF(Registro_Ordini[[#This Row],[Tipo]]="Sell",Registro_Ordini[[#This Row],[Prezzo]]/Registro_Ordini[[#This Row],[Price]]-1,Registro_Ordini[[#This Row],[Price]]/Registro_Ordini[[#This Row],[Prezzo]]-1))</f>
        <v/>
      </c>
      <c r="P844" s="15">
        <v>-2.7518194950913847E-2</v>
      </c>
      <c r="Q844" s="3">
        <v>0.12965244856134625</v>
      </c>
      <c r="R844" s="3">
        <v>0.43124098639308461</v>
      </c>
      <c r="S844" s="3">
        <v>0.3973072833471662</v>
      </c>
      <c r="T844" s="3">
        <v>0</v>
      </c>
      <c r="U844" s="3">
        <v>5.0322374192028167E-2</v>
      </c>
      <c r="V844" s="3"/>
      <c r="W844" s="4"/>
    </row>
    <row r="845" spans="1:23" s="1" customFormat="1" ht="24.95" customHeight="1" x14ac:dyDescent="0.2">
      <c r="A845" s="8">
        <v>45686</v>
      </c>
      <c r="B845" s="7">
        <v>0.45416666666666666</v>
      </c>
      <c r="C845" s="9" t="s">
        <v>413</v>
      </c>
      <c r="D845" s="1" t="s">
        <v>368</v>
      </c>
      <c r="E845" s="1" t="s">
        <v>363</v>
      </c>
      <c r="F845" s="19" t="s">
        <v>471</v>
      </c>
      <c r="G845" s="1" t="s">
        <v>371</v>
      </c>
      <c r="H845" s="2">
        <v>40000</v>
      </c>
      <c r="I845" s="16">
        <v>0.85404999999999998</v>
      </c>
      <c r="J845" s="1" t="s">
        <v>381</v>
      </c>
      <c r="K845" s="6">
        <f>Registro_Ordini[[#This Row],[Numero]]*Registro_Ordini[[#This Row],[Prezzo]]</f>
        <v>34162</v>
      </c>
      <c r="L845" s="10">
        <v>0.94264999999999999</v>
      </c>
      <c r="M845" s="6">
        <f>Registro_Ordini[[#This Row],[Importo]]*Registro_Ordini[[#This Row],[Cambio]]</f>
        <v>32202.809300000001</v>
      </c>
      <c r="N845" s="1">
        <f ca="1">IFERROR(_xlfn.NUMBERVALUE(OFFSET(Origine,MATCH(Registro_Ordini[[#This Row],[Titolo]],Descrizioni,0),MATCH("Price",Intestazioni,0)-1,1,1)),"")</f>
        <v>0.89866520547999995</v>
      </c>
      <c r="O845" s="18">
        <f ca="1">IF(OR(Registro_Ordini[[#This Row],[Price]]=0,Registro_Ordini[[#This Row],[Price]]=""),"",IF(Registro_Ordini[[#This Row],[Tipo]]="Sell",Registro_Ordini[[#This Row],[Prezzo]]/Registro_Ordini[[#This Row],[Price]]-1,Registro_Ordini[[#This Row],[Price]]/Registro_Ordini[[#This Row],[Prezzo]]-1))</f>
        <v>5.2239570844798244E-2</v>
      </c>
      <c r="P845" s="15">
        <v>6.6569431519125106E-3</v>
      </c>
      <c r="Q845" s="3">
        <v>6.8498064101412445E-2</v>
      </c>
      <c r="R845" s="3">
        <v>0.22965990080877113</v>
      </c>
      <c r="S845" s="3">
        <v>0.3026677170022089</v>
      </c>
      <c r="T845" s="3">
        <v>0</v>
      </c>
      <c r="U845" s="3">
        <v>0.3991743180876075</v>
      </c>
      <c r="V845" s="3">
        <v>0</v>
      </c>
      <c r="W845" s="5"/>
    </row>
    <row r="846" spans="1:23" s="1" customFormat="1" ht="24.95" customHeight="1" x14ac:dyDescent="0.2">
      <c r="A846" s="8">
        <v>45686</v>
      </c>
      <c r="B846" s="7">
        <v>0.45347222222222222</v>
      </c>
      <c r="C846" s="9" t="s">
        <v>383</v>
      </c>
      <c r="D846" s="1" t="s">
        <v>368</v>
      </c>
      <c r="E846" s="1" t="s">
        <v>363</v>
      </c>
      <c r="F846" s="1" t="s">
        <v>471</v>
      </c>
      <c r="G846" s="1" t="s">
        <v>371</v>
      </c>
      <c r="H846" s="2">
        <v>30000</v>
      </c>
      <c r="I846" s="16">
        <v>0.85404999999999998</v>
      </c>
      <c r="J846" s="1" t="s">
        <v>381</v>
      </c>
      <c r="K846" s="6">
        <f>Registro_Ordini[[#This Row],[Numero]]*Registro_Ordini[[#This Row],[Prezzo]]</f>
        <v>25621.5</v>
      </c>
      <c r="L846" s="10">
        <v>1</v>
      </c>
      <c r="M846" s="6">
        <f>Registro_Ordini[[#This Row],[Importo]]*Registro_Ordini[[#This Row],[Cambio]]</f>
        <v>25621.5</v>
      </c>
      <c r="N846" s="1">
        <f ca="1">IFERROR(_xlfn.NUMBERVALUE(OFFSET(Origine,MATCH(Registro_Ordini[[#This Row],[Titolo]],Descrizioni,0),MATCH("Price",Intestazioni,0)-1,1,1)),"")</f>
        <v>0.89866520547999995</v>
      </c>
      <c r="O846" s="18">
        <f ca="1">IF(OR(Registro_Ordini[[#This Row],[Price]]=0,Registro_Ordini[[#This Row],[Price]]=""),"",IF(Registro_Ordini[[#This Row],[Tipo]]="Sell",Registro_Ordini[[#This Row],[Prezzo]]/Registro_Ordini[[#This Row],[Price]]-1,Registro_Ordini[[#This Row],[Price]]/Registro_Ordini[[#This Row],[Prezzo]]-1))</f>
        <v>5.2239570844798244E-2</v>
      </c>
      <c r="P846" s="15">
        <v>4.1322094844691695E-2</v>
      </c>
      <c r="Q846" s="3">
        <v>0.13433287634657218</v>
      </c>
      <c r="R846" s="3">
        <v>0.31363417535163474</v>
      </c>
      <c r="S846" s="3">
        <v>0.45049015421675925</v>
      </c>
      <c r="T846" s="3">
        <v>0</v>
      </c>
      <c r="U846" s="3">
        <v>0.10154279408503394</v>
      </c>
      <c r="V846" s="3"/>
      <c r="W846" s="4"/>
    </row>
    <row r="847" spans="1:23" s="1" customFormat="1" ht="24.95" customHeight="1" x14ac:dyDescent="0.2">
      <c r="A847" s="8">
        <v>45686</v>
      </c>
      <c r="B847" s="7">
        <v>0.45347222222222222</v>
      </c>
      <c r="C847" s="9" t="s">
        <v>382</v>
      </c>
      <c r="D847" s="1" t="s">
        <v>368</v>
      </c>
      <c r="E847" s="1" t="s">
        <v>363</v>
      </c>
      <c r="F847" s="1" t="s">
        <v>471</v>
      </c>
      <c r="G847" s="1" t="s">
        <v>371</v>
      </c>
      <c r="H847" s="2">
        <v>45000</v>
      </c>
      <c r="I847" s="16">
        <v>0.85404999999999998</v>
      </c>
      <c r="J847" s="1" t="s">
        <v>381</v>
      </c>
      <c r="K847" s="6">
        <f>Registro_Ordini[[#This Row],[Numero]]*Registro_Ordini[[#This Row],[Prezzo]]</f>
        <v>38432.25</v>
      </c>
      <c r="L847" s="10">
        <v>1</v>
      </c>
      <c r="M847" s="6">
        <f>Registro_Ordini[[#This Row],[Importo]]*Registro_Ordini[[#This Row],[Cambio]]</f>
        <v>38432.25</v>
      </c>
      <c r="N847" s="1">
        <f ca="1">IFERROR(_xlfn.NUMBERVALUE(OFFSET(Origine,MATCH(Registro_Ordini[[#This Row],[Titolo]],Descrizioni,0),MATCH("Price",Intestazioni,0)-1,1,1)),"")</f>
        <v>0.89866520547999995</v>
      </c>
      <c r="O847" s="18">
        <f ca="1">IF(OR(Registro_Ordini[[#This Row],[Price]]=0,Registro_Ordini[[#This Row],[Price]]=""),"",IF(Registro_Ordini[[#This Row],[Tipo]]="Sell",Registro_Ordini[[#This Row],[Prezzo]]/Registro_Ordini[[#This Row],[Price]]-1,Registro_Ordini[[#This Row],[Price]]/Registro_Ordini[[#This Row],[Prezzo]]-1))</f>
        <v>5.2239570844798244E-2</v>
      </c>
      <c r="P847" s="15">
        <v>3.6714549377923261E-2</v>
      </c>
      <c r="Q847" s="3">
        <v>8.5885384393362518E-2</v>
      </c>
      <c r="R847" s="3">
        <v>0.31634593137676492</v>
      </c>
      <c r="S847" s="3">
        <v>0.49434201736916272</v>
      </c>
      <c r="T847" s="3">
        <v>0</v>
      </c>
      <c r="U847" s="3">
        <v>0.1034266668607097</v>
      </c>
      <c r="V847" s="3"/>
      <c r="W847" s="4"/>
    </row>
    <row r="848" spans="1:23" s="1" customFormat="1" ht="24.95" customHeight="1" x14ac:dyDescent="0.2">
      <c r="A848" s="8">
        <v>45686</v>
      </c>
      <c r="B848" s="7">
        <v>0.45347222222222222</v>
      </c>
      <c r="C848" s="9" t="s">
        <v>106</v>
      </c>
      <c r="D848" s="1" t="s">
        <v>368</v>
      </c>
      <c r="E848" s="1" t="s">
        <v>363</v>
      </c>
      <c r="F848" s="1" t="s">
        <v>471</v>
      </c>
      <c r="G848" s="1" t="s">
        <v>371</v>
      </c>
      <c r="H848" s="2">
        <v>5000</v>
      </c>
      <c r="I848" s="16">
        <v>0.85353000000000001</v>
      </c>
      <c r="J848" s="1" t="s">
        <v>381</v>
      </c>
      <c r="K848" s="6">
        <f>Registro_Ordini[[#This Row],[Numero]]*Registro_Ordini[[#This Row],[Prezzo]]</f>
        <v>4267.6499999999996</v>
      </c>
      <c r="L848" s="10">
        <v>1</v>
      </c>
      <c r="M848" s="6">
        <f>Registro_Ordini[[#This Row],[Importo]]*Registro_Ordini[[#This Row],[Cambio]]</f>
        <v>4267.6499999999996</v>
      </c>
      <c r="N848" s="1">
        <f ca="1">IFERROR(_xlfn.NUMBERVALUE(OFFSET(Origine,MATCH(Registro_Ordini[[#This Row],[Titolo]],Descrizioni,0),MATCH("Price",Intestazioni,0)-1,1,1)),"")</f>
        <v>0.89866520547999995</v>
      </c>
      <c r="O848" s="18">
        <f ca="1">IF(OR(Registro_Ordini[[#This Row],[Price]]=0,Registro_Ordini[[#This Row],[Price]]=""),"",IF(Registro_Ordini[[#This Row],[Tipo]]="Sell",Registro_Ordini[[#This Row],[Prezzo]]/Registro_Ordini[[#This Row],[Price]]-1,Registro_Ordini[[#This Row],[Price]]/Registro_Ordini[[#This Row],[Prezzo]]-1))</f>
        <v>5.2880631588813509E-2</v>
      </c>
      <c r="P848" s="15">
        <v>3.0945499000993342E-2</v>
      </c>
      <c r="Q848" s="3">
        <v>0.1131709506307263</v>
      </c>
      <c r="R848" s="3">
        <v>0.26534394453938814</v>
      </c>
      <c r="S848" s="3">
        <v>0.4909606188613585</v>
      </c>
      <c r="T848" s="3">
        <v>0</v>
      </c>
      <c r="U848" s="3">
        <v>0.13052448596852706</v>
      </c>
      <c r="V848" s="3"/>
      <c r="W848" s="4"/>
    </row>
    <row r="849" spans="1:23" s="1" customFormat="1" ht="24.95" customHeight="1" x14ac:dyDescent="0.2">
      <c r="A849" s="8">
        <v>45686</v>
      </c>
      <c r="B849" s="7">
        <v>0.45347222222222222</v>
      </c>
      <c r="C849" s="9" t="s">
        <v>385</v>
      </c>
      <c r="D849" s="1" t="s">
        <v>368</v>
      </c>
      <c r="E849" s="1" t="s">
        <v>363</v>
      </c>
      <c r="F849" s="1" t="s">
        <v>471</v>
      </c>
      <c r="G849" s="1" t="s">
        <v>371</v>
      </c>
      <c r="H849" s="2">
        <v>10000</v>
      </c>
      <c r="I849" s="16">
        <v>0.85404999999999998</v>
      </c>
      <c r="J849" s="1" t="s">
        <v>381</v>
      </c>
      <c r="K849" s="6">
        <f>Registro_Ordini[[#This Row],[Numero]]*Registro_Ordini[[#This Row],[Prezzo]]</f>
        <v>8540.5</v>
      </c>
      <c r="L849" s="10">
        <v>1</v>
      </c>
      <c r="M849" s="6">
        <f>Registro_Ordini[[#This Row],[Importo]]*Registro_Ordini[[#This Row],[Cambio]]</f>
        <v>8540.5</v>
      </c>
      <c r="N849" s="1">
        <f ca="1">IFERROR(_xlfn.NUMBERVALUE(OFFSET(Origine,MATCH(Registro_Ordini[[#This Row],[Titolo]],Descrizioni,0),MATCH("Price",Intestazioni,0)-1,1,1)),"")</f>
        <v>0.89866520547999995</v>
      </c>
      <c r="O849" s="18">
        <f ca="1">IF(OR(Registro_Ordini[[#This Row],[Price]]=0,Registro_Ordini[[#This Row],[Price]]=""),"",IF(Registro_Ordini[[#This Row],[Tipo]]="Sell",Registro_Ordini[[#This Row],[Prezzo]]/Registro_Ordini[[#This Row],[Price]]-1,Registro_Ordini[[#This Row],[Price]]/Registro_Ordini[[#This Row],[Prezzo]]-1))</f>
        <v>5.2239570844798244E-2</v>
      </c>
      <c r="P849" s="15">
        <v>6.1164823904436602E-2</v>
      </c>
      <c r="Q849" s="3">
        <v>8.5828777910859411E-2</v>
      </c>
      <c r="R849" s="3">
        <v>0.61101019486469943</v>
      </c>
      <c r="S849" s="3">
        <v>0.18349876875614601</v>
      </c>
      <c r="T849" s="3">
        <v>4.5767445161582737E-2</v>
      </c>
      <c r="U849" s="3">
        <v>7.3894813306712354E-2</v>
      </c>
      <c r="V849" s="3"/>
      <c r="W849" s="4"/>
    </row>
    <row r="850" spans="1:23" s="1" customFormat="1" ht="24.95" customHeight="1" x14ac:dyDescent="0.2">
      <c r="A850" s="8">
        <v>45686</v>
      </c>
      <c r="B850" s="7">
        <v>0.45347222222222222</v>
      </c>
      <c r="C850" s="9" t="s">
        <v>379</v>
      </c>
      <c r="D850" s="1" t="s">
        <v>368</v>
      </c>
      <c r="E850" s="1" t="s">
        <v>363</v>
      </c>
      <c r="F850" s="1" t="s">
        <v>471</v>
      </c>
      <c r="G850" s="1" t="s">
        <v>371</v>
      </c>
      <c r="H850" s="2">
        <v>30000</v>
      </c>
      <c r="I850" s="16">
        <v>0.85404999999999998</v>
      </c>
      <c r="J850" s="1" t="s">
        <v>381</v>
      </c>
      <c r="K850" s="6">
        <f>Registro_Ordini[[#This Row],[Numero]]*Registro_Ordini[[#This Row],[Prezzo]]</f>
        <v>25621.5</v>
      </c>
      <c r="L850" s="10">
        <v>1</v>
      </c>
      <c r="M850" s="6">
        <f>Registro_Ordini[[#This Row],[Importo]]*Registro_Ordini[[#This Row],[Cambio]]</f>
        <v>25621.5</v>
      </c>
      <c r="N850" s="1">
        <f ca="1">IFERROR(_xlfn.NUMBERVALUE(OFFSET(Origine,MATCH(Registro_Ordini[[#This Row],[Titolo]],Descrizioni,0),MATCH("Price",Intestazioni,0)-1,1,1)),"")</f>
        <v>0.89866520547999995</v>
      </c>
      <c r="O850" s="18">
        <f ca="1">IF(OR(Registro_Ordini[[#This Row],[Price]]=0,Registro_Ordini[[#This Row],[Price]]=""),"",IF(Registro_Ordini[[#This Row],[Tipo]]="Sell",Registro_Ordini[[#This Row],[Prezzo]]/Registro_Ordini[[#This Row],[Price]]-1,Registro_Ordini[[#This Row],[Price]]/Registro_Ordini[[#This Row],[Prezzo]]-1))</f>
        <v>5.2239570844798244E-2</v>
      </c>
      <c r="P850" s="15">
        <v>4.5462310135541292E-2</v>
      </c>
      <c r="Q850" s="3">
        <v>8.2660145576187588E-2</v>
      </c>
      <c r="R850" s="3">
        <v>0.33248636472394011</v>
      </c>
      <c r="S850" s="3">
        <v>0.47939158541601801</v>
      </c>
      <c r="T850" s="3">
        <v>0</v>
      </c>
      <c r="U850" s="3">
        <v>0.10546190428385431</v>
      </c>
      <c r="V850" s="3"/>
      <c r="W850" s="4"/>
    </row>
    <row r="851" spans="1:23" s="1" customFormat="1" ht="24.95" customHeight="1" x14ac:dyDescent="0.2">
      <c r="A851" s="8">
        <v>45684</v>
      </c>
      <c r="B851" s="7">
        <v>0.75416666666666665</v>
      </c>
      <c r="C851" s="9" t="s">
        <v>367</v>
      </c>
      <c r="D851" s="1" t="s">
        <v>388</v>
      </c>
      <c r="E851" s="1" t="s">
        <v>389</v>
      </c>
      <c r="F851" s="1" t="s">
        <v>472</v>
      </c>
      <c r="G851" s="1" t="s">
        <v>365</v>
      </c>
      <c r="H851" s="2">
        <v>-545</v>
      </c>
      <c r="I851" s="17">
        <v>138.69499999999999</v>
      </c>
      <c r="J851" s="1" t="s">
        <v>366</v>
      </c>
      <c r="K851" s="6">
        <f>Registro_Ordini[[#This Row],[Numero]]*Registro_Ordini[[#This Row],[Prezzo]]</f>
        <v>-75588.774999999994</v>
      </c>
      <c r="L851" s="10">
        <v>0.90095000000000003</v>
      </c>
      <c r="M851" s="6">
        <f>Registro_Ordini[[#This Row],[Importo]]*Registro_Ordini[[#This Row],[Cambio]]</f>
        <v>-68101.706836249999</v>
      </c>
      <c r="N851" s="1">
        <f ca="1">IFERROR(_xlfn.NUMBERVALUE(OFFSET(Origine,MATCH(Registro_Ordini[[#This Row],[Titolo]],Descrizioni,0),MATCH("Price",Intestazioni,0)-1,1,1)),"")</f>
        <v>175.73</v>
      </c>
      <c r="O851" s="18">
        <f ca="1">IF(OR(Registro_Ordini[[#This Row],[Price]]=0,Registro_Ordini[[#This Row],[Price]]=""),"",IF(Registro_Ordini[[#This Row],[Tipo]]="Sell",Registro_Ordini[[#This Row],[Prezzo]]/Registro_Ordini[[#This Row],[Price]]-1,Registro_Ordini[[#This Row],[Price]]/Registro_Ordini[[#This Row],[Prezzo]]-1))</f>
        <v>-0.21074944517157002</v>
      </c>
      <c r="P851" s="15">
        <v>-1.8421660005020071E-2</v>
      </c>
      <c r="Q851" s="3">
        <v>0.12116357933127399</v>
      </c>
      <c r="R851" s="3">
        <v>0.40431206991907492</v>
      </c>
      <c r="S851" s="3">
        <v>0.37076497668684621</v>
      </c>
      <c r="T851" s="3">
        <v>0</v>
      </c>
      <c r="U851" s="3">
        <v>0.1113219197874907</v>
      </c>
      <c r="V851" s="3"/>
      <c r="W851" s="4"/>
    </row>
    <row r="852" spans="1:23" s="1" customFormat="1" ht="24.95" customHeight="1" x14ac:dyDescent="0.2">
      <c r="A852" s="8">
        <v>45684</v>
      </c>
      <c r="B852" s="7">
        <v>0.69305555555555554</v>
      </c>
      <c r="C852" s="9" t="s">
        <v>78</v>
      </c>
      <c r="D852" s="1" t="s">
        <v>362</v>
      </c>
      <c r="E852" s="1" t="s">
        <v>363</v>
      </c>
      <c r="F852" s="1" t="s">
        <v>427</v>
      </c>
      <c r="G852" s="1" t="s">
        <v>365</v>
      </c>
      <c r="H852" s="2">
        <v>-5000</v>
      </c>
      <c r="I852" s="17">
        <v>1</v>
      </c>
      <c r="J852" s="1" t="s">
        <v>381</v>
      </c>
      <c r="K852" s="6">
        <f>Registro_Ordini[[#This Row],[Numero]]*Registro_Ordini[[#This Row],[Prezzo]]</f>
        <v>-5000</v>
      </c>
      <c r="L852" s="10">
        <v>0.94040000000000001</v>
      </c>
      <c r="M852" s="6">
        <f>Registro_Ordini[[#This Row],[Importo]]*Registro_Ordini[[#This Row],[Cambio]]</f>
        <v>-4702</v>
      </c>
      <c r="N852" s="1">
        <f ca="1">IFERROR(_xlfn.NUMBERVALUE(OFFSET(Origine,MATCH(Registro_Ordini[[#This Row],[Titolo]],Descrizioni,0),MATCH("Price",Intestazioni,0)-1,1,1)),"")</f>
        <v>1</v>
      </c>
      <c r="O852" s="18">
        <f ca="1">IF(OR(Registro_Ordini[[#This Row],[Price]]=0,Registro_Ordini[[#This Row],[Price]]=""),"",IF(Registro_Ordini[[#This Row],[Tipo]]="Sell",Registro_Ordini[[#This Row],[Prezzo]]/Registro_Ordini[[#This Row],[Price]]-1,Registro_Ordini[[#This Row],[Price]]/Registro_Ordini[[#This Row],[Prezzo]]-1))</f>
        <v>0</v>
      </c>
      <c r="P852" s="15">
        <v>-1.1170859761599268E-2</v>
      </c>
      <c r="Q852" s="3">
        <v>5.5131080432993779E-2</v>
      </c>
      <c r="R852" s="3">
        <v>0.16369468340701809</v>
      </c>
      <c r="S852" s="3">
        <v>0.71325956015540171</v>
      </c>
      <c r="T852" s="3">
        <v>0</v>
      </c>
      <c r="U852" s="3">
        <v>6.7914676004586477E-2</v>
      </c>
      <c r="V852" s="3"/>
      <c r="W852" s="4" t="s">
        <v>473</v>
      </c>
    </row>
    <row r="853" spans="1:23" s="1" customFormat="1" ht="24.95" customHeight="1" x14ac:dyDescent="0.2">
      <c r="A853" s="8">
        <v>45684</v>
      </c>
      <c r="B853" s="7">
        <v>0.69305555555555554</v>
      </c>
      <c r="C853" s="9" t="s">
        <v>376</v>
      </c>
      <c r="D853" s="1" t="s">
        <v>362</v>
      </c>
      <c r="E853" s="1" t="s">
        <v>363</v>
      </c>
      <c r="F853" s="1" t="s">
        <v>427</v>
      </c>
      <c r="G853" s="1" t="s">
        <v>365</v>
      </c>
      <c r="H853" s="2">
        <v>-5000</v>
      </c>
      <c r="I853" s="17">
        <v>1</v>
      </c>
      <c r="J853" s="1" t="s">
        <v>381</v>
      </c>
      <c r="K853" s="6">
        <f>Registro_Ordini[[#This Row],[Numero]]*Registro_Ordini[[#This Row],[Prezzo]]</f>
        <v>-5000</v>
      </c>
      <c r="L853" s="10">
        <v>0.94040000000000001</v>
      </c>
      <c r="M853" s="6">
        <f>Registro_Ordini[[#This Row],[Importo]]*Registro_Ordini[[#This Row],[Cambio]]</f>
        <v>-4702</v>
      </c>
      <c r="N853" s="1">
        <f ca="1">IFERROR(_xlfn.NUMBERVALUE(OFFSET(Origine,MATCH(Registro_Ordini[[#This Row],[Titolo]],Descrizioni,0),MATCH("Price",Intestazioni,0)-1,1,1)),"")</f>
        <v>1</v>
      </c>
      <c r="O853" s="18">
        <f ca="1">IF(OR(Registro_Ordini[[#This Row],[Price]]=0,Registro_Ordini[[#This Row],[Price]]=""),"",IF(Registro_Ordini[[#This Row],[Tipo]]="Sell",Registro_Ordini[[#This Row],[Prezzo]]/Registro_Ordini[[#This Row],[Price]]-1,Registro_Ordini[[#This Row],[Price]]/Registro_Ordini[[#This Row],[Prezzo]]-1))</f>
        <v>0</v>
      </c>
      <c r="P853" s="15">
        <v>-1.7211681158553947E-2</v>
      </c>
      <c r="Q853" s="3">
        <v>4.6137765930279719E-2</v>
      </c>
      <c r="R853" s="3">
        <v>0.35611324470057121</v>
      </c>
      <c r="S853" s="3">
        <v>0.47902147271197432</v>
      </c>
      <c r="T853" s="3">
        <v>0</v>
      </c>
      <c r="U853" s="3">
        <v>0.11872751665717497</v>
      </c>
      <c r="V853" s="3"/>
      <c r="W853" s="4" t="s">
        <v>473</v>
      </c>
    </row>
    <row r="854" spans="1:23" s="1" customFormat="1" ht="24.95" customHeight="1" x14ac:dyDescent="0.2">
      <c r="A854" s="8">
        <v>45684</v>
      </c>
      <c r="B854" s="7">
        <v>0.69236111111111109</v>
      </c>
      <c r="C854" s="9" t="s">
        <v>78</v>
      </c>
      <c r="D854" s="1" t="s">
        <v>388</v>
      </c>
      <c r="E854" s="1" t="s">
        <v>397</v>
      </c>
      <c r="F854" s="1" t="s">
        <v>474</v>
      </c>
      <c r="G854" s="1" t="s">
        <v>371</v>
      </c>
      <c r="H854" s="2">
        <v>75</v>
      </c>
      <c r="I854" s="17">
        <v>140.4</v>
      </c>
      <c r="J854" s="1" t="s">
        <v>369</v>
      </c>
      <c r="K854" s="6">
        <f>Registro_Ordini[[#This Row],[Numero]]*Registro_Ordini[[#This Row],[Prezzo]]</f>
        <v>10530</v>
      </c>
      <c r="L854" s="10">
        <v>1.0000001000000001</v>
      </c>
      <c r="M854" s="6">
        <f>Registro_Ordini[[#This Row],[Importo]]*Registro_Ordini[[#This Row],[Cambio]]</f>
        <v>10530.001053</v>
      </c>
      <c r="N854" s="1">
        <f ca="1">IFERROR(_xlfn.NUMBERVALUE(OFFSET(Origine,MATCH(Registro_Ordini[[#This Row],[Titolo]],Descrizioni,0),MATCH("Price",Intestazioni,0)-1,1,1)),"")</f>
        <v>128.5</v>
      </c>
      <c r="O854" s="18">
        <f ca="1">IF(OR(Registro_Ordini[[#This Row],[Price]]=0,Registro_Ordini[[#This Row],[Price]]=""),"",IF(Registro_Ordini[[#This Row],[Tipo]]="Sell",Registro_Ordini[[#This Row],[Prezzo]]/Registro_Ordini[[#This Row],[Price]]-1,Registro_Ordini[[#This Row],[Price]]/Registro_Ordini[[#This Row],[Prezzo]]-1))</f>
        <v>-8.4757834757834827E-2</v>
      </c>
      <c r="P854" s="15">
        <v>2.4863537620490778E-2</v>
      </c>
      <c r="Q854" s="3">
        <v>5.5146556345234243E-2</v>
      </c>
      <c r="R854" s="3">
        <v>0.16371646123668876</v>
      </c>
      <c r="S854" s="3">
        <v>0.71321327109105137</v>
      </c>
      <c r="T854" s="3">
        <v>0</v>
      </c>
      <c r="U854" s="3">
        <v>6.7923711327025682E-2</v>
      </c>
      <c r="V854" s="3"/>
      <c r="W854" s="4" t="s">
        <v>473</v>
      </c>
    </row>
    <row r="855" spans="1:23" s="1" customFormat="1" ht="24.95" customHeight="1" x14ac:dyDescent="0.2">
      <c r="A855" s="8">
        <v>45684</v>
      </c>
      <c r="B855" s="7">
        <v>0.69236111111111109</v>
      </c>
      <c r="C855" s="9" t="s">
        <v>376</v>
      </c>
      <c r="D855" s="1" t="s">
        <v>388</v>
      </c>
      <c r="E855" s="1" t="s">
        <v>397</v>
      </c>
      <c r="F855" s="1" t="s">
        <v>474</v>
      </c>
      <c r="G855" s="1" t="s">
        <v>371</v>
      </c>
      <c r="H855" s="2">
        <v>40</v>
      </c>
      <c r="I855" s="17">
        <v>140.4</v>
      </c>
      <c r="J855" s="1" t="s">
        <v>369</v>
      </c>
      <c r="K855" s="6">
        <f>Registro_Ordini[[#This Row],[Numero]]*Registro_Ordini[[#This Row],[Prezzo]]</f>
        <v>5616</v>
      </c>
      <c r="L855" s="10">
        <v>1.0000001000000001</v>
      </c>
      <c r="M855" s="6">
        <f>Registro_Ordini[[#This Row],[Importo]]*Registro_Ordini[[#This Row],[Cambio]]</f>
        <v>5616.0005616000008</v>
      </c>
      <c r="N855" s="1">
        <f ca="1">IFERROR(_xlfn.NUMBERVALUE(OFFSET(Origine,MATCH(Registro_Ordini[[#This Row],[Titolo]],Descrizioni,0),MATCH("Price",Intestazioni,0)-1,1,1)),"")</f>
        <v>128.5</v>
      </c>
      <c r="O855" s="18">
        <f ca="1">IF(OR(Registro_Ordini[[#This Row],[Price]]=0,Registro_Ordini[[#This Row],[Price]]=""),"",IF(Registro_Ordini[[#This Row],[Tipo]]="Sell",Registro_Ordini[[#This Row],[Prezzo]]/Registro_Ordini[[#This Row],[Price]]-1,Registro_Ordini[[#This Row],[Price]]/Registro_Ordini[[#This Row],[Prezzo]]-1))</f>
        <v>-8.4757834757834827E-2</v>
      </c>
      <c r="P855" s="15">
        <v>2.0431896274496774E-2</v>
      </c>
      <c r="Q855" s="3">
        <v>4.6154515623721061E-2</v>
      </c>
      <c r="R855" s="3">
        <v>0.35616909659936502</v>
      </c>
      <c r="S855" s="3">
        <v>0.47896284292741487</v>
      </c>
      <c r="T855" s="3">
        <v>0</v>
      </c>
      <c r="U855" s="3">
        <v>0.11871354484949903</v>
      </c>
      <c r="V855" s="3"/>
      <c r="W855" s="4" t="s">
        <v>473</v>
      </c>
    </row>
    <row r="856" spans="1:23" s="1" customFormat="1" ht="24.95" customHeight="1" x14ac:dyDescent="0.2">
      <c r="A856" s="8">
        <v>45684</v>
      </c>
      <c r="B856" s="7">
        <v>0.68541666666666667</v>
      </c>
      <c r="C856" s="9" t="s">
        <v>375</v>
      </c>
      <c r="D856" s="1" t="s">
        <v>388</v>
      </c>
      <c r="E856" s="1" t="s">
        <v>397</v>
      </c>
      <c r="F856" s="1" t="s">
        <v>474</v>
      </c>
      <c r="G856" s="1" t="s">
        <v>371</v>
      </c>
      <c r="H856" s="2">
        <v>100</v>
      </c>
      <c r="I856" s="17">
        <v>140.30000000000001</v>
      </c>
      <c r="J856" s="1" t="s">
        <v>369</v>
      </c>
      <c r="K856" s="6">
        <f>Registro_Ordini[[#This Row],[Numero]]*Registro_Ordini[[#This Row],[Prezzo]]</f>
        <v>14030.000000000002</v>
      </c>
      <c r="L856" s="10">
        <v>1.0000001000000001</v>
      </c>
      <c r="M856" s="6">
        <f>Registro_Ordini[[#This Row],[Importo]]*Registro_Ordini[[#This Row],[Cambio]]</f>
        <v>14030.001403000002</v>
      </c>
      <c r="N856" s="1">
        <f ca="1">IFERROR(_xlfn.NUMBERVALUE(OFFSET(Origine,MATCH(Registro_Ordini[[#This Row],[Titolo]],Descrizioni,0),MATCH("Price",Intestazioni,0)-1,1,1)),"")</f>
        <v>128.5</v>
      </c>
      <c r="O856" s="18">
        <f ca="1">IF(OR(Registro_Ordini[[#This Row],[Price]]=0,Registro_Ordini[[#This Row],[Price]]=""),"",IF(Registro_Ordini[[#This Row],[Tipo]]="Sell",Registro_Ordini[[#This Row],[Prezzo]]/Registro_Ordini[[#This Row],[Price]]-1,Registro_Ordini[[#This Row],[Price]]/Registro_Ordini[[#This Row],[Prezzo]]-1))</f>
        <v>-8.4105488239486936E-2</v>
      </c>
      <c r="P856" s="15">
        <v>1.7451050854297597E-2</v>
      </c>
      <c r="Q856" s="3">
        <v>0.10146162390147608</v>
      </c>
      <c r="R856" s="3">
        <v>0.35468636350895699</v>
      </c>
      <c r="S856" s="3">
        <v>0.45035654612770654</v>
      </c>
      <c r="T856" s="3">
        <v>0</v>
      </c>
      <c r="U856" s="3">
        <v>9.3495466461860424E-2</v>
      </c>
      <c r="V856" s="3"/>
      <c r="W856" s="4"/>
    </row>
    <row r="857" spans="1:23" s="1" customFormat="1" ht="24.95" customHeight="1" x14ac:dyDescent="0.2">
      <c r="A857" s="8">
        <v>45684</v>
      </c>
      <c r="B857" s="7">
        <v>0.68541666666666667</v>
      </c>
      <c r="C857" s="9" t="s">
        <v>378</v>
      </c>
      <c r="D857" s="1" t="s">
        <v>388</v>
      </c>
      <c r="E857" s="1" t="s">
        <v>397</v>
      </c>
      <c r="F857" s="1" t="s">
        <v>474</v>
      </c>
      <c r="G857" s="1" t="s">
        <v>371</v>
      </c>
      <c r="H857" s="2">
        <v>75</v>
      </c>
      <c r="I857" s="17">
        <v>140.30000000000001</v>
      </c>
      <c r="J857" s="1" t="s">
        <v>369</v>
      </c>
      <c r="K857" s="6">
        <f>Registro_Ordini[[#This Row],[Numero]]*Registro_Ordini[[#This Row],[Prezzo]]</f>
        <v>10522.5</v>
      </c>
      <c r="L857" s="10">
        <v>1.0000001000000001</v>
      </c>
      <c r="M857" s="6">
        <f>Registro_Ordini[[#This Row],[Importo]]*Registro_Ordini[[#This Row],[Cambio]]</f>
        <v>10522.501052250002</v>
      </c>
      <c r="N857" s="1">
        <f ca="1">IFERROR(_xlfn.NUMBERVALUE(OFFSET(Origine,MATCH(Registro_Ordini[[#This Row],[Titolo]],Descrizioni,0),MATCH("Price",Intestazioni,0)-1,1,1)),"")</f>
        <v>128.5</v>
      </c>
      <c r="O857" s="18">
        <f ca="1">IF(OR(Registro_Ordini[[#This Row],[Price]]=0,Registro_Ordini[[#This Row],[Price]]=""),"",IF(Registro_Ordini[[#This Row],[Tipo]]="Sell",Registro_Ordini[[#This Row],[Prezzo]]/Registro_Ordini[[#This Row],[Price]]-1,Registro_Ordini[[#This Row],[Price]]/Registro_Ordini[[#This Row],[Prezzo]]-1))</f>
        <v>-8.4105488239486936E-2</v>
      </c>
      <c r="P857" s="15">
        <v>2.0436866744197812E-2</v>
      </c>
      <c r="Q857" s="3">
        <v>0.12287307455670136</v>
      </c>
      <c r="R857" s="3">
        <v>0.33395101615170586</v>
      </c>
      <c r="S857" s="3">
        <v>0.45320625163708822</v>
      </c>
      <c r="T857" s="3">
        <v>0</v>
      </c>
      <c r="U857" s="3">
        <v>8.9969657654504639E-2</v>
      </c>
      <c r="V857" s="3"/>
      <c r="W857" s="4"/>
    </row>
    <row r="858" spans="1:23" s="1" customFormat="1" ht="24.95" customHeight="1" x14ac:dyDescent="0.2">
      <c r="A858" s="8">
        <v>45684</v>
      </c>
      <c r="B858" s="7">
        <v>0.68541666666666667</v>
      </c>
      <c r="C858" s="9" t="s">
        <v>377</v>
      </c>
      <c r="D858" s="1" t="s">
        <v>388</v>
      </c>
      <c r="E858" s="1" t="s">
        <v>397</v>
      </c>
      <c r="F858" s="1" t="s">
        <v>474</v>
      </c>
      <c r="G858" s="1" t="s">
        <v>371</v>
      </c>
      <c r="H858" s="2">
        <v>230</v>
      </c>
      <c r="I858" s="17">
        <v>140.30000000000001</v>
      </c>
      <c r="J858" s="1" t="s">
        <v>369</v>
      </c>
      <c r="K858" s="6">
        <f>Registro_Ordini[[#This Row],[Numero]]*Registro_Ordini[[#This Row],[Prezzo]]</f>
        <v>32269.000000000004</v>
      </c>
      <c r="L858" s="10">
        <v>1.0000001000000001</v>
      </c>
      <c r="M858" s="6">
        <f>Registro_Ordini[[#This Row],[Importo]]*Registro_Ordini[[#This Row],[Cambio]]</f>
        <v>32269.003226900004</v>
      </c>
      <c r="N858" s="1">
        <f ca="1">IFERROR(_xlfn.NUMBERVALUE(OFFSET(Origine,MATCH(Registro_Ordini[[#This Row],[Titolo]],Descrizioni,0),MATCH("Price",Intestazioni,0)-1,1,1)),"")</f>
        <v>128.5</v>
      </c>
      <c r="O858" s="18">
        <f ca="1">IF(OR(Registro_Ordini[[#This Row],[Price]]=0,Registro_Ordini[[#This Row],[Price]]=""),"",IF(Registro_Ordini[[#This Row],[Tipo]]="Sell",Registro_Ordini[[#This Row],[Prezzo]]/Registro_Ordini[[#This Row],[Price]]-1,Registro_Ordini[[#This Row],[Price]]/Registro_Ordini[[#This Row],[Prezzo]]-1))</f>
        <v>-8.4105488239486936E-2</v>
      </c>
      <c r="P858" s="15">
        <v>2.0164169071292787E-2</v>
      </c>
      <c r="Q858" s="3">
        <v>0.10973560076137819</v>
      </c>
      <c r="R858" s="3">
        <v>0.32412437355859403</v>
      </c>
      <c r="S858" s="3">
        <v>0.46518233217126242</v>
      </c>
      <c r="T858" s="3">
        <v>0</v>
      </c>
      <c r="U858" s="3">
        <v>0.10095769350876529</v>
      </c>
      <c r="V858" s="3"/>
      <c r="W858" s="4"/>
    </row>
    <row r="859" spans="1:23" s="1" customFormat="1" ht="24.95" customHeight="1" x14ac:dyDescent="0.2">
      <c r="A859" s="8">
        <v>45684</v>
      </c>
      <c r="B859" s="7">
        <v>0.68541666666666667</v>
      </c>
      <c r="C859" s="9" t="s">
        <v>367</v>
      </c>
      <c r="D859" s="1" t="s">
        <v>388</v>
      </c>
      <c r="E859" s="1" t="s">
        <v>397</v>
      </c>
      <c r="F859" s="1" t="s">
        <v>474</v>
      </c>
      <c r="G859" s="1" t="s">
        <v>371</v>
      </c>
      <c r="H859" s="2">
        <v>520</v>
      </c>
      <c r="I859" s="17">
        <v>140.35</v>
      </c>
      <c r="J859" s="1" t="s">
        <v>369</v>
      </c>
      <c r="K859" s="6">
        <f>Registro_Ordini[[#This Row],[Numero]]*Registro_Ordini[[#This Row],[Prezzo]]</f>
        <v>72982</v>
      </c>
      <c r="L859" s="10">
        <v>1.0000001000000001</v>
      </c>
      <c r="M859" s="6">
        <f>Registro_Ordini[[#This Row],[Importo]]*Registro_Ordini[[#This Row],[Cambio]]</f>
        <v>72982.007298199998</v>
      </c>
      <c r="N859" s="1">
        <f ca="1">IFERROR(_xlfn.NUMBERVALUE(OFFSET(Origine,MATCH(Registro_Ordini[[#This Row],[Titolo]],Descrizioni,0),MATCH("Price",Intestazioni,0)-1,1,1)),"")</f>
        <v>128.5</v>
      </c>
      <c r="O859" s="18">
        <f ca="1">IF(OR(Registro_Ordini[[#This Row],[Price]]=0,Registro_Ordini[[#This Row],[Price]]=""),"",IF(Registro_Ordini[[#This Row],[Tipo]]="Sell",Registro_Ordini[[#This Row],[Prezzo]]/Registro_Ordini[[#This Row],[Price]]-1,Registro_Ordini[[#This Row],[Price]]/Registro_Ordini[[#This Row],[Prezzo]]-1))</f>
        <v>-8.4431777698610544E-2</v>
      </c>
      <c r="P859" s="15">
        <v>1.9708611051554314E-2</v>
      </c>
      <c r="Q859" s="3">
        <v>0.10275280488596344</v>
      </c>
      <c r="R859" s="3">
        <v>0.40437556547818254</v>
      </c>
      <c r="S859" s="3">
        <v>0.38899604120384751</v>
      </c>
      <c r="T859" s="3">
        <v>0</v>
      </c>
      <c r="U859" s="3">
        <v>0.11139908487635795</v>
      </c>
      <c r="V859" s="3"/>
      <c r="W859" s="4"/>
    </row>
    <row r="860" spans="1:23" s="1" customFormat="1" ht="24.95" customHeight="1" x14ac:dyDescent="0.2">
      <c r="A860" s="8">
        <v>45684</v>
      </c>
      <c r="B860" s="7">
        <v>0.67847222222222225</v>
      </c>
      <c r="C860" s="9" t="s">
        <v>375</v>
      </c>
      <c r="D860" s="1" t="s">
        <v>388</v>
      </c>
      <c r="E860" s="1" t="s">
        <v>397</v>
      </c>
      <c r="F860" s="1" t="s">
        <v>475</v>
      </c>
      <c r="G860" s="1" t="s">
        <v>371</v>
      </c>
      <c r="H860" s="2">
        <v>20</v>
      </c>
      <c r="I860" s="17">
        <v>591</v>
      </c>
      <c r="J860" s="1" t="s">
        <v>369</v>
      </c>
      <c r="K860" s="6">
        <f>Registro_Ordini[[#This Row],[Numero]]*Registro_Ordini[[#This Row],[Prezzo]]</f>
        <v>11820</v>
      </c>
      <c r="L860" s="10">
        <v>1.0000001000000001</v>
      </c>
      <c r="M860" s="6">
        <f>Registro_Ordini[[#This Row],[Importo]]*Registro_Ordini[[#This Row],[Cambio]]</f>
        <v>11820.001182</v>
      </c>
      <c r="N860" s="1">
        <f ca="1">IFERROR(_xlfn.NUMBERVALUE(OFFSET(Origine,MATCH(Registro_Ordini[[#This Row],[Titolo]],Descrizioni,0),MATCH("Price",Intestazioni,0)-1,1,1)),"")</f>
        <v>518.20000000000005</v>
      </c>
      <c r="O860" s="18">
        <f ca="1">IF(OR(Registro_Ordini[[#This Row],[Price]]=0,Registro_Ordini[[#This Row],[Price]]=""),"",IF(Registro_Ordini[[#This Row],[Tipo]]="Sell",Registro_Ordini[[#This Row],[Prezzo]]/Registro_Ordini[[#This Row],[Price]]-1,Registro_Ordini[[#This Row],[Price]]/Registro_Ordini[[#This Row],[Prezzo]]-1))</f>
        <v>-0.12318104906937388</v>
      </c>
      <c r="P860" s="15">
        <v>1.4699542305067276E-2</v>
      </c>
      <c r="Q860" s="3">
        <v>0.11889673756358372</v>
      </c>
      <c r="R860" s="3">
        <v>0.35462674310508358</v>
      </c>
      <c r="S860" s="3">
        <v>0.43295422572122788</v>
      </c>
      <c r="T860" s="3">
        <v>0</v>
      </c>
      <c r="U860" s="3">
        <v>9.3522293610104806E-2</v>
      </c>
      <c r="V860" s="3"/>
      <c r="W860" s="4"/>
    </row>
    <row r="861" spans="1:23" s="1" customFormat="1" ht="24.95" customHeight="1" x14ac:dyDescent="0.2">
      <c r="A861" s="8">
        <v>45684</v>
      </c>
      <c r="B861" s="7">
        <v>0.67847222222222225</v>
      </c>
      <c r="C861" s="9" t="s">
        <v>378</v>
      </c>
      <c r="D861" s="1" t="s">
        <v>388</v>
      </c>
      <c r="E861" s="1" t="s">
        <v>397</v>
      </c>
      <c r="F861" s="1" t="s">
        <v>475</v>
      </c>
      <c r="G861" s="1" t="s">
        <v>371</v>
      </c>
      <c r="H861" s="2">
        <v>20</v>
      </c>
      <c r="I861" s="17">
        <v>591</v>
      </c>
      <c r="J861" s="1" t="s">
        <v>369</v>
      </c>
      <c r="K861" s="6">
        <f>Registro_Ordini[[#This Row],[Numero]]*Registro_Ordini[[#This Row],[Prezzo]]</f>
        <v>11820</v>
      </c>
      <c r="L861" s="10">
        <v>1.0000001000000001</v>
      </c>
      <c r="M861" s="6">
        <f>Registro_Ordini[[#This Row],[Importo]]*Registro_Ordini[[#This Row],[Cambio]]</f>
        <v>11820.001182</v>
      </c>
      <c r="N861" s="1">
        <f ca="1">IFERROR(_xlfn.NUMBERVALUE(OFFSET(Origine,MATCH(Registro_Ordini[[#This Row],[Titolo]],Descrizioni,0),MATCH("Price",Intestazioni,0)-1,1,1)),"")</f>
        <v>518.20000000000005</v>
      </c>
      <c r="O861" s="18">
        <f ca="1">IF(OR(Registro_Ordini[[#This Row],[Price]]=0,Registro_Ordini[[#This Row],[Price]]=""),"",IF(Registro_Ordini[[#This Row],[Tipo]]="Sell",Registro_Ordini[[#This Row],[Prezzo]]/Registro_Ordini[[#This Row],[Price]]-1,Registro_Ordini[[#This Row],[Price]]/Registro_Ordini[[#This Row],[Prezzo]]-1))</f>
        <v>-0.12318104906937388</v>
      </c>
      <c r="P861" s="15">
        <v>2.2950065818582693E-2</v>
      </c>
      <c r="Q861" s="3">
        <v>0.14329251986156297</v>
      </c>
      <c r="R861" s="3">
        <v>0.33385481025539299</v>
      </c>
      <c r="S861" s="3">
        <v>0.43274508895421937</v>
      </c>
      <c r="T861" s="3">
        <v>0</v>
      </c>
      <c r="U861" s="3">
        <v>9.0107580928824774E-2</v>
      </c>
      <c r="V861" s="3"/>
      <c r="W861" s="4"/>
    </row>
    <row r="862" spans="1:23" s="1" customFormat="1" ht="24.95" customHeight="1" x14ac:dyDescent="0.2">
      <c r="A862" s="8">
        <v>45684</v>
      </c>
      <c r="B862" s="7">
        <v>0.67847222222222225</v>
      </c>
      <c r="C862" s="9" t="s">
        <v>377</v>
      </c>
      <c r="D862" s="1" t="s">
        <v>388</v>
      </c>
      <c r="E862" s="1" t="s">
        <v>397</v>
      </c>
      <c r="F862" s="1" t="s">
        <v>475</v>
      </c>
      <c r="G862" s="1" t="s">
        <v>371</v>
      </c>
      <c r="H862" s="2">
        <v>55</v>
      </c>
      <c r="I862" s="17">
        <v>591</v>
      </c>
      <c r="J862" s="1" t="s">
        <v>369</v>
      </c>
      <c r="K862" s="6">
        <f>Registro_Ordini[[#This Row],[Numero]]*Registro_Ordini[[#This Row],[Prezzo]]</f>
        <v>32505</v>
      </c>
      <c r="L862" s="10">
        <v>1.0000001000000001</v>
      </c>
      <c r="M862" s="6">
        <f>Registro_Ordini[[#This Row],[Importo]]*Registro_Ordini[[#This Row],[Cambio]]</f>
        <v>32505.003250500002</v>
      </c>
      <c r="N862" s="1">
        <f ca="1">IFERROR(_xlfn.NUMBERVALUE(OFFSET(Origine,MATCH(Registro_Ordini[[#This Row],[Titolo]],Descrizioni,0),MATCH("Price",Intestazioni,0)-1,1,1)),"")</f>
        <v>518.20000000000005</v>
      </c>
      <c r="O862" s="18">
        <f ca="1">IF(OR(Registro_Ordini[[#This Row],[Price]]=0,Registro_Ordini[[#This Row],[Price]]=""),"",IF(Registro_Ordini[[#This Row],[Tipo]]="Sell",Registro_Ordini[[#This Row],[Prezzo]]/Registro_Ordini[[#This Row],[Price]]-1,Registro_Ordini[[#This Row],[Price]]/Registro_Ordini[[#This Row],[Prezzo]]-1))</f>
        <v>-0.12318104906937388</v>
      </c>
      <c r="P862" s="15">
        <v>2.0308783579521823E-2</v>
      </c>
      <c r="Q862" s="3">
        <v>0.12990577113373353</v>
      </c>
      <c r="R862" s="3">
        <v>0.32408253854596603</v>
      </c>
      <c r="S862" s="3">
        <v>0.44506819515826801</v>
      </c>
      <c r="T862" s="3">
        <v>0</v>
      </c>
      <c r="U862" s="3">
        <v>0.10094349516203242</v>
      </c>
      <c r="V862" s="3"/>
      <c r="W862" s="4"/>
    </row>
    <row r="863" spans="1:23" s="1" customFormat="1" ht="24.95" customHeight="1" x14ac:dyDescent="0.2">
      <c r="A863" s="8">
        <v>45684</v>
      </c>
      <c r="B863" s="7">
        <v>0.67847222222222225</v>
      </c>
      <c r="C863" s="9" t="s">
        <v>376</v>
      </c>
      <c r="D863" s="1" t="s">
        <v>388</v>
      </c>
      <c r="E863" s="1" t="s">
        <v>397</v>
      </c>
      <c r="F863" s="1" t="s">
        <v>475</v>
      </c>
      <c r="G863" s="1" t="s">
        <v>371</v>
      </c>
      <c r="H863" s="2">
        <v>10</v>
      </c>
      <c r="I863" s="17">
        <v>591</v>
      </c>
      <c r="J863" s="1" t="s">
        <v>369</v>
      </c>
      <c r="K863" s="6">
        <f>Registro_Ordini[[#This Row],[Numero]]*Registro_Ordini[[#This Row],[Prezzo]]</f>
        <v>5910</v>
      </c>
      <c r="L863" s="10">
        <v>1.0000001000000001</v>
      </c>
      <c r="M863" s="6">
        <f>Registro_Ordini[[#This Row],[Importo]]*Registro_Ordini[[#This Row],[Cambio]]</f>
        <v>5910.000591</v>
      </c>
      <c r="N863" s="1">
        <f ca="1">IFERROR(_xlfn.NUMBERVALUE(OFFSET(Origine,MATCH(Registro_Ordini[[#This Row],[Titolo]],Descrizioni,0),MATCH("Price",Intestazioni,0)-1,1,1)),"")</f>
        <v>518.20000000000005</v>
      </c>
      <c r="O863" s="18">
        <f ca="1">IF(OR(Registro_Ordini[[#This Row],[Price]]=0,Registro_Ordini[[#This Row],[Price]]=""),"",IF(Registro_Ordini[[#This Row],[Tipo]]="Sell",Registro_Ordini[[#This Row],[Prezzo]]/Registro_Ordini[[#This Row],[Price]]-1,Registro_Ordini[[#This Row],[Price]]/Registro_Ordini[[#This Row],[Prezzo]]-1))</f>
        <v>-0.12318104906937388</v>
      </c>
      <c r="P863" s="15">
        <v>2.1508639991789726E-2</v>
      </c>
      <c r="Q863" s="3">
        <v>6.6584187233825642E-2</v>
      </c>
      <c r="R863" s="3">
        <v>0.35603881792714709</v>
      </c>
      <c r="S863" s="3">
        <v>0.45852235859170387</v>
      </c>
      <c r="T863" s="3">
        <v>0</v>
      </c>
      <c r="U863" s="3">
        <v>0.1188546362473234</v>
      </c>
      <c r="V863" s="3"/>
      <c r="W863" s="4"/>
    </row>
    <row r="864" spans="1:23" s="1" customFormat="1" ht="24.95" customHeight="1" x14ac:dyDescent="0.2">
      <c r="A864" s="8">
        <v>45684</v>
      </c>
      <c r="B864" s="7">
        <v>0.67847222222222225</v>
      </c>
      <c r="C864" s="9" t="s">
        <v>367</v>
      </c>
      <c r="D864" s="1" t="s">
        <v>388</v>
      </c>
      <c r="E864" s="1" t="s">
        <v>397</v>
      </c>
      <c r="F864" s="1" t="s">
        <v>475</v>
      </c>
      <c r="G864" s="1" t="s">
        <v>371</v>
      </c>
      <c r="H864" s="2">
        <v>120</v>
      </c>
      <c r="I864" s="17">
        <v>590.79999999999995</v>
      </c>
      <c r="J864" s="1" t="s">
        <v>369</v>
      </c>
      <c r="K864" s="6">
        <f>Registro_Ordini[[#This Row],[Numero]]*Registro_Ordini[[#This Row],[Prezzo]]</f>
        <v>70896</v>
      </c>
      <c r="L864" s="10">
        <v>1.0000001000000001</v>
      </c>
      <c r="M864" s="6">
        <f>Registro_Ordini[[#This Row],[Importo]]*Registro_Ordini[[#This Row],[Cambio]]</f>
        <v>70896.007089600011</v>
      </c>
      <c r="N864" s="1">
        <f ca="1">IFERROR(_xlfn.NUMBERVALUE(OFFSET(Origine,MATCH(Registro_Ordini[[#This Row],[Titolo]],Descrizioni,0),MATCH("Price",Intestazioni,0)-1,1,1)),"")</f>
        <v>518.20000000000005</v>
      </c>
      <c r="O864" s="18">
        <f ca="1">IF(OR(Registro_Ordini[[#This Row],[Price]]=0,Registro_Ordini[[#This Row],[Price]]=""),"",IF(Registro_Ordini[[#This Row],[Tipo]]="Sell",Registro_Ordini[[#This Row],[Prezzo]]/Registro_Ordini[[#This Row],[Price]]-1,Registro_Ordini[[#This Row],[Price]]/Registro_Ordini[[#This Row],[Prezzo]]-1))</f>
        <v>-0.12288422477995919</v>
      </c>
      <c r="P864" s="15">
        <v>1.9155810958075992E-2</v>
      </c>
      <c r="Q864" s="3">
        <v>0.12246305931611498</v>
      </c>
      <c r="R864" s="3">
        <v>0.40434509526759266</v>
      </c>
      <c r="S864" s="3">
        <v>0.3692471696763811</v>
      </c>
      <c r="T864" s="3">
        <v>0</v>
      </c>
      <c r="U864" s="3">
        <v>0.11140988825853267</v>
      </c>
      <c r="V864" s="3"/>
      <c r="W864" s="4"/>
    </row>
    <row r="865" spans="1:23" s="1" customFormat="1" ht="24.95" customHeight="1" x14ac:dyDescent="0.2">
      <c r="A865" s="8">
        <v>45684</v>
      </c>
      <c r="B865" s="7">
        <v>0.67777777777777781</v>
      </c>
      <c r="C865" s="9" t="s">
        <v>78</v>
      </c>
      <c r="D865" s="1" t="s">
        <v>388</v>
      </c>
      <c r="E865" s="1" t="s">
        <v>397</v>
      </c>
      <c r="F865" s="1" t="s">
        <v>475</v>
      </c>
      <c r="G865" s="1" t="s">
        <v>371</v>
      </c>
      <c r="H865" s="2">
        <v>15</v>
      </c>
      <c r="I865" s="17">
        <v>591</v>
      </c>
      <c r="J865" s="1" t="s">
        <v>369</v>
      </c>
      <c r="K865" s="6">
        <f>Registro_Ordini[[#This Row],[Numero]]*Registro_Ordini[[#This Row],[Prezzo]]</f>
        <v>8865</v>
      </c>
      <c r="L865" s="10">
        <v>1.0000001000000001</v>
      </c>
      <c r="M865" s="6">
        <f>Registro_Ordini[[#This Row],[Importo]]*Registro_Ordini[[#This Row],[Cambio]]</f>
        <v>8865.0008865</v>
      </c>
      <c r="N865" s="1">
        <f ca="1">IFERROR(_xlfn.NUMBERVALUE(OFFSET(Origine,MATCH(Registro_Ordini[[#This Row],[Titolo]],Descrizioni,0),MATCH("Price",Intestazioni,0)-1,1,1)),"")</f>
        <v>518.20000000000005</v>
      </c>
      <c r="O865" s="18">
        <f ca="1">IF(OR(Registro_Ordini[[#This Row],[Price]]=0,Registro_Ordini[[#This Row],[Price]]=""),"",IF(Registro_Ordini[[#This Row],[Tipo]]="Sell",Registro_Ordini[[#This Row],[Prezzo]]/Registro_Ordini[[#This Row],[Price]]-1,Registro_Ordini[[#This Row],[Price]]/Registro_Ordini[[#This Row],[Prezzo]]-1))</f>
        <v>-0.12318104906937388</v>
      </c>
      <c r="P865" s="15">
        <v>2.0939531359122403E-2</v>
      </c>
      <c r="Q865" s="3">
        <v>8.0012640127037835E-2</v>
      </c>
      <c r="R865" s="3">
        <v>0.16366011354383714</v>
      </c>
      <c r="S865" s="3">
        <v>0.68828617014966875</v>
      </c>
      <c r="T865" s="3">
        <v>0</v>
      </c>
      <c r="U865" s="3">
        <v>6.8041076179456289E-2</v>
      </c>
      <c r="V865" s="3"/>
      <c r="W865" s="4"/>
    </row>
    <row r="866" spans="1:23" s="1" customFormat="1" ht="24.95" customHeight="1" x14ac:dyDescent="0.2">
      <c r="A866" s="8">
        <v>45684</v>
      </c>
      <c r="B866" s="7">
        <v>0.67708333333333337</v>
      </c>
      <c r="C866" s="9" t="s">
        <v>78</v>
      </c>
      <c r="D866" s="1" t="s">
        <v>388</v>
      </c>
      <c r="E866" s="1" t="s">
        <v>397</v>
      </c>
      <c r="F866" s="1" t="s">
        <v>476</v>
      </c>
      <c r="G866" s="1" t="s">
        <v>365</v>
      </c>
      <c r="H866" s="2">
        <v>-6</v>
      </c>
      <c r="I866" s="17">
        <v>1014</v>
      </c>
      <c r="J866" s="1" t="s">
        <v>369</v>
      </c>
      <c r="K866" s="6">
        <f>Registro_Ordini[[#This Row],[Numero]]*Registro_Ordini[[#This Row],[Prezzo]]</f>
        <v>-6084</v>
      </c>
      <c r="L866" s="10">
        <v>1.0000001000000001</v>
      </c>
      <c r="M866" s="6">
        <f>Registro_Ordini[[#This Row],[Importo]]*Registro_Ordini[[#This Row],[Cambio]]</f>
        <v>-6084.0006084000006</v>
      </c>
      <c r="N866" s="1">
        <f ca="1">IFERROR(_xlfn.NUMBERVALUE(OFFSET(Origine,MATCH(Registro_Ordini[[#This Row],[Titolo]],Descrizioni,0),MATCH("Price",Intestazioni,0)-1,1,1)),"")</f>
        <v>1392</v>
      </c>
      <c r="O866" s="18">
        <f ca="1">IF(OR(Registro_Ordini[[#This Row],[Price]]=0,Registro_Ordini[[#This Row],[Price]]=""),"",IF(Registro_Ordini[[#This Row],[Tipo]]="Sell",Registro_Ordini[[#This Row],[Prezzo]]/Registro_Ordini[[#This Row],[Price]]-1,Registro_Ordini[[#This Row],[Price]]/Registro_Ordini[[#This Row],[Prezzo]]-1))</f>
        <v>-0.27155172413793105</v>
      </c>
      <c r="P866" s="15">
        <v>-1.4372083625026007E-2</v>
      </c>
      <c r="Q866" s="3">
        <v>0.10096284526489196</v>
      </c>
      <c r="R866" s="3">
        <v>0.16367605939071825</v>
      </c>
      <c r="S866" s="3">
        <v>0.66731338973911392</v>
      </c>
      <c r="T866" s="3">
        <v>0</v>
      </c>
      <c r="U866" s="3">
        <v>6.8047705605275996E-2</v>
      </c>
      <c r="V866" s="3"/>
      <c r="W866" s="4"/>
    </row>
    <row r="867" spans="1:23" s="1" customFormat="1" ht="24.95" customHeight="1" x14ac:dyDescent="0.2">
      <c r="A867" s="8">
        <v>45684</v>
      </c>
      <c r="B867" s="7">
        <v>0.67708333333333337</v>
      </c>
      <c r="C867" s="9" t="s">
        <v>375</v>
      </c>
      <c r="D867" s="1" t="s">
        <v>388</v>
      </c>
      <c r="E867" s="1" t="s">
        <v>397</v>
      </c>
      <c r="F867" s="1" t="s">
        <v>476</v>
      </c>
      <c r="G867" s="1" t="s">
        <v>365</v>
      </c>
      <c r="H867" s="2">
        <v>-10</v>
      </c>
      <c r="I867" s="17">
        <v>1014</v>
      </c>
      <c r="J867" s="1" t="s">
        <v>369</v>
      </c>
      <c r="K867" s="6">
        <f>Registro_Ordini[[#This Row],[Numero]]*Registro_Ordini[[#This Row],[Prezzo]]</f>
        <v>-10140</v>
      </c>
      <c r="L867" s="10">
        <v>1.0000001000000001</v>
      </c>
      <c r="M867" s="6">
        <f>Registro_Ordini[[#This Row],[Importo]]*Registro_Ordini[[#This Row],[Cambio]]</f>
        <v>-10140.001014000001</v>
      </c>
      <c r="N867" s="1">
        <f ca="1">IFERROR(_xlfn.NUMBERVALUE(OFFSET(Origine,MATCH(Registro_Ordini[[#This Row],[Titolo]],Descrizioni,0),MATCH("Price",Intestazioni,0)-1,1,1)),"")</f>
        <v>1392</v>
      </c>
      <c r="O867" s="18">
        <f ca="1">IF(OR(Registro_Ordini[[#This Row],[Price]]=0,Registro_Ordini[[#This Row],[Price]]=""),"",IF(Registro_Ordini[[#This Row],[Tipo]]="Sell",Registro_Ordini[[#This Row],[Prezzo]]/Registro_Ordini[[#This Row],[Price]]-1,Registro_Ordini[[#This Row],[Price]]/Registro_Ordini[[#This Row],[Prezzo]]-1))</f>
        <v>-0.27155172413793105</v>
      </c>
      <c r="P867" s="15">
        <v>-1.2609779888474254E-2</v>
      </c>
      <c r="Q867" s="3">
        <v>0.13360253128136176</v>
      </c>
      <c r="R867" s="3">
        <v>0.35461303730656912</v>
      </c>
      <c r="S867" s="3">
        <v>0.41826575230013102</v>
      </c>
      <c r="T867" s="3">
        <v>0</v>
      </c>
      <c r="U867" s="3">
        <v>9.3518679111938049E-2</v>
      </c>
      <c r="V867" s="3"/>
      <c r="W867" s="4"/>
    </row>
    <row r="868" spans="1:23" s="1" customFormat="1" ht="24.95" customHeight="1" x14ac:dyDescent="0.2">
      <c r="A868" s="8">
        <v>45684</v>
      </c>
      <c r="B868" s="7">
        <v>0.67708333333333337</v>
      </c>
      <c r="C868" s="9" t="s">
        <v>378</v>
      </c>
      <c r="D868" s="1" t="s">
        <v>388</v>
      </c>
      <c r="E868" s="1" t="s">
        <v>397</v>
      </c>
      <c r="F868" s="1" t="s">
        <v>476</v>
      </c>
      <c r="G868" s="1" t="s">
        <v>365</v>
      </c>
      <c r="H868" s="2">
        <v>-7</v>
      </c>
      <c r="I868" s="17">
        <v>1014</v>
      </c>
      <c r="J868" s="1" t="s">
        <v>369</v>
      </c>
      <c r="K868" s="6">
        <f>Registro_Ordini[[#This Row],[Numero]]*Registro_Ordini[[#This Row],[Prezzo]]</f>
        <v>-7098</v>
      </c>
      <c r="L868" s="10">
        <v>1.0000001000000001</v>
      </c>
      <c r="M868" s="6">
        <f>Registro_Ordini[[#This Row],[Importo]]*Registro_Ordini[[#This Row],[Cambio]]</f>
        <v>-7098.0007098000005</v>
      </c>
      <c r="N868" s="1">
        <f ca="1">IFERROR(_xlfn.NUMBERVALUE(OFFSET(Origine,MATCH(Registro_Ordini[[#This Row],[Titolo]],Descrizioni,0),MATCH("Price",Intestazioni,0)-1,1,1)),"")</f>
        <v>1392</v>
      </c>
      <c r="O868" s="18">
        <f ca="1">IF(OR(Registro_Ordini[[#This Row],[Price]]=0,Registro_Ordini[[#This Row],[Price]]=""),"",IF(Registro_Ordini[[#This Row],[Tipo]]="Sell",Registro_Ordini[[#This Row],[Prezzo]]/Registro_Ordini[[#This Row],[Price]]-1,Registro_Ordini[[#This Row],[Price]]/Registro_Ordini[[#This Row],[Prezzo]]-1))</f>
        <v>-0.27155172413793105</v>
      </c>
      <c r="P868" s="15">
        <v>-1.3780867349711751E-2</v>
      </c>
      <c r="Q868" s="3">
        <v>0.1662455494215935</v>
      </c>
      <c r="R868" s="3">
        <v>0.33383489961251994</v>
      </c>
      <c r="S868" s="3">
        <v>0.40980813183421155</v>
      </c>
      <c r="T868" s="3">
        <v>0</v>
      </c>
      <c r="U868" s="3">
        <v>9.011141913167503E-2</v>
      </c>
      <c r="V868" s="3"/>
      <c r="W868" s="4"/>
    </row>
    <row r="869" spans="1:23" s="1" customFormat="1" ht="24.95" customHeight="1" x14ac:dyDescent="0.2">
      <c r="A869" s="8">
        <v>45684</v>
      </c>
      <c r="B869" s="7">
        <v>0.67708333333333337</v>
      </c>
      <c r="C869" s="9" t="s">
        <v>377</v>
      </c>
      <c r="D869" s="1" t="s">
        <v>388</v>
      </c>
      <c r="E869" s="1" t="s">
        <v>397</v>
      </c>
      <c r="F869" s="1" t="s">
        <v>476</v>
      </c>
      <c r="G869" s="1" t="s">
        <v>365</v>
      </c>
      <c r="H869" s="2">
        <v>-20</v>
      </c>
      <c r="I869" s="17">
        <v>1014</v>
      </c>
      <c r="J869" s="1" t="s">
        <v>369</v>
      </c>
      <c r="K869" s="6">
        <f>Registro_Ordini[[#This Row],[Numero]]*Registro_Ordini[[#This Row],[Prezzo]]</f>
        <v>-20280</v>
      </c>
      <c r="L869" s="10">
        <v>1.0000001000000001</v>
      </c>
      <c r="M869" s="6">
        <f>Registro_Ordini[[#This Row],[Importo]]*Registro_Ordini[[#This Row],[Cambio]]</f>
        <v>-20280.002028000003</v>
      </c>
      <c r="N869" s="1">
        <f ca="1">IFERROR(_xlfn.NUMBERVALUE(OFFSET(Origine,MATCH(Registro_Ordini[[#This Row],[Titolo]],Descrizioni,0),MATCH("Price",Intestazioni,0)-1,1,1)),"")</f>
        <v>1392</v>
      </c>
      <c r="O869" s="18">
        <f ca="1">IF(OR(Registro_Ordini[[#This Row],[Price]]=0,Registro_Ordini[[#This Row],[Price]]=""),"",IF(Registro_Ordini[[#This Row],[Tipo]]="Sell",Registro_Ordini[[#This Row],[Prezzo]]/Registro_Ordini[[#This Row],[Price]]-1,Registro_Ordini[[#This Row],[Price]]/Registro_Ordini[[#This Row],[Prezzo]]-1))</f>
        <v>-0.27155172413793105</v>
      </c>
      <c r="P869" s="15">
        <v>-1.2670014823728676E-2</v>
      </c>
      <c r="Q869" s="3">
        <v>0.15022362483421944</v>
      </c>
      <c r="R869" s="3">
        <v>0.32406420511283923</v>
      </c>
      <c r="S869" s="3">
        <v>0.42477438529056949</v>
      </c>
      <c r="T869" s="3">
        <v>0</v>
      </c>
      <c r="U869" s="3">
        <v>0.10093778476237177</v>
      </c>
      <c r="V869" s="3"/>
      <c r="W869" s="4"/>
    </row>
    <row r="870" spans="1:23" s="1" customFormat="1" ht="24.95" customHeight="1" x14ac:dyDescent="0.2">
      <c r="A870" s="8">
        <v>45684</v>
      </c>
      <c r="B870" s="7">
        <v>0.67708333333333337</v>
      </c>
      <c r="C870" s="9" t="s">
        <v>376</v>
      </c>
      <c r="D870" s="1" t="s">
        <v>388</v>
      </c>
      <c r="E870" s="1" t="s">
        <v>397</v>
      </c>
      <c r="F870" s="1" t="s">
        <v>476</v>
      </c>
      <c r="G870" s="1" t="s">
        <v>365</v>
      </c>
      <c r="H870" s="2">
        <v>-4</v>
      </c>
      <c r="I870" s="17">
        <v>1014</v>
      </c>
      <c r="J870" s="1" t="s">
        <v>369</v>
      </c>
      <c r="K870" s="6">
        <f>Registro_Ordini[[#This Row],[Numero]]*Registro_Ordini[[#This Row],[Prezzo]]</f>
        <v>-4056</v>
      </c>
      <c r="L870" s="10">
        <v>1.0000001000000001</v>
      </c>
      <c r="M870" s="6">
        <f>Registro_Ordini[[#This Row],[Importo]]*Registro_Ordini[[#This Row],[Cambio]]</f>
        <v>-4056.0004056000002</v>
      </c>
      <c r="N870" s="1">
        <f ca="1">IFERROR(_xlfn.NUMBERVALUE(OFFSET(Origine,MATCH(Registro_Ordini[[#This Row],[Titolo]],Descrizioni,0),MATCH("Price",Intestazioni,0)-1,1,1)),"")</f>
        <v>1392</v>
      </c>
      <c r="O870" s="18">
        <f ca="1">IF(OR(Registro_Ordini[[#This Row],[Price]]=0,Registro_Ordini[[#This Row],[Price]]=""),"",IF(Registro_Ordini[[#This Row],[Tipo]]="Sell",Registro_Ordini[[#This Row],[Prezzo]]/Registro_Ordini[[#This Row],[Price]]-1,Registro_Ordini[[#This Row],[Price]]/Registro_Ordini[[#This Row],[Prezzo]]-1))</f>
        <v>-0.27155172413793105</v>
      </c>
      <c r="P870" s="15">
        <v>-1.4761095184140116E-2</v>
      </c>
      <c r="Q870" s="3">
        <v>8.8098895765539365E-2</v>
      </c>
      <c r="R870" s="3">
        <v>0.3560348539994263</v>
      </c>
      <c r="S870" s="3">
        <v>0.436988474444924</v>
      </c>
      <c r="T870" s="3">
        <v>0</v>
      </c>
      <c r="U870" s="3">
        <v>0.11887777579011027</v>
      </c>
      <c r="V870" s="3"/>
      <c r="W870" s="4"/>
    </row>
    <row r="871" spans="1:23" s="1" customFormat="1" ht="24.95" customHeight="1" x14ac:dyDescent="0.2">
      <c r="A871" s="8">
        <v>45684</v>
      </c>
      <c r="B871" s="7">
        <v>0.67708333333333337</v>
      </c>
      <c r="C871" s="9" t="s">
        <v>367</v>
      </c>
      <c r="D871" s="1" t="s">
        <v>388</v>
      </c>
      <c r="E871" s="1" t="s">
        <v>397</v>
      </c>
      <c r="F871" s="1" t="s">
        <v>476</v>
      </c>
      <c r="G871" s="1" t="s">
        <v>365</v>
      </c>
      <c r="H871" s="2">
        <v>-45</v>
      </c>
      <c r="I871" s="17">
        <v>1015</v>
      </c>
      <c r="J871" s="1" t="s">
        <v>369</v>
      </c>
      <c r="K871" s="6">
        <f>Registro_Ordini[[#This Row],[Numero]]*Registro_Ordini[[#This Row],[Prezzo]]</f>
        <v>-45675</v>
      </c>
      <c r="L871" s="10">
        <v>1.0000001000000001</v>
      </c>
      <c r="M871" s="6">
        <f>Registro_Ordini[[#This Row],[Importo]]*Registro_Ordini[[#This Row],[Cambio]]</f>
        <v>-45675.0045675</v>
      </c>
      <c r="N871" s="1">
        <f ca="1">IFERROR(_xlfn.NUMBERVALUE(OFFSET(Origine,MATCH(Registro_Ordini[[#This Row],[Titolo]],Descrizioni,0),MATCH("Price",Intestazioni,0)-1,1,1)),"")</f>
        <v>1392</v>
      </c>
      <c r="O871" s="18">
        <f ca="1">IF(OR(Registro_Ordini[[#This Row],[Price]]=0,Registro_Ordini[[#This Row],[Price]]=""),"",IF(Registro_Ordini[[#This Row],[Tipo]]="Sell",Registro_Ordini[[#This Row],[Prezzo]]/Registro_Ordini[[#This Row],[Price]]-1,Registro_Ordini[[#This Row],[Price]]/Registro_Ordini[[#This Row],[Prezzo]]-1))</f>
        <v>-0.27083333333333337</v>
      </c>
      <c r="P871" s="15">
        <v>-1.2323357399856938E-2</v>
      </c>
      <c r="Q871" s="3">
        <v>0.14162927694350069</v>
      </c>
      <c r="R871" s="3">
        <v>0.40430903304242205</v>
      </c>
      <c r="S871" s="3">
        <v>0.35010871272935806</v>
      </c>
      <c r="T871" s="3">
        <v>0</v>
      </c>
      <c r="U871" s="3">
        <v>0.1114029830946295</v>
      </c>
      <c r="V871" s="3"/>
      <c r="W871" s="4"/>
    </row>
    <row r="872" spans="1:23" s="1" customFormat="1" ht="24.95" customHeight="1" x14ac:dyDescent="0.2">
      <c r="A872" s="8">
        <v>45674</v>
      </c>
      <c r="B872" s="7">
        <v>0.66805555555555551</v>
      </c>
      <c r="C872" s="9" t="s">
        <v>379</v>
      </c>
      <c r="D872" s="1" t="s">
        <v>388</v>
      </c>
      <c r="E872" s="1" t="s">
        <v>397</v>
      </c>
      <c r="F872" s="1" t="s">
        <v>443</v>
      </c>
      <c r="G872" s="1" t="s">
        <v>365</v>
      </c>
      <c r="H872" s="2">
        <v>-150</v>
      </c>
      <c r="I872" s="17">
        <v>89.44</v>
      </c>
      <c r="J872" s="1" t="s">
        <v>369</v>
      </c>
      <c r="K872" s="6">
        <f>Registro_Ordini[[#This Row],[Numero]]*Registro_Ordini[[#This Row],[Prezzo]]</f>
        <v>-13416</v>
      </c>
      <c r="L872" s="10">
        <v>1.06348607</v>
      </c>
      <c r="M872" s="6">
        <f>Registro_Ordini[[#This Row],[Importo]]*Registro_Ordini[[#This Row],[Cambio]]</f>
        <v>-14267.729115119999</v>
      </c>
      <c r="N872" s="1">
        <f ca="1">IFERROR(_xlfn.NUMBERVALUE(OFFSET(Origine,MATCH(Registro_Ordini[[#This Row],[Titolo]],Descrizioni,0),MATCH("Price",Intestazioni,0)-1,1,1)),"")</f>
        <v>126.4</v>
      </c>
      <c r="O872" s="18">
        <f ca="1">IF(OR(Registro_Ordini[[#This Row],[Price]]=0,Registro_Ordini[[#This Row],[Price]]=""),"",IF(Registro_Ordini[[#This Row],[Tipo]]="Sell",Registro_Ordini[[#This Row],[Prezzo]]/Registro_Ordini[[#This Row],[Price]]-1,Registro_Ordini[[#This Row],[Price]]/Registro_Ordini[[#This Row],[Prezzo]]-1))</f>
        <v>-0.29240506329113924</v>
      </c>
      <c r="P872" s="15">
        <v>-2.5602472717415649E-2</v>
      </c>
      <c r="Q872" s="3">
        <v>0.13004135773438358</v>
      </c>
      <c r="R872" s="3">
        <v>0.28949532714762061</v>
      </c>
      <c r="S872" s="3">
        <v>0.47497649479239706</v>
      </c>
      <c r="T872" s="3">
        <v>0</v>
      </c>
      <c r="U872" s="3">
        <v>0.10548682032559877</v>
      </c>
      <c r="V872" s="3"/>
      <c r="W872" s="4"/>
    </row>
    <row r="873" spans="1:23" s="1" customFormat="1" ht="24.95" customHeight="1" x14ac:dyDescent="0.2">
      <c r="A873" s="8">
        <v>45674</v>
      </c>
      <c r="B873" s="7">
        <v>0.66736111111111107</v>
      </c>
      <c r="C873" s="9" t="s">
        <v>78</v>
      </c>
      <c r="D873" s="1" t="s">
        <v>388</v>
      </c>
      <c r="E873" s="1" t="s">
        <v>397</v>
      </c>
      <c r="F873" s="1" t="s">
        <v>443</v>
      </c>
      <c r="G873" s="1" t="s">
        <v>365</v>
      </c>
      <c r="H873" s="2">
        <v>-115</v>
      </c>
      <c r="I873" s="17">
        <v>89.44</v>
      </c>
      <c r="J873" s="1" t="s">
        <v>369</v>
      </c>
      <c r="K873" s="6">
        <f>Registro_Ordini[[#This Row],[Numero]]*Registro_Ordini[[#This Row],[Prezzo]]</f>
        <v>-10285.6</v>
      </c>
      <c r="L873" s="10">
        <v>1.0000001000000001</v>
      </c>
      <c r="M873" s="6">
        <f>Registro_Ordini[[#This Row],[Importo]]*Registro_Ordini[[#This Row],[Cambio]]</f>
        <v>-10285.60102856</v>
      </c>
      <c r="N873" s="1">
        <f ca="1">IFERROR(_xlfn.NUMBERVALUE(OFFSET(Origine,MATCH(Registro_Ordini[[#This Row],[Titolo]],Descrizioni,0),MATCH("Price",Intestazioni,0)-1,1,1)),"")</f>
        <v>126.4</v>
      </c>
      <c r="O873" s="18">
        <f ca="1">IF(OR(Registro_Ordini[[#This Row],[Price]]=0,Registro_Ordini[[#This Row],[Price]]=""),"",IF(Registro_Ordini[[#This Row],[Tipo]]="Sell",Registro_Ordini[[#This Row],[Prezzo]]/Registro_Ordini[[#This Row],[Price]]-1,Registro_Ordini[[#This Row],[Price]]/Registro_Ordini[[#This Row],[Prezzo]]-1))</f>
        <v>-0.29240506329113924</v>
      </c>
      <c r="P873" s="15">
        <v>-2.4635140625902011E-2</v>
      </c>
      <c r="Q873" s="3">
        <v>8.7607289775058397E-2</v>
      </c>
      <c r="R873" s="3">
        <v>0.1661794457215135</v>
      </c>
      <c r="S873" s="3">
        <v>0.67836143114132608</v>
      </c>
      <c r="T873" s="3">
        <v>0</v>
      </c>
      <c r="U873" s="3">
        <v>6.7851833362102001E-2</v>
      </c>
      <c r="V873" s="3"/>
      <c r="W873" s="4"/>
    </row>
    <row r="874" spans="1:23" s="1" customFormat="1" ht="24.95" customHeight="1" x14ac:dyDescent="0.2">
      <c r="A874" s="8">
        <v>45674</v>
      </c>
      <c r="B874" s="7">
        <v>0.66736111111111107</v>
      </c>
      <c r="C874" s="9" t="s">
        <v>375</v>
      </c>
      <c r="D874" s="1" t="s">
        <v>388</v>
      </c>
      <c r="E874" s="1" t="s">
        <v>397</v>
      </c>
      <c r="F874" s="1" t="s">
        <v>443</v>
      </c>
      <c r="G874" s="1" t="s">
        <v>365</v>
      </c>
      <c r="H874" s="2">
        <v>-210</v>
      </c>
      <c r="I874" s="17">
        <v>89.44</v>
      </c>
      <c r="J874" s="1" t="s">
        <v>369</v>
      </c>
      <c r="K874" s="6">
        <f>Registro_Ordini[[#This Row],[Numero]]*Registro_Ordini[[#This Row],[Prezzo]]</f>
        <v>-18782.399999999998</v>
      </c>
      <c r="L874" s="10">
        <v>1.0000001000000001</v>
      </c>
      <c r="M874" s="6">
        <f>Registro_Ordini[[#This Row],[Importo]]*Registro_Ordini[[#This Row],[Cambio]]</f>
        <v>-18782.401878239998</v>
      </c>
      <c r="N874" s="1">
        <f ca="1">IFERROR(_xlfn.NUMBERVALUE(OFFSET(Origine,MATCH(Registro_Ordini[[#This Row],[Titolo]],Descrizioni,0),MATCH("Price",Intestazioni,0)-1,1,1)),"")</f>
        <v>126.4</v>
      </c>
      <c r="O874" s="18">
        <f ca="1">IF(OR(Registro_Ordini[[#This Row],[Price]]=0,Registro_Ordini[[#This Row],[Price]]=""),"",IF(Registro_Ordini[[#This Row],[Tipo]]="Sell",Registro_Ordini[[#This Row],[Prezzo]]/Registro_Ordini[[#This Row],[Price]]-1,Registro_Ordini[[#This Row],[Price]]/Registro_Ordini[[#This Row],[Prezzo]]-1))</f>
        <v>-0.29240506329113924</v>
      </c>
      <c r="P874" s="15">
        <v>-2.3601342119495657E-2</v>
      </c>
      <c r="Q874" s="3">
        <v>0.12252027767756389</v>
      </c>
      <c r="R874" s="3">
        <v>0.35793207787190856</v>
      </c>
      <c r="S874" s="3">
        <v>0.42718657164571416</v>
      </c>
      <c r="T874" s="3">
        <v>0</v>
      </c>
      <c r="U874" s="3">
        <v>9.2361072804813302E-2</v>
      </c>
      <c r="V874" s="3"/>
      <c r="W874" s="4"/>
    </row>
    <row r="875" spans="1:23" s="1" customFormat="1" ht="24.95" customHeight="1" x14ac:dyDescent="0.2">
      <c r="A875" s="8">
        <v>45674</v>
      </c>
      <c r="B875" s="7">
        <v>0.66736111111111107</v>
      </c>
      <c r="C875" s="9" t="s">
        <v>378</v>
      </c>
      <c r="D875" s="1" t="s">
        <v>388</v>
      </c>
      <c r="E875" s="1" t="s">
        <v>397</v>
      </c>
      <c r="F875" s="1" t="s">
        <v>443</v>
      </c>
      <c r="G875" s="1" t="s">
        <v>365</v>
      </c>
      <c r="H875" s="2">
        <v>-145</v>
      </c>
      <c r="I875" s="17">
        <v>89.44</v>
      </c>
      <c r="J875" s="1" t="s">
        <v>369</v>
      </c>
      <c r="K875" s="6">
        <f>Registro_Ordini[[#This Row],[Numero]]*Registro_Ordini[[#This Row],[Prezzo]]</f>
        <v>-12968.8</v>
      </c>
      <c r="L875" s="10">
        <v>1.0000001000000001</v>
      </c>
      <c r="M875" s="6">
        <f>Registro_Ordini[[#This Row],[Importo]]*Registro_Ordini[[#This Row],[Cambio]]</f>
        <v>-12968.801296879999</v>
      </c>
      <c r="N875" s="1">
        <f ca="1">IFERROR(_xlfn.NUMBERVALUE(OFFSET(Origine,MATCH(Registro_Ordini[[#This Row],[Titolo]],Descrizioni,0),MATCH("Price",Intestazioni,0)-1,1,1)),"")</f>
        <v>126.4</v>
      </c>
      <c r="O875" s="18">
        <f ca="1">IF(OR(Registro_Ordini[[#This Row],[Price]]=0,Registro_Ordini[[#This Row],[Price]]=""),"",IF(Registro_Ordini[[#This Row],[Tipo]]="Sell",Registro_Ordini[[#This Row],[Prezzo]]/Registro_Ordini[[#This Row],[Price]]-1,Registro_Ordini[[#This Row],[Price]]/Registro_Ordini[[#This Row],[Prezzo]]-1))</f>
        <v>-0.29240506329113924</v>
      </c>
      <c r="P875" s="15">
        <v>-2.5427432220952187E-2</v>
      </c>
      <c r="Q875" s="3">
        <v>0.15367083779613946</v>
      </c>
      <c r="R875" s="3">
        <v>0.33676933747645571</v>
      </c>
      <c r="S875" s="3">
        <v>0.41971124332664717</v>
      </c>
      <c r="T875" s="3">
        <v>0</v>
      </c>
      <c r="U875" s="3">
        <v>8.9848581400757604E-2</v>
      </c>
      <c r="V875" s="3"/>
      <c r="W875" s="4"/>
    </row>
    <row r="876" spans="1:23" s="1" customFormat="1" ht="24.95" customHeight="1" x14ac:dyDescent="0.2">
      <c r="A876" s="8">
        <v>45674</v>
      </c>
      <c r="B876" s="7">
        <v>0.66736111111111107</v>
      </c>
      <c r="C876" s="9" t="s">
        <v>377</v>
      </c>
      <c r="D876" s="1" t="s">
        <v>388</v>
      </c>
      <c r="E876" s="1" t="s">
        <v>397</v>
      </c>
      <c r="F876" s="1" t="s">
        <v>443</v>
      </c>
      <c r="G876" s="1" t="s">
        <v>365</v>
      </c>
      <c r="H876" s="2">
        <v>-485</v>
      </c>
      <c r="I876" s="17">
        <v>89.44</v>
      </c>
      <c r="J876" s="1" t="s">
        <v>369</v>
      </c>
      <c r="K876" s="6">
        <f>Registro_Ordini[[#This Row],[Numero]]*Registro_Ordini[[#This Row],[Prezzo]]</f>
        <v>-43378.400000000001</v>
      </c>
      <c r="L876" s="10">
        <v>1.0000001000000001</v>
      </c>
      <c r="M876" s="6">
        <f>Registro_Ordini[[#This Row],[Importo]]*Registro_Ordini[[#This Row],[Cambio]]</f>
        <v>-43378.404337840002</v>
      </c>
      <c r="N876" s="1">
        <f ca="1">IFERROR(_xlfn.NUMBERVALUE(OFFSET(Origine,MATCH(Registro_Ordini[[#This Row],[Titolo]],Descrizioni,0),MATCH("Price",Intestazioni,0)-1,1,1)),"")</f>
        <v>126.4</v>
      </c>
      <c r="O876" s="18">
        <f ca="1">IF(OR(Registro_Ordini[[#This Row],[Price]]=0,Registro_Ordini[[#This Row],[Price]]=""),"",IF(Registro_Ordini[[#This Row],[Tipo]]="Sell",Registro_Ordini[[#This Row],[Prezzo]]/Registro_Ordini[[#This Row],[Price]]-1,Registro_Ordini[[#This Row],[Price]]/Registro_Ordini[[#This Row],[Prezzo]]-1))</f>
        <v>-0.29240506329113924</v>
      </c>
      <c r="P876" s="15">
        <v>-2.7353198513547432E-2</v>
      </c>
      <c r="Q876" s="3">
        <v>0.13895669019082554</v>
      </c>
      <c r="R876" s="3">
        <v>0.32674084963802519</v>
      </c>
      <c r="S876" s="3">
        <v>0.43407705762799936</v>
      </c>
      <c r="T876" s="3">
        <v>0</v>
      </c>
      <c r="U876" s="3">
        <v>0.10022540254315009</v>
      </c>
      <c r="V876" s="3"/>
      <c r="W876" s="4"/>
    </row>
    <row r="877" spans="1:23" s="1" customFormat="1" ht="24.95" customHeight="1" x14ac:dyDescent="0.2">
      <c r="A877" s="8">
        <v>45674</v>
      </c>
      <c r="B877" s="7">
        <v>0.66736111111111107</v>
      </c>
      <c r="C877" s="9" t="s">
        <v>376</v>
      </c>
      <c r="D877" s="1" t="s">
        <v>388</v>
      </c>
      <c r="E877" s="1" t="s">
        <v>397</v>
      </c>
      <c r="F877" s="1" t="s">
        <v>443</v>
      </c>
      <c r="G877" s="1" t="s">
        <v>365</v>
      </c>
      <c r="H877" s="2">
        <v>-70</v>
      </c>
      <c r="I877" s="17">
        <v>89.44</v>
      </c>
      <c r="J877" s="1" t="s">
        <v>369</v>
      </c>
      <c r="K877" s="6">
        <f>Registro_Ordini[[#This Row],[Numero]]*Registro_Ordini[[#This Row],[Prezzo]]</f>
        <v>-6260.8</v>
      </c>
      <c r="L877" s="10">
        <v>1.0000001000000001</v>
      </c>
      <c r="M877" s="6">
        <f>Registro_Ordini[[#This Row],[Importo]]*Registro_Ordini[[#This Row],[Cambio]]</f>
        <v>-6260.8006260800003</v>
      </c>
      <c r="N877" s="1">
        <f ca="1">IFERROR(_xlfn.NUMBERVALUE(OFFSET(Origine,MATCH(Registro_Ordini[[#This Row],[Titolo]],Descrizioni,0),MATCH("Price",Intestazioni,0)-1,1,1)),"")</f>
        <v>126.4</v>
      </c>
      <c r="O877" s="18">
        <f ca="1">IF(OR(Registro_Ordini[[#This Row],[Price]]=0,Registro_Ordini[[#This Row],[Price]]=""),"",IF(Registro_Ordini[[#This Row],[Tipo]]="Sell",Registro_Ordini[[#This Row],[Prezzo]]/Registro_Ordini[[#This Row],[Price]]-1,Registro_Ordini[[#This Row],[Price]]/Registro_Ordini[[#This Row],[Prezzo]]-1))</f>
        <v>-0.29240506329113924</v>
      </c>
      <c r="P877" s="15">
        <v>-2.2222797762052372E-2</v>
      </c>
      <c r="Q877" s="3">
        <v>0.10661846172686298</v>
      </c>
      <c r="R877" s="3">
        <v>0.34686553961929606</v>
      </c>
      <c r="S877" s="3">
        <v>0.43158174146129352</v>
      </c>
      <c r="T877" s="3">
        <v>0</v>
      </c>
      <c r="U877" s="3">
        <v>0.11493425719254749</v>
      </c>
      <c r="V877" s="3"/>
      <c r="W877" s="4"/>
    </row>
    <row r="878" spans="1:23" s="1" customFormat="1" ht="24.95" customHeight="1" x14ac:dyDescent="0.2">
      <c r="A878" s="8">
        <v>45674</v>
      </c>
      <c r="B878" s="7">
        <v>0.66736111111111107</v>
      </c>
      <c r="C878" s="9" t="s">
        <v>367</v>
      </c>
      <c r="D878" s="1" t="s">
        <v>388</v>
      </c>
      <c r="E878" s="1" t="s">
        <v>397</v>
      </c>
      <c r="F878" s="1" t="s">
        <v>443</v>
      </c>
      <c r="G878" s="1" t="s">
        <v>365</v>
      </c>
      <c r="H878" s="2">
        <v>-360</v>
      </c>
      <c r="I878" s="17">
        <v>89.42</v>
      </c>
      <c r="J878" s="1" t="s">
        <v>369</v>
      </c>
      <c r="K878" s="6">
        <f>Registro_Ordini[[#This Row],[Numero]]*Registro_Ordini[[#This Row],[Prezzo]]</f>
        <v>-32191.200000000001</v>
      </c>
      <c r="L878" s="10">
        <v>1.0000001000000001</v>
      </c>
      <c r="M878" s="6">
        <f>Registro_Ordini[[#This Row],[Importo]]*Registro_Ordini[[#This Row],[Cambio]]</f>
        <v>-32191.203219120001</v>
      </c>
      <c r="N878" s="1">
        <f ca="1">IFERROR(_xlfn.NUMBERVALUE(OFFSET(Origine,MATCH(Registro_Ordini[[#This Row],[Titolo]],Descrizioni,0),MATCH("Price",Intestazioni,0)-1,1,1)),"")</f>
        <v>126.4</v>
      </c>
      <c r="O878" s="18">
        <f ca="1">IF(OR(Registro_Ordini[[#This Row],[Price]]=0,Registro_Ordini[[#This Row],[Price]]=""),"",IF(Registro_Ordini[[#This Row],[Tipo]]="Sell",Registro_Ordini[[#This Row],[Prezzo]]/Registro_Ordini[[#This Row],[Price]]-1,Registro_Ordini[[#This Row],[Price]]/Registro_Ordini[[#This Row],[Prezzo]]-1))</f>
        <v>-0.29256329113924051</v>
      </c>
      <c r="P878" s="15">
        <v>-9.2814824193769817E-3</v>
      </c>
      <c r="Q878" s="3">
        <v>0.13863662719995251</v>
      </c>
      <c r="R878" s="3">
        <v>0.43199181658269498</v>
      </c>
      <c r="S878" s="3">
        <v>0.379487138201825</v>
      </c>
      <c r="T878" s="3">
        <v>0</v>
      </c>
      <c r="U878" s="3">
        <v>4.9884418015527392E-2</v>
      </c>
      <c r="V878" s="3"/>
      <c r="W878" s="4"/>
    </row>
    <row r="879" spans="1:23" s="1" customFormat="1" ht="24.95" customHeight="1" x14ac:dyDescent="0.2">
      <c r="A879" s="8">
        <v>45671</v>
      </c>
      <c r="B879" s="7">
        <v>0.4597222222222222</v>
      </c>
      <c r="C879" s="9" t="s">
        <v>413</v>
      </c>
      <c r="D879" s="1" t="s">
        <v>362</v>
      </c>
      <c r="E879" s="1" t="s">
        <v>363</v>
      </c>
      <c r="F879" s="19" t="s">
        <v>477</v>
      </c>
      <c r="G879" s="1" t="s">
        <v>365</v>
      </c>
      <c r="H879" s="2">
        <v>-50000</v>
      </c>
      <c r="I879" s="17">
        <v>0.56440000000000001</v>
      </c>
      <c r="J879" s="1" t="s">
        <v>478</v>
      </c>
      <c r="K879" s="6">
        <f>Registro_Ordini[[#This Row],[Numero]]*Registro_Ordini[[#This Row],[Prezzo]]</f>
        <v>-28220</v>
      </c>
      <c r="L879" s="10">
        <f>0.5606-0.0001</f>
        <v>0.5605</v>
      </c>
      <c r="M879" s="6">
        <f>Registro_Ordini[[#This Row],[Importo]]*Registro_Ordini[[#This Row],[Cambio]]</f>
        <v>-15817.31</v>
      </c>
      <c r="N879" s="1">
        <f ca="1">IFERROR(_xlfn.NUMBERVALUE(OFFSET(Origine,MATCH(Registro_Ordini[[#This Row],[Titolo]],Descrizioni,0),MATCH("Price",Intestazioni,0)-1,1,1)),"")</f>
        <v>0.60609999999999997</v>
      </c>
      <c r="O879" s="18">
        <f ca="1">IF(OR(Registro_Ordini[[#This Row],[Price]]=0,Registro_Ordini[[#This Row],[Price]]=""),"",IF(Registro_Ordini[[#This Row],[Tipo]]="Sell",Registro_Ordini[[#This Row],[Prezzo]]/Registro_Ordini[[#This Row],[Price]]-1,Registro_Ordini[[#This Row],[Price]]/Registro_Ordini[[#This Row],[Prezzo]]-1))</f>
        <v>-6.8800527965682146E-2</v>
      </c>
      <c r="P879" s="15">
        <v>-5.9015674243711172E-3</v>
      </c>
      <c r="Q879" s="3">
        <v>7.3074033080763101E-2</v>
      </c>
      <c r="R879" s="3">
        <v>0.23205052415201194</v>
      </c>
      <c r="S879" s="3">
        <v>0.29570233906282839</v>
      </c>
      <c r="T879" s="3">
        <v>0</v>
      </c>
      <c r="U879" s="3">
        <v>0.39917310370439657</v>
      </c>
      <c r="V879" s="3">
        <v>0</v>
      </c>
      <c r="W879" s="5" t="s">
        <v>479</v>
      </c>
    </row>
    <row r="880" spans="1:23" s="1" customFormat="1" ht="24.95" customHeight="1" x14ac:dyDescent="0.2">
      <c r="A880" s="8">
        <v>45670</v>
      </c>
      <c r="B880" s="7">
        <v>0.46041666666666664</v>
      </c>
      <c r="C880" s="9" t="s">
        <v>456</v>
      </c>
      <c r="D880" s="1" t="s">
        <v>362</v>
      </c>
      <c r="E880" s="1" t="s">
        <v>363</v>
      </c>
      <c r="F880" s="1" t="s">
        <v>364</v>
      </c>
      <c r="G880" s="1" t="s">
        <v>365</v>
      </c>
      <c r="H880" s="2">
        <v>-35000</v>
      </c>
      <c r="I880" s="17">
        <v>1</v>
      </c>
      <c r="J880" s="1" t="s">
        <v>366</v>
      </c>
      <c r="K880" s="6">
        <f>Registro_Ordini[[#This Row],[Numero]]*Registro_Ordini[[#This Row],[Prezzo]]</f>
        <v>-35000</v>
      </c>
      <c r="L880" s="10">
        <v>0.91685000000000005</v>
      </c>
      <c r="M880" s="6">
        <f>Registro_Ordini[[#This Row],[Importo]]*Registro_Ordini[[#This Row],[Cambio]]</f>
        <v>-32089.750000000004</v>
      </c>
      <c r="N880" s="1">
        <f ca="1">IFERROR(_xlfn.NUMBERVALUE(OFFSET(Origine,MATCH(Registro_Ordini[[#This Row],[Titolo]],Descrizioni,0),MATCH("Price",Intestazioni,0)-1,1,1)),"")</f>
        <v>0.78225</v>
      </c>
      <c r="O880" s="18">
        <f ca="1">IF(OR(Registro_Ordini[[#This Row],[Price]]=0,Registro_Ordini[[#This Row],[Price]]=""),"",IF(Registro_Ordini[[#This Row],[Tipo]]="Sell",Registro_Ordini[[#This Row],[Prezzo]]/Registro_Ordini[[#This Row],[Price]]-1,Registro_Ordini[[#This Row],[Price]]/Registro_Ordini[[#This Row],[Prezzo]]-1))</f>
        <v>0.27836369447107701</v>
      </c>
      <c r="P880" s="15">
        <v>-4.206385614526538E-2</v>
      </c>
      <c r="Q880" s="3">
        <v>0.11717568371943878</v>
      </c>
      <c r="R880" s="3">
        <v>0.34017702562969993</v>
      </c>
      <c r="S880" s="3">
        <v>0.48153617293264456</v>
      </c>
      <c r="T880" s="3">
        <v>0</v>
      </c>
      <c r="U880" s="3">
        <v>0</v>
      </c>
      <c r="V880" s="3">
        <v>6.1111117718216819E-2</v>
      </c>
      <c r="W880" s="4" t="s">
        <v>480</v>
      </c>
    </row>
    <row r="881" spans="1:23" s="1" customFormat="1" ht="24.95" customHeight="1" x14ac:dyDescent="0.2">
      <c r="A881" s="8">
        <v>45664</v>
      </c>
      <c r="B881" s="7">
        <v>0.73819444444444449</v>
      </c>
      <c r="C881" s="9" t="s">
        <v>413</v>
      </c>
      <c r="D881" s="1" t="s">
        <v>393</v>
      </c>
      <c r="E881" s="1" t="s">
        <v>481</v>
      </c>
      <c r="F881" s="19" t="s">
        <v>482</v>
      </c>
      <c r="G881" s="1" t="s">
        <v>365</v>
      </c>
      <c r="H881" s="2">
        <v>-1800</v>
      </c>
      <c r="I881" s="17">
        <v>29.347999999999999</v>
      </c>
      <c r="J881" s="1" t="s">
        <v>366</v>
      </c>
      <c r="K881" s="6">
        <f>Registro_Ordini[[#This Row],[Numero]]*Registro_Ordini[[#This Row],[Prezzo]]</f>
        <v>-52826.400000000001</v>
      </c>
      <c r="L881" s="10">
        <v>0.90764999999999996</v>
      </c>
      <c r="M881" s="6">
        <f>Registro_Ordini[[#This Row],[Importo]]*Registro_Ordini[[#This Row],[Cambio]]</f>
        <v>-47947.881959999999</v>
      </c>
      <c r="N881" s="1">
        <f ca="1">IFERROR(_xlfn.NUMBERVALUE(OFFSET(Origine,MATCH(Registro_Ordini[[#This Row],[Titolo]],Descrizioni,0),MATCH("Price",Intestazioni,0)-1,1,1)),"")</f>
        <v>29.860099999999999</v>
      </c>
      <c r="O881" s="18">
        <f ca="1">IF(OR(Registro_Ordini[[#This Row],[Price]]=0,Registro_Ordini[[#This Row],[Price]]=""),"",IF(Registro_Ordini[[#This Row],[Tipo]]="Sell",Registro_Ordini[[#This Row],[Prezzo]]/Registro_Ordini[[#This Row],[Price]]-1,Registro_Ordini[[#This Row],[Price]]/Registro_Ordini[[#This Row],[Prezzo]]-1))</f>
        <v>-1.7149976055003124E-2</v>
      </c>
      <c r="P881" s="15">
        <v>-1.0127766942334629E-2</v>
      </c>
      <c r="Q881" s="3">
        <v>7.3569098434603145E-2</v>
      </c>
      <c r="R881" s="3">
        <v>0.23393489750186355</v>
      </c>
      <c r="S881" s="3">
        <v>0.2997108809455713</v>
      </c>
      <c r="T881" s="3">
        <v>0</v>
      </c>
      <c r="U881" s="3">
        <v>0.39278512311796188</v>
      </c>
      <c r="V881" s="3">
        <v>0</v>
      </c>
      <c r="W881" s="5" t="s">
        <v>483</v>
      </c>
    </row>
    <row r="882" spans="1:23" s="1" customFormat="1" ht="24.95" customHeight="1" x14ac:dyDescent="0.2">
      <c r="A882" s="8">
        <v>45664</v>
      </c>
      <c r="B882" s="7">
        <v>0.6958333333333333</v>
      </c>
      <c r="C882" s="9" t="s">
        <v>413</v>
      </c>
      <c r="D882" s="1" t="s">
        <v>388</v>
      </c>
      <c r="E882" s="1" t="s">
        <v>397</v>
      </c>
      <c r="F882" s="19" t="s">
        <v>484</v>
      </c>
      <c r="G882" s="1" t="s">
        <v>371</v>
      </c>
      <c r="H882" s="2">
        <v>3000</v>
      </c>
      <c r="I882" s="17">
        <v>29.54</v>
      </c>
      <c r="J882" s="1" t="s">
        <v>369</v>
      </c>
      <c r="K882" s="6">
        <f>Registro_Ordini[[#This Row],[Numero]]*Registro_Ordini[[#This Row],[Prezzo]]</f>
        <v>88620</v>
      </c>
      <c r="L882" s="10">
        <v>1.0000001000000001</v>
      </c>
      <c r="M882" s="6">
        <f>Registro_Ordini[[#This Row],[Importo]]*Registro_Ordini[[#This Row],[Cambio]]</f>
        <v>88620.008862000002</v>
      </c>
      <c r="N882" s="1">
        <f ca="1">IFERROR(_xlfn.NUMBERVALUE(OFFSET(Origine,MATCH(Registro_Ordini[[#This Row],[Titolo]],Descrizioni,0),MATCH("Price",Intestazioni,0)-1,1,1)),"")</f>
        <v>30.68</v>
      </c>
      <c r="O882" s="18">
        <f ca="1">IF(OR(Registro_Ordini[[#This Row],[Price]]=0,Registro_Ordini[[#This Row],[Price]]=""),"",IF(Registro_Ordini[[#This Row],[Tipo]]="Sell",Registro_Ordini[[#This Row],[Prezzo]]/Registro_Ordini[[#This Row],[Price]]-1,Registro_Ordini[[#This Row],[Price]]/Registro_Ordini[[#This Row],[Prezzo]]-1))</f>
        <v>3.8591740013540932E-2</v>
      </c>
      <c r="P882" s="15">
        <v>1.8746023361121474E-2</v>
      </c>
      <c r="Q882" s="3">
        <v>6.3530469422697203E-2</v>
      </c>
      <c r="R882" s="3">
        <v>0.23430891697084946</v>
      </c>
      <c r="S882" s="3">
        <v>0.30019963186157017</v>
      </c>
      <c r="T882" s="3">
        <v>0</v>
      </c>
      <c r="U882" s="3">
        <v>0.40196098174488315</v>
      </c>
      <c r="V882" s="3">
        <v>0</v>
      </c>
      <c r="W882" s="5" t="s">
        <v>483</v>
      </c>
    </row>
    <row r="883" spans="1:23" s="1" customFormat="1" ht="24.95" customHeight="1" x14ac:dyDescent="0.2">
      <c r="A883" s="8">
        <v>45664</v>
      </c>
      <c r="B883" s="7">
        <v>0.69513888888888886</v>
      </c>
      <c r="C883" s="9" t="s">
        <v>413</v>
      </c>
      <c r="D883" s="1" t="s">
        <v>388</v>
      </c>
      <c r="E883" s="1" t="s">
        <v>397</v>
      </c>
      <c r="F883" s="19" t="s">
        <v>485</v>
      </c>
      <c r="G883" s="1" t="s">
        <v>365</v>
      </c>
      <c r="H883" s="2">
        <v>-1000</v>
      </c>
      <c r="I883" s="17">
        <v>88.84</v>
      </c>
      <c r="J883" s="1" t="s">
        <v>369</v>
      </c>
      <c r="K883" s="6">
        <f>Registro_Ordini[[#This Row],[Numero]]*Registro_Ordini[[#This Row],[Prezzo]]</f>
        <v>-88840</v>
      </c>
      <c r="L883" s="10">
        <v>1.0000001000000001</v>
      </c>
      <c r="M883" s="6">
        <f>Registro_Ordini[[#This Row],[Importo]]*Registro_Ordini[[#This Row],[Cambio]]</f>
        <v>-88840.00888400001</v>
      </c>
      <c r="N883" s="1">
        <f ca="1">IFERROR(_xlfn.NUMBERVALUE(OFFSET(Origine,MATCH(Registro_Ordini[[#This Row],[Titolo]],Descrizioni,0),MATCH("Price",Intestazioni,0)-1,1,1)),"")</f>
        <v>66.959999999999994</v>
      </c>
      <c r="O883" s="18">
        <f ca="1">IF(OR(Registro_Ordini[[#This Row],[Price]]=0,Registro_Ordini[[#This Row],[Price]]=""),"",IF(Registro_Ordini[[#This Row],[Tipo]]="Sell",Registro_Ordini[[#This Row],[Prezzo]]/Registro_Ordini[[#This Row],[Price]]-1,Registro_Ordini[[#This Row],[Price]]/Registro_Ordini[[#This Row],[Prezzo]]-1))</f>
        <v>0.32676224611708493</v>
      </c>
      <c r="P883" s="15">
        <v>-1.8793188698343743E-2</v>
      </c>
      <c r="Q883" s="3">
        <v>8.2279550343444627E-2</v>
      </c>
      <c r="R883" s="3">
        <v>0.23431913631330148</v>
      </c>
      <c r="S883" s="3">
        <v>0.28145721726163386</v>
      </c>
      <c r="T883" s="3">
        <v>0</v>
      </c>
      <c r="U883" s="3">
        <v>0.40194409608162002</v>
      </c>
      <c r="V883" s="3">
        <v>0</v>
      </c>
      <c r="W883" s="5" t="s">
        <v>483</v>
      </c>
    </row>
    <row r="884" spans="1:23" s="1" customFormat="1" ht="24.95" customHeight="1" x14ac:dyDescent="0.2">
      <c r="A884" s="8">
        <v>45614</v>
      </c>
      <c r="B884" s="7">
        <v>0.68263888888888891</v>
      </c>
      <c r="C884" s="9" t="s">
        <v>78</v>
      </c>
      <c r="D884" s="1" t="s">
        <v>388</v>
      </c>
      <c r="E884" s="1" t="s">
        <v>397</v>
      </c>
      <c r="F884" s="1" t="s">
        <v>458</v>
      </c>
      <c r="G884" s="1" t="s">
        <v>371</v>
      </c>
      <c r="H884" s="2">
        <v>3</v>
      </c>
      <c r="I884" s="17">
        <v>3778</v>
      </c>
      <c r="J884" s="1" t="s">
        <v>369</v>
      </c>
      <c r="K884" s="6">
        <f>Registro_Ordini[[#This Row],[Numero]]*Registro_Ordini[[#This Row],[Prezzo]]</f>
        <v>11334</v>
      </c>
      <c r="L884" s="10">
        <v>1.00000011</v>
      </c>
      <c r="M884" s="6">
        <f>Registro_Ordini[[#This Row],[Importo]]*Registro_Ordini[[#This Row],[Cambio]]</f>
        <v>11334.001246739999</v>
      </c>
      <c r="N884" s="1">
        <f ca="1">IFERROR(_xlfn.NUMBERVALUE(OFFSET(Origine,MATCH(Registro_Ordini[[#This Row],[Titolo]],Descrizioni,0),MATCH("Price",Intestazioni,0)-1,1,1)),"")</f>
        <v>2961</v>
      </c>
      <c r="O884" s="18">
        <f ca="1">IF(OR(Registro_Ordini[[#This Row],[Price]]=0,Registro_Ordini[[#This Row],[Price]]=""),"",IF(Registro_Ordini[[#This Row],[Tipo]]="Sell",Registro_Ordini[[#This Row],[Prezzo]]/Registro_Ordini[[#This Row],[Price]]-1,Registro_Ordini[[#This Row],[Price]]/Registro_Ordini[[#This Row],[Prezzo]]-1))</f>
        <v>-0.21625198517734245</v>
      </c>
      <c r="P884" s="15">
        <v>2.772732425462977E-2</v>
      </c>
      <c r="Q884" s="3">
        <v>6.6440485831700952E-2</v>
      </c>
      <c r="R884" s="3">
        <v>0.16988286606164618</v>
      </c>
      <c r="S884" s="3">
        <v>0.69630321331112577</v>
      </c>
      <c r="T884" s="3">
        <v>0</v>
      </c>
      <c r="U884" s="3">
        <v>6.7373434795527071E-2</v>
      </c>
      <c r="V884" s="3"/>
      <c r="W884" s="4"/>
    </row>
    <row r="885" spans="1:23" s="1" customFormat="1" ht="24.95" customHeight="1" x14ac:dyDescent="0.2">
      <c r="A885" s="8">
        <v>45614</v>
      </c>
      <c r="B885" s="7">
        <v>0.68194444444444446</v>
      </c>
      <c r="C885" s="9" t="s">
        <v>78</v>
      </c>
      <c r="D885" s="1" t="s">
        <v>388</v>
      </c>
      <c r="E885" s="1" t="s">
        <v>397</v>
      </c>
      <c r="F885" s="1" t="s">
        <v>486</v>
      </c>
      <c r="G885" s="1" t="s">
        <v>365</v>
      </c>
      <c r="H885" s="2">
        <v>-130</v>
      </c>
      <c r="I885" s="17">
        <v>39.69</v>
      </c>
      <c r="J885" s="1" t="s">
        <v>369</v>
      </c>
      <c r="K885" s="6">
        <f>Registro_Ordini[[#This Row],[Numero]]*Registro_Ordini[[#This Row],[Prezzo]]</f>
        <v>-5159.7</v>
      </c>
      <c r="L885" s="10">
        <v>1.00000011</v>
      </c>
      <c r="M885" s="6">
        <f>Registro_Ordini[[#This Row],[Importo]]*Registro_Ordini[[#This Row],[Cambio]]</f>
        <v>-5159.7005675669998</v>
      </c>
      <c r="N885" s="1">
        <f ca="1">IFERROR(_xlfn.NUMBERVALUE(OFFSET(Origine,MATCH(Registro_Ordini[[#This Row],[Titolo]],Descrizioni,0),MATCH("Price",Intestazioni,0)-1,1,1)),"")</f>
        <v>65.44</v>
      </c>
      <c r="O885" s="18">
        <f ca="1">IF(OR(Registro_Ordini[[#This Row],[Price]]=0,Registro_Ordini[[#This Row],[Price]]=""),"",IF(Registro_Ordini[[#This Row],[Tipo]]="Sell",Registro_Ordini[[#This Row],[Prezzo]]/Registro_Ordini[[#This Row],[Price]]-1,Registro_Ordini[[#This Row],[Price]]/Registro_Ordini[[#This Row],[Prezzo]]-1))</f>
        <v>-0.39349022004889977</v>
      </c>
      <c r="P885" s="15">
        <v>-1.2621093639987088E-2</v>
      </c>
      <c r="Q885" s="3">
        <v>9.416850823108508E-2</v>
      </c>
      <c r="R885" s="3">
        <v>0.16986244226164718</v>
      </c>
      <c r="S885" s="3">
        <v>0.66860371453716383</v>
      </c>
      <c r="T885" s="3">
        <v>0</v>
      </c>
      <c r="U885" s="3">
        <v>6.736533497010376E-2</v>
      </c>
      <c r="V885" s="3"/>
      <c r="W885" s="4"/>
    </row>
    <row r="886" spans="1:23" s="1" customFormat="1" ht="24.95" customHeight="1" x14ac:dyDescent="0.2">
      <c r="A886" s="8">
        <v>45611</v>
      </c>
      <c r="B886" s="7">
        <v>0.70763888888888893</v>
      </c>
      <c r="C886" s="9" t="s">
        <v>106</v>
      </c>
      <c r="D886" s="1" t="s">
        <v>388</v>
      </c>
      <c r="E886" s="1" t="s">
        <v>389</v>
      </c>
      <c r="F886" s="1" t="s">
        <v>399</v>
      </c>
      <c r="G886" s="1" t="s">
        <v>371</v>
      </c>
      <c r="H886" s="2">
        <v>25</v>
      </c>
      <c r="I886" s="17">
        <v>622.30999999999995</v>
      </c>
      <c r="J886" s="1" t="s">
        <v>366</v>
      </c>
      <c r="K886" s="6">
        <f>Registro_Ordini[[#This Row],[Numero]]*Registro_Ordini[[#This Row],[Prezzo]]</f>
        <v>15557.749999999998</v>
      </c>
      <c r="L886" s="10">
        <v>0.94915000000000005</v>
      </c>
      <c r="M886" s="6">
        <f>Registro_Ordini[[#This Row],[Importo]]*Registro_Ordini[[#This Row],[Cambio]]</f>
        <v>14766.638412499999</v>
      </c>
      <c r="N886" s="1">
        <f ca="1">IFERROR(_xlfn.NUMBERVALUE(OFFSET(Origine,MATCH(Registro_Ordini[[#This Row],[Titolo]],Descrizioni,0),MATCH("Price",Intestazioni,0)-1,1,1)),"")</f>
        <v>727.16</v>
      </c>
      <c r="O886" s="18">
        <f ca="1">IF(OR(Registro_Ordini[[#This Row],[Price]]=0,Registro_Ordini[[#This Row],[Price]]=""),"",IF(Registro_Ordini[[#This Row],[Tipo]]="Sell",Registro_Ordini[[#This Row],[Prezzo]]/Registro_Ordini[[#This Row],[Price]]-1,Registro_Ordini[[#This Row],[Price]]/Registro_Ordini[[#This Row],[Prezzo]]-1))</f>
        <v>0.16848516012919612</v>
      </c>
      <c r="P886" s="15">
        <v>0.11010958985327637</v>
      </c>
      <c r="Q886" s="3">
        <v>0.15091443149128844</v>
      </c>
      <c r="R886" s="3">
        <v>0.2406444725776522</v>
      </c>
      <c r="S886" s="3">
        <v>0.48442400380292955</v>
      </c>
      <c r="T886" s="3">
        <v>0</v>
      </c>
      <c r="U886" s="3">
        <v>0.12401709212812989</v>
      </c>
      <c r="V886" s="3"/>
      <c r="W886" s="4"/>
    </row>
    <row r="887" spans="1:23" s="1" customFormat="1" ht="24.95" customHeight="1" x14ac:dyDescent="0.2">
      <c r="A887" s="8">
        <v>45611</v>
      </c>
      <c r="B887" s="7">
        <v>0.7055555555555556</v>
      </c>
      <c r="C887" s="9" t="s">
        <v>106</v>
      </c>
      <c r="D887" s="1" t="s">
        <v>388</v>
      </c>
      <c r="E887" s="1" t="s">
        <v>463</v>
      </c>
      <c r="F887" s="1" t="s">
        <v>487</v>
      </c>
      <c r="G887" s="1" t="s">
        <v>371</v>
      </c>
      <c r="H887" s="2">
        <v>195</v>
      </c>
      <c r="I887" s="17">
        <v>27.09</v>
      </c>
      <c r="J887" s="1" t="s">
        <v>381</v>
      </c>
      <c r="K887" s="6">
        <f>Registro_Ordini[[#This Row],[Numero]]*Registro_Ordini[[#This Row],[Prezzo]]</f>
        <v>5282.55</v>
      </c>
      <c r="L887" s="10">
        <v>1</v>
      </c>
      <c r="M887" s="6">
        <f>Registro_Ordini[[#This Row],[Importo]]*Registro_Ordini[[#This Row],[Cambio]]</f>
        <v>5282.55</v>
      </c>
      <c r="N887" s="1">
        <f ca="1">IFERROR(_xlfn.NUMBERVALUE(OFFSET(Origine,MATCH(Registro_Ordini[[#This Row],[Titolo]],Descrizioni,0),MATCH("Price",Intestazioni,0)-1,1,1)),"")</f>
        <v>39.950000000000003</v>
      </c>
      <c r="O887" s="18">
        <f ca="1">IF(OR(Registro_Ordini[[#This Row],[Price]]=0,Registro_Ordini[[#This Row],[Price]]=""),"",IF(Registro_Ordini[[#This Row],[Tipo]]="Sell",Registro_Ordini[[#This Row],[Prezzo]]/Registro_Ordini[[#This Row],[Price]]-1,Registro_Ordini[[#This Row],[Price]]/Registro_Ordini[[#This Row],[Prezzo]]-1))</f>
        <v>0.47471391657438189</v>
      </c>
      <c r="P887" s="15">
        <v>3.9406366934203914E-2</v>
      </c>
      <c r="Q887" s="3">
        <v>0.26118624294569681</v>
      </c>
      <c r="R887" s="3">
        <v>0.24074383079813702</v>
      </c>
      <c r="S887" s="3">
        <v>0.37398627735868639</v>
      </c>
      <c r="T887" s="3">
        <v>0</v>
      </c>
      <c r="U887" s="3">
        <v>0.1240836488974796</v>
      </c>
      <c r="V887" s="3"/>
      <c r="W887" s="4"/>
    </row>
    <row r="888" spans="1:23" s="1" customFormat="1" ht="24.95" customHeight="1" x14ac:dyDescent="0.2">
      <c r="A888" s="8">
        <v>45610</v>
      </c>
      <c r="B888" s="7">
        <v>0.73888888888888893</v>
      </c>
      <c r="C888" s="9" t="s">
        <v>383</v>
      </c>
      <c r="D888" s="1" t="s">
        <v>388</v>
      </c>
      <c r="E888" s="1" t="s">
        <v>389</v>
      </c>
      <c r="F888" s="1" t="s">
        <v>462</v>
      </c>
      <c r="G888" s="1" t="s">
        <v>371</v>
      </c>
      <c r="H888" s="2">
        <v>390</v>
      </c>
      <c r="I888" s="17">
        <v>41.57</v>
      </c>
      <c r="J888" s="1" t="s">
        <v>366</v>
      </c>
      <c r="K888" s="6">
        <f>Registro_Ordini[[#This Row],[Numero]]*Registro_Ordini[[#This Row],[Prezzo]]</f>
        <v>16212.3</v>
      </c>
      <c r="L888" s="10">
        <v>0.94584999999999997</v>
      </c>
      <c r="M888" s="6">
        <f>Registro_Ordini[[#This Row],[Importo]]*Registro_Ordini[[#This Row],[Cambio]]</f>
        <v>15334.403954999998</v>
      </c>
      <c r="N888" s="1">
        <f ca="1">IFERROR(_xlfn.NUMBERVALUE(OFFSET(Origine,MATCH(Registro_Ordini[[#This Row],[Titolo]],Descrizioni,0),MATCH("Price",Intestazioni,0)-1,1,1)),"")</f>
        <v>53.88</v>
      </c>
      <c r="O888" s="18">
        <f ca="1">IF(OR(Registro_Ordini[[#This Row],[Price]]=0,Registro_Ordini[[#This Row],[Price]]=""),"",IF(Registro_Ordini[[#This Row],[Tipo]]="Sell",Registro_Ordini[[#This Row],[Prezzo]]/Registro_Ordini[[#This Row],[Price]]-1,Registro_Ordini[[#This Row],[Price]]/Registro_Ordini[[#This Row],[Prezzo]]-1))</f>
        <v>0.29612701467404379</v>
      </c>
      <c r="P888" s="15">
        <v>2.5380918531460794E-2</v>
      </c>
      <c r="Q888" s="3">
        <v>0.18513317924704534</v>
      </c>
      <c r="R888" s="3">
        <v>0.27856281322594728</v>
      </c>
      <c r="S888" s="3">
        <v>0.43982713418655223</v>
      </c>
      <c r="T888" s="3">
        <v>0</v>
      </c>
      <c r="U888" s="3">
        <v>9.6476873340455196E-2</v>
      </c>
      <c r="V888" s="3"/>
      <c r="W888" s="4"/>
    </row>
    <row r="889" spans="1:23" s="1" customFormat="1" ht="24.95" customHeight="1" x14ac:dyDescent="0.2">
      <c r="A889" s="8">
        <v>45610</v>
      </c>
      <c r="B889" s="7">
        <v>0.73888888888888893</v>
      </c>
      <c r="C889" s="9" t="s">
        <v>78</v>
      </c>
      <c r="D889" s="1" t="s">
        <v>388</v>
      </c>
      <c r="E889" s="1" t="s">
        <v>389</v>
      </c>
      <c r="F889" s="1" t="s">
        <v>462</v>
      </c>
      <c r="G889" s="1" t="s">
        <v>371</v>
      </c>
      <c r="H889" s="2">
        <v>340</v>
      </c>
      <c r="I889" s="17">
        <v>41.57</v>
      </c>
      <c r="J889" s="1" t="s">
        <v>366</v>
      </c>
      <c r="K889" s="6">
        <f>Registro_Ordini[[#This Row],[Numero]]*Registro_Ordini[[#This Row],[Prezzo]]</f>
        <v>14133.8</v>
      </c>
      <c r="L889" s="10">
        <v>0.88724999999999998</v>
      </c>
      <c r="M889" s="6">
        <f>Registro_Ordini[[#This Row],[Importo]]*Registro_Ordini[[#This Row],[Cambio]]</f>
        <v>12540.214049999999</v>
      </c>
      <c r="N889" s="1">
        <f ca="1">IFERROR(_xlfn.NUMBERVALUE(OFFSET(Origine,MATCH(Registro_Ordini[[#This Row],[Titolo]],Descrizioni,0),MATCH("Price",Intestazioni,0)-1,1,1)),"")</f>
        <v>53.88</v>
      </c>
      <c r="O889" s="18">
        <f ca="1">IF(OR(Registro_Ordini[[#This Row],[Price]]=0,Registro_Ordini[[#This Row],[Price]]=""),"",IF(Registro_Ordini[[#This Row],[Tipo]]="Sell",Registro_Ordini[[#This Row],[Prezzo]]/Registro_Ordini[[#This Row],[Price]]-1,Registro_Ordini[[#This Row],[Price]]/Registro_Ordini[[#This Row],[Prezzo]]-1))</f>
        <v>0.29612701467404379</v>
      </c>
      <c r="P889" s="15">
        <v>3.0407759920917009E-2</v>
      </c>
      <c r="Q889" s="3">
        <v>8.4290052296945223E-2</v>
      </c>
      <c r="R889" s="3">
        <v>0.16808563400907098</v>
      </c>
      <c r="S889" s="3">
        <v>0.68165223284486787</v>
      </c>
      <c r="T889" s="3">
        <v>0</v>
      </c>
      <c r="U889" s="3">
        <v>6.597208084911603E-2</v>
      </c>
      <c r="V889" s="3"/>
      <c r="W889" s="4"/>
    </row>
    <row r="890" spans="1:23" s="1" customFormat="1" ht="24.95" customHeight="1" x14ac:dyDescent="0.2">
      <c r="A890" s="8">
        <v>45610</v>
      </c>
      <c r="B890" s="7">
        <v>0.73888888888888893</v>
      </c>
      <c r="C890" s="9" t="s">
        <v>382</v>
      </c>
      <c r="D890" s="1" t="s">
        <v>388</v>
      </c>
      <c r="E890" s="1" t="s">
        <v>389</v>
      </c>
      <c r="F890" s="1" t="s">
        <v>462</v>
      </c>
      <c r="G890" s="1" t="s">
        <v>371</v>
      </c>
      <c r="H890" s="2">
        <v>650</v>
      </c>
      <c r="I890" s="17">
        <v>41.57</v>
      </c>
      <c r="J890" s="1" t="s">
        <v>366</v>
      </c>
      <c r="K890" s="6">
        <f>Registro_Ordini[[#This Row],[Numero]]*Registro_Ordini[[#This Row],[Prezzo]]</f>
        <v>27020.5</v>
      </c>
      <c r="L890" s="10">
        <v>0.94584999999999997</v>
      </c>
      <c r="M890" s="6">
        <f>Registro_Ordini[[#This Row],[Importo]]*Registro_Ordini[[#This Row],[Cambio]]</f>
        <v>25557.339925</v>
      </c>
      <c r="N890" s="1">
        <f ca="1">IFERROR(_xlfn.NUMBERVALUE(OFFSET(Origine,MATCH(Registro_Ordini[[#This Row],[Titolo]],Descrizioni,0),MATCH("Price",Intestazioni,0)-1,1,1)),"")</f>
        <v>53.88</v>
      </c>
      <c r="O890" s="18">
        <f ca="1">IF(OR(Registro_Ordini[[#This Row],[Price]]=0,Registro_Ordini[[#This Row],[Price]]=""),"",IF(Registro_Ordini[[#This Row],[Tipo]]="Sell",Registro_Ordini[[#This Row],[Prezzo]]/Registro_Ordini[[#This Row],[Price]]-1,Registro_Ordini[[#This Row],[Price]]/Registro_Ordini[[#This Row],[Prezzo]]-1))</f>
        <v>0.29612701467404379</v>
      </c>
      <c r="P890" s="15">
        <v>2.5064090054412146E-2</v>
      </c>
      <c r="Q890" s="3">
        <v>0.13063995471313586</v>
      </c>
      <c r="R890" s="3">
        <v>0.28619841046245353</v>
      </c>
      <c r="S890" s="3">
        <v>0.48506579290862756</v>
      </c>
      <c r="T890" s="3">
        <v>0</v>
      </c>
      <c r="U890" s="3">
        <v>9.8095841915783064E-2</v>
      </c>
      <c r="V890" s="3"/>
      <c r="W890" s="4"/>
    </row>
    <row r="891" spans="1:23" s="1" customFormat="1" ht="24.95" customHeight="1" x14ac:dyDescent="0.2">
      <c r="A891" s="8">
        <v>45610</v>
      </c>
      <c r="B891" s="7">
        <v>0.73888888888888893</v>
      </c>
      <c r="C891" s="9" t="s">
        <v>379</v>
      </c>
      <c r="D891" s="1" t="s">
        <v>388</v>
      </c>
      <c r="E891" s="1" t="s">
        <v>389</v>
      </c>
      <c r="F891" s="1" t="s">
        <v>462</v>
      </c>
      <c r="G891" s="1" t="s">
        <v>371</v>
      </c>
      <c r="H891" s="2">
        <v>360</v>
      </c>
      <c r="I891" s="17">
        <v>41.57</v>
      </c>
      <c r="J891" s="1" t="s">
        <v>366</v>
      </c>
      <c r="K891" s="6">
        <f>Registro_Ordini[[#This Row],[Numero]]*Registro_Ordini[[#This Row],[Prezzo]]</f>
        <v>14965.2</v>
      </c>
      <c r="L891" s="10">
        <v>0.94584999999999997</v>
      </c>
      <c r="M891" s="6">
        <f>Registro_Ordini[[#This Row],[Importo]]*Registro_Ordini[[#This Row],[Cambio]]</f>
        <v>14154.834420000001</v>
      </c>
      <c r="N891" s="1">
        <f ca="1">IFERROR(_xlfn.NUMBERVALUE(OFFSET(Origine,MATCH(Registro_Ordini[[#This Row],[Titolo]],Descrizioni,0),MATCH("Price",Intestazioni,0)-1,1,1)),"")</f>
        <v>53.88</v>
      </c>
      <c r="O891" s="18">
        <f ca="1">IF(OR(Registro_Ordini[[#This Row],[Price]]=0,Registro_Ordini[[#This Row],[Price]]=""),"",IF(Registro_Ordini[[#This Row],[Tipo]]="Sell",Registro_Ordini[[#This Row],[Prezzo]]/Registro_Ordini[[#This Row],[Price]]-1,Registro_Ordini[[#This Row],[Price]]/Registro_Ordini[[#This Row],[Prezzo]]-1))</f>
        <v>0.29612701467404379</v>
      </c>
      <c r="P891" s="15">
        <v>2.5539460906055383E-2</v>
      </c>
      <c r="Q891" s="3">
        <v>0.11905590420147825</v>
      </c>
      <c r="R891" s="3">
        <v>0.290911256742935</v>
      </c>
      <c r="S891" s="3">
        <v>0.49157761312987758</v>
      </c>
      <c r="T891" s="3">
        <v>0</v>
      </c>
      <c r="U891" s="3">
        <v>9.8455225925709114E-2</v>
      </c>
      <c r="V891" s="3"/>
      <c r="W891" s="4"/>
    </row>
    <row r="892" spans="1:23" s="1" customFormat="1" ht="24.95" customHeight="1" x14ac:dyDescent="0.2">
      <c r="A892" s="8">
        <v>45610</v>
      </c>
      <c r="B892" s="7">
        <v>0.73750000000000004</v>
      </c>
      <c r="C892" s="9" t="s">
        <v>375</v>
      </c>
      <c r="D892" s="1" t="s">
        <v>388</v>
      </c>
      <c r="E892" s="1" t="s">
        <v>389</v>
      </c>
      <c r="F892" s="1" t="s">
        <v>462</v>
      </c>
      <c r="G892" s="1" t="s">
        <v>371</v>
      </c>
      <c r="H892" s="2">
        <v>420</v>
      </c>
      <c r="I892" s="17">
        <v>41.57</v>
      </c>
      <c r="J892" s="1" t="s">
        <v>366</v>
      </c>
      <c r="K892" s="6">
        <f>Registro_Ordini[[#This Row],[Numero]]*Registro_Ordini[[#This Row],[Prezzo]]</f>
        <v>17459.400000000001</v>
      </c>
      <c r="L892" s="10">
        <v>0.88705000000000001</v>
      </c>
      <c r="M892" s="6">
        <f>Registro_Ordini[[#This Row],[Importo]]*Registro_Ordini[[#This Row],[Cambio]]</f>
        <v>15487.360770000001</v>
      </c>
      <c r="N892" s="1">
        <f ca="1">IFERROR(_xlfn.NUMBERVALUE(OFFSET(Origine,MATCH(Registro_Ordini[[#This Row],[Titolo]],Descrizioni,0),MATCH("Price",Intestazioni,0)-1,1,1)),"")</f>
        <v>53.88</v>
      </c>
      <c r="O892" s="18">
        <f ca="1">IF(OR(Registro_Ordini[[#This Row],[Price]]=0,Registro_Ordini[[#This Row],[Price]]=""),"",IF(Registro_Ordini[[#This Row],[Tipo]]="Sell",Registro_Ordini[[#This Row],[Prezzo]]/Registro_Ordini[[#This Row],[Price]]-1,Registro_Ordini[[#This Row],[Price]]/Registro_Ordini[[#This Row],[Prezzo]]-1))</f>
        <v>0.29612701467404379</v>
      </c>
      <c r="P892" s="15">
        <v>1.9634113542509535E-2</v>
      </c>
      <c r="Q892" s="3">
        <v>0.10383709512035466</v>
      </c>
      <c r="R892" s="3">
        <v>0.36029579795481009</v>
      </c>
      <c r="S892" s="3">
        <v>0.44647957587695491</v>
      </c>
      <c r="T892" s="3">
        <v>0</v>
      </c>
      <c r="U892" s="3">
        <v>8.9387531047880373E-2</v>
      </c>
      <c r="V892" s="3"/>
      <c r="W892" s="4"/>
    </row>
    <row r="893" spans="1:23" s="1" customFormat="1" ht="24.95" customHeight="1" x14ac:dyDescent="0.2">
      <c r="A893" s="8">
        <v>45610</v>
      </c>
      <c r="B893" s="7">
        <v>0.73750000000000004</v>
      </c>
      <c r="C893" s="9" t="s">
        <v>378</v>
      </c>
      <c r="D893" s="1" t="s">
        <v>388</v>
      </c>
      <c r="E893" s="1" t="s">
        <v>389</v>
      </c>
      <c r="F893" s="1" t="s">
        <v>462</v>
      </c>
      <c r="G893" s="1" t="s">
        <v>371</v>
      </c>
      <c r="H893" s="2">
        <v>280</v>
      </c>
      <c r="I893" s="17">
        <v>41.57</v>
      </c>
      <c r="J893" s="1" t="s">
        <v>366</v>
      </c>
      <c r="K893" s="6">
        <f>Registro_Ordini[[#This Row],[Numero]]*Registro_Ordini[[#This Row],[Prezzo]]</f>
        <v>11639.6</v>
      </c>
      <c r="L893" s="10">
        <v>0.88705000000000001</v>
      </c>
      <c r="M893" s="6">
        <f>Registro_Ordini[[#This Row],[Importo]]*Registro_Ordini[[#This Row],[Cambio]]</f>
        <v>10324.90718</v>
      </c>
      <c r="N893" s="1">
        <f ca="1">IFERROR(_xlfn.NUMBERVALUE(OFFSET(Origine,MATCH(Registro_Ordini[[#This Row],[Titolo]],Descrizioni,0),MATCH("Price",Intestazioni,0)-1,1,1)),"")</f>
        <v>53.88</v>
      </c>
      <c r="O893" s="18">
        <f ca="1">IF(OR(Registro_Ordini[[#This Row],[Price]]=0,Registro_Ordini[[#This Row],[Price]]=""),"",IF(Registro_Ordini[[#This Row],[Tipo]]="Sell",Registro_Ordini[[#This Row],[Prezzo]]/Registro_Ordini[[#This Row],[Price]]-1,Registro_Ordini[[#This Row],[Price]]/Registro_Ordini[[#This Row],[Prezzo]]-1))</f>
        <v>0.29612701467404379</v>
      </c>
      <c r="P893" s="15">
        <v>2.0437781623316192E-2</v>
      </c>
      <c r="Q893" s="3">
        <v>0.13211159703540551</v>
      </c>
      <c r="R893" s="3">
        <v>0.33916003294440988</v>
      </c>
      <c r="S893" s="3">
        <v>0.44259938499210144</v>
      </c>
      <c r="T893" s="3">
        <v>0</v>
      </c>
      <c r="U893" s="3">
        <v>8.612898502808318E-2</v>
      </c>
      <c r="V893" s="3"/>
      <c r="W893" s="4"/>
    </row>
    <row r="894" spans="1:23" s="1" customFormat="1" ht="24.95" customHeight="1" x14ac:dyDescent="0.2">
      <c r="A894" s="8">
        <v>45610</v>
      </c>
      <c r="B894" s="7">
        <v>0.73750000000000004</v>
      </c>
      <c r="C894" s="9" t="s">
        <v>377</v>
      </c>
      <c r="D894" s="1" t="s">
        <v>388</v>
      </c>
      <c r="E894" s="1" t="s">
        <v>389</v>
      </c>
      <c r="F894" s="1" t="s">
        <v>462</v>
      </c>
      <c r="G894" s="1" t="s">
        <v>371</v>
      </c>
      <c r="H894" s="2">
        <v>860</v>
      </c>
      <c r="I894" s="17">
        <v>41.57</v>
      </c>
      <c r="J894" s="1" t="s">
        <v>366</v>
      </c>
      <c r="K894" s="6">
        <f>Registro_Ordini[[#This Row],[Numero]]*Registro_Ordini[[#This Row],[Prezzo]]</f>
        <v>35750.199999999997</v>
      </c>
      <c r="L894" s="10">
        <v>0.88705000000000001</v>
      </c>
      <c r="M894" s="6">
        <f>Registro_Ordini[[#This Row],[Importo]]*Registro_Ordini[[#This Row],[Cambio]]</f>
        <v>31712.214909999999</v>
      </c>
      <c r="N894" s="1">
        <f ca="1">IFERROR(_xlfn.NUMBERVALUE(OFFSET(Origine,MATCH(Registro_Ordini[[#This Row],[Titolo]],Descrizioni,0),MATCH("Price",Intestazioni,0)-1,1,1)),"")</f>
        <v>53.88</v>
      </c>
      <c r="O894" s="18">
        <f ca="1">IF(OR(Registro_Ordini[[#This Row],[Price]]=0,Registro_Ordini[[#This Row],[Price]]=""),"",IF(Registro_Ordini[[#This Row],[Tipo]]="Sell",Registro_Ordini[[#This Row],[Prezzo]]/Registro_Ordini[[#This Row],[Price]]-1,Registro_Ordini[[#This Row],[Price]]/Registro_Ordini[[#This Row],[Prezzo]]-1))</f>
        <v>0.29612701467404379</v>
      </c>
      <c r="P894" s="15">
        <v>2.0257278257291712E-2</v>
      </c>
      <c r="Q894" s="3">
        <v>0.11785575593206714</v>
      </c>
      <c r="R894" s="3">
        <v>0.33022484114761846</v>
      </c>
      <c r="S894" s="3">
        <v>0.45824033709358186</v>
      </c>
      <c r="T894" s="3">
        <v>0</v>
      </c>
      <c r="U894" s="3">
        <v>9.3679065826732619E-2</v>
      </c>
      <c r="V894" s="3"/>
      <c r="W894" s="4"/>
    </row>
    <row r="895" spans="1:23" s="1" customFormat="1" ht="24.95" customHeight="1" x14ac:dyDescent="0.2">
      <c r="A895" s="8">
        <v>45610</v>
      </c>
      <c r="B895" s="7">
        <v>0.73750000000000004</v>
      </c>
      <c r="C895" s="9" t="s">
        <v>376</v>
      </c>
      <c r="D895" s="1" t="s">
        <v>388</v>
      </c>
      <c r="E895" s="1" t="s">
        <v>389</v>
      </c>
      <c r="F895" s="1" t="s">
        <v>462</v>
      </c>
      <c r="G895" s="1" t="s">
        <v>371</v>
      </c>
      <c r="H895" s="2">
        <v>150</v>
      </c>
      <c r="I895" s="17">
        <v>41.57</v>
      </c>
      <c r="J895" s="1" t="s">
        <v>366</v>
      </c>
      <c r="K895" s="6">
        <f>Registro_Ordini[[#This Row],[Numero]]*Registro_Ordini[[#This Row],[Prezzo]]</f>
        <v>6235.5</v>
      </c>
      <c r="L895" s="10">
        <v>0.88705000000000001</v>
      </c>
      <c r="M895" s="6">
        <f>Registro_Ordini[[#This Row],[Importo]]*Registro_Ordini[[#This Row],[Cambio]]</f>
        <v>5531.2002750000001</v>
      </c>
      <c r="N895" s="1">
        <f ca="1">IFERROR(_xlfn.NUMBERVALUE(OFFSET(Origine,MATCH(Registro_Ordini[[#This Row],[Titolo]],Descrizioni,0),MATCH("Price",Intestazioni,0)-1,1,1)),"")</f>
        <v>53.88</v>
      </c>
      <c r="O895" s="18">
        <f ca="1">IF(OR(Registro_Ordini[[#This Row],[Price]]=0,Registro_Ordini[[#This Row],[Price]]=""),"",IF(Registro_Ordini[[#This Row],[Tipo]]="Sell",Registro_Ordini[[#This Row],[Prezzo]]/Registro_Ordini[[#This Row],[Price]]-1,Registro_Ordini[[#This Row],[Price]]/Registro_Ordini[[#This Row],[Prezzo]]-1))</f>
        <v>0.29612701467404379</v>
      </c>
      <c r="P895" s="15">
        <v>1.9826279485955924E-2</v>
      </c>
      <c r="Q895" s="3">
        <v>9.114503098094312E-2</v>
      </c>
      <c r="R895" s="3">
        <v>0.34947168815474811</v>
      </c>
      <c r="S895" s="3">
        <v>0.45044952222882428</v>
      </c>
      <c r="T895" s="3">
        <v>0</v>
      </c>
      <c r="U895" s="3">
        <v>0.10893375863548441</v>
      </c>
      <c r="V895" s="3"/>
      <c r="W895" s="4"/>
    </row>
    <row r="896" spans="1:23" s="1" customFormat="1" ht="24.95" customHeight="1" x14ac:dyDescent="0.2">
      <c r="A896" s="8">
        <v>45610</v>
      </c>
      <c r="B896" s="7">
        <v>0.71319444444444446</v>
      </c>
      <c r="C896" s="9" t="s">
        <v>367</v>
      </c>
      <c r="D896" s="1" t="s">
        <v>388</v>
      </c>
      <c r="E896" s="1" t="s">
        <v>389</v>
      </c>
      <c r="F896" s="1" t="s">
        <v>415</v>
      </c>
      <c r="G896" s="1" t="s">
        <v>371</v>
      </c>
      <c r="H896" s="2">
        <v>800</v>
      </c>
      <c r="I896" s="17">
        <v>97.234999999999999</v>
      </c>
      <c r="J896" s="1" t="s">
        <v>366</v>
      </c>
      <c r="K896" s="6">
        <f>Registro_Ordini[[#This Row],[Numero]]*Registro_Ordini[[#This Row],[Prezzo]]</f>
        <v>77788</v>
      </c>
      <c r="L896" s="10">
        <v>0.88734999999999997</v>
      </c>
      <c r="M896" s="6">
        <f>Registro_Ordini[[#This Row],[Importo]]*Registro_Ordini[[#This Row],[Cambio]]</f>
        <v>69025.181799999991</v>
      </c>
      <c r="N896" s="1">
        <f ca="1">IFERROR(_xlfn.NUMBERVALUE(OFFSET(Origine,MATCH(Registro_Ordini[[#This Row],[Titolo]],Descrizioni,0),MATCH("Price",Intestazioni,0)-1,1,1)),"")</f>
        <v>117.35</v>
      </c>
      <c r="O896" s="18">
        <f ca="1">IF(OR(Registro_Ordini[[#This Row],[Price]]=0,Registro_Ordini[[#This Row],[Price]]=""),"",IF(Registro_Ordini[[#This Row],[Tipo]]="Sell",Registro_Ordini[[#This Row],[Prezzo]]/Registro_Ordini[[#This Row],[Price]]-1,Registro_Ordini[[#This Row],[Price]]/Registro_Ordini[[#This Row],[Prezzo]]-1))</f>
        <v>0.20686995423458621</v>
      </c>
      <c r="P896" s="15">
        <v>2.0121169178953787E-2</v>
      </c>
      <c r="Q896" s="3">
        <v>0.12800229504618749</v>
      </c>
      <c r="R896" s="3">
        <v>0.43531080114675691</v>
      </c>
      <c r="S896" s="3">
        <v>0.39014201070356008</v>
      </c>
      <c r="T896" s="3">
        <v>0</v>
      </c>
      <c r="U896" s="3">
        <v>4.6544893103495528E-2</v>
      </c>
      <c r="V896" s="3"/>
      <c r="W896" s="4"/>
    </row>
    <row r="897" spans="1:23" s="1" customFormat="1" ht="24.95" customHeight="1" x14ac:dyDescent="0.2">
      <c r="A897" s="8">
        <v>45610</v>
      </c>
      <c r="B897" s="7">
        <v>0.7</v>
      </c>
      <c r="C897" s="9" t="s">
        <v>376</v>
      </c>
      <c r="D897" s="1" t="s">
        <v>388</v>
      </c>
      <c r="E897" s="1" t="s">
        <v>389</v>
      </c>
      <c r="F897" s="1" t="s">
        <v>488</v>
      </c>
      <c r="G897" s="1" t="s">
        <v>365</v>
      </c>
      <c r="H897" s="2">
        <v>-90</v>
      </c>
      <c r="I897" s="17">
        <v>100.76</v>
      </c>
      <c r="J897" s="1" t="s">
        <v>366</v>
      </c>
      <c r="K897" s="6">
        <f>Registro_Ordini[[#This Row],[Numero]]*Registro_Ordini[[#This Row],[Prezzo]]</f>
        <v>-9068.4</v>
      </c>
      <c r="L897" s="10">
        <v>0.88785000000000003</v>
      </c>
      <c r="M897" s="6">
        <f>Registro_Ordini[[#This Row],[Importo]]*Registro_Ordini[[#This Row],[Cambio]]</f>
        <v>-8051.3789399999996</v>
      </c>
      <c r="N897" s="1">
        <f ca="1">IFERROR(_xlfn.NUMBERVALUE(OFFSET(Origine,MATCH(Registro_Ordini[[#This Row],[Titolo]],Descrizioni,0),MATCH("Price",Intestazioni,0)-1,1,1)),"")</f>
        <v>108.97</v>
      </c>
      <c r="O897" s="18">
        <f ca="1">IF(OR(Registro_Ordini[[#This Row],[Price]]=0,Registro_Ordini[[#This Row],[Price]]=""),"",IF(Registro_Ordini[[#This Row],[Tipo]]="Sell",Registro_Ordini[[#This Row],[Prezzo]]/Registro_Ordini[[#This Row],[Price]]-1,Registro_Ordini[[#This Row],[Price]]/Registro_Ordini[[#This Row],[Prezzo]]-1))</f>
        <v>-7.5341837202899775E-2</v>
      </c>
      <c r="P897" s="15">
        <v>-2.8866407248716825E-2</v>
      </c>
      <c r="Q897" s="3">
        <v>0.11105233377325423</v>
      </c>
      <c r="R897" s="3">
        <v>0.34956343010862134</v>
      </c>
      <c r="S897" s="3">
        <v>0.43067612476668643</v>
      </c>
      <c r="T897" s="3">
        <v>0</v>
      </c>
      <c r="U897" s="3">
        <v>0.10870811135143796</v>
      </c>
      <c r="V897" s="3"/>
      <c r="W897" s="4"/>
    </row>
    <row r="898" spans="1:23" s="1" customFormat="1" ht="24.95" customHeight="1" x14ac:dyDescent="0.2">
      <c r="A898" s="8">
        <v>45609</v>
      </c>
      <c r="B898" s="7">
        <v>0.73263888888888884</v>
      </c>
      <c r="C898" s="9" t="s">
        <v>383</v>
      </c>
      <c r="D898" s="1" t="s">
        <v>388</v>
      </c>
      <c r="E898" s="1" t="s">
        <v>389</v>
      </c>
      <c r="F898" s="1" t="s">
        <v>469</v>
      </c>
      <c r="G898" s="1" t="s">
        <v>371</v>
      </c>
      <c r="H898" s="2">
        <v>265</v>
      </c>
      <c r="I898" s="17">
        <v>60.89</v>
      </c>
      <c r="J898" s="1" t="s">
        <v>366</v>
      </c>
      <c r="K898" s="6">
        <f>Registro_Ordini[[#This Row],[Numero]]*Registro_Ordini[[#This Row],[Prezzo]]</f>
        <v>16135.85</v>
      </c>
      <c r="L898" s="10">
        <v>0.94564999999999999</v>
      </c>
      <c r="M898" s="6">
        <f>Registro_Ordini[[#This Row],[Importo]]*Registro_Ordini[[#This Row],[Cambio]]</f>
        <v>15258.8665525</v>
      </c>
      <c r="N898" s="1">
        <f ca="1">IFERROR(_xlfn.NUMBERVALUE(OFFSET(Origine,MATCH(Registro_Ordini[[#This Row],[Titolo]],Descrizioni,0),MATCH("Price",Intestazioni,0)-1,1,1)),"")</f>
        <v>75.724999999999994</v>
      </c>
      <c r="O898" s="18">
        <f ca="1">IF(OR(Registro_Ordini[[#This Row],[Price]]=0,Registro_Ordini[[#This Row],[Price]]=""),"",IF(Registro_Ordini[[#This Row],[Tipo]]="Sell",Registro_Ordini[[#This Row],[Prezzo]]/Registro_Ordini[[#This Row],[Price]]-1,Registro_Ordini[[#This Row],[Price]]/Registro_Ordini[[#This Row],[Prezzo]]-1))</f>
        <v>0.24363606503530955</v>
      </c>
      <c r="P898" s="15">
        <v>2.5193805331669539E-2</v>
      </c>
      <c r="Q898" s="3">
        <v>0.20998058148769308</v>
      </c>
      <c r="R898" s="3">
        <v>0.27785265444164536</v>
      </c>
      <c r="S898" s="3">
        <v>0.41489298529921692</v>
      </c>
      <c r="T898" s="3">
        <v>0</v>
      </c>
      <c r="U898" s="3">
        <v>9.7273778771444663E-2</v>
      </c>
      <c r="V898" s="3"/>
      <c r="W898" s="4"/>
    </row>
    <row r="899" spans="1:23" s="1" customFormat="1" ht="24.95" customHeight="1" x14ac:dyDescent="0.2">
      <c r="A899" s="8">
        <v>45609</v>
      </c>
      <c r="B899" s="7">
        <v>0.73263888888888884</v>
      </c>
      <c r="C899" s="9" t="s">
        <v>382</v>
      </c>
      <c r="D899" s="1" t="s">
        <v>388</v>
      </c>
      <c r="E899" s="1" t="s">
        <v>389</v>
      </c>
      <c r="F899" s="1" t="s">
        <v>469</v>
      </c>
      <c r="G899" s="1" t="s">
        <v>371</v>
      </c>
      <c r="H899" s="2">
        <v>450</v>
      </c>
      <c r="I899" s="17">
        <v>60.89</v>
      </c>
      <c r="J899" s="1" t="s">
        <v>366</v>
      </c>
      <c r="K899" s="6">
        <f>Registro_Ordini[[#This Row],[Numero]]*Registro_Ordini[[#This Row],[Prezzo]]</f>
        <v>27400.5</v>
      </c>
      <c r="L899" s="10">
        <v>0.94564999999999999</v>
      </c>
      <c r="M899" s="6">
        <f>Registro_Ordini[[#This Row],[Importo]]*Registro_Ordini[[#This Row],[Cambio]]</f>
        <v>25911.282824999998</v>
      </c>
      <c r="N899" s="1">
        <f ca="1">IFERROR(_xlfn.NUMBERVALUE(OFFSET(Origine,MATCH(Registro_Ordini[[#This Row],[Titolo]],Descrizioni,0),MATCH("Price",Intestazioni,0)-1,1,1)),"")</f>
        <v>75.724999999999994</v>
      </c>
      <c r="O899" s="18">
        <f ca="1">IF(OR(Registro_Ordini[[#This Row],[Price]]=0,Registro_Ordini[[#This Row],[Price]]=""),"",IF(Registro_Ordini[[#This Row],[Tipo]]="Sell",Registro_Ordini[[#This Row],[Prezzo]]/Registro_Ordini[[#This Row],[Price]]-1,Registro_Ordini[[#This Row],[Price]]/Registro_Ordini[[#This Row],[Prezzo]]-1))</f>
        <v>0.24363606503530955</v>
      </c>
      <c r="P899" s="15">
        <v>2.5340803057614637E-2</v>
      </c>
      <c r="Q899" s="3">
        <v>0.15527025435147312</v>
      </c>
      <c r="R899" s="3">
        <v>0.28539633421995386</v>
      </c>
      <c r="S899" s="3">
        <v>0.46046144948365153</v>
      </c>
      <c r="T899" s="3">
        <v>0</v>
      </c>
      <c r="U899" s="3">
        <v>9.8871961944921441E-2</v>
      </c>
      <c r="V899" s="3"/>
      <c r="W899" s="4"/>
    </row>
    <row r="900" spans="1:23" s="1" customFormat="1" ht="24.95" customHeight="1" x14ac:dyDescent="0.2">
      <c r="A900" s="8">
        <v>45609</v>
      </c>
      <c r="B900" s="7">
        <v>0.73263888888888884</v>
      </c>
      <c r="C900" s="9" t="s">
        <v>379</v>
      </c>
      <c r="D900" s="1" t="s">
        <v>388</v>
      </c>
      <c r="E900" s="1" t="s">
        <v>389</v>
      </c>
      <c r="F900" s="1" t="s">
        <v>469</v>
      </c>
      <c r="G900" s="1" t="s">
        <v>371</v>
      </c>
      <c r="H900" s="2">
        <v>245</v>
      </c>
      <c r="I900" s="17">
        <v>60.89</v>
      </c>
      <c r="J900" s="1" t="s">
        <v>366</v>
      </c>
      <c r="K900" s="6">
        <f>Registro_Ordini[[#This Row],[Numero]]*Registro_Ordini[[#This Row],[Prezzo]]</f>
        <v>14918.05</v>
      </c>
      <c r="L900" s="10">
        <v>0.94564999999999999</v>
      </c>
      <c r="M900" s="6">
        <f>Registro_Ordini[[#This Row],[Importo]]*Registro_Ordini[[#This Row],[Cambio]]</f>
        <v>14107.253982499999</v>
      </c>
      <c r="N900" s="1">
        <f ca="1">IFERROR(_xlfn.NUMBERVALUE(OFFSET(Origine,MATCH(Registro_Ordini[[#This Row],[Titolo]],Descrizioni,0),MATCH("Price",Intestazioni,0)-1,1,1)),"")</f>
        <v>75.724999999999994</v>
      </c>
      <c r="O900" s="18">
        <f ca="1">IF(OR(Registro_Ordini[[#This Row],[Price]]=0,Registro_Ordini[[#This Row],[Price]]=""),"",IF(Registro_Ordini[[#This Row],[Tipo]]="Sell",Registro_Ordini[[#This Row],[Prezzo]]/Registro_Ordini[[#This Row],[Price]]-1,Registro_Ordini[[#This Row],[Price]]/Registro_Ordini[[#This Row],[Prezzo]]-1))</f>
        <v>0.24363606503530955</v>
      </c>
      <c r="P900" s="15">
        <v>2.5392400630635283E-2</v>
      </c>
      <c r="Q900" s="3">
        <v>0.14423586217246445</v>
      </c>
      <c r="R900" s="3">
        <v>0.29018983553786365</v>
      </c>
      <c r="S900" s="3">
        <v>0.46636759106696196</v>
      </c>
      <c r="T900" s="3">
        <v>0</v>
      </c>
      <c r="U900" s="3">
        <v>9.9206711222709867E-2</v>
      </c>
      <c r="V900" s="3"/>
      <c r="W900" s="4"/>
    </row>
    <row r="901" spans="1:23" s="1" customFormat="1" ht="24.95" customHeight="1" x14ac:dyDescent="0.2">
      <c r="A901" s="8">
        <v>45609</v>
      </c>
      <c r="B901" s="7">
        <v>0.7319444444444444</v>
      </c>
      <c r="C901" s="9" t="s">
        <v>78</v>
      </c>
      <c r="D901" s="1" t="s">
        <v>388</v>
      </c>
      <c r="E901" s="1" t="s">
        <v>389</v>
      </c>
      <c r="F901" s="1" t="s">
        <v>469</v>
      </c>
      <c r="G901" s="1" t="s">
        <v>371</v>
      </c>
      <c r="H901" s="2">
        <v>230</v>
      </c>
      <c r="I901" s="17">
        <v>60.89</v>
      </c>
      <c r="J901" s="1" t="s">
        <v>366</v>
      </c>
      <c r="K901" s="6">
        <f>Registro_Ordini[[#This Row],[Numero]]*Registro_Ordini[[#This Row],[Prezzo]]</f>
        <v>14004.7</v>
      </c>
      <c r="L901" s="10">
        <v>0.88365000000000005</v>
      </c>
      <c r="M901" s="6">
        <f>Registro_Ordini[[#This Row],[Importo]]*Registro_Ordini[[#This Row],[Cambio]]</f>
        <v>12375.253155000002</v>
      </c>
      <c r="N901" s="1">
        <f ca="1">IFERROR(_xlfn.NUMBERVALUE(OFFSET(Origine,MATCH(Registro_Ordini[[#This Row],[Titolo]],Descrizioni,0),MATCH("Price",Intestazioni,0)-1,1,1)),"")</f>
        <v>75.724999999999994</v>
      </c>
      <c r="O901" s="18">
        <f ca="1">IF(OR(Registro_Ordini[[#This Row],[Price]]=0,Registro_Ordini[[#This Row],[Price]]=""),"",IF(Registro_Ordini[[#This Row],[Tipo]]="Sell",Registro_Ordini[[#This Row],[Prezzo]]/Registro_Ordini[[#This Row],[Price]]-1,Registro_Ordini[[#This Row],[Price]]/Registro_Ordini[[#This Row],[Prezzo]]-1))</f>
        <v>0.24363606503530955</v>
      </c>
      <c r="P901" s="15">
        <v>3.0030245954360844E-2</v>
      </c>
      <c r="Q901" s="3">
        <v>0.11440776730470013</v>
      </c>
      <c r="R901" s="3">
        <v>0.16800616667990792</v>
      </c>
      <c r="S901" s="3">
        <v>0.65078559874859476</v>
      </c>
      <c r="T901" s="3">
        <v>0</v>
      </c>
      <c r="U901" s="3">
        <v>6.6800467266797212E-2</v>
      </c>
      <c r="V901" s="3"/>
      <c r="W901" s="4"/>
    </row>
    <row r="902" spans="1:23" s="1" customFormat="1" ht="24.95" customHeight="1" x14ac:dyDescent="0.2">
      <c r="A902" s="8">
        <v>45609</v>
      </c>
      <c r="B902" s="7">
        <v>0.7319444444444444</v>
      </c>
      <c r="C902" s="9" t="s">
        <v>375</v>
      </c>
      <c r="D902" s="1" t="s">
        <v>388</v>
      </c>
      <c r="E902" s="1" t="s">
        <v>389</v>
      </c>
      <c r="F902" s="1" t="s">
        <v>469</v>
      </c>
      <c r="G902" s="1" t="s">
        <v>371</v>
      </c>
      <c r="H902" s="2">
        <v>300</v>
      </c>
      <c r="I902" s="17">
        <v>60.89</v>
      </c>
      <c r="J902" s="1" t="s">
        <v>366</v>
      </c>
      <c r="K902" s="6">
        <f>Registro_Ordini[[#This Row],[Numero]]*Registro_Ordini[[#This Row],[Prezzo]]</f>
        <v>18267</v>
      </c>
      <c r="L902" s="10">
        <v>0.88375000000000004</v>
      </c>
      <c r="M902" s="6">
        <f>Registro_Ordini[[#This Row],[Importo]]*Registro_Ordini[[#This Row],[Cambio]]</f>
        <v>16143.46125</v>
      </c>
      <c r="N902" s="1">
        <f ca="1">IFERROR(_xlfn.NUMBERVALUE(OFFSET(Origine,MATCH(Registro_Ordini[[#This Row],[Titolo]],Descrizioni,0),MATCH("Price",Intestazioni,0)-1,1,1)),"")</f>
        <v>75.724999999999994</v>
      </c>
      <c r="O902" s="18">
        <f ca="1">IF(OR(Registro_Ordini[[#This Row],[Price]]=0,Registro_Ordini[[#This Row],[Price]]=""),"",IF(Registro_Ordini[[#This Row],[Tipo]]="Sell",Registro_Ordini[[#This Row],[Prezzo]]/Registro_Ordini[[#This Row],[Price]]-1,Registro_Ordini[[#This Row],[Price]]/Registro_Ordini[[#This Row],[Prezzo]]-1))</f>
        <v>0.24363606503530955</v>
      </c>
      <c r="P902" s="15">
        <v>2.0463472075896872E-2</v>
      </c>
      <c r="Q902" s="3">
        <v>0.12324499231588282</v>
      </c>
      <c r="R902" s="3">
        <v>0.36010595817325097</v>
      </c>
      <c r="S902" s="3">
        <v>0.42604343646058168</v>
      </c>
      <c r="T902" s="3">
        <v>0</v>
      </c>
      <c r="U902" s="3">
        <v>9.0605613050284514E-2</v>
      </c>
      <c r="V902" s="3"/>
      <c r="W902" s="4"/>
    </row>
    <row r="903" spans="1:23" s="1" customFormat="1" ht="24.95" customHeight="1" x14ac:dyDescent="0.2">
      <c r="A903" s="8">
        <v>45609</v>
      </c>
      <c r="B903" s="7">
        <v>0.7319444444444444</v>
      </c>
      <c r="C903" s="9" t="s">
        <v>378</v>
      </c>
      <c r="D903" s="1" t="s">
        <v>388</v>
      </c>
      <c r="E903" s="1" t="s">
        <v>389</v>
      </c>
      <c r="F903" s="1" t="s">
        <v>469</v>
      </c>
      <c r="G903" s="1" t="s">
        <v>371</v>
      </c>
      <c r="H903" s="2">
        <v>190</v>
      </c>
      <c r="I903" s="17">
        <v>60.89</v>
      </c>
      <c r="J903" s="1" t="s">
        <v>366</v>
      </c>
      <c r="K903" s="6">
        <f>Registro_Ordini[[#This Row],[Numero]]*Registro_Ordini[[#This Row],[Prezzo]]</f>
        <v>11569.1</v>
      </c>
      <c r="L903" s="10">
        <v>0.88375000000000004</v>
      </c>
      <c r="M903" s="6">
        <f>Registro_Ordini[[#This Row],[Importo]]*Registro_Ordini[[#This Row],[Cambio]]</f>
        <v>10224.192125000001</v>
      </c>
      <c r="N903" s="1">
        <f ca="1">IFERROR(_xlfn.NUMBERVALUE(OFFSET(Origine,MATCH(Registro_Ordini[[#This Row],[Titolo]],Descrizioni,0),MATCH("Price",Intestazioni,0)-1,1,1)),"")</f>
        <v>75.724999999999994</v>
      </c>
      <c r="O903" s="18">
        <f ca="1">IF(OR(Registro_Ordini[[#This Row],[Price]]=0,Registro_Ordini[[#This Row],[Price]]=""),"",IF(Registro_Ordini[[#This Row],[Tipo]]="Sell",Registro_Ordini[[#This Row],[Prezzo]]/Registro_Ordini[[#This Row],[Price]]-1,Registro_Ordini[[#This Row],[Price]]/Registro_Ordini[[#This Row],[Prezzo]]-1))</f>
        <v>0.24363606503530955</v>
      </c>
      <c r="P903" s="15">
        <v>2.0246734860029803E-2</v>
      </c>
      <c r="Q903" s="3">
        <v>0.15225184575091683</v>
      </c>
      <c r="R903" s="3">
        <v>0.33915891914660684</v>
      </c>
      <c r="S903" s="3">
        <v>0.42149675030681244</v>
      </c>
      <c r="T903" s="3">
        <v>0</v>
      </c>
      <c r="U903" s="3">
        <v>8.7092484795663921E-2</v>
      </c>
      <c r="V903" s="3"/>
      <c r="W903" s="4"/>
    </row>
    <row r="904" spans="1:23" s="1" customFormat="1" ht="24.95" customHeight="1" x14ac:dyDescent="0.2">
      <c r="A904" s="8">
        <v>45609</v>
      </c>
      <c r="B904" s="7">
        <v>0.7319444444444444</v>
      </c>
      <c r="C904" s="9" t="s">
        <v>377</v>
      </c>
      <c r="D904" s="1" t="s">
        <v>388</v>
      </c>
      <c r="E904" s="1" t="s">
        <v>389</v>
      </c>
      <c r="F904" s="1" t="s">
        <v>469</v>
      </c>
      <c r="G904" s="1" t="s">
        <v>371</v>
      </c>
      <c r="H904" s="2">
        <v>585</v>
      </c>
      <c r="I904" s="17">
        <v>60.89</v>
      </c>
      <c r="J904" s="1" t="s">
        <v>366</v>
      </c>
      <c r="K904" s="6">
        <f>Registro_Ordini[[#This Row],[Numero]]*Registro_Ordini[[#This Row],[Prezzo]]</f>
        <v>35620.65</v>
      </c>
      <c r="L904" s="10">
        <v>0.88375000000000004</v>
      </c>
      <c r="M904" s="6">
        <f>Registro_Ordini[[#This Row],[Importo]]*Registro_Ordini[[#This Row],[Cambio]]</f>
        <v>31479.749437500002</v>
      </c>
      <c r="N904" s="1">
        <f ca="1">IFERROR(_xlfn.NUMBERVALUE(OFFSET(Origine,MATCH(Registro_Ordini[[#This Row],[Titolo]],Descrizioni,0),MATCH("Price",Intestazioni,0)-1,1,1)),"")</f>
        <v>75.724999999999994</v>
      </c>
      <c r="O904" s="18">
        <f ca="1">IF(OR(Registro_Ordini[[#This Row],[Price]]=0,Registro_Ordini[[#This Row],[Price]]=""),"",IF(Registro_Ordini[[#This Row],[Tipo]]="Sell",Registro_Ordini[[#This Row],[Prezzo]]/Registro_Ordini[[#This Row],[Price]]-1,Registro_Ordini[[#This Row],[Price]]/Registro_Ordini[[#This Row],[Prezzo]]-1))</f>
        <v>0.24363606503530955</v>
      </c>
      <c r="P904" s="15">
        <v>2.0103031872843163E-2</v>
      </c>
      <c r="Q904" s="3">
        <v>0.137673875706778</v>
      </c>
      <c r="R904" s="3">
        <v>0.32998601928573251</v>
      </c>
      <c r="S904" s="3">
        <v>0.43778867909324864</v>
      </c>
      <c r="T904" s="3">
        <v>0</v>
      </c>
      <c r="U904" s="3">
        <v>9.4551425914240927E-2</v>
      </c>
      <c r="V904" s="3"/>
      <c r="W904" s="4"/>
    </row>
    <row r="905" spans="1:23" s="1" customFormat="1" ht="24.95" customHeight="1" x14ac:dyDescent="0.2">
      <c r="A905" s="8">
        <v>45609</v>
      </c>
      <c r="B905" s="7">
        <v>0.7319444444444444</v>
      </c>
      <c r="C905" s="9" t="s">
        <v>376</v>
      </c>
      <c r="D905" s="1" t="s">
        <v>388</v>
      </c>
      <c r="E905" s="1" t="s">
        <v>389</v>
      </c>
      <c r="F905" s="1" t="s">
        <v>469</v>
      </c>
      <c r="G905" s="1" t="s">
        <v>371</v>
      </c>
      <c r="H905" s="2">
        <v>105</v>
      </c>
      <c r="I905" s="17">
        <v>60.89</v>
      </c>
      <c r="J905" s="1" t="s">
        <v>366</v>
      </c>
      <c r="K905" s="6">
        <f>Registro_Ordini[[#This Row],[Numero]]*Registro_Ordini[[#This Row],[Prezzo]]</f>
        <v>6393.45</v>
      </c>
      <c r="L905" s="10">
        <v>0.88375000000000004</v>
      </c>
      <c r="M905" s="6">
        <f>Registro_Ordini[[#This Row],[Importo]]*Registro_Ordini[[#This Row],[Cambio]]</f>
        <v>5650.2114375000001</v>
      </c>
      <c r="N905" s="1">
        <f ca="1">IFERROR(_xlfn.NUMBERVALUE(OFFSET(Origine,MATCH(Registro_Ordini[[#This Row],[Titolo]],Descrizioni,0),MATCH("Price",Intestazioni,0)-1,1,1)),"")</f>
        <v>75.724999999999994</v>
      </c>
      <c r="O905" s="18">
        <f ca="1">IF(OR(Registro_Ordini[[#This Row],[Price]]=0,Registro_Ordini[[#This Row],[Price]]=""),"",IF(Registro_Ordini[[#This Row],[Tipo]]="Sell",Registro_Ordini[[#This Row],[Prezzo]]/Registro_Ordini[[#This Row],[Price]]-1,Registro_Ordini[[#This Row],[Price]]/Registro_Ordini[[#This Row],[Prezzo]]-1))</f>
        <v>0.24363606503530955</v>
      </c>
      <c r="P905" s="15">
        <v>2.0254869342134701E-2</v>
      </c>
      <c r="Q905" s="3">
        <v>8.196759476628368E-2</v>
      </c>
      <c r="R905" s="3">
        <v>0.34936383945013516</v>
      </c>
      <c r="S905" s="3">
        <v>0.45866560803519035</v>
      </c>
      <c r="T905" s="3">
        <v>0</v>
      </c>
      <c r="U905" s="3">
        <v>0.11000295774839078</v>
      </c>
      <c r="V905" s="3"/>
      <c r="W905" s="4"/>
    </row>
    <row r="906" spans="1:23" s="1" customFormat="1" ht="24.95" customHeight="1" x14ac:dyDescent="0.2">
      <c r="A906" s="8">
        <v>45609</v>
      </c>
      <c r="B906" s="7">
        <v>0.73055555555555551</v>
      </c>
      <c r="C906" s="9" t="s">
        <v>78</v>
      </c>
      <c r="D906" s="1" t="s">
        <v>388</v>
      </c>
      <c r="E906" s="1" t="s">
        <v>389</v>
      </c>
      <c r="F906" s="1" t="s">
        <v>489</v>
      </c>
      <c r="G906" s="1" t="s">
        <v>365</v>
      </c>
      <c r="H906" s="2">
        <v>-400</v>
      </c>
      <c r="I906" s="17">
        <v>31.57</v>
      </c>
      <c r="J906" s="1" t="s">
        <v>366</v>
      </c>
      <c r="K906" s="6">
        <f>Registro_Ordini[[#This Row],[Numero]]*Registro_Ordini[[#This Row],[Prezzo]]</f>
        <v>-12628</v>
      </c>
      <c r="L906" s="10">
        <v>0.88344999999999996</v>
      </c>
      <c r="M906" s="6">
        <f>Registro_Ordini[[#This Row],[Importo]]*Registro_Ordini[[#This Row],[Cambio]]</f>
        <v>-11156.2066</v>
      </c>
      <c r="N906" s="1">
        <f ca="1">IFERROR(_xlfn.NUMBERVALUE(OFFSET(Origine,MATCH(Registro_Ordini[[#This Row],[Titolo]],Descrizioni,0),MATCH("Price",Intestazioni,0)-1,1,1)),"")</f>
        <v>31.55</v>
      </c>
      <c r="O906" s="18">
        <f ca="1">IF(OR(Registro_Ordini[[#This Row],[Price]]=0,Registro_Ordini[[#This Row],[Price]]=""),"",IF(Registro_Ordini[[#This Row],[Tipo]]="Sell",Registro_Ordini[[#This Row],[Prezzo]]/Registro_Ordini[[#This Row],[Price]]-1,Registro_Ordini[[#This Row],[Price]]/Registro_Ordini[[#This Row],[Prezzo]]-1))</f>
        <v>6.3391442155302791E-4</v>
      </c>
      <c r="P906" s="15">
        <v>-2.7074750908326031E-2</v>
      </c>
      <c r="Q906" s="3">
        <v>0.1444607740890875</v>
      </c>
      <c r="R906" s="3">
        <v>0.16802285169201037</v>
      </c>
      <c r="S906" s="3">
        <v>0.62070927287058986</v>
      </c>
      <c r="T906" s="3">
        <v>0</v>
      </c>
      <c r="U906" s="3">
        <v>6.6807101348312303E-2</v>
      </c>
      <c r="V906" s="3"/>
      <c r="W906" s="4"/>
    </row>
    <row r="907" spans="1:23" s="1" customFormat="1" ht="24.95" customHeight="1" x14ac:dyDescent="0.2">
      <c r="A907" s="8">
        <v>45609</v>
      </c>
      <c r="B907" s="7">
        <v>0.73055555555555551</v>
      </c>
      <c r="C907" s="9" t="s">
        <v>375</v>
      </c>
      <c r="D907" s="1" t="s">
        <v>388</v>
      </c>
      <c r="E907" s="1" t="s">
        <v>389</v>
      </c>
      <c r="F907" s="1" t="s">
        <v>489</v>
      </c>
      <c r="G907" s="1" t="s">
        <v>365</v>
      </c>
      <c r="H907" s="2">
        <v>-760</v>
      </c>
      <c r="I907" s="17">
        <v>31.57</v>
      </c>
      <c r="J907" s="1" t="s">
        <v>366</v>
      </c>
      <c r="K907" s="6">
        <f>Registro_Ordini[[#This Row],[Numero]]*Registro_Ordini[[#This Row],[Prezzo]]</f>
        <v>-23993.200000000001</v>
      </c>
      <c r="L907" s="10">
        <v>0.88375000000000004</v>
      </c>
      <c r="M907" s="6">
        <f>Registro_Ordini[[#This Row],[Importo]]*Registro_Ordini[[#This Row],[Cambio]]</f>
        <v>-21203.9905</v>
      </c>
      <c r="N907" s="1">
        <f ca="1">IFERROR(_xlfn.NUMBERVALUE(OFFSET(Origine,MATCH(Registro_Ordini[[#This Row],[Titolo]],Descrizioni,0),MATCH("Price",Intestazioni,0)-1,1,1)),"")</f>
        <v>31.55</v>
      </c>
      <c r="O907" s="18">
        <f ca="1">IF(OR(Registro_Ordini[[#This Row],[Price]]=0,Registro_Ordini[[#This Row],[Price]]=""),"",IF(Registro_Ordini[[#This Row],[Tipo]]="Sell",Registro_Ordini[[#This Row],[Prezzo]]/Registro_Ordini[[#This Row],[Price]]-1,Registro_Ordini[[#This Row],[Price]]/Registro_Ordini[[#This Row],[Prezzo]]-1))</f>
        <v>6.3391442155302791E-4</v>
      </c>
      <c r="P907" s="15">
        <v>-2.6878205409284983E-2</v>
      </c>
      <c r="Q907" s="3">
        <v>0.1437084643917797</v>
      </c>
      <c r="R907" s="3">
        <v>0.36010595817325097</v>
      </c>
      <c r="S907" s="3">
        <v>0.40557996438468474</v>
      </c>
      <c r="T907" s="3">
        <v>0</v>
      </c>
      <c r="U907" s="3">
        <v>9.0605613050284514E-2</v>
      </c>
      <c r="V907" s="3"/>
      <c r="W907" s="4"/>
    </row>
    <row r="908" spans="1:23" s="1" customFormat="1" ht="24.95" customHeight="1" x14ac:dyDescent="0.2">
      <c r="A908" s="8">
        <v>45609</v>
      </c>
      <c r="B908" s="7">
        <v>0.73055555555555551</v>
      </c>
      <c r="C908" s="9" t="s">
        <v>378</v>
      </c>
      <c r="D908" s="1" t="s">
        <v>388</v>
      </c>
      <c r="E908" s="1" t="s">
        <v>389</v>
      </c>
      <c r="F908" s="1" t="s">
        <v>489</v>
      </c>
      <c r="G908" s="1" t="s">
        <v>365</v>
      </c>
      <c r="H908" s="2">
        <v>-500</v>
      </c>
      <c r="I908" s="17">
        <v>31.57</v>
      </c>
      <c r="J908" s="1" t="s">
        <v>366</v>
      </c>
      <c r="K908" s="6">
        <f>Registro_Ordini[[#This Row],[Numero]]*Registro_Ordini[[#This Row],[Prezzo]]</f>
        <v>-15785</v>
      </c>
      <c r="L908" s="10">
        <v>0.88375000000000004</v>
      </c>
      <c r="M908" s="6">
        <f>Registro_Ordini[[#This Row],[Importo]]*Registro_Ordini[[#This Row],[Cambio]]</f>
        <v>-13949.993750000001</v>
      </c>
      <c r="N908" s="1">
        <f ca="1">IFERROR(_xlfn.NUMBERVALUE(OFFSET(Origine,MATCH(Registro_Ordini[[#This Row],[Titolo]],Descrizioni,0),MATCH("Price",Intestazioni,0)-1,1,1)),"")</f>
        <v>31.55</v>
      </c>
      <c r="O908" s="18">
        <f ca="1">IF(OR(Registro_Ordini[[#This Row],[Price]]=0,Registro_Ordini[[#This Row],[Price]]=""),"",IF(Registro_Ordini[[#This Row],[Tipo]]="Sell",Registro_Ordini[[#This Row],[Prezzo]]/Registro_Ordini[[#This Row],[Price]]-1,Registro_Ordini[[#This Row],[Price]]/Registro_Ordini[[#This Row],[Prezzo]]-1))</f>
        <v>6.3391442155302791E-4</v>
      </c>
      <c r="P908" s="15">
        <v>-2.7624854981422101E-2</v>
      </c>
      <c r="Q908" s="3">
        <v>0.17249858061094664</v>
      </c>
      <c r="R908" s="3">
        <v>0.33915891914660684</v>
      </c>
      <c r="S908" s="3">
        <v>0.40125001544678263</v>
      </c>
      <c r="T908" s="3">
        <v>0</v>
      </c>
      <c r="U908" s="3">
        <v>8.7092484795663921E-2</v>
      </c>
      <c r="V908" s="3"/>
      <c r="W908" s="4"/>
    </row>
    <row r="909" spans="1:23" s="1" customFormat="1" ht="24.95" customHeight="1" x14ac:dyDescent="0.2">
      <c r="A909" s="8">
        <v>45609</v>
      </c>
      <c r="B909" s="7">
        <v>0.73055555555555551</v>
      </c>
      <c r="C909" s="9" t="s">
        <v>377</v>
      </c>
      <c r="D909" s="1" t="s">
        <v>388</v>
      </c>
      <c r="E909" s="1" t="s">
        <v>389</v>
      </c>
      <c r="F909" s="1" t="s">
        <v>489</v>
      </c>
      <c r="G909" s="1" t="s">
        <v>365</v>
      </c>
      <c r="H909" s="2">
        <v>-1500</v>
      </c>
      <c r="I909" s="17">
        <v>31.57</v>
      </c>
      <c r="J909" s="1" t="s">
        <v>366</v>
      </c>
      <c r="K909" s="6">
        <f>Registro_Ordini[[#This Row],[Numero]]*Registro_Ordini[[#This Row],[Prezzo]]</f>
        <v>-47355</v>
      </c>
      <c r="L909" s="10">
        <v>0.88375000000000004</v>
      </c>
      <c r="M909" s="6">
        <f>Registro_Ordini[[#This Row],[Importo]]*Registro_Ordini[[#This Row],[Cambio]]</f>
        <v>-41849.981250000004</v>
      </c>
      <c r="N909" s="1">
        <f ca="1">IFERROR(_xlfn.NUMBERVALUE(OFFSET(Origine,MATCH(Registro_Ordini[[#This Row],[Titolo]],Descrizioni,0),MATCH("Price",Intestazioni,0)-1,1,1)),"")</f>
        <v>31.55</v>
      </c>
      <c r="O909" s="18">
        <f ca="1">IF(OR(Registro_Ordini[[#This Row],[Price]]=0,Registro_Ordini[[#This Row],[Price]]=""),"",IF(Registro_Ordini[[#This Row],[Tipo]]="Sell",Registro_Ordini[[#This Row],[Prezzo]]/Registro_Ordini[[#This Row],[Price]]-1,Registro_Ordini[[#This Row],[Price]]/Registro_Ordini[[#This Row],[Prezzo]]-1))</f>
        <v>6.3391442155302791E-4</v>
      </c>
      <c r="P909" s="15">
        <v>-2.6725482952683007E-2</v>
      </c>
      <c r="Q909" s="3">
        <v>0.15777690757962115</v>
      </c>
      <c r="R909" s="3">
        <v>0.32998601928573251</v>
      </c>
      <c r="S909" s="3">
        <v>0.41768564722040546</v>
      </c>
      <c r="T909" s="3">
        <v>0</v>
      </c>
      <c r="U909" s="3">
        <v>9.4551425914240927E-2</v>
      </c>
      <c r="V909" s="3"/>
      <c r="W909" s="4"/>
    </row>
    <row r="910" spans="1:23" s="1" customFormat="1" ht="24.95" customHeight="1" x14ac:dyDescent="0.2">
      <c r="A910" s="8">
        <v>45609</v>
      </c>
      <c r="B910" s="7">
        <v>0.73055555555555551</v>
      </c>
      <c r="C910" s="9" t="s">
        <v>376</v>
      </c>
      <c r="D910" s="1" t="s">
        <v>388</v>
      </c>
      <c r="E910" s="1" t="s">
        <v>389</v>
      </c>
      <c r="F910" s="1" t="s">
        <v>489</v>
      </c>
      <c r="G910" s="1" t="s">
        <v>365</v>
      </c>
      <c r="H910" s="2">
        <v>-270</v>
      </c>
      <c r="I910" s="17">
        <v>31.57</v>
      </c>
      <c r="J910" s="1" t="s">
        <v>366</v>
      </c>
      <c r="K910" s="6">
        <f>Registro_Ordini[[#This Row],[Numero]]*Registro_Ordini[[#This Row],[Prezzo]]</f>
        <v>-8523.9</v>
      </c>
      <c r="L910" s="10">
        <v>0.88375000000000004</v>
      </c>
      <c r="M910" s="6">
        <f>Registro_Ordini[[#This Row],[Importo]]*Registro_Ordini[[#This Row],[Cambio]]</f>
        <v>-7532.9966249999998</v>
      </c>
      <c r="N910" s="1">
        <f ca="1">IFERROR(_xlfn.NUMBERVALUE(OFFSET(Origine,MATCH(Registro_Ordini[[#This Row],[Titolo]],Descrizioni,0),MATCH("Price",Intestazioni,0)-1,1,1)),"")</f>
        <v>31.55</v>
      </c>
      <c r="O910" s="18">
        <f ca="1">IF(OR(Registro_Ordini[[#This Row],[Price]]=0,Registro_Ordini[[#This Row],[Price]]=""),"",IF(Registro_Ordini[[#This Row],[Tipo]]="Sell",Registro_Ordini[[#This Row],[Prezzo]]/Registro_Ordini[[#This Row],[Price]]-1,Registro_Ordini[[#This Row],[Price]]/Registro_Ordini[[#This Row],[Prezzo]]-1))</f>
        <v>6.3391442155302791E-4</v>
      </c>
      <c r="P910" s="15">
        <v>-2.7004274810223269E-2</v>
      </c>
      <c r="Q910" s="3">
        <v>0.10222246410841838</v>
      </c>
      <c r="R910" s="3">
        <v>0.34936383945013516</v>
      </c>
      <c r="S910" s="3">
        <v>0.43841073869305569</v>
      </c>
      <c r="T910" s="3">
        <v>0</v>
      </c>
      <c r="U910" s="3">
        <v>0.11000295774839078</v>
      </c>
      <c r="V910" s="3"/>
      <c r="W910" s="4"/>
    </row>
    <row r="911" spans="1:23" s="1" customFormat="1" ht="24.95" customHeight="1" x14ac:dyDescent="0.2">
      <c r="A911" s="8">
        <v>45609</v>
      </c>
      <c r="B911" s="7">
        <v>0.72916666666666663</v>
      </c>
      <c r="C911" s="9" t="s">
        <v>383</v>
      </c>
      <c r="D911" s="1" t="s">
        <v>388</v>
      </c>
      <c r="E911" s="1" t="s">
        <v>389</v>
      </c>
      <c r="F911" s="1" t="s">
        <v>489</v>
      </c>
      <c r="G911" s="1" t="s">
        <v>365</v>
      </c>
      <c r="H911" s="2">
        <v>-530</v>
      </c>
      <c r="I911" s="17">
        <v>31.57</v>
      </c>
      <c r="J911" s="1" t="s">
        <v>366</v>
      </c>
      <c r="K911" s="6">
        <f>Registro_Ordini[[#This Row],[Numero]]*Registro_Ordini[[#This Row],[Prezzo]]</f>
        <v>-16732.099999999999</v>
      </c>
      <c r="L911" s="10">
        <v>0.94515000000000005</v>
      </c>
      <c r="M911" s="6">
        <f>Registro_Ordini[[#This Row],[Importo]]*Registro_Ordini[[#This Row],[Cambio]]</f>
        <v>-15814.344315</v>
      </c>
      <c r="N911" s="1">
        <f ca="1">IFERROR(_xlfn.NUMBERVALUE(OFFSET(Origine,MATCH(Registro_Ordini[[#This Row],[Titolo]],Descrizioni,0),MATCH("Price",Intestazioni,0)-1,1,1)),"")</f>
        <v>31.55</v>
      </c>
      <c r="O911" s="18">
        <f ca="1">IF(OR(Registro_Ordini[[#This Row],[Price]]=0,Registro_Ordini[[#This Row],[Price]]=""),"",IF(Registro_Ordini[[#This Row],[Tipo]]="Sell",Registro_Ordini[[#This Row],[Prezzo]]/Registro_Ordini[[#This Row],[Price]]-1,Registro_Ordini[[#This Row],[Price]]/Registro_Ordini[[#This Row],[Prezzo]]-1))</f>
        <v>6.3391442155302791E-4</v>
      </c>
      <c r="P911" s="15">
        <v>-2.6113699763680463E-2</v>
      </c>
      <c r="Q911" s="3">
        <v>0.23513405341282528</v>
      </c>
      <c r="R911" s="3">
        <v>0.2778819079815632</v>
      </c>
      <c r="S911" s="3">
        <v>0.38960304886406616</v>
      </c>
      <c r="T911" s="3">
        <v>0</v>
      </c>
      <c r="U911" s="3">
        <v>9.7380989741545451E-2</v>
      </c>
      <c r="V911" s="3"/>
      <c r="W911" s="4"/>
    </row>
    <row r="912" spans="1:23" s="1" customFormat="1" ht="24.95" customHeight="1" x14ac:dyDescent="0.2">
      <c r="A912" s="8">
        <v>45609</v>
      </c>
      <c r="B912" s="7">
        <v>0.72916666666666663</v>
      </c>
      <c r="C912" s="9" t="s">
        <v>382</v>
      </c>
      <c r="D912" s="1" t="s">
        <v>388</v>
      </c>
      <c r="E912" s="1" t="s">
        <v>389</v>
      </c>
      <c r="F912" s="1" t="s">
        <v>489</v>
      </c>
      <c r="G912" s="1" t="s">
        <v>365</v>
      </c>
      <c r="H912" s="2">
        <v>-900</v>
      </c>
      <c r="I912" s="17">
        <v>31.57</v>
      </c>
      <c r="J912" s="1" t="s">
        <v>366</v>
      </c>
      <c r="K912" s="6">
        <f>Registro_Ordini[[#This Row],[Numero]]*Registro_Ordini[[#This Row],[Prezzo]]</f>
        <v>-28413</v>
      </c>
      <c r="L912" s="10">
        <v>0.94515000000000005</v>
      </c>
      <c r="M912" s="6">
        <f>Registro_Ordini[[#This Row],[Importo]]*Registro_Ordini[[#This Row],[Cambio]]</f>
        <v>-26854.54695</v>
      </c>
      <c r="N912" s="1">
        <f ca="1">IFERROR(_xlfn.NUMBERVALUE(OFFSET(Origine,MATCH(Registro_Ordini[[#This Row],[Titolo]],Descrizioni,0),MATCH("Price",Intestazioni,0)-1,1,1)),"")</f>
        <v>31.55</v>
      </c>
      <c r="O912" s="18">
        <f ca="1">IF(OR(Registro_Ordini[[#This Row],[Price]]=0,Registro_Ordini[[#This Row],[Price]]=""),"",IF(Registro_Ordini[[#This Row],[Tipo]]="Sell",Registro_Ordini[[#This Row],[Prezzo]]/Registro_Ordini[[#This Row],[Price]]-1,Registro_Ordini[[#This Row],[Price]]/Registro_Ordini[[#This Row],[Prezzo]]-1))</f>
        <v>6.3391442155302791E-4</v>
      </c>
      <c r="P912" s="15">
        <v>-2.6266296249184549E-2</v>
      </c>
      <c r="Q912" s="3">
        <v>0.180562899180889</v>
      </c>
      <c r="R912" s="3">
        <v>0.28542889734000909</v>
      </c>
      <c r="S912" s="3">
        <v>0.43502341352588064</v>
      </c>
      <c r="T912" s="3">
        <v>0</v>
      </c>
      <c r="U912" s="3">
        <v>9.8984789953221256E-2</v>
      </c>
      <c r="V912" s="3"/>
      <c r="W912" s="4"/>
    </row>
    <row r="913" spans="1:23" s="1" customFormat="1" ht="24.95" customHeight="1" x14ac:dyDescent="0.2">
      <c r="A913" s="8">
        <v>45609</v>
      </c>
      <c r="B913" s="7">
        <v>0.72916666666666663</v>
      </c>
      <c r="C913" s="9" t="s">
        <v>106</v>
      </c>
      <c r="D913" s="1" t="s">
        <v>388</v>
      </c>
      <c r="E913" s="1" t="s">
        <v>389</v>
      </c>
      <c r="F913" s="1" t="s">
        <v>489</v>
      </c>
      <c r="G913" s="1" t="s">
        <v>365</v>
      </c>
      <c r="H913" s="2">
        <v>-200</v>
      </c>
      <c r="I913" s="17">
        <v>31.57</v>
      </c>
      <c r="J913" s="1" t="s">
        <v>366</v>
      </c>
      <c r="K913" s="6">
        <f>Registro_Ordini[[#This Row],[Numero]]*Registro_Ordini[[#This Row],[Prezzo]]</f>
        <v>-6314</v>
      </c>
      <c r="L913" s="10">
        <v>0.94515000000000005</v>
      </c>
      <c r="M913" s="6">
        <f>Registro_Ordini[[#This Row],[Importo]]*Registro_Ordini[[#This Row],[Cambio]]</f>
        <v>-5967.6770999999999</v>
      </c>
      <c r="N913" s="1">
        <f ca="1">IFERROR(_xlfn.NUMBERVALUE(OFFSET(Origine,MATCH(Registro_Ordini[[#This Row],[Titolo]],Descrizioni,0),MATCH("Price",Intestazioni,0)-1,1,1)),"")</f>
        <v>31.55</v>
      </c>
      <c r="O913" s="18">
        <f ca="1">IF(OR(Registro_Ordini[[#This Row],[Price]]=0,Registro_Ordini[[#This Row],[Price]]=""),"",IF(Registro_Ordini[[#This Row],[Tipo]]="Sell",Registro_Ordini[[#This Row],[Prezzo]]/Registro_Ordini[[#This Row],[Price]]-1,Registro_Ordini[[#This Row],[Price]]/Registro_Ordini[[#This Row],[Prezzo]]-1))</f>
        <v>6.3391442155302791E-4</v>
      </c>
      <c r="P913" s="15">
        <v>-4.5660443776801701E-2</v>
      </c>
      <c r="Q913" s="3">
        <v>0.28222382830218862</v>
      </c>
      <c r="R913" s="3">
        <v>0.24664636337307189</v>
      </c>
      <c r="S913" s="3">
        <v>0.34234322696965686</v>
      </c>
      <c r="T913" s="3">
        <v>0</v>
      </c>
      <c r="U913" s="3">
        <v>0.12878658135508256</v>
      </c>
      <c r="V913" s="3"/>
      <c r="W913" s="4"/>
    </row>
    <row r="914" spans="1:23" s="1" customFormat="1" ht="24.95" customHeight="1" x14ac:dyDescent="0.2">
      <c r="A914" s="8">
        <v>45609</v>
      </c>
      <c r="B914" s="7">
        <v>0.72916666666666663</v>
      </c>
      <c r="C914" s="9" t="s">
        <v>379</v>
      </c>
      <c r="D914" s="1" t="s">
        <v>388</v>
      </c>
      <c r="E914" s="1" t="s">
        <v>389</v>
      </c>
      <c r="F914" s="1" t="s">
        <v>489</v>
      </c>
      <c r="G914" s="1" t="s">
        <v>365</v>
      </c>
      <c r="H914" s="2">
        <v>-490</v>
      </c>
      <c r="I914" s="17">
        <v>31.57</v>
      </c>
      <c r="J914" s="1" t="s">
        <v>366</v>
      </c>
      <c r="K914" s="6">
        <f>Registro_Ordini[[#This Row],[Numero]]*Registro_Ordini[[#This Row],[Prezzo]]</f>
        <v>-15469.3</v>
      </c>
      <c r="L914" s="10">
        <v>0.94515000000000005</v>
      </c>
      <c r="M914" s="6">
        <f>Registro_Ordini[[#This Row],[Importo]]*Registro_Ordini[[#This Row],[Cambio]]</f>
        <v>-14620.808895</v>
      </c>
      <c r="N914" s="1">
        <f ca="1">IFERROR(_xlfn.NUMBERVALUE(OFFSET(Origine,MATCH(Registro_Ordini[[#This Row],[Titolo]],Descrizioni,0),MATCH("Price",Intestazioni,0)-1,1,1)),"")</f>
        <v>31.55</v>
      </c>
      <c r="O914" s="18">
        <f ca="1">IF(OR(Registro_Ordini[[#This Row],[Price]]=0,Registro_Ordini[[#This Row],[Price]]=""),"",IF(Registro_Ordini[[#This Row],[Tipo]]="Sell",Registro_Ordini[[#This Row],[Prezzo]]/Registro_Ordini[[#This Row],[Price]]-1,Registro_Ordini[[#This Row],[Price]]/Registro_Ordini[[#This Row],[Prezzo]]-1))</f>
        <v>6.3391442155302791E-4</v>
      </c>
      <c r="P914" s="15">
        <v>-2.6321257869333928E-2</v>
      </c>
      <c r="Q914" s="3">
        <v>0.16959947066322784</v>
      </c>
      <c r="R914" s="3">
        <v>0.29023926092789321</v>
      </c>
      <c r="S914" s="3">
        <v>0.44090436699427887</v>
      </c>
      <c r="T914" s="3">
        <v>0</v>
      </c>
      <c r="U914" s="3">
        <v>9.9256901414600085E-2</v>
      </c>
      <c r="V914" s="3"/>
      <c r="W914" s="4"/>
    </row>
    <row r="915" spans="1:23" s="1" customFormat="1" ht="24.95" customHeight="1" x14ac:dyDescent="0.2">
      <c r="A915" s="8">
        <v>45609</v>
      </c>
      <c r="B915" s="7">
        <v>0.72847222222222219</v>
      </c>
      <c r="C915" s="9" t="s">
        <v>383</v>
      </c>
      <c r="D915" s="1" t="s">
        <v>388</v>
      </c>
      <c r="E915" s="1" t="s">
        <v>389</v>
      </c>
      <c r="F915" s="1" t="s">
        <v>441</v>
      </c>
      <c r="G915" s="1" t="s">
        <v>371</v>
      </c>
      <c r="H915" s="2">
        <v>280</v>
      </c>
      <c r="I915" s="17">
        <v>58.08</v>
      </c>
      <c r="J915" s="1" t="s">
        <v>366</v>
      </c>
      <c r="K915" s="6">
        <f>Registro_Ordini[[#This Row],[Numero]]*Registro_Ordini[[#This Row],[Prezzo]]</f>
        <v>16262.4</v>
      </c>
      <c r="L915" s="10">
        <v>0.94515000000000005</v>
      </c>
      <c r="M915" s="6">
        <f>Registro_Ordini[[#This Row],[Importo]]*Registro_Ordini[[#This Row],[Cambio]]</f>
        <v>15370.407360000001</v>
      </c>
      <c r="N915" s="1">
        <f ca="1">IFERROR(_xlfn.NUMBERVALUE(OFFSET(Origine,MATCH(Registro_Ordini[[#This Row],[Titolo]],Descrizioni,0),MATCH("Price",Intestazioni,0)-1,1,1)),"")</f>
        <v>59.77</v>
      </c>
      <c r="O915" s="18">
        <f ca="1">IF(OR(Registro_Ordini[[#This Row],[Price]]=0,Registro_Ordini[[#This Row],[Price]]=""),"",IF(Registro_Ordini[[#This Row],[Tipo]]="Sell",Registro_Ordini[[#This Row],[Prezzo]]/Registro_Ordini[[#This Row],[Price]]-1,Registro_Ordini[[#This Row],[Price]]/Registro_Ordini[[#This Row],[Prezzo]]-1))</f>
        <v>2.9097796143250809E-2</v>
      </c>
      <c r="P915" s="15">
        <v>2.5381069274508429E-2</v>
      </c>
      <c r="Q915" s="3">
        <v>0.20902387685167448</v>
      </c>
      <c r="R915" s="3">
        <v>0.27788659189977521</v>
      </c>
      <c r="S915" s="3">
        <v>0.41570690007379801</v>
      </c>
      <c r="T915" s="3">
        <v>0</v>
      </c>
      <c r="U915" s="3">
        <v>9.7382631174752349E-2</v>
      </c>
      <c r="V915" s="3"/>
      <c r="W915" s="4"/>
    </row>
    <row r="916" spans="1:23" s="1" customFormat="1" ht="24.95" customHeight="1" x14ac:dyDescent="0.2">
      <c r="A916" s="8">
        <v>45609</v>
      </c>
      <c r="B916" s="7">
        <v>0.72847222222222219</v>
      </c>
      <c r="C916" s="9" t="s">
        <v>382</v>
      </c>
      <c r="D916" s="1" t="s">
        <v>388</v>
      </c>
      <c r="E916" s="1" t="s">
        <v>389</v>
      </c>
      <c r="F916" s="1" t="s">
        <v>441</v>
      </c>
      <c r="G916" s="1" t="s">
        <v>371</v>
      </c>
      <c r="H916" s="2">
        <v>470</v>
      </c>
      <c r="I916" s="17">
        <v>58.08</v>
      </c>
      <c r="J916" s="1" t="s">
        <v>366</v>
      </c>
      <c r="K916" s="6">
        <f>Registro_Ordini[[#This Row],[Numero]]*Registro_Ordini[[#This Row],[Prezzo]]</f>
        <v>27297.599999999999</v>
      </c>
      <c r="L916" s="10">
        <v>0.94515000000000005</v>
      </c>
      <c r="M916" s="6">
        <f>Registro_Ordini[[#This Row],[Importo]]*Registro_Ordini[[#This Row],[Cambio]]</f>
        <v>25800.326639999999</v>
      </c>
      <c r="N916" s="1">
        <f ca="1">IFERROR(_xlfn.NUMBERVALUE(OFFSET(Origine,MATCH(Registro_Ordini[[#This Row],[Titolo]],Descrizioni,0),MATCH("Price",Intestazioni,0)-1,1,1)),"")</f>
        <v>59.77</v>
      </c>
      <c r="O916" s="18">
        <f ca="1">IF(OR(Registro_Ordini[[#This Row],[Price]]=0,Registro_Ordini[[#This Row],[Price]]=""),"",IF(Registro_Ordini[[#This Row],[Tipo]]="Sell",Registro_Ordini[[#This Row],[Prezzo]]/Registro_Ordini[[#This Row],[Price]]-1,Registro_Ordini[[#This Row],[Price]]/Registro_Ordini[[#This Row],[Prezzo]]-1))</f>
        <v>2.9097796143250809E-2</v>
      </c>
      <c r="P916" s="15">
        <v>2.5235589212022576E-2</v>
      </c>
      <c r="Q916" s="3">
        <v>0.1542991740414919</v>
      </c>
      <c r="R916" s="3">
        <v>0.28543365356287864</v>
      </c>
      <c r="S916" s="3">
        <v>0.46128073301683803</v>
      </c>
      <c r="T916" s="3">
        <v>0</v>
      </c>
      <c r="U916" s="3">
        <v>9.8986439378791355E-2</v>
      </c>
      <c r="V916" s="3"/>
      <c r="W916" s="4"/>
    </row>
    <row r="917" spans="1:23" s="1" customFormat="1" ht="24.95" customHeight="1" x14ac:dyDescent="0.2">
      <c r="A917" s="8">
        <v>45609</v>
      </c>
      <c r="B917" s="7">
        <v>0.72847222222222219</v>
      </c>
      <c r="C917" s="9" t="s">
        <v>379</v>
      </c>
      <c r="D917" s="1" t="s">
        <v>388</v>
      </c>
      <c r="E917" s="1" t="s">
        <v>389</v>
      </c>
      <c r="F917" s="1" t="s">
        <v>441</v>
      </c>
      <c r="G917" s="1" t="s">
        <v>371</v>
      </c>
      <c r="H917" s="2">
        <v>255</v>
      </c>
      <c r="I917" s="17">
        <v>58.08</v>
      </c>
      <c r="J917" s="1" t="s">
        <v>366</v>
      </c>
      <c r="K917" s="6">
        <f>Registro_Ordini[[#This Row],[Numero]]*Registro_Ordini[[#This Row],[Prezzo]]</f>
        <v>14810.4</v>
      </c>
      <c r="L917" s="10">
        <v>0.94515000000000005</v>
      </c>
      <c r="M917" s="6">
        <f>Registro_Ordini[[#This Row],[Importo]]*Registro_Ordini[[#This Row],[Cambio]]</f>
        <v>13998.049559999999</v>
      </c>
      <c r="N917" s="1">
        <f ca="1">IFERROR(_xlfn.NUMBERVALUE(OFFSET(Origine,MATCH(Registro_Ordini[[#This Row],[Titolo]],Descrizioni,0),MATCH("Price",Intestazioni,0)-1,1,1)),"")</f>
        <v>59.77</v>
      </c>
      <c r="O917" s="18">
        <f ca="1">IF(OR(Registro_Ordini[[#This Row],[Price]]=0,Registro_Ordini[[#This Row],[Price]]=""),"",IF(Registro_Ordini[[#This Row],[Tipo]]="Sell",Registro_Ordini[[#This Row],[Prezzo]]/Registro_Ordini[[#This Row],[Price]]-1,Registro_Ordini[[#This Row],[Price]]/Registro_Ordini[[#This Row],[Prezzo]]-1))</f>
        <v>2.9097796143250809E-2</v>
      </c>
      <c r="P917" s="15">
        <v>2.5200547737323938E-2</v>
      </c>
      <c r="Q917" s="3">
        <v>0.14328059283465377</v>
      </c>
      <c r="R917" s="3">
        <v>0.29024408218618264</v>
      </c>
      <c r="S917" s="3">
        <v>0.46721677477605295</v>
      </c>
      <c r="T917" s="3">
        <v>0</v>
      </c>
      <c r="U917" s="3">
        <v>9.9258550203110626E-2</v>
      </c>
      <c r="V917" s="3"/>
      <c r="W917" s="4"/>
    </row>
    <row r="918" spans="1:23" s="1" customFormat="1" ht="24.95" customHeight="1" x14ac:dyDescent="0.2">
      <c r="A918" s="8">
        <v>45609</v>
      </c>
      <c r="B918" s="7">
        <v>0.72777777777777775</v>
      </c>
      <c r="C918" s="9" t="s">
        <v>78</v>
      </c>
      <c r="D918" s="1" t="s">
        <v>388</v>
      </c>
      <c r="E918" s="1" t="s">
        <v>389</v>
      </c>
      <c r="F918" s="1" t="s">
        <v>441</v>
      </c>
      <c r="G918" s="1" t="s">
        <v>371</v>
      </c>
      <c r="H918" s="2">
        <v>240</v>
      </c>
      <c r="I918" s="17">
        <v>58.08</v>
      </c>
      <c r="J918" s="1" t="s">
        <v>366</v>
      </c>
      <c r="K918" s="6">
        <f>Registro_Ordini[[#This Row],[Numero]]*Registro_Ordini[[#This Row],[Prezzo]]</f>
        <v>13939.199999999999</v>
      </c>
      <c r="L918" s="10">
        <v>0.88354999999999995</v>
      </c>
      <c r="M918" s="6">
        <f>Registro_Ordini[[#This Row],[Importo]]*Registro_Ordini[[#This Row],[Cambio]]</f>
        <v>12315.980159999999</v>
      </c>
      <c r="N918" s="1">
        <f ca="1">IFERROR(_xlfn.NUMBERVALUE(OFFSET(Origine,MATCH(Registro_Ordini[[#This Row],[Titolo]],Descrizioni,0),MATCH("Price",Intestazioni,0)-1,1,1)),"")</f>
        <v>59.77</v>
      </c>
      <c r="O918" s="18">
        <f ca="1">IF(OR(Registro_Ordini[[#This Row],[Price]]=0,Registro_Ordini[[#This Row],[Price]]=""),"",IF(Registro_Ordini[[#This Row],[Tipo]]="Sell",Registro_Ordini[[#This Row],[Prezzo]]/Registro_Ordini[[#This Row],[Price]]-1,Registro_Ordini[[#This Row],[Price]]/Registro_Ordini[[#This Row],[Prezzo]]-1))</f>
        <v>2.9097796143250809E-2</v>
      </c>
      <c r="P918" s="15">
        <v>2.9891153780170807E-2</v>
      </c>
      <c r="Q918" s="3">
        <v>0.11739167949654132</v>
      </c>
      <c r="R918" s="3">
        <v>0.16803282469390071</v>
      </c>
      <c r="S918" s="3">
        <v>0.64776442912354715</v>
      </c>
      <c r="T918" s="3">
        <v>0</v>
      </c>
      <c r="U918" s="3">
        <v>6.6811066686010875E-2</v>
      </c>
      <c r="V918" s="3"/>
      <c r="W918" s="4"/>
    </row>
    <row r="919" spans="1:23" s="1" customFormat="1" ht="24.95" customHeight="1" x14ac:dyDescent="0.2">
      <c r="A919" s="8">
        <v>45609</v>
      </c>
      <c r="B919" s="7">
        <v>0.7270833333333333</v>
      </c>
      <c r="C919" s="9" t="s">
        <v>375</v>
      </c>
      <c r="D919" s="1" t="s">
        <v>388</v>
      </c>
      <c r="E919" s="1" t="s">
        <v>389</v>
      </c>
      <c r="F919" s="1" t="s">
        <v>441</v>
      </c>
      <c r="G919" s="1" t="s">
        <v>371</v>
      </c>
      <c r="H919" s="2">
        <v>300</v>
      </c>
      <c r="I919" s="17">
        <v>58.08</v>
      </c>
      <c r="J919" s="1" t="s">
        <v>366</v>
      </c>
      <c r="K919" s="6">
        <f>Registro_Ordini[[#This Row],[Numero]]*Registro_Ordini[[#This Row],[Prezzo]]</f>
        <v>17424</v>
      </c>
      <c r="L919" s="10">
        <v>0.88375000000000004</v>
      </c>
      <c r="M919" s="6">
        <f>Registro_Ordini[[#This Row],[Importo]]*Registro_Ordini[[#This Row],[Cambio]]</f>
        <v>15398.460000000001</v>
      </c>
      <c r="N919" s="1">
        <f ca="1">IFERROR(_xlfn.NUMBERVALUE(OFFSET(Origine,MATCH(Registro_Ordini[[#This Row],[Titolo]],Descrizioni,0),MATCH("Price",Intestazioni,0)-1,1,1)),"")</f>
        <v>59.77</v>
      </c>
      <c r="O919" s="18">
        <f ca="1">IF(OR(Registro_Ordini[[#This Row],[Price]]=0,Registro_Ordini[[#This Row],[Price]]=""),"",IF(Registro_Ordini[[#This Row],[Tipo]]="Sell",Registro_Ordini[[#This Row],[Prezzo]]/Registro_Ordini[[#This Row],[Price]]-1,Registro_Ordini[[#This Row],[Price]]/Registro_Ordini[[#This Row],[Prezzo]]-1))</f>
        <v>2.9097796143250809E-2</v>
      </c>
      <c r="P919" s="15">
        <v>1.9520158775539271E-2</v>
      </c>
      <c r="Q919" s="3">
        <v>0.11683738340803705</v>
      </c>
      <c r="R919" s="3">
        <v>0.36012535228952086</v>
      </c>
      <c r="S919" s="3">
        <v>0.43242677153341291</v>
      </c>
      <c r="T919" s="3">
        <v>0</v>
      </c>
      <c r="U919" s="3">
        <v>9.0610492769029286E-2</v>
      </c>
      <c r="V919" s="3"/>
      <c r="W919" s="4"/>
    </row>
    <row r="920" spans="1:23" s="1" customFormat="1" ht="24.95" customHeight="1" x14ac:dyDescent="0.2">
      <c r="A920" s="8">
        <v>45609</v>
      </c>
      <c r="B920" s="7">
        <v>0.7270833333333333</v>
      </c>
      <c r="C920" s="9" t="s">
        <v>378</v>
      </c>
      <c r="D920" s="1" t="s">
        <v>388</v>
      </c>
      <c r="E920" s="1" t="s">
        <v>389</v>
      </c>
      <c r="F920" s="1" t="s">
        <v>441</v>
      </c>
      <c r="G920" s="1" t="s">
        <v>371</v>
      </c>
      <c r="H920" s="2">
        <v>200</v>
      </c>
      <c r="I920" s="17">
        <v>58.08</v>
      </c>
      <c r="J920" s="1" t="s">
        <v>366</v>
      </c>
      <c r="K920" s="6">
        <f>Registro_Ordini[[#This Row],[Numero]]*Registro_Ordini[[#This Row],[Prezzo]]</f>
        <v>11616</v>
      </c>
      <c r="L920" s="10">
        <v>0.88375000000000004</v>
      </c>
      <c r="M920" s="6">
        <f>Registro_Ordini[[#This Row],[Importo]]*Registro_Ordini[[#This Row],[Cambio]]</f>
        <v>10265.640000000001</v>
      </c>
      <c r="N920" s="1">
        <f ca="1">IFERROR(_xlfn.NUMBERVALUE(OFFSET(Origine,MATCH(Registro_Ordini[[#This Row],[Titolo]],Descrizioni,0),MATCH("Price",Intestazioni,0)-1,1,1)),"")</f>
        <v>59.77</v>
      </c>
      <c r="O920" s="18">
        <f ca="1">IF(OR(Registro_Ordini[[#This Row],[Price]]=0,Registro_Ordini[[#This Row],[Price]]=""),"",IF(Registro_Ordini[[#This Row],[Tipo]]="Sell",Registro_Ordini[[#This Row],[Prezzo]]/Registro_Ordini[[#This Row],[Price]]-1,Registro_Ordini[[#This Row],[Price]]/Registro_Ordini[[#This Row],[Prezzo]]-1))</f>
        <v>2.9097796143250809E-2</v>
      </c>
      <c r="P920" s="15">
        <v>2.0329862399454328E-2</v>
      </c>
      <c r="Q920" s="3">
        <v>0.14489278655934987</v>
      </c>
      <c r="R920" s="3">
        <v>0.3391764245779707</v>
      </c>
      <c r="S920" s="3">
        <v>0.42883380885421452</v>
      </c>
      <c r="T920" s="3">
        <v>0</v>
      </c>
      <c r="U920" s="3">
        <v>8.7096980008464858E-2</v>
      </c>
      <c r="V920" s="3"/>
      <c r="W920" s="4"/>
    </row>
    <row r="921" spans="1:23" s="1" customFormat="1" ht="24.95" customHeight="1" x14ac:dyDescent="0.2">
      <c r="A921" s="8">
        <v>45609</v>
      </c>
      <c r="B921" s="7">
        <v>0.7270833333333333</v>
      </c>
      <c r="C921" s="9" t="s">
        <v>377</v>
      </c>
      <c r="D921" s="1" t="s">
        <v>388</v>
      </c>
      <c r="E921" s="1" t="s">
        <v>389</v>
      </c>
      <c r="F921" s="1" t="s">
        <v>441</v>
      </c>
      <c r="G921" s="1" t="s">
        <v>371</v>
      </c>
      <c r="H921" s="2">
        <v>615</v>
      </c>
      <c r="I921" s="17">
        <v>58.08</v>
      </c>
      <c r="J921" s="1" t="s">
        <v>366</v>
      </c>
      <c r="K921" s="6">
        <f>Registro_Ordini[[#This Row],[Numero]]*Registro_Ordini[[#This Row],[Prezzo]]</f>
        <v>35719.199999999997</v>
      </c>
      <c r="L921" s="10">
        <v>0.88375000000000004</v>
      </c>
      <c r="M921" s="6">
        <f>Registro_Ordini[[#This Row],[Importo]]*Registro_Ordini[[#This Row],[Cambio]]</f>
        <v>31566.842999999997</v>
      </c>
      <c r="N921" s="1">
        <f ca="1">IFERROR(_xlfn.NUMBERVALUE(OFFSET(Origine,MATCH(Registro_Ordini[[#This Row],[Titolo]],Descrizioni,0),MATCH("Price",Intestazioni,0)-1,1,1)),"")</f>
        <v>59.77</v>
      </c>
      <c r="O921" s="18">
        <f ca="1">IF(OR(Registro_Ordini[[#This Row],[Price]]=0,Registro_Ordini[[#This Row],[Price]]=""),"",IF(Registro_Ordini[[#This Row],[Tipo]]="Sell",Registro_Ordini[[#This Row],[Prezzo]]/Registro_Ordini[[#This Row],[Price]]-1,Registro_Ordini[[#This Row],[Price]]/Registro_Ordini[[#This Row],[Prezzo]]-1))</f>
        <v>2.9097796143250809E-2</v>
      </c>
      <c r="P921" s="15">
        <v>2.0159728856942019E-2</v>
      </c>
      <c r="Q921" s="3">
        <v>0.13106671804280629</v>
      </c>
      <c r="R921" s="3">
        <v>0.33000367960382282</v>
      </c>
      <c r="S921" s="3">
        <v>0.44437311619972608</v>
      </c>
      <c r="T921" s="3">
        <v>0</v>
      </c>
      <c r="U921" s="3">
        <v>9.455648615364487E-2</v>
      </c>
      <c r="V921" s="3"/>
      <c r="W921" s="4"/>
    </row>
    <row r="922" spans="1:23" s="1" customFormat="1" ht="24.95" customHeight="1" x14ac:dyDescent="0.2">
      <c r="A922" s="8">
        <v>45609</v>
      </c>
      <c r="B922" s="7">
        <v>0.7270833333333333</v>
      </c>
      <c r="C922" s="9" t="s">
        <v>376</v>
      </c>
      <c r="D922" s="1" t="s">
        <v>388</v>
      </c>
      <c r="E922" s="1" t="s">
        <v>389</v>
      </c>
      <c r="F922" s="1" t="s">
        <v>441</v>
      </c>
      <c r="G922" s="1" t="s">
        <v>371</v>
      </c>
      <c r="H922" s="2">
        <v>110</v>
      </c>
      <c r="I922" s="17">
        <v>58.08</v>
      </c>
      <c r="J922" s="1" t="s">
        <v>366</v>
      </c>
      <c r="K922" s="6">
        <f>Registro_Ordini[[#This Row],[Numero]]*Registro_Ordini[[#This Row],[Prezzo]]</f>
        <v>6388.8</v>
      </c>
      <c r="L922" s="10">
        <v>0.88375000000000004</v>
      </c>
      <c r="M922" s="6">
        <f>Registro_Ordini[[#This Row],[Importo]]*Registro_Ordini[[#This Row],[Cambio]]</f>
        <v>5646.1020000000008</v>
      </c>
      <c r="N922" s="1">
        <f ca="1">IFERROR(_xlfn.NUMBERVALUE(OFFSET(Origine,MATCH(Registro_Ordini[[#This Row],[Titolo]],Descrizioni,0),MATCH("Price",Intestazioni,0)-1,1,1)),"")</f>
        <v>59.77</v>
      </c>
      <c r="O922" s="18">
        <f ca="1">IF(OR(Registro_Ordini[[#This Row],[Price]]=0,Registro_Ordini[[#This Row],[Price]]=""),"",IF(Registro_Ordini[[#This Row],[Tipo]]="Sell",Registro_Ordini[[#This Row],[Prezzo]]/Registro_Ordini[[#This Row],[Price]]-1,Registro_Ordini[[#This Row],[Price]]/Registro_Ordini[[#This Row],[Prezzo]]-1))</f>
        <v>2.9097796143250809E-2</v>
      </c>
      <c r="P922" s="15">
        <v>2.0240793289310489E-2</v>
      </c>
      <c r="Q922" s="3">
        <v>7.523180190121756E-2</v>
      </c>
      <c r="R922" s="3">
        <v>0.34937515317679269</v>
      </c>
      <c r="S922" s="3">
        <v>0.46538652486046017</v>
      </c>
      <c r="T922" s="3">
        <v>0</v>
      </c>
      <c r="U922" s="3">
        <v>0.11000652006152953</v>
      </c>
      <c r="V922" s="3"/>
      <c r="W922" s="4"/>
    </row>
    <row r="923" spans="1:23" s="1" customFormat="1" ht="24.95" customHeight="1" x14ac:dyDescent="0.2">
      <c r="A923" s="8">
        <v>45609</v>
      </c>
      <c r="B923" s="7">
        <v>0.72013888888888888</v>
      </c>
      <c r="C923" s="9" t="s">
        <v>367</v>
      </c>
      <c r="D923" s="1" t="s">
        <v>388</v>
      </c>
      <c r="E923" s="1" t="s">
        <v>389</v>
      </c>
      <c r="F923" s="1" t="s">
        <v>472</v>
      </c>
      <c r="G923" s="1" t="s">
        <v>371</v>
      </c>
      <c r="H923" s="2">
        <v>545</v>
      </c>
      <c r="I923" s="17">
        <v>143</v>
      </c>
      <c r="J923" s="1" t="s">
        <v>366</v>
      </c>
      <c r="K923" s="6">
        <f>Registro_Ordini[[#This Row],[Numero]]*Registro_Ordini[[#This Row],[Prezzo]]</f>
        <v>77935</v>
      </c>
      <c r="L923" s="10">
        <v>0.88365000000000005</v>
      </c>
      <c r="M923" s="6">
        <f>Registro_Ordini[[#This Row],[Importo]]*Registro_Ordini[[#This Row],[Cambio]]</f>
        <v>68867.262750000009</v>
      </c>
      <c r="N923" s="1">
        <f ca="1">IFERROR(_xlfn.NUMBERVALUE(OFFSET(Origine,MATCH(Registro_Ordini[[#This Row],[Titolo]],Descrizioni,0),MATCH("Price",Intestazioni,0)-1,1,1)),"")</f>
        <v>175.73</v>
      </c>
      <c r="O923" s="18">
        <f ca="1">IF(OR(Registro_Ordini[[#This Row],[Price]]=0,Registro_Ordini[[#This Row],[Price]]=""),"",IF(Registro_Ordini[[#This Row],[Tipo]]="Sell",Registro_Ordini[[#This Row],[Prezzo]]/Registro_Ordini[[#This Row],[Price]]-1,Registro_Ordini[[#This Row],[Price]]/Registro_Ordini[[#This Row],[Prezzo]]-1))</f>
        <v>0.22888111888111884</v>
      </c>
      <c r="P923" s="15">
        <v>2.0104454435917359E-2</v>
      </c>
      <c r="Q923" s="3">
        <v>0.14781747403903561</v>
      </c>
      <c r="R923" s="3">
        <v>0.43556629534644958</v>
      </c>
      <c r="S923" s="3">
        <v>0.36955576647516114</v>
      </c>
      <c r="T923" s="3">
        <v>0</v>
      </c>
      <c r="U923" s="3">
        <v>4.7060464139353712E-2</v>
      </c>
      <c r="V923" s="3"/>
      <c r="W923" s="4"/>
    </row>
    <row r="924" spans="1:23" s="1" customFormat="1" ht="24.95" customHeight="1" x14ac:dyDescent="0.2">
      <c r="A924" s="8">
        <v>45609</v>
      </c>
      <c r="B924" s="7">
        <v>0.71944444444444444</v>
      </c>
      <c r="C924" s="9" t="s">
        <v>367</v>
      </c>
      <c r="D924" s="1" t="s">
        <v>388</v>
      </c>
      <c r="E924" s="1" t="s">
        <v>389</v>
      </c>
      <c r="F924" s="1" t="s">
        <v>411</v>
      </c>
      <c r="G924" s="1" t="s">
        <v>371</v>
      </c>
      <c r="H924" s="2">
        <v>1560</v>
      </c>
      <c r="I924" s="17">
        <v>49.93</v>
      </c>
      <c r="J924" s="1" t="s">
        <v>366</v>
      </c>
      <c r="K924" s="6">
        <f>Registro_Ordini[[#This Row],[Numero]]*Registro_Ordini[[#This Row],[Prezzo]]</f>
        <v>77890.8</v>
      </c>
      <c r="L924" s="10">
        <v>0.88395000000000001</v>
      </c>
      <c r="M924" s="6">
        <f>Registro_Ordini[[#This Row],[Importo]]*Registro_Ordini[[#This Row],[Cambio]]</f>
        <v>68851.572660000005</v>
      </c>
      <c r="N924" s="1">
        <f ca="1">IFERROR(_xlfn.NUMBERVALUE(OFFSET(Origine,MATCH(Registro_Ordini[[#This Row],[Titolo]],Descrizioni,0),MATCH("Price",Intestazioni,0)-1,1,1)),"")</f>
        <v>51.02</v>
      </c>
      <c r="O924" s="18">
        <f ca="1">IF(OR(Registro_Ordini[[#This Row],[Price]]=0,Registro_Ordini[[#This Row],[Price]]=""),"",IF(Registro_Ordini[[#This Row],[Tipo]]="Sell",Registro_Ordini[[#This Row],[Prezzo]]/Registro_Ordini[[#This Row],[Price]]-1,Registro_Ordini[[#This Row],[Price]]/Registro_Ordini[[#This Row],[Prezzo]]-1))</f>
        <v>2.1830562787903185E-2</v>
      </c>
      <c r="P924" s="15">
        <v>2.0100330542270204E-2</v>
      </c>
      <c r="Q924" s="3">
        <v>0.16796944861991814</v>
      </c>
      <c r="R924" s="3">
        <v>0.43557618822784799</v>
      </c>
      <c r="S924" s="3">
        <v>0.34939283014323819</v>
      </c>
      <c r="T924" s="3">
        <v>0</v>
      </c>
      <c r="U924" s="3">
        <v>4.7061533008995959E-2</v>
      </c>
      <c r="V924" s="3"/>
      <c r="W924" s="4"/>
    </row>
    <row r="925" spans="1:23" s="1" customFormat="1" ht="24.95" customHeight="1" x14ac:dyDescent="0.2">
      <c r="A925" s="8">
        <v>45609</v>
      </c>
      <c r="B925" s="7">
        <v>0.71736111111111112</v>
      </c>
      <c r="C925" s="9" t="s">
        <v>367</v>
      </c>
      <c r="D925" s="1" t="s">
        <v>388</v>
      </c>
      <c r="E925" s="1" t="s">
        <v>389</v>
      </c>
      <c r="F925" s="1" t="s">
        <v>490</v>
      </c>
      <c r="G925" s="1" t="s">
        <v>365</v>
      </c>
      <c r="H925" s="2">
        <v>-2350</v>
      </c>
      <c r="I925" s="17">
        <v>43.505000000000003</v>
      </c>
      <c r="J925" s="1" t="s">
        <v>366</v>
      </c>
      <c r="K925" s="6">
        <f>Registro_Ordini[[#This Row],[Numero]]*Registro_Ordini[[#This Row],[Prezzo]]</f>
        <v>-102236.75</v>
      </c>
      <c r="L925" s="10">
        <v>0.88375000000000004</v>
      </c>
      <c r="M925" s="6">
        <f>Registro_Ordini[[#This Row],[Importo]]*Registro_Ordini[[#This Row],[Cambio]]</f>
        <v>-90351.727812500001</v>
      </c>
      <c r="N925" s="1">
        <f ca="1">IFERROR(_xlfn.NUMBERVALUE(OFFSET(Origine,MATCH(Registro_Ordini[[#This Row],[Titolo]],Descrizioni,0),MATCH("Price",Intestazioni,0)-1,1,1)),"")</f>
        <v>43.62</v>
      </c>
      <c r="O925" s="18">
        <f ca="1">IF(OR(Registro_Ordini[[#This Row],[Price]]=0,Registro_Ordini[[#This Row],[Price]]=""),"",IF(Registro_Ordini[[#This Row],[Tipo]]="Sell",Registro_Ordini[[#This Row],[Prezzo]]/Registro_Ordini[[#This Row],[Price]]-1,Registro_Ordini[[#This Row],[Price]]/Registro_Ordini[[#This Row],[Prezzo]]-1))</f>
        <v>-2.6364053186610503E-3</v>
      </c>
      <c r="P925" s="15">
        <v>-2.6377248897913801E-2</v>
      </c>
      <c r="Q925" s="3">
        <v>0.18804265745616569</v>
      </c>
      <c r="R925" s="3">
        <v>0.43557989976882977</v>
      </c>
      <c r="S925" s="3">
        <v>0.3293155087550878</v>
      </c>
      <c r="T925" s="3">
        <v>0</v>
      </c>
      <c r="U925" s="3">
        <v>4.7061934019917012E-2</v>
      </c>
      <c r="V925" s="3"/>
      <c r="W925" s="4"/>
    </row>
    <row r="926" spans="1:23" s="1" customFormat="1" ht="24.95" customHeight="1" x14ac:dyDescent="0.2">
      <c r="A926" s="8">
        <v>45601</v>
      </c>
      <c r="B926" s="7">
        <v>0.87430555555555556</v>
      </c>
      <c r="C926" s="9" t="s">
        <v>156</v>
      </c>
      <c r="D926" s="1" t="s">
        <v>388</v>
      </c>
      <c r="E926" s="1" t="s">
        <v>491</v>
      </c>
      <c r="F926" s="1" t="s">
        <v>492</v>
      </c>
      <c r="G926" s="1" t="s">
        <v>365</v>
      </c>
      <c r="H926" s="2">
        <v>-200</v>
      </c>
      <c r="I926" s="17">
        <v>41.45</v>
      </c>
      <c r="J926" s="1" t="s">
        <v>381</v>
      </c>
      <c r="K926" s="6">
        <f>Registro_Ordini[[#This Row],[Numero]]*Registro_Ordini[[#This Row],[Prezzo]]</f>
        <v>-8290</v>
      </c>
      <c r="L926" s="10">
        <v>0.94230000000000003</v>
      </c>
      <c r="M926" s="6">
        <f>Registro_Ordini[[#This Row],[Importo]]*Registro_Ordini[[#This Row],[Cambio]]</f>
        <v>-7811.6670000000004</v>
      </c>
      <c r="N926" s="1">
        <f ca="1">IFERROR(_xlfn.NUMBERVALUE(OFFSET(Origine,MATCH(Registro_Ordini[[#This Row],[Titolo]],Descrizioni,0),MATCH("Price",Intestazioni,0)-1,1,1)),"")</f>
        <v>104.575</v>
      </c>
      <c r="O926" s="18">
        <f ca="1">IF(OR(Registro_Ordini[[#This Row],[Price]]=0,Registro_Ordini[[#This Row],[Price]]=""),"",IF(Registro_Ordini[[#This Row],[Tipo]]="Sell",Registro_Ordini[[#This Row],[Prezzo]]/Registro_Ordini[[#This Row],[Price]]-1,Registro_Ordini[[#This Row],[Price]]/Registro_Ordini[[#This Row],[Prezzo]]-1))</f>
        <v>-0.60363375567774324</v>
      </c>
      <c r="P926" s="15">
        <v>-1.2478357553336518E-2</v>
      </c>
      <c r="Q926" s="3">
        <v>0.34060638602526772</v>
      </c>
      <c r="R926" s="3">
        <v>0.20999054329132566</v>
      </c>
      <c r="S926" s="3">
        <v>0.31203913992505516</v>
      </c>
      <c r="T926" s="3">
        <v>0</v>
      </c>
      <c r="U926" s="3">
        <v>0.13736393075835143</v>
      </c>
      <c r="V926" s="3"/>
      <c r="W926" s="4"/>
    </row>
    <row r="927" spans="1:23" s="1" customFormat="1" ht="24.95" customHeight="1" x14ac:dyDescent="0.2">
      <c r="A927" s="8">
        <v>45601</v>
      </c>
      <c r="B927" s="7">
        <v>0.87430555555555556</v>
      </c>
      <c r="C927" s="9" t="s">
        <v>156</v>
      </c>
      <c r="D927" s="1" t="s">
        <v>388</v>
      </c>
      <c r="E927" s="1" t="s">
        <v>420</v>
      </c>
      <c r="F927" s="1" t="s">
        <v>493</v>
      </c>
      <c r="G927" s="1" t="s">
        <v>365</v>
      </c>
      <c r="H927" s="2">
        <v>-200</v>
      </c>
      <c r="I927" s="17">
        <v>75</v>
      </c>
      <c r="J927" s="1" t="s">
        <v>366</v>
      </c>
      <c r="K927" s="6">
        <f>Registro_Ordini[[#This Row],[Numero]]*Registro_Ordini[[#This Row],[Prezzo]]</f>
        <v>-15000</v>
      </c>
      <c r="L927" s="10">
        <v>0.86240000000000006</v>
      </c>
      <c r="M927" s="6">
        <f>Registro_Ordini[[#This Row],[Importo]]*Registro_Ordini[[#This Row],[Cambio]]</f>
        <v>-12936</v>
      </c>
      <c r="N927" s="1">
        <f ca="1">IFERROR(_xlfn.NUMBERVALUE(OFFSET(Origine,MATCH(Registro_Ordini[[#This Row],[Titolo]],Descrizioni,0),MATCH("Price",Intestazioni,0)-1,1,1)),"")</f>
        <v>12.04</v>
      </c>
      <c r="O927" s="18">
        <f ca="1">IF(OR(Registro_Ordini[[#This Row],[Price]]=0,Registro_Ordini[[#This Row],[Price]]=""),"",IF(Registro_Ordini[[#This Row],[Tipo]]="Sell",Registro_Ordini[[#This Row],[Prezzo]]/Registro_Ordini[[#This Row],[Price]]-1,Registro_Ordini[[#This Row],[Price]]/Registro_Ordini[[#This Row],[Prezzo]]-1))</f>
        <v>5.2292358803986714</v>
      </c>
      <c r="P927" s="15">
        <v>-2.0419706236518693E-2</v>
      </c>
      <c r="Q927" s="3">
        <v>0.36102609226178639</v>
      </c>
      <c r="R927" s="3">
        <v>0.20999054329132566</v>
      </c>
      <c r="S927" s="3">
        <v>0.29161943368853649</v>
      </c>
      <c r="T927" s="3">
        <v>0</v>
      </c>
      <c r="U927" s="3">
        <v>0.13736393075835143</v>
      </c>
      <c r="V927" s="3"/>
      <c r="W927" s="4"/>
    </row>
    <row r="928" spans="1:23" s="1" customFormat="1" ht="24.95" customHeight="1" x14ac:dyDescent="0.2">
      <c r="A928" s="8">
        <v>45601</v>
      </c>
      <c r="B928" s="7">
        <v>0.87430555555555556</v>
      </c>
      <c r="C928" s="9" t="s">
        <v>156</v>
      </c>
      <c r="D928" s="1" t="s">
        <v>388</v>
      </c>
      <c r="E928" s="1" t="s">
        <v>420</v>
      </c>
      <c r="F928" s="1" t="s">
        <v>494</v>
      </c>
      <c r="G928" s="1" t="s">
        <v>365</v>
      </c>
      <c r="H928" s="2">
        <v>-450</v>
      </c>
      <c r="I928" s="17">
        <v>38</v>
      </c>
      <c r="J928" s="1" t="s">
        <v>366</v>
      </c>
      <c r="K928" s="6">
        <f>Registro_Ordini[[#This Row],[Numero]]*Registro_Ordini[[#This Row],[Prezzo]]</f>
        <v>-17100</v>
      </c>
      <c r="L928" s="10">
        <v>0.86240000000000006</v>
      </c>
      <c r="M928" s="6">
        <f>Registro_Ordini[[#This Row],[Importo]]*Registro_Ordini[[#This Row],[Cambio]]</f>
        <v>-14747.04</v>
      </c>
      <c r="N928" s="1" t="str">
        <f ca="1">IFERROR(_xlfn.NUMBERVALUE(OFFSET(Origine,MATCH(Registro_Ordini[[#This Row],[Titolo]],Descrizioni,0),MATCH("Price",Intestazioni,0)-1,1,1)),"")</f>
        <v/>
      </c>
      <c r="O928" s="18" t="str">
        <f ca="1">IF(OR(Registro_Ordini[[#This Row],[Price]]=0,Registro_Ordini[[#This Row],[Price]]=""),"",IF(Registro_Ordini[[#This Row],[Tipo]]="Sell",Registro_Ordini[[#This Row],[Prezzo]]/Registro_Ordini[[#This Row],[Price]]-1,Registro_Ordini[[#This Row],[Price]]/Registro_Ordini[[#This Row],[Prezzo]]-1))</f>
        <v/>
      </c>
      <c r="P928" s="15">
        <v>-2.3147243208639416E-2</v>
      </c>
      <c r="Q928" s="3">
        <v>0.38417333547042581</v>
      </c>
      <c r="R928" s="3">
        <v>0.20999054329132566</v>
      </c>
      <c r="S928" s="3">
        <v>0.26847219047989701</v>
      </c>
      <c r="T928" s="3">
        <v>0</v>
      </c>
      <c r="U928" s="3">
        <v>0.13736393075835143</v>
      </c>
      <c r="V928" s="3"/>
      <c r="W928" s="4"/>
    </row>
    <row r="929" spans="1:23" s="1" customFormat="1" ht="24.95" customHeight="1" x14ac:dyDescent="0.2">
      <c r="A929" s="8">
        <v>45601</v>
      </c>
      <c r="B929" s="7">
        <v>0.87430555555555556</v>
      </c>
      <c r="C929" s="9" t="s">
        <v>156</v>
      </c>
      <c r="D929" s="1" t="s">
        <v>388</v>
      </c>
      <c r="E929" s="1" t="s">
        <v>403</v>
      </c>
      <c r="F929" s="1" t="s">
        <v>495</v>
      </c>
      <c r="G929" s="1" t="s">
        <v>365</v>
      </c>
      <c r="H929" s="2">
        <v>-100</v>
      </c>
      <c r="I929" s="17">
        <v>88.86</v>
      </c>
      <c r="J929" s="1" t="s">
        <v>381</v>
      </c>
      <c r="K929" s="6">
        <f>Registro_Ordini[[#This Row],[Numero]]*Registro_Ordini[[#This Row],[Prezzo]]</f>
        <v>-8886</v>
      </c>
      <c r="L929" s="10">
        <v>0.93830000000000002</v>
      </c>
      <c r="M929" s="6">
        <f>Registro_Ordini[[#This Row],[Importo]]*Registro_Ordini[[#This Row],[Cambio]]</f>
        <v>-8337.7338</v>
      </c>
      <c r="N929" s="1" t="str">
        <f ca="1">IFERROR(_xlfn.NUMBERVALUE(OFFSET(Origine,MATCH(Registro_Ordini[[#This Row],[Titolo]],Descrizioni,0),MATCH("Price",Intestazioni,0)-1,1,1)),"")</f>
        <v/>
      </c>
      <c r="O929" s="18" t="str">
        <f ca="1">IF(OR(Registro_Ordini[[#This Row],[Price]]=0,Registro_Ordini[[#This Row],[Price]]=""),"",IF(Registro_Ordini[[#This Row],[Tipo]]="Sell",Registro_Ordini[[#This Row],[Prezzo]]/Registro_Ordini[[#This Row],[Price]]-1,Registro_Ordini[[#This Row],[Price]]/Registro_Ordini[[#This Row],[Prezzo]]-1))</f>
        <v/>
      </c>
      <c r="P929" s="15">
        <v>-1.3357345336165054E-2</v>
      </c>
      <c r="Q929" s="3">
        <v>0.39753068080659087</v>
      </c>
      <c r="R929" s="3">
        <v>0.20999054329132566</v>
      </c>
      <c r="S929" s="3">
        <v>0.25511484514373201</v>
      </c>
      <c r="T929" s="3">
        <v>0</v>
      </c>
      <c r="U929" s="3">
        <v>0.13736393075835143</v>
      </c>
      <c r="V929" s="3"/>
      <c r="W929" s="4"/>
    </row>
    <row r="930" spans="1:23" s="1" customFormat="1" ht="24.95" customHeight="1" x14ac:dyDescent="0.2">
      <c r="A930" s="8">
        <v>45569</v>
      </c>
      <c r="B930" s="7">
        <v>0.50416666666666665</v>
      </c>
      <c r="C930" s="9" t="s">
        <v>375</v>
      </c>
      <c r="D930" s="1" t="s">
        <v>388</v>
      </c>
      <c r="E930" s="1" t="s">
        <v>463</v>
      </c>
      <c r="F930" s="1" t="s">
        <v>496</v>
      </c>
      <c r="G930" s="1" t="s">
        <v>371</v>
      </c>
      <c r="H930" s="2">
        <v>720</v>
      </c>
      <c r="I930" s="17">
        <v>27.11</v>
      </c>
      <c r="J930" s="1" t="s">
        <v>369</v>
      </c>
      <c r="K930" s="6">
        <f>Registro_Ordini[[#This Row],[Numero]]*Registro_Ordini[[#This Row],[Prezzo]]</f>
        <v>19519.2</v>
      </c>
      <c r="L930" s="10">
        <v>1.00000011</v>
      </c>
      <c r="M930" s="6">
        <f>Registro_Ordini[[#This Row],[Importo]]*Registro_Ordini[[#This Row],[Cambio]]</f>
        <v>19519.202147112002</v>
      </c>
      <c r="N930" s="1">
        <f ca="1">IFERROR(_xlfn.NUMBERVALUE(OFFSET(Origine,MATCH(Registro_Ordini[[#This Row],[Titolo]],Descrizioni,0),MATCH("Price",Intestazioni,0)-1,1,1)),"")</f>
        <v>36.805</v>
      </c>
      <c r="O930" s="18">
        <f ca="1">IF(OR(Registro_Ordini[[#This Row],[Price]]=0,Registro_Ordini[[#This Row],[Price]]=""),"",IF(Registro_Ordini[[#This Row],[Tipo]]="Sell",Registro_Ordini[[#This Row],[Prezzo]]/Registro_Ordini[[#This Row],[Price]]-1,Registro_Ordini[[#This Row],[Price]]/Registro_Ordini[[#This Row],[Prezzo]]-1))</f>
        <v>0.35761711545555142</v>
      </c>
      <c r="P930" s="15">
        <v>2.4711788444043616E-2</v>
      </c>
      <c r="Q930" s="3">
        <v>0.13397955609847298</v>
      </c>
      <c r="R930" s="3">
        <v>0.35879268474721165</v>
      </c>
      <c r="S930" s="3">
        <v>0.41420684457765999</v>
      </c>
      <c r="T930" s="3">
        <v>0</v>
      </c>
      <c r="U930" s="3">
        <v>9.3020914576655442E-2</v>
      </c>
      <c r="V930" s="3"/>
      <c r="W930" s="4"/>
    </row>
    <row r="931" spans="1:23" s="1" customFormat="1" ht="24.95" customHeight="1" x14ac:dyDescent="0.2">
      <c r="A931" s="8">
        <v>45562</v>
      </c>
      <c r="B931" s="7">
        <v>0.66805555555555551</v>
      </c>
      <c r="C931" s="9" t="s">
        <v>385</v>
      </c>
      <c r="D931" s="1" t="s">
        <v>368</v>
      </c>
      <c r="E931" s="1" t="s">
        <v>363</v>
      </c>
      <c r="F931" s="1" t="s">
        <v>497</v>
      </c>
      <c r="G931" s="1" t="s">
        <v>371</v>
      </c>
      <c r="H931" s="2">
        <v>10000</v>
      </c>
      <c r="I931" s="16">
        <v>0.91459999999999997</v>
      </c>
      <c r="J931" s="1" t="s">
        <v>381</v>
      </c>
      <c r="K931" s="6">
        <f>Registro_Ordini[[#This Row],[Numero]]*Registro_Ordini[[#This Row],[Prezzo]]</f>
        <v>9146</v>
      </c>
      <c r="L931" s="10">
        <v>1</v>
      </c>
      <c r="M931" s="6">
        <f>Registro_Ordini[[#This Row],[Importo]]*Registro_Ordini[[#This Row],[Cambio]]</f>
        <v>9146</v>
      </c>
      <c r="N931" s="1">
        <f ca="1">IFERROR(_xlfn.NUMBERVALUE(OFFSET(Origine,MATCH(Registro_Ordini[[#This Row],[Titolo]],Descrizioni,0),MATCH("Price",Intestazioni,0)-1,1,1)),"")</f>
        <v>0.94427000000000005</v>
      </c>
      <c r="O931" s="18">
        <f ca="1">IF(OR(Registro_Ordini[[#This Row],[Price]]=0,Registro_Ordini[[#This Row],[Price]]=""),"",IF(Registro_Ordini[[#This Row],[Tipo]]="Sell",Registro_Ordini[[#This Row],[Prezzo]]/Registro_Ordini[[#This Row],[Price]]-1,Registro_Ordini[[#This Row],[Price]]/Registro_Ordini[[#This Row],[Prezzo]]-1))</f>
        <v>3.2440411108681566E-2</v>
      </c>
      <c r="P931" s="15">
        <v>7.0605182939683916E-2</v>
      </c>
      <c r="Q931" s="3"/>
      <c r="R931" s="3">
        <v>0.52116904041036449</v>
      </c>
      <c r="S931" s="3">
        <v>0.19044640308372057</v>
      </c>
      <c r="T931" s="3">
        <v>0</v>
      </c>
      <c r="U931" s="3">
        <v>7.7415580095750947E-2</v>
      </c>
      <c r="V931" s="3"/>
      <c r="W931" s="4"/>
    </row>
    <row r="932" spans="1:23" s="1" customFormat="1" ht="24.95" customHeight="1" x14ac:dyDescent="0.2">
      <c r="A932" s="8">
        <v>45562</v>
      </c>
      <c r="B932" s="7">
        <v>0.66805555555555551</v>
      </c>
      <c r="C932" s="9" t="s">
        <v>385</v>
      </c>
      <c r="D932" s="1" t="s">
        <v>368</v>
      </c>
      <c r="E932" s="1" t="s">
        <v>363</v>
      </c>
      <c r="F932" s="1" t="s">
        <v>498</v>
      </c>
      <c r="G932" s="1" t="s">
        <v>371</v>
      </c>
      <c r="H932" s="2">
        <v>10000</v>
      </c>
      <c r="I932" s="16">
        <v>0.88994267760000001</v>
      </c>
      <c r="J932" s="1" t="s">
        <v>381</v>
      </c>
      <c r="K932" s="6">
        <f>Registro_Ordini[[#This Row],[Numero]]*Registro_Ordini[[#This Row],[Prezzo]]</f>
        <v>8899.4267760000002</v>
      </c>
      <c r="L932" s="10">
        <v>1</v>
      </c>
      <c r="M932" s="6">
        <f>Registro_Ordini[[#This Row],[Importo]]*Registro_Ordini[[#This Row],[Cambio]]</f>
        <v>8899.4267760000002</v>
      </c>
      <c r="N932" s="1">
        <f ca="1">IFERROR(_xlfn.NUMBERVALUE(OFFSET(Origine,MATCH(Registro_Ordini[[#This Row],[Titolo]],Descrizioni,0),MATCH("Price",Intestazioni,0)-1,1,1)),"")</f>
        <v>0.91765767122999997</v>
      </c>
      <c r="O932" s="18">
        <f ca="1">IF(OR(Registro_Ordini[[#This Row],[Price]]=0,Registro_Ordini[[#This Row],[Price]]=""),"",IF(Registro_Ordini[[#This Row],[Tipo]]="Sell",Registro_Ordini[[#This Row],[Prezzo]]/Registro_Ordini[[#This Row],[Price]]-1,Registro_Ordini[[#This Row],[Price]]/Registro_Ordini[[#This Row],[Prezzo]]-1))</f>
        <v>3.1142448078500751E-2</v>
      </c>
      <c r="P932" s="15">
        <v>6.8701689872928212E-2</v>
      </c>
      <c r="Q932" s="3"/>
      <c r="R932" s="3">
        <v>0.58987073028329284</v>
      </c>
      <c r="S932" s="3">
        <v>0.19044640308372057</v>
      </c>
      <c r="T932" s="3">
        <v>0</v>
      </c>
      <c r="U932" s="3">
        <v>7.7415580095750947E-2</v>
      </c>
      <c r="V932" s="3"/>
      <c r="W932" s="4"/>
    </row>
    <row r="933" spans="1:23" s="1" customFormat="1" ht="24.95" customHeight="1" x14ac:dyDescent="0.2">
      <c r="A933" s="8">
        <v>45562</v>
      </c>
      <c r="B933" s="7">
        <v>0.66805555555555551</v>
      </c>
      <c r="C933" s="9" t="s">
        <v>385</v>
      </c>
      <c r="D933" s="1" t="s">
        <v>368</v>
      </c>
      <c r="E933" s="1" t="s">
        <v>363</v>
      </c>
      <c r="F933" s="1" t="s">
        <v>499</v>
      </c>
      <c r="G933" s="1" t="s">
        <v>371</v>
      </c>
      <c r="H933" s="2">
        <v>10000</v>
      </c>
      <c r="I933" s="16">
        <v>0.95765254097999997</v>
      </c>
      <c r="J933" s="1" t="s">
        <v>381</v>
      </c>
      <c r="K933" s="6">
        <f>Registro_Ordini[[#This Row],[Numero]]*Registro_Ordini[[#This Row],[Prezzo]]</f>
        <v>9576.5254098000005</v>
      </c>
      <c r="L933" s="10">
        <v>1</v>
      </c>
      <c r="M933" s="6">
        <f>Registro_Ordini[[#This Row],[Importo]]*Registro_Ordini[[#This Row],[Cambio]]</f>
        <v>9576.5254098000005</v>
      </c>
      <c r="N933" s="1">
        <f ca="1">IFERROR(_xlfn.NUMBERVALUE(OFFSET(Origine,MATCH(Registro_Ordini[[#This Row],[Titolo]],Descrizioni,0),MATCH("Price",Intestazioni,0)-1,1,1)),"")</f>
        <v>0.97602273972999998</v>
      </c>
      <c r="O933" s="18">
        <f ca="1">IF(OR(Registro_Ordini[[#This Row],[Price]]=0,Registro_Ordini[[#This Row],[Price]]=""),"",IF(Registro_Ordini[[#This Row],[Tipo]]="Sell",Registro_Ordini[[#This Row],[Prezzo]]/Registro_Ordini[[#This Row],[Price]]-1,Registro_Ordini[[#This Row],[Price]]/Registro_Ordini[[#This Row],[Prezzo]]-1))</f>
        <v>1.9182530159843836E-2</v>
      </c>
      <c r="P933" s="15">
        <v>7.3928747920999391E-2</v>
      </c>
      <c r="Q933" s="3"/>
      <c r="R933" s="3">
        <v>0.45056385747068067</v>
      </c>
      <c r="S933" s="3">
        <v>0.19044640308372057</v>
      </c>
      <c r="T933" s="3">
        <v>0</v>
      </c>
      <c r="U933" s="3">
        <v>7.7415580095750947E-2</v>
      </c>
      <c r="V933" s="3"/>
      <c r="W933" s="4"/>
    </row>
    <row r="934" spans="1:23" s="1" customFormat="1" ht="24.95" customHeight="1" x14ac:dyDescent="0.2">
      <c r="A934" s="8">
        <v>45562</v>
      </c>
      <c r="B934" s="7">
        <v>0.54583333333333328</v>
      </c>
      <c r="C934" s="9" t="s">
        <v>385</v>
      </c>
      <c r="D934" s="1" t="s">
        <v>368</v>
      </c>
      <c r="E934" s="1" t="s">
        <v>363</v>
      </c>
      <c r="F934" s="1" t="s">
        <v>500</v>
      </c>
      <c r="G934" s="1" t="s">
        <v>371</v>
      </c>
      <c r="H934" s="2">
        <v>10000</v>
      </c>
      <c r="I934" s="16">
        <v>0.95109207650000005</v>
      </c>
      <c r="J934" s="1" t="s">
        <v>381</v>
      </c>
      <c r="K934" s="6">
        <f>Registro_Ordini[[#This Row],[Numero]]*Registro_Ordini[[#This Row],[Prezzo]]</f>
        <v>9510.9207650000008</v>
      </c>
      <c r="L934" s="10">
        <v>1</v>
      </c>
      <c r="M934" s="6">
        <f>Registro_Ordini[[#This Row],[Importo]]*Registro_Ordini[[#This Row],[Cambio]]</f>
        <v>9510.9207650000008</v>
      </c>
      <c r="N934" s="1">
        <f ca="1">IFERROR(_xlfn.NUMBERVALUE(OFFSET(Origine,MATCH(Registro_Ordini[[#This Row],[Titolo]],Descrizioni,0),MATCH("Price",Intestazioni,0)-1,1,1)),"")</f>
        <v>0.98610506849000001</v>
      </c>
      <c r="O934" s="18">
        <f ca="1">IF(OR(Registro_Ordini[[#This Row],[Price]]=0,Registro_Ordini[[#This Row],[Price]]=""),"",IF(Registro_Ordini[[#This Row],[Tipo]]="Sell",Registro_Ordini[[#This Row],[Prezzo]]/Registro_Ordini[[#This Row],[Price]]-1,Registro_Ordini[[#This Row],[Price]]/Registro_Ordini[[#This Row],[Prezzo]]-1))</f>
        <v>3.6813461971891392E-2</v>
      </c>
      <c r="P934" s="15">
        <v>7.3442407343114635E-2</v>
      </c>
      <c r="Q934" s="3"/>
      <c r="R934" s="3">
        <v>0.37674986824745266</v>
      </c>
      <c r="S934" s="3">
        <v>0.1903526302182498</v>
      </c>
      <c r="T934" s="3">
        <v>0</v>
      </c>
      <c r="U934" s="3">
        <v>7.7296248772247805E-2</v>
      </c>
      <c r="V934" s="3"/>
      <c r="W934" s="4"/>
    </row>
    <row r="935" spans="1:23" s="1" customFormat="1" ht="24.95" customHeight="1" x14ac:dyDescent="0.2">
      <c r="A935" s="8">
        <v>45562</v>
      </c>
      <c r="B935" s="7">
        <v>0.4</v>
      </c>
      <c r="C935" s="9" t="s">
        <v>456</v>
      </c>
      <c r="D935" s="1" t="s">
        <v>388</v>
      </c>
      <c r="E935" s="1" t="s">
        <v>403</v>
      </c>
      <c r="F935" s="1" t="s">
        <v>501</v>
      </c>
      <c r="G935" s="1" t="s">
        <v>365</v>
      </c>
      <c r="H935" s="2">
        <v>-10</v>
      </c>
      <c r="I935" s="17">
        <v>2253.5</v>
      </c>
      <c r="J935" s="1" t="s">
        <v>381</v>
      </c>
      <c r="K935" s="6">
        <f>Registro_Ordini[[#This Row],[Numero]]*Registro_Ordini[[#This Row],[Prezzo]]</f>
        <v>-22535</v>
      </c>
      <c r="L935" s="10">
        <v>0.88433931699437407</v>
      </c>
      <c r="M935" s="6">
        <f>Registro_Ordini[[#This Row],[Importo]]*Registro_Ordini[[#This Row],[Cambio]]</f>
        <v>-19928.586508468219</v>
      </c>
      <c r="N935" s="1">
        <f ca="1">IFERROR(_xlfn.NUMBERVALUE(OFFSET(Origine,MATCH(Registro_Ordini[[#This Row],[Titolo]],Descrizioni,0),MATCH("Price",Intestazioni,0)-1,1,1)),"")</f>
        <v>1967</v>
      </c>
      <c r="O935" s="18">
        <f ca="1">IF(OR(Registro_Ordini[[#This Row],[Price]]=0,Registro_Ordini[[#This Row],[Price]]=""),"",IF(Registro_Ordini[[#This Row],[Tipo]]="Sell",Registro_Ordini[[#This Row],[Prezzo]]/Registro_Ordini[[#This Row],[Price]]-1,Registro_Ordini[[#This Row],[Price]]/Registro_Ordini[[#This Row],[Prezzo]]-1))</f>
        <v>0.14565327910523651</v>
      </c>
      <c r="P935" s="15">
        <v>-2.512561495270026E-2</v>
      </c>
      <c r="Q935" s="3"/>
      <c r="R935" s="3">
        <v>0.31766660750411235</v>
      </c>
      <c r="S935" s="3">
        <v>0.48208018843154665</v>
      </c>
      <c r="T935" s="3">
        <v>0</v>
      </c>
      <c r="U935" s="3">
        <v>0</v>
      </c>
      <c r="V935" s="3">
        <v>5.7733125234021472E-2</v>
      </c>
      <c r="W935" s="4" t="s">
        <v>502</v>
      </c>
    </row>
    <row r="936" spans="1:23" s="1" customFormat="1" ht="24.95" customHeight="1" x14ac:dyDescent="0.2">
      <c r="A936" s="8">
        <v>45561</v>
      </c>
      <c r="B936" s="7">
        <v>0.70625000000000004</v>
      </c>
      <c r="C936" s="9" t="s">
        <v>385</v>
      </c>
      <c r="D936" s="1" t="s">
        <v>368</v>
      </c>
      <c r="E936" s="1" t="s">
        <v>363</v>
      </c>
      <c r="F936" s="1" t="s">
        <v>503</v>
      </c>
      <c r="G936" s="1" t="s">
        <v>371</v>
      </c>
      <c r="H936" s="2">
        <v>10000</v>
      </c>
      <c r="I936" s="16">
        <v>0.97685999999999995</v>
      </c>
      <c r="J936" s="1" t="s">
        <v>381</v>
      </c>
      <c r="K936" s="6">
        <f>Registro_Ordini[[#This Row],[Numero]]*Registro_Ordini[[#This Row],[Prezzo]]</f>
        <v>9768.6</v>
      </c>
      <c r="L936" s="10">
        <v>1</v>
      </c>
      <c r="M936" s="6">
        <f>Registro_Ordini[[#This Row],[Importo]]*Registro_Ordini[[#This Row],[Cambio]]</f>
        <v>9768.6</v>
      </c>
      <c r="N936" s="1">
        <f ca="1">IFERROR(_xlfn.NUMBERVALUE(OFFSET(Origine,MATCH(Registro_Ordini[[#This Row],[Titolo]],Descrizioni,0),MATCH("Price",Intestazioni,0)-1,1,1)),"")</f>
        <v>0.99316722221999998</v>
      </c>
      <c r="O936" s="18">
        <f ca="1">IF(OR(Registro_Ordini[[#This Row],[Price]]=0,Registro_Ordini[[#This Row],[Price]]=""),"",IF(Registro_Ordini[[#This Row],[Tipo]]="Sell",Registro_Ordini[[#This Row],[Prezzo]]/Registro_Ordini[[#This Row],[Price]]-1,Registro_Ordini[[#This Row],[Price]]/Registro_Ordini[[#This Row],[Prezzo]]-1))</f>
        <v>1.6693510042380622E-2</v>
      </c>
      <c r="P936" s="15">
        <v>7.6041905395686046E-2</v>
      </c>
      <c r="Q936" s="3"/>
      <c r="R936" s="3">
        <v>0.303167679888598</v>
      </c>
      <c r="S936" s="3">
        <v>0.18999720521994953</v>
      </c>
      <c r="T936" s="3">
        <v>0</v>
      </c>
      <c r="U936" s="3">
        <v>7.791752173500674E-2</v>
      </c>
      <c r="V936" s="3"/>
      <c r="W936" s="4"/>
    </row>
    <row r="937" spans="1:23" s="1" customFormat="1" ht="24.95" customHeight="1" x14ac:dyDescent="0.2">
      <c r="A937" s="8">
        <v>45561</v>
      </c>
      <c r="B937" s="7">
        <v>0.70138888888888884</v>
      </c>
      <c r="C937" s="9" t="s">
        <v>383</v>
      </c>
      <c r="D937" s="1" t="s">
        <v>368</v>
      </c>
      <c r="E937" s="1" t="s">
        <v>363</v>
      </c>
      <c r="F937" s="1" t="s">
        <v>503</v>
      </c>
      <c r="G937" s="1" t="s">
        <v>371</v>
      </c>
      <c r="H937" s="2">
        <v>25000</v>
      </c>
      <c r="I937" s="16">
        <v>0.97685999999999995</v>
      </c>
      <c r="J937" s="1" t="s">
        <v>381</v>
      </c>
      <c r="K937" s="6">
        <f>Registro_Ordini[[#This Row],[Numero]]*Registro_Ordini[[#This Row],[Prezzo]]</f>
        <v>24421.5</v>
      </c>
      <c r="L937" s="10">
        <v>1</v>
      </c>
      <c r="M937" s="6">
        <f>Registro_Ordini[[#This Row],[Importo]]*Registro_Ordini[[#This Row],[Cambio]]</f>
        <v>24421.5</v>
      </c>
      <c r="N937" s="1">
        <f ca="1">IFERROR(_xlfn.NUMBERVALUE(OFFSET(Origine,MATCH(Registro_Ordini[[#This Row],[Titolo]],Descrizioni,0),MATCH("Price",Intestazioni,0)-1,1,1)),"")</f>
        <v>0.99316722221999998</v>
      </c>
      <c r="O937" s="18">
        <f ca="1">IF(OR(Registro_Ordini[[#This Row],[Price]]=0,Registro_Ordini[[#This Row],[Price]]=""),"",IF(Registro_Ordini[[#This Row],[Tipo]]="Sell",Registro_Ordini[[#This Row],[Prezzo]]/Registro_Ordini[[#This Row],[Price]]-1,Registro_Ordini[[#This Row],[Price]]/Registro_Ordini[[#This Row],[Prezzo]]-1))</f>
        <v>1.6693510042380622E-2</v>
      </c>
      <c r="P937" s="15">
        <v>4.041231320087442E-2</v>
      </c>
      <c r="Q937" s="3"/>
      <c r="R937" s="3">
        <v>0.27636890451015939</v>
      </c>
      <c r="S937" s="3">
        <v>0.39605267101212971</v>
      </c>
      <c r="T937" s="3">
        <v>0</v>
      </c>
      <c r="U937" s="3">
        <v>9.9741930688715535E-2</v>
      </c>
      <c r="V937" s="3"/>
      <c r="W937" s="4"/>
    </row>
    <row r="938" spans="1:23" s="1" customFormat="1" ht="24.95" customHeight="1" x14ac:dyDescent="0.2">
      <c r="A938" s="8">
        <v>45561</v>
      </c>
      <c r="B938" s="7">
        <v>0.70138888888888884</v>
      </c>
      <c r="C938" s="9" t="s">
        <v>382</v>
      </c>
      <c r="D938" s="1" t="s">
        <v>368</v>
      </c>
      <c r="E938" s="1" t="s">
        <v>363</v>
      </c>
      <c r="F938" s="1" t="s">
        <v>503</v>
      </c>
      <c r="G938" s="1" t="s">
        <v>371</v>
      </c>
      <c r="H938" s="2">
        <v>40000</v>
      </c>
      <c r="I938" s="16">
        <v>0.97685999999999995</v>
      </c>
      <c r="J938" s="1" t="s">
        <v>381</v>
      </c>
      <c r="K938" s="6">
        <f>Registro_Ordini[[#This Row],[Numero]]*Registro_Ordini[[#This Row],[Prezzo]]</f>
        <v>39074.400000000001</v>
      </c>
      <c r="L938" s="10">
        <v>1</v>
      </c>
      <c r="M938" s="6">
        <f>Registro_Ordini[[#This Row],[Importo]]*Registro_Ordini[[#This Row],[Cambio]]</f>
        <v>39074.400000000001</v>
      </c>
      <c r="N938" s="1">
        <f ca="1">IFERROR(_xlfn.NUMBERVALUE(OFFSET(Origine,MATCH(Registro_Ordini[[#This Row],[Titolo]],Descrizioni,0),MATCH("Price",Intestazioni,0)-1,1,1)),"")</f>
        <v>0.99316722221999998</v>
      </c>
      <c r="O938" s="18">
        <f ca="1">IF(OR(Registro_Ordini[[#This Row],[Price]]=0,Registro_Ordini[[#This Row],[Price]]=""),"",IF(Registro_Ordini[[#This Row],[Tipo]]="Sell",Registro_Ordini[[#This Row],[Prezzo]]/Registro_Ordini[[#This Row],[Price]]-1,Registro_Ordini[[#This Row],[Price]]/Registro_Ordini[[#This Row],[Prezzo]]-1))</f>
        <v>1.6693510042380622E-2</v>
      </c>
      <c r="P938" s="15">
        <v>3.8239722424160572E-2</v>
      </c>
      <c r="Q938" s="3"/>
      <c r="R938" s="3">
        <v>0.28353386436329386</v>
      </c>
      <c r="S938" s="3">
        <v>0.44255018775536747</v>
      </c>
      <c r="T938" s="3">
        <v>0</v>
      </c>
      <c r="U938" s="3">
        <v>0.10113332162879009</v>
      </c>
      <c r="V938" s="3"/>
      <c r="W938" s="4"/>
    </row>
    <row r="939" spans="1:23" s="1" customFormat="1" ht="24.95" customHeight="1" x14ac:dyDescent="0.2">
      <c r="A939" s="8">
        <v>45561</v>
      </c>
      <c r="B939" s="7">
        <v>0.70138888888888884</v>
      </c>
      <c r="C939" s="9" t="s">
        <v>106</v>
      </c>
      <c r="D939" s="1" t="s">
        <v>368</v>
      </c>
      <c r="E939" s="1" t="s">
        <v>363</v>
      </c>
      <c r="F939" s="1" t="s">
        <v>503</v>
      </c>
      <c r="G939" s="1" t="s">
        <v>371</v>
      </c>
      <c r="H939" s="2">
        <v>5000</v>
      </c>
      <c r="I939" s="16">
        <v>0.97685999999999995</v>
      </c>
      <c r="J939" s="1" t="s">
        <v>381</v>
      </c>
      <c r="K939" s="6">
        <f>Registro_Ordini[[#This Row],[Numero]]*Registro_Ordini[[#This Row],[Prezzo]]</f>
        <v>4884.3</v>
      </c>
      <c r="L939" s="10">
        <v>1</v>
      </c>
      <c r="M939" s="6">
        <f>Registro_Ordini[[#This Row],[Importo]]*Registro_Ordini[[#This Row],[Cambio]]</f>
        <v>4884.3</v>
      </c>
      <c r="N939" s="1">
        <f ca="1">IFERROR(_xlfn.NUMBERVALUE(OFFSET(Origine,MATCH(Registro_Ordini[[#This Row],[Titolo]],Descrizioni,0),MATCH("Price",Intestazioni,0)-1,1,1)),"")</f>
        <v>0.99316722221999998</v>
      </c>
      <c r="O939" s="18">
        <f ca="1">IF(OR(Registro_Ordini[[#This Row],[Price]]=0,Registro_Ordini[[#This Row],[Price]]=""),"",IF(Registro_Ordini[[#This Row],[Tipo]]="Sell",Registro_Ordini[[#This Row],[Prezzo]]/Registro_Ordini[[#This Row],[Price]]-1,Registro_Ordini[[#This Row],[Price]]/Registro_Ordini[[#This Row],[Prezzo]]-1))</f>
        <v>1.6693510042380622E-2</v>
      </c>
      <c r="P939" s="15">
        <v>3.7048505114572257E-2</v>
      </c>
      <c r="Q939" s="3"/>
      <c r="R939" s="3">
        <v>0.24258327131621957</v>
      </c>
      <c r="S939" s="3">
        <v>0.40235212054247538</v>
      </c>
      <c r="T939" s="3">
        <v>0</v>
      </c>
      <c r="U939" s="3">
        <v>0.13035865400479887</v>
      </c>
      <c r="V939" s="3"/>
      <c r="W939" s="4"/>
    </row>
    <row r="940" spans="1:23" s="1" customFormat="1" ht="24.95" customHeight="1" x14ac:dyDescent="0.2">
      <c r="A940" s="8">
        <v>45561</v>
      </c>
      <c r="B940" s="7">
        <v>0.70138888888888884</v>
      </c>
      <c r="C940" s="9" t="s">
        <v>379</v>
      </c>
      <c r="D940" s="1" t="s">
        <v>368</v>
      </c>
      <c r="E940" s="1" t="s">
        <v>363</v>
      </c>
      <c r="F940" s="1" t="s">
        <v>503</v>
      </c>
      <c r="G940" s="1" t="s">
        <v>371</v>
      </c>
      <c r="H940" s="2">
        <v>25000</v>
      </c>
      <c r="I940" s="16">
        <v>0.97685999999999995</v>
      </c>
      <c r="J940" s="1" t="s">
        <v>381</v>
      </c>
      <c r="K940" s="6">
        <f>Registro_Ordini[[#This Row],[Numero]]*Registro_Ordini[[#This Row],[Prezzo]]</f>
        <v>24421.5</v>
      </c>
      <c r="L940" s="10">
        <v>1</v>
      </c>
      <c r="M940" s="6">
        <f>Registro_Ordini[[#This Row],[Importo]]*Registro_Ordini[[#This Row],[Cambio]]</f>
        <v>24421.5</v>
      </c>
      <c r="N940" s="1">
        <f ca="1">IFERROR(_xlfn.NUMBERVALUE(OFFSET(Origine,MATCH(Registro_Ordini[[#This Row],[Titolo]],Descrizioni,0),MATCH("Price",Intestazioni,0)-1,1,1)),"")</f>
        <v>0.99316722221999998</v>
      </c>
      <c r="O940" s="18">
        <f ca="1">IF(OR(Registro_Ordini[[#This Row],[Price]]=0,Registro_Ordini[[#This Row],[Price]]=""),"",IF(Registro_Ordini[[#This Row],[Tipo]]="Sell",Registro_Ordini[[#This Row],[Prezzo]]/Registro_Ordini[[#This Row],[Price]]-1,Registro_Ordini[[#This Row],[Price]]/Registro_Ordini[[#This Row],[Prezzo]]-1))</f>
        <v>1.6693510042380622E-2</v>
      </c>
      <c r="P940" s="15">
        <v>4.3875567963120157E-2</v>
      </c>
      <c r="Q940" s="3"/>
      <c r="R940" s="3">
        <v>0.28744176458604592</v>
      </c>
      <c r="S940" s="3">
        <v>0.44950165061030672</v>
      </c>
      <c r="T940" s="3">
        <v>0</v>
      </c>
      <c r="U940" s="3">
        <v>0.10063080814617664</v>
      </c>
      <c r="V940" s="3"/>
      <c r="W940" s="4"/>
    </row>
    <row r="941" spans="1:23" s="1" customFormat="1" ht="24.95" customHeight="1" x14ac:dyDescent="0.2">
      <c r="A941" s="8">
        <v>45561</v>
      </c>
      <c r="B941" s="7">
        <v>0.69166666666666665</v>
      </c>
      <c r="C941" s="9" t="s">
        <v>385</v>
      </c>
      <c r="D941" s="1" t="s">
        <v>368</v>
      </c>
      <c r="E941" s="1" t="s">
        <v>363</v>
      </c>
      <c r="F941" s="1" t="s">
        <v>504</v>
      </c>
      <c r="G941" s="1" t="s">
        <v>371</v>
      </c>
      <c r="H941" s="2">
        <v>10000</v>
      </c>
      <c r="I941" s="16">
        <v>0.96128999999999998</v>
      </c>
      <c r="J941" s="1" t="s">
        <v>381</v>
      </c>
      <c r="K941" s="6">
        <f>Registro_Ordini[[#This Row],[Numero]]*Registro_Ordini[[#This Row],[Prezzo]]</f>
        <v>9612.9</v>
      </c>
      <c r="L941" s="10">
        <v>1</v>
      </c>
      <c r="M941" s="6">
        <f>Registro_Ordini[[#This Row],[Importo]]*Registro_Ordini[[#This Row],[Cambio]]</f>
        <v>9612.9</v>
      </c>
      <c r="N941" s="1">
        <f ca="1">IFERROR(_xlfn.NUMBERVALUE(OFFSET(Origine,MATCH(Registro_Ordini[[#This Row],[Titolo]],Descrizioni,0),MATCH("Price",Intestazioni,0)-1,1,1)),"")</f>
        <v>0.99881917807999998</v>
      </c>
      <c r="O941" s="18">
        <f ca="1">IF(OR(Registro_Ordini[[#This Row],[Price]]=0,Registro_Ordini[[#This Row],[Price]]=""),"",IF(Registro_Ordini[[#This Row],[Tipo]]="Sell",Registro_Ordini[[#This Row],[Prezzo]]/Registro_Ordini[[#This Row],[Price]]-1,Registro_Ordini[[#This Row],[Price]]/Registro_Ordini[[#This Row],[Prezzo]]-1))</f>
        <v>3.9040433251152029E-2</v>
      </c>
      <c r="P941" s="15">
        <v>6.8936993271257116E-2</v>
      </c>
      <c r="Q941" s="3"/>
      <c r="R941" s="3">
        <v>0.21106585419932436</v>
      </c>
      <c r="S941" s="3">
        <v>0.17660782116331808</v>
      </c>
      <c r="T941" s="3">
        <v>0</v>
      </c>
      <c r="U941" s="3">
        <v>7.2408022906298788E-2</v>
      </c>
      <c r="V941" s="3"/>
      <c r="W941" s="4"/>
    </row>
    <row r="942" spans="1:23" s="1" customFormat="1" ht="24.95" customHeight="1" x14ac:dyDescent="0.2">
      <c r="A942" s="8">
        <v>45561</v>
      </c>
      <c r="B942" s="7">
        <v>0.67986111111111114</v>
      </c>
      <c r="C942" s="9" t="s">
        <v>383</v>
      </c>
      <c r="D942" s="1" t="s">
        <v>368</v>
      </c>
      <c r="E942" s="1" t="s">
        <v>363</v>
      </c>
      <c r="F942" s="1" t="s">
        <v>504</v>
      </c>
      <c r="G942" s="1" t="s">
        <v>371</v>
      </c>
      <c r="H942" s="2">
        <v>25000</v>
      </c>
      <c r="I942" s="16">
        <v>0.96128999999999998</v>
      </c>
      <c r="J942" s="1" t="s">
        <v>381</v>
      </c>
      <c r="K942" s="6">
        <f>Registro_Ordini[[#This Row],[Numero]]*Registro_Ordini[[#This Row],[Prezzo]]</f>
        <v>24032.25</v>
      </c>
      <c r="L942" s="10">
        <v>1</v>
      </c>
      <c r="M942" s="6">
        <f>Registro_Ordini[[#This Row],[Importo]]*Registro_Ordini[[#This Row],[Cambio]]</f>
        <v>24032.25</v>
      </c>
      <c r="N942" s="1">
        <f ca="1">IFERROR(_xlfn.NUMBERVALUE(OFFSET(Origine,MATCH(Registro_Ordini[[#This Row],[Titolo]],Descrizioni,0),MATCH("Price",Intestazioni,0)-1,1,1)),"")</f>
        <v>0.99881917807999998</v>
      </c>
      <c r="O942" s="18">
        <f ca="1">IF(OR(Registro_Ordini[[#This Row],[Price]]=0,Registro_Ordini[[#This Row],[Price]]=""),"",IF(Registro_Ordini[[#This Row],[Tipo]]="Sell",Registro_Ordini[[#This Row],[Prezzo]]/Registro_Ordini[[#This Row],[Price]]-1,Registro_Ordini[[#This Row],[Price]]/Registro_Ordini[[#This Row],[Prezzo]]-1))</f>
        <v>3.9040433251152029E-2</v>
      </c>
      <c r="P942" s="15">
        <v>3.9370773071915395E-2</v>
      </c>
      <c r="Q942" s="3"/>
      <c r="R942" s="3">
        <v>0.23563758196850815</v>
      </c>
      <c r="S942" s="3">
        <v>0.39648230118101063</v>
      </c>
      <c r="T942" s="3">
        <v>0</v>
      </c>
      <c r="U942" s="3">
        <v>9.9667339414449066E-2</v>
      </c>
      <c r="V942" s="3"/>
      <c r="W942" s="4"/>
    </row>
    <row r="943" spans="1:23" s="1" customFormat="1" ht="24.95" customHeight="1" x14ac:dyDescent="0.2">
      <c r="A943" s="8">
        <v>45561</v>
      </c>
      <c r="B943" s="7">
        <v>0.67986111111111114</v>
      </c>
      <c r="C943" s="9" t="s">
        <v>382</v>
      </c>
      <c r="D943" s="1" t="s">
        <v>368</v>
      </c>
      <c r="E943" s="1" t="s">
        <v>363</v>
      </c>
      <c r="F943" s="1" t="s">
        <v>504</v>
      </c>
      <c r="G943" s="1" t="s">
        <v>371</v>
      </c>
      <c r="H943" s="2">
        <v>40000</v>
      </c>
      <c r="I943" s="16">
        <v>0.96128999999999998</v>
      </c>
      <c r="J943" s="1" t="s">
        <v>381</v>
      </c>
      <c r="K943" s="6">
        <f>Registro_Ordini[[#This Row],[Numero]]*Registro_Ordini[[#This Row],[Prezzo]]</f>
        <v>38451.599999999999</v>
      </c>
      <c r="L943" s="10">
        <v>1</v>
      </c>
      <c r="M943" s="6">
        <f>Registro_Ordini[[#This Row],[Importo]]*Registro_Ordini[[#This Row],[Cambio]]</f>
        <v>38451.599999999999</v>
      </c>
      <c r="N943" s="1">
        <f ca="1">IFERROR(_xlfn.NUMBERVALUE(OFFSET(Origine,MATCH(Registro_Ordini[[#This Row],[Titolo]],Descrizioni,0),MATCH("Price",Intestazioni,0)-1,1,1)),"")</f>
        <v>0.99881917807999998</v>
      </c>
      <c r="O943" s="18">
        <f ca="1">IF(OR(Registro_Ordini[[#This Row],[Price]]=0,Registro_Ordini[[#This Row],[Price]]=""),"",IF(Registro_Ordini[[#This Row],[Tipo]]="Sell",Registro_Ordini[[#This Row],[Prezzo]]/Registro_Ordini[[#This Row],[Price]]-1,Registro_Ordini[[#This Row],[Price]]/Registro_Ordini[[#This Row],[Prezzo]]-1))</f>
        <v>3.9040433251152029E-2</v>
      </c>
      <c r="P943" s="15">
        <v>3.725113778063914E-2</v>
      </c>
      <c r="Q943" s="3"/>
      <c r="R943" s="3">
        <v>0.2449425298961701</v>
      </c>
      <c r="S943" s="3">
        <v>0.44293404294215943</v>
      </c>
      <c r="T943" s="3">
        <v>0</v>
      </c>
      <c r="U943" s="3">
        <v>0.10106318490568209</v>
      </c>
      <c r="V943" s="3"/>
      <c r="W943" s="4"/>
    </row>
    <row r="944" spans="1:23" s="1" customFormat="1" ht="24.95" customHeight="1" x14ac:dyDescent="0.2">
      <c r="A944" s="8">
        <v>45561</v>
      </c>
      <c r="B944" s="7">
        <v>0.67986111111111114</v>
      </c>
      <c r="C944" s="9" t="s">
        <v>106</v>
      </c>
      <c r="D944" s="1" t="s">
        <v>368</v>
      </c>
      <c r="E944" s="1" t="s">
        <v>363</v>
      </c>
      <c r="F944" s="1" t="s">
        <v>504</v>
      </c>
      <c r="G944" s="1" t="s">
        <v>371</v>
      </c>
      <c r="H944" s="2">
        <v>5000</v>
      </c>
      <c r="I944" s="16">
        <v>0.96128999999999998</v>
      </c>
      <c r="J944" s="1" t="s">
        <v>381</v>
      </c>
      <c r="K944" s="6">
        <f>Registro_Ordini[[#This Row],[Numero]]*Registro_Ordini[[#This Row],[Prezzo]]</f>
        <v>4806.45</v>
      </c>
      <c r="L944" s="10">
        <v>1</v>
      </c>
      <c r="M944" s="6">
        <f>Registro_Ordini[[#This Row],[Importo]]*Registro_Ordini[[#This Row],[Cambio]]</f>
        <v>4806.45</v>
      </c>
      <c r="N944" s="1">
        <f ca="1">IFERROR(_xlfn.NUMBERVALUE(OFFSET(Origine,MATCH(Registro_Ordini[[#This Row],[Titolo]],Descrizioni,0),MATCH("Price",Intestazioni,0)-1,1,1)),"")</f>
        <v>0.99881917807999998</v>
      </c>
      <c r="O944" s="18">
        <f ca="1">IF(OR(Registro_Ordini[[#This Row],[Price]]=0,Registro_Ordini[[#This Row],[Price]]=""),"",IF(Registro_Ordini[[#This Row],[Tipo]]="Sell",Registro_Ordini[[#This Row],[Prezzo]]/Registro_Ordini[[#This Row],[Price]]-1,Registro_Ordini[[#This Row],[Price]]/Registro_Ordini[[#This Row],[Prezzo]]-1))</f>
        <v>3.9040433251152029E-2</v>
      </c>
      <c r="P944" s="15">
        <v>3.6084054967075611E-2</v>
      </c>
      <c r="Q944" s="3"/>
      <c r="R944" s="3">
        <v>0.20520226559736224</v>
      </c>
      <c r="S944" s="3">
        <v>0.40276973248246545</v>
      </c>
      <c r="T944" s="3">
        <v>0</v>
      </c>
      <c r="U944" s="3">
        <v>0.13024638928708077</v>
      </c>
      <c r="V944" s="3"/>
      <c r="W944" s="4"/>
    </row>
    <row r="945" spans="1:23" s="1" customFormat="1" ht="24.95" customHeight="1" x14ac:dyDescent="0.2">
      <c r="A945" s="8">
        <v>45561</v>
      </c>
      <c r="B945" s="7">
        <v>0.67986111111111114</v>
      </c>
      <c r="C945" s="9" t="s">
        <v>379</v>
      </c>
      <c r="D945" s="1" t="s">
        <v>368</v>
      </c>
      <c r="E945" s="1" t="s">
        <v>363</v>
      </c>
      <c r="F945" s="1" t="s">
        <v>504</v>
      </c>
      <c r="G945" s="1" t="s">
        <v>371</v>
      </c>
      <c r="H945" s="2">
        <v>25000</v>
      </c>
      <c r="I945" s="16">
        <v>0.96128999999999998</v>
      </c>
      <c r="J945" s="1" t="s">
        <v>381</v>
      </c>
      <c r="K945" s="6">
        <f>Registro_Ordini[[#This Row],[Numero]]*Registro_Ordini[[#This Row],[Prezzo]]</f>
        <v>24032.25</v>
      </c>
      <c r="L945" s="10">
        <v>1</v>
      </c>
      <c r="M945" s="6">
        <f>Registro_Ordini[[#This Row],[Importo]]*Registro_Ordini[[#This Row],[Cambio]]</f>
        <v>24032.25</v>
      </c>
      <c r="N945" s="1">
        <f ca="1">IFERROR(_xlfn.NUMBERVALUE(OFFSET(Origine,MATCH(Registro_Ordini[[#This Row],[Titolo]],Descrizioni,0),MATCH("Price",Intestazioni,0)-1,1,1)),"")</f>
        <v>0.99881917807999998</v>
      </c>
      <c r="O945" s="18">
        <f ca="1">IF(OR(Registro_Ordini[[#This Row],[Price]]=0,Registro_Ordini[[#This Row],[Price]]=""),"",IF(Registro_Ordini[[#This Row],[Tipo]]="Sell",Registro_Ordini[[#This Row],[Prezzo]]/Registro_Ordini[[#This Row],[Price]]-1,Registro_Ordini[[#This Row],[Price]]/Registro_Ordini[[#This Row],[Prezzo]]-1))</f>
        <v>3.9040433251152029E-2</v>
      </c>
      <c r="P945" s="15">
        <v>4.2730244125963442E-2</v>
      </c>
      <c r="Q945" s="3"/>
      <c r="R945" s="3">
        <v>0.24315424094930665</v>
      </c>
      <c r="S945" s="3">
        <v>0.44987145654159288</v>
      </c>
      <c r="T945" s="3">
        <v>0</v>
      </c>
      <c r="U945" s="3">
        <v>0.10073541622473789</v>
      </c>
      <c r="V945" s="3"/>
      <c r="W945" s="4"/>
    </row>
    <row r="946" spans="1:23" s="1" customFormat="1" ht="24.95" customHeight="1" x14ac:dyDescent="0.2">
      <c r="A946" s="8">
        <v>45560</v>
      </c>
      <c r="B946" s="7">
        <v>0.74722222222222223</v>
      </c>
      <c r="C946" s="9" t="s">
        <v>383</v>
      </c>
      <c r="D946" s="1" t="s">
        <v>388</v>
      </c>
      <c r="E946" s="1" t="s">
        <v>420</v>
      </c>
      <c r="F946" s="1" t="s">
        <v>465</v>
      </c>
      <c r="G946" s="1" t="s">
        <v>371</v>
      </c>
      <c r="H946" s="2">
        <v>200</v>
      </c>
      <c r="I946" s="17">
        <v>63.274999999999999</v>
      </c>
      <c r="J946" s="1" t="s">
        <v>366</v>
      </c>
      <c r="K946" s="6">
        <f>Registro_Ordini[[#This Row],[Numero]]*Registro_Ordini[[#This Row],[Prezzo]]</f>
        <v>12655</v>
      </c>
      <c r="L946" s="10">
        <v>0.94750462107208877</v>
      </c>
      <c r="M946" s="6">
        <f>Registro_Ordini[[#This Row],[Importo]]*Registro_Ordini[[#This Row],[Cambio]]</f>
        <v>11990.670979667284</v>
      </c>
      <c r="N946" s="1">
        <f ca="1">IFERROR(_xlfn.NUMBERVALUE(OFFSET(Origine,MATCH(Registro_Ordini[[#This Row],[Titolo]],Descrizioni,0),MATCH("Price",Intestazioni,0)-1,1,1)),"")</f>
        <v>86.364999999999995</v>
      </c>
      <c r="O946" s="18">
        <f ca="1">IF(OR(Registro_Ordini[[#This Row],[Price]]=0,Registro_Ordini[[#This Row],[Price]]=""),"",IF(Registro_Ordini[[#This Row],[Tipo]]="Sell",Registro_Ordini[[#This Row],[Prezzo]]/Registro_Ordini[[#This Row],[Price]]-1,Registro_Ordini[[#This Row],[Price]]/Registro_Ordini[[#This Row],[Prezzo]]-1))</f>
        <v>0.36491505333860119</v>
      </c>
      <c r="P946" s="15">
        <v>2.0044604131435315E-2</v>
      </c>
      <c r="Q946" s="3"/>
      <c r="R946" s="3">
        <v>0.20038767405621202</v>
      </c>
      <c r="S946" s="3">
        <v>0.38489627736047943</v>
      </c>
      <c r="T946" s="3">
        <v>0</v>
      </c>
      <c r="U946" s="3">
        <v>0.10105476528010437</v>
      </c>
      <c r="V946" s="3"/>
      <c r="W946" s="4"/>
    </row>
    <row r="947" spans="1:23" s="1" customFormat="1" ht="24.95" customHeight="1" x14ac:dyDescent="0.2">
      <c r="A947" s="8">
        <v>45560</v>
      </c>
      <c r="B947" s="7">
        <v>0.74722222222222223</v>
      </c>
      <c r="C947" s="9" t="s">
        <v>382</v>
      </c>
      <c r="D947" s="1" t="s">
        <v>388</v>
      </c>
      <c r="E947" s="1" t="s">
        <v>420</v>
      </c>
      <c r="F947" s="1" t="s">
        <v>465</v>
      </c>
      <c r="G947" s="1" t="s">
        <v>371</v>
      </c>
      <c r="H947" s="2">
        <v>350</v>
      </c>
      <c r="I947" s="17">
        <v>63.274999999999999</v>
      </c>
      <c r="J947" s="1" t="s">
        <v>366</v>
      </c>
      <c r="K947" s="6">
        <f>Registro_Ordini[[#This Row],[Numero]]*Registro_Ordini[[#This Row],[Prezzo]]</f>
        <v>22146.25</v>
      </c>
      <c r="L947" s="10">
        <v>0.94750462107208877</v>
      </c>
      <c r="M947" s="6">
        <f>Registro_Ordini[[#This Row],[Importo]]*Registro_Ordini[[#This Row],[Cambio]]</f>
        <v>20983.674214417744</v>
      </c>
      <c r="N947" s="1">
        <f ca="1">IFERROR(_xlfn.NUMBERVALUE(OFFSET(Origine,MATCH(Registro_Ordini[[#This Row],[Titolo]],Descrizioni,0),MATCH("Price",Intestazioni,0)-1,1,1)),"")</f>
        <v>86.364999999999995</v>
      </c>
      <c r="O947" s="18">
        <f ca="1">IF(OR(Registro_Ordini[[#This Row],[Price]]=0,Registro_Ordini[[#This Row],[Price]]=""),"",IF(Registro_Ordini[[#This Row],[Tipo]]="Sell",Registro_Ordini[[#This Row],[Prezzo]]/Registro_Ordini[[#This Row],[Price]]-1,Registro_Ordini[[#This Row],[Price]]/Registro_Ordini[[#This Row],[Prezzo]]-1))</f>
        <v>0.36491505333860119</v>
      </c>
      <c r="P947" s="15">
        <v>2.0335382398544221E-2</v>
      </c>
      <c r="Q947" s="3"/>
      <c r="R947" s="3">
        <v>0.20790837408023602</v>
      </c>
      <c r="S947" s="3">
        <v>0.44337872844441928</v>
      </c>
      <c r="T947" s="3">
        <v>0</v>
      </c>
      <c r="U947" s="3">
        <v>0.10049269237170116</v>
      </c>
      <c r="V947" s="3"/>
      <c r="W947" s="4"/>
    </row>
    <row r="948" spans="1:23" s="1" customFormat="1" ht="24.95" customHeight="1" x14ac:dyDescent="0.2">
      <c r="A948" s="8">
        <v>45560</v>
      </c>
      <c r="B948" s="7">
        <v>0.74722222222222223</v>
      </c>
      <c r="C948" s="9" t="s">
        <v>106</v>
      </c>
      <c r="D948" s="1" t="s">
        <v>388</v>
      </c>
      <c r="E948" s="1" t="s">
        <v>420</v>
      </c>
      <c r="F948" s="1" t="s">
        <v>465</v>
      </c>
      <c r="G948" s="1" t="s">
        <v>371</v>
      </c>
      <c r="H948" s="2">
        <v>90</v>
      </c>
      <c r="I948" s="17">
        <v>63.274999999999999</v>
      </c>
      <c r="J948" s="1" t="s">
        <v>366</v>
      </c>
      <c r="K948" s="6">
        <f>Registro_Ordini[[#This Row],[Numero]]*Registro_Ordini[[#This Row],[Prezzo]]</f>
        <v>5694.75</v>
      </c>
      <c r="L948" s="10">
        <v>0.94750462107208877</v>
      </c>
      <c r="M948" s="6">
        <f>Registro_Ordini[[#This Row],[Importo]]*Registro_Ordini[[#This Row],[Cambio]]</f>
        <v>5395.8019408502778</v>
      </c>
      <c r="N948" s="1">
        <f ca="1">IFERROR(_xlfn.NUMBERVALUE(OFFSET(Origine,MATCH(Registro_Ordini[[#This Row],[Titolo]],Descrizioni,0),MATCH("Price",Intestazioni,0)-1,1,1)),"")</f>
        <v>86.364999999999995</v>
      </c>
      <c r="O948" s="18">
        <f ca="1">IF(OR(Registro_Ordini[[#This Row],[Price]]=0,Registro_Ordini[[#This Row],[Price]]=""),"",IF(Registro_Ordini[[#This Row],[Tipo]]="Sell",Registro_Ordini[[#This Row],[Prezzo]]/Registro_Ordini[[#This Row],[Price]]-1,Registro_Ordini[[#This Row],[Price]]/Registro_Ordini[[#This Row],[Prezzo]]-1))</f>
        <v>0.36491505333860119</v>
      </c>
      <c r="P948" s="15">
        <v>4.063017431561021E-2</v>
      </c>
      <c r="Q948" s="3"/>
      <c r="R948" s="3">
        <v>0.16971400163427036</v>
      </c>
      <c r="S948" s="3">
        <v>0.40188456158982833</v>
      </c>
      <c r="T948" s="3">
        <v>0</v>
      </c>
      <c r="U948" s="3">
        <v>0.12986251277752794</v>
      </c>
      <c r="V948" s="3"/>
      <c r="W948" s="4"/>
    </row>
    <row r="949" spans="1:23" s="1" customFormat="1" ht="24.95" customHeight="1" x14ac:dyDescent="0.2">
      <c r="A949" s="8">
        <v>45560</v>
      </c>
      <c r="B949" s="7">
        <v>0.74722222222222223</v>
      </c>
      <c r="C949" s="9" t="s">
        <v>379</v>
      </c>
      <c r="D949" s="1" t="s">
        <v>388</v>
      </c>
      <c r="E949" s="1" t="s">
        <v>420</v>
      </c>
      <c r="F949" s="1" t="s">
        <v>465</v>
      </c>
      <c r="G949" s="1" t="s">
        <v>371</v>
      </c>
      <c r="H949" s="2">
        <v>250</v>
      </c>
      <c r="I949" s="17">
        <v>63.274999999999999</v>
      </c>
      <c r="J949" s="1" t="s">
        <v>366</v>
      </c>
      <c r="K949" s="6">
        <f>Registro_Ordini[[#This Row],[Numero]]*Registro_Ordini[[#This Row],[Prezzo]]</f>
        <v>15818.75</v>
      </c>
      <c r="L949" s="10">
        <v>0.94750462107208877</v>
      </c>
      <c r="M949" s="6">
        <f>Registro_Ordini[[#This Row],[Importo]]*Registro_Ordini[[#This Row],[Cambio]]</f>
        <v>14988.338724584104</v>
      </c>
      <c r="N949" s="1">
        <f ca="1">IFERROR(_xlfn.NUMBERVALUE(OFFSET(Origine,MATCH(Registro_Ordini[[#This Row],[Titolo]],Descrizioni,0),MATCH("Price",Intestazioni,0)-1,1,1)),"")</f>
        <v>86.364999999999995</v>
      </c>
      <c r="O949" s="18">
        <f ca="1">IF(OR(Registro_Ordini[[#This Row],[Price]]=0,Registro_Ordini[[#This Row],[Price]]=""),"",IF(Registro_Ordini[[#This Row],[Tipo]]="Sell",Registro_Ordini[[#This Row],[Prezzo]]/Registro_Ordini[[#This Row],[Price]]-1,Registro_Ordini[[#This Row],[Price]]/Registro_Ordini[[#This Row],[Prezzo]]-1))</f>
        <v>0.36491505333860119</v>
      </c>
      <c r="P949" s="15">
        <v>2.6648155575691647E-2</v>
      </c>
      <c r="Q949" s="3"/>
      <c r="R949" s="3">
        <v>0.2005396830949697</v>
      </c>
      <c r="S949" s="3">
        <v>0.45034225033877501</v>
      </c>
      <c r="T949" s="3">
        <v>0</v>
      </c>
      <c r="U949" s="3">
        <v>0.10032762092237955</v>
      </c>
      <c r="V949" s="3"/>
      <c r="W949" s="4"/>
    </row>
    <row r="950" spans="1:23" s="1" customFormat="1" ht="24.95" customHeight="1" x14ac:dyDescent="0.2">
      <c r="A950" s="8">
        <v>45560</v>
      </c>
      <c r="B950" s="7">
        <v>0.74652777777777779</v>
      </c>
      <c r="C950" s="9" t="s">
        <v>78</v>
      </c>
      <c r="D950" s="1" t="s">
        <v>388</v>
      </c>
      <c r="E950" s="1" t="s">
        <v>420</v>
      </c>
      <c r="F950" s="1" t="s">
        <v>465</v>
      </c>
      <c r="G950" s="1" t="s">
        <v>371</v>
      </c>
      <c r="H950" s="2">
        <v>195</v>
      </c>
      <c r="I950" s="17">
        <v>63.274999999999999</v>
      </c>
      <c r="J950" s="1" t="s">
        <v>366</v>
      </c>
      <c r="K950" s="6">
        <f>Registro_Ordini[[#This Row],[Numero]]*Registro_Ordini[[#This Row],[Prezzo]]</f>
        <v>12338.625</v>
      </c>
      <c r="L950" s="10">
        <v>0.84929991291232021</v>
      </c>
      <c r="M950" s="6">
        <f>Registro_Ordini[[#This Row],[Importo]]*Registro_Ordini[[#This Row],[Cambio]]</f>
        <v>10479.193137957776</v>
      </c>
      <c r="N950" s="1">
        <f ca="1">IFERROR(_xlfn.NUMBERVALUE(OFFSET(Origine,MATCH(Registro_Ordini[[#This Row],[Titolo]],Descrizioni,0),MATCH("Price",Intestazioni,0)-1,1,1)),"")</f>
        <v>86.364999999999995</v>
      </c>
      <c r="O950" s="18">
        <f ca="1">IF(OR(Registro_Ordini[[#This Row],[Price]]=0,Registro_Ordini[[#This Row],[Price]]=""),"",IF(Registro_Ordini[[#This Row],[Tipo]]="Sell",Registro_Ordini[[#This Row],[Prezzo]]/Registro_Ordini[[#This Row],[Price]]-1,Registro_Ordini[[#This Row],[Price]]/Registro_Ordini[[#This Row],[Prezzo]]-1))</f>
        <v>0.36491505333860119</v>
      </c>
      <c r="P950" s="15">
        <v>2.5561888195164594E-2</v>
      </c>
      <c r="Q950" s="3"/>
      <c r="R950" s="3">
        <v>0.16683299399697268</v>
      </c>
      <c r="S950" s="3">
        <v>0.61686047251266929</v>
      </c>
      <c r="T950" s="3">
        <v>0</v>
      </c>
      <c r="U950" s="3">
        <v>6.8949233229356449E-2</v>
      </c>
      <c r="V950" s="3"/>
      <c r="W950" s="4"/>
    </row>
    <row r="951" spans="1:23" s="1" customFormat="1" ht="24.95" customHeight="1" x14ac:dyDescent="0.2">
      <c r="A951" s="8">
        <v>45560</v>
      </c>
      <c r="B951" s="7">
        <v>0.74583333333333335</v>
      </c>
      <c r="C951" s="9" t="s">
        <v>375</v>
      </c>
      <c r="D951" s="1" t="s">
        <v>388</v>
      </c>
      <c r="E951" s="1" t="s">
        <v>420</v>
      </c>
      <c r="F951" s="1" t="s">
        <v>465</v>
      </c>
      <c r="G951" s="1" t="s">
        <v>371</v>
      </c>
      <c r="H951" s="2">
        <v>300</v>
      </c>
      <c r="I951" s="17">
        <v>63.274999999999999</v>
      </c>
      <c r="J951" s="1" t="s">
        <v>366</v>
      </c>
      <c r="K951" s="6">
        <f>Registro_Ordini[[#This Row],[Numero]]*Registro_Ordini[[#This Row],[Prezzo]]</f>
        <v>18982.5</v>
      </c>
      <c r="L951" s="10">
        <v>0.84909993181725651</v>
      </c>
      <c r="M951" s="6">
        <f>Registro_Ordini[[#This Row],[Importo]]*Registro_Ordini[[#This Row],[Cambio]]</f>
        <v>16118.039455721071</v>
      </c>
      <c r="N951" s="1">
        <f ca="1">IFERROR(_xlfn.NUMBERVALUE(OFFSET(Origine,MATCH(Registro_Ordini[[#This Row],[Titolo]],Descrizioni,0),MATCH("Price",Intestazioni,0)-1,1,1)),"")</f>
        <v>86.364999999999995</v>
      </c>
      <c r="O951" s="18">
        <f ca="1">IF(OR(Registro_Ordini[[#This Row],[Price]]=0,Registro_Ordini[[#This Row],[Price]]=""),"",IF(Registro_Ordini[[#This Row],[Tipo]]="Sell",Registro_Ordini[[#This Row],[Prezzo]]/Registro_Ordini[[#This Row],[Price]]-1,Registro_Ordini[[#This Row],[Price]]/Registro_Ordini[[#This Row],[Prezzo]]-1))</f>
        <v>0.36491505333860119</v>
      </c>
      <c r="P951" s="15">
        <v>2.0330022678450535E-2</v>
      </c>
      <c r="Q951" s="3"/>
      <c r="R951" s="3">
        <v>0.35693271826278683</v>
      </c>
      <c r="S951" s="3">
        <v>0.39136216405601448</v>
      </c>
      <c r="T951" s="3">
        <v>0</v>
      </c>
      <c r="U951" s="3">
        <v>9.284395155116458E-2</v>
      </c>
      <c r="V951" s="3"/>
      <c r="W951" s="4"/>
    </row>
    <row r="952" spans="1:23" s="1" customFormat="1" ht="24.95" customHeight="1" x14ac:dyDescent="0.2">
      <c r="A952" s="8">
        <v>45560</v>
      </c>
      <c r="B952" s="7">
        <v>0.74583333333333335</v>
      </c>
      <c r="C952" s="9" t="s">
        <v>378</v>
      </c>
      <c r="D952" s="1" t="s">
        <v>388</v>
      </c>
      <c r="E952" s="1" t="s">
        <v>420</v>
      </c>
      <c r="F952" s="1" t="s">
        <v>465</v>
      </c>
      <c r="G952" s="1" t="s">
        <v>371</v>
      </c>
      <c r="H952" s="2">
        <v>190</v>
      </c>
      <c r="I952" s="17">
        <v>63.274999999999999</v>
      </c>
      <c r="J952" s="1" t="s">
        <v>366</v>
      </c>
      <c r="K952" s="6">
        <f>Registro_Ordini[[#This Row],[Numero]]*Registro_Ordini[[#This Row],[Prezzo]]</f>
        <v>12022.25</v>
      </c>
      <c r="L952" s="10">
        <v>0.84909993181725651</v>
      </c>
      <c r="M952" s="6">
        <f>Registro_Ordini[[#This Row],[Importo]]*Registro_Ordini[[#This Row],[Cambio]]</f>
        <v>10208.091655290013</v>
      </c>
      <c r="N952" s="1">
        <f ca="1">IFERROR(_xlfn.NUMBERVALUE(OFFSET(Origine,MATCH(Registro_Ordini[[#This Row],[Titolo]],Descrizioni,0),MATCH("Price",Intestazioni,0)-1,1,1)),"")</f>
        <v>86.364999999999995</v>
      </c>
      <c r="O952" s="18">
        <f ca="1">IF(OR(Registro_Ordini[[#This Row],[Price]]=0,Registro_Ordini[[#This Row],[Price]]=""),"",IF(Registro_Ordini[[#This Row],[Tipo]]="Sell",Registro_Ordini[[#This Row],[Prezzo]]/Registro_Ordini[[#This Row],[Price]]-1,Registro_Ordini[[#This Row],[Price]]/Registro_Ordini[[#This Row],[Prezzo]]-1))</f>
        <v>0.36491505333860119</v>
      </c>
      <c r="P952" s="15">
        <v>2.0042711930243869E-2</v>
      </c>
      <c r="Q952" s="3"/>
      <c r="R952" s="3">
        <v>0.33476660666569152</v>
      </c>
      <c r="S952" s="3">
        <v>0.41149062872524445</v>
      </c>
      <c r="T952" s="3">
        <v>0</v>
      </c>
      <c r="U952" s="3">
        <v>8.7464775191650412E-2</v>
      </c>
      <c r="V952" s="3"/>
      <c r="W952" s="4"/>
    </row>
    <row r="953" spans="1:23" s="1" customFormat="1" ht="24.95" customHeight="1" x14ac:dyDescent="0.2">
      <c r="A953" s="8">
        <v>45560</v>
      </c>
      <c r="B953" s="7">
        <v>0.74583333333333335</v>
      </c>
      <c r="C953" s="9" t="s">
        <v>377</v>
      </c>
      <c r="D953" s="1" t="s">
        <v>388</v>
      </c>
      <c r="E953" s="1" t="s">
        <v>420</v>
      </c>
      <c r="F953" s="1" t="s">
        <v>465</v>
      </c>
      <c r="G953" s="1" t="s">
        <v>371</v>
      </c>
      <c r="H953" s="2">
        <v>590</v>
      </c>
      <c r="I953" s="17">
        <v>63.274999999999999</v>
      </c>
      <c r="J953" s="1" t="s">
        <v>366</v>
      </c>
      <c r="K953" s="6">
        <f>Registro_Ordini[[#This Row],[Numero]]*Registro_Ordini[[#This Row],[Prezzo]]</f>
        <v>37332.25</v>
      </c>
      <c r="L953" s="10">
        <v>0.84909993181725651</v>
      </c>
      <c r="M953" s="6">
        <f>Registro_Ordini[[#This Row],[Importo]]*Registro_Ordini[[#This Row],[Cambio]]</f>
        <v>31698.810929584775</v>
      </c>
      <c r="N953" s="1">
        <f ca="1">IFERROR(_xlfn.NUMBERVALUE(OFFSET(Origine,MATCH(Registro_Ordini[[#This Row],[Titolo]],Descrizioni,0),MATCH("Price",Intestazioni,0)-1,1,1)),"")</f>
        <v>86.364999999999995</v>
      </c>
      <c r="O953" s="18">
        <f ca="1">IF(OR(Registro_Ordini[[#This Row],[Price]]=0,Registro_Ordini[[#This Row],[Price]]=""),"",IF(Registro_Ordini[[#This Row],[Tipo]]="Sell",Registro_Ordini[[#This Row],[Prezzo]]/Registro_Ordini[[#This Row],[Price]]-1,Registro_Ordini[[#This Row],[Price]]/Registro_Ordini[[#This Row],[Prezzo]]-1))</f>
        <v>0.36491505333860119</v>
      </c>
      <c r="P953" s="15">
        <v>2.0237188195850575E-2</v>
      </c>
      <c r="Q953" s="3"/>
      <c r="R953" s="3">
        <v>0.32850411616863251</v>
      </c>
      <c r="S953" s="3">
        <v>0.4292027119881292</v>
      </c>
      <c r="T953" s="3">
        <v>0</v>
      </c>
      <c r="U953" s="3">
        <v>9.2647662951952398E-2</v>
      </c>
      <c r="V953" s="3"/>
      <c r="W953" s="4"/>
    </row>
    <row r="954" spans="1:23" s="1" customFormat="1" ht="24.95" customHeight="1" x14ac:dyDescent="0.2">
      <c r="A954" s="8">
        <v>45560</v>
      </c>
      <c r="B954" s="7">
        <v>0.74583333333333335</v>
      </c>
      <c r="C954" s="9" t="s">
        <v>376</v>
      </c>
      <c r="D954" s="1" t="s">
        <v>388</v>
      </c>
      <c r="E954" s="1" t="s">
        <v>420</v>
      </c>
      <c r="F954" s="1" t="s">
        <v>465</v>
      </c>
      <c r="G954" s="1" t="s">
        <v>371</v>
      </c>
      <c r="H954" s="2">
        <v>105</v>
      </c>
      <c r="I954" s="17">
        <v>63.274999999999999</v>
      </c>
      <c r="J954" s="1" t="s">
        <v>366</v>
      </c>
      <c r="K954" s="6">
        <f>Registro_Ordini[[#This Row],[Numero]]*Registro_Ordini[[#This Row],[Prezzo]]</f>
        <v>6643.875</v>
      </c>
      <c r="L954" s="10">
        <v>0.84909993181725651</v>
      </c>
      <c r="M954" s="6">
        <f>Registro_Ordini[[#This Row],[Importo]]*Registro_Ordini[[#This Row],[Cambio]]</f>
        <v>5641.3138095023751</v>
      </c>
      <c r="N954" s="1">
        <f ca="1">IFERROR(_xlfn.NUMBERVALUE(OFFSET(Origine,MATCH(Registro_Ordini[[#This Row],[Titolo]],Descrizioni,0),MATCH("Price",Intestazioni,0)-1,1,1)),"")</f>
        <v>86.364999999999995</v>
      </c>
      <c r="O954" s="18">
        <f ca="1">IF(OR(Registro_Ordini[[#This Row],[Price]]=0,Registro_Ordini[[#This Row],[Price]]=""),"",IF(Registro_Ordini[[#This Row],[Tipo]]="Sell",Registro_Ordini[[#This Row],[Prezzo]]/Registro_Ordini[[#This Row],[Price]]-1,Registro_Ordini[[#This Row],[Price]]/Registro_Ordini[[#This Row],[Prezzo]]-1))</f>
        <v>0.36491505333860119</v>
      </c>
      <c r="P954" s="15">
        <v>2.0219467386749301E-2</v>
      </c>
      <c r="Q954" s="3"/>
      <c r="R954" s="3">
        <v>0.34795738209999982</v>
      </c>
      <c r="S954" s="3">
        <v>0.44518336816837678</v>
      </c>
      <c r="T954" s="3">
        <v>0</v>
      </c>
      <c r="U954" s="3">
        <v>0.10982640637237755</v>
      </c>
      <c r="V954" s="3"/>
      <c r="W954" s="4"/>
    </row>
    <row r="955" spans="1:23" s="1" customFormat="1" ht="24.95" customHeight="1" x14ac:dyDescent="0.2">
      <c r="A955" s="8">
        <v>45560</v>
      </c>
      <c r="B955" s="7">
        <v>0.74583333333333335</v>
      </c>
      <c r="C955" s="9" t="s">
        <v>367</v>
      </c>
      <c r="D955" s="1" t="s">
        <v>388</v>
      </c>
      <c r="E955" s="1" t="s">
        <v>420</v>
      </c>
      <c r="F955" s="1" t="s">
        <v>465</v>
      </c>
      <c r="G955" s="1" t="s">
        <v>371</v>
      </c>
      <c r="H955" s="2">
        <v>1290</v>
      </c>
      <c r="I955" s="17">
        <v>63.274999999999999</v>
      </c>
      <c r="J955" s="1" t="s">
        <v>366</v>
      </c>
      <c r="K955" s="6">
        <f>Registro_Ordini[[#This Row],[Numero]]*Registro_Ordini[[#This Row],[Prezzo]]</f>
        <v>81624.75</v>
      </c>
      <c r="L955" s="10">
        <v>0.84909993181725651</v>
      </c>
      <c r="M955" s="6">
        <f>Registro_Ordini[[#This Row],[Importo]]*Registro_Ordini[[#This Row],[Cambio]]</f>
        <v>69307.569659600602</v>
      </c>
      <c r="N955" s="1">
        <f ca="1">IFERROR(_xlfn.NUMBERVALUE(OFFSET(Origine,MATCH(Registro_Ordini[[#This Row],[Titolo]],Descrizioni,0),MATCH("Price",Intestazioni,0)-1,1,1)),"")</f>
        <v>86.364999999999995</v>
      </c>
      <c r="O955" s="18">
        <f ca="1">IF(OR(Registro_Ordini[[#This Row],[Price]]=0,Registro_Ordini[[#This Row],[Price]]=""),"",IF(Registro_Ordini[[#This Row],[Tipo]]="Sell",Registro_Ordini[[#This Row],[Prezzo]]/Registro_Ordini[[#This Row],[Price]]-1,Registro_Ordini[[#This Row],[Price]]/Registro_Ordini[[#This Row],[Prezzo]]-1))</f>
        <v>0.36491505333860119</v>
      </c>
      <c r="P955" s="15">
        <v>2.0219429118510514E-2</v>
      </c>
      <c r="Q955" s="3"/>
      <c r="R955" s="3">
        <v>0.43350594347957716</v>
      </c>
      <c r="S955" s="3">
        <v>0.36414855314946959</v>
      </c>
      <c r="T955" s="3">
        <v>0</v>
      </c>
      <c r="U955" s="3">
        <v>4.6095108392188493E-2</v>
      </c>
      <c r="V955" s="3"/>
      <c r="W955" s="4"/>
    </row>
    <row r="956" spans="1:23" s="1" customFormat="1" ht="24.95" customHeight="1" x14ac:dyDescent="0.2">
      <c r="A956" s="8">
        <v>45560</v>
      </c>
      <c r="B956" s="7">
        <v>0.69236111111111109</v>
      </c>
      <c r="C956" s="9" t="s">
        <v>383</v>
      </c>
      <c r="D956" s="1" t="s">
        <v>388</v>
      </c>
      <c r="E956" s="1" t="s">
        <v>403</v>
      </c>
      <c r="F956" s="1" t="s">
        <v>405</v>
      </c>
      <c r="G956" s="1" t="s">
        <v>371</v>
      </c>
      <c r="H956" s="2">
        <v>65</v>
      </c>
      <c r="I956" s="17">
        <v>194.34</v>
      </c>
      <c r="J956" s="1" t="s">
        <v>381</v>
      </c>
      <c r="K956" s="6">
        <f>Registro_Ordini[[#This Row],[Numero]]*Registro_Ordini[[#This Row],[Prezzo]]</f>
        <v>12632.1</v>
      </c>
      <c r="L956" s="10">
        <v>1</v>
      </c>
      <c r="M956" s="6">
        <f>Registro_Ordini[[#This Row],[Importo]]*Registro_Ordini[[#This Row],[Cambio]]</f>
        <v>12632.1</v>
      </c>
      <c r="N956" s="1">
        <f ca="1">IFERROR(_xlfn.NUMBERVALUE(OFFSET(Origine,MATCH(Registro_Ordini[[#This Row],[Titolo]],Descrizioni,0),MATCH("Price",Intestazioni,0)-1,1,1)),"")</f>
        <v>330.2</v>
      </c>
      <c r="O956" s="18">
        <f ca="1">IF(OR(Registro_Ordini[[#This Row],[Price]]=0,Registro_Ordini[[#This Row],[Price]]=""),"",IF(Registro_Ordini[[#This Row],[Tipo]]="Sell",Registro_Ordini[[#This Row],[Prezzo]]/Registro_Ordini[[#This Row],[Price]]-1,Registro_Ordini[[#This Row],[Price]]/Registro_Ordini[[#This Row],[Prezzo]]-1))</f>
        <v>0.69908407944838924</v>
      </c>
      <c r="P956" s="15">
        <v>2.0296771045344171E-2</v>
      </c>
      <c r="Q956" s="3"/>
      <c r="R956" s="3">
        <v>0.19711561791700283</v>
      </c>
      <c r="S956" s="3">
        <v>0.37688619814730179</v>
      </c>
      <c r="T956" s="3">
        <v>0</v>
      </c>
      <c r="U956" s="3">
        <v>9.9244552841459915E-2</v>
      </c>
      <c r="V956" s="3"/>
      <c r="W956" s="4"/>
    </row>
    <row r="957" spans="1:23" s="1" customFormat="1" ht="24.95" customHeight="1" x14ac:dyDescent="0.2">
      <c r="A957" s="8">
        <v>45560</v>
      </c>
      <c r="B957" s="7">
        <v>0.69236111111111109</v>
      </c>
      <c r="C957" s="9" t="s">
        <v>382</v>
      </c>
      <c r="D957" s="1" t="s">
        <v>388</v>
      </c>
      <c r="E957" s="1" t="s">
        <v>403</v>
      </c>
      <c r="F957" s="1" t="s">
        <v>405</v>
      </c>
      <c r="G957" s="1" t="s">
        <v>371</v>
      </c>
      <c r="H957" s="2">
        <v>110</v>
      </c>
      <c r="I957" s="17">
        <v>194.34</v>
      </c>
      <c r="J957" s="1" t="s">
        <v>381</v>
      </c>
      <c r="K957" s="6">
        <f>Registro_Ordini[[#This Row],[Numero]]*Registro_Ordini[[#This Row],[Prezzo]]</f>
        <v>21377.4</v>
      </c>
      <c r="L957" s="10">
        <v>1</v>
      </c>
      <c r="M957" s="6">
        <f>Registro_Ordini[[#This Row],[Importo]]*Registro_Ordini[[#This Row],[Cambio]]</f>
        <v>21377.4</v>
      </c>
      <c r="N957" s="1">
        <f ca="1">IFERROR(_xlfn.NUMBERVALUE(OFFSET(Origine,MATCH(Registro_Ordini[[#This Row],[Titolo]],Descrizioni,0),MATCH("Price",Intestazioni,0)-1,1,1)),"")</f>
        <v>330.2</v>
      </c>
      <c r="O957" s="18">
        <f ca="1">IF(OR(Registro_Ordini[[#This Row],[Price]]=0,Registro_Ordini[[#This Row],[Price]]=""),"",IF(Registro_Ordini[[#This Row],[Tipo]]="Sell",Registro_Ordini[[#This Row],[Prezzo]]/Registro_Ordini[[#This Row],[Price]]-1,Registro_Ordini[[#This Row],[Price]]/Registro_Ordini[[#This Row],[Prezzo]]-1))</f>
        <v>0.69908407944838924</v>
      </c>
      <c r="P957" s="15">
        <v>2.031840143830365E-2</v>
      </c>
      <c r="Q957" s="3"/>
      <c r="R957" s="3">
        <v>0.20868288178709196</v>
      </c>
      <c r="S957" s="3">
        <v>0.42265114502753104</v>
      </c>
      <c r="T957" s="3">
        <v>0</v>
      </c>
      <c r="U957" s="3">
        <v>0.10066931793707481</v>
      </c>
      <c r="V957" s="3"/>
      <c r="W957" s="4"/>
    </row>
    <row r="958" spans="1:23" s="1" customFormat="1" ht="24.95" customHeight="1" x14ac:dyDescent="0.2">
      <c r="A958" s="8">
        <v>45560</v>
      </c>
      <c r="B958" s="7">
        <v>0.69236111111111109</v>
      </c>
      <c r="C958" s="9" t="s">
        <v>379</v>
      </c>
      <c r="D958" s="1" t="s">
        <v>388</v>
      </c>
      <c r="E958" s="1" t="s">
        <v>403</v>
      </c>
      <c r="F958" s="1" t="s">
        <v>405</v>
      </c>
      <c r="G958" s="1" t="s">
        <v>371</v>
      </c>
      <c r="H958" s="2">
        <v>60</v>
      </c>
      <c r="I958" s="17">
        <v>194.34</v>
      </c>
      <c r="J958" s="1" t="s">
        <v>381</v>
      </c>
      <c r="K958" s="6">
        <f>Registro_Ordini[[#This Row],[Numero]]*Registro_Ordini[[#This Row],[Prezzo]]</f>
        <v>11660.4</v>
      </c>
      <c r="L958" s="10">
        <v>1</v>
      </c>
      <c r="M958" s="6">
        <f>Registro_Ordini[[#This Row],[Importo]]*Registro_Ordini[[#This Row],[Cambio]]</f>
        <v>11660.4</v>
      </c>
      <c r="N958" s="1">
        <f ca="1">IFERROR(_xlfn.NUMBERVALUE(OFFSET(Origine,MATCH(Registro_Ordini[[#This Row],[Titolo]],Descrizioni,0),MATCH("Price",Intestazioni,0)-1,1,1)),"")</f>
        <v>330.2</v>
      </c>
      <c r="O958" s="18">
        <f ca="1">IF(OR(Registro_Ordini[[#This Row],[Price]]=0,Registro_Ordini[[#This Row],[Price]]=""),"",IF(Registro_Ordini[[#This Row],[Tipo]]="Sell",Registro_Ordini[[#This Row],[Prezzo]]/Registro_Ordini[[#This Row],[Price]]-1,Registro_Ordini[[#This Row],[Price]]/Registro_Ordini[[#This Row],[Prezzo]]-1))</f>
        <v>0.69908407944838924</v>
      </c>
      <c r="P958" s="15">
        <v>2.034270428568502E-2</v>
      </c>
      <c r="Q958" s="3"/>
      <c r="R958" s="3">
        <v>0.20138710211585104</v>
      </c>
      <c r="S958" s="3">
        <v>0.42334370602942606</v>
      </c>
      <c r="T958" s="3">
        <v>0</v>
      </c>
      <c r="U958" s="3">
        <v>0.10051712561331407</v>
      </c>
      <c r="V958" s="3"/>
      <c r="W958" s="4"/>
    </row>
    <row r="959" spans="1:23" s="1" customFormat="1" ht="24.95" customHeight="1" x14ac:dyDescent="0.2">
      <c r="A959" s="8">
        <v>45560</v>
      </c>
      <c r="B959" s="7">
        <v>0.69166666666666665</v>
      </c>
      <c r="C959" s="9" t="s">
        <v>78</v>
      </c>
      <c r="D959" s="1" t="s">
        <v>388</v>
      </c>
      <c r="E959" s="1" t="s">
        <v>403</v>
      </c>
      <c r="F959" s="1" t="s">
        <v>405</v>
      </c>
      <c r="G959" s="1" t="s">
        <v>371</v>
      </c>
      <c r="H959" s="2">
        <v>60</v>
      </c>
      <c r="I959" s="17">
        <v>194.34</v>
      </c>
      <c r="J959" s="1" t="s">
        <v>381</v>
      </c>
      <c r="K959" s="6">
        <f>Registro_Ordini[[#This Row],[Numero]]*Registro_Ordini[[#This Row],[Prezzo]]</f>
        <v>11660.4</v>
      </c>
      <c r="L959" s="10">
        <v>0.90075356641892756</v>
      </c>
      <c r="M959" s="6">
        <f>Registro_Ordini[[#This Row],[Importo]]*Registro_Ordini[[#This Row],[Cambio]]</f>
        <v>10503.146885871263</v>
      </c>
      <c r="N959" s="1">
        <f ca="1">IFERROR(_xlfn.NUMBERVALUE(OFFSET(Origine,MATCH(Registro_Ordini[[#This Row],[Titolo]],Descrizioni,0),MATCH("Price",Intestazioni,0)-1,1,1)),"")</f>
        <v>330.2</v>
      </c>
      <c r="O959" s="18">
        <f ca="1">IF(OR(Registro_Ordini[[#This Row],[Price]]=0,Registro_Ordini[[#This Row],[Price]]=""),"",IF(Registro_Ordini[[#This Row],[Tipo]]="Sell",Registro_Ordini[[#This Row],[Prezzo]]/Registro_Ordini[[#This Row],[Price]]-1,Registro_Ordini[[#This Row],[Price]]/Registro_Ordini[[#This Row],[Prezzo]]-1))</f>
        <v>0.69908407944838924</v>
      </c>
      <c r="P959" s="15">
        <v>2.5049064472536599E-2</v>
      </c>
      <c r="Q959" s="3"/>
      <c r="R959" s="3">
        <v>0.16739056393480078</v>
      </c>
      <c r="S959" s="3">
        <v>0.59046466188769264</v>
      </c>
      <c r="T959" s="3">
        <v>0</v>
      </c>
      <c r="U959" s="3">
        <v>6.9075880854424426E-2</v>
      </c>
      <c r="V959" s="3"/>
      <c r="W959" s="4"/>
    </row>
    <row r="960" spans="1:23" s="1" customFormat="1" ht="24.95" customHeight="1" x14ac:dyDescent="0.2">
      <c r="A960" s="8">
        <v>45560</v>
      </c>
      <c r="B960" s="7">
        <v>0.69166666666666665</v>
      </c>
      <c r="C960" s="9" t="s">
        <v>375</v>
      </c>
      <c r="D960" s="1" t="s">
        <v>388</v>
      </c>
      <c r="E960" s="1" t="s">
        <v>403</v>
      </c>
      <c r="F960" s="1" t="s">
        <v>405</v>
      </c>
      <c r="G960" s="1" t="s">
        <v>371</v>
      </c>
      <c r="H960" s="2">
        <v>80</v>
      </c>
      <c r="I960" s="17">
        <v>194.34</v>
      </c>
      <c r="J960" s="1" t="s">
        <v>381</v>
      </c>
      <c r="K960" s="6">
        <f>Registro_Ordini[[#This Row],[Numero]]*Registro_Ordini[[#This Row],[Prezzo]]</f>
        <v>15547.2</v>
      </c>
      <c r="L960" s="10">
        <v>0.90075356641892756</v>
      </c>
      <c r="M960" s="6">
        <f>Registro_Ordini[[#This Row],[Importo]]*Registro_Ordini[[#This Row],[Cambio]]</f>
        <v>14004.19584782835</v>
      </c>
      <c r="N960" s="1">
        <f ca="1">IFERROR(_xlfn.NUMBERVALUE(OFFSET(Origine,MATCH(Registro_Ordini[[#This Row],[Titolo]],Descrizioni,0),MATCH("Price",Intestazioni,0)-1,1,1)),"")</f>
        <v>330.2</v>
      </c>
      <c r="O960" s="18">
        <f ca="1">IF(OR(Registro_Ordini[[#This Row],[Price]]=0,Registro_Ordini[[#This Row],[Price]]=""),"",IF(Registro_Ordini[[#This Row],[Tipo]]="Sell",Registro_Ordini[[#This Row],[Prezzo]]/Registro_Ordini[[#This Row],[Price]]-1,Registro_Ordini[[#This Row],[Price]]/Registro_Ordini[[#This Row],[Prezzo]]-1))</f>
        <v>0.69908407944838924</v>
      </c>
      <c r="P960" s="15">
        <v>1.7269650493688862E-2</v>
      </c>
      <c r="Q960" s="3"/>
      <c r="R960" s="3">
        <v>0.35736919416917456</v>
      </c>
      <c r="S960" s="3">
        <v>0.37050407411263592</v>
      </c>
      <c r="T960" s="3">
        <v>0</v>
      </c>
      <c r="U960" s="3">
        <v>9.2878216332672833E-2</v>
      </c>
      <c r="V960" s="3"/>
      <c r="W960" s="4"/>
    </row>
    <row r="961" spans="1:23" s="1" customFormat="1" ht="24.95" customHeight="1" x14ac:dyDescent="0.2">
      <c r="A961" s="8">
        <v>45560</v>
      </c>
      <c r="B961" s="7">
        <v>0.69166666666666665</v>
      </c>
      <c r="C961" s="9" t="s">
        <v>378</v>
      </c>
      <c r="D961" s="1" t="s">
        <v>388</v>
      </c>
      <c r="E961" s="1" t="s">
        <v>403</v>
      </c>
      <c r="F961" s="1" t="s">
        <v>405</v>
      </c>
      <c r="G961" s="1" t="s">
        <v>371</v>
      </c>
      <c r="H961" s="2">
        <v>60</v>
      </c>
      <c r="I961" s="17">
        <v>194.34</v>
      </c>
      <c r="J961" s="1" t="s">
        <v>381</v>
      </c>
      <c r="K961" s="6">
        <f>Registro_Ordini[[#This Row],[Numero]]*Registro_Ordini[[#This Row],[Prezzo]]</f>
        <v>11660.4</v>
      </c>
      <c r="L961" s="10">
        <v>0.90075356641892756</v>
      </c>
      <c r="M961" s="6">
        <f>Registro_Ordini[[#This Row],[Importo]]*Registro_Ordini[[#This Row],[Cambio]]</f>
        <v>10503.146885871263</v>
      </c>
      <c r="N961" s="1">
        <f ca="1">IFERROR(_xlfn.NUMBERVALUE(OFFSET(Origine,MATCH(Registro_Ordini[[#This Row],[Titolo]],Descrizioni,0),MATCH("Price",Intestazioni,0)-1,1,1)),"")</f>
        <v>330.2</v>
      </c>
      <c r="O961" s="18">
        <f ca="1">IF(OR(Registro_Ordini[[#This Row],[Price]]=0,Registro_Ordini[[#This Row],[Price]]=""),"",IF(Registro_Ordini[[#This Row],[Tipo]]="Sell",Registro_Ordini[[#This Row],[Prezzo]]/Registro_Ordini[[#This Row],[Price]]-1,Registro_Ordini[[#This Row],[Price]]/Registro_Ordini[[#This Row],[Prezzo]]-1))</f>
        <v>0.69908407944838924</v>
      </c>
      <c r="P961" s="15">
        <v>2.0158124245959405E-2</v>
      </c>
      <c r="Q961" s="3"/>
      <c r="R961" s="3">
        <v>0.33507444209027087</v>
      </c>
      <c r="S961" s="3">
        <v>0.39082477683454342</v>
      </c>
      <c r="T961" s="3">
        <v>0</v>
      </c>
      <c r="U961" s="3">
        <v>8.7635140861972688E-2</v>
      </c>
      <c r="V961" s="3"/>
      <c r="W961" s="4"/>
    </row>
    <row r="962" spans="1:23" s="1" customFormat="1" ht="24.95" customHeight="1" x14ac:dyDescent="0.2">
      <c r="A962" s="8">
        <v>45560</v>
      </c>
      <c r="B962" s="7">
        <v>0.69166666666666665</v>
      </c>
      <c r="C962" s="9" t="s">
        <v>377</v>
      </c>
      <c r="D962" s="1" t="s">
        <v>388</v>
      </c>
      <c r="E962" s="1" t="s">
        <v>403</v>
      </c>
      <c r="F962" s="1" t="s">
        <v>405</v>
      </c>
      <c r="G962" s="1" t="s">
        <v>371</v>
      </c>
      <c r="H962" s="2">
        <v>185</v>
      </c>
      <c r="I962" s="17">
        <v>194.34</v>
      </c>
      <c r="J962" s="1" t="s">
        <v>381</v>
      </c>
      <c r="K962" s="6">
        <f>Registro_Ordini[[#This Row],[Numero]]*Registro_Ordini[[#This Row],[Prezzo]]</f>
        <v>35952.9</v>
      </c>
      <c r="L962" s="10">
        <v>0.90075356641892756</v>
      </c>
      <c r="M962" s="6">
        <f>Registro_Ordini[[#This Row],[Importo]]*Registro_Ordini[[#This Row],[Cambio]]</f>
        <v>32384.702898103063</v>
      </c>
      <c r="N962" s="1">
        <f ca="1">IFERROR(_xlfn.NUMBERVALUE(OFFSET(Origine,MATCH(Registro_Ordini[[#This Row],[Titolo]],Descrizioni,0),MATCH("Price",Intestazioni,0)-1,1,1)),"")</f>
        <v>330.2</v>
      </c>
      <c r="O962" s="18">
        <f ca="1">IF(OR(Registro_Ordini[[#This Row],[Price]]=0,Registro_Ordini[[#This Row],[Price]]=""),"",IF(Registro_Ordini[[#This Row],[Tipo]]="Sell",Registro_Ordini[[#This Row],[Prezzo]]/Registro_Ordini[[#This Row],[Price]]-1,Registro_Ordini[[#This Row],[Price]]/Registro_Ordini[[#This Row],[Prezzo]]-1))</f>
        <v>0.69908407944838924</v>
      </c>
      <c r="P962" s="15">
        <v>2.0228175301820035E-2</v>
      </c>
      <c r="Q962" s="3"/>
      <c r="R962" s="3">
        <v>0.32912191370244204</v>
      </c>
      <c r="S962" s="3">
        <v>0.4087864657711589</v>
      </c>
      <c r="T962" s="3">
        <v>0</v>
      </c>
      <c r="U962" s="3">
        <v>9.1939789620583579E-2</v>
      </c>
      <c r="V962" s="3"/>
      <c r="W962" s="4"/>
    </row>
    <row r="963" spans="1:23" s="1" customFormat="1" ht="24.95" customHeight="1" x14ac:dyDescent="0.2">
      <c r="A963" s="8">
        <v>45560</v>
      </c>
      <c r="B963" s="7">
        <v>0.69166666666666665</v>
      </c>
      <c r="C963" s="9" t="s">
        <v>376</v>
      </c>
      <c r="D963" s="1" t="s">
        <v>388</v>
      </c>
      <c r="E963" s="1" t="s">
        <v>403</v>
      </c>
      <c r="F963" s="1" t="s">
        <v>405</v>
      </c>
      <c r="G963" s="1" t="s">
        <v>371</v>
      </c>
      <c r="H963" s="2">
        <v>35</v>
      </c>
      <c r="I963" s="17">
        <v>194.34</v>
      </c>
      <c r="J963" s="1" t="s">
        <v>381</v>
      </c>
      <c r="K963" s="6">
        <f>Registro_Ordini[[#This Row],[Numero]]*Registro_Ordini[[#This Row],[Prezzo]]</f>
        <v>6801.9000000000005</v>
      </c>
      <c r="L963" s="10">
        <v>0.90075356641892756</v>
      </c>
      <c r="M963" s="6">
        <f>Registro_Ordini[[#This Row],[Importo]]*Registro_Ordini[[#This Row],[Cambio]]</f>
        <v>6126.8356834249043</v>
      </c>
      <c r="N963" s="1">
        <f ca="1">IFERROR(_xlfn.NUMBERVALUE(OFFSET(Origine,MATCH(Registro_Ordini[[#This Row],[Titolo]],Descrizioni,0),MATCH("Price",Intestazioni,0)-1,1,1)),"")</f>
        <v>330.2</v>
      </c>
      <c r="O963" s="18">
        <f ca="1">IF(OR(Registro_Ordini[[#This Row],[Price]]=0,Registro_Ordini[[#This Row],[Price]]=""),"",IF(Registro_Ordini[[#This Row],[Tipo]]="Sell",Registro_Ordini[[#This Row],[Prezzo]]/Registro_Ordini[[#This Row],[Price]]-1,Registro_Ordini[[#This Row],[Price]]/Registro_Ordini[[#This Row],[Prezzo]]-1))</f>
        <v>0.69908407944838924</v>
      </c>
      <c r="P963" s="15">
        <v>2.146198430327809E-2</v>
      </c>
      <c r="Q963" s="3"/>
      <c r="R963" s="3">
        <v>0.34825205317915264</v>
      </c>
      <c r="S963" s="3">
        <v>0.42431495874141578</v>
      </c>
      <c r="T963" s="3">
        <v>0</v>
      </c>
      <c r="U963" s="3">
        <v>0.11005802803691608</v>
      </c>
      <c r="V963" s="3"/>
      <c r="W963" s="4"/>
    </row>
    <row r="964" spans="1:23" s="1" customFormat="1" ht="24.95" customHeight="1" x14ac:dyDescent="0.2">
      <c r="A964" s="8">
        <v>45560</v>
      </c>
      <c r="B964" s="7">
        <v>0.69166666666666665</v>
      </c>
      <c r="C964" s="9" t="s">
        <v>367</v>
      </c>
      <c r="D964" s="1" t="s">
        <v>388</v>
      </c>
      <c r="E964" s="1" t="s">
        <v>403</v>
      </c>
      <c r="F964" s="1" t="s">
        <v>405</v>
      </c>
      <c r="G964" s="1" t="s">
        <v>371</v>
      </c>
      <c r="H964" s="2">
        <v>400</v>
      </c>
      <c r="I964" s="17">
        <v>194.4</v>
      </c>
      <c r="J964" s="1" t="s">
        <v>381</v>
      </c>
      <c r="K964" s="6">
        <f>Registro_Ordini[[#This Row],[Numero]]*Registro_Ordini[[#This Row],[Prezzo]]</f>
        <v>77760</v>
      </c>
      <c r="L964" s="10">
        <v>0.90075356641892756</v>
      </c>
      <c r="M964" s="6">
        <f>Registro_Ordini[[#This Row],[Importo]]*Registro_Ordini[[#This Row],[Cambio]]</f>
        <v>70042.597324735805</v>
      </c>
      <c r="N964" s="1">
        <f ca="1">IFERROR(_xlfn.NUMBERVALUE(OFFSET(Origine,MATCH(Registro_Ordini[[#This Row],[Titolo]],Descrizioni,0),MATCH("Price",Intestazioni,0)-1,1,1)),"")</f>
        <v>330.2</v>
      </c>
      <c r="O964" s="18">
        <f ca="1">IF(OR(Registro_Ordini[[#This Row],[Price]]=0,Registro_Ordini[[#This Row],[Price]]=""),"",IF(Registro_Ordini[[#This Row],[Tipo]]="Sell",Registro_Ordini[[#This Row],[Prezzo]]/Registro_Ordini[[#This Row],[Price]]-1,Registro_Ordini[[#This Row],[Price]]/Registro_Ordini[[#This Row],[Prezzo]]-1))</f>
        <v>0.69855967078189285</v>
      </c>
      <c r="P964" s="15">
        <v>1.9975909778303835E-2</v>
      </c>
      <c r="Q964" s="3"/>
      <c r="R964" s="3">
        <v>0.43410731191217428</v>
      </c>
      <c r="S964" s="3">
        <v>0.3435168157384918</v>
      </c>
      <c r="T964" s="3">
        <v>0</v>
      </c>
      <c r="U964" s="3">
        <v>4.5719849776871699E-2</v>
      </c>
      <c r="V964" s="3"/>
      <c r="W964" s="4"/>
    </row>
    <row r="965" spans="1:23" s="1" customFormat="1" ht="24.95" customHeight="1" x14ac:dyDescent="0.2">
      <c r="A965" s="8">
        <v>45560</v>
      </c>
      <c r="B965" s="7">
        <v>0.68125000000000002</v>
      </c>
      <c r="C965" s="9" t="s">
        <v>78</v>
      </c>
      <c r="D965" s="1" t="s">
        <v>388</v>
      </c>
      <c r="E965" s="1" t="s">
        <v>420</v>
      </c>
      <c r="F965" s="1" t="s">
        <v>422</v>
      </c>
      <c r="G965" s="1" t="s">
        <v>371</v>
      </c>
      <c r="H965" s="2">
        <v>135</v>
      </c>
      <c r="I965" s="17">
        <v>68.22</v>
      </c>
      <c r="J965" s="1" t="s">
        <v>366</v>
      </c>
      <c r="K965" s="6">
        <f>Registro_Ordini[[#This Row],[Numero]]*Registro_Ordini[[#This Row],[Prezzo]]</f>
        <v>9209.7000000000007</v>
      </c>
      <c r="L965" s="10">
        <v>0.84869993354712725</v>
      </c>
      <c r="M965" s="6">
        <f>Registro_Ordini[[#This Row],[Importo]]*Registro_Ordini[[#This Row],[Cambio]]</f>
        <v>7816.2717779889781</v>
      </c>
      <c r="N965" s="1">
        <f ca="1">IFERROR(_xlfn.NUMBERVALUE(OFFSET(Origine,MATCH(Registro_Ordini[[#This Row],[Titolo]],Descrizioni,0),MATCH("Price",Intestazioni,0)-1,1,1)),"")</f>
        <v>71.75</v>
      </c>
      <c r="O965" s="18">
        <f ca="1">IF(OR(Registro_Ordini[[#This Row],[Price]]=0,Registro_Ordini[[#This Row],[Price]]=""),"",IF(Registro_Ordini[[#This Row],[Tipo]]="Sell",Registro_Ordini[[#This Row],[Prezzo]]/Registro_Ordini[[#This Row],[Price]]-1,Registro_Ordini[[#This Row],[Price]]/Registro_Ordini[[#This Row],[Prezzo]]-1))</f>
        <v>5.1744356493696797E-2</v>
      </c>
      <c r="P965" s="15">
        <v>1.9090120618389151E-2</v>
      </c>
      <c r="Q965" s="3"/>
      <c r="R965" s="3">
        <v>0.16713854811132695</v>
      </c>
      <c r="S965" s="3">
        <v>0.56474151413869866</v>
      </c>
      <c r="T965" s="3">
        <v>0</v>
      </c>
      <c r="U965" s="3">
        <v>6.8983757923194153E-2</v>
      </c>
      <c r="V965" s="3"/>
      <c r="W965" s="4"/>
    </row>
    <row r="966" spans="1:23" s="1" customFormat="1" ht="24.95" customHeight="1" x14ac:dyDescent="0.2">
      <c r="A966" s="8">
        <v>45560</v>
      </c>
      <c r="B966" s="7">
        <v>0.68055555555555558</v>
      </c>
      <c r="C966" s="9" t="s">
        <v>375</v>
      </c>
      <c r="D966" s="1" t="s">
        <v>388</v>
      </c>
      <c r="E966" s="1" t="s">
        <v>420</v>
      </c>
      <c r="F966" s="1" t="s">
        <v>422</v>
      </c>
      <c r="G966" s="1" t="s">
        <v>371</v>
      </c>
      <c r="H966" s="2">
        <v>400</v>
      </c>
      <c r="I966" s="17">
        <v>68.22</v>
      </c>
      <c r="J966" s="1" t="s">
        <v>366</v>
      </c>
      <c r="K966" s="6">
        <f>Registro_Ordini[[#This Row],[Numero]]*Registro_Ordini[[#This Row],[Prezzo]]</f>
        <v>27288</v>
      </c>
      <c r="L966" s="10">
        <v>0.84869993354712725</v>
      </c>
      <c r="M966" s="6">
        <f>Registro_Ordini[[#This Row],[Importo]]*Registro_Ordini[[#This Row],[Cambio]]</f>
        <v>23159.32378663401</v>
      </c>
      <c r="N966" s="1">
        <f ca="1">IFERROR(_xlfn.NUMBERVALUE(OFFSET(Origine,MATCH(Registro_Ordini[[#This Row],[Titolo]],Descrizioni,0),MATCH("Price",Intestazioni,0)-1,1,1)),"")</f>
        <v>71.75</v>
      </c>
      <c r="O966" s="18">
        <f ca="1">IF(OR(Registro_Ordini[[#This Row],[Price]]=0,Registro_Ordini[[#This Row],[Price]]=""),"",IF(Registro_Ordini[[#This Row],[Tipo]]="Sell",Registro_Ordini[[#This Row],[Prezzo]]/Registro_Ordini[[#This Row],[Price]]-1,Registro_Ordini[[#This Row],[Price]]/Registro_Ordini[[#This Row],[Prezzo]]-1))</f>
        <v>5.1744356493696797E-2</v>
      </c>
      <c r="P966" s="15">
        <v>2.9264966457120765E-2</v>
      </c>
      <c r="Q966" s="3"/>
      <c r="R966" s="3">
        <v>0.35699265546192638</v>
      </c>
      <c r="S966" s="3">
        <v>0.3529694193753028</v>
      </c>
      <c r="T966" s="3">
        <v>0</v>
      </c>
      <c r="U966" s="3">
        <v>9.2786974637823191E-2</v>
      </c>
      <c r="V966" s="3"/>
      <c r="W966" s="4"/>
    </row>
    <row r="967" spans="1:23" s="1" customFormat="1" ht="24.95" customHeight="1" x14ac:dyDescent="0.2">
      <c r="A967" s="8">
        <v>45560</v>
      </c>
      <c r="B967" s="7">
        <v>0.68055555555555558</v>
      </c>
      <c r="C967" s="9" t="s">
        <v>378</v>
      </c>
      <c r="D967" s="1" t="s">
        <v>388</v>
      </c>
      <c r="E967" s="1" t="s">
        <v>420</v>
      </c>
      <c r="F967" s="1" t="s">
        <v>422</v>
      </c>
      <c r="G967" s="1" t="s">
        <v>371</v>
      </c>
      <c r="H967" s="2">
        <v>140</v>
      </c>
      <c r="I967" s="17">
        <v>68.22</v>
      </c>
      <c r="J967" s="1" t="s">
        <v>366</v>
      </c>
      <c r="K967" s="6">
        <f>Registro_Ordini[[#This Row],[Numero]]*Registro_Ordini[[#This Row],[Prezzo]]</f>
        <v>9550.7999999999993</v>
      </c>
      <c r="L967" s="10">
        <v>0.84869993354712725</v>
      </c>
      <c r="M967" s="6">
        <f>Registro_Ordini[[#This Row],[Importo]]*Registro_Ordini[[#This Row],[Cambio]]</f>
        <v>8105.7633253219019</v>
      </c>
      <c r="N967" s="1">
        <f ca="1">IFERROR(_xlfn.NUMBERVALUE(OFFSET(Origine,MATCH(Registro_Ordini[[#This Row],[Titolo]],Descrizioni,0),MATCH("Price",Intestazioni,0)-1,1,1)),"")</f>
        <v>71.75</v>
      </c>
      <c r="O967" s="18">
        <f ca="1">IF(OR(Registro_Ordini[[#This Row],[Price]]=0,Registro_Ordini[[#This Row],[Price]]=""),"",IF(Registro_Ordini[[#This Row],[Tipo]]="Sell",Registro_Ordini[[#This Row],[Prezzo]]/Registro_Ordini[[#This Row],[Price]]-1,Registro_Ordini[[#This Row],[Price]]/Registro_Ordini[[#This Row],[Prezzo]]-1))</f>
        <v>5.1744356493696797E-2</v>
      </c>
      <c r="P967" s="15">
        <v>1.5939418898402394E-2</v>
      </c>
      <c r="Q967" s="3"/>
      <c r="R967" s="3">
        <v>0.33467390116370949</v>
      </c>
      <c r="S967" s="3">
        <v>0.37033698227844308</v>
      </c>
      <c r="T967" s="3">
        <v>0</v>
      </c>
      <c r="U967" s="3">
        <v>8.7525704207394903E-2</v>
      </c>
      <c r="V967" s="3"/>
      <c r="W967" s="4"/>
    </row>
    <row r="968" spans="1:23" s="1" customFormat="1" ht="24.95" customHeight="1" x14ac:dyDescent="0.2">
      <c r="A968" s="8">
        <v>45560</v>
      </c>
      <c r="B968" s="7">
        <v>0.68055555555555558</v>
      </c>
      <c r="C968" s="9" t="s">
        <v>376</v>
      </c>
      <c r="D968" s="1" t="s">
        <v>388</v>
      </c>
      <c r="E968" s="1" t="s">
        <v>420</v>
      </c>
      <c r="F968" s="1" t="s">
        <v>422</v>
      </c>
      <c r="G968" s="1" t="s">
        <v>371</v>
      </c>
      <c r="H968" s="2">
        <v>145</v>
      </c>
      <c r="I968" s="17">
        <v>68.22</v>
      </c>
      <c r="J968" s="1" t="s">
        <v>366</v>
      </c>
      <c r="K968" s="6">
        <f>Registro_Ordini[[#This Row],[Numero]]*Registro_Ordini[[#This Row],[Prezzo]]</f>
        <v>9891.9</v>
      </c>
      <c r="L968" s="10">
        <v>0.84869993354712725</v>
      </c>
      <c r="M968" s="6">
        <f>Registro_Ordini[[#This Row],[Importo]]*Registro_Ordini[[#This Row],[Cambio]]</f>
        <v>8395.2548726548284</v>
      </c>
      <c r="N968" s="1">
        <f ca="1">IFERROR(_xlfn.NUMBERVALUE(OFFSET(Origine,MATCH(Registro_Ordini[[#This Row],[Titolo]],Descrizioni,0),MATCH("Price",Intestazioni,0)-1,1,1)),"")</f>
        <v>71.75</v>
      </c>
      <c r="O968" s="18">
        <f ca="1">IF(OR(Registro_Ordini[[#This Row],[Price]]=0,Registro_Ordini[[#This Row],[Price]]=""),"",IF(Registro_Ordini[[#This Row],[Tipo]]="Sell",Registro_Ordini[[#This Row],[Prezzo]]/Registro_Ordini[[#This Row],[Price]]-1,Registro_Ordini[[#This Row],[Price]]/Registro_Ordini[[#This Row],[Prezzo]]-1))</f>
        <v>5.1744356493696797E-2</v>
      </c>
      <c r="P968" s="15">
        <v>3.0128440592133283E-2</v>
      </c>
      <c r="Q968" s="3"/>
      <c r="R968" s="3">
        <v>0.34781491298208678</v>
      </c>
      <c r="S968" s="3">
        <v>0.40251827787185168</v>
      </c>
      <c r="T968" s="3">
        <v>0</v>
      </c>
      <c r="U968" s="3">
        <v>0.10986413562253601</v>
      </c>
      <c r="V968" s="3"/>
      <c r="W968" s="4"/>
    </row>
    <row r="969" spans="1:23" s="1" customFormat="1" ht="24.95" customHeight="1" x14ac:dyDescent="0.2">
      <c r="A969" s="8">
        <v>45560</v>
      </c>
      <c r="B969" s="7">
        <v>0.68055555555555558</v>
      </c>
      <c r="C969" s="9" t="s">
        <v>367</v>
      </c>
      <c r="D969" s="1" t="s">
        <v>388</v>
      </c>
      <c r="E969" s="1" t="s">
        <v>420</v>
      </c>
      <c r="F969" s="1" t="s">
        <v>422</v>
      </c>
      <c r="G969" s="1" t="s">
        <v>371</v>
      </c>
      <c r="H969" s="2">
        <v>1080</v>
      </c>
      <c r="I969" s="17">
        <v>68.22</v>
      </c>
      <c r="J969" s="1" t="s">
        <v>366</v>
      </c>
      <c r="K969" s="6">
        <f>Registro_Ordini[[#This Row],[Numero]]*Registro_Ordini[[#This Row],[Prezzo]]</f>
        <v>73677.600000000006</v>
      </c>
      <c r="L969" s="10">
        <v>0.84869993354712725</v>
      </c>
      <c r="M969" s="6">
        <f>Registro_Ordini[[#This Row],[Importo]]*Registro_Ordini[[#This Row],[Cambio]]</f>
        <v>62530.174223911825</v>
      </c>
      <c r="N969" s="1">
        <f ca="1">IFERROR(_xlfn.NUMBERVALUE(OFFSET(Origine,MATCH(Registro_Ordini[[#This Row],[Titolo]],Descrizioni,0),MATCH("Price",Intestazioni,0)-1,1,1)),"")</f>
        <v>71.75</v>
      </c>
      <c r="O969" s="18">
        <f ca="1">IF(OR(Registro_Ordini[[#This Row],[Price]]=0,Registro_Ordini[[#This Row],[Price]]=""),"",IF(Registro_Ordini[[#This Row],[Tipo]]="Sell",Registro_Ordini[[#This Row],[Prezzo]]/Registro_Ordini[[#This Row],[Price]]-1,Registro_Ordini[[#This Row],[Price]]/Registro_Ordini[[#This Row],[Prezzo]]-1))</f>
        <v>5.1744356493696797E-2</v>
      </c>
      <c r="P969" s="15">
        <v>1.8278016453539731E-2</v>
      </c>
      <c r="Q969" s="3"/>
      <c r="R969" s="3">
        <v>0.43361422724781851</v>
      </c>
      <c r="S969" s="3">
        <v>0.32323916549079851</v>
      </c>
      <c r="T969" s="3">
        <v>0</v>
      </c>
      <c r="U969" s="3">
        <v>4.5667918477483263E-2</v>
      </c>
      <c r="V969" s="3"/>
      <c r="W969" s="4"/>
    </row>
    <row r="970" spans="1:23" s="1" customFormat="1" ht="24.95" customHeight="1" x14ac:dyDescent="0.2">
      <c r="A970" s="8">
        <v>45560</v>
      </c>
      <c r="B970" s="7">
        <v>0.67986111111111114</v>
      </c>
      <c r="C970" s="9" t="s">
        <v>377</v>
      </c>
      <c r="D970" s="1" t="s">
        <v>388</v>
      </c>
      <c r="E970" s="1" t="s">
        <v>420</v>
      </c>
      <c r="F970" s="1" t="s">
        <v>421</v>
      </c>
      <c r="G970" s="1" t="s">
        <v>371</v>
      </c>
      <c r="H970" s="2">
        <v>100</v>
      </c>
      <c r="I970" s="17">
        <v>80.540000000000006</v>
      </c>
      <c r="J970" s="1" t="s">
        <v>366</v>
      </c>
      <c r="K970" s="6">
        <f>Registro_Ordini[[#This Row],[Numero]]*Registro_Ordini[[#This Row],[Prezzo]]</f>
        <v>8054.0000000000009</v>
      </c>
      <c r="L970" s="10">
        <v>0.84859992492774994</v>
      </c>
      <c r="M970" s="6">
        <f>Registro_Ordini[[#This Row],[Importo]]*Registro_Ordini[[#This Row],[Cambio]]</f>
        <v>6834.6237953680984</v>
      </c>
      <c r="N970" s="1">
        <f ca="1">IFERROR(_xlfn.NUMBERVALUE(OFFSET(Origine,MATCH(Registro_Ordini[[#This Row],[Titolo]],Descrizioni,0),MATCH("Price",Intestazioni,0)-1,1,1)),"")</f>
        <v>85.94</v>
      </c>
      <c r="O970" s="18">
        <f ca="1">IF(OR(Registro_Ordini[[#This Row],[Price]]=0,Registro_Ordini[[#This Row],[Price]]=""),"",IF(Registro_Ordini[[#This Row],[Tipo]]="Sell",Registro_Ordini[[#This Row],[Prezzo]]/Registro_Ordini[[#This Row],[Price]]-1,Registro_Ordini[[#This Row],[Price]]/Registro_Ordini[[#This Row],[Prezzo]]-1))</f>
        <v>6.7047429848522411E-2</v>
      </c>
      <c r="P970" s="15">
        <v>4.3735292801076707E-3</v>
      </c>
      <c r="Q970" s="3"/>
      <c r="R970" s="3">
        <v>0.32874240762632323</v>
      </c>
      <c r="S970" s="3">
        <v>0.38819656801566677</v>
      </c>
      <c r="T970" s="3">
        <v>0</v>
      </c>
      <c r="U970" s="3">
        <v>9.1832704926075828E-2</v>
      </c>
      <c r="V970" s="3"/>
      <c r="W970" s="4"/>
    </row>
    <row r="971" spans="1:23" s="1" customFormat="1" ht="24.95" customHeight="1" x14ac:dyDescent="0.2">
      <c r="A971" s="8">
        <v>45558</v>
      </c>
      <c r="B971" s="7">
        <v>0.67013888888888884</v>
      </c>
      <c r="C971" s="9" t="s">
        <v>78</v>
      </c>
      <c r="D971" s="1" t="s">
        <v>388</v>
      </c>
      <c r="E971" s="1" t="s">
        <v>397</v>
      </c>
      <c r="F971" s="1" t="s">
        <v>476</v>
      </c>
      <c r="G971" s="1" t="s">
        <v>371</v>
      </c>
      <c r="H971" s="2">
        <v>6</v>
      </c>
      <c r="I971" s="17">
        <v>1566.68</v>
      </c>
      <c r="J971" s="1" t="s">
        <v>369</v>
      </c>
      <c r="K971" s="6">
        <f>Registro_Ordini[[#This Row],[Numero]]*Registro_Ordini[[#This Row],[Prezzo]]</f>
        <v>9400.08</v>
      </c>
      <c r="L971" s="10">
        <v>1</v>
      </c>
      <c r="M971" s="6">
        <f>Registro_Ordini[[#This Row],[Importo]]*Registro_Ordini[[#This Row],[Cambio]]</f>
        <v>9400.08</v>
      </c>
      <c r="N971" s="1">
        <f ca="1">IFERROR(_xlfn.NUMBERVALUE(OFFSET(Origine,MATCH(Registro_Ordini[[#This Row],[Titolo]],Descrizioni,0),MATCH("Price",Intestazioni,0)-1,1,1)),"")</f>
        <v>1392</v>
      </c>
      <c r="O971" s="18">
        <f ca="1">IF(OR(Registro_Ordini[[#This Row],[Price]]=0,Registro_Ordini[[#This Row],[Price]]=""),"",IF(Registro_Ordini[[#This Row],[Tipo]]="Sell",Registro_Ordini[[#This Row],[Prezzo]]/Registro_Ordini[[#This Row],[Price]]-1,Registro_Ordini[[#This Row],[Price]]/Registro_Ordini[[#This Row],[Prezzo]]-1))</f>
        <v>-0.11149692343043893</v>
      </c>
      <c r="P971" s="15">
        <v>2.2539280522866061E-2</v>
      </c>
      <c r="Q971" s="3"/>
      <c r="R971" s="3">
        <v>0.16717564737670826</v>
      </c>
      <c r="S971" s="3">
        <v>0.54564448344818417</v>
      </c>
      <c r="T971" s="3">
        <v>0</v>
      </c>
      <c r="U971" s="3">
        <v>6.8869210714510562E-2</v>
      </c>
      <c r="V971" s="3"/>
      <c r="W971" s="4"/>
    </row>
    <row r="972" spans="1:23" s="1" customFormat="1" ht="24.95" customHeight="1" x14ac:dyDescent="0.2">
      <c r="A972" s="8">
        <v>45558</v>
      </c>
      <c r="B972" s="7">
        <v>0.67013888888888884</v>
      </c>
      <c r="C972" s="9" t="s">
        <v>375</v>
      </c>
      <c r="D972" s="1" t="s">
        <v>388</v>
      </c>
      <c r="E972" s="1" t="s">
        <v>397</v>
      </c>
      <c r="F972" s="1" t="s">
        <v>476</v>
      </c>
      <c r="G972" s="1" t="s">
        <v>371</v>
      </c>
      <c r="H972" s="2">
        <v>10</v>
      </c>
      <c r="I972" s="17">
        <v>1566.68</v>
      </c>
      <c r="J972" s="1" t="s">
        <v>369</v>
      </c>
      <c r="K972" s="6">
        <f>Registro_Ordini[[#This Row],[Numero]]*Registro_Ordini[[#This Row],[Prezzo]]</f>
        <v>15666.800000000001</v>
      </c>
      <c r="L972" s="10">
        <v>1</v>
      </c>
      <c r="M972" s="6">
        <f>Registro_Ordini[[#This Row],[Importo]]*Registro_Ordini[[#This Row],[Cambio]]</f>
        <v>15666.800000000001</v>
      </c>
      <c r="N972" s="1">
        <f ca="1">IFERROR(_xlfn.NUMBERVALUE(OFFSET(Origine,MATCH(Registro_Ordini[[#This Row],[Titolo]],Descrizioni,0),MATCH("Price",Intestazioni,0)-1,1,1)),"")</f>
        <v>1392</v>
      </c>
      <c r="O972" s="18">
        <f ca="1">IF(OR(Registro_Ordini[[#This Row],[Price]]=0,Registro_Ordini[[#This Row],[Price]]=""),"",IF(Registro_Ordini[[#This Row],[Tipo]]="Sell",Registro_Ordini[[#This Row],[Prezzo]]/Registro_Ordini[[#This Row],[Price]]-1,Registro_Ordini[[#This Row],[Price]]/Registro_Ordini[[#This Row],[Prezzo]]-1))</f>
        <v>-0.11149692343043893</v>
      </c>
      <c r="P972" s="15"/>
      <c r="Q972" s="3"/>
      <c r="R972" s="3"/>
      <c r="S972" s="3"/>
      <c r="T972" s="3"/>
      <c r="U972" s="3"/>
      <c r="V972" s="3"/>
      <c r="W972" s="4"/>
    </row>
    <row r="973" spans="1:23" s="1" customFormat="1" ht="24.95" customHeight="1" x14ac:dyDescent="0.2">
      <c r="A973" s="8">
        <v>45558</v>
      </c>
      <c r="B973" s="7">
        <v>0.67013888888888884</v>
      </c>
      <c r="C973" s="9" t="s">
        <v>378</v>
      </c>
      <c r="D973" s="1" t="s">
        <v>388</v>
      </c>
      <c r="E973" s="1" t="s">
        <v>397</v>
      </c>
      <c r="F973" s="1" t="s">
        <v>476</v>
      </c>
      <c r="G973" s="1" t="s">
        <v>371</v>
      </c>
      <c r="H973" s="2">
        <v>7</v>
      </c>
      <c r="I973" s="17">
        <v>1566.68</v>
      </c>
      <c r="J973" s="1" t="s">
        <v>369</v>
      </c>
      <c r="K973" s="6">
        <f>Registro_Ordini[[#This Row],[Numero]]*Registro_Ordini[[#This Row],[Prezzo]]</f>
        <v>10966.76</v>
      </c>
      <c r="L973" s="10">
        <v>1</v>
      </c>
      <c r="M973" s="6">
        <f>Registro_Ordini[[#This Row],[Importo]]*Registro_Ordini[[#This Row],[Cambio]]</f>
        <v>10966.76</v>
      </c>
      <c r="N973" s="1">
        <f ca="1">IFERROR(_xlfn.NUMBERVALUE(OFFSET(Origine,MATCH(Registro_Ordini[[#This Row],[Titolo]],Descrizioni,0),MATCH("Price",Intestazioni,0)-1,1,1)),"")</f>
        <v>1392</v>
      </c>
      <c r="O973" s="18">
        <f ca="1">IF(OR(Registro_Ordini[[#This Row],[Price]]=0,Registro_Ordini[[#This Row],[Price]]=""),"",IF(Registro_Ordini[[#This Row],[Tipo]]="Sell",Registro_Ordini[[#This Row],[Prezzo]]/Registro_Ordini[[#This Row],[Price]]-1,Registro_Ordini[[#This Row],[Price]]/Registro_Ordini[[#This Row],[Prezzo]]-1))</f>
        <v>-0.11149692343043893</v>
      </c>
      <c r="P973" s="15"/>
      <c r="Q973" s="3"/>
      <c r="R973" s="3"/>
      <c r="S973" s="3"/>
      <c r="T973" s="3"/>
      <c r="U973" s="3"/>
      <c r="V973" s="3"/>
      <c r="W973" s="4"/>
    </row>
    <row r="974" spans="1:23" s="1" customFormat="1" ht="24.95" customHeight="1" x14ac:dyDescent="0.2">
      <c r="A974" s="8">
        <v>45558</v>
      </c>
      <c r="B974" s="7">
        <v>0.67013888888888884</v>
      </c>
      <c r="C974" s="9" t="s">
        <v>377</v>
      </c>
      <c r="D974" s="1" t="s">
        <v>388</v>
      </c>
      <c r="E974" s="1" t="s">
        <v>397</v>
      </c>
      <c r="F974" s="1" t="s">
        <v>476</v>
      </c>
      <c r="G974" s="1" t="s">
        <v>371</v>
      </c>
      <c r="H974" s="2">
        <v>20</v>
      </c>
      <c r="I974" s="17">
        <v>1566.68</v>
      </c>
      <c r="J974" s="1" t="s">
        <v>369</v>
      </c>
      <c r="K974" s="6">
        <f>Registro_Ordini[[#This Row],[Numero]]*Registro_Ordini[[#This Row],[Prezzo]]</f>
        <v>31333.600000000002</v>
      </c>
      <c r="L974" s="10">
        <v>1</v>
      </c>
      <c r="M974" s="6">
        <f>Registro_Ordini[[#This Row],[Importo]]*Registro_Ordini[[#This Row],[Cambio]]</f>
        <v>31333.600000000002</v>
      </c>
      <c r="N974" s="1">
        <f ca="1">IFERROR(_xlfn.NUMBERVALUE(OFFSET(Origine,MATCH(Registro_Ordini[[#This Row],[Titolo]],Descrizioni,0),MATCH("Price",Intestazioni,0)-1,1,1)),"")</f>
        <v>1392</v>
      </c>
      <c r="O974" s="18">
        <f ca="1">IF(OR(Registro_Ordini[[#This Row],[Price]]=0,Registro_Ordini[[#This Row],[Price]]=""),"",IF(Registro_Ordini[[#This Row],[Tipo]]="Sell",Registro_Ordini[[#This Row],[Prezzo]]/Registro_Ordini[[#This Row],[Price]]-1,Registro_Ordini[[#This Row],[Price]]/Registro_Ordini[[#This Row],[Prezzo]]-1))</f>
        <v>-0.11149692343043893</v>
      </c>
      <c r="P974" s="15"/>
      <c r="Q974" s="3"/>
      <c r="R974" s="3"/>
      <c r="S974" s="3"/>
      <c r="T974" s="3"/>
      <c r="U974" s="3"/>
      <c r="V974" s="3"/>
      <c r="W974" s="4"/>
    </row>
    <row r="975" spans="1:23" s="1" customFormat="1" ht="24.95" customHeight="1" x14ac:dyDescent="0.2">
      <c r="A975" s="8">
        <v>45558</v>
      </c>
      <c r="B975" s="7">
        <v>0.67013888888888884</v>
      </c>
      <c r="C975" s="9" t="s">
        <v>376</v>
      </c>
      <c r="D975" s="1" t="s">
        <v>388</v>
      </c>
      <c r="E975" s="1" t="s">
        <v>397</v>
      </c>
      <c r="F975" s="1" t="s">
        <v>476</v>
      </c>
      <c r="G975" s="1" t="s">
        <v>371</v>
      </c>
      <c r="H975" s="2">
        <v>4</v>
      </c>
      <c r="I975" s="17">
        <v>1566.68</v>
      </c>
      <c r="J975" s="1" t="s">
        <v>369</v>
      </c>
      <c r="K975" s="6">
        <f>Registro_Ordini[[#This Row],[Numero]]*Registro_Ordini[[#This Row],[Prezzo]]</f>
        <v>6266.72</v>
      </c>
      <c r="L975" s="10">
        <v>1</v>
      </c>
      <c r="M975" s="6">
        <f>Registro_Ordini[[#This Row],[Importo]]*Registro_Ordini[[#This Row],[Cambio]]</f>
        <v>6266.72</v>
      </c>
      <c r="N975" s="1">
        <f ca="1">IFERROR(_xlfn.NUMBERVALUE(OFFSET(Origine,MATCH(Registro_Ordini[[#This Row],[Titolo]],Descrizioni,0),MATCH("Price",Intestazioni,0)-1,1,1)),"")</f>
        <v>1392</v>
      </c>
      <c r="O975" s="18">
        <f ca="1">IF(OR(Registro_Ordini[[#This Row],[Price]]=0,Registro_Ordini[[#This Row],[Price]]=""),"",IF(Registro_Ordini[[#This Row],[Tipo]]="Sell",Registro_Ordini[[#This Row],[Prezzo]]/Registro_Ordini[[#This Row],[Price]]-1,Registro_Ordini[[#This Row],[Price]]/Registro_Ordini[[#This Row],[Prezzo]]-1))</f>
        <v>-0.11149692343043893</v>
      </c>
      <c r="P975" s="15"/>
      <c r="Q975" s="3"/>
      <c r="R975" s="3"/>
      <c r="S975" s="3"/>
      <c r="T975" s="3"/>
      <c r="U975" s="3"/>
      <c r="V975" s="3"/>
      <c r="W975" s="4"/>
    </row>
    <row r="976" spans="1:23" s="1" customFormat="1" ht="24.95" customHeight="1" x14ac:dyDescent="0.2">
      <c r="A976" s="8">
        <v>45558</v>
      </c>
      <c r="B976" s="7">
        <v>0.67013888888888884</v>
      </c>
      <c r="C976" s="9" t="s">
        <v>367</v>
      </c>
      <c r="D976" s="1" t="s">
        <v>388</v>
      </c>
      <c r="E976" s="1" t="s">
        <v>397</v>
      </c>
      <c r="F976" s="1" t="s">
        <v>476</v>
      </c>
      <c r="G976" s="1" t="s">
        <v>371</v>
      </c>
      <c r="H976" s="2">
        <v>45</v>
      </c>
      <c r="I976" s="17">
        <v>1562</v>
      </c>
      <c r="J976" s="1" t="s">
        <v>369</v>
      </c>
      <c r="K976" s="6">
        <f>Registro_Ordini[[#This Row],[Numero]]*Registro_Ordini[[#This Row],[Prezzo]]</f>
        <v>70290</v>
      </c>
      <c r="L976" s="10">
        <v>1</v>
      </c>
      <c r="M976" s="6">
        <f>Registro_Ordini[[#This Row],[Importo]]*Registro_Ordini[[#This Row],[Cambio]]</f>
        <v>70290</v>
      </c>
      <c r="N976" s="1">
        <f ca="1">IFERROR(_xlfn.NUMBERVALUE(OFFSET(Origine,MATCH(Registro_Ordini[[#This Row],[Titolo]],Descrizioni,0),MATCH("Price",Intestazioni,0)-1,1,1)),"")</f>
        <v>1392</v>
      </c>
      <c r="O976" s="18">
        <f ca="1">IF(OR(Registro_Ordini[[#This Row],[Price]]=0,Registro_Ordini[[#This Row],[Price]]=""),"",IF(Registro_Ordini[[#This Row],[Tipo]]="Sell",Registro_Ordini[[#This Row],[Prezzo]]/Registro_Ordini[[#This Row],[Price]]-1,Registro_Ordini[[#This Row],[Price]]/Registro_Ordini[[#This Row],[Prezzo]]-1))</f>
        <v>-0.10883482714468629</v>
      </c>
      <c r="P976" s="15"/>
      <c r="Q976" s="3"/>
      <c r="R976" s="3"/>
      <c r="S976" s="3"/>
      <c r="T976" s="3"/>
      <c r="U976" s="3"/>
      <c r="V976" s="3"/>
      <c r="W976" s="4"/>
    </row>
    <row r="977" spans="1:23" s="1" customFormat="1" ht="24.95" customHeight="1" x14ac:dyDescent="0.2">
      <c r="A977" s="8">
        <v>45545</v>
      </c>
      <c r="B977" s="7">
        <v>0.71736111111111112</v>
      </c>
      <c r="C977" s="9" t="s">
        <v>367</v>
      </c>
      <c r="D977" s="1" t="s">
        <v>388</v>
      </c>
      <c r="E977" s="1" t="s">
        <v>403</v>
      </c>
      <c r="F977" s="1" t="s">
        <v>505</v>
      </c>
      <c r="G977" s="1" t="s">
        <v>365</v>
      </c>
      <c r="H977" s="2">
        <v>-370</v>
      </c>
      <c r="I977" s="17">
        <v>59.92</v>
      </c>
      <c r="J977" s="1" t="s">
        <v>381</v>
      </c>
      <c r="K977" s="6">
        <f>Registro_Ordini[[#This Row],[Numero]]*Registro_Ordini[[#This Row],[Prezzo]]</f>
        <v>-22170.400000000001</v>
      </c>
      <c r="L977" s="10">
        <v>0.87223105402022028</v>
      </c>
      <c r="M977" s="6">
        <f>Registro_Ordini[[#This Row],[Importo]]*Registro_Ordini[[#This Row],[Cambio]]</f>
        <v>-19337.711360049892</v>
      </c>
      <c r="N977" s="1" t="str">
        <f ca="1">IFERROR(_xlfn.NUMBERVALUE(OFFSET(Origine,MATCH(Registro_Ordini[[#This Row],[Titolo]],Descrizioni,0),MATCH("Price",Intestazioni,0)-1,1,1)),"")</f>
        <v/>
      </c>
      <c r="O977" s="18" t="str">
        <f ca="1">IF(OR(Registro_Ordini[[#This Row],[Price]]=0,Registro_Ordini[[#This Row],[Price]]=""),"",IF(Registro_Ordini[[#This Row],[Tipo]]="Sell",Registro_Ordini[[#This Row],[Prezzo]]/Registro_Ordini[[#This Row],[Price]]-1,Registro_Ordini[[#This Row],[Price]]/Registro_Ordini[[#This Row],[Prezzo]]-1))</f>
        <v/>
      </c>
      <c r="P977" s="15">
        <v>-5.7329094862512715E-3</v>
      </c>
      <c r="Q977" s="3">
        <v>0.24866187456265323</v>
      </c>
      <c r="R977" s="3">
        <v>0.43227242008779876</v>
      </c>
      <c r="S977" s="3">
        <v>0.2758846079356439</v>
      </c>
      <c r="T977" s="3">
        <v>0</v>
      </c>
      <c r="U977" s="3">
        <v>4.3181097413903996E-2</v>
      </c>
      <c r="V977" s="3"/>
      <c r="W977" s="4"/>
    </row>
    <row r="978" spans="1:23" s="1" customFormat="1" ht="24.95" customHeight="1" x14ac:dyDescent="0.2">
      <c r="A978" s="8">
        <v>45545</v>
      </c>
      <c r="B978" s="7">
        <v>0.50486111111111109</v>
      </c>
      <c r="C978" s="9" t="s">
        <v>106</v>
      </c>
      <c r="D978" s="1" t="s">
        <v>388</v>
      </c>
      <c r="E978" s="1" t="s">
        <v>403</v>
      </c>
      <c r="F978" s="1" t="s">
        <v>506</v>
      </c>
      <c r="G978" s="1" t="s">
        <v>371</v>
      </c>
      <c r="H978" s="2">
        <v>50</v>
      </c>
      <c r="I978" s="17">
        <v>180.66</v>
      </c>
      <c r="J978" s="1" t="s">
        <v>381</v>
      </c>
      <c r="K978" s="6">
        <f>Registro_Ordini[[#This Row],[Numero]]*Registro_Ordini[[#This Row],[Prezzo]]</f>
        <v>9033</v>
      </c>
      <c r="L978" s="10">
        <v>1</v>
      </c>
      <c r="M978" s="6">
        <f>Registro_Ordini[[#This Row],[Importo]]*Registro_Ordini[[#This Row],[Cambio]]</f>
        <v>9033</v>
      </c>
      <c r="N978" s="1">
        <f ca="1">IFERROR(_xlfn.NUMBERVALUE(OFFSET(Origine,MATCH(Registro_Ordini[[#This Row],[Titolo]],Descrizioni,0),MATCH("Price",Intestazioni,0)-1,1,1)),"")</f>
        <v>250.75</v>
      </c>
      <c r="O978" s="18">
        <f ca="1">IF(OR(Registro_Ordini[[#This Row],[Price]]=0,Registro_Ordini[[#This Row],[Price]]=""),"",IF(Registro_Ordini[[#This Row],[Tipo]]="Sell",Registro_Ordini[[#This Row],[Prezzo]]/Registro_Ordini[[#This Row],[Price]]-1,Registro_Ordini[[#This Row],[Price]]/Registro_Ordini[[#This Row],[Prezzo]]-1))</f>
        <v>0.38796634562160959</v>
      </c>
      <c r="P978" s="15">
        <v>6.863475104965755E-2</v>
      </c>
      <c r="Q978" s="3">
        <v>0.34152995140428016</v>
      </c>
      <c r="R978" s="3">
        <v>0.17062616069701239</v>
      </c>
      <c r="S978" s="3">
        <v>0.36301879977853158</v>
      </c>
      <c r="T978" s="3">
        <v>0</v>
      </c>
      <c r="U978" s="3">
        <v>0.12482508812017598</v>
      </c>
      <c r="V978" s="3"/>
      <c r="W978" s="4"/>
    </row>
    <row r="979" spans="1:23" s="1" customFormat="1" ht="24.95" customHeight="1" x14ac:dyDescent="0.2">
      <c r="A979" s="8">
        <v>45545</v>
      </c>
      <c r="B979" s="7">
        <v>0.50416666666666665</v>
      </c>
      <c r="C979" s="9" t="s">
        <v>383</v>
      </c>
      <c r="D979" s="1" t="s">
        <v>388</v>
      </c>
      <c r="E979" s="1" t="s">
        <v>403</v>
      </c>
      <c r="F979" s="1" t="s">
        <v>506</v>
      </c>
      <c r="G979" s="1" t="s">
        <v>371</v>
      </c>
      <c r="H979" s="2">
        <v>110</v>
      </c>
      <c r="I979" s="17">
        <v>180.66</v>
      </c>
      <c r="J979" s="1" t="s">
        <v>381</v>
      </c>
      <c r="K979" s="6">
        <f>Registro_Ordini[[#This Row],[Numero]]*Registro_Ordini[[#This Row],[Prezzo]]</f>
        <v>19872.599999999999</v>
      </c>
      <c r="L979" s="10">
        <v>1</v>
      </c>
      <c r="M979" s="6">
        <f>Registro_Ordini[[#This Row],[Importo]]*Registro_Ordini[[#This Row],[Cambio]]</f>
        <v>19872.599999999999</v>
      </c>
      <c r="N979" s="1">
        <f ca="1">IFERROR(_xlfn.NUMBERVALUE(OFFSET(Origine,MATCH(Registro_Ordini[[#This Row],[Titolo]],Descrizioni,0),MATCH("Price",Intestazioni,0)-1,1,1)),"")</f>
        <v>250.75</v>
      </c>
      <c r="O979" s="18">
        <f ca="1">IF(OR(Registro_Ordini[[#This Row],[Price]]=0,Registro_Ordini[[#This Row],[Price]]=""),"",IF(Registro_Ordini[[#This Row],[Tipo]]="Sell",Registro_Ordini[[#This Row],[Prezzo]]/Registro_Ordini[[#This Row],[Price]]-1,Registro_Ordini[[#This Row],[Price]]/Registro_Ordini[[#This Row],[Prezzo]]-1))</f>
        <v>0.38796634562160959</v>
      </c>
      <c r="P979" s="15">
        <v>3.2891068157261769E-2</v>
      </c>
      <c r="Q979" s="3">
        <v>0.35120264209629437</v>
      </c>
      <c r="R979" s="3">
        <v>0.19766392730303114</v>
      </c>
      <c r="S979" s="3">
        <v>0.35608238924971974</v>
      </c>
      <c r="T979" s="3">
        <v>0</v>
      </c>
      <c r="U979" s="3">
        <v>9.5051041350954754E-2</v>
      </c>
      <c r="V979" s="3"/>
      <c r="W979" s="4"/>
    </row>
    <row r="980" spans="1:23" s="1" customFormat="1" ht="24.95" customHeight="1" x14ac:dyDescent="0.2">
      <c r="A980" s="8">
        <v>45545</v>
      </c>
      <c r="B980" s="7">
        <v>0.50416666666666665</v>
      </c>
      <c r="C980" s="9" t="s">
        <v>382</v>
      </c>
      <c r="D980" s="1" t="s">
        <v>388</v>
      </c>
      <c r="E980" s="1" t="s">
        <v>403</v>
      </c>
      <c r="F980" s="1" t="s">
        <v>506</v>
      </c>
      <c r="G980" s="1" t="s">
        <v>371</v>
      </c>
      <c r="H980" s="2">
        <v>190</v>
      </c>
      <c r="I980" s="17">
        <v>180.66</v>
      </c>
      <c r="J980" s="1" t="s">
        <v>381</v>
      </c>
      <c r="K980" s="6">
        <f>Registro_Ordini[[#This Row],[Numero]]*Registro_Ordini[[#This Row],[Prezzo]]</f>
        <v>34325.4</v>
      </c>
      <c r="L980" s="10">
        <v>1</v>
      </c>
      <c r="M980" s="6">
        <f>Registro_Ordini[[#This Row],[Importo]]*Registro_Ordini[[#This Row],[Cambio]]</f>
        <v>34325.4</v>
      </c>
      <c r="N980" s="1">
        <f ca="1">IFERROR(_xlfn.NUMBERVALUE(OFFSET(Origine,MATCH(Registro_Ordini[[#This Row],[Titolo]],Descrizioni,0),MATCH("Price",Intestazioni,0)-1,1,1)),"")</f>
        <v>250.75</v>
      </c>
      <c r="O980" s="18">
        <f ca="1">IF(OR(Registro_Ordini[[#This Row],[Price]]=0,Registro_Ordini[[#This Row],[Price]]=""),"",IF(Registro_Ordini[[#This Row],[Tipo]]="Sell",Registro_Ordini[[#This Row],[Prezzo]]/Registro_Ordini[[#This Row],[Price]]-1,Registro_Ordini[[#This Row],[Price]]/Registro_Ordini[[#This Row],[Prezzo]]-1))</f>
        <v>0.38796634562160959</v>
      </c>
      <c r="P980" s="15">
        <v>3.3651387510872953E-2</v>
      </c>
      <c r="Q980" s="3">
        <v>0.29256510701679894</v>
      </c>
      <c r="R980" s="3">
        <v>0.20951737516834421</v>
      </c>
      <c r="S980" s="3">
        <v>0.40110717733089662</v>
      </c>
      <c r="T980" s="3">
        <v>0</v>
      </c>
      <c r="U980" s="3">
        <v>9.6810340483960228E-2</v>
      </c>
      <c r="V980" s="3"/>
      <c r="W980" s="4"/>
    </row>
    <row r="981" spans="1:23" s="1" customFormat="1" ht="24.95" customHeight="1" x14ac:dyDescent="0.2">
      <c r="A981" s="8">
        <v>45545</v>
      </c>
      <c r="B981" s="7">
        <v>0.50416666666666665</v>
      </c>
      <c r="C981" s="9" t="s">
        <v>379</v>
      </c>
      <c r="D981" s="1" t="s">
        <v>388</v>
      </c>
      <c r="E981" s="1" t="s">
        <v>403</v>
      </c>
      <c r="F981" s="1" t="s">
        <v>506</v>
      </c>
      <c r="G981" s="1" t="s">
        <v>371</v>
      </c>
      <c r="H981" s="2">
        <v>100</v>
      </c>
      <c r="I981" s="17">
        <v>180.66</v>
      </c>
      <c r="J981" s="1" t="s">
        <v>381</v>
      </c>
      <c r="K981" s="6">
        <f>Registro_Ordini[[#This Row],[Numero]]*Registro_Ordini[[#This Row],[Prezzo]]</f>
        <v>18066</v>
      </c>
      <c r="L981" s="10">
        <v>1</v>
      </c>
      <c r="M981" s="6">
        <f>Registro_Ordini[[#This Row],[Importo]]*Registro_Ordini[[#This Row],[Cambio]]</f>
        <v>18066</v>
      </c>
      <c r="N981" s="1">
        <f ca="1">IFERROR(_xlfn.NUMBERVALUE(OFFSET(Origine,MATCH(Registro_Ordini[[#This Row],[Titolo]],Descrizioni,0),MATCH("Price",Intestazioni,0)-1,1,1)),"")</f>
        <v>250.75</v>
      </c>
      <c r="O981" s="18">
        <f ca="1">IF(OR(Registro_Ordini[[#This Row],[Price]]=0,Registro_Ordini[[#This Row],[Price]]=""),"",IF(Registro_Ordini[[#This Row],[Tipo]]="Sell",Registro_Ordini[[#This Row],[Prezzo]]/Registro_Ordini[[#This Row],[Price]]-1,Registro_Ordini[[#This Row],[Price]]/Registro_Ordini[[#This Row],[Prezzo]]-1))</f>
        <v>0.38796634562160959</v>
      </c>
      <c r="P981" s="15">
        <v>3.2382015908259482E-2</v>
      </c>
      <c r="Q981" s="3">
        <v>0.29964430860386371</v>
      </c>
      <c r="R981" s="3">
        <v>0.20142193520796442</v>
      </c>
      <c r="S981" s="3">
        <v>0.40164718166968139</v>
      </c>
      <c r="T981" s="3">
        <v>0</v>
      </c>
      <c r="U981" s="3">
        <v>9.728657451849064E-2</v>
      </c>
      <c r="V981" s="3"/>
      <c r="W981" s="4"/>
    </row>
    <row r="982" spans="1:23" s="1" customFormat="1" ht="24.95" customHeight="1" x14ac:dyDescent="0.2">
      <c r="A982" s="8">
        <v>45545</v>
      </c>
      <c r="B982" s="7">
        <v>0.49930555555555556</v>
      </c>
      <c r="C982" s="9" t="s">
        <v>383</v>
      </c>
      <c r="D982" s="1" t="s">
        <v>388</v>
      </c>
      <c r="E982" s="1" t="s">
        <v>403</v>
      </c>
      <c r="F982" s="1" t="s">
        <v>507</v>
      </c>
      <c r="G982" s="1" t="s">
        <v>365</v>
      </c>
      <c r="H982" s="2">
        <v>-90</v>
      </c>
      <c r="I982" s="17">
        <v>190.68</v>
      </c>
      <c r="J982" s="1" t="s">
        <v>381</v>
      </c>
      <c r="K982" s="6">
        <f>Registro_Ordini[[#This Row],[Numero]]*Registro_Ordini[[#This Row],[Prezzo]]</f>
        <v>-17161.2</v>
      </c>
      <c r="L982" s="10">
        <v>1</v>
      </c>
      <c r="M982" s="6">
        <f>Registro_Ordini[[#This Row],[Importo]]*Registro_Ordini[[#This Row],[Cambio]]</f>
        <v>-17161.2</v>
      </c>
      <c r="N982" s="1">
        <f ca="1">IFERROR(_xlfn.NUMBERVALUE(OFFSET(Origine,MATCH(Registro_Ordini[[#This Row],[Titolo]],Descrizioni,0),MATCH("Price",Intestazioni,0)-1,1,1)),"")</f>
        <v>256.92500000000001</v>
      </c>
      <c r="O982" s="18">
        <f ca="1">IF(OR(Registro_Ordini[[#This Row],[Price]]=0,Registro_Ordini[[#This Row],[Price]]=""),"",IF(Registro_Ordini[[#This Row],[Tipo]]="Sell",Registro_Ordini[[#This Row],[Prezzo]]/Registro_Ordini[[#This Row],[Price]]-1,Registro_Ordini[[#This Row],[Price]]/Registro_Ordini[[#This Row],[Prezzo]]-1))</f>
        <v>-0.25783789043495187</v>
      </c>
      <c r="P982" s="15">
        <v>-2.8543607356157425E-2</v>
      </c>
      <c r="Q982" s="3">
        <v>0.38407347295913985</v>
      </c>
      <c r="R982" s="3">
        <v>0.19762243173827937</v>
      </c>
      <c r="S982" s="3">
        <v>0.3232656368735089</v>
      </c>
      <c r="T982" s="3">
        <v>0</v>
      </c>
      <c r="U982" s="3">
        <v>9.5038458429071868E-2</v>
      </c>
      <c r="V982" s="3"/>
      <c r="W982" s="4"/>
    </row>
    <row r="983" spans="1:23" s="1" customFormat="1" ht="24.95" customHeight="1" x14ac:dyDescent="0.2">
      <c r="A983" s="8">
        <v>45545</v>
      </c>
      <c r="B983" s="7">
        <v>0.49930555555555556</v>
      </c>
      <c r="C983" s="9" t="s">
        <v>382</v>
      </c>
      <c r="D983" s="1" t="s">
        <v>388</v>
      </c>
      <c r="E983" s="1" t="s">
        <v>403</v>
      </c>
      <c r="F983" s="1" t="s">
        <v>507</v>
      </c>
      <c r="G983" s="1" t="s">
        <v>365</v>
      </c>
      <c r="H983" s="2">
        <v>-155</v>
      </c>
      <c r="I983" s="17">
        <v>190.68</v>
      </c>
      <c r="J983" s="1" t="s">
        <v>381</v>
      </c>
      <c r="K983" s="6">
        <f>Registro_Ordini[[#This Row],[Numero]]*Registro_Ordini[[#This Row],[Prezzo]]</f>
        <v>-29555.4</v>
      </c>
      <c r="L983" s="10">
        <v>1</v>
      </c>
      <c r="M983" s="6">
        <f>Registro_Ordini[[#This Row],[Importo]]*Registro_Ordini[[#This Row],[Cambio]]</f>
        <v>-29555.4</v>
      </c>
      <c r="N983" s="1">
        <f ca="1">IFERROR(_xlfn.NUMBERVALUE(OFFSET(Origine,MATCH(Registro_Ordini[[#This Row],[Titolo]],Descrizioni,0),MATCH("Price",Intestazioni,0)-1,1,1)),"")</f>
        <v>256.92500000000001</v>
      </c>
      <c r="O983" s="18">
        <f ca="1">IF(OR(Registro_Ordini[[#This Row],[Price]]=0,Registro_Ordini[[#This Row],[Price]]=""),"",IF(Registro_Ordini[[#This Row],[Tipo]]="Sell",Registro_Ordini[[#This Row],[Prezzo]]/Registro_Ordini[[#This Row],[Price]]-1,Registro_Ordini[[#This Row],[Price]]/Registro_Ordini[[#This Row],[Prezzo]]-1))</f>
        <v>-0.25783789043495187</v>
      </c>
      <c r="P983" s="15">
        <v>-2.9117395081811659E-2</v>
      </c>
      <c r="Q983" s="3">
        <v>0.326205153990483</v>
      </c>
      <c r="R983" s="3">
        <v>0.20946875591298908</v>
      </c>
      <c r="S983" s="3">
        <v>0.36752267450110226</v>
      </c>
      <c r="T983" s="3">
        <v>0</v>
      </c>
      <c r="U983" s="3">
        <v>9.6803415595425713E-2</v>
      </c>
      <c r="V983" s="3"/>
      <c r="W983" s="4"/>
    </row>
    <row r="984" spans="1:23" s="1" customFormat="1" ht="24.95" customHeight="1" x14ac:dyDescent="0.2">
      <c r="A984" s="8">
        <v>45545</v>
      </c>
      <c r="B984" s="7">
        <v>0.49930555555555556</v>
      </c>
      <c r="C984" s="9" t="s">
        <v>106</v>
      </c>
      <c r="D984" s="1" t="s">
        <v>388</v>
      </c>
      <c r="E984" s="1" t="s">
        <v>403</v>
      </c>
      <c r="F984" s="1" t="s">
        <v>507</v>
      </c>
      <c r="G984" s="1" t="s">
        <v>365</v>
      </c>
      <c r="H984" s="2">
        <v>-35</v>
      </c>
      <c r="I984" s="17">
        <v>190.68</v>
      </c>
      <c r="J984" s="1" t="s">
        <v>381</v>
      </c>
      <c r="K984" s="6">
        <f>Registro_Ordini[[#This Row],[Numero]]*Registro_Ordini[[#This Row],[Prezzo]]</f>
        <v>-6673.8</v>
      </c>
      <c r="L984" s="10">
        <v>1</v>
      </c>
      <c r="M984" s="6">
        <f>Registro_Ordini[[#This Row],[Importo]]*Registro_Ordini[[#This Row],[Cambio]]</f>
        <v>-6673.8</v>
      </c>
      <c r="N984" s="1">
        <f ca="1">IFERROR(_xlfn.NUMBERVALUE(OFFSET(Origine,MATCH(Registro_Ordini[[#This Row],[Titolo]],Descrizioni,0),MATCH("Price",Intestazioni,0)-1,1,1)),"")</f>
        <v>256.92500000000001</v>
      </c>
      <c r="O984" s="18">
        <f ca="1">IF(OR(Registro_Ordini[[#This Row],[Price]]=0,Registro_Ordini[[#This Row],[Price]]=""),"",IF(Registro_Ordini[[#This Row],[Tipo]]="Sell",Registro_Ordini[[#This Row],[Prezzo]]/Registro_Ordini[[#This Row],[Price]]-1,Registro_Ordini[[#This Row],[Price]]/Registro_Ordini[[#This Row],[Prezzo]]-1))</f>
        <v>-0.25783789043495187</v>
      </c>
      <c r="P984" s="15">
        <v>-5.0953521185797712E-2</v>
      </c>
      <c r="Q984" s="3">
        <v>0.41012602528941244</v>
      </c>
      <c r="R984" s="3">
        <v>0.1705711117054369</v>
      </c>
      <c r="S984" s="3">
        <v>0.29449673850609454</v>
      </c>
      <c r="T984" s="3">
        <v>0</v>
      </c>
      <c r="U984" s="3">
        <v>0.12480612449905625</v>
      </c>
      <c r="V984" s="3"/>
      <c r="W984" s="4"/>
    </row>
    <row r="985" spans="1:23" s="1" customFormat="1" ht="24.95" customHeight="1" x14ac:dyDescent="0.2">
      <c r="A985" s="8">
        <v>45545</v>
      </c>
      <c r="B985" s="7">
        <v>0.49930555555555556</v>
      </c>
      <c r="C985" s="9" t="s">
        <v>379</v>
      </c>
      <c r="D985" s="1" t="s">
        <v>388</v>
      </c>
      <c r="E985" s="1" t="s">
        <v>403</v>
      </c>
      <c r="F985" s="1" t="s">
        <v>507</v>
      </c>
      <c r="G985" s="1" t="s">
        <v>365</v>
      </c>
      <c r="H985" s="2">
        <v>-85</v>
      </c>
      <c r="I985" s="17">
        <v>190.68</v>
      </c>
      <c r="J985" s="1" t="s">
        <v>381</v>
      </c>
      <c r="K985" s="6">
        <f>Registro_Ordini[[#This Row],[Numero]]*Registro_Ordini[[#This Row],[Prezzo]]</f>
        <v>-16207.800000000001</v>
      </c>
      <c r="L985" s="10">
        <v>1</v>
      </c>
      <c r="M985" s="6">
        <f>Registro_Ordini[[#This Row],[Importo]]*Registro_Ordini[[#This Row],[Cambio]]</f>
        <v>-16207.800000000001</v>
      </c>
      <c r="N985" s="1">
        <f ca="1">IFERROR(_xlfn.NUMBERVALUE(OFFSET(Origine,MATCH(Registro_Ordini[[#This Row],[Titolo]],Descrizioni,0),MATCH("Price",Intestazioni,0)-1,1,1)),"")</f>
        <v>256.92500000000001</v>
      </c>
      <c r="O985" s="18">
        <f ca="1">IF(OR(Registro_Ordini[[#This Row],[Price]]=0,Registro_Ordini[[#This Row],[Price]]=""),"",IF(Registro_Ordini[[#This Row],[Tipo]]="Sell",Registro_Ordini[[#This Row],[Prezzo]]/Registro_Ordini[[#This Row],[Price]]-1,Registro_Ordini[[#This Row],[Price]]/Registro_Ordini[[#This Row],[Prezzo]]-1))</f>
        <v>-0.25783789043495187</v>
      </c>
      <c r="P985" s="15">
        <v>-2.9191663701548465E-2</v>
      </c>
      <c r="Q985" s="3">
        <v>0.33197922263108481</v>
      </c>
      <c r="R985" s="3">
        <v>0.20135877770089464</v>
      </c>
      <c r="S985" s="3">
        <v>0.3693213673001815</v>
      </c>
      <c r="T985" s="3">
        <v>0</v>
      </c>
      <c r="U985" s="3">
        <v>9.7340632367839033E-2</v>
      </c>
      <c r="V985" s="3"/>
      <c r="W985" s="4"/>
    </row>
    <row r="986" spans="1:23" s="1" customFormat="1" ht="24.95" customHeight="1" x14ac:dyDescent="0.2">
      <c r="A986" s="8">
        <v>45545</v>
      </c>
      <c r="B986" s="7">
        <v>0.49722222222222223</v>
      </c>
      <c r="C986" s="9" t="s">
        <v>383</v>
      </c>
      <c r="D986" s="1" t="s">
        <v>388</v>
      </c>
      <c r="E986" s="1" t="s">
        <v>403</v>
      </c>
      <c r="F986" s="1" t="s">
        <v>508</v>
      </c>
      <c r="G986" s="1" t="s">
        <v>365</v>
      </c>
      <c r="H986" s="2">
        <v>-850</v>
      </c>
      <c r="I986" s="17">
        <v>14.02</v>
      </c>
      <c r="J986" s="1" t="s">
        <v>381</v>
      </c>
      <c r="K986" s="6">
        <f>Registro_Ordini[[#This Row],[Numero]]*Registro_Ordini[[#This Row],[Prezzo]]</f>
        <v>-11917</v>
      </c>
      <c r="L986" s="10">
        <v>1</v>
      </c>
      <c r="M986" s="6">
        <f>Registro_Ordini[[#This Row],[Importo]]*Registro_Ordini[[#This Row],[Cambio]]</f>
        <v>-11917</v>
      </c>
      <c r="N986" s="1">
        <f ca="1">IFERROR(_xlfn.NUMBERVALUE(OFFSET(Origine,MATCH(Registro_Ordini[[#This Row],[Titolo]],Descrizioni,0),MATCH("Price",Intestazioni,0)-1,1,1)),"")</f>
        <v>20.37</v>
      </c>
      <c r="O986" s="18">
        <f ca="1">IF(OR(Registro_Ordini[[#This Row],[Price]]=0,Registro_Ordini[[#This Row],[Price]]=""),"",IF(Registro_Ordini[[#This Row],[Tipo]]="Sell",Registro_Ordini[[#This Row],[Prezzo]]/Registro_Ordini[[#This Row],[Price]]-1,Registro_Ordini[[#This Row],[Price]]/Registro_Ordini[[#This Row],[Prezzo]]-1))</f>
        <v>-0.31173294059891998</v>
      </c>
      <c r="P986" s="15">
        <v>-1.9811549729434309E-2</v>
      </c>
      <c r="Q986" s="3">
        <v>0.35558760149790974</v>
      </c>
      <c r="R986" s="3">
        <v>0.19767553386723008</v>
      </c>
      <c r="S986" s="3">
        <v>0.35170979983412148</v>
      </c>
      <c r="T986" s="3">
        <v>0</v>
      </c>
      <c r="U986" s="3">
        <v>9.5027064800738664E-2</v>
      </c>
      <c r="V986" s="3"/>
      <c r="W986" s="4"/>
    </row>
    <row r="987" spans="1:23" s="1" customFormat="1" ht="24.95" customHeight="1" x14ac:dyDescent="0.2">
      <c r="A987" s="8">
        <v>45545</v>
      </c>
      <c r="B987" s="7">
        <v>0.49722222222222223</v>
      </c>
      <c r="C987" s="9" t="s">
        <v>382</v>
      </c>
      <c r="D987" s="1" t="s">
        <v>388</v>
      </c>
      <c r="E987" s="1" t="s">
        <v>403</v>
      </c>
      <c r="F987" s="1" t="s">
        <v>508</v>
      </c>
      <c r="G987" s="1" t="s">
        <v>365</v>
      </c>
      <c r="H987" s="2">
        <v>-1500</v>
      </c>
      <c r="I987" s="17">
        <v>14.02</v>
      </c>
      <c r="J987" s="1" t="s">
        <v>381</v>
      </c>
      <c r="K987" s="6">
        <f>Registro_Ordini[[#This Row],[Numero]]*Registro_Ordini[[#This Row],[Prezzo]]</f>
        <v>-21030</v>
      </c>
      <c r="L987" s="10">
        <v>1</v>
      </c>
      <c r="M987" s="6">
        <f>Registro_Ordini[[#This Row],[Importo]]*Registro_Ordini[[#This Row],[Cambio]]</f>
        <v>-21030</v>
      </c>
      <c r="N987" s="1">
        <f ca="1">IFERROR(_xlfn.NUMBERVALUE(OFFSET(Origine,MATCH(Registro_Ordini[[#This Row],[Titolo]],Descrizioni,0),MATCH("Price",Intestazioni,0)-1,1,1)),"")</f>
        <v>20.37</v>
      </c>
      <c r="O987" s="18">
        <f ca="1">IF(OR(Registro_Ordini[[#This Row],[Price]]=0,Registro_Ordini[[#This Row],[Price]]=""),"",IF(Registro_Ordini[[#This Row],[Tipo]]="Sell",Registro_Ordini[[#This Row],[Prezzo]]/Registro_Ordini[[#This Row],[Price]]-1,Registro_Ordini[[#This Row],[Price]]/Registro_Ordini[[#This Row],[Prezzo]]-1))</f>
        <v>-0.31173294059891998</v>
      </c>
      <c r="P987" s="15">
        <v>-2.0708734671034831E-2</v>
      </c>
      <c r="Q987" s="3">
        <v>0.29713283330203505</v>
      </c>
      <c r="R987" s="3">
        <v>0.2095290502098141</v>
      </c>
      <c r="S987" s="3">
        <v>0.3965464012265642</v>
      </c>
      <c r="T987" s="3">
        <v>0</v>
      </c>
      <c r="U987" s="3">
        <v>9.6791715261586642E-2</v>
      </c>
      <c r="V987" s="3"/>
      <c r="W987" s="4"/>
    </row>
    <row r="988" spans="1:23" s="1" customFormat="1" ht="24.95" customHeight="1" x14ac:dyDescent="0.2">
      <c r="A988" s="8">
        <v>45545</v>
      </c>
      <c r="B988" s="7">
        <v>0.49722222222222223</v>
      </c>
      <c r="C988" s="9" t="s">
        <v>379</v>
      </c>
      <c r="D988" s="1" t="s">
        <v>388</v>
      </c>
      <c r="E988" s="1" t="s">
        <v>403</v>
      </c>
      <c r="F988" s="1" t="s">
        <v>508</v>
      </c>
      <c r="G988" s="1" t="s">
        <v>365</v>
      </c>
      <c r="H988" s="2">
        <v>-800</v>
      </c>
      <c r="I988" s="17">
        <v>14.02</v>
      </c>
      <c r="J988" s="1" t="s">
        <v>381</v>
      </c>
      <c r="K988" s="6">
        <f>Registro_Ordini[[#This Row],[Numero]]*Registro_Ordini[[#This Row],[Prezzo]]</f>
        <v>-11216</v>
      </c>
      <c r="L988" s="10">
        <v>1</v>
      </c>
      <c r="M988" s="6">
        <f>Registro_Ordini[[#This Row],[Importo]]*Registro_Ordini[[#This Row],[Cambio]]</f>
        <v>-11216</v>
      </c>
      <c r="N988" s="1">
        <f ca="1">IFERROR(_xlfn.NUMBERVALUE(OFFSET(Origine,MATCH(Registro_Ordini[[#This Row],[Titolo]],Descrizioni,0),MATCH("Price",Intestazioni,0)-1,1,1)),"")</f>
        <v>20.37</v>
      </c>
      <c r="O988" s="18">
        <f ca="1">IF(OR(Registro_Ordini[[#This Row],[Price]]=0,Registro_Ordini[[#This Row],[Price]]=""),"",IF(Registro_Ordini[[#This Row],[Tipo]]="Sell",Registro_Ordini[[#This Row],[Prezzo]]/Registro_Ordini[[#This Row],[Price]]-1,Registro_Ordini[[#This Row],[Price]]/Registro_Ordini[[#This Row],[Prezzo]]-1))</f>
        <v>-0.31173294059891998</v>
      </c>
      <c r="P988" s="15">
        <v>-2.0192351039791251E-2</v>
      </c>
      <c r="Q988" s="3">
        <v>0.30284982703828117</v>
      </c>
      <c r="R988" s="3">
        <v>0.20142392429141107</v>
      </c>
      <c r="S988" s="3">
        <v>0.39840179994879943</v>
      </c>
      <c r="T988" s="3">
        <v>0</v>
      </c>
      <c r="U988" s="3">
        <v>9.7324448721508278E-2</v>
      </c>
      <c r="V988" s="3"/>
      <c r="W988" s="4"/>
    </row>
    <row r="989" spans="1:23" s="1" customFormat="1" ht="24.95" customHeight="1" x14ac:dyDescent="0.2">
      <c r="A989" s="8">
        <v>45545</v>
      </c>
      <c r="B989" s="7">
        <v>0.49652777777777779</v>
      </c>
      <c r="C989" s="9" t="s">
        <v>78</v>
      </c>
      <c r="D989" s="1" t="s">
        <v>388</v>
      </c>
      <c r="E989" s="1" t="s">
        <v>403</v>
      </c>
      <c r="F989" s="1" t="s">
        <v>508</v>
      </c>
      <c r="G989" s="1" t="s">
        <v>365</v>
      </c>
      <c r="H989" s="2">
        <v>-900</v>
      </c>
      <c r="I989" s="17">
        <v>14.02</v>
      </c>
      <c r="J989" s="1" t="s">
        <v>381</v>
      </c>
      <c r="K989" s="6">
        <f>Registro_Ordini[[#This Row],[Numero]]*Registro_Ordini[[#This Row],[Prezzo]]</f>
        <v>-12618</v>
      </c>
      <c r="L989" s="10">
        <v>0.87558030531714048</v>
      </c>
      <c r="M989" s="6">
        <f>Registro_Ordini[[#This Row],[Importo]]*Registro_Ordini[[#This Row],[Cambio]]</f>
        <v>-11048.072292491679</v>
      </c>
      <c r="N989" s="1">
        <f ca="1">IFERROR(_xlfn.NUMBERVALUE(OFFSET(Origine,MATCH(Registro_Ordini[[#This Row],[Titolo]],Descrizioni,0),MATCH("Price",Intestazioni,0)-1,1,1)),"")</f>
        <v>20.37</v>
      </c>
      <c r="O989" s="18">
        <f ca="1">IF(OR(Registro_Ordini[[#This Row],[Price]]=0,Registro_Ordini[[#This Row],[Price]]=""),"",IF(Registro_Ordini[[#This Row],[Tipo]]="Sell",Registro_Ordini[[#This Row],[Prezzo]]/Registro_Ordini[[#This Row],[Price]]-1,Registro_Ordini[[#This Row],[Price]]/Registro_Ordini[[#This Row],[Prezzo]]-1))</f>
        <v>-0.31173294059891998</v>
      </c>
      <c r="P989" s="15">
        <v>-2.7576779040593892E-2</v>
      </c>
      <c r="Q989" s="3">
        <v>0.24411536111093057</v>
      </c>
      <c r="R989" s="3">
        <v>0.16902952512583047</v>
      </c>
      <c r="S989" s="3">
        <v>0.52056856521270567</v>
      </c>
      <c r="T989" s="3">
        <v>0</v>
      </c>
      <c r="U989" s="3">
        <v>6.6286548550533286E-2</v>
      </c>
      <c r="V989" s="3"/>
      <c r="W989" s="4"/>
    </row>
    <row r="990" spans="1:23" s="1" customFormat="1" ht="24.95" customHeight="1" x14ac:dyDescent="0.2">
      <c r="A990" s="8">
        <v>45545</v>
      </c>
      <c r="B990" s="7">
        <v>0.49652777777777779</v>
      </c>
      <c r="C990" s="9" t="s">
        <v>375</v>
      </c>
      <c r="D990" s="1" t="s">
        <v>388</v>
      </c>
      <c r="E990" s="1" t="s">
        <v>403</v>
      </c>
      <c r="F990" s="1" t="s">
        <v>508</v>
      </c>
      <c r="G990" s="1" t="s">
        <v>365</v>
      </c>
      <c r="H990" s="2">
        <v>-1000</v>
      </c>
      <c r="I990" s="17">
        <v>14.02</v>
      </c>
      <c r="J990" s="1" t="s">
        <v>381</v>
      </c>
      <c r="K990" s="6">
        <f>Registro_Ordini[[#This Row],[Numero]]*Registro_Ordini[[#This Row],[Prezzo]]</f>
        <v>-14020</v>
      </c>
      <c r="L990" s="10">
        <v>0.87558030531714048</v>
      </c>
      <c r="M990" s="6">
        <f>Registro_Ordini[[#This Row],[Importo]]*Registro_Ordini[[#This Row],[Cambio]]</f>
        <v>-12275.63588054631</v>
      </c>
      <c r="N990" s="1">
        <f ca="1">IFERROR(_xlfn.NUMBERVALUE(OFFSET(Origine,MATCH(Registro_Ordini[[#This Row],[Titolo]],Descrizioni,0),MATCH("Price",Intestazioni,0)-1,1,1)),"")</f>
        <v>20.37</v>
      </c>
      <c r="O990" s="18">
        <f ca="1">IF(OR(Registro_Ordini[[#This Row],[Price]]=0,Registro_Ordini[[#This Row],[Price]]=""),"",IF(Registro_Ordini[[#This Row],[Tipo]]="Sell",Registro_Ordini[[#This Row],[Prezzo]]/Registro_Ordini[[#This Row],[Price]]-1,Registro_Ordini[[#This Row],[Price]]/Registro_Ordini[[#This Row],[Prezzo]]-1))</f>
        <v>-0.31173294059891998</v>
      </c>
      <c r="P990" s="15">
        <v>-1.5771205769617862E-2</v>
      </c>
      <c r="Q990" s="3">
        <v>0.24888905826514843</v>
      </c>
      <c r="R990" s="3">
        <v>0.36149762742519398</v>
      </c>
      <c r="S990" s="3">
        <v>0.30090087055693643</v>
      </c>
      <c r="T990" s="3">
        <v>0</v>
      </c>
      <c r="U990" s="3">
        <v>8.8712443752721082E-2</v>
      </c>
      <c r="V990" s="3"/>
      <c r="W990" s="4"/>
    </row>
    <row r="991" spans="1:23" s="1" customFormat="1" ht="24.95" customHeight="1" x14ac:dyDescent="0.2">
      <c r="A991" s="8">
        <v>45545</v>
      </c>
      <c r="B991" s="7">
        <v>0.49652777777777779</v>
      </c>
      <c r="C991" s="9" t="s">
        <v>378</v>
      </c>
      <c r="D991" s="1" t="s">
        <v>388</v>
      </c>
      <c r="E991" s="1" t="s">
        <v>403</v>
      </c>
      <c r="F991" s="1" t="s">
        <v>508</v>
      </c>
      <c r="G991" s="1" t="s">
        <v>365</v>
      </c>
      <c r="H991" s="2">
        <v>-600</v>
      </c>
      <c r="I991" s="17">
        <v>14.02</v>
      </c>
      <c r="J991" s="1" t="s">
        <v>381</v>
      </c>
      <c r="K991" s="6">
        <f>Registro_Ordini[[#This Row],[Numero]]*Registro_Ordini[[#This Row],[Prezzo]]</f>
        <v>-8412</v>
      </c>
      <c r="L991" s="10">
        <v>0.87558030531714048</v>
      </c>
      <c r="M991" s="6">
        <f>Registro_Ordini[[#This Row],[Importo]]*Registro_Ordini[[#This Row],[Cambio]]</f>
        <v>-7365.3815283277854</v>
      </c>
      <c r="N991" s="1">
        <f ca="1">IFERROR(_xlfn.NUMBERVALUE(OFFSET(Origine,MATCH(Registro_Ordini[[#This Row],[Titolo]],Descrizioni,0),MATCH("Price",Intestazioni,0)-1,1,1)),"")</f>
        <v>20.37</v>
      </c>
      <c r="O991" s="18">
        <f ca="1">IF(OR(Registro_Ordini[[#This Row],[Price]]=0,Registro_Ordini[[#This Row],[Price]]=""),"",IF(Registro_Ordini[[#This Row],[Tipo]]="Sell",Registro_Ordini[[#This Row],[Prezzo]]/Registro_Ordini[[#This Row],[Price]]-1,Registro_Ordini[[#This Row],[Price]]/Registro_Ordini[[#This Row],[Prezzo]]-1))</f>
        <v>-0.31173294059891998</v>
      </c>
      <c r="P991" s="15">
        <v>-1.4757044358235653E-2</v>
      </c>
      <c r="Q991" s="3">
        <v>0.24730671806475746</v>
      </c>
      <c r="R991" s="3">
        <v>0.33952392740730286</v>
      </c>
      <c r="S991" s="3">
        <v>0.32940413996880502</v>
      </c>
      <c r="T991" s="3">
        <v>0</v>
      </c>
      <c r="U991" s="3">
        <v>8.3765214559134632E-2</v>
      </c>
      <c r="V991" s="3"/>
      <c r="W991" s="4"/>
    </row>
    <row r="992" spans="1:23" s="1" customFormat="1" ht="24.95" customHeight="1" x14ac:dyDescent="0.2">
      <c r="A992" s="8">
        <v>45545</v>
      </c>
      <c r="B992" s="7">
        <v>0.49652777777777779</v>
      </c>
      <c r="C992" s="9" t="s">
        <v>377</v>
      </c>
      <c r="D992" s="1" t="s">
        <v>388</v>
      </c>
      <c r="E992" s="1" t="s">
        <v>403</v>
      </c>
      <c r="F992" s="1" t="s">
        <v>508</v>
      </c>
      <c r="G992" s="1" t="s">
        <v>365</v>
      </c>
      <c r="H992" s="2">
        <v>-2100</v>
      </c>
      <c r="I992" s="17">
        <v>14.02</v>
      </c>
      <c r="J992" s="1" t="s">
        <v>381</v>
      </c>
      <c r="K992" s="6">
        <f>Registro_Ordini[[#This Row],[Numero]]*Registro_Ordini[[#This Row],[Prezzo]]</f>
        <v>-29442</v>
      </c>
      <c r="L992" s="10">
        <v>0.87558030531714048</v>
      </c>
      <c r="M992" s="6">
        <f>Registro_Ordini[[#This Row],[Importo]]*Registro_Ordini[[#This Row],[Cambio]]</f>
        <v>-25778.835349147252</v>
      </c>
      <c r="N992" s="1">
        <f ca="1">IFERROR(_xlfn.NUMBERVALUE(OFFSET(Origine,MATCH(Registro_Ordini[[#This Row],[Titolo]],Descrizioni,0),MATCH("Price",Intestazioni,0)-1,1,1)),"")</f>
        <v>20.37</v>
      </c>
      <c r="O992" s="18">
        <f ca="1">IF(OR(Registro_Ordini[[#This Row],[Price]]=0,Registro_Ordini[[#This Row],[Price]]=""),"",IF(Registro_Ordini[[#This Row],[Tipo]]="Sell",Registro_Ordini[[#This Row],[Prezzo]]/Registro_Ordini[[#This Row],[Price]]-1,Registro_Ordini[[#This Row],[Price]]/Registro_Ordini[[#This Row],[Prezzo]]-1))</f>
        <v>-0.31173294059891998</v>
      </c>
      <c r="P992" s="15">
        <v>-1.6845964656729537E-2</v>
      </c>
      <c r="Q992" s="3">
        <v>0.2180568350171313</v>
      </c>
      <c r="R992" s="3">
        <v>0.33427693354751209</v>
      </c>
      <c r="S992" s="3">
        <v>0.35910654369391443</v>
      </c>
      <c r="T992" s="3">
        <v>0</v>
      </c>
      <c r="U992" s="3">
        <v>8.8559687741442031E-2</v>
      </c>
      <c r="V992" s="3"/>
      <c r="W992" s="4"/>
    </row>
    <row r="993" spans="1:23" s="1" customFormat="1" ht="24.95" customHeight="1" x14ac:dyDescent="0.2">
      <c r="A993" s="8">
        <v>45545</v>
      </c>
      <c r="B993" s="7">
        <v>0.49652777777777779</v>
      </c>
      <c r="C993" s="9" t="s">
        <v>376</v>
      </c>
      <c r="D993" s="1" t="s">
        <v>388</v>
      </c>
      <c r="E993" s="1" t="s">
        <v>403</v>
      </c>
      <c r="F993" s="1" t="s">
        <v>508</v>
      </c>
      <c r="G993" s="1" t="s">
        <v>365</v>
      </c>
      <c r="H993" s="2">
        <v>-420</v>
      </c>
      <c r="I993" s="17">
        <v>14.02</v>
      </c>
      <c r="J993" s="1" t="s">
        <v>381</v>
      </c>
      <c r="K993" s="6">
        <f>Registro_Ordini[[#This Row],[Numero]]*Registro_Ordini[[#This Row],[Prezzo]]</f>
        <v>-5888.4</v>
      </c>
      <c r="L993" s="10">
        <v>0.87558030531714048</v>
      </c>
      <c r="M993" s="6">
        <f>Registro_Ordini[[#This Row],[Importo]]*Registro_Ordini[[#This Row],[Cambio]]</f>
        <v>-5155.7670698294496</v>
      </c>
      <c r="N993" s="1">
        <f ca="1">IFERROR(_xlfn.NUMBERVALUE(OFFSET(Origine,MATCH(Registro_Ordini[[#This Row],[Titolo]],Descrizioni,0),MATCH("Price",Intestazioni,0)-1,1,1)),"")</f>
        <v>20.37</v>
      </c>
      <c r="O993" s="18">
        <f ca="1">IF(OR(Registro_Ordini[[#This Row],[Price]]=0,Registro_Ordini[[#This Row],[Price]]=""),"",IF(Registro_Ordini[[#This Row],[Tipo]]="Sell",Registro_Ordini[[#This Row],[Prezzo]]/Registro_Ordini[[#This Row],[Price]]-1,Registro_Ordini[[#This Row],[Price]]/Registro_Ordini[[#This Row],[Prezzo]]-1))</f>
        <v>-0.31173294059891998</v>
      </c>
      <c r="P993" s="15">
        <v>-1.8861425120506439E-2</v>
      </c>
      <c r="Q993" s="3">
        <v>0.19405528860637922</v>
      </c>
      <c r="R993" s="3">
        <v>0.35313384740988973</v>
      </c>
      <c r="S993" s="3">
        <v>0.347725348216814</v>
      </c>
      <c r="T993" s="3">
        <v>0</v>
      </c>
      <c r="U993" s="3">
        <v>0.10508551576691698</v>
      </c>
      <c r="V993" s="3"/>
      <c r="W993" s="4"/>
    </row>
    <row r="994" spans="1:23" s="1" customFormat="1" ht="24.95" customHeight="1" x14ac:dyDescent="0.2">
      <c r="A994" s="8">
        <v>45545</v>
      </c>
      <c r="B994" s="7">
        <v>0.49166666666666664</v>
      </c>
      <c r="C994" s="9" t="s">
        <v>367</v>
      </c>
      <c r="D994" s="1" t="s">
        <v>388</v>
      </c>
      <c r="E994" s="1" t="s">
        <v>403</v>
      </c>
      <c r="F994" s="1" t="s">
        <v>508</v>
      </c>
      <c r="G994" s="1" t="s">
        <v>365</v>
      </c>
      <c r="H994" s="2">
        <v>-1850</v>
      </c>
      <c r="I994" s="17">
        <v>14.019</v>
      </c>
      <c r="J994" s="1" t="s">
        <v>381</v>
      </c>
      <c r="K994" s="6">
        <f>Registro_Ordini[[#This Row],[Numero]]*Registro_Ordini[[#This Row],[Prezzo]]</f>
        <v>-25935.15</v>
      </c>
      <c r="L994" s="10">
        <v>0.87558030531714048</v>
      </c>
      <c r="M994" s="6">
        <f>Registro_Ordini[[#This Row],[Importo]]*Registro_Ordini[[#This Row],[Cambio]]</f>
        <v>-22708.306555445837</v>
      </c>
      <c r="N994" s="1">
        <f ca="1">IFERROR(_xlfn.NUMBERVALUE(OFFSET(Origine,MATCH(Registro_Ordini[[#This Row],[Titolo]],Descrizioni,0),MATCH("Price",Intestazioni,0)-1,1,1)),"")</f>
        <v>20.37</v>
      </c>
      <c r="O994" s="18">
        <f ca="1">IF(OR(Registro_Ordini[[#This Row],[Price]]=0,Registro_Ordini[[#This Row],[Price]]=""),"",IF(Registro_Ordini[[#This Row],[Tipo]]="Sell",Registro_Ordini[[#This Row],[Prezzo]]/Registro_Ordini[[#This Row],[Price]]-1,Registro_Ordini[[#This Row],[Price]]/Registro_Ordini[[#This Row],[Prezzo]]-1))</f>
        <v>-0.3117820324005891</v>
      </c>
      <c r="P994" s="15">
        <v>-6.6458636872707422E-3</v>
      </c>
      <c r="Q994" s="3">
        <v>0.24260893753961088</v>
      </c>
      <c r="R994" s="3">
        <v>0.43180940760878622</v>
      </c>
      <c r="S994" s="3">
        <v>0.2824021279812397</v>
      </c>
      <c r="T994" s="3">
        <v>0</v>
      </c>
      <c r="U994" s="3">
        <v>4.3179526870363055E-2</v>
      </c>
      <c r="V994" s="3"/>
      <c r="W994" s="4"/>
    </row>
    <row r="995" spans="1:23" s="1" customFormat="1" ht="24.95" customHeight="1" x14ac:dyDescent="0.2">
      <c r="A995" s="8">
        <v>45542</v>
      </c>
      <c r="B995" s="7">
        <v>0.52638888888888891</v>
      </c>
      <c r="C995" s="9" t="s">
        <v>383</v>
      </c>
      <c r="D995" s="1" t="s">
        <v>388</v>
      </c>
      <c r="E995" s="1" t="s">
        <v>389</v>
      </c>
      <c r="F995" s="1" t="s">
        <v>509</v>
      </c>
      <c r="G995" s="1" t="s">
        <v>365</v>
      </c>
      <c r="H995" s="2">
        <v>-550</v>
      </c>
      <c r="I995" s="17">
        <v>29.18</v>
      </c>
      <c r="J995" s="1" t="s">
        <v>366</v>
      </c>
      <c r="K995" s="6">
        <f>Registro_Ordini[[#This Row],[Numero]]*Registro_Ordini[[#This Row],[Prezzo]]</f>
        <v>-16049</v>
      </c>
      <c r="L995" s="10">
        <v>0.9642646980152999</v>
      </c>
      <c r="M995" s="6">
        <f>Registro_Ordini[[#This Row],[Importo]]*Registro_Ordini[[#This Row],[Cambio]]</f>
        <v>-15475.484138447548</v>
      </c>
      <c r="N995" s="1">
        <f ca="1">IFERROR(_xlfn.NUMBERVALUE(OFFSET(Origine,MATCH(Registro_Ordini[[#This Row],[Titolo]],Descrizioni,0),MATCH("Price",Intestazioni,0)-1,1,1)),"")</f>
        <v>39.229999999999997</v>
      </c>
      <c r="O995" s="18">
        <f ca="1">IF(OR(Registro_Ordini[[#This Row],[Price]]=0,Registro_Ordini[[#This Row],[Price]]=""),"",IF(Registro_Ordini[[#This Row],[Tipo]]="Sell",Registro_Ordini[[#This Row],[Prezzo]]/Registro_Ordini[[#This Row],[Price]]-1,Registro_Ordini[[#This Row],[Price]]/Registro_Ordini[[#This Row],[Prezzo]]-1))</f>
        <v>-0.2561814937547795</v>
      </c>
      <c r="P995" s="15">
        <v>-2.5026008688011362E-2</v>
      </c>
      <c r="Q995" s="3">
        <v>0.35075251865592771</v>
      </c>
      <c r="R995" s="3">
        <v>0.19289242763945674</v>
      </c>
      <c r="S995" s="3">
        <v>0.36312876053312471</v>
      </c>
      <c r="T995" s="3">
        <v>0</v>
      </c>
      <c r="U995" s="3">
        <v>9.3226293171490893E-2</v>
      </c>
      <c r="V995" s="3"/>
      <c r="W995" s="4"/>
    </row>
    <row r="996" spans="1:23" s="1" customFormat="1" ht="24.95" customHeight="1" x14ac:dyDescent="0.2">
      <c r="A996" s="8">
        <v>45542</v>
      </c>
      <c r="B996" s="7">
        <v>0.52638888888888891</v>
      </c>
      <c r="C996" s="9" t="s">
        <v>382</v>
      </c>
      <c r="D996" s="1" t="s">
        <v>388</v>
      </c>
      <c r="E996" s="1" t="s">
        <v>389</v>
      </c>
      <c r="F996" s="1" t="s">
        <v>509</v>
      </c>
      <c r="G996" s="1" t="s">
        <v>365</v>
      </c>
      <c r="H996" s="2">
        <v>-900</v>
      </c>
      <c r="I996" s="17">
        <v>29.18</v>
      </c>
      <c r="J996" s="1" t="s">
        <v>366</v>
      </c>
      <c r="K996" s="6">
        <f>Registro_Ordini[[#This Row],[Numero]]*Registro_Ordini[[#This Row],[Prezzo]]</f>
        <v>-26262</v>
      </c>
      <c r="L996" s="10">
        <v>0.9642646980152999</v>
      </c>
      <c r="M996" s="6">
        <f>Registro_Ordini[[#This Row],[Importo]]*Registro_Ordini[[#This Row],[Cambio]]</f>
        <v>-25323.519499277805</v>
      </c>
      <c r="N996" s="1">
        <f ca="1">IFERROR(_xlfn.NUMBERVALUE(OFFSET(Origine,MATCH(Registro_Ordini[[#This Row],[Titolo]],Descrizioni,0),MATCH("Price",Intestazioni,0)-1,1,1)),"")</f>
        <v>39.229999999999997</v>
      </c>
      <c r="O996" s="18">
        <f ca="1">IF(OR(Registro_Ordini[[#This Row],[Price]]=0,Registro_Ordini[[#This Row],[Price]]=""),"",IF(Registro_Ordini[[#This Row],[Tipo]]="Sell",Registro_Ordini[[#This Row],[Prezzo]]/Registro_Ordini[[#This Row],[Price]]-1,Registro_Ordini[[#This Row],[Price]]/Registro_Ordini[[#This Row],[Prezzo]]-1))</f>
        <v>-0.2561814937547795</v>
      </c>
      <c r="P996" s="15">
        <v>-2.5460611258562145E-2</v>
      </c>
      <c r="Q996" s="3">
        <v>0.25741698246110239</v>
      </c>
      <c r="R996" s="3">
        <v>0.21459669705560522</v>
      </c>
      <c r="S996" s="3">
        <v>0.42833756277422697</v>
      </c>
      <c r="T996" s="3">
        <v>0</v>
      </c>
      <c r="U996" s="3">
        <v>9.9648757709065477E-2</v>
      </c>
      <c r="V996" s="3"/>
      <c r="W996" s="4"/>
    </row>
    <row r="997" spans="1:23" s="1" customFormat="1" ht="24.95" customHeight="1" x14ac:dyDescent="0.2">
      <c r="A997" s="8">
        <v>45542</v>
      </c>
      <c r="B997" s="7">
        <v>0.52638888888888891</v>
      </c>
      <c r="C997" s="9" t="s">
        <v>106</v>
      </c>
      <c r="D997" s="1" t="s">
        <v>388</v>
      </c>
      <c r="E997" s="1" t="s">
        <v>389</v>
      </c>
      <c r="F997" s="1" t="s">
        <v>509</v>
      </c>
      <c r="G997" s="1" t="s">
        <v>365</v>
      </c>
      <c r="H997" s="2">
        <v>-200</v>
      </c>
      <c r="I997" s="17">
        <v>29.18</v>
      </c>
      <c r="J997" s="1" t="s">
        <v>366</v>
      </c>
      <c r="K997" s="6">
        <f>Registro_Ordini[[#This Row],[Numero]]*Registro_Ordini[[#This Row],[Prezzo]]</f>
        <v>-5836</v>
      </c>
      <c r="L997" s="10">
        <v>0.9642646980152999</v>
      </c>
      <c r="M997" s="6">
        <f>Registro_Ordini[[#This Row],[Importo]]*Registro_Ordini[[#This Row],[Cambio]]</f>
        <v>-5627.44877761729</v>
      </c>
      <c r="N997" s="1">
        <f ca="1">IFERROR(_xlfn.NUMBERVALUE(OFFSET(Origine,MATCH(Registro_Ordini[[#This Row],[Titolo]],Descrizioni,0),MATCH("Price",Intestazioni,0)-1,1,1)),"")</f>
        <v>39.229999999999997</v>
      </c>
      <c r="O997" s="18">
        <f ca="1">IF(OR(Registro_Ordini[[#This Row],[Price]]=0,Registro_Ordini[[#This Row],[Price]]=""),"",IF(Registro_Ordini[[#This Row],[Tipo]]="Sell",Registro_Ordini[[#This Row],[Prezzo]]/Registro_Ordini[[#This Row],[Price]]-1,Registro_Ordini[[#This Row],[Price]]/Registro_Ordini[[#This Row],[Prezzo]]-1))</f>
        <v>-0.2561814937547795</v>
      </c>
      <c r="P997" s="15">
        <v>-4.3892707839316501E-2</v>
      </c>
      <c r="Q997" s="3">
        <v>0.34387894678696285</v>
      </c>
      <c r="R997" s="3">
        <v>0.17494338792772687</v>
      </c>
      <c r="S997" s="3">
        <v>0.35257337905059488</v>
      </c>
      <c r="T997" s="3">
        <v>0</v>
      </c>
      <c r="U997" s="3">
        <v>0.1286042862347154</v>
      </c>
      <c r="V997" s="3"/>
      <c r="W997" s="4"/>
    </row>
    <row r="998" spans="1:23" s="1" customFormat="1" ht="24.95" customHeight="1" x14ac:dyDescent="0.2">
      <c r="A998" s="8">
        <v>45542</v>
      </c>
      <c r="B998" s="7">
        <v>0.52638888888888891</v>
      </c>
      <c r="C998" s="9" t="s">
        <v>379</v>
      </c>
      <c r="D998" s="1" t="s">
        <v>388</v>
      </c>
      <c r="E998" s="1" t="s">
        <v>389</v>
      </c>
      <c r="F998" s="1" t="s">
        <v>509</v>
      </c>
      <c r="G998" s="1" t="s">
        <v>365</v>
      </c>
      <c r="H998" s="2">
        <v>-475</v>
      </c>
      <c r="I998" s="17">
        <v>29.18</v>
      </c>
      <c r="J998" s="1" t="s">
        <v>366</v>
      </c>
      <c r="K998" s="6">
        <f>Registro_Ordini[[#This Row],[Numero]]*Registro_Ordini[[#This Row],[Prezzo]]</f>
        <v>-13860.5</v>
      </c>
      <c r="L998" s="10">
        <v>0.9642646980152999</v>
      </c>
      <c r="M998" s="6">
        <f>Registro_Ordini[[#This Row],[Importo]]*Registro_Ordini[[#This Row],[Cambio]]</f>
        <v>-13365.190846841064</v>
      </c>
      <c r="N998" s="1">
        <f ca="1">IFERROR(_xlfn.NUMBERVALUE(OFFSET(Origine,MATCH(Registro_Ordini[[#This Row],[Titolo]],Descrizioni,0),MATCH("Price",Intestazioni,0)-1,1,1)),"")</f>
        <v>39.229999999999997</v>
      </c>
      <c r="O998" s="18">
        <f ca="1">IF(OR(Registro_Ordini[[#This Row],[Price]]=0,Registro_Ordini[[#This Row],[Price]]=""),"",IF(Registro_Ordini[[#This Row],[Tipo]]="Sell",Registro_Ordini[[#This Row],[Prezzo]]/Registro_Ordini[[#This Row],[Price]]-1,Registro_Ordini[[#This Row],[Price]]/Registro_Ordini[[#This Row],[Prezzo]]-1))</f>
        <v>-0.2561814937547795</v>
      </c>
      <c r="P998" s="15">
        <v>-2.5100298217977258E-2</v>
      </c>
      <c r="Q998" s="3">
        <v>0.24828234762437673</v>
      </c>
      <c r="R998" s="3">
        <v>0.21077908522314423</v>
      </c>
      <c r="S998" s="3">
        <v>0.43878729829501006</v>
      </c>
      <c r="T998" s="3">
        <v>0</v>
      </c>
      <c r="U998" s="3">
        <v>0.10215126885746895</v>
      </c>
      <c r="V998" s="3"/>
      <c r="W998" s="4"/>
    </row>
    <row r="999" spans="1:23" s="1" customFormat="1" ht="24.95" customHeight="1" x14ac:dyDescent="0.2">
      <c r="A999" s="8">
        <v>45541</v>
      </c>
      <c r="B999" s="7">
        <v>0.7</v>
      </c>
      <c r="C999" s="9" t="s">
        <v>376</v>
      </c>
      <c r="D999" s="1" t="s">
        <v>388</v>
      </c>
      <c r="E999" s="1" t="s">
        <v>397</v>
      </c>
      <c r="F999" s="1" t="s">
        <v>406</v>
      </c>
      <c r="G999" s="1" t="s">
        <v>371</v>
      </c>
      <c r="H999" s="2">
        <v>40</v>
      </c>
      <c r="I999" s="17">
        <v>121.78</v>
      </c>
      <c r="J999" s="1" t="s">
        <v>369</v>
      </c>
      <c r="K999" s="6">
        <f>Registro_Ordini[[#This Row],[Numero]]*Registro_Ordini[[#This Row],[Prezzo]]</f>
        <v>4871.2</v>
      </c>
      <c r="L999" s="10">
        <v>1</v>
      </c>
      <c r="M999" s="6">
        <f>Registro_Ordini[[#This Row],[Importo]]*Registro_Ordini[[#This Row],[Cambio]]</f>
        <v>4871.2</v>
      </c>
      <c r="N999" s="1">
        <f ca="1">IFERROR(_xlfn.NUMBERVALUE(OFFSET(Origine,MATCH(Registro_Ordini[[#This Row],[Titolo]],Descrizioni,0),MATCH("Price",Intestazioni,0)-1,1,1)),"")</f>
        <v>136.52000000000001</v>
      </c>
      <c r="O999" s="18">
        <f ca="1">IF(OR(Registro_Ordini[[#This Row],[Price]]=0,Registro_Ordini[[#This Row],[Price]]=""),"",IF(Registro_Ordini[[#This Row],[Tipo]]="Sell",Registro_Ordini[[#This Row],[Prezzo]]/Registro_Ordini[[#This Row],[Price]]-1,Registro_Ordini[[#This Row],[Price]]/Registro_Ordini[[#This Row],[Prezzo]]-1))</f>
        <v>0.12103793726391854</v>
      </c>
      <c r="P999" s="15">
        <v>1.8109005872418454E-2</v>
      </c>
      <c r="Q999" s="3">
        <v>0.15973427493618528</v>
      </c>
      <c r="R999" s="3">
        <v>0.3602988770896301</v>
      </c>
      <c r="S999" s="3">
        <v>0.37302983960184727</v>
      </c>
      <c r="T999" s="3">
        <v>0</v>
      </c>
      <c r="U999" s="3">
        <v>0.10693700837233734</v>
      </c>
      <c r="V999" s="3"/>
      <c r="W999" s="4"/>
    </row>
    <row r="1000" spans="1:23" s="1" customFormat="1" ht="24.95" customHeight="1" x14ac:dyDescent="0.2">
      <c r="A1000" s="8">
        <v>45541</v>
      </c>
      <c r="B1000" s="7">
        <v>0.6958333333333333</v>
      </c>
      <c r="C1000" s="9" t="s">
        <v>367</v>
      </c>
      <c r="D1000" s="1" t="s">
        <v>388</v>
      </c>
      <c r="E1000" s="1" t="s">
        <v>389</v>
      </c>
      <c r="F1000" s="1" t="s">
        <v>399</v>
      </c>
      <c r="G1000" s="1" t="s">
        <v>365</v>
      </c>
      <c r="H1000" s="2">
        <v>-270</v>
      </c>
      <c r="I1000" s="17">
        <v>575.61149999999998</v>
      </c>
      <c r="J1000" s="1" t="s">
        <v>366</v>
      </c>
      <c r="K1000" s="6">
        <f>Registro_Ordini[[#This Row],[Numero]]*Registro_Ordini[[#This Row],[Prezzo]]</f>
        <v>-155415.10499999998</v>
      </c>
      <c r="L1000" s="10">
        <v>0.8421999310386219</v>
      </c>
      <c r="M1000" s="6">
        <f>Registro_Ordini[[#This Row],[Importo]]*Registro_Ordini[[#This Row],[Cambio]]</f>
        <v>-130890.59071336017</v>
      </c>
      <c r="N1000" s="1">
        <f ca="1">IFERROR(_xlfn.NUMBERVALUE(OFFSET(Origine,MATCH(Registro_Ordini[[#This Row],[Titolo]],Descrizioni,0),MATCH("Price",Intestazioni,0)-1,1,1)),"")</f>
        <v>727.16</v>
      </c>
      <c r="O1000" s="18">
        <f ca="1">IF(OR(Registro_Ordini[[#This Row],[Price]]=0,Registro_Ordini[[#This Row],[Price]]=""),"",IF(Registro_Ordini[[#This Row],[Tipo]]="Sell",Registro_Ordini[[#This Row],[Prezzo]]/Registro_Ordini[[#This Row],[Price]]-1,Registro_Ordini[[#This Row],[Price]]/Registro_Ordini[[#This Row],[Prezzo]]-1))</f>
        <v>-0.20841149128114855</v>
      </c>
      <c r="P1000" s="15">
        <v>-3.832073206027907E-2</v>
      </c>
      <c r="Q1000" s="3">
        <v>0.23515139392025755</v>
      </c>
      <c r="R1000" s="3">
        <v>0.43252327850723676</v>
      </c>
      <c r="S1000" s="3">
        <v>0.28877256519076505</v>
      </c>
      <c r="T1000" s="3">
        <v>0</v>
      </c>
      <c r="U1000" s="3">
        <v>4.355276238174078E-2</v>
      </c>
      <c r="V1000" s="3"/>
      <c r="W1000" s="4"/>
    </row>
    <row r="1001" spans="1:23" s="1" customFormat="1" ht="24.95" customHeight="1" x14ac:dyDescent="0.2">
      <c r="A1001" s="8">
        <v>45541</v>
      </c>
      <c r="B1001" s="7">
        <v>0.69444444444444442</v>
      </c>
      <c r="C1001" s="9" t="s">
        <v>376</v>
      </c>
      <c r="D1001" s="1" t="s">
        <v>388</v>
      </c>
      <c r="E1001" s="1" t="s">
        <v>389</v>
      </c>
      <c r="F1001" s="1" t="s">
        <v>488</v>
      </c>
      <c r="G1001" s="1" t="s">
        <v>365</v>
      </c>
      <c r="H1001" s="2">
        <v>-90</v>
      </c>
      <c r="I1001" s="17">
        <v>95.81</v>
      </c>
      <c r="J1001" s="1" t="s">
        <v>366</v>
      </c>
      <c r="K1001" s="6">
        <f>Registro_Ordini[[#This Row],[Numero]]*Registro_Ordini[[#This Row],[Prezzo]]</f>
        <v>-8622.9</v>
      </c>
      <c r="L1001" s="10">
        <v>0.84269992168133934</v>
      </c>
      <c r="M1001" s="6">
        <f>Registro_Ordini[[#This Row],[Importo]]*Registro_Ordini[[#This Row],[Cambio]]</f>
        <v>-7266.5171546660204</v>
      </c>
      <c r="N1001" s="1">
        <f ca="1">IFERROR(_xlfn.NUMBERVALUE(OFFSET(Origine,MATCH(Registro_Ordini[[#This Row],[Titolo]],Descrizioni,0),MATCH("Price",Intestazioni,0)-1,1,1)),"")</f>
        <v>108.97</v>
      </c>
      <c r="O1001" s="18">
        <f ca="1">IF(OR(Registro_Ordini[[#This Row],[Price]]=0,Registro_Ordini[[#This Row],[Price]]=""),"",IF(Registro_Ordini[[#This Row],[Tipo]]="Sell",Registro_Ordini[[#This Row],[Prezzo]]/Registro_Ordini[[#This Row],[Price]]-1,Registro_Ordini[[#This Row],[Price]]/Registro_Ordini[[#This Row],[Prezzo]]-1))</f>
        <v>-0.12076718362852157</v>
      </c>
      <c r="P1001" s="15">
        <v>-2.6574849957735722E-2</v>
      </c>
      <c r="Q1001" s="3">
        <v>0.19230753649857515</v>
      </c>
      <c r="R1001" s="3">
        <v>0.35367683018177681</v>
      </c>
      <c r="S1001" s="3">
        <v>0.34885659805336899</v>
      </c>
      <c r="T1001" s="3">
        <v>0</v>
      </c>
      <c r="U1001" s="3">
        <v>0.10515903526627894</v>
      </c>
      <c r="V1001" s="3"/>
      <c r="W1001" s="4"/>
    </row>
    <row r="1002" spans="1:23" s="1" customFormat="1" ht="24.95" customHeight="1" x14ac:dyDescent="0.2">
      <c r="A1002" s="8">
        <v>45541</v>
      </c>
      <c r="B1002" s="7">
        <v>0.69305555555555554</v>
      </c>
      <c r="C1002" s="9" t="s">
        <v>385</v>
      </c>
      <c r="D1002" s="1" t="s">
        <v>388</v>
      </c>
      <c r="E1002" s="1" t="s">
        <v>389</v>
      </c>
      <c r="F1002" s="1" t="s">
        <v>439</v>
      </c>
      <c r="G1002" s="1" t="s">
        <v>365</v>
      </c>
      <c r="H1002" s="2">
        <v>-60</v>
      </c>
      <c r="I1002" s="17">
        <v>114.27</v>
      </c>
      <c r="J1002" s="1" t="s">
        <v>381</v>
      </c>
      <c r="K1002" s="6">
        <f>Registro_Ordini[[#This Row],[Numero]]*Registro_Ordini[[#This Row],[Prezzo]]</f>
        <v>-6856.2</v>
      </c>
      <c r="L1002" s="10">
        <v>1</v>
      </c>
      <c r="M1002" s="6">
        <f>Registro_Ordini[[#This Row],[Importo]]*Registro_Ordini[[#This Row],[Cambio]]</f>
        <v>-6856.2</v>
      </c>
      <c r="N1002" s="1">
        <f ca="1">IFERROR(_xlfn.NUMBERVALUE(OFFSET(Origine,MATCH(Registro_Ordini[[#This Row],[Titolo]],Descrizioni,0),MATCH("Price",Intestazioni,0)-1,1,1)),"")</f>
        <v>140.09</v>
      </c>
      <c r="O1002" s="18">
        <f ca="1">IF(OR(Registro_Ordini[[#This Row],[Price]]=0,Registro_Ordini[[#This Row],[Price]]=""),"",IF(Registro_Ordini[[#This Row],[Tipo]]="Sell",Registro_Ordini[[#This Row],[Prezzo]]/Registro_Ordini[[#This Row],[Price]]-1,Registro_Ordini[[#This Row],[Price]]/Registro_Ordini[[#This Row],[Prezzo]]-1))</f>
        <v>-0.18431008637304591</v>
      </c>
      <c r="P1002" s="15">
        <v>-5.3564537433391242E-2</v>
      </c>
      <c r="Q1002" s="3">
        <v>0.58737906220319469</v>
      </c>
      <c r="R1002" s="3">
        <v>0.15373111803448544</v>
      </c>
      <c r="S1002" s="3">
        <v>0.18534552630887641</v>
      </c>
      <c r="T1002" s="3">
        <v>0</v>
      </c>
      <c r="U1002" s="3">
        <v>7.3544293453443432E-2</v>
      </c>
      <c r="V1002" s="3"/>
      <c r="W1002" s="4"/>
    </row>
    <row r="1003" spans="1:23" s="1" customFormat="1" ht="24.95" customHeight="1" x14ac:dyDescent="0.2">
      <c r="A1003" s="8">
        <v>45541</v>
      </c>
      <c r="B1003" s="7">
        <v>0.69166666666666665</v>
      </c>
      <c r="C1003" s="9" t="s">
        <v>78</v>
      </c>
      <c r="D1003" s="1" t="s">
        <v>388</v>
      </c>
      <c r="E1003" s="1" t="s">
        <v>389</v>
      </c>
      <c r="F1003" s="1" t="s">
        <v>510</v>
      </c>
      <c r="G1003" s="1" t="s">
        <v>365</v>
      </c>
      <c r="H1003" s="2">
        <v>-25</v>
      </c>
      <c r="I1003" s="17">
        <v>1068.02</v>
      </c>
      <c r="J1003" s="1" t="s">
        <v>366</v>
      </c>
      <c r="K1003" s="6">
        <f>Registro_Ordini[[#This Row],[Numero]]*Registro_Ordini[[#This Row],[Prezzo]]</f>
        <v>-26700.5</v>
      </c>
      <c r="L1003" s="10">
        <v>0.84359991421024172</v>
      </c>
      <c r="M1003" s="6">
        <f>Registro_Ordini[[#This Row],[Importo]]*Registro_Ordini[[#This Row],[Cambio]]</f>
        <v>-22524.539509370559</v>
      </c>
      <c r="N1003" s="1">
        <f ca="1">IFERROR(_xlfn.NUMBERVALUE(OFFSET(Origine,MATCH(Registro_Ordini[[#This Row],[Titolo]],Descrizioni,0),MATCH("Price",Intestazioni,0)-1,1,1)),"")</f>
        <v>1410</v>
      </c>
      <c r="O1003" s="18">
        <f ca="1">IF(OR(Registro_Ordini[[#This Row],[Price]]=0,Registro_Ordini[[#This Row],[Price]]=""),"",IF(Registro_Ordini[[#This Row],[Tipo]]="Sell",Registro_Ordini[[#This Row],[Prezzo]]/Registro_Ordini[[#This Row],[Price]]-1,Registro_Ordini[[#This Row],[Price]]/Registro_Ordini[[#This Row],[Prezzo]]-1))</f>
        <v>-0.24253900709219856</v>
      </c>
      <c r="P1003" s="15">
        <v>-5.6052757298034099E-2</v>
      </c>
      <c r="Q1003" s="3">
        <v>0.19070206162038134</v>
      </c>
      <c r="R1003" s="3">
        <v>0.16960321117465288</v>
      </c>
      <c r="S1003" s="3">
        <v>0.57294790431105058</v>
      </c>
      <c r="T1003" s="3">
        <v>0</v>
      </c>
      <c r="U1003" s="3">
        <v>6.6746822893915134E-2</v>
      </c>
      <c r="V1003" s="3"/>
      <c r="W1003" s="4"/>
    </row>
    <row r="1004" spans="1:23" s="1" customFormat="1" ht="24.95" customHeight="1" x14ac:dyDescent="0.2">
      <c r="A1004" s="8">
        <v>45541</v>
      </c>
      <c r="B1004" s="7">
        <v>0.69097222222222221</v>
      </c>
      <c r="C1004" s="9" t="s">
        <v>78</v>
      </c>
      <c r="D1004" s="1" t="s">
        <v>388</v>
      </c>
      <c r="E1004" s="1" t="s">
        <v>389</v>
      </c>
      <c r="F1004" s="1" t="s">
        <v>509</v>
      </c>
      <c r="G1004" s="1" t="s">
        <v>365</v>
      </c>
      <c r="H1004" s="2">
        <v>-385</v>
      </c>
      <c r="I1004" s="17">
        <v>29.31</v>
      </c>
      <c r="J1004" s="1" t="s">
        <v>366</v>
      </c>
      <c r="K1004" s="6">
        <f>Registro_Ordini[[#This Row],[Numero]]*Registro_Ordini[[#This Row],[Prezzo]]</f>
        <v>-11284.35</v>
      </c>
      <c r="L1004" s="10">
        <v>0.84259991293025072</v>
      </c>
      <c r="M1004" s="6">
        <f>Registro_Ordini[[#This Row],[Importo]]*Registro_Ordini[[#This Row],[Cambio]]</f>
        <v>-9508.192327474475</v>
      </c>
      <c r="N1004" s="1">
        <f ca="1">IFERROR(_xlfn.NUMBERVALUE(OFFSET(Origine,MATCH(Registro_Ordini[[#This Row],[Titolo]],Descrizioni,0),MATCH("Price",Intestazioni,0)-1,1,1)),"")</f>
        <v>39.229999999999997</v>
      </c>
      <c r="O1004" s="18">
        <f ca="1">IF(OR(Registro_Ordini[[#This Row],[Price]]=0,Registro_Ordini[[#This Row],[Price]]=""),"",IF(Registro_Ordini[[#This Row],[Tipo]]="Sell",Registro_Ordini[[#This Row],[Prezzo]]/Registro_Ordini[[#This Row],[Price]]-1,Registro_Ordini[[#This Row],[Price]]/Registro_Ordini[[#This Row],[Prezzo]]-1))</f>
        <v>-0.25286770328829977</v>
      </c>
      <c r="P1004" s="15">
        <v>-2.3742219929169001E-2</v>
      </c>
      <c r="Q1004" s="3">
        <v>0.21468370863965119</v>
      </c>
      <c r="R1004" s="3">
        <v>0.16985967961078449</v>
      </c>
      <c r="S1004" s="3">
        <v>0.54889274280001654</v>
      </c>
      <c r="T1004" s="3">
        <v>0</v>
      </c>
      <c r="U1004" s="3">
        <v>6.65638689495478E-2</v>
      </c>
      <c r="V1004" s="3"/>
      <c r="W1004" s="4"/>
    </row>
    <row r="1005" spans="1:23" s="1" customFormat="1" ht="24.95" customHeight="1" x14ac:dyDescent="0.2">
      <c r="A1005" s="8">
        <v>45541</v>
      </c>
      <c r="B1005" s="7">
        <v>0.69097222222222221</v>
      </c>
      <c r="C1005" s="9" t="s">
        <v>375</v>
      </c>
      <c r="D1005" s="1" t="s">
        <v>388</v>
      </c>
      <c r="E1005" s="1" t="s">
        <v>389</v>
      </c>
      <c r="F1005" s="1" t="s">
        <v>509</v>
      </c>
      <c r="G1005" s="1" t="s">
        <v>365</v>
      </c>
      <c r="H1005" s="2">
        <v>-700</v>
      </c>
      <c r="I1005" s="17">
        <v>29.31</v>
      </c>
      <c r="J1005" s="1" t="s">
        <v>366</v>
      </c>
      <c r="K1005" s="6">
        <f>Registro_Ordini[[#This Row],[Numero]]*Registro_Ordini[[#This Row],[Prezzo]]</f>
        <v>-20517</v>
      </c>
      <c r="L1005" s="10">
        <v>0.84359991421024172</v>
      </c>
      <c r="M1005" s="6">
        <f>Registro_Ordini[[#This Row],[Importo]]*Registro_Ordini[[#This Row],[Cambio]]</f>
        <v>-17308.139439851529</v>
      </c>
      <c r="N1005" s="1">
        <f ca="1">IFERROR(_xlfn.NUMBERVALUE(OFFSET(Origine,MATCH(Registro_Ordini[[#This Row],[Titolo]],Descrizioni,0),MATCH("Price",Intestazioni,0)-1,1,1)),"")</f>
        <v>39.229999999999997</v>
      </c>
      <c r="O1005" s="18">
        <f ca="1">IF(OR(Registro_Ordini[[#This Row],[Price]]=0,Registro_Ordini[[#This Row],[Price]]=""),"",IF(Registro_Ordini[[#This Row],[Tipo]]="Sell",Registro_Ordini[[#This Row],[Prezzo]]/Registro_Ordini[[#This Row],[Price]]-1,Registro_Ordini[[#This Row],[Price]]/Registro_Ordini[[#This Row],[Prezzo]]-1))</f>
        <v>-0.25286770328829977</v>
      </c>
      <c r="P1005" s="15">
        <v>-2.2366893710263756E-2</v>
      </c>
      <c r="Q1005" s="3">
        <v>0.23209686424042486</v>
      </c>
      <c r="R1005" s="3">
        <v>0.36205697399945125</v>
      </c>
      <c r="S1005" s="3">
        <v>0.31644993940209265</v>
      </c>
      <c r="T1005" s="3">
        <v>0</v>
      </c>
      <c r="U1005" s="3">
        <v>8.9396222358031241E-2</v>
      </c>
      <c r="V1005" s="3"/>
      <c r="W1005" s="4"/>
    </row>
    <row r="1006" spans="1:23" s="1" customFormat="1" ht="24.95" customHeight="1" x14ac:dyDescent="0.2">
      <c r="A1006" s="8">
        <v>45541</v>
      </c>
      <c r="B1006" s="7">
        <v>0.69097222222222221</v>
      </c>
      <c r="C1006" s="9" t="s">
        <v>378</v>
      </c>
      <c r="D1006" s="1" t="s">
        <v>388</v>
      </c>
      <c r="E1006" s="1" t="s">
        <v>389</v>
      </c>
      <c r="F1006" s="1" t="s">
        <v>509</v>
      </c>
      <c r="G1006" s="1" t="s">
        <v>365</v>
      </c>
      <c r="H1006" s="2">
        <v>-400</v>
      </c>
      <c r="I1006" s="17">
        <v>29.31</v>
      </c>
      <c r="J1006" s="1" t="s">
        <v>366</v>
      </c>
      <c r="K1006" s="6">
        <f>Registro_Ordini[[#This Row],[Numero]]*Registro_Ordini[[#This Row],[Prezzo]]</f>
        <v>-11724</v>
      </c>
      <c r="L1006" s="10">
        <v>0.84359991421024172</v>
      </c>
      <c r="M1006" s="6">
        <f>Registro_Ordini[[#This Row],[Importo]]*Registro_Ordini[[#This Row],[Cambio]]</f>
        <v>-9890.3653942008732</v>
      </c>
      <c r="N1006" s="1">
        <f ca="1">IFERROR(_xlfn.NUMBERVALUE(OFFSET(Origine,MATCH(Registro_Ordini[[#This Row],[Titolo]],Descrizioni,0),MATCH("Price",Intestazioni,0)-1,1,1)),"")</f>
        <v>39.229999999999997</v>
      </c>
      <c r="O1006" s="18">
        <f ca="1">IF(OR(Registro_Ordini[[#This Row],[Price]]=0,Registro_Ordini[[#This Row],[Price]]=""),"",IF(Registro_Ordini[[#This Row],[Tipo]]="Sell",Registro_Ordini[[#This Row],[Prezzo]]/Registro_Ordini[[#This Row],[Price]]-1,Registro_Ordini[[#This Row],[Price]]/Registro_Ordini[[#This Row],[Prezzo]]-1))</f>
        <v>-0.25286770328829977</v>
      </c>
      <c r="P1006" s="15">
        <v>-1.9925569659454311E-2</v>
      </c>
      <c r="Q1006" s="3">
        <v>0.23187105826437096</v>
      </c>
      <c r="R1006" s="3">
        <v>0.34007195216505454</v>
      </c>
      <c r="S1006" s="3">
        <v>0.34397378717267973</v>
      </c>
      <c r="T1006" s="3">
        <v>0</v>
      </c>
      <c r="U1006" s="3">
        <v>8.4083202397894657E-2</v>
      </c>
      <c r="V1006" s="3"/>
      <c r="W1006" s="4"/>
    </row>
    <row r="1007" spans="1:23" s="1" customFormat="1" ht="24.95" customHeight="1" x14ac:dyDescent="0.2">
      <c r="A1007" s="8">
        <v>45541</v>
      </c>
      <c r="B1007" s="7">
        <v>0.69097222222222221</v>
      </c>
      <c r="C1007" s="9" t="s">
        <v>377</v>
      </c>
      <c r="D1007" s="1" t="s">
        <v>388</v>
      </c>
      <c r="E1007" s="1" t="s">
        <v>389</v>
      </c>
      <c r="F1007" s="1" t="s">
        <v>509</v>
      </c>
      <c r="G1007" s="1" t="s">
        <v>365</v>
      </c>
      <c r="H1007" s="2">
        <v>-1300</v>
      </c>
      <c r="I1007" s="17">
        <v>29.31</v>
      </c>
      <c r="J1007" s="1" t="s">
        <v>366</v>
      </c>
      <c r="K1007" s="6">
        <f>Registro_Ordini[[#This Row],[Numero]]*Registro_Ordini[[#This Row],[Prezzo]]</f>
        <v>-38103</v>
      </c>
      <c r="L1007" s="10">
        <v>0.84359991421024172</v>
      </c>
      <c r="M1007" s="6">
        <f>Registro_Ordini[[#This Row],[Importo]]*Registro_Ordini[[#This Row],[Cambio]]</f>
        <v>-32143.687531152842</v>
      </c>
      <c r="N1007" s="1">
        <f ca="1">IFERROR(_xlfn.NUMBERVALUE(OFFSET(Origine,MATCH(Registro_Ordini[[#This Row],[Titolo]],Descrizioni,0),MATCH("Price",Intestazioni,0)-1,1,1)),"")</f>
        <v>39.229999999999997</v>
      </c>
      <c r="O1007" s="18">
        <f ca="1">IF(OR(Registro_Ordini[[#This Row],[Price]]=0,Registro_Ordini[[#This Row],[Price]]=""),"",IF(Registro_Ordini[[#This Row],[Tipo]]="Sell",Registro_Ordini[[#This Row],[Prezzo]]/Registro_Ordini[[#This Row],[Price]]-1,Registro_Ordini[[#This Row],[Price]]/Registro_Ordini[[#This Row],[Prezzo]]-1))</f>
        <v>-0.25286770328829977</v>
      </c>
      <c r="P1007" s="15">
        <v>-2.1121125567125119E-2</v>
      </c>
      <c r="Q1007" s="3">
        <v>0.20041787418003565</v>
      </c>
      <c r="R1007" s="3">
        <v>0.33478393554666769</v>
      </c>
      <c r="S1007" s="3">
        <v>0.37569728130282315</v>
      </c>
      <c r="T1007" s="3">
        <v>0</v>
      </c>
      <c r="U1007" s="3">
        <v>8.9100908970473444E-2</v>
      </c>
      <c r="V1007" s="3"/>
      <c r="W1007" s="4"/>
    </row>
    <row r="1008" spans="1:23" s="1" customFormat="1" ht="24.95" customHeight="1" x14ac:dyDescent="0.2">
      <c r="A1008" s="8">
        <v>45541</v>
      </c>
      <c r="B1008" s="7">
        <v>0.69097222222222221</v>
      </c>
      <c r="C1008" s="9" t="s">
        <v>367</v>
      </c>
      <c r="D1008" s="1" t="s">
        <v>388</v>
      </c>
      <c r="E1008" s="1" t="s">
        <v>389</v>
      </c>
      <c r="F1008" s="1" t="s">
        <v>509</v>
      </c>
      <c r="G1008" s="1" t="s">
        <v>365</v>
      </c>
      <c r="H1008" s="2">
        <v>-1200</v>
      </c>
      <c r="I1008" s="17">
        <v>29.402100000000001</v>
      </c>
      <c r="J1008" s="1" t="s">
        <v>366</v>
      </c>
      <c r="K1008" s="6">
        <f>Registro_Ordini[[#This Row],[Numero]]*Registro_Ordini[[#This Row],[Prezzo]]</f>
        <v>-35282.520000000004</v>
      </c>
      <c r="L1008" s="10">
        <v>0.84359991421024172</v>
      </c>
      <c r="M1008" s="6">
        <f>Registro_Ordini[[#This Row],[Importo]]*Registro_Ordini[[#This Row],[Cambio]]</f>
        <v>-29764.330845121141</v>
      </c>
      <c r="N1008" s="1">
        <f ca="1">IFERROR(_xlfn.NUMBERVALUE(OFFSET(Origine,MATCH(Registro_Ordini[[#This Row],[Titolo]],Descrizioni,0),MATCH("Price",Intestazioni,0)-1,1,1)),"")</f>
        <v>39.229999999999997</v>
      </c>
      <c r="O1008" s="18">
        <f ca="1">IF(OR(Registro_Ordini[[#This Row],[Price]]=0,Registro_Ordini[[#This Row],[Price]]=""),"",IF(Registro_Ordini[[#This Row],[Tipo]]="Sell",Registro_Ordini[[#This Row],[Prezzo]]/Registro_Ordini[[#This Row],[Price]]-1,Registro_Ordini[[#This Row],[Price]]/Registro_Ordini[[#This Row],[Prezzo]]-1))</f>
        <v>-0.25052001019627823</v>
      </c>
      <c r="P1008" s="15">
        <v>-8.7461806139546572E-3</v>
      </c>
      <c r="Q1008" s="3">
        <v>0.19680920469283916</v>
      </c>
      <c r="R1008" s="3">
        <v>0.43219447157289814</v>
      </c>
      <c r="S1008" s="3">
        <v>0.32747667043818829</v>
      </c>
      <c r="T1008" s="3">
        <v>0</v>
      </c>
      <c r="U1008" s="3">
        <v>4.3519653296074587E-2</v>
      </c>
      <c r="V1008" s="3"/>
      <c r="W1008" s="4"/>
    </row>
    <row r="1009" spans="1:23" s="1" customFormat="1" ht="24.95" customHeight="1" x14ac:dyDescent="0.2">
      <c r="A1009" s="8">
        <v>45541</v>
      </c>
      <c r="B1009" s="7">
        <v>0.68958333333333333</v>
      </c>
      <c r="C1009" s="9" t="s">
        <v>383</v>
      </c>
      <c r="D1009" s="1" t="s">
        <v>388</v>
      </c>
      <c r="E1009" s="1" t="s">
        <v>389</v>
      </c>
      <c r="F1009" s="1" t="s">
        <v>510</v>
      </c>
      <c r="G1009" s="1" t="s">
        <v>365</v>
      </c>
      <c r="H1009" s="2">
        <v>-20</v>
      </c>
      <c r="I1009" s="17">
        <v>1068.02</v>
      </c>
      <c r="J1009" s="1" t="s">
        <v>366</v>
      </c>
      <c r="K1009" s="6">
        <f>Registro_Ordini[[#This Row],[Numero]]*Registro_Ordini[[#This Row],[Prezzo]]</f>
        <v>-21360.400000000001</v>
      </c>
      <c r="L1009" s="10">
        <v>0.96434870917740123</v>
      </c>
      <c r="M1009" s="6">
        <f>Registro_Ordini[[#This Row],[Importo]]*Registro_Ordini[[#This Row],[Cambio]]</f>
        <v>-20598.874167512964</v>
      </c>
      <c r="N1009" s="1">
        <f ca="1">IFERROR(_xlfn.NUMBERVALUE(OFFSET(Origine,MATCH(Registro_Ordini[[#This Row],[Titolo]],Descrizioni,0),MATCH("Price",Intestazioni,0)-1,1,1)),"")</f>
        <v>1410</v>
      </c>
      <c r="O1009" s="18">
        <f ca="1">IF(OR(Registro_Ordini[[#This Row],[Price]]=0,Registro_Ordini[[#This Row],[Price]]=""),"",IF(Registro_Ordini[[#This Row],[Tipo]]="Sell",Registro_Ordini[[#This Row],[Prezzo]]/Registro_Ordini[[#This Row],[Price]]-1,Registro_Ordini[[#This Row],[Price]]/Registro_Ordini[[#This Row],[Prezzo]]-1))</f>
        <v>-0.24253900709219856</v>
      </c>
      <c r="P1009" s="15">
        <v>-3.5457254299561883E-2</v>
      </c>
      <c r="Q1009" s="3">
        <v>0.28131038708182499</v>
      </c>
      <c r="R1009" s="3">
        <v>0.20521921900711715</v>
      </c>
      <c r="S1009" s="3">
        <v>0.41450077092550691</v>
      </c>
      <c r="T1009" s="3">
        <v>0</v>
      </c>
      <c r="U1009" s="3">
        <v>9.8969622985550981E-2</v>
      </c>
      <c r="V1009" s="3"/>
      <c r="W1009" s="4"/>
    </row>
    <row r="1010" spans="1:23" s="1" customFormat="1" ht="24.95" customHeight="1" x14ac:dyDescent="0.2">
      <c r="A1010" s="8">
        <v>45541</v>
      </c>
      <c r="B1010" s="7">
        <v>0.68958333333333333</v>
      </c>
      <c r="C1010" s="9" t="s">
        <v>382</v>
      </c>
      <c r="D1010" s="1" t="s">
        <v>388</v>
      </c>
      <c r="E1010" s="1" t="s">
        <v>389</v>
      </c>
      <c r="F1010" s="1" t="s">
        <v>510</v>
      </c>
      <c r="G1010" s="1" t="s">
        <v>365</v>
      </c>
      <c r="H1010" s="2">
        <v>-30</v>
      </c>
      <c r="I1010" s="17">
        <v>1068.02</v>
      </c>
      <c r="J1010" s="1" t="s">
        <v>366</v>
      </c>
      <c r="K1010" s="6">
        <f>Registro_Ordini[[#This Row],[Numero]]*Registro_Ordini[[#This Row],[Prezzo]]</f>
        <v>-32040.6</v>
      </c>
      <c r="L1010" s="10">
        <v>0.96434870917740123</v>
      </c>
      <c r="M1010" s="6">
        <f>Registro_Ordini[[#This Row],[Importo]]*Registro_Ordini[[#This Row],[Cambio]]</f>
        <v>-30898.311251269439</v>
      </c>
      <c r="N1010" s="1">
        <f ca="1">IFERROR(_xlfn.NUMBERVALUE(OFFSET(Origine,MATCH(Registro_Ordini[[#This Row],[Titolo]],Descrizioni,0),MATCH("Price",Intestazioni,0)-1,1,1)),"")</f>
        <v>1410</v>
      </c>
      <c r="O1010" s="18">
        <f ca="1">IF(OR(Registro_Ordini[[#This Row],[Price]]=0,Registro_Ordini[[#This Row],[Price]]=""),"",IF(Registro_Ordini[[#This Row],[Tipo]]="Sell",Registro_Ordini[[#This Row],[Prezzo]]/Registro_Ordini[[#This Row],[Price]]-1,Registro_Ordini[[#This Row],[Price]]/Registro_Ordini[[#This Row],[Prezzo]]-1))</f>
        <v>-0.24253900709219856</v>
      </c>
      <c r="P1010" s="15">
        <v>-3.0985783190594425E-2</v>
      </c>
      <c r="Q1010" s="3">
        <v>0.23304943595233441</v>
      </c>
      <c r="R1010" s="3">
        <v>0.21394445883827884</v>
      </c>
      <c r="S1010" s="3">
        <v>0.45392696462089477</v>
      </c>
      <c r="T1010" s="3">
        <v>0</v>
      </c>
      <c r="U1010" s="3">
        <v>9.9079140588491932E-2</v>
      </c>
      <c r="V1010" s="3"/>
      <c r="W1010" s="4"/>
    </row>
    <row r="1011" spans="1:23" s="1" customFormat="1" ht="24.95" customHeight="1" x14ac:dyDescent="0.2">
      <c r="A1011" s="8">
        <v>45541</v>
      </c>
      <c r="B1011" s="7">
        <v>0.68958333333333333</v>
      </c>
      <c r="C1011" s="9" t="s">
        <v>106</v>
      </c>
      <c r="D1011" s="1" t="s">
        <v>388</v>
      </c>
      <c r="E1011" s="1" t="s">
        <v>389</v>
      </c>
      <c r="F1011" s="1" t="s">
        <v>510</v>
      </c>
      <c r="G1011" s="1" t="s">
        <v>365</v>
      </c>
      <c r="H1011" s="2">
        <v>-10</v>
      </c>
      <c r="I1011" s="17">
        <v>1068.02</v>
      </c>
      <c r="J1011" s="1" t="s">
        <v>366</v>
      </c>
      <c r="K1011" s="6">
        <f>Registro_Ordini[[#This Row],[Numero]]*Registro_Ordini[[#This Row],[Prezzo]]</f>
        <v>-10680.2</v>
      </c>
      <c r="L1011" s="10">
        <v>0.96434870917740123</v>
      </c>
      <c r="M1011" s="6">
        <f>Registro_Ordini[[#This Row],[Importo]]*Registro_Ordini[[#This Row],[Cambio]]</f>
        <v>-10299.437083756482</v>
      </c>
      <c r="N1011" s="1">
        <f ca="1">IFERROR(_xlfn.NUMBERVALUE(OFFSET(Origine,MATCH(Registro_Ordini[[#This Row],[Titolo]],Descrizioni,0),MATCH("Price",Intestazioni,0)-1,1,1)),"")</f>
        <v>1410</v>
      </c>
      <c r="O1011" s="18">
        <f ca="1">IF(OR(Registro_Ordini[[#This Row],[Price]]=0,Registro_Ordini[[#This Row],[Price]]=""),"",IF(Registro_Ordini[[#This Row],[Tipo]]="Sell",Registro_Ordini[[#This Row],[Prezzo]]/Registro_Ordini[[#This Row],[Price]]-1,Registro_Ordini[[#This Row],[Price]]/Registro_Ordini[[#This Row],[Prezzo]]-1))</f>
        <v>-0.24253900709219856</v>
      </c>
      <c r="P1011" s="15">
        <v>-7.9954656408299199E-2</v>
      </c>
      <c r="Q1011" s="3">
        <v>0.3014773056121377</v>
      </c>
      <c r="R1011" s="3">
        <v>0.17403303033596693</v>
      </c>
      <c r="S1011" s="3">
        <v>0.3969030898610405</v>
      </c>
      <c r="T1011" s="3">
        <v>0</v>
      </c>
      <c r="U1011" s="3">
        <v>0.12758657419085476</v>
      </c>
      <c r="V1011" s="3"/>
      <c r="W1011" s="4"/>
    </row>
    <row r="1012" spans="1:23" s="1" customFormat="1" ht="24.95" customHeight="1" x14ac:dyDescent="0.2">
      <c r="A1012" s="8">
        <v>45541</v>
      </c>
      <c r="B1012" s="7">
        <v>0.68958333333333333</v>
      </c>
      <c r="C1012" s="9" t="s">
        <v>379</v>
      </c>
      <c r="D1012" s="1" t="s">
        <v>388</v>
      </c>
      <c r="E1012" s="1" t="s">
        <v>389</v>
      </c>
      <c r="F1012" s="1" t="s">
        <v>510</v>
      </c>
      <c r="G1012" s="1" t="s">
        <v>365</v>
      </c>
      <c r="H1012" s="2">
        <v>-15</v>
      </c>
      <c r="I1012" s="17">
        <v>1068.02</v>
      </c>
      <c r="J1012" s="1" t="s">
        <v>366</v>
      </c>
      <c r="K1012" s="6">
        <f>Registro_Ordini[[#This Row],[Numero]]*Registro_Ordini[[#This Row],[Prezzo]]</f>
        <v>-16020.3</v>
      </c>
      <c r="L1012" s="10">
        <v>0.96434870917740123</v>
      </c>
      <c r="M1012" s="6">
        <f>Registro_Ordini[[#This Row],[Importo]]*Registro_Ordini[[#This Row],[Cambio]]</f>
        <v>-15449.155625634719</v>
      </c>
      <c r="N1012" s="1">
        <f ca="1">IFERROR(_xlfn.NUMBERVALUE(OFFSET(Origine,MATCH(Registro_Ordini[[#This Row],[Titolo]],Descrizioni,0),MATCH("Price",Intestazioni,0)-1,1,1)),"")</f>
        <v>1410</v>
      </c>
      <c r="O1012" s="18">
        <f ca="1">IF(OR(Registro_Ordini[[#This Row],[Price]]=0,Registro_Ordini[[#This Row],[Price]]=""),"",IF(Registro_Ordini[[#This Row],[Tipo]]="Sell",Registro_Ordini[[#This Row],[Prezzo]]/Registro_Ordini[[#This Row],[Price]]-1,Registro_Ordini[[#This Row],[Price]]/Registro_Ordini[[#This Row],[Prezzo]]-1))</f>
        <v>-0.24253900709219856</v>
      </c>
      <c r="P1012" s="15">
        <v>-2.8938651922461197E-2</v>
      </c>
      <c r="Q1012" s="3">
        <v>0.22426282517057095</v>
      </c>
      <c r="R1012" s="3">
        <v>0.21013338793206163</v>
      </c>
      <c r="S1012" s="3">
        <v>0.46410195079991778</v>
      </c>
      <c r="T1012" s="3">
        <v>0</v>
      </c>
      <c r="U1012" s="3">
        <v>0.10150183609744962</v>
      </c>
      <c r="V1012" s="3"/>
      <c r="W1012" s="4"/>
    </row>
    <row r="1013" spans="1:23" s="1" customFormat="1" ht="24.95" customHeight="1" x14ac:dyDescent="0.2">
      <c r="A1013" s="8">
        <v>45541</v>
      </c>
      <c r="B1013" s="7">
        <v>0.68611111111111112</v>
      </c>
      <c r="C1013" s="9" t="s">
        <v>367</v>
      </c>
      <c r="D1013" s="1" t="s">
        <v>388</v>
      </c>
      <c r="E1013" s="1" t="s">
        <v>389</v>
      </c>
      <c r="F1013" s="1" t="s">
        <v>510</v>
      </c>
      <c r="G1013" s="1" t="s">
        <v>365</v>
      </c>
      <c r="H1013" s="2">
        <v>-75</v>
      </c>
      <c r="I1013" s="17">
        <v>1064.27</v>
      </c>
      <c r="J1013" s="1" t="s">
        <v>366</v>
      </c>
      <c r="K1013" s="6">
        <f>Registro_Ordini[[#This Row],[Numero]]*Registro_Ordini[[#This Row],[Prezzo]]</f>
        <v>-79820.25</v>
      </c>
      <c r="L1013" s="10">
        <v>0.84319992604159222</v>
      </c>
      <c r="M1013" s="6">
        <f>Registro_Ordini[[#This Row],[Importo]]*Registro_Ordini[[#This Row],[Cambio]]</f>
        <v>-67304.428896621408</v>
      </c>
      <c r="N1013" s="1">
        <f ca="1">IFERROR(_xlfn.NUMBERVALUE(OFFSET(Origine,MATCH(Registro_Ordini[[#This Row],[Titolo]],Descrizioni,0),MATCH("Price",Intestazioni,0)-1,1,1)),"")</f>
        <v>1410</v>
      </c>
      <c r="O1013" s="18">
        <f ca="1">IF(OR(Registro_Ordini[[#This Row],[Price]]=0,Registro_Ordini[[#This Row],[Price]]=""),"",IF(Registro_Ordini[[#This Row],[Tipo]]="Sell",Registro_Ordini[[#This Row],[Prezzo]]/Registro_Ordini[[#This Row],[Price]]-1,Registro_Ordini[[#This Row],[Price]]/Registro_Ordini[[#This Row],[Prezzo]]-1))</f>
        <v>-0.24519858156028373</v>
      </c>
      <c r="P1013" s="15">
        <v>-1.9760032301030135E-2</v>
      </c>
      <c r="Q1013" s="3">
        <v>0.18804037182989108</v>
      </c>
      <c r="R1013" s="3">
        <v>0.43219476414716912</v>
      </c>
      <c r="S1013" s="3">
        <v>0.3362435646970417</v>
      </c>
      <c r="T1013" s="3">
        <v>0</v>
      </c>
      <c r="U1013" s="3">
        <v>4.35212993258981E-2</v>
      </c>
      <c r="V1013" s="3"/>
      <c r="W1013" s="4"/>
    </row>
    <row r="1014" spans="1:23" s="1" customFormat="1" ht="24.95" customHeight="1" x14ac:dyDescent="0.2">
      <c r="A1014" s="8">
        <v>45541</v>
      </c>
      <c r="B1014" s="7">
        <v>0.68541666666666667</v>
      </c>
      <c r="C1014" s="9" t="s">
        <v>375</v>
      </c>
      <c r="D1014" s="1" t="s">
        <v>388</v>
      </c>
      <c r="E1014" s="1" t="s">
        <v>389</v>
      </c>
      <c r="F1014" s="1" t="s">
        <v>510</v>
      </c>
      <c r="G1014" s="1" t="s">
        <v>365</v>
      </c>
      <c r="H1014" s="2">
        <v>-40</v>
      </c>
      <c r="I1014" s="17">
        <v>1068.02</v>
      </c>
      <c r="J1014" s="1" t="s">
        <v>366</v>
      </c>
      <c r="K1014" s="6">
        <f>Registro_Ordini[[#This Row],[Numero]]*Registro_Ordini[[#This Row],[Prezzo]]</f>
        <v>-42720.800000000003</v>
      </c>
      <c r="L1014" s="10">
        <v>0.84319992604159222</v>
      </c>
      <c r="M1014" s="6">
        <f>Registro_Ordini[[#This Row],[Importo]]*Registro_Ordini[[#This Row],[Cambio]]</f>
        <v>-36022.175400437656</v>
      </c>
      <c r="N1014" s="1">
        <f ca="1">IFERROR(_xlfn.NUMBERVALUE(OFFSET(Origine,MATCH(Registro_Ordini[[#This Row],[Titolo]],Descrizioni,0),MATCH("Price",Intestazioni,0)-1,1,1)),"")</f>
        <v>1410</v>
      </c>
      <c r="O1014" s="18">
        <f ca="1">IF(OR(Registro_Ordini[[#This Row],[Price]]=0,Registro_Ordini[[#This Row],[Price]]=""),"",IF(Registro_Ordini[[#This Row],[Tipo]]="Sell",Registro_Ordini[[#This Row],[Prezzo]]/Registro_Ordini[[#This Row],[Price]]-1,Registro_Ordini[[#This Row],[Price]]/Registro_Ordini[[#This Row],[Prezzo]]-1))</f>
        <v>-0.24253900709219856</v>
      </c>
      <c r="P1014" s="15">
        <v>-4.6199297817885378E-2</v>
      </c>
      <c r="Q1014" s="3">
        <v>0.20969751187623029</v>
      </c>
      <c r="R1014" s="3">
        <v>0.36208286304445603</v>
      </c>
      <c r="S1014" s="3">
        <v>0.3389677504491112</v>
      </c>
      <c r="T1014" s="3">
        <v>0</v>
      </c>
      <c r="U1014" s="3">
        <v>8.9251874630202482E-2</v>
      </c>
      <c r="V1014" s="3"/>
      <c r="W1014" s="4"/>
    </row>
    <row r="1015" spans="1:23" s="1" customFormat="1" ht="24.95" customHeight="1" x14ac:dyDescent="0.2">
      <c r="A1015" s="8">
        <v>45541</v>
      </c>
      <c r="B1015" s="7">
        <v>0.68541666666666667</v>
      </c>
      <c r="C1015" s="9" t="s">
        <v>378</v>
      </c>
      <c r="D1015" s="1" t="s">
        <v>388</v>
      </c>
      <c r="E1015" s="1" t="s">
        <v>389</v>
      </c>
      <c r="F1015" s="1" t="s">
        <v>510</v>
      </c>
      <c r="G1015" s="1" t="s">
        <v>365</v>
      </c>
      <c r="H1015" s="2">
        <v>-15</v>
      </c>
      <c r="I1015" s="17">
        <v>1068.02</v>
      </c>
      <c r="J1015" s="1" t="s">
        <v>366</v>
      </c>
      <c r="K1015" s="6">
        <f>Registro_Ordini[[#This Row],[Numero]]*Registro_Ordini[[#This Row],[Prezzo]]</f>
        <v>-16020.3</v>
      </c>
      <c r="L1015" s="10">
        <v>0.84319992604159222</v>
      </c>
      <c r="M1015" s="6">
        <f>Registro_Ordini[[#This Row],[Importo]]*Registro_Ordini[[#This Row],[Cambio]]</f>
        <v>-13508.315775164119</v>
      </c>
      <c r="N1015" s="1">
        <f ca="1">IFERROR(_xlfn.NUMBERVALUE(OFFSET(Origine,MATCH(Registro_Ordini[[#This Row],[Titolo]],Descrizioni,0),MATCH("Price",Intestazioni,0)-1,1,1)),"")</f>
        <v>1410</v>
      </c>
      <c r="O1015" s="18">
        <f ca="1">IF(OR(Registro_Ordini[[#This Row],[Price]]=0,Registro_Ordini[[#This Row],[Price]]=""),"",IF(Registro_Ordini[[#This Row],[Tipo]]="Sell",Registro_Ordini[[#This Row],[Prezzo]]/Registro_Ordini[[#This Row],[Price]]-1,Registro_Ordini[[#This Row],[Price]]/Registro_Ordini[[#This Row],[Prezzo]]-1))</f>
        <v>-0.24253900709219856</v>
      </c>
      <c r="P1015" s="15">
        <v>-2.7017968611512969E-2</v>
      </c>
      <c r="Q1015" s="3">
        <v>0.2120021100916224</v>
      </c>
      <c r="R1015" s="3">
        <v>0.34021288791353005</v>
      </c>
      <c r="S1015" s="3">
        <v>0.36411445584191604</v>
      </c>
      <c r="T1015" s="3">
        <v>0</v>
      </c>
      <c r="U1015" s="3">
        <v>8.3670546152931444E-2</v>
      </c>
      <c r="V1015" s="3"/>
      <c r="W1015" s="4"/>
    </row>
    <row r="1016" spans="1:23" s="1" customFormat="1" ht="24.95" customHeight="1" x14ac:dyDescent="0.2">
      <c r="A1016" s="8">
        <v>45541</v>
      </c>
      <c r="B1016" s="7">
        <v>0.68541666666666667</v>
      </c>
      <c r="C1016" s="9" t="s">
        <v>377</v>
      </c>
      <c r="D1016" s="1" t="s">
        <v>388</v>
      </c>
      <c r="E1016" s="1" t="s">
        <v>389</v>
      </c>
      <c r="F1016" s="1" t="s">
        <v>510</v>
      </c>
      <c r="G1016" s="1" t="s">
        <v>365</v>
      </c>
      <c r="H1016" s="2">
        <v>-50</v>
      </c>
      <c r="I1016" s="17">
        <v>1068.02</v>
      </c>
      <c r="J1016" s="1" t="s">
        <v>366</v>
      </c>
      <c r="K1016" s="6">
        <f>Registro_Ordini[[#This Row],[Numero]]*Registro_Ordini[[#This Row],[Prezzo]]</f>
        <v>-53401</v>
      </c>
      <c r="L1016" s="10">
        <v>0.84319992604159222</v>
      </c>
      <c r="M1016" s="6">
        <f>Registro_Ordini[[#This Row],[Importo]]*Registro_Ordini[[#This Row],[Cambio]]</f>
        <v>-45027.719250547067</v>
      </c>
      <c r="N1016" s="1">
        <f ca="1">IFERROR(_xlfn.NUMBERVALUE(OFFSET(Origine,MATCH(Registro_Ordini[[#This Row],[Titolo]],Descrizioni,0),MATCH("Price",Intestazioni,0)-1,1,1)),"")</f>
        <v>1410</v>
      </c>
      <c r="O1016" s="18">
        <f ca="1">IF(OR(Registro_Ordini[[#This Row],[Price]]=0,Registro_Ordini[[#This Row],[Price]]=""),"",IF(Registro_Ordini[[#This Row],[Tipo]]="Sell",Registro_Ordini[[#This Row],[Prezzo]]/Registro_Ordini[[#This Row],[Price]]-1,Registro_Ordini[[#This Row],[Price]]/Registro_Ordini[[#This Row],[Prezzo]]-1))</f>
        <v>-0.24253900709219856</v>
      </c>
      <c r="P1016" s="15">
        <v>-2.935785186509331E-2</v>
      </c>
      <c r="Q1016" s="3">
        <v>0.1792455264971452</v>
      </c>
      <c r="R1016" s="3">
        <v>0.3347440925443379</v>
      </c>
      <c r="S1016" s="3">
        <v>0.3969283861952454</v>
      </c>
      <c r="T1016" s="3">
        <v>0</v>
      </c>
      <c r="U1016" s="3">
        <v>8.9081994763271499E-2</v>
      </c>
      <c r="V1016" s="3"/>
      <c r="W1016" s="4"/>
    </row>
    <row r="1017" spans="1:23" s="1" customFormat="1" ht="24.95" customHeight="1" x14ac:dyDescent="0.2">
      <c r="A1017" s="8">
        <v>45541</v>
      </c>
      <c r="B1017" s="7">
        <v>0.68541666666666667</v>
      </c>
      <c r="C1017" s="9" t="s">
        <v>376</v>
      </c>
      <c r="D1017" s="1" t="s">
        <v>388</v>
      </c>
      <c r="E1017" s="1" t="s">
        <v>389</v>
      </c>
      <c r="F1017" s="1" t="s">
        <v>510</v>
      </c>
      <c r="G1017" s="1" t="s">
        <v>365</v>
      </c>
      <c r="H1017" s="2">
        <v>-10</v>
      </c>
      <c r="I1017" s="17">
        <v>1068.02</v>
      </c>
      <c r="J1017" s="1" t="s">
        <v>366</v>
      </c>
      <c r="K1017" s="6">
        <f>Registro_Ordini[[#This Row],[Numero]]*Registro_Ordini[[#This Row],[Prezzo]]</f>
        <v>-10680.2</v>
      </c>
      <c r="L1017" s="10">
        <v>0.84319992604159222</v>
      </c>
      <c r="M1017" s="6">
        <f>Registro_Ordini[[#This Row],[Importo]]*Registro_Ordini[[#This Row],[Cambio]]</f>
        <v>-9005.5438501094141</v>
      </c>
      <c r="N1017" s="1">
        <f ca="1">IFERROR(_xlfn.NUMBERVALUE(OFFSET(Origine,MATCH(Registro_Ordini[[#This Row],[Titolo]],Descrizioni,0),MATCH("Price",Intestazioni,0)-1,1,1)),"")</f>
        <v>1410</v>
      </c>
      <c r="O1017" s="18">
        <f ca="1">IF(OR(Registro_Ordini[[#This Row],[Price]]=0,Registro_Ordini[[#This Row],[Price]]=""),"",IF(Registro_Ordini[[#This Row],[Tipo]]="Sell",Registro_Ordini[[#This Row],[Prezzo]]/Registro_Ordini[[#This Row],[Price]]-1,Registro_Ordini[[#This Row],[Price]]/Registro_Ordini[[#This Row],[Prezzo]]-1))</f>
        <v>-0.24253900709219856</v>
      </c>
      <c r="P1017" s="15">
        <v>-3.2884477161993039E-2</v>
      </c>
      <c r="Q1017" s="3">
        <v>0.16576417998708048</v>
      </c>
      <c r="R1017" s="3">
        <v>0.3536463670240253</v>
      </c>
      <c r="S1017" s="3">
        <v>0.37571347985391562</v>
      </c>
      <c r="T1017" s="3">
        <v>0</v>
      </c>
      <c r="U1017" s="3">
        <v>0.10487597313497868</v>
      </c>
      <c r="V1017" s="3"/>
      <c r="W1017" s="4"/>
    </row>
    <row r="1018" spans="1:23" s="1" customFormat="1" ht="24.95" customHeight="1" x14ac:dyDescent="0.2">
      <c r="A1018" s="8">
        <v>45538</v>
      </c>
      <c r="B1018" s="7">
        <v>0.68055555555555558</v>
      </c>
      <c r="C1018" s="9" t="s">
        <v>413</v>
      </c>
      <c r="D1018" s="1" t="s">
        <v>388</v>
      </c>
      <c r="E1018" s="1" t="s">
        <v>389</v>
      </c>
      <c r="F1018" s="19" t="s">
        <v>452</v>
      </c>
      <c r="G1018" s="1" t="s">
        <v>371</v>
      </c>
      <c r="H1018" s="2">
        <v>16500</v>
      </c>
      <c r="I1018" s="17">
        <v>6.1779999999999999</v>
      </c>
      <c r="J1018" s="1" t="s">
        <v>366</v>
      </c>
      <c r="K1018" s="6">
        <f>Registro_Ordini[[#This Row],[Numero]]*Registro_Ordini[[#This Row],[Prezzo]]</f>
        <v>101937</v>
      </c>
      <c r="L1018" s="10">
        <v>0.84979993147543698</v>
      </c>
      <c r="M1018" s="6">
        <f>Registro_Ordini[[#This Row],[Importo]]*Registro_Ordini[[#This Row],[Cambio]]</f>
        <v>86626.055614811616</v>
      </c>
      <c r="N1018" s="1">
        <f ca="1">IFERROR(_xlfn.NUMBERVALUE(OFFSET(Origine,MATCH(Registro_Ordini[[#This Row],[Titolo]],Descrizioni,0),MATCH("Price",Intestazioni,0)-1,1,1)),"")</f>
        <v>7.2450000000000001</v>
      </c>
      <c r="O1018" s="18">
        <f ca="1">IF(OR(Registro_Ordini[[#This Row],[Price]]=0,Registro_Ordini[[#This Row],[Price]]=""),"",IF(Registro_Ordini[[#This Row],[Tipo]]="Sell",Registro_Ordini[[#This Row],[Prezzo]]/Registro_Ordini[[#This Row],[Price]]-1,Registro_Ordini[[#This Row],[Price]]/Registro_Ordini[[#This Row],[Prezzo]]-1))</f>
        <v>0.17270961476205904</v>
      </c>
      <c r="P1018" s="15">
        <v>1.9336420432281939E-2</v>
      </c>
      <c r="Q1018" s="3">
        <v>6.0499498243687853E-2</v>
      </c>
      <c r="R1018" s="3">
        <v>0.25257677568172077</v>
      </c>
      <c r="S1018" s="3">
        <v>0.31083167889354224</v>
      </c>
      <c r="T1018" s="3">
        <v>0</v>
      </c>
      <c r="U1018" s="3">
        <v>0.37609204718104922</v>
      </c>
      <c r="V1018" s="3">
        <v>0</v>
      </c>
      <c r="W1018" s="5"/>
    </row>
    <row r="1019" spans="1:23" s="1" customFormat="1" ht="24.95" customHeight="1" x14ac:dyDescent="0.2">
      <c r="A1019" s="8">
        <v>45538</v>
      </c>
      <c r="B1019" s="7">
        <v>0.6791666666666667</v>
      </c>
      <c r="C1019" s="9" t="s">
        <v>413</v>
      </c>
      <c r="D1019" s="1" t="s">
        <v>388</v>
      </c>
      <c r="E1019" s="1" t="s">
        <v>389</v>
      </c>
      <c r="F1019" s="19" t="s">
        <v>511</v>
      </c>
      <c r="G1019" s="1" t="s">
        <v>365</v>
      </c>
      <c r="H1019" s="2">
        <v>-900</v>
      </c>
      <c r="I1019" s="17">
        <v>113.35250000000001</v>
      </c>
      <c r="J1019" s="1" t="s">
        <v>366</v>
      </c>
      <c r="K1019" s="6">
        <f>Registro_Ordini[[#This Row],[Numero]]*Registro_Ordini[[#This Row],[Prezzo]]</f>
        <v>-102017.25</v>
      </c>
      <c r="L1019" s="10">
        <v>0.8485999279018539</v>
      </c>
      <c r="M1019" s="6">
        <f>Registro_Ordini[[#This Row],[Importo]]*Registro_Ordini[[#This Row],[Cambio]]</f>
        <v>-86571.830994745411</v>
      </c>
      <c r="N1019" s="1">
        <f ca="1">IFERROR(_xlfn.NUMBERVALUE(OFFSET(Origine,MATCH(Registro_Ordini[[#This Row],[Titolo]],Descrizioni,0),MATCH("Price",Intestazioni,0)-1,1,1)),"")</f>
        <v>143.58000000000001</v>
      </c>
      <c r="O1019" s="18">
        <f ca="1">IF(OR(Registro_Ordini[[#This Row],[Price]]=0,Registro_Ordini[[#This Row],[Price]]=""),"",IF(Registro_Ordini[[#This Row],[Tipo]]="Sell",Registro_Ordini[[#This Row],[Prezzo]]/Registro_Ordini[[#This Row],[Price]]-1,Registro_Ordini[[#This Row],[Price]]/Registro_Ordini[[#This Row],[Prezzo]]-1))</f>
        <v>-0.21052723220504255</v>
      </c>
      <c r="P1019" s="15">
        <v>-1.9315180510186786E-2</v>
      </c>
      <c r="Q1019" s="3">
        <v>7.9741587889304216E-2</v>
      </c>
      <c r="R1019" s="3">
        <v>0.25244891109117212</v>
      </c>
      <c r="S1019" s="3">
        <v>0.29139311310562682</v>
      </c>
      <c r="T1019" s="3">
        <v>0</v>
      </c>
      <c r="U1019" s="3">
        <v>0.3764163879138967</v>
      </c>
      <c r="V1019" s="3">
        <v>0</v>
      </c>
      <c r="W1019" s="5"/>
    </row>
    <row r="1020" spans="1:23" s="1" customFormat="1" ht="24.95" customHeight="1" x14ac:dyDescent="0.2">
      <c r="A1020" s="8">
        <v>45538</v>
      </c>
      <c r="B1020" s="7">
        <v>0.67847222222222225</v>
      </c>
      <c r="C1020" s="9" t="s">
        <v>413</v>
      </c>
      <c r="D1020" s="1" t="s">
        <v>388</v>
      </c>
      <c r="E1020" s="1" t="s">
        <v>389</v>
      </c>
      <c r="F1020" s="19" t="s">
        <v>462</v>
      </c>
      <c r="G1020" s="1" t="s">
        <v>365</v>
      </c>
      <c r="H1020" s="2">
        <v>-2750</v>
      </c>
      <c r="I1020" s="17">
        <v>37.25</v>
      </c>
      <c r="J1020" s="1" t="s">
        <v>366</v>
      </c>
      <c r="K1020" s="6">
        <f>Registro_Ordini[[#This Row],[Numero]]*Registro_Ordini[[#This Row],[Prezzo]]</f>
        <v>-102437.5</v>
      </c>
      <c r="L1020" s="10">
        <v>0.8485999279018539</v>
      </c>
      <c r="M1020" s="6">
        <f>Registro_Ordini[[#This Row],[Importo]]*Registro_Ordini[[#This Row],[Cambio]]</f>
        <v>-86928.455114446158</v>
      </c>
      <c r="N1020" s="1">
        <f ca="1">IFERROR(_xlfn.NUMBERVALUE(OFFSET(Origine,MATCH(Registro_Ordini[[#This Row],[Titolo]],Descrizioni,0),MATCH("Price",Intestazioni,0)-1,1,1)),"")</f>
        <v>53.88</v>
      </c>
      <c r="O1020" s="18">
        <f ca="1">IF(OR(Registro_Ordini[[#This Row],[Price]]=0,Registro_Ordini[[#This Row],[Price]]=""),"",IF(Registro_Ordini[[#This Row],[Tipo]]="Sell",Registro_Ordini[[#This Row],[Prezzo]]/Registro_Ordini[[#This Row],[Price]]-1,Registro_Ordini[[#This Row],[Price]]/Registro_Ordini[[#This Row],[Prezzo]]-1))</f>
        <v>-0.30864884929472902</v>
      </c>
      <c r="P1020" s="15">
        <v>-1.9394747491353264E-2</v>
      </c>
      <c r="Q1020" s="3">
        <v>6.042640737911744E-2</v>
      </c>
      <c r="R1020" s="3">
        <v>0.25244891109117212</v>
      </c>
      <c r="S1020" s="3">
        <v>0.31070829361581365</v>
      </c>
      <c r="T1020" s="3">
        <v>0</v>
      </c>
      <c r="U1020" s="3">
        <v>0.3764163879138967</v>
      </c>
      <c r="V1020" s="3">
        <v>0</v>
      </c>
      <c r="W1020" s="5"/>
    </row>
    <row r="1021" spans="1:23" s="1" customFormat="1" ht="24.95" customHeight="1" x14ac:dyDescent="0.2">
      <c r="A1021" s="8">
        <v>45538</v>
      </c>
      <c r="B1021" s="7">
        <v>0.67569444444444449</v>
      </c>
      <c r="C1021" s="9" t="s">
        <v>456</v>
      </c>
      <c r="D1021" s="1" t="s">
        <v>388</v>
      </c>
      <c r="E1021" s="1" t="s">
        <v>389</v>
      </c>
      <c r="F1021" s="1" t="s">
        <v>452</v>
      </c>
      <c r="G1021" s="1" t="s">
        <v>371</v>
      </c>
      <c r="H1021" s="2">
        <v>3800</v>
      </c>
      <c r="I1021" s="17">
        <v>6.1779999999999999</v>
      </c>
      <c r="J1021" s="1" t="s">
        <v>366</v>
      </c>
      <c r="K1021" s="6">
        <f>Registro_Ordini[[#This Row],[Numero]]*Registro_Ordini[[#This Row],[Prezzo]]</f>
        <v>23476.400000000001</v>
      </c>
      <c r="L1021" s="10">
        <v>0.8485999279018539</v>
      </c>
      <c r="M1021" s="6">
        <f>Registro_Ordini[[#This Row],[Importo]]*Registro_Ordini[[#This Row],[Cambio]]</f>
        <v>19922.071347395085</v>
      </c>
      <c r="N1021" s="1">
        <f ca="1">IFERROR(_xlfn.NUMBERVALUE(OFFSET(Origine,MATCH(Registro_Ordini[[#This Row],[Titolo]],Descrizioni,0),MATCH("Price",Intestazioni,0)-1,1,1)),"")</f>
        <v>7.2450000000000001</v>
      </c>
      <c r="O1021" s="18">
        <f ca="1">IF(OR(Registro_Ordini[[#This Row],[Price]]=0,Registro_Ordini[[#This Row],[Price]]=""),"",IF(Registro_Ordini[[#This Row],[Tipo]]="Sell",Registro_Ordini[[#This Row],[Prezzo]]/Registro_Ordini[[#This Row],[Price]]-1,Registro_Ordini[[#This Row],[Price]]/Registro_Ordini[[#This Row],[Prezzo]]-1))</f>
        <v>0.17270961476205904</v>
      </c>
      <c r="P1021" s="15">
        <v>2.5632080076981097E-2</v>
      </c>
      <c r="Q1021" s="3">
        <v>0.11828443257802675</v>
      </c>
      <c r="R1021" s="3">
        <v>0.31848395500060422</v>
      </c>
      <c r="S1021" s="3">
        <v>0.50635834091231691</v>
      </c>
      <c r="T1021" s="3">
        <v>0</v>
      </c>
      <c r="U1021" s="3">
        <v>0</v>
      </c>
      <c r="V1021" s="3">
        <v>5.6873271509052047E-2</v>
      </c>
      <c r="W1021" s="4"/>
    </row>
    <row r="1022" spans="1:23" s="1" customFormat="1" ht="24.95" customHeight="1" x14ac:dyDescent="0.2">
      <c r="A1022" s="8">
        <v>45538</v>
      </c>
      <c r="B1022" s="7">
        <v>0.67569444444444449</v>
      </c>
      <c r="C1022" s="9" t="s">
        <v>456</v>
      </c>
      <c r="D1022" s="1" t="s">
        <v>388</v>
      </c>
      <c r="E1022" s="1" t="s">
        <v>389</v>
      </c>
      <c r="F1022" s="1" t="s">
        <v>512</v>
      </c>
      <c r="G1022" s="1" t="s">
        <v>365</v>
      </c>
      <c r="H1022" s="2">
        <v>-120</v>
      </c>
      <c r="I1022" s="17">
        <v>92.59</v>
      </c>
      <c r="J1022" s="1" t="s">
        <v>366</v>
      </c>
      <c r="K1022" s="6">
        <f>Registro_Ordini[[#This Row],[Numero]]*Registro_Ordini[[#This Row],[Prezzo]]</f>
        <v>-11110.800000000001</v>
      </c>
      <c r="L1022" s="10">
        <v>0.8485999279018539</v>
      </c>
      <c r="M1022" s="6">
        <f>Registro_Ordini[[#This Row],[Importo]]*Registro_Ordini[[#This Row],[Cambio]]</f>
        <v>-9428.6240789319199</v>
      </c>
      <c r="N1022" s="1">
        <f ca="1">IFERROR(_xlfn.NUMBERVALUE(OFFSET(Origine,MATCH(Registro_Ordini[[#This Row],[Titolo]],Descrizioni,0),MATCH("Price",Intestazioni,0)-1,1,1)),"")</f>
        <v>51.86</v>
      </c>
      <c r="O1022" s="18">
        <f ca="1">IF(OR(Registro_Ordini[[#This Row],[Price]]=0,Registro_Ordini[[#This Row],[Price]]=""),"",IF(Registro_Ordini[[#This Row],[Tipo]]="Sell",Registro_Ordini[[#This Row],[Prezzo]]/Registro_Ordini[[#This Row],[Price]]-1,Registro_Ordini[[#This Row],[Price]]/Registro_Ordini[[#This Row],[Prezzo]]-1))</f>
        <v>0.7853837254145779</v>
      </c>
      <c r="P1022" s="15">
        <v>-1.2131030111913308E-2</v>
      </c>
      <c r="Q1022" s="3">
        <v>0.12977630934117002</v>
      </c>
      <c r="R1022" s="3">
        <v>0.31848395500060422</v>
      </c>
      <c r="S1022" s="3">
        <v>0.49486646414917373</v>
      </c>
      <c r="T1022" s="3">
        <v>0</v>
      </c>
      <c r="U1022" s="3">
        <v>0</v>
      </c>
      <c r="V1022" s="3">
        <v>5.6873271509052047E-2</v>
      </c>
      <c r="W1022" s="4"/>
    </row>
    <row r="1023" spans="1:23" s="1" customFormat="1" ht="24.95" customHeight="1" x14ac:dyDescent="0.2">
      <c r="A1023" s="8">
        <v>45538</v>
      </c>
      <c r="B1023" s="7">
        <v>0.67569444444444449</v>
      </c>
      <c r="C1023" s="9" t="s">
        <v>456</v>
      </c>
      <c r="D1023" s="1" t="s">
        <v>388</v>
      </c>
      <c r="E1023" s="1" t="s">
        <v>389</v>
      </c>
      <c r="F1023" s="1" t="s">
        <v>414</v>
      </c>
      <c r="G1023" s="1" t="s">
        <v>365</v>
      </c>
      <c r="H1023" s="2">
        <v>-120</v>
      </c>
      <c r="I1023" s="17">
        <v>107.925</v>
      </c>
      <c r="J1023" s="1" t="s">
        <v>366</v>
      </c>
      <c r="K1023" s="6">
        <f>Registro_Ordini[[#This Row],[Numero]]*Registro_Ordini[[#This Row],[Prezzo]]</f>
        <v>-12951</v>
      </c>
      <c r="L1023" s="10">
        <v>0.8485999279018539</v>
      </c>
      <c r="M1023" s="6">
        <f>Registro_Ordini[[#This Row],[Importo]]*Registro_Ordini[[#This Row],[Cambio]]</f>
        <v>-10990.217666256909</v>
      </c>
      <c r="N1023" s="1">
        <f ca="1">IFERROR(_xlfn.NUMBERVALUE(OFFSET(Origine,MATCH(Registro_Ordini[[#This Row],[Titolo]],Descrizioni,0),MATCH("Price",Intestazioni,0)-1,1,1)),"")</f>
        <v>137.36000000000001</v>
      </c>
      <c r="O1023" s="18">
        <f ca="1">IF(OR(Registro_Ordini[[#This Row],[Price]]=0,Registro_Ordini[[#This Row],[Price]]=""),"",IF(Registro_Ordini[[#This Row],[Tipo]]="Sell",Registro_Ordini[[#This Row],[Prezzo]]/Registro_Ordini[[#This Row],[Price]]-1,Registro_Ordini[[#This Row],[Price]]/Registro_Ordini[[#This Row],[Prezzo]]-1))</f>
        <v>-0.21429091438555625</v>
      </c>
      <c r="P1023" s="15">
        <v>-1.4140203313837816E-2</v>
      </c>
      <c r="Q1023" s="3">
        <v>0.14391651265500785</v>
      </c>
      <c r="R1023" s="3">
        <v>0.31848395500060422</v>
      </c>
      <c r="S1023" s="3">
        <v>0.48072626083533587</v>
      </c>
      <c r="T1023" s="3">
        <v>0</v>
      </c>
      <c r="U1023" s="3">
        <v>0</v>
      </c>
      <c r="V1023" s="3">
        <v>5.6873271509052047E-2</v>
      </c>
      <c r="W1023" s="4"/>
    </row>
    <row r="1024" spans="1:23" s="1" customFormat="1" ht="24.95" customHeight="1" x14ac:dyDescent="0.2">
      <c r="A1024" s="8">
        <v>45538</v>
      </c>
      <c r="B1024" s="7">
        <v>0.67291666666666672</v>
      </c>
      <c r="C1024" s="9" t="s">
        <v>456</v>
      </c>
      <c r="D1024" s="1" t="s">
        <v>388</v>
      </c>
      <c r="E1024" s="1" t="s">
        <v>397</v>
      </c>
      <c r="F1024" s="1" t="s">
        <v>513</v>
      </c>
      <c r="G1024" s="1" t="s">
        <v>365</v>
      </c>
      <c r="H1024" s="2">
        <v>-300</v>
      </c>
      <c r="I1024" s="17">
        <v>32.46</v>
      </c>
      <c r="J1024" s="1" t="s">
        <v>369</v>
      </c>
      <c r="K1024" s="6">
        <f>Registro_Ordini[[#This Row],[Numero]]*Registro_Ordini[[#This Row],[Prezzo]]</f>
        <v>-9738</v>
      </c>
      <c r="L1024" s="10">
        <v>1</v>
      </c>
      <c r="M1024" s="6">
        <f>Registro_Ordini[[#This Row],[Importo]]*Registro_Ordini[[#This Row],[Cambio]]</f>
        <v>-9738</v>
      </c>
      <c r="N1024" s="1">
        <f ca="1">IFERROR(_xlfn.NUMBERVALUE(OFFSET(Origine,MATCH(Registro_Ordini[[#This Row],[Titolo]],Descrizioni,0),MATCH("Price",Intestazioni,0)-1,1,1)),"")</f>
        <v>45.44</v>
      </c>
      <c r="O1024" s="18">
        <f ca="1">IF(OR(Registro_Ordini[[#This Row],[Price]]=0,Registro_Ordini[[#This Row],[Price]]=""),"",IF(Registro_Ordini[[#This Row],[Tipo]]="Sell",Registro_Ordini[[#This Row],[Prezzo]]/Registro_Ordini[[#This Row],[Price]]-1,Registro_Ordini[[#This Row],[Price]]/Registro_Ordini[[#This Row],[Prezzo]]-1))</f>
        <v>-0.28565140845070414</v>
      </c>
      <c r="P1024" s="15">
        <v>-1.2529431683624108E-2</v>
      </c>
      <c r="Q1024" s="3">
        <v>0.13066793008578811</v>
      </c>
      <c r="R1024" s="3">
        <v>0.31848932948764325</v>
      </c>
      <c r="S1024" s="3">
        <v>0.49396786570935464</v>
      </c>
      <c r="T1024" s="3">
        <v>0</v>
      </c>
      <c r="U1024" s="3">
        <v>0</v>
      </c>
      <c r="V1024" s="3">
        <v>5.6874874717214009E-2</v>
      </c>
      <c r="W1024" s="4"/>
    </row>
    <row r="1025" spans="1:23" s="1" customFormat="1" ht="24.95" customHeight="1" x14ac:dyDescent="0.2">
      <c r="A1025" s="8">
        <v>45538</v>
      </c>
      <c r="B1025" s="7">
        <v>0.67291666666666672</v>
      </c>
      <c r="C1025" s="9" t="s">
        <v>456</v>
      </c>
      <c r="D1025" s="1" t="s">
        <v>388</v>
      </c>
      <c r="E1025" s="1" t="s">
        <v>397</v>
      </c>
      <c r="F1025" s="1" t="s">
        <v>443</v>
      </c>
      <c r="G1025" s="1" t="s">
        <v>371</v>
      </c>
      <c r="H1025" s="2">
        <v>100</v>
      </c>
      <c r="I1025" s="17">
        <v>101.18</v>
      </c>
      <c r="J1025" s="1" t="s">
        <v>369</v>
      </c>
      <c r="K1025" s="6">
        <f>Registro_Ordini[[#This Row],[Numero]]*Registro_Ordini[[#This Row],[Prezzo]]</f>
        <v>10118</v>
      </c>
      <c r="L1025" s="10">
        <v>1</v>
      </c>
      <c r="M1025" s="6">
        <f>Registro_Ordini[[#This Row],[Importo]]*Registro_Ordini[[#This Row],[Cambio]]</f>
        <v>10118</v>
      </c>
      <c r="N1025" s="1">
        <f ca="1">IFERROR(_xlfn.NUMBERVALUE(OFFSET(Origine,MATCH(Registro_Ordini[[#This Row],[Titolo]],Descrizioni,0),MATCH("Price",Intestazioni,0)-1,1,1)),"")</f>
        <v>126.4</v>
      </c>
      <c r="O1025" s="18">
        <f ca="1">IF(OR(Registro_Ordini[[#This Row],[Price]]=0,Registro_Ordini[[#This Row],[Price]]=""),"",IF(Registro_Ordini[[#This Row],[Tipo]]="Sell",Registro_Ordini[[#This Row],[Prezzo]]/Registro_Ordini[[#This Row],[Price]]-1,Registro_Ordini[[#This Row],[Price]]/Registro_Ordini[[#This Row],[Prezzo]]-1))</f>
        <v>0.24925874678790283</v>
      </c>
      <c r="P1025" s="15">
        <v>1.3018360009746223E-2</v>
      </c>
      <c r="Q1025" s="3">
        <v>0.11764957007604188</v>
      </c>
      <c r="R1025" s="3">
        <v>0.31848932948764325</v>
      </c>
      <c r="S1025" s="3">
        <v>0.50698622571910079</v>
      </c>
      <c r="T1025" s="3">
        <v>0</v>
      </c>
      <c r="U1025" s="3">
        <v>0</v>
      </c>
      <c r="V1025" s="3">
        <v>5.6874874717214009E-2</v>
      </c>
      <c r="W1025" s="4"/>
    </row>
    <row r="1026" spans="1:23" s="1" customFormat="1" ht="24.95" customHeight="1" x14ac:dyDescent="0.2">
      <c r="A1026" s="8">
        <v>45526</v>
      </c>
      <c r="B1026" s="7">
        <v>0.50069444444444444</v>
      </c>
      <c r="C1026" s="9" t="s">
        <v>383</v>
      </c>
      <c r="D1026" s="1" t="s">
        <v>388</v>
      </c>
      <c r="E1026" s="1" t="s">
        <v>423</v>
      </c>
      <c r="F1026" s="1" t="s">
        <v>424</v>
      </c>
      <c r="G1026" s="1" t="s">
        <v>365</v>
      </c>
      <c r="H1026" s="2">
        <v>-960</v>
      </c>
      <c r="I1026" s="17">
        <v>25.34</v>
      </c>
      <c r="J1026" s="1" t="s">
        <v>366</v>
      </c>
      <c r="K1026" s="6">
        <f>Registro_Ordini[[#This Row],[Numero]]*Registro_Ordini[[#This Row],[Prezzo]]</f>
        <v>-24326.400000000001</v>
      </c>
      <c r="L1026" s="10">
        <v>0.94729066638526893</v>
      </c>
      <c r="M1026" s="6">
        <f>Registro_Ordini[[#This Row],[Importo]]*Registro_Ordini[[#This Row],[Cambio]]</f>
        <v>-23044.171666754606</v>
      </c>
      <c r="N1026" s="1">
        <f ca="1">IFERROR(_xlfn.NUMBERVALUE(OFFSET(Origine,MATCH(Registro_Ordini[[#This Row],[Titolo]],Descrizioni,0),MATCH("Price",Intestazioni,0)-1,1,1)),"")</f>
        <v>31.73</v>
      </c>
      <c r="O1026" s="18">
        <f ca="1">IF(OR(Registro_Ordini[[#This Row],[Price]]=0,Registro_Ordini[[#This Row],[Price]]=""),"",IF(Registro_Ordini[[#This Row],[Tipo]]="Sell",Registro_Ordini[[#This Row],[Prezzo]]/Registro_Ordini[[#This Row],[Price]]-1,Registro_Ordini[[#This Row],[Price]]/Registro_Ordini[[#This Row],[Prezzo]]-1))</f>
        <v>-0.20138670028364325</v>
      </c>
      <c r="P1026" s="15">
        <v>-3.7847367136324341E-2</v>
      </c>
      <c r="Q1026" s="3">
        <v>0.23645020443509532</v>
      </c>
      <c r="R1026" s="3">
        <v>0.23643945957761042</v>
      </c>
      <c r="S1026" s="3">
        <v>0.43346798805103809</v>
      </c>
      <c r="T1026" s="3">
        <v>0</v>
      </c>
      <c r="U1026" s="3">
        <v>9.3642347936256171E-2</v>
      </c>
      <c r="V1026" s="3"/>
      <c r="W1026" s="4"/>
    </row>
    <row r="1027" spans="1:23" s="1" customFormat="1" ht="24.95" customHeight="1" x14ac:dyDescent="0.2">
      <c r="A1027" s="8">
        <v>45526</v>
      </c>
      <c r="B1027" s="7">
        <v>0.50069444444444444</v>
      </c>
      <c r="C1027" s="9" t="s">
        <v>382</v>
      </c>
      <c r="D1027" s="1" t="s">
        <v>388</v>
      </c>
      <c r="E1027" s="1" t="s">
        <v>423</v>
      </c>
      <c r="F1027" s="1" t="s">
        <v>424</v>
      </c>
      <c r="G1027" s="1" t="s">
        <v>365</v>
      </c>
      <c r="H1027" s="2">
        <v>-1825</v>
      </c>
      <c r="I1027" s="17">
        <v>25.34</v>
      </c>
      <c r="J1027" s="1" t="s">
        <v>366</v>
      </c>
      <c r="K1027" s="6">
        <f>Registro_Ordini[[#This Row],[Numero]]*Registro_Ordini[[#This Row],[Prezzo]]</f>
        <v>-46245.5</v>
      </c>
      <c r="L1027" s="10">
        <v>0.94729066638526893</v>
      </c>
      <c r="M1027" s="6">
        <f>Registro_Ordini[[#This Row],[Importo]]*Registro_Ordini[[#This Row],[Cambio]]</f>
        <v>-43807.930512319952</v>
      </c>
      <c r="N1027" s="1">
        <f ca="1">IFERROR(_xlfn.NUMBERVALUE(OFFSET(Origine,MATCH(Registro_Ordini[[#This Row],[Titolo]],Descrizioni,0),MATCH("Price",Intestazioni,0)-1,1,1)),"")</f>
        <v>31.73</v>
      </c>
      <c r="O1027" s="18">
        <f ca="1">IF(OR(Registro_Ordini[[#This Row],[Price]]=0,Registro_Ordini[[#This Row],[Price]]=""),"",IF(Registro_Ordini[[#This Row],[Tipo]]="Sell",Registro_Ordini[[#This Row],[Prezzo]]/Registro_Ordini[[#This Row],[Price]]-1,Registro_Ordini[[#This Row],[Price]]/Registro_Ordini[[#This Row],[Prezzo]]-1))</f>
        <v>-0.20138670028364325</v>
      </c>
      <c r="P1027" s="15">
        <v>-4.266520071125026E-2</v>
      </c>
      <c r="Q1027" s="3">
        <v>0.1977644189794861</v>
      </c>
      <c r="R1027" s="3">
        <v>0.23165401580434497</v>
      </c>
      <c r="S1027" s="3">
        <v>0.47532988345151345</v>
      </c>
      <c r="T1027" s="3">
        <v>0</v>
      </c>
      <c r="U1027" s="3">
        <v>9.5251681764655496E-2</v>
      </c>
      <c r="V1027" s="3"/>
      <c r="W1027" s="4"/>
    </row>
    <row r="1028" spans="1:23" s="1" customFormat="1" ht="24.95" customHeight="1" x14ac:dyDescent="0.2">
      <c r="A1028" s="8">
        <v>45526</v>
      </c>
      <c r="B1028" s="7">
        <v>0.50069444444444444</v>
      </c>
      <c r="C1028" s="9" t="s">
        <v>379</v>
      </c>
      <c r="D1028" s="1" t="s">
        <v>388</v>
      </c>
      <c r="E1028" s="1" t="s">
        <v>423</v>
      </c>
      <c r="F1028" s="1" t="s">
        <v>424</v>
      </c>
      <c r="G1028" s="1" t="s">
        <v>365</v>
      </c>
      <c r="H1028" s="2">
        <v>-480</v>
      </c>
      <c r="I1028" s="17">
        <v>25.34</v>
      </c>
      <c r="J1028" s="1" t="s">
        <v>366</v>
      </c>
      <c r="K1028" s="6">
        <f>Registro_Ordini[[#This Row],[Numero]]*Registro_Ordini[[#This Row],[Prezzo]]</f>
        <v>-12163.2</v>
      </c>
      <c r="L1028" s="10">
        <v>0.94729066638526893</v>
      </c>
      <c r="M1028" s="6">
        <f>Registro_Ordini[[#This Row],[Importo]]*Registro_Ordini[[#This Row],[Cambio]]</f>
        <v>-11522.085833377303</v>
      </c>
      <c r="N1028" s="1">
        <f ca="1">IFERROR(_xlfn.NUMBERVALUE(OFFSET(Origine,MATCH(Registro_Ordini[[#This Row],[Titolo]],Descrizioni,0),MATCH("Price",Intestazioni,0)-1,1,1)),"")</f>
        <v>31.73</v>
      </c>
      <c r="O1028" s="18">
        <f ca="1">IF(OR(Registro_Ordini[[#This Row],[Price]]=0,Registro_Ordini[[#This Row],[Price]]=""),"",IF(Registro_Ordini[[#This Row],[Tipo]]="Sell",Registro_Ordini[[#This Row],[Prezzo]]/Registro_Ordini[[#This Row],[Price]]-1,Registro_Ordini[[#This Row],[Price]]/Registro_Ordini[[#This Row],[Prezzo]]-1))</f>
        <v>-0.20138670028364325</v>
      </c>
      <c r="P1028" s="15">
        <v>-2.0554163264312336E-2</v>
      </c>
      <c r="Q1028" s="3">
        <v>0.18746344156835032</v>
      </c>
      <c r="R1028" s="3">
        <v>0.24429145175483089</v>
      </c>
      <c r="S1028" s="3">
        <v>0.47324090887363873</v>
      </c>
      <c r="T1028" s="3">
        <v>0</v>
      </c>
      <c r="U1028" s="3">
        <v>9.5004197803180049E-2</v>
      </c>
      <c r="V1028" s="3"/>
      <c r="W1028" s="4"/>
    </row>
    <row r="1029" spans="1:23" s="1" customFormat="1" ht="24.95" customHeight="1" x14ac:dyDescent="0.2">
      <c r="A1029" s="8">
        <v>45523</v>
      </c>
      <c r="B1029" s="7">
        <v>0.72291666666666665</v>
      </c>
      <c r="C1029" s="9" t="s">
        <v>367</v>
      </c>
      <c r="D1029" s="1" t="s">
        <v>388</v>
      </c>
      <c r="E1029" s="1" t="s">
        <v>389</v>
      </c>
      <c r="F1029" s="1" t="s">
        <v>490</v>
      </c>
      <c r="G1029" s="1" t="s">
        <v>371</v>
      </c>
      <c r="H1029" s="2">
        <v>2350</v>
      </c>
      <c r="I1029" s="17">
        <v>42.094999999999999</v>
      </c>
      <c r="J1029" s="1" t="s">
        <v>366</v>
      </c>
      <c r="K1029" s="6">
        <f>Registro_Ordini[[#This Row],[Numero]]*Registro_Ordini[[#This Row],[Prezzo]]</f>
        <v>98923.25</v>
      </c>
      <c r="L1029" s="10">
        <v>0.86319991998692325</v>
      </c>
      <c r="M1029" s="6">
        <f>Registro_Ordini[[#This Row],[Importo]]*Registro_Ordini[[#This Row],[Cambio]]</f>
        <v>85390.541484846399</v>
      </c>
      <c r="N1029" s="1">
        <f ca="1">IFERROR(_xlfn.NUMBERVALUE(OFFSET(Origine,MATCH(Registro_Ordini[[#This Row],[Titolo]],Descrizioni,0),MATCH("Price",Intestazioni,0)-1,1,1)),"")</f>
        <v>43.62</v>
      </c>
      <c r="O1029" s="18">
        <f ca="1">IF(OR(Registro_Ordini[[#This Row],[Price]]=0,Registro_Ordini[[#This Row],[Price]]=""),"",IF(Registro_Ordini[[#This Row],[Tipo]]="Sell",Registro_Ordini[[#This Row],[Prezzo]]/Registro_Ordini[[#This Row],[Price]]-1,Registro_Ordini[[#This Row],[Price]]/Registro_Ordini[[#This Row],[Prezzo]]-1))</f>
        <v>3.6227580472740106E-2</v>
      </c>
      <c r="P1029" s="15">
        <v>2.4952384140890169E-2</v>
      </c>
      <c r="Q1029" s="3">
        <v>0.17337511332201722</v>
      </c>
      <c r="R1029" s="3">
        <v>0.41756548354290202</v>
      </c>
      <c r="S1029" s="3">
        <v>0.3648853097786261</v>
      </c>
      <c r="T1029" s="3">
        <v>0</v>
      </c>
      <c r="U1029" s="3">
        <v>4.4174093356454794E-2</v>
      </c>
      <c r="V1029" s="3"/>
      <c r="W1029" s="4"/>
    </row>
    <row r="1030" spans="1:23" s="1" customFormat="1" ht="24.95" customHeight="1" x14ac:dyDescent="0.2">
      <c r="A1030" s="8">
        <v>45523</v>
      </c>
      <c r="B1030" s="7">
        <v>0.72083333333333333</v>
      </c>
      <c r="C1030" s="9" t="s">
        <v>383</v>
      </c>
      <c r="D1030" s="1" t="s">
        <v>388</v>
      </c>
      <c r="E1030" s="1" t="s">
        <v>389</v>
      </c>
      <c r="F1030" s="1" t="s">
        <v>489</v>
      </c>
      <c r="G1030" s="1" t="s">
        <v>371</v>
      </c>
      <c r="H1030" s="2">
        <v>530</v>
      </c>
      <c r="I1030" s="17">
        <v>30.13</v>
      </c>
      <c r="J1030" s="1" t="s">
        <v>366</v>
      </c>
      <c r="K1030" s="6">
        <f>Registro_Ordini[[#This Row],[Numero]]*Registro_Ordini[[#This Row],[Prezzo]]</f>
        <v>15968.9</v>
      </c>
      <c r="L1030" s="10">
        <v>0.94537749175953534</v>
      </c>
      <c r="M1030" s="6">
        <f>Registro_Ordini[[#This Row],[Importo]]*Registro_Ordini[[#This Row],[Cambio]]</f>
        <v>15096.638628158844</v>
      </c>
      <c r="N1030" s="1">
        <f ca="1">IFERROR(_xlfn.NUMBERVALUE(OFFSET(Origine,MATCH(Registro_Ordini[[#This Row],[Titolo]],Descrizioni,0),MATCH("Price",Intestazioni,0)-1,1,1)),"")</f>
        <v>31.55</v>
      </c>
      <c r="O1030" s="18">
        <f ca="1">IF(OR(Registro_Ordini[[#This Row],[Price]]=0,Registro_Ordini[[#This Row],[Price]]=""),"",IF(Registro_Ordini[[#This Row],[Tipo]]="Sell",Registro_Ordini[[#This Row],[Prezzo]]/Registro_Ordini[[#This Row],[Price]]-1,Registro_Ordini[[#This Row],[Price]]/Registro_Ordini[[#This Row],[Prezzo]]-1))</f>
        <v>4.7129107202124265E-2</v>
      </c>
      <c r="P1030" s="15">
        <v>2.4848188346090323E-2</v>
      </c>
      <c r="Q1030" s="3">
        <v>0.2013498895580679</v>
      </c>
      <c r="R1030" s="3">
        <v>0.23677423323550226</v>
      </c>
      <c r="S1030" s="3">
        <v>0.46830297823505024</v>
      </c>
      <c r="T1030" s="3">
        <v>0</v>
      </c>
      <c r="U1030" s="3">
        <v>9.3572898971379673E-2</v>
      </c>
      <c r="V1030" s="3"/>
      <c r="W1030" s="4"/>
    </row>
    <row r="1031" spans="1:23" s="1" customFormat="1" ht="24.95" customHeight="1" x14ac:dyDescent="0.2">
      <c r="A1031" s="8">
        <v>45523</v>
      </c>
      <c r="B1031" s="7">
        <v>0.72083333333333333</v>
      </c>
      <c r="C1031" s="9" t="s">
        <v>78</v>
      </c>
      <c r="D1031" s="1" t="s">
        <v>388</v>
      </c>
      <c r="E1031" s="1" t="s">
        <v>389</v>
      </c>
      <c r="F1031" s="1" t="s">
        <v>489</v>
      </c>
      <c r="G1031" s="1" t="s">
        <v>371</v>
      </c>
      <c r="H1031" s="2">
        <v>400</v>
      </c>
      <c r="I1031" s="17">
        <v>30.13</v>
      </c>
      <c r="J1031" s="1" t="s">
        <v>366</v>
      </c>
      <c r="K1031" s="6">
        <f>Registro_Ordini[[#This Row],[Numero]]*Registro_Ordini[[#This Row],[Prezzo]]</f>
        <v>12052</v>
      </c>
      <c r="L1031" s="10">
        <v>0.86319991998692325</v>
      </c>
      <c r="M1031" s="6">
        <f>Registro_Ordini[[#This Row],[Importo]]*Registro_Ordini[[#This Row],[Cambio]]</f>
        <v>10403.285435682399</v>
      </c>
      <c r="N1031" s="1">
        <f ca="1">IFERROR(_xlfn.NUMBERVALUE(OFFSET(Origine,MATCH(Registro_Ordini[[#This Row],[Titolo]],Descrizioni,0),MATCH("Price",Intestazioni,0)-1,1,1)),"")</f>
        <v>31.55</v>
      </c>
      <c r="O1031" s="18">
        <f ca="1">IF(OR(Registro_Ordini[[#This Row],[Price]]=0,Registro_Ordini[[#This Row],[Price]]=""),"",IF(Registro_Ordini[[#This Row],[Tipo]]="Sell",Registro_Ordini[[#This Row],[Prezzo]]/Registro_Ordini[[#This Row],[Price]]-1,Registro_Ordini[[#This Row],[Price]]/Registro_Ordini[[#This Row],[Prezzo]]-1))</f>
        <v>4.7129107202124265E-2</v>
      </c>
      <c r="P1031" s="15">
        <v>2.5248727331218433E-2</v>
      </c>
      <c r="Q1031" s="3">
        <v>0.13417223654335092</v>
      </c>
      <c r="R1031" s="3">
        <v>0.16535103958873376</v>
      </c>
      <c r="S1031" s="3">
        <v>0.63555246114910868</v>
      </c>
      <c r="T1031" s="3">
        <v>0</v>
      </c>
      <c r="U1031" s="3">
        <v>6.4924262718806719E-2</v>
      </c>
      <c r="V1031" s="3"/>
      <c r="W1031" s="4"/>
    </row>
    <row r="1032" spans="1:23" s="1" customFormat="1" ht="24.95" customHeight="1" x14ac:dyDescent="0.2">
      <c r="A1032" s="8">
        <v>45523</v>
      </c>
      <c r="B1032" s="7">
        <v>0.72083333333333333</v>
      </c>
      <c r="C1032" s="9" t="s">
        <v>375</v>
      </c>
      <c r="D1032" s="1" t="s">
        <v>388</v>
      </c>
      <c r="E1032" s="1" t="s">
        <v>389</v>
      </c>
      <c r="F1032" s="1" t="s">
        <v>489</v>
      </c>
      <c r="G1032" s="1" t="s">
        <v>371</v>
      </c>
      <c r="H1032" s="2">
        <v>760</v>
      </c>
      <c r="I1032" s="17">
        <v>30.13</v>
      </c>
      <c r="J1032" s="1" t="s">
        <v>366</v>
      </c>
      <c r="K1032" s="6">
        <f>Registro_Ordini[[#This Row],[Numero]]*Registro_Ordini[[#This Row],[Prezzo]]</f>
        <v>22898.799999999999</v>
      </c>
      <c r="L1032" s="10">
        <v>0.86319991998692325</v>
      </c>
      <c r="M1032" s="6">
        <f>Registro_Ordini[[#This Row],[Importo]]*Registro_Ordini[[#This Row],[Cambio]]</f>
        <v>19766.242327796557</v>
      </c>
      <c r="N1032" s="1">
        <f ca="1">IFERROR(_xlfn.NUMBERVALUE(OFFSET(Origine,MATCH(Registro_Ordini[[#This Row],[Titolo]],Descrizioni,0),MATCH("Price",Intestazioni,0)-1,1,1)),"")</f>
        <v>31.55</v>
      </c>
      <c r="O1032" s="18">
        <f ca="1">IF(OR(Registro_Ordini[[#This Row],[Price]]=0,Registro_Ordini[[#This Row],[Price]]=""),"",IF(Registro_Ordini[[#This Row],[Tipo]]="Sell",Registro_Ordini[[#This Row],[Prezzo]]/Registro_Ordini[[#This Row],[Price]]-1,Registro_Ordini[[#This Row],[Price]]/Registro_Ordini[[#This Row],[Prezzo]]-1))</f>
        <v>4.7129107202124265E-2</v>
      </c>
      <c r="P1032" s="15">
        <v>2.5018637808875387E-2</v>
      </c>
      <c r="Q1032" s="3">
        <v>0.16297648329599138</v>
      </c>
      <c r="R1032" s="3">
        <v>0.3569491409936148</v>
      </c>
      <c r="S1032" s="3">
        <v>0.39214219791227922</v>
      </c>
      <c r="T1032" s="3">
        <v>0</v>
      </c>
      <c r="U1032" s="3">
        <v>8.7932177798114561E-2</v>
      </c>
      <c r="V1032" s="3"/>
      <c r="W1032" s="4"/>
    </row>
    <row r="1033" spans="1:23" s="1" customFormat="1" ht="24.95" customHeight="1" x14ac:dyDescent="0.2">
      <c r="A1033" s="8">
        <v>45523</v>
      </c>
      <c r="B1033" s="7">
        <v>0.72083333333333333</v>
      </c>
      <c r="C1033" s="9" t="s">
        <v>382</v>
      </c>
      <c r="D1033" s="1" t="s">
        <v>388</v>
      </c>
      <c r="E1033" s="1" t="s">
        <v>389</v>
      </c>
      <c r="F1033" s="1" t="s">
        <v>489</v>
      </c>
      <c r="G1033" s="1" t="s">
        <v>371</v>
      </c>
      <c r="H1033" s="2">
        <v>900</v>
      </c>
      <c r="I1033" s="17">
        <v>30.13</v>
      </c>
      <c r="J1033" s="1" t="s">
        <v>366</v>
      </c>
      <c r="K1033" s="6">
        <f>Registro_Ordini[[#This Row],[Numero]]*Registro_Ordini[[#This Row],[Prezzo]]</f>
        <v>27117</v>
      </c>
      <c r="L1033" s="10">
        <v>0.94537749175953534</v>
      </c>
      <c r="M1033" s="6">
        <f>Registro_Ordini[[#This Row],[Importo]]*Registro_Ordini[[#This Row],[Cambio]]</f>
        <v>25635.801444043318</v>
      </c>
      <c r="N1033" s="1">
        <f ca="1">IFERROR(_xlfn.NUMBERVALUE(OFFSET(Origine,MATCH(Registro_Ordini[[#This Row],[Titolo]],Descrizioni,0),MATCH("Price",Intestazioni,0)-1,1,1)),"")</f>
        <v>31.55</v>
      </c>
      <c r="O1033" s="18">
        <f ca="1">IF(OR(Registro_Ordini[[#This Row],[Price]]=0,Registro_Ordini[[#This Row],[Price]]=""),"",IF(Registro_Ordini[[#This Row],[Tipo]]="Sell",Registro_Ordini[[#This Row],[Prezzo]]/Registro_Ordini[[#This Row],[Price]]-1,Registro_Ordini[[#This Row],[Price]]/Registro_Ordini[[#This Row],[Prezzo]]-1))</f>
        <v>4.7129107202124265E-2</v>
      </c>
      <c r="P1033" s="15">
        <v>2.5022486775801753E-2</v>
      </c>
      <c r="Q1033" s="3">
        <v>0.15799470549986147</v>
      </c>
      <c r="R1033" s="3">
        <v>0.231971741202778</v>
      </c>
      <c r="S1033" s="3">
        <v>0.51482475800234728</v>
      </c>
      <c r="T1033" s="3">
        <v>0</v>
      </c>
      <c r="U1033" s="3">
        <v>9.5208795295013318E-2</v>
      </c>
      <c r="V1033" s="3"/>
      <c r="W1033" s="4"/>
    </row>
    <row r="1034" spans="1:23" s="1" customFormat="1" ht="24.95" customHeight="1" x14ac:dyDescent="0.2">
      <c r="A1034" s="8">
        <v>45523</v>
      </c>
      <c r="B1034" s="7">
        <v>0.72083333333333333</v>
      </c>
      <c r="C1034" s="9" t="s">
        <v>106</v>
      </c>
      <c r="D1034" s="1" t="s">
        <v>388</v>
      </c>
      <c r="E1034" s="1" t="s">
        <v>389</v>
      </c>
      <c r="F1034" s="1" t="s">
        <v>489</v>
      </c>
      <c r="G1034" s="1" t="s">
        <v>371</v>
      </c>
      <c r="H1034" s="2">
        <v>200</v>
      </c>
      <c r="I1034" s="17">
        <v>30.13</v>
      </c>
      <c r="J1034" s="1" t="s">
        <v>366</v>
      </c>
      <c r="K1034" s="6">
        <f>Registro_Ordini[[#This Row],[Numero]]*Registro_Ordini[[#This Row],[Prezzo]]</f>
        <v>6026</v>
      </c>
      <c r="L1034" s="10">
        <v>0.94537749175953534</v>
      </c>
      <c r="M1034" s="6">
        <f>Registro_Ordini[[#This Row],[Importo]]*Registro_Ordini[[#This Row],[Cambio]]</f>
        <v>5696.8447653429603</v>
      </c>
      <c r="N1034" s="1">
        <f ca="1">IFERROR(_xlfn.NUMBERVALUE(OFFSET(Origine,MATCH(Registro_Ordini[[#This Row],[Titolo]],Descrizioni,0),MATCH("Price",Intestazioni,0)-1,1,1)),"")</f>
        <v>31.55</v>
      </c>
      <c r="O1034" s="18">
        <f ca="1">IF(OR(Registro_Ordini[[#This Row],[Price]]=0,Registro_Ordini[[#This Row],[Price]]=""),"",IF(Registro_Ordini[[#This Row],[Tipo]]="Sell",Registro_Ordini[[#This Row],[Prezzo]]/Registro_Ordini[[#This Row],[Price]]-1,Registro_Ordini[[#This Row],[Price]]/Registro_Ordini[[#This Row],[Prezzo]]-1))</f>
        <v>4.7129107202124265E-2</v>
      </c>
      <c r="P1034" s="15">
        <v>4.2390004160435493E-2</v>
      </c>
      <c r="Q1034" s="3">
        <v>0.21728633428459293</v>
      </c>
      <c r="R1034" s="3">
        <v>0.20351103178343827</v>
      </c>
      <c r="S1034" s="3">
        <v>0.45848742952592214</v>
      </c>
      <c r="T1034" s="3">
        <v>0</v>
      </c>
      <c r="U1034" s="3">
        <v>0.12071520440604665</v>
      </c>
      <c r="V1034" s="3"/>
      <c r="W1034" s="4"/>
    </row>
    <row r="1035" spans="1:23" s="1" customFormat="1" ht="24.95" customHeight="1" x14ac:dyDescent="0.2">
      <c r="A1035" s="8">
        <v>45523</v>
      </c>
      <c r="B1035" s="7">
        <v>0.72083333333333333</v>
      </c>
      <c r="C1035" s="9" t="s">
        <v>377</v>
      </c>
      <c r="D1035" s="1" t="s">
        <v>388</v>
      </c>
      <c r="E1035" s="1" t="s">
        <v>389</v>
      </c>
      <c r="F1035" s="1" t="s">
        <v>489</v>
      </c>
      <c r="G1035" s="1" t="s">
        <v>371</v>
      </c>
      <c r="H1035" s="2">
        <v>1500</v>
      </c>
      <c r="I1035" s="17">
        <v>30.13</v>
      </c>
      <c r="J1035" s="1" t="s">
        <v>366</v>
      </c>
      <c r="K1035" s="6">
        <f>Registro_Ordini[[#This Row],[Numero]]*Registro_Ordini[[#This Row],[Prezzo]]</f>
        <v>45195</v>
      </c>
      <c r="L1035" s="10">
        <v>0.86319991998692325</v>
      </c>
      <c r="M1035" s="6">
        <f>Registro_Ordini[[#This Row],[Importo]]*Registro_Ordini[[#This Row],[Cambio]]</f>
        <v>39012.320383808998</v>
      </c>
      <c r="N1035" s="1">
        <f ca="1">IFERROR(_xlfn.NUMBERVALUE(OFFSET(Origine,MATCH(Registro_Ordini[[#This Row],[Titolo]],Descrizioni,0),MATCH("Price",Intestazioni,0)-1,1,1)),"")</f>
        <v>31.55</v>
      </c>
      <c r="O1035" s="18">
        <f ca="1">IF(OR(Registro_Ordini[[#This Row],[Price]]=0,Registro_Ordini[[#This Row],[Price]]=""),"",IF(Registro_Ordini[[#This Row],[Tipo]]="Sell",Registro_Ordini[[#This Row],[Prezzo]]/Registro_Ordini[[#This Row],[Price]]-1,Registro_Ordini[[#This Row],[Price]]/Registro_Ordini[[#This Row],[Prezzo]]-1))</f>
        <v>4.7129107202124265E-2</v>
      </c>
      <c r="P1035" s="15">
        <v>2.5023956792321229E-2</v>
      </c>
      <c r="Q1035" s="3">
        <v>0.15009252562420403</v>
      </c>
      <c r="R1035" s="3">
        <v>0.32888330199621352</v>
      </c>
      <c r="S1035" s="3">
        <v>0.43183992171673696</v>
      </c>
      <c r="T1035" s="3">
        <v>0</v>
      </c>
      <c r="U1035" s="3">
        <v>8.9184250662845438E-2</v>
      </c>
      <c r="V1035" s="3"/>
      <c r="W1035" s="4"/>
    </row>
    <row r="1036" spans="1:23" s="1" customFormat="1" ht="24.95" customHeight="1" x14ac:dyDescent="0.2">
      <c r="A1036" s="8">
        <v>45523</v>
      </c>
      <c r="B1036" s="7">
        <v>0.72083333333333333</v>
      </c>
      <c r="C1036" s="9" t="s">
        <v>376</v>
      </c>
      <c r="D1036" s="1" t="s">
        <v>388</v>
      </c>
      <c r="E1036" s="1" t="s">
        <v>389</v>
      </c>
      <c r="F1036" s="1" t="s">
        <v>489</v>
      </c>
      <c r="G1036" s="1" t="s">
        <v>371</v>
      </c>
      <c r="H1036" s="2">
        <v>270</v>
      </c>
      <c r="I1036" s="17">
        <v>30.13</v>
      </c>
      <c r="J1036" s="1" t="s">
        <v>366</v>
      </c>
      <c r="K1036" s="6">
        <f>Registro_Ordini[[#This Row],[Numero]]*Registro_Ordini[[#This Row],[Prezzo]]</f>
        <v>8135.0999999999995</v>
      </c>
      <c r="L1036" s="10">
        <v>0.86319991998692325</v>
      </c>
      <c r="M1036" s="6">
        <f>Registro_Ordini[[#This Row],[Importo]]*Registro_Ordini[[#This Row],[Cambio]]</f>
        <v>7022.2176690856186</v>
      </c>
      <c r="N1036" s="1">
        <f ca="1">IFERROR(_xlfn.NUMBERVALUE(OFFSET(Origine,MATCH(Registro_Ordini[[#This Row],[Titolo]],Descrizioni,0),MATCH("Price",Intestazioni,0)-1,1,1)),"")</f>
        <v>31.55</v>
      </c>
      <c r="O1036" s="18">
        <f ca="1">IF(OR(Registro_Ordini[[#This Row],[Price]]=0,Registro_Ordini[[#This Row],[Price]]=""),"",IF(Registro_Ordini[[#This Row],[Tipo]]="Sell",Registro_Ordini[[#This Row],[Prezzo]]/Registro_Ordini[[#This Row],[Price]]-1,Registro_Ordini[[#This Row],[Price]]/Registro_Ordini[[#This Row],[Prezzo]]-1))</f>
        <v>4.7129107202124265E-2</v>
      </c>
      <c r="P1036" s="15">
        <v>2.523042569011608E-2</v>
      </c>
      <c r="Q1036" s="3">
        <v>0.13231366364295805</v>
      </c>
      <c r="R1036" s="3">
        <v>0.34757277748727033</v>
      </c>
      <c r="S1036" s="3">
        <v>0.4151211214496478</v>
      </c>
      <c r="T1036" s="3">
        <v>0</v>
      </c>
      <c r="U1036" s="3">
        <v>0.10499243742012385</v>
      </c>
      <c r="V1036" s="3"/>
      <c r="W1036" s="4"/>
    </row>
    <row r="1037" spans="1:23" s="1" customFormat="1" ht="24.95" customHeight="1" x14ac:dyDescent="0.2">
      <c r="A1037" s="8">
        <v>45523</v>
      </c>
      <c r="B1037" s="7">
        <v>0.72083333333333333</v>
      </c>
      <c r="C1037" s="9" t="s">
        <v>379</v>
      </c>
      <c r="D1037" s="1" t="s">
        <v>388</v>
      </c>
      <c r="E1037" s="1" t="s">
        <v>389</v>
      </c>
      <c r="F1037" s="1" t="s">
        <v>489</v>
      </c>
      <c r="G1037" s="1" t="s">
        <v>371</v>
      </c>
      <c r="H1037" s="2">
        <v>490</v>
      </c>
      <c r="I1037" s="17">
        <v>30.13</v>
      </c>
      <c r="J1037" s="1" t="s">
        <v>366</v>
      </c>
      <c r="K1037" s="6">
        <f>Registro_Ordini[[#This Row],[Numero]]*Registro_Ordini[[#This Row],[Prezzo]]</f>
        <v>14763.699999999999</v>
      </c>
      <c r="L1037" s="10">
        <v>0.94537749175953534</v>
      </c>
      <c r="M1037" s="6">
        <f>Registro_Ordini[[#This Row],[Importo]]*Registro_Ordini[[#This Row],[Cambio]]</f>
        <v>13957.269675090251</v>
      </c>
      <c r="N1037" s="1">
        <f ca="1">IFERROR(_xlfn.NUMBERVALUE(OFFSET(Origine,MATCH(Registro_Ordini[[#This Row],[Titolo]],Descrizioni,0),MATCH("Price",Intestazioni,0)-1,1,1)),"")</f>
        <v>31.55</v>
      </c>
      <c r="O1037" s="18">
        <f ca="1">IF(OR(Registro_Ordini[[#This Row],[Price]]=0,Registro_Ordini[[#This Row],[Price]]=""),"",IF(Registro_Ordini[[#This Row],[Tipo]]="Sell",Registro_Ordini[[#This Row],[Prezzo]]/Registro_Ordini[[#This Row],[Price]]-1,Registro_Ordini[[#This Row],[Price]]/Registro_Ordini[[#This Row],[Prezzo]]-1))</f>
        <v>4.7129107202124265E-2</v>
      </c>
      <c r="P1037" s="15">
        <v>2.4978428244437481E-2</v>
      </c>
      <c r="Q1037" s="3">
        <v>0.16894788704775757</v>
      </c>
      <c r="R1037" s="3">
        <v>0.2449004846532313</v>
      </c>
      <c r="S1037" s="3">
        <v>0.49114058430102153</v>
      </c>
      <c r="T1037" s="3">
        <v>0</v>
      </c>
      <c r="U1037" s="3">
        <v>9.5011043997989611E-2</v>
      </c>
      <c r="V1037" s="3"/>
      <c r="W1037" s="4"/>
    </row>
    <row r="1038" spans="1:23" s="1" customFormat="1" ht="24.95" customHeight="1" x14ac:dyDescent="0.2">
      <c r="A1038" s="8">
        <v>45523</v>
      </c>
      <c r="B1038" s="7">
        <v>0.72013888888888888</v>
      </c>
      <c r="C1038" s="9" t="s">
        <v>378</v>
      </c>
      <c r="D1038" s="1" t="s">
        <v>388</v>
      </c>
      <c r="E1038" s="1" t="s">
        <v>389</v>
      </c>
      <c r="F1038" s="1" t="s">
        <v>489</v>
      </c>
      <c r="G1038" s="1" t="s">
        <v>371</v>
      </c>
      <c r="H1038" s="2">
        <v>500</v>
      </c>
      <c r="I1038" s="17">
        <v>30.13</v>
      </c>
      <c r="J1038" s="1" t="s">
        <v>366</v>
      </c>
      <c r="K1038" s="6">
        <f>Registro_Ordini[[#This Row],[Numero]]*Registro_Ordini[[#This Row],[Prezzo]]</f>
        <v>15065</v>
      </c>
      <c r="L1038" s="10">
        <v>0.86319991998692325</v>
      </c>
      <c r="M1038" s="6">
        <f>Registro_Ordini[[#This Row],[Importo]]*Registro_Ordini[[#This Row],[Cambio]]</f>
        <v>13004.106794602998</v>
      </c>
      <c r="N1038" s="1">
        <f ca="1">IFERROR(_xlfn.NUMBERVALUE(OFFSET(Origine,MATCH(Registro_Ordini[[#This Row],[Titolo]],Descrizioni,0),MATCH("Price",Intestazioni,0)-1,1,1)),"")</f>
        <v>31.55</v>
      </c>
      <c r="O1038" s="18">
        <f ca="1">IF(OR(Registro_Ordini[[#This Row],[Price]]=0,Registro_Ordini[[#This Row],[Price]]=""),"",IF(Registro_Ordini[[#This Row],[Tipo]]="Sell",Registro_Ordini[[#This Row],[Prezzo]]/Registro_Ordini[[#This Row],[Price]]-1,Registro_Ordini[[#This Row],[Price]]/Registro_Ordini[[#This Row],[Prezzo]]-1))</f>
        <v>4.7129107202124265E-2</v>
      </c>
      <c r="P1038" s="15">
        <v>2.5627798492307945E-2</v>
      </c>
      <c r="Q1038" s="3">
        <v>0.18507091762479275</v>
      </c>
      <c r="R1038" s="3">
        <v>0.33486182358152161</v>
      </c>
      <c r="S1038" s="3">
        <v>0.39667239561383488</v>
      </c>
      <c r="T1038" s="3">
        <v>0</v>
      </c>
      <c r="U1038" s="3">
        <v>8.3394863179850773E-2</v>
      </c>
      <c r="V1038" s="3"/>
      <c r="W1038" s="4"/>
    </row>
    <row r="1039" spans="1:23" s="1" customFormat="1" ht="24.95" customHeight="1" x14ac:dyDescent="0.2">
      <c r="A1039" s="8">
        <v>45523</v>
      </c>
      <c r="B1039" s="7">
        <v>0.71805555555555556</v>
      </c>
      <c r="C1039" s="9" t="s">
        <v>106</v>
      </c>
      <c r="D1039" s="1" t="s">
        <v>388</v>
      </c>
      <c r="E1039" s="1" t="s">
        <v>389</v>
      </c>
      <c r="F1039" s="1" t="s">
        <v>509</v>
      </c>
      <c r="G1039" s="1" t="s">
        <v>365</v>
      </c>
      <c r="H1039" s="2">
        <v>-200</v>
      </c>
      <c r="I1039" s="17">
        <v>31.5</v>
      </c>
      <c r="J1039" s="1" t="s">
        <v>366</v>
      </c>
      <c r="K1039" s="6">
        <f>Registro_Ordini[[#This Row],[Numero]]*Registro_Ordini[[#This Row],[Prezzo]]</f>
        <v>-6300</v>
      </c>
      <c r="L1039" s="10">
        <v>0.94537749175953534</v>
      </c>
      <c r="M1039" s="6">
        <f>Registro_Ordini[[#This Row],[Importo]]*Registro_Ordini[[#This Row],[Cambio]]</f>
        <v>-5955.8781980850727</v>
      </c>
      <c r="N1039" s="1">
        <f ca="1">IFERROR(_xlfn.NUMBERVALUE(OFFSET(Origine,MATCH(Registro_Ordini[[#This Row],[Titolo]],Descrizioni,0),MATCH("Price",Intestazioni,0)-1,1,1)),"")</f>
        <v>39.229999999999997</v>
      </c>
      <c r="O1039" s="18">
        <f ca="1">IF(OR(Registro_Ordini[[#This Row],[Price]]=0,Registro_Ordini[[#This Row],[Price]]=""),"",IF(Registro_Ordini[[#This Row],[Tipo]]="Sell",Registro_Ordini[[#This Row],[Prezzo]]/Registro_Ordini[[#This Row],[Price]]-1,Registro_Ordini[[#This Row],[Price]]/Registro_Ordini[[#This Row],[Prezzo]]-1))</f>
        <v>-0.19704307927606413</v>
      </c>
      <c r="P1039" s="15">
        <v>-4.4443877421113928E-2</v>
      </c>
      <c r="Q1039" s="3">
        <v>0.25828191089666913</v>
      </c>
      <c r="R1039" s="3">
        <v>0.20389435249011109</v>
      </c>
      <c r="S1039" s="3">
        <v>0.41688116056518615</v>
      </c>
      <c r="T1039" s="3">
        <v>0</v>
      </c>
      <c r="U1039" s="3">
        <v>0.12094257604803371</v>
      </c>
      <c r="V1039" s="3"/>
      <c r="W1039" s="4"/>
    </row>
    <row r="1040" spans="1:23" s="1" customFormat="1" ht="24.95" customHeight="1" x14ac:dyDescent="0.2">
      <c r="A1040" s="8">
        <v>45523</v>
      </c>
      <c r="B1040" s="7">
        <v>0.71666666666666667</v>
      </c>
      <c r="C1040" s="9" t="s">
        <v>383</v>
      </c>
      <c r="D1040" s="1" t="s">
        <v>393</v>
      </c>
      <c r="E1040" s="1" t="s">
        <v>514</v>
      </c>
      <c r="F1040" s="1" t="s">
        <v>515</v>
      </c>
      <c r="G1040" s="1" t="s">
        <v>365</v>
      </c>
      <c r="H1040" s="2">
        <v>-1730</v>
      </c>
      <c r="I1040" s="17">
        <v>5.55</v>
      </c>
      <c r="J1040" s="1" t="s">
        <v>366</v>
      </c>
      <c r="K1040" s="6">
        <f>Registro_Ordini[[#This Row],[Numero]]*Registro_Ordini[[#This Row],[Prezzo]]</f>
        <v>-9601.5</v>
      </c>
      <c r="L1040" s="10">
        <v>0.94537749175953534</v>
      </c>
      <c r="M1040" s="6">
        <f>Registro_Ordini[[#This Row],[Importo]]*Registro_Ordini[[#This Row],[Cambio]]</f>
        <v>-9077.0419871291779</v>
      </c>
      <c r="N1040" s="1">
        <f ca="1">IFERROR(_xlfn.NUMBERVALUE(OFFSET(Origine,MATCH(Registro_Ordini[[#This Row],[Titolo]],Descrizioni,0),MATCH("Price",Intestazioni,0)-1,1,1)),"")</f>
        <v>5.9637500000000001</v>
      </c>
      <c r="O1040" s="18">
        <f ca="1">IF(OR(Registro_Ordini[[#This Row],[Price]]=0,Registro_Ordini[[#This Row],[Price]]=""),"",IF(Registro_Ordini[[#This Row],[Tipo]]="Sell",Registro_Ordini[[#This Row],[Prezzo]]/Registro_Ordini[[#This Row],[Price]]-1,Registro_Ordini[[#This Row],[Price]]/Registro_Ordini[[#This Row],[Prezzo]]-1))</f>
        <v>-6.93774889960177E-2</v>
      </c>
      <c r="P1040" s="15">
        <v>-1.4941512481817885E-2</v>
      </c>
      <c r="Q1040" s="3">
        <v>0.22534439413871596</v>
      </c>
      <c r="R1040" s="3">
        <v>0.23703545036771184</v>
      </c>
      <c r="S1040" s="3">
        <v>0.44394402381824555</v>
      </c>
      <c r="T1040" s="3">
        <v>0</v>
      </c>
      <c r="U1040" s="3">
        <v>9.3676131675326513E-2</v>
      </c>
      <c r="V1040" s="3"/>
      <c r="W1040" s="4"/>
    </row>
    <row r="1041" spans="1:23" s="1" customFormat="1" ht="24.95" customHeight="1" x14ac:dyDescent="0.2">
      <c r="A1041" s="8">
        <v>45523</v>
      </c>
      <c r="B1041" s="7">
        <v>0.71666666666666667</v>
      </c>
      <c r="C1041" s="9" t="s">
        <v>78</v>
      </c>
      <c r="D1041" s="1" t="s">
        <v>393</v>
      </c>
      <c r="E1041" s="1" t="s">
        <v>514</v>
      </c>
      <c r="F1041" s="1" t="s">
        <v>515</v>
      </c>
      <c r="G1041" s="1" t="s">
        <v>365</v>
      </c>
      <c r="H1041" s="2">
        <v>-1265</v>
      </c>
      <c r="I1041" s="17">
        <v>5.55</v>
      </c>
      <c r="J1041" s="1" t="s">
        <v>366</v>
      </c>
      <c r="K1041" s="6">
        <f>Registro_Ordini[[#This Row],[Numero]]*Registro_Ordini[[#This Row],[Prezzo]]</f>
        <v>-7020.75</v>
      </c>
      <c r="L1041" s="10">
        <v>0.86319991998692325</v>
      </c>
      <c r="M1041" s="6">
        <f>Registro_Ordini[[#This Row],[Importo]]*Registro_Ordini[[#This Row],[Cambio]]</f>
        <v>-6060.3108382481914</v>
      </c>
      <c r="N1041" s="1">
        <f ca="1">IFERROR(_xlfn.NUMBERVALUE(OFFSET(Origine,MATCH(Registro_Ordini[[#This Row],[Titolo]],Descrizioni,0),MATCH("Price",Intestazioni,0)-1,1,1)),"")</f>
        <v>5.9637500000000001</v>
      </c>
      <c r="O1041" s="18">
        <f ca="1">IF(OR(Registro_Ordini[[#This Row],[Price]]=0,Registro_Ordini[[#This Row],[Price]]=""),"",IF(Registro_Ordini[[#This Row],[Tipo]]="Sell",Registro_Ordini[[#This Row],[Prezzo]]/Registro_Ordini[[#This Row],[Price]]-1,Registro_Ordini[[#This Row],[Price]]/Registro_Ordini[[#This Row],[Prezzo]]-1))</f>
        <v>-6.93774889960177E-2</v>
      </c>
      <c r="P1041" s="15">
        <v>-1.4693283366203987E-2</v>
      </c>
      <c r="Q1041" s="3">
        <v>0.15942465388511928</v>
      </c>
      <c r="R1041" s="3">
        <v>0.16535031372352144</v>
      </c>
      <c r="S1041" s="3">
        <v>0.61030105467991547</v>
      </c>
      <c r="T1041" s="3">
        <v>0</v>
      </c>
      <c r="U1041" s="3">
        <v>6.4923977711443828E-2</v>
      </c>
      <c r="V1041" s="3"/>
      <c r="W1041" s="4"/>
    </row>
    <row r="1042" spans="1:23" s="1" customFormat="1" ht="24.95" customHeight="1" x14ac:dyDescent="0.2">
      <c r="A1042" s="8">
        <v>45523</v>
      </c>
      <c r="B1042" s="7">
        <v>0.71666666666666667</v>
      </c>
      <c r="C1042" s="9" t="s">
        <v>375</v>
      </c>
      <c r="D1042" s="1" t="s">
        <v>393</v>
      </c>
      <c r="E1042" s="1" t="s">
        <v>514</v>
      </c>
      <c r="F1042" s="1" t="s">
        <v>515</v>
      </c>
      <c r="G1042" s="1" t="s">
        <v>365</v>
      </c>
      <c r="H1042" s="2">
        <v>-2250</v>
      </c>
      <c r="I1042" s="17">
        <v>5.55</v>
      </c>
      <c r="J1042" s="1" t="s">
        <v>366</v>
      </c>
      <c r="K1042" s="6">
        <f>Registro_Ordini[[#This Row],[Numero]]*Registro_Ordini[[#This Row],[Prezzo]]</f>
        <v>-12487.5</v>
      </c>
      <c r="L1042" s="10">
        <v>0.86319991998692325</v>
      </c>
      <c r="M1042" s="6">
        <f>Registro_Ordini[[#This Row],[Importo]]*Registro_Ordini[[#This Row],[Cambio]]</f>
        <v>-10779.209000836705</v>
      </c>
      <c r="N1042" s="1">
        <f ca="1">IFERROR(_xlfn.NUMBERVALUE(OFFSET(Origine,MATCH(Registro_Ordini[[#This Row],[Titolo]],Descrizioni,0),MATCH("Price",Intestazioni,0)-1,1,1)),"")</f>
        <v>5.9637500000000001</v>
      </c>
      <c r="O1042" s="18">
        <f ca="1">IF(OR(Registro_Ordini[[#This Row],[Price]]=0,Registro_Ordini[[#This Row],[Price]]=""),"",IF(Registro_Ordini[[#This Row],[Tipo]]="Sell",Registro_Ordini[[#This Row],[Prezzo]]/Registro_Ordini[[#This Row],[Price]]-1,Registro_Ordini[[#This Row],[Price]]/Registro_Ordini[[#This Row],[Prezzo]]-1))</f>
        <v>-6.93774889960177E-2</v>
      </c>
      <c r="P1042" s="15">
        <v>-1.3629547292577355E-2</v>
      </c>
      <c r="Q1042" s="3">
        <v>0.18799865319580872</v>
      </c>
      <c r="R1042" s="3">
        <v>0.35694758832212181</v>
      </c>
      <c r="S1042" s="3">
        <v>0.3671219631748201</v>
      </c>
      <c r="T1042" s="3">
        <v>0</v>
      </c>
      <c r="U1042" s="3">
        <v>8.793179530724933E-2</v>
      </c>
      <c r="V1042" s="3"/>
      <c r="W1042" s="4"/>
    </row>
    <row r="1043" spans="1:23" s="1" customFormat="1" ht="24.95" customHeight="1" x14ac:dyDescent="0.2">
      <c r="A1043" s="8">
        <v>45523</v>
      </c>
      <c r="B1043" s="7">
        <v>0.71666666666666667</v>
      </c>
      <c r="C1043" s="9" t="s">
        <v>382</v>
      </c>
      <c r="D1043" s="1" t="s">
        <v>393</v>
      </c>
      <c r="E1043" s="1" t="s">
        <v>514</v>
      </c>
      <c r="F1043" s="1" t="s">
        <v>515</v>
      </c>
      <c r="G1043" s="1" t="s">
        <v>365</v>
      </c>
      <c r="H1043" s="2">
        <v>-3000</v>
      </c>
      <c r="I1043" s="17">
        <v>5.55</v>
      </c>
      <c r="J1043" s="1" t="s">
        <v>366</v>
      </c>
      <c r="K1043" s="6">
        <f>Registro_Ordini[[#This Row],[Numero]]*Registro_Ordini[[#This Row],[Prezzo]]</f>
        <v>-16650</v>
      </c>
      <c r="L1043" s="10">
        <v>0.94537749175953534</v>
      </c>
      <c r="M1043" s="6">
        <f>Registro_Ordini[[#This Row],[Importo]]*Registro_Ordini[[#This Row],[Cambio]]</f>
        <v>-15740.535237796263</v>
      </c>
      <c r="N1043" s="1">
        <f ca="1">IFERROR(_xlfn.NUMBERVALUE(OFFSET(Origine,MATCH(Registro_Ordini[[#This Row],[Titolo]],Descrizioni,0),MATCH("Price",Intestazioni,0)-1,1,1)),"")</f>
        <v>5.9637500000000001</v>
      </c>
      <c r="O1043" s="18">
        <f ca="1">IF(OR(Registro_Ordini[[#This Row],[Price]]=0,Registro_Ordini[[#This Row],[Price]]=""),"",IF(Registro_Ordini[[#This Row],[Tipo]]="Sell",Registro_Ordini[[#This Row],[Prezzo]]/Registro_Ordini[[#This Row],[Price]]-1,Registro_Ordini[[#This Row],[Price]]/Registro_Ordini[[#This Row],[Prezzo]]-1))</f>
        <v>-6.93774889960177E-2</v>
      </c>
      <c r="P1043" s="15">
        <v>-1.5365339930611083E-2</v>
      </c>
      <c r="Q1043" s="3">
        <v>0.18210954055599965</v>
      </c>
      <c r="R1043" s="3">
        <v>0.23222945721323179</v>
      </c>
      <c r="S1043" s="3">
        <v>0.49034643184971966</v>
      </c>
      <c r="T1043" s="3">
        <v>0</v>
      </c>
      <c r="U1043" s="3">
        <v>9.5314570381048874E-2</v>
      </c>
      <c r="V1043" s="3"/>
      <c r="W1043" s="4"/>
    </row>
    <row r="1044" spans="1:23" s="1" customFormat="1" ht="24.95" customHeight="1" x14ac:dyDescent="0.2">
      <c r="A1044" s="8">
        <v>45523</v>
      </c>
      <c r="B1044" s="7">
        <v>0.71666666666666667</v>
      </c>
      <c r="C1044" s="9" t="s">
        <v>378</v>
      </c>
      <c r="D1044" s="1" t="s">
        <v>393</v>
      </c>
      <c r="E1044" s="1" t="s">
        <v>514</v>
      </c>
      <c r="F1044" s="1" t="s">
        <v>515</v>
      </c>
      <c r="G1044" s="1" t="s">
        <v>365</v>
      </c>
      <c r="H1044" s="2">
        <v>-1250</v>
      </c>
      <c r="I1044" s="17">
        <v>5.55</v>
      </c>
      <c r="J1044" s="1" t="s">
        <v>366</v>
      </c>
      <c r="K1044" s="6">
        <f>Registro_Ordini[[#This Row],[Numero]]*Registro_Ordini[[#This Row],[Prezzo]]</f>
        <v>-6937.5</v>
      </c>
      <c r="L1044" s="10">
        <v>0.86319991998692325</v>
      </c>
      <c r="M1044" s="6">
        <f>Registro_Ordini[[#This Row],[Importo]]*Registro_Ordini[[#This Row],[Cambio]]</f>
        <v>-5988.4494449092799</v>
      </c>
      <c r="N1044" s="1">
        <f ca="1">IFERROR(_xlfn.NUMBERVALUE(OFFSET(Origine,MATCH(Registro_Ordini[[#This Row],[Titolo]],Descrizioni,0),MATCH("Price",Intestazioni,0)-1,1,1)),"")</f>
        <v>5.9637500000000001</v>
      </c>
      <c r="O1044" s="18">
        <f ca="1">IF(OR(Registro_Ordini[[#This Row],[Price]]=0,Registro_Ordini[[#This Row],[Price]]=""),"",IF(Registro_Ordini[[#This Row],[Tipo]]="Sell",Registro_Ordini[[#This Row],[Prezzo]]/Registro_Ordini[[#This Row],[Price]]-1,Registro_Ordini[[#This Row],[Price]]/Registro_Ordini[[#This Row],[Prezzo]]-1))</f>
        <v>-6.93774889960177E-2</v>
      </c>
      <c r="P1044" s="15">
        <v>-1.1789628173939613E-2</v>
      </c>
      <c r="Q1044" s="3">
        <v>0.21070223304643498</v>
      </c>
      <c r="R1044" s="3">
        <v>0.3348603315208924</v>
      </c>
      <c r="S1044" s="3">
        <v>0.37104294383949821</v>
      </c>
      <c r="T1044" s="3">
        <v>0</v>
      </c>
      <c r="U1044" s="3">
        <v>8.3394491593174525E-2</v>
      </c>
      <c r="V1044" s="3"/>
      <c r="W1044" s="4"/>
    </row>
    <row r="1045" spans="1:23" s="1" customFormat="1" ht="24.95" customHeight="1" x14ac:dyDescent="0.2">
      <c r="A1045" s="8">
        <v>45523</v>
      </c>
      <c r="B1045" s="7">
        <v>0.71666666666666667</v>
      </c>
      <c r="C1045" s="9" t="s">
        <v>377</v>
      </c>
      <c r="D1045" s="1" t="s">
        <v>393</v>
      </c>
      <c r="E1045" s="1" t="s">
        <v>514</v>
      </c>
      <c r="F1045" s="1" t="s">
        <v>515</v>
      </c>
      <c r="G1045" s="1" t="s">
        <v>365</v>
      </c>
      <c r="H1045" s="2">
        <v>-4450</v>
      </c>
      <c r="I1045" s="17">
        <v>5.55</v>
      </c>
      <c r="J1045" s="1" t="s">
        <v>366</v>
      </c>
      <c r="K1045" s="6">
        <f>Registro_Ordini[[#This Row],[Numero]]*Registro_Ordini[[#This Row],[Prezzo]]</f>
        <v>-24697.5</v>
      </c>
      <c r="L1045" s="10">
        <v>0.86319991998692325</v>
      </c>
      <c r="M1045" s="6">
        <f>Registro_Ordini[[#This Row],[Importo]]*Registro_Ordini[[#This Row],[Cambio]]</f>
        <v>-21318.880023877038</v>
      </c>
      <c r="N1045" s="1">
        <f ca="1">IFERROR(_xlfn.NUMBERVALUE(OFFSET(Origine,MATCH(Registro_Ordini[[#This Row],[Titolo]],Descrizioni,0),MATCH("Price",Intestazioni,0)-1,1,1)),"")</f>
        <v>5.9637500000000001</v>
      </c>
      <c r="O1045" s="18">
        <f ca="1">IF(OR(Registro_Ordini[[#This Row],[Price]]=0,Registro_Ordini[[#This Row],[Price]]=""),"",IF(Registro_Ordini[[#This Row],[Tipo]]="Sell",Registro_Ordini[[#This Row],[Prezzo]]/Registro_Ordini[[#This Row],[Price]]-1,Registro_Ordini[[#This Row],[Price]]/Registro_Ordini[[#This Row],[Prezzo]]-1))</f>
        <v>-6.93774889960177E-2</v>
      </c>
      <c r="P1045" s="15">
        <v>-1.3660719633793193E-2</v>
      </c>
      <c r="Q1045" s="3">
        <v>0.17512007129031126</v>
      </c>
      <c r="R1045" s="3">
        <v>0.32888187110247397</v>
      </c>
      <c r="S1045" s="3">
        <v>0.40681419496402604</v>
      </c>
      <c r="T1045" s="3">
        <v>0</v>
      </c>
      <c r="U1045" s="3">
        <v>8.9183862643188727E-2</v>
      </c>
      <c r="V1045" s="3"/>
      <c r="W1045" s="4"/>
    </row>
    <row r="1046" spans="1:23" s="1" customFormat="1" ht="24.95" customHeight="1" x14ac:dyDescent="0.2">
      <c r="A1046" s="8">
        <v>45523</v>
      </c>
      <c r="B1046" s="7">
        <v>0.71666666666666667</v>
      </c>
      <c r="C1046" s="9" t="s">
        <v>376</v>
      </c>
      <c r="D1046" s="1" t="s">
        <v>393</v>
      </c>
      <c r="E1046" s="1" t="s">
        <v>514</v>
      </c>
      <c r="F1046" s="1" t="s">
        <v>515</v>
      </c>
      <c r="G1046" s="1" t="s">
        <v>365</v>
      </c>
      <c r="H1046" s="2">
        <v>-875</v>
      </c>
      <c r="I1046" s="17">
        <v>5.55</v>
      </c>
      <c r="J1046" s="1" t="s">
        <v>366</v>
      </c>
      <c r="K1046" s="6">
        <f>Registro_Ordini[[#This Row],[Numero]]*Registro_Ordini[[#This Row],[Prezzo]]</f>
        <v>-4856.25</v>
      </c>
      <c r="L1046" s="10">
        <v>0.86319991998692325</v>
      </c>
      <c r="M1046" s="6">
        <f>Registro_Ordini[[#This Row],[Importo]]*Registro_Ordini[[#This Row],[Cambio]]</f>
        <v>-4191.9146114364958</v>
      </c>
      <c r="N1046" s="1">
        <f ca="1">IFERROR(_xlfn.NUMBERVALUE(OFFSET(Origine,MATCH(Registro_Ordini[[#This Row],[Titolo]],Descrizioni,0),MATCH("Price",Intestazioni,0)-1,1,1)),"")</f>
        <v>5.9637500000000001</v>
      </c>
      <c r="O1046" s="18">
        <f ca="1">IF(OR(Registro_Ordini[[#This Row],[Price]]=0,Registro_Ordini[[#This Row],[Price]]=""),"",IF(Registro_Ordini[[#This Row],[Tipo]]="Sell",Registro_Ordini[[#This Row],[Prezzo]]/Registro_Ordini[[#This Row],[Price]]-1,Registro_Ordini[[#This Row],[Price]]/Registro_Ordini[[#This Row],[Prezzo]]-1))</f>
        <v>-6.93774889960177E-2</v>
      </c>
      <c r="P1046" s="15">
        <v>-1.5045883544650482E-2</v>
      </c>
      <c r="Q1046" s="3">
        <v>0.15754778490213048</v>
      </c>
      <c r="R1046" s="3">
        <v>0.34757125280308798</v>
      </c>
      <c r="S1046" s="3">
        <v>0.38988898544095918</v>
      </c>
      <c r="T1046" s="3">
        <v>0</v>
      </c>
      <c r="U1046" s="3">
        <v>0.10499197685382243</v>
      </c>
      <c r="V1046" s="3"/>
      <c r="W1046" s="4"/>
    </row>
    <row r="1047" spans="1:23" s="1" customFormat="1" ht="24.95" customHeight="1" x14ac:dyDescent="0.2">
      <c r="A1047" s="8">
        <v>45523</v>
      </c>
      <c r="B1047" s="7">
        <v>0.71666666666666667</v>
      </c>
      <c r="C1047" s="9" t="s">
        <v>379</v>
      </c>
      <c r="D1047" s="1" t="s">
        <v>393</v>
      </c>
      <c r="E1047" s="1" t="s">
        <v>514</v>
      </c>
      <c r="F1047" s="1" t="s">
        <v>515</v>
      </c>
      <c r="G1047" s="1" t="s">
        <v>365</v>
      </c>
      <c r="H1047" s="2">
        <v>-1620</v>
      </c>
      <c r="I1047" s="17">
        <v>5.55</v>
      </c>
      <c r="J1047" s="1" t="s">
        <v>366</v>
      </c>
      <c r="K1047" s="6">
        <f>Registro_Ordini[[#This Row],[Numero]]*Registro_Ordini[[#This Row],[Prezzo]]</f>
        <v>-8991</v>
      </c>
      <c r="L1047" s="10">
        <v>0.94537749175953534</v>
      </c>
      <c r="M1047" s="6">
        <f>Registro_Ordini[[#This Row],[Importo]]*Registro_Ordini[[#This Row],[Cambio]]</f>
        <v>-8499.8890284099816</v>
      </c>
      <c r="N1047" s="1">
        <f ca="1">IFERROR(_xlfn.NUMBERVALUE(OFFSET(Origine,MATCH(Registro_Ordini[[#This Row],[Titolo]],Descrizioni,0),MATCH("Price",Intestazioni,0)-1,1,1)),"")</f>
        <v>5.9637500000000001</v>
      </c>
      <c r="O1047" s="18">
        <f ca="1">IF(OR(Registro_Ordini[[#This Row],[Price]]=0,Registro_Ordini[[#This Row],[Price]]=""),"",IF(Registro_Ordini[[#This Row],[Tipo]]="Sell",Registro_Ordini[[#This Row],[Prezzo]]/Registro_Ordini[[#This Row],[Price]]-1,Registro_Ordini[[#This Row],[Price]]/Registro_Ordini[[#This Row],[Prezzo]]-1))</f>
        <v>-6.93774889960177E-2</v>
      </c>
      <c r="P1047" s="15">
        <v>-1.5213045041583337E-2</v>
      </c>
      <c r="Q1047" s="3">
        <v>0.19303236195539106</v>
      </c>
      <c r="R1047" s="3">
        <v>0.24517208464414283</v>
      </c>
      <c r="S1047" s="3">
        <v>0.46667914007777772</v>
      </c>
      <c r="T1047" s="3">
        <v>0</v>
      </c>
      <c r="U1047" s="3">
        <v>9.5116413322688539E-2</v>
      </c>
      <c r="V1047" s="3"/>
      <c r="W1047" s="4"/>
    </row>
    <row r="1048" spans="1:23" s="1" customFormat="1" ht="24.95" customHeight="1" x14ac:dyDescent="0.2">
      <c r="A1048" s="8">
        <v>45523</v>
      </c>
      <c r="B1048" s="7">
        <v>0.71666666666666667</v>
      </c>
      <c r="C1048" s="9" t="s">
        <v>367</v>
      </c>
      <c r="D1048" s="1" t="s">
        <v>393</v>
      </c>
      <c r="E1048" s="1" t="s">
        <v>514</v>
      </c>
      <c r="F1048" s="1" t="s">
        <v>515</v>
      </c>
      <c r="G1048" s="1" t="s">
        <v>365</v>
      </c>
      <c r="H1048" s="2">
        <v>-3800</v>
      </c>
      <c r="I1048" s="17">
        <v>5.5425000000000004</v>
      </c>
      <c r="J1048" s="1" t="s">
        <v>366</v>
      </c>
      <c r="K1048" s="6">
        <f>Registro_Ordini[[#This Row],[Numero]]*Registro_Ordini[[#This Row],[Prezzo]]</f>
        <v>-21061.5</v>
      </c>
      <c r="L1048" s="10">
        <v>0.86319991998692325</v>
      </c>
      <c r="M1048" s="6">
        <f>Registro_Ordini[[#This Row],[Importo]]*Registro_Ordini[[#This Row],[Cambio]]</f>
        <v>-18180.285114804585</v>
      </c>
      <c r="N1048" s="1">
        <f ca="1">IFERROR(_xlfn.NUMBERVALUE(OFFSET(Origine,MATCH(Registro_Ordini[[#This Row],[Titolo]],Descrizioni,0),MATCH("Price",Intestazioni,0)-1,1,1)),"")</f>
        <v>5.9637500000000001</v>
      </c>
      <c r="O1048" s="18">
        <f ca="1">IF(OR(Registro_Ordini[[#This Row],[Price]]=0,Registro_Ordini[[#This Row],[Price]]=""),"",IF(Registro_Ordini[[#This Row],[Tipo]]="Sell",Registro_Ordini[[#This Row],[Prezzo]]/Registro_Ordini[[#This Row],[Price]]-1,Registro_Ordini[[#This Row],[Price]]/Registro_Ordini[[#This Row],[Prezzo]]-1))</f>
        <v>-7.0635086983860784E-2</v>
      </c>
      <c r="P1048" s="15">
        <v>-5.306853130352447E-3</v>
      </c>
      <c r="Q1048" s="3">
        <v>0.19833097537514394</v>
      </c>
      <c r="R1048" s="3">
        <v>0.41756367201001277</v>
      </c>
      <c r="S1048" s="3">
        <v>0.33993145089976257</v>
      </c>
      <c r="T1048" s="3">
        <v>0</v>
      </c>
      <c r="U1048" s="3">
        <v>4.4173901715080878E-2</v>
      </c>
      <c r="V1048" s="3"/>
      <c r="W1048" s="4"/>
    </row>
    <row r="1049" spans="1:23" s="1" customFormat="1" ht="24.95" customHeight="1" x14ac:dyDescent="0.2">
      <c r="A1049" s="8">
        <v>45511</v>
      </c>
      <c r="B1049" s="7">
        <v>0.4909722222222222</v>
      </c>
      <c r="C1049" s="9" t="s">
        <v>78</v>
      </c>
      <c r="D1049" s="1" t="s">
        <v>388</v>
      </c>
      <c r="E1049" s="1" t="s">
        <v>397</v>
      </c>
      <c r="F1049" s="1" t="s">
        <v>406</v>
      </c>
      <c r="G1049" s="1" t="s">
        <v>371</v>
      </c>
      <c r="H1049" s="2">
        <v>150</v>
      </c>
      <c r="I1049" s="17">
        <v>120.96</v>
      </c>
      <c r="J1049" s="1" t="s">
        <v>369</v>
      </c>
      <c r="K1049" s="6">
        <f>Registro_Ordini[[#This Row],[Numero]]*Registro_Ordini[[#This Row],[Prezzo]]</f>
        <v>18144</v>
      </c>
      <c r="L1049" s="10">
        <v>1</v>
      </c>
      <c r="M1049" s="6">
        <f>Registro_Ordini[[#This Row],[Importo]]*Registro_Ordini[[#This Row],[Cambio]]</f>
        <v>18144</v>
      </c>
      <c r="N1049" s="1">
        <f ca="1">IFERROR(_xlfn.NUMBERVALUE(OFFSET(Origine,MATCH(Registro_Ordini[[#This Row],[Titolo]],Descrizioni,0),MATCH("Price",Intestazioni,0)-1,1,1)),"")</f>
        <v>136.52000000000001</v>
      </c>
      <c r="O1049" s="18">
        <f ca="1">IF(OR(Registro_Ordini[[#This Row],[Price]]=0,Registro_Ordini[[#This Row],[Price]]=""),"",IF(Registro_Ordini[[#This Row],[Tipo]]="Sell",Registro_Ordini[[#This Row],[Prezzo]]/Registro_Ordini[[#This Row],[Price]]-1,Registro_Ordini[[#This Row],[Price]]/Registro_Ordini[[#This Row],[Prezzo]]-1))</f>
        <v>0.12863756613756627</v>
      </c>
      <c r="P1049" s="15">
        <v>4.5366986451398104E-2</v>
      </c>
      <c r="Q1049" s="3">
        <v>0.14875081390011416</v>
      </c>
      <c r="R1049" s="3">
        <v>0.17060682664060128</v>
      </c>
      <c r="S1049" s="3">
        <v>0.60096381417450895</v>
      </c>
      <c r="T1049" s="3">
        <v>0</v>
      </c>
      <c r="U1049" s="3">
        <v>7.9678545284775706E-2</v>
      </c>
      <c r="V1049" s="3"/>
      <c r="W1049" s="4"/>
    </row>
    <row r="1050" spans="1:23" s="1" customFormat="1" ht="24.95" customHeight="1" x14ac:dyDescent="0.2">
      <c r="A1050" s="8">
        <v>45511</v>
      </c>
      <c r="B1050" s="7">
        <v>0.4909722222222222</v>
      </c>
      <c r="C1050" s="9" t="s">
        <v>375</v>
      </c>
      <c r="D1050" s="1" t="s">
        <v>388</v>
      </c>
      <c r="E1050" s="1" t="s">
        <v>397</v>
      </c>
      <c r="F1050" s="1" t="s">
        <v>406</v>
      </c>
      <c r="G1050" s="1" t="s">
        <v>371</v>
      </c>
      <c r="H1050" s="2">
        <v>160</v>
      </c>
      <c r="I1050" s="17">
        <v>120.96</v>
      </c>
      <c r="J1050" s="1" t="s">
        <v>369</v>
      </c>
      <c r="K1050" s="6">
        <f>Registro_Ordini[[#This Row],[Numero]]*Registro_Ordini[[#This Row],[Prezzo]]</f>
        <v>19353.599999999999</v>
      </c>
      <c r="L1050" s="10">
        <v>1</v>
      </c>
      <c r="M1050" s="6">
        <f>Registro_Ordini[[#This Row],[Importo]]*Registro_Ordini[[#This Row],[Cambio]]</f>
        <v>19353.599999999999</v>
      </c>
      <c r="N1050" s="1">
        <f ca="1">IFERROR(_xlfn.NUMBERVALUE(OFFSET(Origine,MATCH(Registro_Ordini[[#This Row],[Titolo]],Descrizioni,0),MATCH("Price",Intestazioni,0)-1,1,1)),"")</f>
        <v>136.52000000000001</v>
      </c>
      <c r="O1050" s="18">
        <f ca="1">IF(OR(Registro_Ordini[[#This Row],[Price]]=0,Registro_Ordini[[#This Row],[Price]]=""),"",IF(Registro_Ordini[[#This Row],[Tipo]]="Sell",Registro_Ordini[[#This Row],[Prezzo]]/Registro_Ordini[[#This Row],[Price]]-1,Registro_Ordini[[#This Row],[Price]]/Registro_Ordini[[#This Row],[Prezzo]]-1))</f>
        <v>0.12863756613756627</v>
      </c>
      <c r="P1050" s="15">
        <v>2.4914102614518173E-2</v>
      </c>
      <c r="Q1050" s="3">
        <v>0.17794434023333727</v>
      </c>
      <c r="R1050" s="3">
        <v>0.36396935895158056</v>
      </c>
      <c r="S1050" s="3">
        <v>0.35781670283389</v>
      </c>
      <c r="T1050" s="3">
        <v>0</v>
      </c>
      <c r="U1050" s="3">
        <v>0.10026959798119214</v>
      </c>
      <c r="V1050" s="3"/>
      <c r="W1050" s="4"/>
    </row>
    <row r="1051" spans="1:23" s="1" customFormat="1" ht="24.95" customHeight="1" x14ac:dyDescent="0.2">
      <c r="A1051" s="8">
        <v>45511</v>
      </c>
      <c r="B1051" s="7">
        <v>0.4909722222222222</v>
      </c>
      <c r="C1051" s="9" t="s">
        <v>378</v>
      </c>
      <c r="D1051" s="1" t="s">
        <v>388</v>
      </c>
      <c r="E1051" s="1" t="s">
        <v>397</v>
      </c>
      <c r="F1051" s="1" t="s">
        <v>406</v>
      </c>
      <c r="G1051" s="1" t="s">
        <v>371</v>
      </c>
      <c r="H1051" s="2">
        <v>105</v>
      </c>
      <c r="I1051" s="17">
        <v>120.96</v>
      </c>
      <c r="J1051" s="1" t="s">
        <v>369</v>
      </c>
      <c r="K1051" s="6">
        <f>Registro_Ordini[[#This Row],[Numero]]*Registro_Ordini[[#This Row],[Prezzo]]</f>
        <v>12700.8</v>
      </c>
      <c r="L1051" s="10">
        <v>1</v>
      </c>
      <c r="M1051" s="6">
        <f>Registro_Ordini[[#This Row],[Importo]]*Registro_Ordini[[#This Row],[Cambio]]</f>
        <v>12700.8</v>
      </c>
      <c r="N1051" s="1">
        <f ca="1">IFERROR(_xlfn.NUMBERVALUE(OFFSET(Origine,MATCH(Registro_Ordini[[#This Row],[Titolo]],Descrizioni,0),MATCH("Price",Intestazioni,0)-1,1,1)),"")</f>
        <v>136.52000000000001</v>
      </c>
      <c r="O1051" s="18">
        <f ca="1">IF(OR(Registro_Ordini[[#This Row],[Price]]=0,Registro_Ordini[[#This Row],[Price]]=""),"",IF(Registro_Ordini[[#This Row],[Tipo]]="Sell",Registro_Ordini[[#This Row],[Prezzo]]/Registro_Ordini[[#This Row],[Price]]-1,Registro_Ordini[[#This Row],[Price]]/Registro_Ordini[[#This Row],[Prezzo]]-1))</f>
        <v>0.12863756613756627</v>
      </c>
      <c r="P1051" s="15">
        <v>2.5501991754086427E-2</v>
      </c>
      <c r="Q1051" s="3">
        <v>0.20243750505852173</v>
      </c>
      <c r="R1051" s="3">
        <v>0.34192509573736679</v>
      </c>
      <c r="S1051" s="3">
        <v>0.36180146483065745</v>
      </c>
      <c r="T1051" s="3">
        <v>0</v>
      </c>
      <c r="U1051" s="3">
        <v>9.3835934373453972E-2</v>
      </c>
      <c r="V1051" s="3"/>
      <c r="W1051" s="4"/>
    </row>
    <row r="1052" spans="1:23" s="1" customFormat="1" ht="24.95" customHeight="1" x14ac:dyDescent="0.2">
      <c r="A1052" s="8">
        <v>45511</v>
      </c>
      <c r="B1052" s="7">
        <v>0.4909722222222222</v>
      </c>
      <c r="C1052" s="9" t="s">
        <v>377</v>
      </c>
      <c r="D1052" s="1" t="s">
        <v>388</v>
      </c>
      <c r="E1052" s="1" t="s">
        <v>397</v>
      </c>
      <c r="F1052" s="1" t="s">
        <v>406</v>
      </c>
      <c r="G1052" s="1" t="s">
        <v>371</v>
      </c>
      <c r="H1052" s="2">
        <v>310</v>
      </c>
      <c r="I1052" s="17">
        <v>120.96</v>
      </c>
      <c r="J1052" s="1" t="s">
        <v>369</v>
      </c>
      <c r="K1052" s="6">
        <f>Registro_Ordini[[#This Row],[Numero]]*Registro_Ordini[[#This Row],[Prezzo]]</f>
        <v>37497.599999999999</v>
      </c>
      <c r="L1052" s="10">
        <v>1</v>
      </c>
      <c r="M1052" s="6">
        <f>Registro_Ordini[[#This Row],[Importo]]*Registro_Ordini[[#This Row],[Cambio]]</f>
        <v>37497.599999999999</v>
      </c>
      <c r="N1052" s="1">
        <f ca="1">IFERROR(_xlfn.NUMBERVALUE(OFFSET(Origine,MATCH(Registro_Ordini[[#This Row],[Titolo]],Descrizioni,0),MATCH("Price",Intestazioni,0)-1,1,1)),"")</f>
        <v>136.52000000000001</v>
      </c>
      <c r="O1052" s="18">
        <f ca="1">IF(OR(Registro_Ordini[[#This Row],[Price]]=0,Registro_Ordini[[#This Row],[Price]]=""),"",IF(Registro_Ordini[[#This Row],[Tipo]]="Sell",Registro_Ordini[[#This Row],[Prezzo]]/Registro_Ordini[[#This Row],[Price]]-1,Registro_Ordini[[#This Row],[Price]]/Registro_Ordini[[#This Row],[Prezzo]]-1))</f>
        <v>0.12863756613756627</v>
      </c>
      <c r="P1052" s="15">
        <v>2.4542367462138736E-2</v>
      </c>
      <c r="Q1052" s="3">
        <v>0.16447197815849987</v>
      </c>
      <c r="R1052" s="3">
        <v>0.33639161585083555</v>
      </c>
      <c r="S1052" s="3">
        <v>0.39890192711726308</v>
      </c>
      <c r="T1052" s="3">
        <v>0</v>
      </c>
      <c r="U1052" s="3">
        <v>0.10023447887340133</v>
      </c>
      <c r="V1052" s="3"/>
      <c r="W1052" s="4"/>
    </row>
    <row r="1053" spans="1:23" s="1" customFormat="1" ht="24.95" customHeight="1" x14ac:dyDescent="0.2">
      <c r="A1053" s="8">
        <v>45511</v>
      </c>
      <c r="B1053" s="7">
        <v>0.4909722222222222</v>
      </c>
      <c r="C1053" s="9" t="s">
        <v>376</v>
      </c>
      <c r="D1053" s="1" t="s">
        <v>388</v>
      </c>
      <c r="E1053" s="1" t="s">
        <v>397</v>
      </c>
      <c r="F1053" s="1" t="s">
        <v>406</v>
      </c>
      <c r="G1053" s="1" t="s">
        <v>371</v>
      </c>
      <c r="H1053" s="2">
        <v>115</v>
      </c>
      <c r="I1053" s="17">
        <v>120.96</v>
      </c>
      <c r="J1053" s="1" t="s">
        <v>369</v>
      </c>
      <c r="K1053" s="6">
        <f>Registro_Ordini[[#This Row],[Numero]]*Registro_Ordini[[#This Row],[Prezzo]]</f>
        <v>13910.4</v>
      </c>
      <c r="L1053" s="10">
        <v>1</v>
      </c>
      <c r="M1053" s="6">
        <f>Registro_Ordini[[#This Row],[Importo]]*Registro_Ordini[[#This Row],[Cambio]]</f>
        <v>13910.4</v>
      </c>
      <c r="N1053" s="1">
        <f ca="1">IFERROR(_xlfn.NUMBERVALUE(OFFSET(Origine,MATCH(Registro_Ordini[[#This Row],[Titolo]],Descrizioni,0),MATCH("Price",Intestazioni,0)-1,1,1)),"")</f>
        <v>136.52000000000001</v>
      </c>
      <c r="O1053" s="18">
        <f ca="1">IF(OR(Registro_Ordini[[#This Row],[Price]]=0,Registro_Ordini[[#This Row],[Price]]=""),"",IF(Registro_Ordini[[#This Row],[Tipo]]="Sell",Registro_Ordini[[#This Row],[Prezzo]]/Registro_Ordini[[#This Row],[Price]]-1,Registro_Ordini[[#This Row],[Price]]/Registro_Ordini[[#This Row],[Prezzo]]-1))</f>
        <v>0.12863756613756627</v>
      </c>
      <c r="P1053" s="15">
        <v>5.0927866626942382E-2</v>
      </c>
      <c r="Q1053" s="3">
        <v>0.12530478960970048</v>
      </c>
      <c r="R1053" s="3">
        <v>0.35509088120001547</v>
      </c>
      <c r="S1053" s="3">
        <v>0.40129986567773729</v>
      </c>
      <c r="T1053" s="3">
        <v>0</v>
      </c>
      <c r="U1053" s="3">
        <v>0.11830446351254655</v>
      </c>
      <c r="V1053" s="3"/>
      <c r="W1053" s="4"/>
    </row>
    <row r="1054" spans="1:23" s="1" customFormat="1" ht="24.95" customHeight="1" x14ac:dyDescent="0.2">
      <c r="A1054" s="8">
        <v>45511</v>
      </c>
      <c r="B1054" s="7">
        <v>0.4909722222222222</v>
      </c>
      <c r="C1054" s="9" t="s">
        <v>367</v>
      </c>
      <c r="D1054" s="1" t="s">
        <v>388</v>
      </c>
      <c r="E1054" s="1" t="s">
        <v>397</v>
      </c>
      <c r="F1054" s="1" t="s">
        <v>406</v>
      </c>
      <c r="G1054" s="1" t="s">
        <v>371</v>
      </c>
      <c r="H1054" s="2">
        <v>1400</v>
      </c>
      <c r="I1054" s="17">
        <v>120.96</v>
      </c>
      <c r="J1054" s="1" t="s">
        <v>369</v>
      </c>
      <c r="K1054" s="6">
        <f>Registro_Ordini[[#This Row],[Numero]]*Registro_Ordini[[#This Row],[Prezzo]]</f>
        <v>169344</v>
      </c>
      <c r="L1054" s="10">
        <v>1</v>
      </c>
      <c r="M1054" s="6">
        <f>Registro_Ordini[[#This Row],[Importo]]*Registro_Ordini[[#This Row],[Cambio]]</f>
        <v>169344</v>
      </c>
      <c r="N1054" s="1">
        <f ca="1">IFERROR(_xlfn.NUMBERVALUE(OFFSET(Origine,MATCH(Registro_Ordini[[#This Row],[Titolo]],Descrizioni,0),MATCH("Price",Intestazioni,0)-1,1,1)),"")</f>
        <v>136.52000000000001</v>
      </c>
      <c r="O1054" s="18">
        <f ca="1">IF(OR(Registro_Ordini[[#This Row],[Price]]=0,Registro_Ordini[[#This Row],[Price]]=""),"",IF(Registro_Ordini[[#This Row],[Tipo]]="Sell",Registro_Ordini[[#This Row],[Prezzo]]/Registro_Ordini[[#This Row],[Price]]-1,Registro_Ordini[[#This Row],[Price]]/Registro_Ordini[[#This Row],[Prezzo]]-1))</f>
        <v>0.12863756613756627</v>
      </c>
      <c r="P1054" s="15">
        <v>5.0081178780383907E-2</v>
      </c>
      <c r="Q1054" s="3">
        <v>0.19722752354476725</v>
      </c>
      <c r="R1054" s="3">
        <v>0.42476505586595409</v>
      </c>
      <c r="S1054" s="3">
        <v>0.33019942995689294</v>
      </c>
      <c r="T1054" s="3">
        <v>0</v>
      </c>
      <c r="U1054" s="3">
        <v>4.780799063238577E-2</v>
      </c>
      <c r="V1054" s="3"/>
      <c r="W1054" s="4"/>
    </row>
    <row r="1055" spans="1:23" s="1" customFormat="1" ht="24.95" customHeight="1" x14ac:dyDescent="0.2">
      <c r="A1055" s="8">
        <v>45511</v>
      </c>
      <c r="B1055" s="7">
        <v>0.4909722222222222</v>
      </c>
      <c r="C1055" s="9" t="s">
        <v>376</v>
      </c>
      <c r="D1055" s="1" t="s">
        <v>388</v>
      </c>
      <c r="E1055" s="1" t="s">
        <v>397</v>
      </c>
      <c r="F1055" s="1" t="s">
        <v>516</v>
      </c>
      <c r="G1055" s="1" t="s">
        <v>365</v>
      </c>
      <c r="H1055" s="2">
        <v>-20</v>
      </c>
      <c r="I1055" s="17">
        <v>266.61</v>
      </c>
      <c r="J1055" s="1" t="s">
        <v>369</v>
      </c>
      <c r="K1055" s="6">
        <f>Registro_Ordini[[#This Row],[Numero]]*Registro_Ordini[[#This Row],[Prezzo]]</f>
        <v>-5332.2000000000007</v>
      </c>
      <c r="L1055" s="10">
        <v>1</v>
      </c>
      <c r="M1055" s="6">
        <f>Registro_Ordini[[#This Row],[Importo]]*Registro_Ordini[[#This Row],[Cambio]]</f>
        <v>-5332.2000000000007</v>
      </c>
      <c r="N1055" s="1">
        <f ca="1">IFERROR(_xlfn.NUMBERVALUE(OFFSET(Origine,MATCH(Registro_Ordini[[#This Row],[Titolo]],Descrizioni,0),MATCH("Price",Intestazioni,0)-1,1,1)),"")</f>
        <v>307.10000000000002</v>
      </c>
      <c r="O1055" s="18">
        <f ca="1">IF(OR(Registro_Ordini[[#This Row],[Price]]=0,Registro_Ordini[[#This Row],[Price]]=""),"",IF(Registro_Ordini[[#This Row],[Tipo]]="Sell",Registro_Ordini[[#This Row],[Prezzo]]/Registro_Ordini[[#This Row],[Price]]-1,Registro_Ordini[[#This Row],[Price]]/Registro_Ordini[[#This Row],[Prezzo]]-1))</f>
        <v>-0.13184630413546083</v>
      </c>
      <c r="P1055" s="15">
        <v>-1.9597684533130599E-2</v>
      </c>
      <c r="Q1055" s="3">
        <v>0.14490247602845116</v>
      </c>
      <c r="R1055" s="3">
        <v>0.35509088043453002</v>
      </c>
      <c r="S1055" s="3">
        <v>0.38170218027950642</v>
      </c>
      <c r="T1055" s="3">
        <v>0</v>
      </c>
      <c r="U1055" s="3">
        <v>0.11830446325751227</v>
      </c>
      <c r="V1055" s="3"/>
      <c r="W1055" s="4"/>
    </row>
    <row r="1056" spans="1:23" s="1" customFormat="1" ht="24.95" customHeight="1" x14ac:dyDescent="0.2">
      <c r="A1056" s="8">
        <v>45511</v>
      </c>
      <c r="B1056" s="7">
        <v>0.44791666666666669</v>
      </c>
      <c r="C1056" s="9" t="s">
        <v>78</v>
      </c>
      <c r="D1056" s="1" t="s">
        <v>388</v>
      </c>
      <c r="E1056" s="1" t="s">
        <v>397</v>
      </c>
      <c r="F1056" s="1" t="s">
        <v>517</v>
      </c>
      <c r="G1056" s="1" t="s">
        <v>365</v>
      </c>
      <c r="H1056" s="2">
        <v>-40</v>
      </c>
      <c r="I1056" s="17">
        <v>249.02</v>
      </c>
      <c r="J1056" s="1" t="s">
        <v>369</v>
      </c>
      <c r="K1056" s="6">
        <f>Registro_Ordini[[#This Row],[Numero]]*Registro_Ordini[[#This Row],[Prezzo]]</f>
        <v>-9960.8000000000011</v>
      </c>
      <c r="L1056" s="10">
        <v>1</v>
      </c>
      <c r="M1056" s="6">
        <f>Registro_Ordini[[#This Row],[Importo]]*Registro_Ordini[[#This Row],[Cambio]]</f>
        <v>-9960.8000000000011</v>
      </c>
      <c r="N1056" s="1" t="str">
        <f ca="1">IFERROR(_xlfn.NUMBERVALUE(OFFSET(Origine,MATCH(Registro_Ordini[[#This Row],[Titolo]],Descrizioni,0),MATCH("Price",Intestazioni,0)-1,1,1)),"")</f>
        <v/>
      </c>
      <c r="O1056" s="18" t="str">
        <f ca="1">IF(OR(Registro_Ordini[[#This Row],[Price]]=0,Registro_Ordini[[#This Row],[Price]]=""),"",IF(Registro_Ordini[[#This Row],[Tipo]]="Sell",Registro_Ordini[[#This Row],[Prezzo]]/Registro_Ordini[[#This Row],[Price]]-1,Registro_Ordini[[#This Row],[Price]]/Registro_Ordini[[#This Row],[Prezzo]]-1))</f>
        <v/>
      </c>
      <c r="P1056" s="15">
        <v>-2.5438258136269584E-2</v>
      </c>
      <c r="Q1056" s="3">
        <v>0.19428165523314728</v>
      </c>
      <c r="R1056" s="3">
        <v>0.17167246252396862</v>
      </c>
      <c r="S1056" s="3">
        <v>0.55419277809428624</v>
      </c>
      <c r="T1056" s="3">
        <v>0</v>
      </c>
      <c r="U1056" s="3">
        <v>7.9853104148597892E-2</v>
      </c>
      <c r="V1056" s="3"/>
      <c r="W1056" s="4"/>
    </row>
    <row r="1057" spans="1:23" s="1" customFormat="1" ht="24.95" customHeight="1" x14ac:dyDescent="0.2">
      <c r="A1057" s="8">
        <v>45511</v>
      </c>
      <c r="B1057" s="7">
        <v>0.44791666666666669</v>
      </c>
      <c r="C1057" s="9" t="s">
        <v>375</v>
      </c>
      <c r="D1057" s="1" t="s">
        <v>388</v>
      </c>
      <c r="E1057" s="1" t="s">
        <v>397</v>
      </c>
      <c r="F1057" s="1" t="s">
        <v>517</v>
      </c>
      <c r="G1057" s="1" t="s">
        <v>365</v>
      </c>
      <c r="H1057" s="2">
        <v>-60</v>
      </c>
      <c r="I1057" s="17">
        <v>249.02</v>
      </c>
      <c r="J1057" s="1" t="s">
        <v>369</v>
      </c>
      <c r="K1057" s="6">
        <f>Registro_Ordini[[#This Row],[Numero]]*Registro_Ordini[[#This Row],[Prezzo]]</f>
        <v>-14941.2</v>
      </c>
      <c r="L1057" s="10">
        <v>1</v>
      </c>
      <c r="M1057" s="6">
        <f>Registro_Ordini[[#This Row],[Importo]]*Registro_Ordini[[#This Row],[Cambio]]</f>
        <v>-14941.2</v>
      </c>
      <c r="N1057" s="1" t="str">
        <f ca="1">IFERROR(_xlfn.NUMBERVALUE(OFFSET(Origine,MATCH(Registro_Ordini[[#This Row],[Titolo]],Descrizioni,0),MATCH("Price",Intestazioni,0)-1,1,1)),"")</f>
        <v/>
      </c>
      <c r="O1057" s="18" t="str">
        <f ca="1">IF(OR(Registro_Ordini[[#This Row],[Price]]=0,Registro_Ordini[[#This Row],[Price]]=""),"",IF(Registro_Ordini[[#This Row],[Tipo]]="Sell",Registro_Ordini[[#This Row],[Prezzo]]/Registro_Ordini[[#This Row],[Price]]-1,Registro_Ordini[[#This Row],[Price]]/Registro_Ordini[[#This Row],[Prezzo]]-1))</f>
        <v/>
      </c>
      <c r="P1057" s="15">
        <v>-1.9639203726535139E-2</v>
      </c>
      <c r="Q1057" s="3">
        <v>0.20301252296329278</v>
      </c>
      <c r="R1057" s="3">
        <v>0.36528788345325774</v>
      </c>
      <c r="S1057" s="3">
        <v>0.33145121150013046</v>
      </c>
      <c r="T1057" s="3"/>
      <c r="U1057" s="3">
        <v>0.100248382083319</v>
      </c>
      <c r="V1057" s="3"/>
      <c r="W1057" s="4"/>
    </row>
    <row r="1058" spans="1:23" s="1" customFormat="1" ht="24.95" customHeight="1" x14ac:dyDescent="0.2">
      <c r="A1058" s="8">
        <v>45511</v>
      </c>
      <c r="B1058" s="7">
        <v>0.44791666666666669</v>
      </c>
      <c r="C1058" s="9" t="s">
        <v>378</v>
      </c>
      <c r="D1058" s="1" t="s">
        <v>388</v>
      </c>
      <c r="E1058" s="1" t="s">
        <v>397</v>
      </c>
      <c r="F1058" s="1" t="s">
        <v>517</v>
      </c>
      <c r="G1058" s="1" t="s">
        <v>365</v>
      </c>
      <c r="H1058" s="2">
        <v>-35</v>
      </c>
      <c r="I1058" s="17">
        <v>249.02</v>
      </c>
      <c r="J1058" s="1" t="s">
        <v>369</v>
      </c>
      <c r="K1058" s="6">
        <f>Registro_Ordini[[#This Row],[Numero]]*Registro_Ordini[[#This Row],[Prezzo]]</f>
        <v>-8715.7000000000007</v>
      </c>
      <c r="L1058" s="10">
        <v>1</v>
      </c>
      <c r="M1058" s="6">
        <f>Registro_Ordini[[#This Row],[Importo]]*Registro_Ordini[[#This Row],[Cambio]]</f>
        <v>-8715.7000000000007</v>
      </c>
      <c r="N1058" s="1" t="str">
        <f ca="1">IFERROR(_xlfn.NUMBERVALUE(OFFSET(Origine,MATCH(Registro_Ordini[[#This Row],[Titolo]],Descrizioni,0),MATCH("Price",Intestazioni,0)-1,1,1)),"")</f>
        <v/>
      </c>
      <c r="O1058" s="18" t="str">
        <f ca="1">IF(OR(Registro_Ordini[[#This Row],[Price]]=0,Registro_Ordini[[#This Row],[Price]]=""),"",IF(Registro_Ordini[[#This Row],[Tipo]]="Sell",Registro_Ordini[[#This Row],[Prezzo]]/Registro_Ordini[[#This Row],[Price]]-1,Registro_Ordini[[#This Row],[Price]]/Registro_Ordini[[#This Row],[Prezzo]]-1))</f>
        <v/>
      </c>
      <c r="P1058" s="15">
        <v>-1.7880521662955822E-2</v>
      </c>
      <c r="Q1058" s="3">
        <v>0.22802320973497323</v>
      </c>
      <c r="R1058" s="3">
        <v>0.34346566214973356</v>
      </c>
      <c r="S1058" s="3">
        <v>0.33475739520615183</v>
      </c>
      <c r="T1058" s="3"/>
      <c r="U1058" s="3">
        <v>9.3753732909141491E-2</v>
      </c>
      <c r="V1058" s="3"/>
      <c r="W1058" s="4"/>
    </row>
    <row r="1059" spans="1:23" s="1" customFormat="1" ht="24.95" customHeight="1" x14ac:dyDescent="0.2">
      <c r="A1059" s="8">
        <v>45511</v>
      </c>
      <c r="B1059" s="7">
        <v>0.44791666666666669</v>
      </c>
      <c r="C1059" s="9" t="s">
        <v>377</v>
      </c>
      <c r="D1059" s="1" t="s">
        <v>388</v>
      </c>
      <c r="E1059" s="1" t="s">
        <v>397</v>
      </c>
      <c r="F1059" s="1" t="s">
        <v>517</v>
      </c>
      <c r="G1059" s="1" t="s">
        <v>365</v>
      </c>
      <c r="H1059" s="2">
        <v>-115</v>
      </c>
      <c r="I1059" s="17">
        <v>249.02</v>
      </c>
      <c r="J1059" s="1" t="s">
        <v>369</v>
      </c>
      <c r="K1059" s="6">
        <f>Registro_Ordini[[#This Row],[Numero]]*Registro_Ordini[[#This Row],[Prezzo]]</f>
        <v>-28637.300000000003</v>
      </c>
      <c r="L1059" s="10">
        <v>1</v>
      </c>
      <c r="M1059" s="6">
        <f>Registro_Ordini[[#This Row],[Importo]]*Registro_Ordini[[#This Row],[Cambio]]</f>
        <v>-28637.300000000003</v>
      </c>
      <c r="N1059" s="1" t="str">
        <f ca="1">IFERROR(_xlfn.NUMBERVALUE(OFFSET(Origine,MATCH(Registro_Ordini[[#This Row],[Titolo]],Descrizioni,0),MATCH("Price",Intestazioni,0)-1,1,1)),"")</f>
        <v/>
      </c>
      <c r="O1059" s="18" t="str">
        <f ca="1">IF(OR(Registro_Ordini[[#This Row],[Price]]=0,Registro_Ordini[[#This Row],[Price]]=""),"",IF(Registro_Ordini[[#This Row],[Tipo]]="Sell",Registro_Ordini[[#This Row],[Prezzo]]/Registro_Ordini[[#This Row],[Price]]-1,Registro_Ordini[[#This Row],[Price]]/Registro_Ordini[[#This Row],[Prezzo]]-1))</f>
        <v/>
      </c>
      <c r="P1059" s="15">
        <v>-1.914497544345049E-2</v>
      </c>
      <c r="Q1059" s="3">
        <v>0.18893554939922413</v>
      </c>
      <c r="R1059" s="3">
        <v>0.3377811513185186</v>
      </c>
      <c r="S1059" s="3">
        <v>0.37283058759655174</v>
      </c>
      <c r="T1059" s="3"/>
      <c r="U1059" s="3">
        <v>0.10045271168570558</v>
      </c>
      <c r="V1059" s="3"/>
      <c r="W1059" s="4"/>
    </row>
    <row r="1060" spans="1:23" s="1" customFormat="1" ht="24.95" customHeight="1" x14ac:dyDescent="0.2">
      <c r="A1060" s="8">
        <v>45511</v>
      </c>
      <c r="B1060" s="7">
        <v>0.44791666666666669</v>
      </c>
      <c r="C1060" s="9" t="s">
        <v>376</v>
      </c>
      <c r="D1060" s="1" t="s">
        <v>388</v>
      </c>
      <c r="E1060" s="1" t="s">
        <v>397</v>
      </c>
      <c r="F1060" s="1" t="s">
        <v>517</v>
      </c>
      <c r="G1060" s="1" t="s">
        <v>365</v>
      </c>
      <c r="H1060" s="2">
        <v>-20</v>
      </c>
      <c r="I1060" s="17">
        <v>249.02</v>
      </c>
      <c r="J1060" s="1" t="s">
        <v>369</v>
      </c>
      <c r="K1060" s="6">
        <f>Registro_Ordini[[#This Row],[Numero]]*Registro_Ordini[[#This Row],[Prezzo]]</f>
        <v>-4980.4000000000005</v>
      </c>
      <c r="L1060" s="10">
        <v>1</v>
      </c>
      <c r="M1060" s="6">
        <f>Registro_Ordini[[#This Row],[Importo]]*Registro_Ordini[[#This Row],[Cambio]]</f>
        <v>-4980.4000000000005</v>
      </c>
      <c r="N1060" s="1" t="str">
        <f ca="1">IFERROR(_xlfn.NUMBERVALUE(OFFSET(Origine,MATCH(Registro_Ordini[[#This Row],[Titolo]],Descrizioni,0),MATCH("Price",Intestazioni,0)-1,1,1)),"")</f>
        <v/>
      </c>
      <c r="O1060" s="18" t="str">
        <f ca="1">IF(OR(Registro_Ordini[[#This Row],[Price]]=0,Registro_Ordini[[#This Row],[Price]]=""),"",IF(Registro_Ordini[[#This Row],[Tipo]]="Sell",Registro_Ordini[[#This Row],[Prezzo]]/Registro_Ordini[[#This Row],[Price]]-1,Registro_Ordini[[#This Row],[Price]]/Registro_Ordini[[#This Row],[Prezzo]]-1))</f>
        <v/>
      </c>
      <c r="P1060" s="15">
        <v>-1.8632385151211482E-2</v>
      </c>
      <c r="Q1060" s="3">
        <v>0.17648304371731741</v>
      </c>
      <c r="R1060" s="3">
        <v>0.35665639435392454</v>
      </c>
      <c r="S1060" s="3">
        <v>0.34881521256525938</v>
      </c>
      <c r="T1060" s="3"/>
      <c r="U1060" s="3">
        <v>0.11804534936349863</v>
      </c>
      <c r="V1060" s="3"/>
      <c r="W1060" s="4"/>
    </row>
    <row r="1061" spans="1:23" s="1" customFormat="1" ht="24.95" customHeight="1" x14ac:dyDescent="0.2">
      <c r="A1061" s="8">
        <v>45511</v>
      </c>
      <c r="B1061" s="7">
        <v>0.44791666666666669</v>
      </c>
      <c r="C1061" s="9" t="s">
        <v>367</v>
      </c>
      <c r="D1061" s="1" t="s">
        <v>388</v>
      </c>
      <c r="E1061" s="1" t="s">
        <v>397</v>
      </c>
      <c r="F1061" s="1" t="s">
        <v>517</v>
      </c>
      <c r="G1061" s="1" t="s">
        <v>365</v>
      </c>
      <c r="H1061" s="2">
        <v>-650</v>
      </c>
      <c r="I1061" s="17">
        <v>249.02</v>
      </c>
      <c r="J1061" s="1" t="s">
        <v>369</v>
      </c>
      <c r="K1061" s="6">
        <f>Registro_Ordini[[#This Row],[Numero]]*Registro_Ordini[[#This Row],[Prezzo]]</f>
        <v>-161863</v>
      </c>
      <c r="L1061" s="10">
        <v>1</v>
      </c>
      <c r="M1061" s="6">
        <f>Registro_Ordini[[#This Row],[Importo]]*Registro_Ordini[[#This Row],[Cambio]]</f>
        <v>-161863</v>
      </c>
      <c r="N1061" s="1" t="str">
        <f ca="1">IFERROR(_xlfn.NUMBERVALUE(OFFSET(Origine,MATCH(Registro_Ordini[[#This Row],[Titolo]],Descrizioni,0),MATCH("Price",Intestazioni,0)-1,1,1)),"")</f>
        <v/>
      </c>
      <c r="O1061" s="18" t="str">
        <f ca="1">IF(OR(Registro_Ordini[[#This Row],[Price]]=0,Registro_Ordini[[#This Row],[Price]]=""),"",IF(Registro_Ordini[[#This Row],[Tipo]]="Sell",Registro_Ordini[[#This Row],[Prezzo]]/Registro_Ordini[[#This Row],[Price]]-1,Registro_Ordini[[#This Row],[Price]]/Registro_Ordini[[#This Row],[Prezzo]]-1))</f>
        <v/>
      </c>
      <c r="P1061" s="15">
        <v>-4.8888546035746508E-2</v>
      </c>
      <c r="Q1061" s="3">
        <v>0.24719781589781095</v>
      </c>
      <c r="R1061" s="3">
        <v>0.42647467293920693</v>
      </c>
      <c r="S1061" s="3">
        <v>0.27841352579925038</v>
      </c>
      <c r="T1061" s="3"/>
      <c r="U1061" s="3">
        <v>4.7913985363731738E-2</v>
      </c>
      <c r="V1061" s="3"/>
      <c r="W1061" s="4"/>
    </row>
    <row r="1062" spans="1:23" s="1" customFormat="1" ht="24.95" customHeight="1" x14ac:dyDescent="0.2">
      <c r="A1062" s="8">
        <v>45510</v>
      </c>
      <c r="B1062" s="7"/>
      <c r="C1062" s="9" t="s">
        <v>518</v>
      </c>
      <c r="D1062" s="1" t="s">
        <v>362</v>
      </c>
      <c r="F1062" s="1" t="s">
        <v>519</v>
      </c>
      <c r="G1062" s="1" t="s">
        <v>365</v>
      </c>
      <c r="H1062" s="2">
        <v>-260000</v>
      </c>
      <c r="I1062" s="17">
        <v>1</v>
      </c>
      <c r="J1062" s="1" t="s">
        <v>366</v>
      </c>
      <c r="K1062" s="6">
        <f>Registro_Ordini[[#This Row],[Numero]]*Registro_Ordini[[#This Row],[Prezzo]]</f>
        <v>-260000</v>
      </c>
      <c r="L1062" s="10">
        <v>0.85099999999999998</v>
      </c>
      <c r="M1062" s="6">
        <f>Registro_Ordini[[#This Row],[Importo]]*Registro_Ordini[[#This Row],[Cambio]]</f>
        <v>-221260</v>
      </c>
      <c r="N1062" s="1" t="str">
        <f ca="1">IFERROR(_xlfn.NUMBERVALUE(OFFSET(Origine,MATCH(Registro_Ordini[[#This Row],[Titolo]],Descrizioni,0),MATCH("Price",Intestazioni,0)-1,1,1)),"")</f>
        <v/>
      </c>
      <c r="O1062" s="18" t="str">
        <f ca="1">IF(OR(Registro_Ordini[[#This Row],[Price]]=0,Registro_Ordini[[#This Row],[Price]]=""),"",IF(Registro_Ordini[[#This Row],[Tipo]]="Sell",Registro_Ordini[[#This Row],[Prezzo]]/Registro_Ordini[[#This Row],[Price]]-1,Registro_Ordini[[#This Row],[Price]]/Registro_Ordini[[#This Row],[Prezzo]]-1))</f>
        <v/>
      </c>
      <c r="P1062" s="15"/>
      <c r="Q1062" s="3"/>
      <c r="R1062" s="3"/>
      <c r="S1062" s="3"/>
      <c r="T1062" s="3"/>
      <c r="U1062" s="3"/>
      <c r="V1062" s="3"/>
      <c r="W1062" s="4"/>
    </row>
    <row r="1063" spans="1:23" s="1" customFormat="1" ht="24.95" customHeight="1" x14ac:dyDescent="0.2">
      <c r="A1063" s="8">
        <v>45484</v>
      </c>
      <c r="B1063" s="7">
        <v>0.45555555555555555</v>
      </c>
      <c r="C1063" s="9" t="s">
        <v>413</v>
      </c>
      <c r="D1063" s="1" t="s">
        <v>368</v>
      </c>
      <c r="E1063" s="1" t="s">
        <v>363</v>
      </c>
      <c r="F1063" s="19" t="s">
        <v>520</v>
      </c>
      <c r="G1063" s="1" t="s">
        <v>371</v>
      </c>
      <c r="H1063" s="2">
        <v>50000</v>
      </c>
      <c r="I1063" s="16">
        <v>0.94054214999999997</v>
      </c>
      <c r="J1063" s="1" t="s">
        <v>369</v>
      </c>
      <c r="K1063" s="6">
        <f>Registro_Ordini[[#This Row],[Numero]]*Registro_Ordini[[#This Row],[Prezzo]]</f>
        <v>47027.107499999998</v>
      </c>
      <c r="L1063" s="10">
        <v>1</v>
      </c>
      <c r="M1063" s="6">
        <f>Registro_Ordini[[#This Row],[Importo]]*Registro_Ordini[[#This Row],[Cambio]]</f>
        <v>47027.107499999998</v>
      </c>
      <c r="N1063" s="1">
        <f ca="1">IFERROR(_xlfn.NUMBERVALUE(OFFSET(Origine,MATCH(Registro_Ordini[[#This Row],[Titolo]],Descrizioni,0),MATCH("Price",Intestazioni,0)-1,1,1)),"")</f>
        <v>0.98948749999999996</v>
      </c>
      <c r="O1063" s="18">
        <f ca="1">IF(OR(Registro_Ordini[[#This Row],[Price]]=0,Registro_Ordini[[#This Row],[Price]]=""),"",IF(Registro_Ordini[[#This Row],[Tipo]]="Sell",Registro_Ordini[[#This Row],[Prezzo]]/Registro_Ordini[[#This Row],[Price]]-1,Registro_Ordini[[#This Row],[Price]]/Registro_Ordini[[#This Row],[Prezzo]]-1))</f>
        <v>5.2039507214004077E-2</v>
      </c>
      <c r="P1063" s="15">
        <v>1.0365300280833925E-2</v>
      </c>
      <c r="Q1063" s="3"/>
      <c r="R1063" s="3">
        <v>0.28161507960506088</v>
      </c>
      <c r="S1063" s="3">
        <v>0.32363324590833886</v>
      </c>
      <c r="T1063" s="3">
        <v>0</v>
      </c>
      <c r="U1063" s="3">
        <v>0.3794518426696758</v>
      </c>
      <c r="V1063" s="3">
        <v>0</v>
      </c>
      <c r="W1063" s="5"/>
    </row>
    <row r="1064" spans="1:23" s="1" customFormat="1" ht="24.95" customHeight="1" x14ac:dyDescent="0.2">
      <c r="A1064" s="8">
        <v>45484</v>
      </c>
      <c r="B1064" s="7">
        <v>0.45555555555555555</v>
      </c>
      <c r="C1064" s="9" t="s">
        <v>413</v>
      </c>
      <c r="D1064" s="1" t="s">
        <v>368</v>
      </c>
      <c r="E1064" s="1" t="s">
        <v>363</v>
      </c>
      <c r="F1064" s="19" t="s">
        <v>521</v>
      </c>
      <c r="G1064" s="1" t="s">
        <v>371</v>
      </c>
      <c r="H1064" s="2">
        <v>50000</v>
      </c>
      <c r="I1064" s="16">
        <v>0.96284027999999999</v>
      </c>
      <c r="J1064" s="1" t="s">
        <v>369</v>
      </c>
      <c r="K1064" s="6">
        <f>Registro_Ordini[[#This Row],[Numero]]*Registro_Ordini[[#This Row],[Prezzo]]</f>
        <v>48142.014000000003</v>
      </c>
      <c r="L1064" s="10">
        <v>1</v>
      </c>
      <c r="M1064" s="6">
        <f>Registro_Ordini[[#This Row],[Importo]]*Registro_Ordini[[#This Row],[Cambio]]</f>
        <v>48142.014000000003</v>
      </c>
      <c r="N1064" s="1">
        <f ca="1">IFERROR(_xlfn.NUMBERVALUE(OFFSET(Origine,MATCH(Registro_Ordini[[#This Row],[Titolo]],Descrizioni,0),MATCH("Price",Intestazioni,0)-1,1,1)),"")</f>
        <v>0.99844680555999998</v>
      </c>
      <c r="O1064" s="18">
        <f ca="1">IF(OR(Registro_Ordini[[#This Row],[Price]]=0,Registro_Ordini[[#This Row],[Price]]=""),"",IF(Registro_Ordini[[#This Row],[Tipo]]="Sell",Registro_Ordini[[#This Row],[Prezzo]]/Registro_Ordini[[#This Row],[Price]]-1,Registro_Ordini[[#This Row],[Price]]/Registro_Ordini[[#This Row],[Prezzo]]-1))</f>
        <v>3.6980718712765093E-2</v>
      </c>
      <c r="P1064" s="15">
        <v>1.0611038138675885E-2</v>
      </c>
      <c r="Q1064" s="3"/>
      <c r="R1064" s="3">
        <v>0.271249779324227</v>
      </c>
      <c r="S1064" s="3">
        <v>0.32363324590833886</v>
      </c>
      <c r="T1064" s="3">
        <v>0</v>
      </c>
      <c r="U1064" s="3">
        <v>0.3794518426696758</v>
      </c>
      <c r="V1064" s="3">
        <v>0</v>
      </c>
      <c r="W1064" s="5"/>
    </row>
    <row r="1065" spans="1:23" s="1" customFormat="1" ht="24.95" customHeight="1" x14ac:dyDescent="0.2">
      <c r="A1065" s="8">
        <v>45484</v>
      </c>
      <c r="B1065" s="7">
        <v>0.4548611111111111</v>
      </c>
      <c r="C1065" s="9" t="s">
        <v>413</v>
      </c>
      <c r="D1065" s="1" t="s">
        <v>368</v>
      </c>
      <c r="E1065" s="1" t="s">
        <v>363</v>
      </c>
      <c r="F1065" s="19" t="s">
        <v>522</v>
      </c>
      <c r="G1065" s="1" t="s">
        <v>371</v>
      </c>
      <c r="H1065" s="2">
        <v>50000</v>
      </c>
      <c r="I1065" s="16">
        <v>0.97452143999999996</v>
      </c>
      <c r="J1065" s="1" t="s">
        <v>369</v>
      </c>
      <c r="K1065" s="6">
        <f>Registro_Ordini[[#This Row],[Numero]]*Registro_Ordini[[#This Row],[Prezzo]]</f>
        <v>48726.072</v>
      </c>
      <c r="L1065" s="10">
        <v>1</v>
      </c>
      <c r="M1065" s="6">
        <f>Registro_Ordini[[#This Row],[Importo]]*Registro_Ordini[[#This Row],[Cambio]]</f>
        <v>48726.072</v>
      </c>
      <c r="N1065" s="1">
        <f ca="1">IFERROR(_xlfn.NUMBERVALUE(OFFSET(Origine,MATCH(Registro_Ordini[[#This Row],[Titolo]],Descrizioni,0),MATCH("Price",Intestazioni,0)-1,1,1)),"")</f>
        <v>1.0039800000000001</v>
      </c>
      <c r="O1065" s="18">
        <f ca="1">IF(OR(Registro_Ordini[[#This Row],[Price]]=0,Registro_Ordini[[#This Row],[Price]]=""),"",IF(Registro_Ordini[[#This Row],[Tipo]]="Sell",Registro_Ordini[[#This Row],[Prezzo]]/Registro_Ordini[[#This Row],[Price]]-1,Registro_Ordini[[#This Row],[Price]]/Registro_Ordini[[#This Row],[Prezzo]]-1))</f>
        <v>3.0228744890415271E-2</v>
      </c>
      <c r="P1065" s="15">
        <v>1.0739771051951985E-2</v>
      </c>
      <c r="Q1065" s="3"/>
      <c r="R1065" s="3">
        <v>0.26063874118555114</v>
      </c>
      <c r="S1065" s="3">
        <v>0.32363324590833886</v>
      </c>
      <c r="T1065" s="3">
        <v>0</v>
      </c>
      <c r="U1065" s="3">
        <v>0.3794518426696758</v>
      </c>
      <c r="V1065" s="3">
        <v>0</v>
      </c>
      <c r="W1065" s="5"/>
    </row>
    <row r="1066" spans="1:23" s="1" customFormat="1" ht="24.95" customHeight="1" x14ac:dyDescent="0.2">
      <c r="A1066" s="8">
        <v>45484</v>
      </c>
      <c r="B1066" s="7">
        <v>0.45416666666666666</v>
      </c>
      <c r="C1066" s="9" t="s">
        <v>413</v>
      </c>
      <c r="D1066" s="1" t="s">
        <v>368</v>
      </c>
      <c r="E1066" s="1" t="s">
        <v>363</v>
      </c>
      <c r="F1066" s="19" t="s">
        <v>523</v>
      </c>
      <c r="G1066" s="1" t="s">
        <v>371</v>
      </c>
      <c r="H1066" s="2">
        <v>100000</v>
      </c>
      <c r="I1066" s="16">
        <v>0.97727556000000004</v>
      </c>
      <c r="J1066" s="1" t="s">
        <v>369</v>
      </c>
      <c r="K1066" s="6">
        <f>Registro_Ordini[[#This Row],[Numero]]*Registro_Ordini[[#This Row],[Prezzo]]</f>
        <v>97727.556000000011</v>
      </c>
      <c r="L1066" s="10">
        <v>1</v>
      </c>
      <c r="M1066" s="6">
        <f>Registro_Ordini[[#This Row],[Importo]]*Registro_Ordini[[#This Row],[Cambio]]</f>
        <v>97727.556000000011</v>
      </c>
      <c r="N1066" s="1">
        <f ca="1">IFERROR(_xlfn.NUMBERVALUE(OFFSET(Origine,MATCH(Registro_Ordini[[#This Row],[Titolo]],Descrizioni,0),MATCH("Price",Intestazioni,0)-1,1,1)),"")</f>
        <v>1.00125</v>
      </c>
      <c r="O1066" s="18">
        <f ca="1">IF(OR(Registro_Ordini[[#This Row],[Price]]=0,Registro_Ordini[[#This Row],[Price]]=""),"",IF(Registro_Ordini[[#This Row],[Tipo]]="Sell",Registro_Ordini[[#This Row],[Prezzo]]/Registro_Ordini[[#This Row],[Price]]-1,Registro_Ordini[[#This Row],[Price]]/Registro_Ordini[[#This Row],[Prezzo]]-1))</f>
        <v>2.4531914007958955E-2</v>
      </c>
      <c r="P1066" s="15">
        <v>2.1540245987955207E-2</v>
      </c>
      <c r="Q1066" s="3"/>
      <c r="R1066" s="3">
        <v>0.24989897013359916</v>
      </c>
      <c r="S1066" s="3">
        <v>0.32363324590833886</v>
      </c>
      <c r="T1066" s="3">
        <v>0</v>
      </c>
      <c r="U1066" s="3">
        <v>0.3794518426696758</v>
      </c>
      <c r="V1066" s="3">
        <v>0</v>
      </c>
      <c r="W1066" s="5"/>
    </row>
    <row r="1067" spans="1:23" s="1" customFormat="1" ht="24.95" customHeight="1" x14ac:dyDescent="0.2">
      <c r="A1067" s="8">
        <v>45477</v>
      </c>
      <c r="B1067" s="7">
        <v>0.49722222222222223</v>
      </c>
      <c r="C1067" s="9" t="s">
        <v>413</v>
      </c>
      <c r="D1067" s="1" t="s">
        <v>388</v>
      </c>
      <c r="E1067" s="1" t="s">
        <v>389</v>
      </c>
      <c r="F1067" s="19" t="s">
        <v>524</v>
      </c>
      <c r="G1067" s="1" t="s">
        <v>365</v>
      </c>
      <c r="H1067" s="2">
        <v>-3000</v>
      </c>
      <c r="I1067" s="17">
        <v>40.783900000000003</v>
      </c>
      <c r="J1067" s="1" t="s">
        <v>369</v>
      </c>
      <c r="K1067" s="6">
        <f>Registro_Ordini[[#This Row],[Numero]]*Registro_Ordini[[#This Row],[Prezzo]]</f>
        <v>-122351.70000000001</v>
      </c>
      <c r="L1067" s="10">
        <v>1</v>
      </c>
      <c r="M1067" s="6">
        <f>Registro_Ordini[[#This Row],[Importo]]*Registro_Ordini[[#This Row],[Cambio]]</f>
        <v>-122351.70000000001</v>
      </c>
      <c r="N1067" s="1">
        <f ca="1">IFERROR(_xlfn.NUMBERVALUE(OFFSET(Origine,MATCH(Registro_Ordini[[#This Row],[Titolo]],Descrizioni,0),MATCH("Price",Intestazioni,0)-1,1,1)),"")</f>
        <v>47.77</v>
      </c>
      <c r="O1067" s="18">
        <f ca="1">IF(OR(Registro_Ordini[[#This Row],[Price]]=0,Registro_Ordini[[#This Row],[Price]]=""),"",IF(Registro_Ordini[[#This Row],[Tipo]]="Sell",Registro_Ordini[[#This Row],[Prezzo]]/Registro_Ordini[[#This Row],[Price]]-1,Registro_Ordini[[#This Row],[Price]]/Registro_Ordini[[#This Row],[Prezzo]]-1))</f>
        <v>-0.14624450491940544</v>
      </c>
      <c r="P1067" s="15">
        <v>-2.724392793400561E-2</v>
      </c>
      <c r="Q1067" s="3"/>
      <c r="R1067" s="3">
        <v>0.22978761182454324</v>
      </c>
      <c r="S1067" s="3">
        <v>0.32196783183465011</v>
      </c>
      <c r="T1067" s="3">
        <v>0</v>
      </c>
      <c r="U1067" s="3">
        <v>0.37832202992998265</v>
      </c>
      <c r="V1067" s="3">
        <v>0</v>
      </c>
      <c r="W1067" s="5"/>
    </row>
    <row r="1068" spans="1:23" s="1" customFormat="1" ht="24.95" customHeight="1" x14ac:dyDescent="0.2">
      <c r="A1068" s="8">
        <v>45477</v>
      </c>
      <c r="B1068" s="7">
        <v>0.49652777777777779</v>
      </c>
      <c r="C1068" s="9" t="s">
        <v>413</v>
      </c>
      <c r="D1068" s="1" t="s">
        <v>388</v>
      </c>
      <c r="E1068" s="1" t="s">
        <v>397</v>
      </c>
      <c r="F1068" s="19" t="s">
        <v>525</v>
      </c>
      <c r="G1068" s="1" t="s">
        <v>371</v>
      </c>
      <c r="H1068" s="2">
        <v>130</v>
      </c>
      <c r="I1068" s="17">
        <v>248.17699999999999</v>
      </c>
      <c r="J1068" s="1" t="s">
        <v>369</v>
      </c>
      <c r="K1068" s="6">
        <f>Registro_Ordini[[#This Row],[Numero]]*Registro_Ordini[[#This Row],[Prezzo]]</f>
        <v>32263.01</v>
      </c>
      <c r="L1068" s="10">
        <v>1</v>
      </c>
      <c r="M1068" s="6">
        <f>Registro_Ordini[[#This Row],[Importo]]*Registro_Ordini[[#This Row],[Cambio]]</f>
        <v>32263.01</v>
      </c>
      <c r="N1068" s="1">
        <f ca="1">IFERROR(_xlfn.NUMBERVALUE(OFFSET(Origine,MATCH(Registro_Ordini[[#This Row],[Titolo]],Descrizioni,0),MATCH("Price",Intestazioni,0)-1,1,1)),"")</f>
        <v>355.4</v>
      </c>
      <c r="O1068" s="18">
        <f ca="1">IF(OR(Registro_Ordini[[#This Row],[Price]]=0,Registro_Ordini[[#This Row],[Price]]=""),"",IF(Registro_Ordini[[#This Row],[Tipo]]="Sell",Registro_Ordini[[#This Row],[Prezzo]]/Registro_Ordini[[#This Row],[Price]]-1,Registro_Ordini[[#This Row],[Price]]/Registro_Ordini[[#This Row],[Prezzo]]-1))</f>
        <v>0.43204245357144289</v>
      </c>
      <c r="P1068" s="15">
        <v>7.1839714476717711E-3</v>
      </c>
      <c r="Q1068" s="3"/>
      <c r="R1068" s="3">
        <v>0.22978761182454324</v>
      </c>
      <c r="S1068" s="3">
        <v>0.34921175976865576</v>
      </c>
      <c r="T1068" s="3">
        <v>0</v>
      </c>
      <c r="U1068" s="3">
        <v>0.37832202992998265</v>
      </c>
      <c r="V1068" s="3">
        <v>0</v>
      </c>
      <c r="W1068" s="5"/>
    </row>
    <row r="1069" spans="1:23" s="1" customFormat="1" ht="24.95" customHeight="1" x14ac:dyDescent="0.2">
      <c r="A1069" s="8">
        <v>45477</v>
      </c>
      <c r="B1069" s="7">
        <v>0.49583333333333335</v>
      </c>
      <c r="C1069" s="9" t="s">
        <v>413</v>
      </c>
      <c r="D1069" s="1" t="s">
        <v>388</v>
      </c>
      <c r="E1069" s="1" t="s">
        <v>397</v>
      </c>
      <c r="F1069" s="19" t="s">
        <v>406</v>
      </c>
      <c r="G1069" s="1" t="s">
        <v>371</v>
      </c>
      <c r="H1069" s="2">
        <v>1000</v>
      </c>
      <c r="I1069" s="17">
        <v>122.92</v>
      </c>
      <c r="J1069" s="1" t="s">
        <v>369</v>
      </c>
      <c r="K1069" s="6">
        <f>Registro_Ordini[[#This Row],[Numero]]*Registro_Ordini[[#This Row],[Prezzo]]</f>
        <v>122920</v>
      </c>
      <c r="L1069" s="10">
        <v>1</v>
      </c>
      <c r="M1069" s="6">
        <f>Registro_Ordini[[#This Row],[Importo]]*Registro_Ordini[[#This Row],[Cambio]]</f>
        <v>122920</v>
      </c>
      <c r="N1069" s="1">
        <f ca="1">IFERROR(_xlfn.NUMBERVALUE(OFFSET(Origine,MATCH(Registro_Ordini[[#This Row],[Titolo]],Descrizioni,0),MATCH("Price",Intestazioni,0)-1,1,1)),"")</f>
        <v>136.52000000000001</v>
      </c>
      <c r="O1069" s="18">
        <f ca="1">IF(OR(Registro_Ordini[[#This Row],[Price]]=0,Registro_Ordini[[#This Row],[Price]]=""),"",IF(Registro_Ordini[[#This Row],[Tipo]]="Sell",Registro_Ordini[[#This Row],[Prezzo]]/Registro_Ordini[[#This Row],[Price]]-1,Registro_Ordini[[#This Row],[Price]]/Registro_Ordini[[#This Row],[Prezzo]]-1))</f>
        <v>0.1106410673608853</v>
      </c>
      <c r="P1069" s="15">
        <v>2.737047071391709E-2</v>
      </c>
      <c r="Q1069" s="3"/>
      <c r="R1069" s="3">
        <v>0.22978761182454324</v>
      </c>
      <c r="S1069" s="3">
        <v>0.34202778832098396</v>
      </c>
      <c r="T1069" s="3">
        <v>0</v>
      </c>
      <c r="U1069" s="3">
        <v>0.37832202992998265</v>
      </c>
      <c r="V1069" s="3">
        <v>0</v>
      </c>
      <c r="W1069" s="5"/>
    </row>
    <row r="1070" spans="1:23" s="1" customFormat="1" ht="24.95" customHeight="1" x14ac:dyDescent="0.2">
      <c r="A1070" s="8">
        <v>45475</v>
      </c>
      <c r="B1070" s="7">
        <v>0.67500000000000004</v>
      </c>
      <c r="C1070" s="9" t="s">
        <v>456</v>
      </c>
      <c r="D1070" s="1" t="s">
        <v>388</v>
      </c>
      <c r="E1070" s="1" t="s">
        <v>403</v>
      </c>
      <c r="F1070" s="1" t="s">
        <v>526</v>
      </c>
      <c r="G1070" s="1" t="s">
        <v>365</v>
      </c>
      <c r="H1070" s="2">
        <v>-200</v>
      </c>
      <c r="I1070" s="17">
        <v>110.4</v>
      </c>
      <c r="J1070" s="1" t="s">
        <v>369</v>
      </c>
      <c r="K1070" s="6">
        <f>Registro_Ordini[[#This Row],[Numero]]*Registro_Ordini[[#This Row],[Prezzo]]</f>
        <v>-22080</v>
      </c>
      <c r="L1070" s="10">
        <v>1</v>
      </c>
      <c r="M1070" s="6">
        <f>Registro_Ordini[[#This Row],[Importo]]*Registro_Ordini[[#This Row],[Cambio]]</f>
        <v>-22080</v>
      </c>
      <c r="N1070" s="1" t="str">
        <f ca="1">IFERROR(_xlfn.NUMBERVALUE(OFFSET(Origine,MATCH(Registro_Ordini[[#This Row],[Titolo]],Descrizioni,0),MATCH("Price",Intestazioni,0)-1,1,1)),"")</f>
        <v/>
      </c>
      <c r="O1070" s="18" t="str">
        <f ca="1">IF(OR(Registro_Ordini[[#This Row],[Price]]=0,Registro_Ordini[[#This Row],[Price]]=""),"",IF(Registro_Ordini[[#This Row],[Tipo]]="Sell",Registro_Ordini[[#This Row],[Prezzo]]/Registro_Ordini[[#This Row],[Price]]-1,Registro_Ordini[[#This Row],[Price]]/Registro_Ordini[[#This Row],[Prezzo]]-1))</f>
        <v/>
      </c>
      <c r="P1070" s="15">
        <v>-3.0467513683831684E-2</v>
      </c>
      <c r="Q1070" s="3">
        <v>0.10256533280380807</v>
      </c>
      <c r="R1070" s="3">
        <v>0.39224036027946396</v>
      </c>
      <c r="S1070" s="3">
        <v>0.44505593136022348</v>
      </c>
      <c r="T1070" s="3">
        <v>0</v>
      </c>
      <c r="U1070" s="3">
        <v>0</v>
      </c>
      <c r="V1070" s="3">
        <v>6.0138375556504364E-2</v>
      </c>
      <c r="W1070" s="4"/>
    </row>
    <row r="1071" spans="1:23" s="1" customFormat="1" ht="24.95" customHeight="1" x14ac:dyDescent="0.2">
      <c r="A1071" s="8">
        <v>45475</v>
      </c>
      <c r="B1071" s="7">
        <v>0.6743055555555556</v>
      </c>
      <c r="C1071" s="9" t="s">
        <v>456</v>
      </c>
      <c r="D1071" s="1" t="s">
        <v>362</v>
      </c>
      <c r="E1071" s="1" t="s">
        <v>363</v>
      </c>
      <c r="F1071" s="1" t="s">
        <v>427</v>
      </c>
      <c r="G1071" s="1" t="s">
        <v>371</v>
      </c>
      <c r="H1071" s="2">
        <v>21000</v>
      </c>
      <c r="I1071" s="17">
        <v>0.98380000000000001</v>
      </c>
      <c r="J1071" s="1" t="s">
        <v>381</v>
      </c>
      <c r="K1071" s="6">
        <f>Registro_Ordini[[#This Row],[Numero]]*Registro_Ordini[[#This Row],[Prezzo]]</f>
        <v>20659.8</v>
      </c>
      <c r="L1071" s="10">
        <v>0.96875</v>
      </c>
      <c r="M1071" s="6">
        <f>Registro_Ordini[[#This Row],[Importo]]*Registro_Ordini[[#This Row],[Cambio]]</f>
        <v>20014.181249999998</v>
      </c>
      <c r="N1071" s="1">
        <f ca="1">IFERROR(_xlfn.NUMBERVALUE(OFFSET(Origine,MATCH(Registro_Ordini[[#This Row],[Titolo]],Descrizioni,0),MATCH("Price",Intestazioni,0)-1,1,1)),"")</f>
        <v>1</v>
      </c>
      <c r="O1071" s="18">
        <f ca="1">IF(OR(Registro_Ordini[[#This Row],[Price]]=0,Registro_Ordini[[#This Row],[Price]]=""),"",IF(Registro_Ordini[[#This Row],[Tipo]]="Sell",Registro_Ordini[[#This Row],[Prezzo]]/Registro_Ordini[[#This Row],[Price]]-1,Registro_Ordini[[#This Row],[Price]]/Registro_Ordini[[#This Row],[Prezzo]]-1))</f>
        <v>1.6466761536897634E-2</v>
      </c>
      <c r="P1071" s="15">
        <v>2.8066631113269826E-2</v>
      </c>
      <c r="Q1071" s="3">
        <v>7.2097819119976397E-2</v>
      </c>
      <c r="R1071" s="3">
        <v>0.39224036027946396</v>
      </c>
      <c r="S1071" s="3">
        <v>0.47552344504405514</v>
      </c>
      <c r="T1071" s="3">
        <v>0</v>
      </c>
      <c r="U1071" s="3">
        <v>0</v>
      </c>
      <c r="V1071" s="3">
        <v>6.0138375556504364E-2</v>
      </c>
      <c r="W1071" s="4"/>
    </row>
    <row r="1072" spans="1:23" s="1" customFormat="1" ht="24.95" customHeight="1" x14ac:dyDescent="0.2">
      <c r="A1072" s="8">
        <v>45475</v>
      </c>
      <c r="B1072" s="7">
        <v>0.67361111111111116</v>
      </c>
      <c r="C1072" s="9" t="s">
        <v>456</v>
      </c>
      <c r="D1072" s="1" t="s">
        <v>388</v>
      </c>
      <c r="E1072" s="1" t="s">
        <v>403</v>
      </c>
      <c r="F1072" s="1" t="s">
        <v>501</v>
      </c>
      <c r="G1072" s="1" t="s">
        <v>371</v>
      </c>
      <c r="H1072" s="2">
        <v>10</v>
      </c>
      <c r="I1072" s="17">
        <v>2101</v>
      </c>
      <c r="J1072" s="1" t="s">
        <v>381</v>
      </c>
      <c r="K1072" s="6">
        <f>Registro_Ordini[[#This Row],[Numero]]*Registro_Ordini[[#This Row],[Prezzo]]</f>
        <v>21010</v>
      </c>
      <c r="L1072" s="10">
        <v>0.96875</v>
      </c>
      <c r="M1072" s="6">
        <f>Registro_Ordini[[#This Row],[Importo]]*Registro_Ordini[[#This Row],[Cambio]]</f>
        <v>20353.4375</v>
      </c>
      <c r="N1072" s="1">
        <f ca="1">IFERROR(_xlfn.NUMBERVALUE(OFFSET(Origine,MATCH(Registro_Ordini[[#This Row],[Titolo]],Descrizioni,0),MATCH("Price",Intestazioni,0)-1,1,1)),"")</f>
        <v>1967</v>
      </c>
      <c r="O1072" s="18">
        <f ca="1">IF(OR(Registro_Ordini[[#This Row],[Price]]=0,Registro_Ordini[[#This Row],[Price]]=""),"",IF(Registro_Ordini[[#This Row],[Tipo]]="Sell",Registro_Ordini[[#This Row],[Prezzo]]/Registro_Ordini[[#This Row],[Price]]-1,Registro_Ordini[[#This Row],[Price]]/Registro_Ordini[[#This Row],[Prezzo]]-1))</f>
        <v>-6.3779152784388393E-2</v>
      </c>
      <c r="P1072" s="15">
        <v>2.785279011431158E-2</v>
      </c>
      <c r="Q1072" s="3">
        <v>7.2097819119976383E-2</v>
      </c>
      <c r="R1072" s="3">
        <v>0.39224036027946396</v>
      </c>
      <c r="S1072" s="3">
        <v>0.47552344504405514</v>
      </c>
      <c r="T1072" s="3">
        <v>0</v>
      </c>
      <c r="U1072" s="3">
        <v>0</v>
      </c>
      <c r="V1072" s="3">
        <v>6.0138375556504364E-2</v>
      </c>
      <c r="W1072" s="4"/>
    </row>
    <row r="1073" spans="1:23" s="1" customFormat="1" ht="24.95" customHeight="1" x14ac:dyDescent="0.2">
      <c r="A1073" s="8">
        <v>45461</v>
      </c>
      <c r="B1073" s="7">
        <v>0.68958333333333333</v>
      </c>
      <c r="C1073" s="9" t="s">
        <v>375</v>
      </c>
      <c r="D1073" s="1" t="s">
        <v>388</v>
      </c>
      <c r="E1073" s="1" t="s">
        <v>397</v>
      </c>
      <c r="F1073" s="1" t="s">
        <v>527</v>
      </c>
      <c r="G1073" s="1" t="s">
        <v>365</v>
      </c>
      <c r="H1073" s="2">
        <v>-2</v>
      </c>
      <c r="I1073" s="17">
        <v>10290</v>
      </c>
      <c r="J1073" s="1" t="s">
        <v>369</v>
      </c>
      <c r="K1073" s="6">
        <f>Registro_Ordini[[#This Row],[Numero]]*Registro_Ordini[[#This Row],[Prezzo]]</f>
        <v>-20580</v>
      </c>
      <c r="L1073" s="10">
        <v>1</v>
      </c>
      <c r="M1073" s="6">
        <f>Registro_Ordini[[#This Row],[Importo]]*Registro_Ordini[[#This Row],[Cambio]]</f>
        <v>-20580</v>
      </c>
      <c r="N1073" s="1">
        <f ca="1">IFERROR(_xlfn.NUMBERVALUE(OFFSET(Origine,MATCH(Registro_Ordini[[#This Row],[Titolo]],Descrizioni,0),MATCH("Price",Intestazioni,0)-1,1,1)),"")</f>
        <v>12240</v>
      </c>
      <c r="O1073" s="18">
        <f ca="1">IF(OR(Registro_Ordini[[#This Row],[Price]]=0,Registro_Ordini[[#This Row],[Price]]=""),"",IF(Registro_Ordini[[#This Row],[Tipo]]="Sell",Registro_Ordini[[#This Row],[Prezzo]]/Registro_Ordini[[#This Row],[Price]]-1,Registro_Ordini[[#This Row],[Price]]/Registro_Ordini[[#This Row],[Prezzo]]-1))</f>
        <v>-0.15931372549019607</v>
      </c>
      <c r="P1073" s="15">
        <v>-2.629023312285144E-2</v>
      </c>
      <c r="Q1073" s="3"/>
      <c r="R1073" s="3">
        <v>0.40135273921974246</v>
      </c>
      <c r="S1073" s="3">
        <v>0.33669586422298464</v>
      </c>
      <c r="T1073" s="3">
        <v>0</v>
      </c>
      <c r="U1073" s="3">
        <v>9.789119127272157E-2</v>
      </c>
      <c r="V1073" s="3"/>
      <c r="W1073" s="4"/>
    </row>
    <row r="1074" spans="1:23" s="1" customFormat="1" ht="24.95" customHeight="1" x14ac:dyDescent="0.2">
      <c r="A1074" s="8">
        <v>45461</v>
      </c>
      <c r="B1074" s="7">
        <v>0.68958333333333333</v>
      </c>
      <c r="C1074" s="9" t="s">
        <v>378</v>
      </c>
      <c r="D1074" s="1" t="s">
        <v>388</v>
      </c>
      <c r="E1074" s="1" t="s">
        <v>397</v>
      </c>
      <c r="F1074" s="1" t="s">
        <v>527</v>
      </c>
      <c r="G1074" s="1" t="s">
        <v>365</v>
      </c>
      <c r="H1074" s="2">
        <v>-1</v>
      </c>
      <c r="I1074" s="17">
        <v>10290</v>
      </c>
      <c r="J1074" s="1" t="s">
        <v>369</v>
      </c>
      <c r="K1074" s="6">
        <f>Registro_Ordini[[#This Row],[Numero]]*Registro_Ordini[[#This Row],[Prezzo]]</f>
        <v>-10290</v>
      </c>
      <c r="L1074" s="10">
        <v>1</v>
      </c>
      <c r="M1074" s="6">
        <f>Registro_Ordini[[#This Row],[Importo]]*Registro_Ordini[[#This Row],[Cambio]]</f>
        <v>-10290</v>
      </c>
      <c r="N1074" s="1">
        <f ca="1">IFERROR(_xlfn.NUMBERVALUE(OFFSET(Origine,MATCH(Registro_Ordini[[#This Row],[Titolo]],Descrizioni,0),MATCH("Price",Intestazioni,0)-1,1,1)),"")</f>
        <v>12240</v>
      </c>
      <c r="O1074" s="18">
        <f ca="1">IF(OR(Registro_Ordini[[#This Row],[Price]]=0,Registro_Ordini[[#This Row],[Price]]=""),"",IF(Registro_Ordini[[#This Row],[Tipo]]="Sell",Registro_Ordini[[#This Row],[Prezzo]]/Registro_Ordini[[#This Row],[Price]]-1,Registro_Ordini[[#This Row],[Price]]/Registro_Ordini[[#This Row],[Prezzo]]-1))</f>
        <v>-0.15931372549019607</v>
      </c>
      <c r="P1074" s="15">
        <v>-2.0059739108700868E-2</v>
      </c>
      <c r="Q1074" s="3"/>
      <c r="R1074" s="3">
        <v>0.36624297464006217</v>
      </c>
      <c r="S1074" s="3">
        <v>0.33632499718280251</v>
      </c>
      <c r="T1074" s="3">
        <v>0</v>
      </c>
      <c r="U1074" s="3">
        <v>9.0099896083584624E-2</v>
      </c>
      <c r="V1074" s="3"/>
      <c r="W1074" s="4"/>
    </row>
    <row r="1075" spans="1:23" s="1" customFormat="1" ht="24.95" customHeight="1" x14ac:dyDescent="0.2">
      <c r="A1075" s="8">
        <v>45461</v>
      </c>
      <c r="B1075" s="7">
        <v>0.68958333333333333</v>
      </c>
      <c r="C1075" s="9" t="s">
        <v>377</v>
      </c>
      <c r="D1075" s="1" t="s">
        <v>388</v>
      </c>
      <c r="E1075" s="1" t="s">
        <v>397</v>
      </c>
      <c r="F1075" s="1" t="s">
        <v>527</v>
      </c>
      <c r="G1075" s="1" t="s">
        <v>365</v>
      </c>
      <c r="H1075" s="2">
        <v>-2</v>
      </c>
      <c r="I1075" s="17">
        <v>10290</v>
      </c>
      <c r="J1075" s="1" t="s">
        <v>369</v>
      </c>
      <c r="K1075" s="6">
        <f>Registro_Ordini[[#This Row],[Numero]]*Registro_Ordini[[#This Row],[Prezzo]]</f>
        <v>-20580</v>
      </c>
      <c r="L1075" s="10">
        <v>1</v>
      </c>
      <c r="M1075" s="6">
        <f>Registro_Ordini[[#This Row],[Importo]]*Registro_Ordini[[#This Row],[Cambio]]</f>
        <v>-20580</v>
      </c>
      <c r="N1075" s="1">
        <f ca="1">IFERROR(_xlfn.NUMBERVALUE(OFFSET(Origine,MATCH(Registro_Ordini[[#This Row],[Titolo]],Descrizioni,0),MATCH("Price",Intestazioni,0)-1,1,1)),"")</f>
        <v>12240</v>
      </c>
      <c r="O1075" s="18">
        <f ca="1">IF(OR(Registro_Ordini[[#This Row],[Price]]=0,Registro_Ordini[[#This Row],[Price]]=""),"",IF(Registro_Ordini[[#This Row],[Tipo]]="Sell",Registro_Ordini[[#This Row],[Prezzo]]/Registro_Ordini[[#This Row],[Price]]-1,Registro_Ordini[[#This Row],[Price]]/Registro_Ordini[[#This Row],[Prezzo]]-1))</f>
        <v>-0.15931372549019607</v>
      </c>
      <c r="P1075" s="15">
        <v>-1.3286310286477577E-2</v>
      </c>
      <c r="Q1075" s="3"/>
      <c r="R1075" s="3">
        <v>0.36620785205871753</v>
      </c>
      <c r="S1075" s="3">
        <v>0.38080580015328913</v>
      </c>
      <c r="T1075" s="3">
        <v>0</v>
      </c>
      <c r="U1075" s="3">
        <v>0.10146328442163546</v>
      </c>
      <c r="V1075" s="3"/>
      <c r="W1075" s="4"/>
    </row>
    <row r="1076" spans="1:23" s="1" customFormat="1" ht="24.95" customHeight="1" x14ac:dyDescent="0.2">
      <c r="A1076" s="8">
        <v>45461</v>
      </c>
      <c r="B1076" s="7">
        <v>0.68958333333333333</v>
      </c>
      <c r="C1076" s="9" t="s">
        <v>376</v>
      </c>
      <c r="D1076" s="1" t="s">
        <v>388</v>
      </c>
      <c r="E1076" s="1" t="s">
        <v>397</v>
      </c>
      <c r="F1076" s="1" t="s">
        <v>527</v>
      </c>
      <c r="G1076" s="1" t="s">
        <v>365</v>
      </c>
      <c r="H1076" s="2">
        <v>-1</v>
      </c>
      <c r="I1076" s="17">
        <v>10290</v>
      </c>
      <c r="J1076" s="1" t="s">
        <v>369</v>
      </c>
      <c r="K1076" s="6">
        <f>Registro_Ordini[[#This Row],[Numero]]*Registro_Ordini[[#This Row],[Prezzo]]</f>
        <v>-10290</v>
      </c>
      <c r="L1076" s="10">
        <v>1</v>
      </c>
      <c r="M1076" s="6">
        <f>Registro_Ordini[[#This Row],[Importo]]*Registro_Ordini[[#This Row],[Cambio]]</f>
        <v>-10290</v>
      </c>
      <c r="N1076" s="1">
        <f ca="1">IFERROR(_xlfn.NUMBERVALUE(OFFSET(Origine,MATCH(Registro_Ordini[[#This Row],[Titolo]],Descrizioni,0),MATCH("Price",Intestazioni,0)-1,1,1)),"")</f>
        <v>12240</v>
      </c>
      <c r="O1076" s="18">
        <f ca="1">IF(OR(Registro_Ordini[[#This Row],[Price]]=0,Registro_Ordini[[#This Row],[Price]]=""),"",IF(Registro_Ordini[[#This Row],[Tipo]]="Sell",Registro_Ordini[[#This Row],[Prezzo]]/Registro_Ordini[[#This Row],[Price]]-1,Registro_Ordini[[#This Row],[Price]]/Registro_Ordini[[#This Row],[Prezzo]]-1))</f>
        <v>-0.15931372549019607</v>
      </c>
      <c r="P1076" s="15">
        <v>-3.7449789368641545E-2</v>
      </c>
      <c r="Q1076" s="3"/>
      <c r="R1076" s="3">
        <v>0.38484651699556571</v>
      </c>
      <c r="S1076" s="3">
        <v>0.35817305680628198</v>
      </c>
      <c r="T1076" s="3">
        <v>0</v>
      </c>
      <c r="U1076" s="3">
        <v>0.11688581153730543</v>
      </c>
      <c r="V1076" s="3"/>
      <c r="W1076" s="4"/>
    </row>
    <row r="1077" spans="1:23" s="1" customFormat="1" ht="24.95" customHeight="1" x14ac:dyDescent="0.2">
      <c r="A1077" s="8">
        <v>45461</v>
      </c>
      <c r="B1077" s="7">
        <v>0.68958333333333333</v>
      </c>
      <c r="C1077" s="9" t="s">
        <v>367</v>
      </c>
      <c r="D1077" s="1" t="s">
        <v>388</v>
      </c>
      <c r="E1077" s="1" t="s">
        <v>397</v>
      </c>
      <c r="F1077" s="1" t="s">
        <v>527</v>
      </c>
      <c r="G1077" s="1" t="s">
        <v>365</v>
      </c>
      <c r="H1077" s="2">
        <v>-3</v>
      </c>
      <c r="I1077" s="17">
        <v>10290</v>
      </c>
      <c r="J1077" s="1" t="s">
        <v>369</v>
      </c>
      <c r="K1077" s="6">
        <f>Registro_Ordini[[#This Row],[Numero]]*Registro_Ordini[[#This Row],[Prezzo]]</f>
        <v>-30870</v>
      </c>
      <c r="L1077" s="10">
        <v>1</v>
      </c>
      <c r="M1077" s="6">
        <f>Registro_Ordini[[#This Row],[Importo]]*Registro_Ordini[[#This Row],[Cambio]]</f>
        <v>-30870</v>
      </c>
      <c r="N1077" s="1">
        <f ca="1">IFERROR(_xlfn.NUMBERVALUE(OFFSET(Origine,MATCH(Registro_Ordini[[#This Row],[Titolo]],Descrizioni,0),MATCH("Price",Intestazioni,0)-1,1,1)),"")</f>
        <v>12240</v>
      </c>
      <c r="O1077" s="18">
        <f ca="1">IF(OR(Registro_Ordini[[#This Row],[Price]]=0,Registro_Ordini[[#This Row],[Price]]=""),"",IF(Registro_Ordini[[#This Row],[Tipo]]="Sell",Registro_Ordini[[#This Row],[Prezzo]]/Registro_Ordini[[#This Row],[Price]]-1,Registro_Ordini[[#This Row],[Price]]/Registro_Ordini[[#This Row],[Prezzo]]-1))</f>
        <v>-0.15931372549019607</v>
      </c>
      <c r="P1077" s="15">
        <v>-8.8012015253031619E-3</v>
      </c>
      <c r="Q1077" s="3"/>
      <c r="R1077" s="3">
        <v>0.43143847541672109</v>
      </c>
      <c r="S1077" s="3">
        <v>0.2977385277674931</v>
      </c>
      <c r="T1077" s="3">
        <v>0</v>
      </c>
      <c r="U1077" s="3">
        <v>4.7190510833185866E-2</v>
      </c>
      <c r="V1077" s="3"/>
      <c r="W1077" s="4"/>
    </row>
    <row r="1078" spans="1:23" s="1" customFormat="1" ht="24.95" customHeight="1" x14ac:dyDescent="0.2">
      <c r="A1078" s="8">
        <v>45461</v>
      </c>
      <c r="B1078" s="7">
        <v>0.68402777777777779</v>
      </c>
      <c r="C1078" s="9" t="s">
        <v>78</v>
      </c>
      <c r="D1078" s="1" t="s">
        <v>388</v>
      </c>
      <c r="E1078" s="1" t="s">
        <v>397</v>
      </c>
      <c r="F1078" s="1" t="s">
        <v>435</v>
      </c>
      <c r="G1078" s="1" t="s">
        <v>365</v>
      </c>
      <c r="H1078" s="2">
        <v>-20</v>
      </c>
      <c r="I1078" s="17">
        <v>498.19400000000002</v>
      </c>
      <c r="J1078" s="1" t="s">
        <v>369</v>
      </c>
      <c r="K1078" s="6">
        <f>Registro_Ordini[[#This Row],[Numero]]*Registro_Ordini[[#This Row],[Prezzo]]</f>
        <v>-9963.880000000001</v>
      </c>
      <c r="L1078" s="10">
        <v>1</v>
      </c>
      <c r="M1078" s="6">
        <f>Registro_Ordini[[#This Row],[Importo]]*Registro_Ordini[[#This Row],[Cambio]]</f>
        <v>-9963.880000000001</v>
      </c>
      <c r="N1078" s="1">
        <f ca="1">IFERROR(_xlfn.NUMBERVALUE(OFFSET(Origine,MATCH(Registro_Ordini[[#This Row],[Titolo]],Descrizioni,0),MATCH("Price",Intestazioni,0)-1,1,1)),"")</f>
        <v>715.5</v>
      </c>
      <c r="O1078" s="18">
        <f ca="1">IF(OR(Registro_Ordini[[#This Row],[Price]]=0,Registro_Ordini[[#This Row],[Price]]=""),"",IF(Registro_Ordini[[#This Row],[Tipo]]="Sell",Registro_Ordini[[#This Row],[Prezzo]]/Registro_Ordini[[#This Row],[Price]]-1,Registro_Ordini[[#This Row],[Price]]/Registro_Ordini[[#This Row],[Prezzo]]-1))</f>
        <v>-0.30371208944793848</v>
      </c>
      <c r="P1078" s="15">
        <v>-2.4546643492733645E-2</v>
      </c>
      <c r="Q1078" s="3"/>
      <c r="R1078" s="3">
        <v>0.16360877358875314</v>
      </c>
      <c r="S1078" s="3">
        <v>0.58963343022038706</v>
      </c>
      <c r="T1078" s="3">
        <v>0</v>
      </c>
      <c r="U1078" s="3">
        <v>7.794914321908078E-2</v>
      </c>
      <c r="V1078" s="3"/>
      <c r="W1078" s="4"/>
    </row>
    <row r="1079" spans="1:23" s="1" customFormat="1" ht="24.95" customHeight="1" x14ac:dyDescent="0.2">
      <c r="A1079" s="8">
        <v>45461</v>
      </c>
      <c r="B1079" s="7">
        <v>0.68333333333333335</v>
      </c>
      <c r="C1079" s="9" t="s">
        <v>375</v>
      </c>
      <c r="D1079" s="1" t="s">
        <v>388</v>
      </c>
      <c r="E1079" s="1" t="s">
        <v>397</v>
      </c>
      <c r="F1079" s="1" t="s">
        <v>435</v>
      </c>
      <c r="G1079" s="1" t="s">
        <v>365</v>
      </c>
      <c r="H1079" s="2">
        <v>-37</v>
      </c>
      <c r="I1079" s="17">
        <v>498.19400000000002</v>
      </c>
      <c r="J1079" s="1" t="s">
        <v>369</v>
      </c>
      <c r="K1079" s="6">
        <f>Registro_Ordini[[#This Row],[Numero]]*Registro_Ordini[[#This Row],[Prezzo]]</f>
        <v>-18433.178</v>
      </c>
      <c r="L1079" s="10">
        <v>1</v>
      </c>
      <c r="M1079" s="6">
        <f>Registro_Ordini[[#This Row],[Importo]]*Registro_Ordini[[#This Row],[Cambio]]</f>
        <v>-18433.178</v>
      </c>
      <c r="N1079" s="1">
        <f ca="1">IFERROR(_xlfn.NUMBERVALUE(OFFSET(Origine,MATCH(Registro_Ordini[[#This Row],[Titolo]],Descrizioni,0),MATCH("Price",Intestazioni,0)-1,1,1)),"")</f>
        <v>715.5</v>
      </c>
      <c r="O1079" s="18">
        <f ca="1">IF(OR(Registro_Ordini[[#This Row],[Price]]=0,Registro_Ordini[[#This Row],[Price]]=""),"",IF(Registro_Ordini[[#This Row],[Tipo]]="Sell",Registro_Ordini[[#This Row],[Prezzo]]/Registro_Ordini[[#This Row],[Price]]-1,Registro_Ordini[[#This Row],[Price]]/Registro_Ordini[[#This Row],[Prezzo]]-1))</f>
        <v>-0.30371208944793848</v>
      </c>
      <c r="P1079" s="15">
        <v>-2.3548308427903321E-2</v>
      </c>
      <c r="Q1079" s="3"/>
      <c r="R1079" s="3">
        <v>0.40136237990953211</v>
      </c>
      <c r="S1079" s="3">
        <v>0.36297654739387436</v>
      </c>
      <c r="T1079" s="3">
        <v>0</v>
      </c>
      <c r="U1079" s="3">
        <v>9.7892933014225456E-2</v>
      </c>
      <c r="V1079" s="3"/>
      <c r="W1079" s="4"/>
    </row>
    <row r="1080" spans="1:23" s="1" customFormat="1" ht="24.95" customHeight="1" x14ac:dyDescent="0.2">
      <c r="A1080" s="8">
        <v>45461</v>
      </c>
      <c r="B1080" s="7">
        <v>0.68333333333333335</v>
      </c>
      <c r="C1080" s="9" t="s">
        <v>378</v>
      </c>
      <c r="D1080" s="1" t="s">
        <v>388</v>
      </c>
      <c r="E1080" s="1" t="s">
        <v>397</v>
      </c>
      <c r="F1080" s="1" t="s">
        <v>435</v>
      </c>
      <c r="G1080" s="1" t="s">
        <v>365</v>
      </c>
      <c r="H1080" s="2">
        <v>-25</v>
      </c>
      <c r="I1080" s="17">
        <v>498.19400000000002</v>
      </c>
      <c r="J1080" s="1" t="s">
        <v>369</v>
      </c>
      <c r="K1080" s="6">
        <f>Registro_Ordini[[#This Row],[Numero]]*Registro_Ordini[[#This Row],[Prezzo]]</f>
        <v>-12454.85</v>
      </c>
      <c r="L1080" s="10">
        <v>1</v>
      </c>
      <c r="M1080" s="6">
        <f>Registro_Ordini[[#This Row],[Importo]]*Registro_Ordini[[#This Row],[Cambio]]</f>
        <v>-12454.85</v>
      </c>
      <c r="N1080" s="1">
        <f ca="1">IFERROR(_xlfn.NUMBERVALUE(OFFSET(Origine,MATCH(Registro_Ordini[[#This Row],[Titolo]],Descrizioni,0),MATCH("Price",Intestazioni,0)-1,1,1)),"")</f>
        <v>715.5</v>
      </c>
      <c r="O1080" s="18">
        <f ca="1">IF(OR(Registro_Ordini[[#This Row],[Price]]=0,Registro_Ordini[[#This Row],[Price]]=""),"",IF(Registro_Ordini[[#This Row],[Tipo]]="Sell",Registro_Ordini[[#This Row],[Prezzo]]/Registro_Ordini[[#This Row],[Price]]-1,Registro_Ordini[[#This Row],[Price]]/Registro_Ordini[[#This Row],[Prezzo]]-1))</f>
        <v>-0.30371208944793848</v>
      </c>
      <c r="P1080" s="15">
        <v>-2.4779298277110947E-2</v>
      </c>
      <c r="Q1080" s="3"/>
      <c r="R1080" s="3">
        <v>0.37377469781116202</v>
      </c>
      <c r="S1080" s="3">
        <v>0.36365379059280084</v>
      </c>
      <c r="T1080" s="3">
        <v>0</v>
      </c>
      <c r="U1080" s="3">
        <v>9.1951330851086893E-2</v>
      </c>
      <c r="V1080" s="3"/>
      <c r="W1080" s="4"/>
    </row>
    <row r="1081" spans="1:23" s="1" customFormat="1" ht="24.95" customHeight="1" x14ac:dyDescent="0.2">
      <c r="A1081" s="8">
        <v>45461</v>
      </c>
      <c r="B1081" s="7">
        <v>0.68333333333333335</v>
      </c>
      <c r="C1081" s="9" t="s">
        <v>377</v>
      </c>
      <c r="D1081" s="1" t="s">
        <v>388</v>
      </c>
      <c r="E1081" s="1" t="s">
        <v>397</v>
      </c>
      <c r="F1081" s="1" t="s">
        <v>435</v>
      </c>
      <c r="G1081" s="1" t="s">
        <v>365</v>
      </c>
      <c r="H1081" s="2">
        <v>-60</v>
      </c>
      <c r="I1081" s="17">
        <v>498.19400000000002</v>
      </c>
      <c r="J1081" s="1" t="s">
        <v>369</v>
      </c>
      <c r="K1081" s="6">
        <f>Registro_Ordini[[#This Row],[Numero]]*Registro_Ordini[[#This Row],[Prezzo]]</f>
        <v>-29891.64</v>
      </c>
      <c r="L1081" s="10">
        <v>1</v>
      </c>
      <c r="M1081" s="6">
        <f>Registro_Ordini[[#This Row],[Importo]]*Registro_Ordini[[#This Row],[Cambio]]</f>
        <v>-29891.64</v>
      </c>
      <c r="N1081" s="1">
        <f ca="1">IFERROR(_xlfn.NUMBERVALUE(OFFSET(Origine,MATCH(Registro_Ordini[[#This Row],[Titolo]],Descrizioni,0),MATCH("Price",Intestazioni,0)-1,1,1)),"")</f>
        <v>715.5</v>
      </c>
      <c r="O1081" s="18">
        <f ca="1">IF(OR(Registro_Ordini[[#This Row],[Price]]=0,Registro_Ordini[[#This Row],[Price]]=""),"",IF(Registro_Ordini[[#This Row],[Tipo]]="Sell",Registro_Ordini[[#This Row],[Prezzo]]/Registro_Ordini[[#This Row],[Price]]-1,Registro_Ordini[[#This Row],[Price]]/Registro_Ordini[[#This Row],[Prezzo]]-1))</f>
        <v>-0.30371208944793848</v>
      </c>
      <c r="P1081" s="15">
        <v>-1.9299249474958199E-2</v>
      </c>
      <c r="Q1081" s="3"/>
      <c r="R1081" s="3">
        <v>0.3662345467455802</v>
      </c>
      <c r="S1081" s="3">
        <v>0.39407541620006203</v>
      </c>
      <c r="T1081" s="3">
        <v>0</v>
      </c>
      <c r="U1081" s="3">
        <v>0.10147007119375705</v>
      </c>
      <c r="V1081" s="3"/>
      <c r="W1081" s="4"/>
    </row>
    <row r="1082" spans="1:23" s="1" customFormat="1" ht="24.95" customHeight="1" x14ac:dyDescent="0.2">
      <c r="A1082" s="8">
        <v>45461</v>
      </c>
      <c r="B1082" s="7">
        <v>0.68333333333333335</v>
      </c>
      <c r="C1082" s="9" t="s">
        <v>376</v>
      </c>
      <c r="D1082" s="1" t="s">
        <v>388</v>
      </c>
      <c r="E1082" s="1" t="s">
        <v>397</v>
      </c>
      <c r="F1082" s="1" t="s">
        <v>435</v>
      </c>
      <c r="G1082" s="1" t="s">
        <v>365</v>
      </c>
      <c r="H1082" s="2">
        <v>-15</v>
      </c>
      <c r="I1082" s="17">
        <v>498.19400000000002</v>
      </c>
      <c r="J1082" s="1" t="s">
        <v>369</v>
      </c>
      <c r="K1082" s="6">
        <f>Registro_Ordini[[#This Row],[Numero]]*Registro_Ordini[[#This Row],[Prezzo]]</f>
        <v>-7472.91</v>
      </c>
      <c r="L1082" s="10">
        <v>1</v>
      </c>
      <c r="M1082" s="6">
        <f>Registro_Ordini[[#This Row],[Importo]]*Registro_Ordini[[#This Row],[Cambio]]</f>
        <v>-7472.91</v>
      </c>
      <c r="N1082" s="1">
        <f ca="1">IFERROR(_xlfn.NUMBERVALUE(OFFSET(Origine,MATCH(Registro_Ordini[[#This Row],[Titolo]],Descrizioni,0),MATCH("Price",Intestazioni,0)-1,1,1)),"")</f>
        <v>715.5</v>
      </c>
      <c r="O1082" s="18">
        <f ca="1">IF(OR(Registro_Ordini[[#This Row],[Price]]=0,Registro_Ordini[[#This Row],[Price]]=""),"",IF(Registro_Ordini[[#This Row],[Tipo]]="Sell",Registro_Ordini[[#This Row],[Prezzo]]/Registro_Ordini[[#This Row],[Price]]-1,Registro_Ordini[[#This Row],[Price]]/Registro_Ordini[[#This Row],[Prezzo]]-1))</f>
        <v>-0.30371208944793848</v>
      </c>
      <c r="P1082" s="15">
        <v>-2.7199809165128201E-2</v>
      </c>
      <c r="Q1082" s="3"/>
      <c r="R1082" s="3">
        <v>0.38488382582669328</v>
      </c>
      <c r="S1082" s="3">
        <v>0.39559456346398464</v>
      </c>
      <c r="T1082" s="3">
        <v>0</v>
      </c>
      <c r="U1082" s="3">
        <v>0.11689406630737693</v>
      </c>
      <c r="V1082" s="3"/>
      <c r="W1082" s="4"/>
    </row>
    <row r="1083" spans="1:23" s="1" customFormat="1" ht="24.95" customHeight="1" x14ac:dyDescent="0.2">
      <c r="A1083" s="8">
        <v>45461</v>
      </c>
      <c r="B1083" s="7">
        <v>0.68333333333333335</v>
      </c>
      <c r="C1083" s="9" t="s">
        <v>367</v>
      </c>
      <c r="D1083" s="1" t="s">
        <v>388</v>
      </c>
      <c r="E1083" s="1" t="s">
        <v>397</v>
      </c>
      <c r="F1083" s="1" t="s">
        <v>435</v>
      </c>
      <c r="G1083" s="1" t="s">
        <v>365</v>
      </c>
      <c r="H1083" s="2">
        <v>-60</v>
      </c>
      <c r="I1083" s="17">
        <v>498.19400000000002</v>
      </c>
      <c r="J1083" s="1" t="s">
        <v>369</v>
      </c>
      <c r="K1083" s="6">
        <f>Registro_Ordini[[#This Row],[Numero]]*Registro_Ordini[[#This Row],[Prezzo]]</f>
        <v>-29891.64</v>
      </c>
      <c r="L1083" s="10">
        <v>1</v>
      </c>
      <c r="M1083" s="6">
        <f>Registro_Ordini[[#This Row],[Importo]]*Registro_Ordini[[#This Row],[Cambio]]</f>
        <v>-29891.64</v>
      </c>
      <c r="N1083" s="1">
        <f ca="1">IFERROR(_xlfn.NUMBERVALUE(OFFSET(Origine,MATCH(Registro_Ordini[[#This Row],[Titolo]],Descrizioni,0),MATCH("Price",Intestazioni,0)-1,1,1)),"")</f>
        <v>715.5</v>
      </c>
      <c r="O1083" s="18">
        <f ca="1">IF(OR(Registro_Ordini[[#This Row],[Price]]=0,Registro_Ordini[[#This Row],[Price]]=""),"",IF(Registro_Ordini[[#This Row],[Tipo]]="Sell",Registro_Ordini[[#This Row],[Prezzo]]/Registro_Ordini[[#This Row],[Price]]-1,Registro_Ordini[[#This Row],[Price]]/Registro_Ordini[[#This Row],[Prezzo]]-1))</f>
        <v>-0.30371208944793848</v>
      </c>
      <c r="P1083" s="15">
        <v>-8.5232547689239289E-3</v>
      </c>
      <c r="Q1083" s="3"/>
      <c r="R1083" s="3">
        <v>0.43148853802744891</v>
      </c>
      <c r="S1083" s="3">
        <v>0.30648019341249227</v>
      </c>
      <c r="T1083" s="3">
        <v>0</v>
      </c>
      <c r="U1083" s="3">
        <v>4.7195756839046886E-2</v>
      </c>
      <c r="V1083" s="3"/>
      <c r="W1083" s="4"/>
    </row>
    <row r="1084" spans="1:23" s="1" customFormat="1" ht="24.95" customHeight="1" x14ac:dyDescent="0.2">
      <c r="A1084" s="8">
        <v>45457</v>
      </c>
      <c r="B1084" s="7">
        <v>0.71180555555555558</v>
      </c>
      <c r="C1084" s="9" t="s">
        <v>377</v>
      </c>
      <c r="D1084" s="1" t="s">
        <v>362</v>
      </c>
      <c r="E1084" s="1" t="s">
        <v>363</v>
      </c>
      <c r="F1084" s="1" t="s">
        <v>364</v>
      </c>
      <c r="G1084" s="1" t="s">
        <v>365</v>
      </c>
      <c r="H1084" s="2">
        <v>-10000</v>
      </c>
      <c r="I1084" s="17">
        <v>1</v>
      </c>
      <c r="J1084" s="1" t="s">
        <v>366</v>
      </c>
      <c r="K1084" s="6">
        <f>Registro_Ordini[[#This Row],[Numero]]*Registro_Ordini[[#This Row],[Prezzo]]</f>
        <v>-10000</v>
      </c>
      <c r="L1084" s="10">
        <v>0.89093500000000003</v>
      </c>
      <c r="M1084" s="6">
        <f>Registro_Ordini[[#This Row],[Importo]]*Registro_Ordini[[#This Row],[Cambio]]</f>
        <v>-8909.35</v>
      </c>
      <c r="N1084" s="1">
        <f ca="1">IFERROR(_xlfn.NUMBERVALUE(OFFSET(Origine,MATCH(Registro_Ordini[[#This Row],[Titolo]],Descrizioni,0),MATCH("Price",Intestazioni,0)-1,1,1)),"")</f>
        <v>0.78225</v>
      </c>
      <c r="O1084" s="18">
        <f ca="1">IF(OR(Registro_Ordini[[#This Row],[Price]]=0,Registro_Ordini[[#This Row],[Price]]=""),"",IF(Registro_Ordini[[#This Row],[Tipo]]="Sell",Registro_Ordini[[#This Row],[Prezzo]]/Registro_Ordini[[#This Row],[Price]]-1,Registro_Ordini[[#This Row],[Price]]/Registro_Ordini[[#This Row],[Prezzo]]-1))</f>
        <v>0.27836369447107701</v>
      </c>
      <c r="P1084" s="15">
        <v>-5.7558763307294543E-3</v>
      </c>
      <c r="Q1084" s="3"/>
      <c r="R1084" s="3">
        <v>0.36603219701320849</v>
      </c>
      <c r="S1084" s="3">
        <v>0.41253649304323431</v>
      </c>
      <c r="T1084" s="3">
        <v>0</v>
      </c>
      <c r="U1084" s="3">
        <v>0.1018217721817482</v>
      </c>
      <c r="V1084" s="3"/>
      <c r="W1084" s="4"/>
    </row>
    <row r="1085" spans="1:23" s="1" customFormat="1" ht="24.95" customHeight="1" x14ac:dyDescent="0.2">
      <c r="A1085" s="8">
        <v>45457</v>
      </c>
      <c r="B1085" s="7">
        <v>0.65625</v>
      </c>
      <c r="C1085" s="9" t="s">
        <v>383</v>
      </c>
      <c r="D1085" s="1" t="s">
        <v>362</v>
      </c>
      <c r="E1085" s="1" t="s">
        <v>363</v>
      </c>
      <c r="F1085" s="1" t="s">
        <v>391</v>
      </c>
      <c r="G1085" s="1" t="s">
        <v>371</v>
      </c>
      <c r="H1085" s="2">
        <v>12407.64</v>
      </c>
      <c r="I1085" s="17">
        <v>1</v>
      </c>
      <c r="J1085" s="1" t="s">
        <v>369</v>
      </c>
      <c r="K1085" s="6">
        <f>Registro_Ordini[[#This Row],[Numero]]*Registro_Ordini[[#This Row],[Prezzo]]</f>
        <v>12407.64</v>
      </c>
      <c r="L1085" s="10">
        <v>1.0503374208964631</v>
      </c>
      <c r="M1085" s="6">
        <f>Registro_Ordini[[#This Row],[Importo]]*Registro_Ordini[[#This Row],[Cambio]]</f>
        <v>13032.208597011791</v>
      </c>
      <c r="N1085" s="1">
        <f ca="1">IFERROR(_xlfn.NUMBERVALUE(OFFSET(Origine,MATCH(Registro_Ordini[[#This Row],[Titolo]],Descrizioni,0),MATCH("Price",Intestazioni,0)-1,1,1)),"")</f>
        <v>1.0000001300000001</v>
      </c>
      <c r="O1085" s="18">
        <f ca="1">IF(OR(Registro_Ordini[[#This Row],[Price]]=0,Registro_Ordini[[#This Row],[Price]]=""),"",IF(Registro_Ordini[[#This Row],[Tipo]]="Sell",Registro_Ordini[[#This Row],[Prezzo]]/Registro_Ordini[[#This Row],[Price]]-1,Registro_Ordini[[#This Row],[Price]]/Registro_Ordini[[#This Row],[Prezzo]]-1))</f>
        <v>1.3000000009810719E-7</v>
      </c>
      <c r="P1085" s="15">
        <v>2.1898666027548794E-2</v>
      </c>
      <c r="Q1085" s="3"/>
      <c r="R1085" s="3">
        <v>0.28116748467700126</v>
      </c>
      <c r="S1085" s="3">
        <v>0.43505044287911182</v>
      </c>
      <c r="T1085" s="3">
        <v>0</v>
      </c>
      <c r="U1085" s="3">
        <v>0.10543994561126088</v>
      </c>
      <c r="V1085" s="3"/>
      <c r="W1085" s="4"/>
    </row>
    <row r="1086" spans="1:23" s="1" customFormat="1" ht="24.95" customHeight="1" x14ac:dyDescent="0.2">
      <c r="A1086" s="8">
        <v>45456</v>
      </c>
      <c r="B1086" s="7">
        <v>0.61805555555555558</v>
      </c>
      <c r="C1086" s="9" t="s">
        <v>383</v>
      </c>
      <c r="D1086" s="1" t="s">
        <v>388</v>
      </c>
      <c r="E1086" s="1" t="s">
        <v>397</v>
      </c>
      <c r="F1086" s="1" t="s">
        <v>525</v>
      </c>
      <c r="G1086" s="1" t="s">
        <v>371</v>
      </c>
      <c r="H1086" s="2">
        <v>45</v>
      </c>
      <c r="I1086" s="17">
        <v>244.89</v>
      </c>
      <c r="J1086" s="1" t="s">
        <v>369</v>
      </c>
      <c r="K1086" s="6">
        <f>Registro_Ordini[[#This Row],[Numero]]*Registro_Ordini[[#This Row],[Prezzo]]</f>
        <v>11020.05</v>
      </c>
      <c r="L1086" s="10">
        <v>1.0349395595297235</v>
      </c>
      <c r="M1086" s="6">
        <f>Registro_Ordini[[#This Row],[Importo]]*Registro_Ordini[[#This Row],[Cambio]]</f>
        <v>11405.085692995528</v>
      </c>
      <c r="N1086" s="1">
        <f ca="1">IFERROR(_xlfn.NUMBERVALUE(OFFSET(Origine,MATCH(Registro_Ordini[[#This Row],[Titolo]],Descrizioni,0),MATCH("Price",Intestazioni,0)-1,1,1)),"")</f>
        <v>355.4</v>
      </c>
      <c r="O1086" s="18">
        <f ca="1">IF(OR(Registro_Ordini[[#This Row],[Price]]=0,Registro_Ordini[[#This Row],[Price]]=""),"",IF(Registro_Ordini[[#This Row],[Tipo]]="Sell",Registro_Ordini[[#This Row],[Prezzo]]/Registro_Ordini[[#This Row],[Price]]-1,Registro_Ordini[[#This Row],[Price]]/Registro_Ordini[[#This Row],[Prezzo]]-1))</f>
        <v>0.45126383274123083</v>
      </c>
      <c r="P1086" s="15">
        <v>1.9231549622887947E-2</v>
      </c>
      <c r="Q1086" s="3"/>
      <c r="R1086" s="3">
        <v>0.2815119467437337</v>
      </c>
      <c r="S1086" s="3">
        <v>0.4362319718489267</v>
      </c>
      <c r="T1086" s="3">
        <v>0</v>
      </c>
      <c r="U1086" s="3">
        <v>0.10390906063286785</v>
      </c>
      <c r="V1086" s="3"/>
      <c r="W1086" s="4"/>
    </row>
    <row r="1087" spans="1:23" s="1" customFormat="1" ht="24.95" customHeight="1" x14ac:dyDescent="0.2">
      <c r="A1087" s="8">
        <v>45456</v>
      </c>
      <c r="B1087" s="7">
        <v>0.61805555555555558</v>
      </c>
      <c r="C1087" s="9" t="s">
        <v>382</v>
      </c>
      <c r="D1087" s="1" t="s">
        <v>388</v>
      </c>
      <c r="E1087" s="1" t="s">
        <v>397</v>
      </c>
      <c r="F1087" s="1" t="s">
        <v>525</v>
      </c>
      <c r="G1087" s="1" t="s">
        <v>371</v>
      </c>
      <c r="H1087" s="2">
        <v>80</v>
      </c>
      <c r="I1087" s="17">
        <v>244.89</v>
      </c>
      <c r="J1087" s="1" t="s">
        <v>369</v>
      </c>
      <c r="K1087" s="6">
        <f>Registro_Ordini[[#This Row],[Numero]]*Registro_Ordini[[#This Row],[Prezzo]]</f>
        <v>19591.199999999997</v>
      </c>
      <c r="L1087" s="10">
        <v>1.0349395595297235</v>
      </c>
      <c r="M1087" s="6">
        <f>Registro_Ordini[[#This Row],[Importo]]*Registro_Ordini[[#This Row],[Cambio]]</f>
        <v>20275.707898658715</v>
      </c>
      <c r="N1087" s="1">
        <f ca="1">IFERROR(_xlfn.NUMBERVALUE(OFFSET(Origine,MATCH(Registro_Ordini[[#This Row],[Titolo]],Descrizioni,0),MATCH("Price",Intestazioni,0)-1,1,1)),"")</f>
        <v>355.4</v>
      </c>
      <c r="O1087" s="18">
        <f ca="1">IF(OR(Registro_Ordini[[#This Row],[Price]]=0,Registro_Ordini[[#This Row],[Price]]=""),"",IF(Registro_Ordini[[#This Row],[Tipo]]="Sell",Registro_Ordini[[#This Row],[Prezzo]]/Registro_Ordini[[#This Row],[Price]]-1,Registro_Ordini[[#This Row],[Price]]/Registro_Ordini[[#This Row],[Prezzo]]-1))</f>
        <v>0.45126383274123083</v>
      </c>
      <c r="P1087" s="15">
        <v>1.9988910278351965E-2</v>
      </c>
      <c r="Q1087" s="3"/>
      <c r="R1087" s="3">
        <v>0.2704858039082646</v>
      </c>
      <c r="S1087" s="3">
        <v>0.4753326325559421</v>
      </c>
      <c r="T1087" s="3">
        <v>0</v>
      </c>
      <c r="U1087" s="3">
        <v>0.10434787678878832</v>
      </c>
      <c r="V1087" s="3"/>
      <c r="W1087" s="4"/>
    </row>
    <row r="1088" spans="1:23" s="1" customFormat="1" ht="24.95" customHeight="1" x14ac:dyDescent="0.2">
      <c r="A1088" s="8">
        <v>45456</v>
      </c>
      <c r="B1088" s="7">
        <v>0.61805555555555558</v>
      </c>
      <c r="C1088" s="9" t="s">
        <v>379</v>
      </c>
      <c r="D1088" s="1" t="s">
        <v>388</v>
      </c>
      <c r="E1088" s="1" t="s">
        <v>397</v>
      </c>
      <c r="F1088" s="1" t="s">
        <v>525</v>
      </c>
      <c r="G1088" s="1" t="s">
        <v>371</v>
      </c>
      <c r="H1088" s="2">
        <v>45</v>
      </c>
      <c r="I1088" s="17">
        <v>244.89</v>
      </c>
      <c r="J1088" s="1" t="s">
        <v>369</v>
      </c>
      <c r="K1088" s="6">
        <f>Registro_Ordini[[#This Row],[Numero]]*Registro_Ordini[[#This Row],[Prezzo]]</f>
        <v>11020.05</v>
      </c>
      <c r="L1088" s="10">
        <v>1.0349395595297235</v>
      </c>
      <c r="M1088" s="6">
        <f>Registro_Ordini[[#This Row],[Importo]]*Registro_Ordini[[#This Row],[Cambio]]</f>
        <v>11405.085692995528</v>
      </c>
      <c r="N1088" s="1">
        <f ca="1">IFERROR(_xlfn.NUMBERVALUE(OFFSET(Origine,MATCH(Registro_Ordini[[#This Row],[Titolo]],Descrizioni,0),MATCH("Price",Intestazioni,0)-1,1,1)),"")</f>
        <v>355.4</v>
      </c>
      <c r="O1088" s="18">
        <f ca="1">IF(OR(Registro_Ordini[[#This Row],[Price]]=0,Registro_Ordini[[#This Row],[Price]]=""),"",IF(Registro_Ordini[[#This Row],[Tipo]]="Sell",Registro_Ordini[[#This Row],[Prezzo]]/Registro_Ordini[[#This Row],[Price]]-1,Registro_Ordini[[#This Row],[Price]]/Registro_Ordini[[#This Row],[Prezzo]]-1))</f>
        <v>0.45126383274123083</v>
      </c>
      <c r="P1088" s="15">
        <v>2.0980684246433828E-2</v>
      </c>
      <c r="Q1088" s="3"/>
      <c r="R1088" s="3">
        <v>0.29443494539487453</v>
      </c>
      <c r="S1088" s="3">
        <v>0.45810863871822122</v>
      </c>
      <c r="T1088" s="3">
        <v>0</v>
      </c>
      <c r="U1088" s="3">
        <v>0.10521083978923731</v>
      </c>
      <c r="V1088" s="3"/>
      <c r="W1088" s="4"/>
    </row>
    <row r="1089" spans="1:23" s="1" customFormat="1" ht="24.95" customHeight="1" x14ac:dyDescent="0.2">
      <c r="A1089" s="8">
        <v>45456</v>
      </c>
      <c r="B1089" s="7">
        <v>0.61736111111111114</v>
      </c>
      <c r="C1089" s="9" t="s">
        <v>78</v>
      </c>
      <c r="D1089" s="1" t="s">
        <v>388</v>
      </c>
      <c r="E1089" s="1" t="s">
        <v>397</v>
      </c>
      <c r="F1089" s="1" t="s">
        <v>525</v>
      </c>
      <c r="G1089" s="1" t="s">
        <v>371</v>
      </c>
      <c r="H1089" s="2">
        <v>45</v>
      </c>
      <c r="I1089" s="17">
        <v>244.89</v>
      </c>
      <c r="J1089" s="1" t="s">
        <v>369</v>
      </c>
      <c r="K1089" s="6">
        <f>Registro_Ordini[[#This Row],[Numero]]*Registro_Ordini[[#This Row],[Prezzo]]</f>
        <v>11020.05</v>
      </c>
      <c r="L1089" s="10">
        <v>1</v>
      </c>
      <c r="M1089" s="6">
        <f>Registro_Ordini[[#This Row],[Importo]]*Registro_Ordini[[#This Row],[Cambio]]</f>
        <v>11020.05</v>
      </c>
      <c r="N1089" s="1">
        <f ca="1">IFERROR(_xlfn.NUMBERVALUE(OFFSET(Origine,MATCH(Registro_Ordini[[#This Row],[Titolo]],Descrizioni,0),MATCH("Price",Intestazioni,0)-1,1,1)),"")</f>
        <v>355.4</v>
      </c>
      <c r="O1089" s="18">
        <f ca="1">IF(OR(Registro_Ordini[[#This Row],[Price]]=0,Registro_Ordini[[#This Row],[Price]]=""),"",IF(Registro_Ordini[[#This Row],[Tipo]]="Sell",Registro_Ordini[[#This Row],[Prezzo]]/Registro_Ordini[[#This Row],[Price]]-1,Registro_Ordini[[#This Row],[Price]]/Registro_Ordini[[#This Row],[Prezzo]]-1))</f>
        <v>0.45126383274123083</v>
      </c>
      <c r="P1089" s="15">
        <v>2.772274872602189E-2</v>
      </c>
      <c r="Q1089" s="3"/>
      <c r="R1089" s="3">
        <v>0.16700046703682939</v>
      </c>
      <c r="S1089" s="3">
        <v>0.63067413871015432</v>
      </c>
      <c r="T1089" s="3">
        <v>0</v>
      </c>
      <c r="U1089" s="3">
        <v>8.0077856521606247E-2</v>
      </c>
      <c r="V1089" s="3"/>
      <c r="W1089" s="4"/>
    </row>
    <row r="1090" spans="1:23" s="1" customFormat="1" ht="24.95" customHeight="1" x14ac:dyDescent="0.2">
      <c r="A1090" s="8">
        <v>45456</v>
      </c>
      <c r="B1090" s="7">
        <v>0.61736111111111114</v>
      </c>
      <c r="C1090" s="9" t="s">
        <v>375</v>
      </c>
      <c r="D1090" s="1" t="s">
        <v>388</v>
      </c>
      <c r="E1090" s="1" t="s">
        <v>397</v>
      </c>
      <c r="F1090" s="1" t="s">
        <v>525</v>
      </c>
      <c r="G1090" s="1" t="s">
        <v>371</v>
      </c>
      <c r="H1090" s="2">
        <v>65</v>
      </c>
      <c r="I1090" s="17">
        <v>244.89</v>
      </c>
      <c r="J1090" s="1" t="s">
        <v>369</v>
      </c>
      <c r="K1090" s="6">
        <f>Registro_Ordini[[#This Row],[Numero]]*Registro_Ordini[[#This Row],[Prezzo]]</f>
        <v>15917.849999999999</v>
      </c>
      <c r="L1090" s="10">
        <v>1</v>
      </c>
      <c r="M1090" s="6">
        <f>Registro_Ordini[[#This Row],[Importo]]*Registro_Ordini[[#This Row],[Cambio]]</f>
        <v>15917.849999999999</v>
      </c>
      <c r="N1090" s="1">
        <f ca="1">IFERROR(_xlfn.NUMBERVALUE(OFFSET(Origine,MATCH(Registro_Ordini[[#This Row],[Titolo]],Descrizioni,0),MATCH("Price",Intestazioni,0)-1,1,1)),"")</f>
        <v>355.4</v>
      </c>
      <c r="O1090" s="18">
        <f ca="1">IF(OR(Registro_Ordini[[#This Row],[Price]]=0,Registro_Ordini[[#This Row],[Price]]=""),"",IF(Registro_Ordini[[#This Row],[Tipo]]="Sell",Registro_Ordini[[#This Row],[Prezzo]]/Registro_Ordini[[#This Row],[Price]]-1,Registro_Ordini[[#This Row],[Price]]/Registro_Ordini[[#This Row],[Prezzo]]-1))</f>
        <v>0.45126383274123083</v>
      </c>
      <c r="P1090" s="15">
        <v>2.0680905953226789E-2</v>
      </c>
      <c r="Q1090" s="3"/>
      <c r="R1090" s="3">
        <v>0.40755233971636501</v>
      </c>
      <c r="S1090" s="3">
        <v>0.39501690367606707</v>
      </c>
      <c r="T1090" s="3">
        <v>0</v>
      </c>
      <c r="U1090" s="3">
        <v>0.10024774902073962</v>
      </c>
      <c r="V1090" s="3"/>
      <c r="W1090" s="4"/>
    </row>
    <row r="1091" spans="1:23" s="1" customFormat="1" ht="24.95" customHeight="1" x14ac:dyDescent="0.2">
      <c r="A1091" s="8">
        <v>45456</v>
      </c>
      <c r="B1091" s="7">
        <v>0.61736111111111114</v>
      </c>
      <c r="C1091" s="9" t="s">
        <v>378</v>
      </c>
      <c r="D1091" s="1" t="s">
        <v>388</v>
      </c>
      <c r="E1091" s="1" t="s">
        <v>397</v>
      </c>
      <c r="F1091" s="1" t="s">
        <v>525</v>
      </c>
      <c r="G1091" s="1" t="s">
        <v>371</v>
      </c>
      <c r="H1091" s="2">
        <v>45</v>
      </c>
      <c r="I1091" s="17">
        <v>244.89</v>
      </c>
      <c r="J1091" s="1" t="s">
        <v>369</v>
      </c>
      <c r="K1091" s="6">
        <f>Registro_Ordini[[#This Row],[Numero]]*Registro_Ordini[[#This Row],[Prezzo]]</f>
        <v>11020.05</v>
      </c>
      <c r="L1091" s="10">
        <v>1</v>
      </c>
      <c r="M1091" s="6">
        <f>Registro_Ordini[[#This Row],[Importo]]*Registro_Ordini[[#This Row],[Cambio]]</f>
        <v>11020.05</v>
      </c>
      <c r="N1091" s="1">
        <f ca="1">IFERROR(_xlfn.NUMBERVALUE(OFFSET(Origine,MATCH(Registro_Ordini[[#This Row],[Titolo]],Descrizioni,0),MATCH("Price",Intestazioni,0)-1,1,1)),"")</f>
        <v>355.4</v>
      </c>
      <c r="O1091" s="18">
        <f ca="1">IF(OR(Registro_Ordini[[#This Row],[Price]]=0,Registro_Ordini[[#This Row],[Price]]=""),"",IF(Registro_Ordini[[#This Row],[Tipo]]="Sell",Registro_Ordini[[#This Row],[Prezzo]]/Registro_Ordini[[#This Row],[Price]]-1,Registro_Ordini[[#This Row],[Price]]/Registro_Ordini[[#This Row],[Prezzo]]-1))</f>
        <v>0.45126383274123083</v>
      </c>
      <c r="P1091" s="15">
        <v>2.2710944775300636E-2</v>
      </c>
      <c r="Q1091" s="3"/>
      <c r="R1091" s="3">
        <v>0.38660703315417688</v>
      </c>
      <c r="S1091" s="3">
        <v>0.40430042811325545</v>
      </c>
      <c r="T1091" s="3">
        <v>0</v>
      </c>
      <c r="U1091" s="3">
        <v>9.5947824491545403E-2</v>
      </c>
      <c r="V1091" s="3"/>
      <c r="W1091" s="4"/>
    </row>
    <row r="1092" spans="1:23" s="1" customFormat="1" ht="24.95" customHeight="1" x14ac:dyDescent="0.2">
      <c r="A1092" s="8">
        <v>45456</v>
      </c>
      <c r="B1092" s="7">
        <v>0.61736111111111114</v>
      </c>
      <c r="C1092" s="9" t="s">
        <v>377</v>
      </c>
      <c r="D1092" s="1" t="s">
        <v>388</v>
      </c>
      <c r="E1092" s="1" t="s">
        <v>397</v>
      </c>
      <c r="F1092" s="1" t="s">
        <v>525</v>
      </c>
      <c r="G1092" s="1" t="s">
        <v>371</v>
      </c>
      <c r="H1092" s="2">
        <v>130</v>
      </c>
      <c r="I1092" s="17">
        <v>244.89</v>
      </c>
      <c r="J1092" s="1" t="s">
        <v>369</v>
      </c>
      <c r="K1092" s="6">
        <f>Registro_Ordini[[#This Row],[Numero]]*Registro_Ordini[[#This Row],[Prezzo]]</f>
        <v>31835.699999999997</v>
      </c>
      <c r="L1092" s="10">
        <v>1</v>
      </c>
      <c r="M1092" s="6">
        <f>Registro_Ordini[[#This Row],[Importo]]*Registro_Ordini[[#This Row],[Cambio]]</f>
        <v>31835.699999999997</v>
      </c>
      <c r="N1092" s="1">
        <f ca="1">IFERROR(_xlfn.NUMBERVALUE(OFFSET(Origine,MATCH(Registro_Ordini[[#This Row],[Titolo]],Descrizioni,0),MATCH("Price",Intestazioni,0)-1,1,1)),"")</f>
        <v>355.4</v>
      </c>
      <c r="O1092" s="18">
        <f ca="1">IF(OR(Registro_Ordini[[#This Row],[Price]]=0,Registro_Ordini[[#This Row],[Price]]=""),"",IF(Registro_Ordini[[#This Row],[Tipo]]="Sell",Registro_Ordini[[#This Row],[Prezzo]]/Registro_Ordini[[#This Row],[Price]]-1,Registro_Ordini[[#This Row],[Price]]/Registro_Ordini[[#This Row],[Prezzo]]-1))</f>
        <v>0.45126383274123083</v>
      </c>
      <c r="P1092" s="15">
        <v>2.0862085293618222E-2</v>
      </c>
      <c r="Q1092" s="3"/>
      <c r="R1092" s="3">
        <v>0.3711316047371756</v>
      </c>
      <c r="S1092" s="3">
        <v>0.42315200151841481</v>
      </c>
      <c r="T1092" s="3">
        <v>0</v>
      </c>
      <c r="U1092" s="3">
        <v>0.10335034249952478</v>
      </c>
      <c r="V1092" s="3"/>
      <c r="W1092" s="4"/>
    </row>
    <row r="1093" spans="1:23" s="1" customFormat="1" ht="24.95" customHeight="1" x14ac:dyDescent="0.2">
      <c r="A1093" s="8">
        <v>45456</v>
      </c>
      <c r="B1093" s="7">
        <v>0.61736111111111114</v>
      </c>
      <c r="C1093" s="9" t="s">
        <v>376</v>
      </c>
      <c r="D1093" s="1" t="s">
        <v>388</v>
      </c>
      <c r="E1093" s="1" t="s">
        <v>397</v>
      </c>
      <c r="F1093" s="1" t="s">
        <v>525</v>
      </c>
      <c r="G1093" s="1" t="s">
        <v>371</v>
      </c>
      <c r="H1093" s="2">
        <v>25</v>
      </c>
      <c r="I1093" s="17">
        <v>244.89</v>
      </c>
      <c r="J1093" s="1" t="s">
        <v>369</v>
      </c>
      <c r="K1093" s="6">
        <f>Registro_Ordini[[#This Row],[Numero]]*Registro_Ordini[[#This Row],[Prezzo]]</f>
        <v>6122.25</v>
      </c>
      <c r="L1093" s="10">
        <v>1</v>
      </c>
      <c r="M1093" s="6">
        <f>Registro_Ordini[[#This Row],[Importo]]*Registro_Ordini[[#This Row],[Cambio]]</f>
        <v>6122.25</v>
      </c>
      <c r="N1093" s="1">
        <f ca="1">IFERROR(_xlfn.NUMBERVALUE(OFFSET(Origine,MATCH(Registro_Ordini[[#This Row],[Titolo]],Descrizioni,0),MATCH("Price",Intestazioni,0)-1,1,1)),"")</f>
        <v>355.4</v>
      </c>
      <c r="O1093" s="18">
        <f ca="1">IF(OR(Registro_Ordini[[#This Row],[Price]]=0,Registro_Ordini[[#This Row],[Price]]=""),"",IF(Registro_Ordini[[#This Row],[Tipo]]="Sell",Registro_Ordini[[#This Row],[Prezzo]]/Registro_Ordini[[#This Row],[Price]]-1,Registro_Ordini[[#This Row],[Price]]/Registro_Ordini[[#This Row],[Prezzo]]-1))</f>
        <v>0.45126383274123083</v>
      </c>
      <c r="P1093" s="15">
        <v>2.2665731259577052E-2</v>
      </c>
      <c r="Q1093" s="3"/>
      <c r="R1093" s="3">
        <v>0.39087957557836278</v>
      </c>
      <c r="S1093" s="3">
        <v>0.43265488579494821</v>
      </c>
      <c r="T1093" s="3">
        <v>0</v>
      </c>
      <c r="U1093" s="3">
        <v>0.12018595393572699</v>
      </c>
      <c r="V1093" s="3"/>
      <c r="W1093" s="4"/>
    </row>
    <row r="1094" spans="1:23" s="1" customFormat="1" ht="24.95" customHeight="1" x14ac:dyDescent="0.2">
      <c r="A1094" s="8">
        <v>45455</v>
      </c>
      <c r="B1094" s="7">
        <v>0.7104166666666667</v>
      </c>
      <c r="C1094" s="9" t="s">
        <v>375</v>
      </c>
      <c r="D1094" s="1" t="s">
        <v>388</v>
      </c>
      <c r="E1094" s="1" t="s">
        <v>397</v>
      </c>
      <c r="F1094" s="1" t="s">
        <v>517</v>
      </c>
      <c r="G1094" s="1" t="s">
        <v>371</v>
      </c>
      <c r="H1094" s="2">
        <v>60</v>
      </c>
      <c r="I1094" s="17">
        <v>272.5</v>
      </c>
      <c r="J1094" s="1" t="s">
        <v>369</v>
      </c>
      <c r="K1094" s="6">
        <f>Registro_Ordini[[#This Row],[Numero]]*Registro_Ordini[[#This Row],[Prezzo]]</f>
        <v>16350</v>
      </c>
      <c r="L1094" s="10">
        <v>1</v>
      </c>
      <c r="M1094" s="6">
        <f>Registro_Ordini[[#This Row],[Importo]]*Registro_Ordini[[#This Row],[Cambio]]</f>
        <v>16350</v>
      </c>
      <c r="N1094" s="1" t="str">
        <f ca="1">IFERROR(_xlfn.NUMBERVALUE(OFFSET(Origine,MATCH(Registro_Ordini[[#This Row],[Titolo]],Descrizioni,0),MATCH("Price",Intestazioni,0)-1,1,1)),"")</f>
        <v/>
      </c>
      <c r="O1094" s="18" t="str">
        <f ca="1">IF(OR(Registro_Ordini[[#This Row],[Price]]=0,Registro_Ordini[[#This Row],[Price]]=""),"",IF(Registro_Ordini[[#This Row],[Tipo]]="Sell",Registro_Ordini[[#This Row],[Prezzo]]/Registro_Ordini[[#This Row],[Price]]-1,Registro_Ordini[[#This Row],[Price]]/Registro_Ordini[[#This Row],[Prezzo]]-1))</f>
        <v/>
      </c>
      <c r="P1094" s="15">
        <v>2.0918932815883917E-2</v>
      </c>
      <c r="Q1094" s="3"/>
      <c r="R1094" s="3">
        <v>0.40094584030568237</v>
      </c>
      <c r="S1094" s="3">
        <v>0.38425791451995117</v>
      </c>
      <c r="T1094" s="3">
        <v>0</v>
      </c>
      <c r="U1094" s="3">
        <v>9.847439623226989E-2</v>
      </c>
      <c r="V1094" s="3"/>
      <c r="W1094" s="4"/>
    </row>
    <row r="1095" spans="1:23" s="1" customFormat="1" ht="24.95" customHeight="1" x14ac:dyDescent="0.2">
      <c r="A1095" s="8">
        <v>45455</v>
      </c>
      <c r="B1095" s="7">
        <v>0.7104166666666667</v>
      </c>
      <c r="C1095" s="9" t="s">
        <v>377</v>
      </c>
      <c r="D1095" s="1" t="s">
        <v>388</v>
      </c>
      <c r="E1095" s="1" t="s">
        <v>397</v>
      </c>
      <c r="F1095" s="1" t="s">
        <v>517</v>
      </c>
      <c r="G1095" s="1" t="s">
        <v>371</v>
      </c>
      <c r="H1095" s="2">
        <v>115</v>
      </c>
      <c r="I1095" s="17">
        <v>272.5</v>
      </c>
      <c r="J1095" s="1" t="s">
        <v>369</v>
      </c>
      <c r="K1095" s="6">
        <f>Registro_Ordini[[#This Row],[Numero]]*Registro_Ordini[[#This Row],[Prezzo]]</f>
        <v>31337.5</v>
      </c>
      <c r="L1095" s="10">
        <v>1</v>
      </c>
      <c r="M1095" s="6">
        <f>Registro_Ordini[[#This Row],[Importo]]*Registro_Ordini[[#This Row],[Cambio]]</f>
        <v>31337.5</v>
      </c>
      <c r="N1095" s="1" t="str">
        <f ca="1">IFERROR(_xlfn.NUMBERVALUE(OFFSET(Origine,MATCH(Registro_Ordini[[#This Row],[Titolo]],Descrizioni,0),MATCH("Price",Intestazioni,0)-1,1,1)),"")</f>
        <v/>
      </c>
      <c r="O1095" s="18" t="str">
        <f ca="1">IF(OR(Registro_Ordini[[#This Row],[Price]]=0,Registro_Ordini[[#This Row],[Price]]=""),"",IF(Registro_Ordini[[#This Row],[Tipo]]="Sell",Registro_Ordini[[#This Row],[Prezzo]]/Registro_Ordini[[#This Row],[Price]]-1,Registro_Ordini[[#This Row],[Price]]/Registro_Ordini[[#This Row],[Prezzo]]-1))</f>
        <v/>
      </c>
      <c r="P1095" s="15">
        <v>2.019968618676261E-2</v>
      </c>
      <c r="Q1095" s="3"/>
      <c r="R1095" s="3">
        <v>0.36461320210053205</v>
      </c>
      <c r="S1095" s="3">
        <v>0.41252306022998197</v>
      </c>
      <c r="T1095" s="3">
        <v>0</v>
      </c>
      <c r="U1095" s="3">
        <v>0.10149578098399142</v>
      </c>
      <c r="V1095" s="3"/>
      <c r="W1095" s="4"/>
    </row>
    <row r="1096" spans="1:23" s="1" customFormat="1" ht="24.95" customHeight="1" x14ac:dyDescent="0.2">
      <c r="A1096" s="8">
        <v>45455</v>
      </c>
      <c r="B1096" s="7">
        <v>0.7104166666666667</v>
      </c>
      <c r="C1096" s="9" t="s">
        <v>376</v>
      </c>
      <c r="D1096" s="1" t="s">
        <v>388</v>
      </c>
      <c r="E1096" s="1" t="s">
        <v>397</v>
      </c>
      <c r="F1096" s="1" t="s">
        <v>517</v>
      </c>
      <c r="G1096" s="1" t="s">
        <v>371</v>
      </c>
      <c r="H1096" s="2">
        <v>20</v>
      </c>
      <c r="I1096" s="17">
        <v>272.5</v>
      </c>
      <c r="J1096" s="1" t="s">
        <v>369</v>
      </c>
      <c r="K1096" s="6">
        <f>Registro_Ordini[[#This Row],[Numero]]*Registro_Ordini[[#This Row],[Prezzo]]</f>
        <v>5450</v>
      </c>
      <c r="L1096" s="10">
        <v>1</v>
      </c>
      <c r="M1096" s="6">
        <f>Registro_Ordini[[#This Row],[Importo]]*Registro_Ordini[[#This Row],[Cambio]]</f>
        <v>5450</v>
      </c>
      <c r="N1096" s="1" t="str">
        <f ca="1">IFERROR(_xlfn.NUMBERVALUE(OFFSET(Origine,MATCH(Registro_Ordini[[#This Row],[Titolo]],Descrizioni,0),MATCH("Price",Intestazioni,0)-1,1,1)),"")</f>
        <v/>
      </c>
      <c r="O1096" s="18" t="str">
        <f ca="1">IF(OR(Registro_Ordini[[#This Row],[Price]]=0,Registro_Ordini[[#This Row],[Price]]=""),"",IF(Registro_Ordini[[#This Row],[Tipo]]="Sell",Registro_Ordini[[#This Row],[Prezzo]]/Registro_Ordini[[#This Row],[Price]]-1,Registro_Ordini[[#This Row],[Price]]/Registro_Ordini[[#This Row],[Prezzo]]-1))</f>
        <v/>
      </c>
      <c r="P1096" s="15">
        <v>1.9798529208834504E-2</v>
      </c>
      <c r="Q1096" s="3"/>
      <c r="R1096" s="3">
        <v>0.38315671287944042</v>
      </c>
      <c r="S1096" s="3">
        <v>0.42130029891305693</v>
      </c>
      <c r="T1096" s="3">
        <v>0</v>
      </c>
      <c r="U1096" s="3">
        <v>0.11804887612666708</v>
      </c>
      <c r="V1096" s="3"/>
      <c r="W1096" s="4"/>
    </row>
    <row r="1097" spans="1:23" s="1" customFormat="1" ht="24.95" customHeight="1" x14ac:dyDescent="0.2">
      <c r="A1097" s="8">
        <v>45455</v>
      </c>
      <c r="B1097" s="7">
        <v>0.70972222222222225</v>
      </c>
      <c r="C1097" s="9" t="s">
        <v>78</v>
      </c>
      <c r="D1097" s="1" t="s">
        <v>388</v>
      </c>
      <c r="E1097" s="1" t="s">
        <v>397</v>
      </c>
      <c r="F1097" s="1" t="s">
        <v>517</v>
      </c>
      <c r="G1097" s="1" t="s">
        <v>371</v>
      </c>
      <c r="H1097" s="2">
        <v>40</v>
      </c>
      <c r="I1097" s="17">
        <v>272.5</v>
      </c>
      <c r="J1097" s="1" t="s">
        <v>369</v>
      </c>
      <c r="K1097" s="6">
        <f>Registro_Ordini[[#This Row],[Numero]]*Registro_Ordini[[#This Row],[Prezzo]]</f>
        <v>10900</v>
      </c>
      <c r="L1097" s="10">
        <v>1</v>
      </c>
      <c r="M1097" s="6">
        <f>Registro_Ordini[[#This Row],[Importo]]*Registro_Ordini[[#This Row],[Cambio]]</f>
        <v>10900</v>
      </c>
      <c r="N1097" s="1" t="str">
        <f ca="1">IFERROR(_xlfn.NUMBERVALUE(OFFSET(Origine,MATCH(Registro_Ordini[[#This Row],[Titolo]],Descrizioni,0),MATCH("Price",Intestazioni,0)-1,1,1)),"")</f>
        <v/>
      </c>
      <c r="O1097" s="18" t="str">
        <f ca="1">IF(OR(Registro_Ordini[[#This Row],[Price]]=0,Registro_Ordini[[#This Row],[Price]]=""),"",IF(Registro_Ordini[[#This Row],[Tipo]]="Sell",Registro_Ordini[[#This Row],[Prezzo]]/Registro_Ordini[[#This Row],[Price]]-1,Registro_Ordini[[#This Row],[Price]]/Registro_Ordini[[#This Row],[Prezzo]]-1))</f>
        <v/>
      </c>
      <c r="P1097" s="15">
        <v>2.684523515905031E-2</v>
      </c>
      <c r="Q1097" s="3"/>
      <c r="R1097" s="3">
        <v>0.16274488060361708</v>
      </c>
      <c r="S1097" s="3">
        <v>0.6117972344457191</v>
      </c>
      <c r="T1097" s="3">
        <v>0</v>
      </c>
      <c r="U1097" s="3">
        <v>7.85731161054989E-2</v>
      </c>
      <c r="V1097" s="3"/>
      <c r="W1097" s="4"/>
    </row>
    <row r="1098" spans="1:23" s="1" customFormat="1" ht="24.95" customHeight="1" x14ac:dyDescent="0.2">
      <c r="A1098" s="8">
        <v>45455</v>
      </c>
      <c r="B1098" s="7">
        <v>0.70972222222222225</v>
      </c>
      <c r="C1098" s="9" t="s">
        <v>378</v>
      </c>
      <c r="D1098" s="1" t="s">
        <v>388</v>
      </c>
      <c r="E1098" s="1" t="s">
        <v>397</v>
      </c>
      <c r="F1098" s="1" t="s">
        <v>517</v>
      </c>
      <c r="G1098" s="1" t="s">
        <v>371</v>
      </c>
      <c r="H1098" s="2">
        <v>35</v>
      </c>
      <c r="I1098" s="17">
        <v>272.5</v>
      </c>
      <c r="J1098" s="1" t="s">
        <v>369</v>
      </c>
      <c r="K1098" s="6">
        <f>Registro_Ordini[[#This Row],[Numero]]*Registro_Ordini[[#This Row],[Prezzo]]</f>
        <v>9537.5</v>
      </c>
      <c r="L1098" s="10">
        <v>1</v>
      </c>
      <c r="M1098" s="6">
        <f>Registro_Ordini[[#This Row],[Importo]]*Registro_Ordini[[#This Row],[Cambio]]</f>
        <v>9537.5</v>
      </c>
      <c r="N1098" s="1" t="str">
        <f ca="1">IFERROR(_xlfn.NUMBERVALUE(OFFSET(Origine,MATCH(Registro_Ordini[[#This Row],[Titolo]],Descrizioni,0),MATCH("Price",Intestazioni,0)-1,1,1)),"")</f>
        <v/>
      </c>
      <c r="O1098" s="18" t="str">
        <f ca="1">IF(OR(Registro_Ordini[[#This Row],[Price]]=0,Registro_Ordini[[#This Row],[Price]]=""),"",IF(Registro_Ordini[[#This Row],[Tipo]]="Sell",Registro_Ordini[[#This Row],[Prezzo]]/Registro_Ordini[[#This Row],[Price]]-1,Registro_Ordini[[#This Row],[Price]]/Registro_Ordini[[#This Row],[Prezzo]]-1))</f>
        <v/>
      </c>
      <c r="P1098" s="15">
        <v>1.9287968710297608E-2</v>
      </c>
      <c r="Q1098" s="3"/>
      <c r="R1098" s="3">
        <v>0.37887559484060257</v>
      </c>
      <c r="S1098" s="3">
        <v>0.39335203031708066</v>
      </c>
      <c r="T1098" s="3">
        <v>0</v>
      </c>
      <c r="U1098" s="3">
        <v>9.4311053044465951E-2</v>
      </c>
      <c r="V1098" s="3"/>
      <c r="W1098" s="4"/>
    </row>
    <row r="1099" spans="1:23" s="1" customFormat="1" ht="24.95" customHeight="1" x14ac:dyDescent="0.2">
      <c r="A1099" s="8">
        <v>45454</v>
      </c>
      <c r="B1099" s="7">
        <v>0.75555555555555554</v>
      </c>
      <c r="C1099" s="9" t="s">
        <v>385</v>
      </c>
      <c r="D1099" s="1" t="s">
        <v>388</v>
      </c>
      <c r="E1099" s="1" t="s">
        <v>397</v>
      </c>
      <c r="F1099" s="1" t="s">
        <v>449</v>
      </c>
      <c r="G1099" s="1" t="s">
        <v>371</v>
      </c>
      <c r="H1099" s="2">
        <v>500</v>
      </c>
      <c r="I1099" s="17">
        <v>16.038</v>
      </c>
      <c r="J1099" s="1" t="s">
        <v>381</v>
      </c>
      <c r="K1099" s="6">
        <f>Registro_Ordini[[#This Row],[Numero]]*Registro_Ordini[[#This Row],[Prezzo]]</f>
        <v>8019</v>
      </c>
      <c r="L1099" s="10">
        <v>1</v>
      </c>
      <c r="M1099" s="6">
        <f>Registro_Ordini[[#This Row],[Importo]]*Registro_Ordini[[#This Row],[Cambio]]</f>
        <v>8019</v>
      </c>
      <c r="N1099" s="1">
        <f ca="1">IFERROR(_xlfn.NUMBERVALUE(OFFSET(Origine,MATCH(Registro_Ordini[[#This Row],[Titolo]],Descrizioni,0),MATCH("Price",Intestazioni,0)-1,1,1)),"")</f>
        <v>18.716000000000001</v>
      </c>
      <c r="O1099" s="18">
        <f ca="1">IF(OR(Registro_Ordini[[#This Row],[Price]]=0,Registro_Ordini[[#This Row],[Price]]=""),"",IF(Registro_Ordini[[#This Row],[Tipo]]="Sell",Registro_Ordini[[#This Row],[Prezzo]]/Registro_Ordini[[#This Row],[Price]]-1,Registro_Ordini[[#This Row],[Price]]/Registro_Ordini[[#This Row],[Prezzo]]-1))</f>
        <v>0.16697842623768544</v>
      </c>
      <c r="P1099" s="15">
        <v>5.833272936770402E-2</v>
      </c>
      <c r="Q1099" s="3"/>
      <c r="R1099" s="3">
        <v>0.28719953086098782</v>
      </c>
      <c r="S1099" s="3">
        <v>0.2214068608578294</v>
      </c>
      <c r="T1099" s="3">
        <v>0</v>
      </c>
      <c r="U1099" s="3">
        <v>6.2326328123517655E-2</v>
      </c>
      <c r="V1099" s="3"/>
      <c r="W1099" s="4"/>
    </row>
    <row r="1100" spans="1:23" s="1" customFormat="1" ht="24.95" customHeight="1" x14ac:dyDescent="0.2">
      <c r="A1100" s="8">
        <v>45454</v>
      </c>
      <c r="B1100" s="7">
        <v>0.71805555555555556</v>
      </c>
      <c r="C1100" s="9" t="s">
        <v>106</v>
      </c>
      <c r="D1100" s="1" t="s">
        <v>388</v>
      </c>
      <c r="E1100" s="1" t="s">
        <v>397</v>
      </c>
      <c r="F1100" s="1" t="s">
        <v>406</v>
      </c>
      <c r="G1100" s="1" t="s">
        <v>371</v>
      </c>
      <c r="H1100" s="2">
        <v>55</v>
      </c>
      <c r="I1100" s="17">
        <v>124.34</v>
      </c>
      <c r="J1100" s="1" t="s">
        <v>369</v>
      </c>
      <c r="K1100" s="6">
        <f>Registro_Ordini[[#This Row],[Numero]]*Registro_Ordini[[#This Row],[Prezzo]]</f>
        <v>6838.7</v>
      </c>
      <c r="L1100" s="10">
        <v>1.0377642407197933</v>
      </c>
      <c r="M1100" s="6">
        <f>Registro_Ordini[[#This Row],[Importo]]*Registro_Ordini[[#This Row],[Cambio]]</f>
        <v>7096.9583130104502</v>
      </c>
      <c r="N1100" s="1">
        <f ca="1">IFERROR(_xlfn.NUMBERVALUE(OFFSET(Origine,MATCH(Registro_Ordini[[#This Row],[Titolo]],Descrizioni,0),MATCH("Price",Intestazioni,0)-1,1,1)),"")</f>
        <v>136.52000000000001</v>
      </c>
      <c r="O1100" s="18">
        <f ca="1">IF(OR(Registro_Ordini[[#This Row],[Price]]=0,Registro_Ordini[[#This Row],[Price]]=""),"",IF(Registro_Ordini[[#This Row],[Tipo]]="Sell",Registro_Ordini[[#This Row],[Prezzo]]/Registro_Ordini[[#This Row],[Price]]-1,Registro_Ordini[[#This Row],[Price]]/Registro_Ordini[[#This Row],[Prezzo]]-1))</f>
        <v>9.795721409039726E-2</v>
      </c>
      <c r="P1100" s="15">
        <v>5.4304266157532276E-2</v>
      </c>
      <c r="Q1100" s="3"/>
      <c r="R1100" s="3">
        <v>0.24417880448250961</v>
      </c>
      <c r="S1100" s="3">
        <v>0.39889017868211346</v>
      </c>
      <c r="T1100" s="3">
        <v>0</v>
      </c>
      <c r="U1100" s="3">
        <v>0.11295374172790894</v>
      </c>
      <c r="V1100" s="3"/>
      <c r="W1100" s="4"/>
    </row>
    <row r="1101" spans="1:23" s="1" customFormat="1" ht="24.95" customHeight="1" x14ac:dyDescent="0.2">
      <c r="A1101" s="8">
        <v>45454</v>
      </c>
      <c r="B1101" s="7">
        <v>0.71736111111111112</v>
      </c>
      <c r="C1101" s="9" t="s">
        <v>106</v>
      </c>
      <c r="D1101" s="1" t="s">
        <v>362</v>
      </c>
      <c r="E1101" s="1" t="s">
        <v>363</v>
      </c>
      <c r="F1101" s="1" t="s">
        <v>391</v>
      </c>
      <c r="G1101" s="1" t="s">
        <v>371</v>
      </c>
      <c r="H1101" s="2">
        <v>8707</v>
      </c>
      <c r="I1101" s="17">
        <v>1</v>
      </c>
      <c r="J1101" s="1" t="s">
        <v>369</v>
      </c>
      <c r="K1101" s="6">
        <f>Registro_Ordini[[#This Row],[Numero]]*Registro_Ordini[[#This Row],[Prezzo]]</f>
        <v>8707</v>
      </c>
      <c r="L1101" s="10">
        <v>1.0377642407197933</v>
      </c>
      <c r="M1101" s="6">
        <f>Registro_Ordini[[#This Row],[Importo]]*Registro_Ordini[[#This Row],[Cambio]]</f>
        <v>9035.8132439472411</v>
      </c>
      <c r="N1101" s="1">
        <f ca="1">IFERROR(_xlfn.NUMBERVALUE(OFFSET(Origine,MATCH(Registro_Ordini[[#This Row],[Titolo]],Descrizioni,0),MATCH("Price",Intestazioni,0)-1,1,1)),"")</f>
        <v>1.0000001300000001</v>
      </c>
      <c r="O1101" s="18">
        <f ca="1">IF(OR(Registro_Ordini[[#This Row],[Price]]=0,Registro_Ordini[[#This Row],[Price]]=""),"",IF(Registro_Ordini[[#This Row],[Tipo]]="Sell",Registro_Ordini[[#This Row],[Prezzo]]/Registro_Ordini[[#This Row],[Price]]-1,Registro_Ordini[[#This Row],[Price]]/Registro_Ordini[[#This Row],[Prezzo]]-1))</f>
        <v>1.3000000009810719E-7</v>
      </c>
      <c r="P1101" s="15">
        <v>6.9139930898216559E-2</v>
      </c>
      <c r="Q1101" s="3"/>
      <c r="R1101" s="3">
        <v>0.24417880448250961</v>
      </c>
      <c r="S1101" s="3">
        <v>0.39889017868211346</v>
      </c>
      <c r="T1101" s="3">
        <v>0</v>
      </c>
      <c r="U1101" s="3">
        <v>0.11295374172790894</v>
      </c>
      <c r="V1101" s="3"/>
      <c r="W1101" s="4"/>
    </row>
    <row r="1102" spans="1:23" s="1" customFormat="1" ht="24.95" customHeight="1" x14ac:dyDescent="0.2">
      <c r="A1102" s="8">
        <v>45453</v>
      </c>
      <c r="B1102" s="7">
        <v>0.52430555555555558</v>
      </c>
      <c r="C1102" s="9" t="s">
        <v>367</v>
      </c>
      <c r="D1102" s="1" t="s">
        <v>388</v>
      </c>
      <c r="E1102" s="1" t="s">
        <v>397</v>
      </c>
      <c r="F1102" s="1" t="s">
        <v>485</v>
      </c>
      <c r="G1102" s="1" t="s">
        <v>371</v>
      </c>
      <c r="H1102" s="2">
        <v>875</v>
      </c>
      <c r="I1102" s="17">
        <v>79.55</v>
      </c>
      <c r="J1102" s="1" t="s">
        <v>369</v>
      </c>
      <c r="K1102" s="6">
        <f>Registro_Ordini[[#This Row],[Numero]]*Registro_Ordini[[#This Row],[Prezzo]]</f>
        <v>69606.25</v>
      </c>
      <c r="L1102" s="10">
        <v>1</v>
      </c>
      <c r="M1102" s="6">
        <f>Registro_Ordini[[#This Row],[Importo]]*Registro_Ordini[[#This Row],[Cambio]]</f>
        <v>69606.25</v>
      </c>
      <c r="N1102" s="1">
        <f ca="1">IFERROR(_xlfn.NUMBERVALUE(OFFSET(Origine,MATCH(Registro_Ordini[[#This Row],[Titolo]],Descrizioni,0),MATCH("Price",Intestazioni,0)-1,1,1)),"")</f>
        <v>66.959999999999994</v>
      </c>
      <c r="O1102" s="18">
        <f ca="1">IF(OR(Registro_Ordini[[#This Row],[Price]]=0,Registro_Ordini[[#This Row],[Price]]=""),"",IF(Registro_Ordini[[#This Row],[Tipo]]="Sell",Registro_Ordini[[#This Row],[Prezzo]]/Registro_Ordini[[#This Row],[Price]]-1,Registro_Ordini[[#This Row],[Price]]/Registro_Ordini[[#This Row],[Prezzo]]-1))</f>
        <v>-0.15826524198617231</v>
      </c>
      <c r="P1102" s="15">
        <v>2.0017512338464168E-2</v>
      </c>
      <c r="Q1102" s="3"/>
      <c r="R1102" s="3">
        <v>0.43404391391674396</v>
      </c>
      <c r="S1102" s="3">
        <v>0.28221554693066003</v>
      </c>
      <c r="T1102" s="3">
        <v>0</v>
      </c>
      <c r="U1102" s="3">
        <v>4.7751135680201777E-2</v>
      </c>
      <c r="V1102" s="3"/>
      <c r="W1102" s="4"/>
    </row>
    <row r="1103" spans="1:23" s="1" customFormat="1" ht="24.95" customHeight="1" x14ac:dyDescent="0.2">
      <c r="A1103" s="8">
        <v>45453</v>
      </c>
      <c r="B1103" s="7">
        <v>0.52361111111111114</v>
      </c>
      <c r="C1103" s="9" t="s">
        <v>367</v>
      </c>
      <c r="D1103" s="1" t="s">
        <v>388</v>
      </c>
      <c r="E1103" s="1" t="s">
        <v>397</v>
      </c>
      <c r="F1103" s="1" t="s">
        <v>458</v>
      </c>
      <c r="G1103" s="1" t="s">
        <v>371</v>
      </c>
      <c r="H1103" s="2">
        <v>6</v>
      </c>
      <c r="I1103" s="17">
        <v>4324</v>
      </c>
      <c r="J1103" s="1" t="s">
        <v>369</v>
      </c>
      <c r="K1103" s="6">
        <f>Registro_Ordini[[#This Row],[Numero]]*Registro_Ordini[[#This Row],[Prezzo]]</f>
        <v>25944</v>
      </c>
      <c r="L1103" s="10">
        <v>1</v>
      </c>
      <c r="M1103" s="6">
        <f>Registro_Ordini[[#This Row],[Importo]]*Registro_Ordini[[#This Row],[Cambio]]</f>
        <v>25944</v>
      </c>
      <c r="N1103" s="1">
        <f ca="1">IFERROR(_xlfn.NUMBERVALUE(OFFSET(Origine,MATCH(Registro_Ordini[[#This Row],[Titolo]],Descrizioni,0),MATCH("Price",Intestazioni,0)-1,1,1)),"")</f>
        <v>2961</v>
      </c>
      <c r="O1103" s="18">
        <f ca="1">IF(OR(Registro_Ordini[[#This Row],[Price]]=0,Registro_Ordini[[#This Row],[Price]]=""),"",IF(Registro_Ordini[[#This Row],[Tipo]]="Sell",Registro_Ordini[[#This Row],[Prezzo]]/Registro_Ordini[[#This Row],[Price]]-1,Registro_Ordini[[#This Row],[Price]]/Registro_Ordini[[#This Row],[Prezzo]]-1))</f>
        <v>-0.31521739130434778</v>
      </c>
      <c r="P1103" s="15">
        <v>7.4610302969792845E-3</v>
      </c>
      <c r="Q1103" s="3"/>
      <c r="R1103" s="3">
        <v>0.43404391391674396</v>
      </c>
      <c r="S1103" s="3">
        <v>0.27475451663368072</v>
      </c>
      <c r="T1103" s="3">
        <v>0</v>
      </c>
      <c r="U1103" s="3">
        <v>4.7751135680201777E-2</v>
      </c>
      <c r="V1103" s="3"/>
      <c r="W1103" s="4"/>
    </row>
    <row r="1104" spans="1:23" s="1" customFormat="1" ht="24.95" customHeight="1" x14ac:dyDescent="0.2">
      <c r="A1104" s="8">
        <v>45453</v>
      </c>
      <c r="B1104" s="7">
        <v>0.52222222222222225</v>
      </c>
      <c r="C1104" s="9" t="s">
        <v>367</v>
      </c>
      <c r="D1104" s="1" t="s">
        <v>388</v>
      </c>
      <c r="E1104" s="1" t="s">
        <v>397</v>
      </c>
      <c r="F1104" s="1" t="s">
        <v>525</v>
      </c>
      <c r="G1104" s="1" t="s">
        <v>371</v>
      </c>
      <c r="H1104" s="2">
        <v>290</v>
      </c>
      <c r="I1104" s="17">
        <v>242.59200000000001</v>
      </c>
      <c r="J1104" s="1" t="s">
        <v>369</v>
      </c>
      <c r="K1104" s="6">
        <f>Registro_Ordini[[#This Row],[Numero]]*Registro_Ordini[[#This Row],[Prezzo]]</f>
        <v>70351.680000000008</v>
      </c>
      <c r="L1104" s="10">
        <v>1</v>
      </c>
      <c r="M1104" s="6">
        <f>Registro_Ordini[[#This Row],[Importo]]*Registro_Ordini[[#This Row],[Cambio]]</f>
        <v>70351.680000000008</v>
      </c>
      <c r="N1104" s="1">
        <f ca="1">IFERROR(_xlfn.NUMBERVALUE(OFFSET(Origine,MATCH(Registro_Ordini[[#This Row],[Titolo]],Descrizioni,0),MATCH("Price",Intestazioni,0)-1,1,1)),"")</f>
        <v>355.4</v>
      </c>
      <c r="O1104" s="18">
        <f ca="1">IF(OR(Registro_Ordini[[#This Row],[Price]]=0,Registro_Ordini[[#This Row],[Price]]=""),"",IF(Registro_Ordini[[#This Row],[Tipo]]="Sell",Registro_Ordini[[#This Row],[Prezzo]]/Registro_Ordini[[#This Row],[Price]]-1,Registro_Ordini[[#This Row],[Price]]/Registro_Ordini[[#This Row],[Prezzo]]-1))</f>
        <v>0.46501121224112896</v>
      </c>
      <c r="P1104" s="15">
        <v>2.02318846717311E-2</v>
      </c>
      <c r="Q1104" s="3"/>
      <c r="R1104" s="3">
        <v>0.43404391391674402</v>
      </c>
      <c r="S1104" s="3">
        <v>0.25452263196194969</v>
      </c>
      <c r="T1104" s="3">
        <v>0</v>
      </c>
      <c r="U1104" s="3">
        <v>4.7751135680201784E-2</v>
      </c>
      <c r="V1104" s="3"/>
      <c r="W1104" s="4"/>
    </row>
    <row r="1105" spans="1:23" s="1" customFormat="1" ht="24.95" customHeight="1" x14ac:dyDescent="0.2">
      <c r="A1105" s="8">
        <v>45453</v>
      </c>
      <c r="B1105" s="7">
        <v>0.51249999999999996</v>
      </c>
      <c r="C1105" s="9" t="s">
        <v>367</v>
      </c>
      <c r="D1105" s="1" t="s">
        <v>388</v>
      </c>
      <c r="E1105" s="1" t="s">
        <v>397</v>
      </c>
      <c r="F1105" s="1" t="s">
        <v>398</v>
      </c>
      <c r="G1105" s="1" t="s">
        <v>371</v>
      </c>
      <c r="H1105" s="2">
        <v>45</v>
      </c>
      <c r="I1105" s="17">
        <v>479.55</v>
      </c>
      <c r="J1105" s="1" t="s">
        <v>369</v>
      </c>
      <c r="K1105" s="6">
        <f>Registro_Ordini[[#This Row],[Numero]]*Registro_Ordini[[#This Row],[Prezzo]]</f>
        <v>21579.75</v>
      </c>
      <c r="L1105" s="10">
        <v>1</v>
      </c>
      <c r="M1105" s="6">
        <f>Registro_Ordini[[#This Row],[Importo]]*Registro_Ordini[[#This Row],[Cambio]]</f>
        <v>21579.75</v>
      </c>
      <c r="N1105" s="1">
        <f ca="1">IFERROR(_xlfn.NUMBERVALUE(OFFSET(Origine,MATCH(Registro_Ordini[[#This Row],[Titolo]],Descrizioni,0),MATCH("Price",Intestazioni,0)-1,1,1)),"")</f>
        <v>536.6</v>
      </c>
      <c r="O1105" s="18">
        <f ca="1">IF(OR(Registro_Ordini[[#This Row],[Price]]=0,Registro_Ordini[[#This Row],[Price]]=""),"",IF(Registro_Ordini[[#This Row],[Tipo]]="Sell",Registro_Ordini[[#This Row],[Prezzo]]/Registro_Ordini[[#This Row],[Price]]-1,Registro_Ordini[[#This Row],[Price]]/Registro_Ordini[[#This Row],[Prezzo]]-1))</f>
        <v>0.11896569700761139</v>
      </c>
      <c r="P1105" s="15">
        <v>6.205950067500722E-3</v>
      </c>
      <c r="Q1105" s="3"/>
      <c r="R1105" s="3">
        <v>0.43404391391674402</v>
      </c>
      <c r="S1105" s="3">
        <v>0.24831668189444894</v>
      </c>
      <c r="T1105" s="3">
        <v>0</v>
      </c>
      <c r="U1105" s="3">
        <v>4.7751135680201784E-2</v>
      </c>
      <c r="V1105" s="3"/>
      <c r="W1105" s="4"/>
    </row>
    <row r="1106" spans="1:23" s="1" customFormat="1" ht="24.95" customHeight="1" x14ac:dyDescent="0.2">
      <c r="A1106" s="8">
        <v>45453</v>
      </c>
      <c r="B1106" s="7">
        <v>0.51111111111111107</v>
      </c>
      <c r="C1106" s="9" t="s">
        <v>367</v>
      </c>
      <c r="D1106" s="1" t="s">
        <v>388</v>
      </c>
      <c r="E1106" s="1" t="s">
        <v>397</v>
      </c>
      <c r="F1106" s="1" t="s">
        <v>528</v>
      </c>
      <c r="G1106" s="1" t="s">
        <v>365</v>
      </c>
      <c r="H1106" s="2">
        <v>-40</v>
      </c>
      <c r="I1106" s="17">
        <v>1169</v>
      </c>
      <c r="J1106" s="1" t="s">
        <v>369</v>
      </c>
      <c r="K1106" s="6">
        <f>Registro_Ordini[[#This Row],[Numero]]*Registro_Ordini[[#This Row],[Prezzo]]</f>
        <v>-46760</v>
      </c>
      <c r="L1106" s="10">
        <v>1</v>
      </c>
      <c r="M1106" s="6">
        <f>Registro_Ordini[[#This Row],[Importo]]*Registro_Ordini[[#This Row],[Cambio]]</f>
        <v>-46760</v>
      </c>
      <c r="N1106" s="1" t="str">
        <f ca="1">IFERROR(_xlfn.NUMBERVALUE(OFFSET(Origine,MATCH(Registro_Ordini[[#This Row],[Titolo]],Descrizioni,0),MATCH("Price",Intestazioni,0)-1,1,1)),"")</f>
        <v/>
      </c>
      <c r="O1106" s="18" t="str">
        <f ca="1">IF(OR(Registro_Ordini[[#This Row],[Price]]=0,Registro_Ordini[[#This Row],[Price]]=""),"",IF(Registro_Ordini[[#This Row],[Tipo]]="Sell",Registro_Ordini[[#This Row],[Prezzo]]/Registro_Ordini[[#This Row],[Price]]-1,Registro_Ordini[[#This Row],[Price]]/Registro_Ordini[[#This Row],[Prezzo]]-1))</f>
        <v/>
      </c>
      <c r="P1106" s="15">
        <v>-1.3447339526933064E-2</v>
      </c>
      <c r="Q1106" s="3"/>
      <c r="R1106" s="3">
        <v>0.43404391391674402</v>
      </c>
      <c r="S1106" s="3">
        <v>0.29038994478560176</v>
      </c>
      <c r="T1106" s="3">
        <v>0</v>
      </c>
      <c r="U1106" s="3">
        <v>4.7751135680201784E-2</v>
      </c>
      <c r="V1106" s="3"/>
      <c r="W1106" s="4"/>
    </row>
    <row r="1107" spans="1:23" s="1" customFormat="1" ht="24.95" customHeight="1" x14ac:dyDescent="0.2">
      <c r="A1107" s="8">
        <v>45453</v>
      </c>
      <c r="B1107" s="7">
        <v>0.51111111111111107</v>
      </c>
      <c r="C1107" s="9" t="s">
        <v>367</v>
      </c>
      <c r="D1107" s="1" t="s">
        <v>388</v>
      </c>
      <c r="E1107" s="1" t="s">
        <v>397</v>
      </c>
      <c r="F1107" s="1" t="s">
        <v>484</v>
      </c>
      <c r="G1107" s="1" t="s">
        <v>365</v>
      </c>
      <c r="H1107" s="2">
        <v>-3500</v>
      </c>
      <c r="I1107" s="17">
        <v>28.44</v>
      </c>
      <c r="J1107" s="1" t="s">
        <v>369</v>
      </c>
      <c r="K1107" s="6">
        <f>Registro_Ordini[[#This Row],[Numero]]*Registro_Ordini[[#This Row],[Prezzo]]</f>
        <v>-99540</v>
      </c>
      <c r="L1107" s="10">
        <v>1</v>
      </c>
      <c r="M1107" s="6">
        <f>Registro_Ordini[[#This Row],[Importo]]*Registro_Ordini[[#This Row],[Cambio]]</f>
        <v>-99540</v>
      </c>
      <c r="N1107" s="1">
        <f ca="1">IFERROR(_xlfn.NUMBERVALUE(OFFSET(Origine,MATCH(Registro_Ordini[[#This Row],[Titolo]],Descrizioni,0),MATCH("Price",Intestazioni,0)-1,1,1)),"")</f>
        <v>30.68</v>
      </c>
      <c r="O1107" s="18">
        <f ca="1">IF(OR(Registro_Ordini[[#This Row],[Price]]=0,Registro_Ordini[[#This Row],[Price]]=""),"",IF(Registro_Ordini[[#This Row],[Tipo]]="Sell",Registro_Ordini[[#This Row],[Prezzo]]/Registro_Ordini[[#This Row],[Price]]-1,Registro_Ordini[[#This Row],[Price]]/Registro_Ordini[[#This Row],[Prezzo]]-1))</f>
        <v>-7.3011734028683106E-2</v>
      </c>
      <c r="P1107" s="15">
        <v>-2.8625923364219784E-2</v>
      </c>
      <c r="Q1107" s="3"/>
      <c r="R1107" s="3">
        <v>0.43404391391674402</v>
      </c>
      <c r="S1107" s="3">
        <v>0.27694260525866871</v>
      </c>
      <c r="T1107" s="3">
        <v>0</v>
      </c>
      <c r="U1107" s="3">
        <v>4.7751135680201784E-2</v>
      </c>
      <c r="V1107" s="3"/>
      <c r="W1107" s="4"/>
    </row>
    <row r="1108" spans="1:23" s="1" customFormat="1" ht="24.95" customHeight="1" x14ac:dyDescent="0.2">
      <c r="A1108" s="8">
        <v>45394</v>
      </c>
      <c r="B1108" s="7">
        <v>0.71944444444444444</v>
      </c>
      <c r="C1108" s="9" t="s">
        <v>375</v>
      </c>
      <c r="D1108" s="1" t="s">
        <v>362</v>
      </c>
      <c r="E1108" s="1" t="s">
        <v>363</v>
      </c>
      <c r="F1108" s="1" t="s">
        <v>427</v>
      </c>
      <c r="G1108" s="1" t="s">
        <v>365</v>
      </c>
      <c r="H1108" s="2">
        <v>-30000</v>
      </c>
      <c r="I1108" s="17">
        <v>1</v>
      </c>
      <c r="J1108" s="1" t="s">
        <v>381</v>
      </c>
      <c r="K1108" s="6">
        <f>Registro_Ordini[[#This Row],[Numero]]*Registro_Ordini[[#This Row],[Prezzo]]</f>
        <v>-30000</v>
      </c>
      <c r="L1108" s="10">
        <v>0.975885</v>
      </c>
      <c r="M1108" s="6">
        <f>Registro_Ordini[[#This Row],[Importo]]*Registro_Ordini[[#This Row],[Cambio]]</f>
        <v>-29276.55</v>
      </c>
      <c r="N1108" s="1">
        <f ca="1">IFERROR(_xlfn.NUMBERVALUE(OFFSET(Origine,MATCH(Registro_Ordini[[#This Row],[Titolo]],Descrizioni,0),MATCH("Price",Intestazioni,0)-1,1,1)),"")</f>
        <v>1</v>
      </c>
      <c r="O1108" s="18">
        <f ca="1">IF(OR(Registro_Ordini[[#This Row],[Price]]=0,Registro_Ordini[[#This Row],[Price]]=""),"",IF(Registro_Ordini[[#This Row],[Tipo]]="Sell",Registro_Ordini[[#This Row],[Prezzo]]/Registro_Ordini[[#This Row],[Price]]-1,Registro_Ordini[[#This Row],[Price]]/Registro_Ordini[[#This Row],[Prezzo]]-1))</f>
        <v>0</v>
      </c>
      <c r="P1108" s="15">
        <v>-3.9016496594400298E-2</v>
      </c>
      <c r="Q1108" s="3">
        <v>0.16472768168313981</v>
      </c>
      <c r="R1108" s="3">
        <v>0.38102195744456691</v>
      </c>
      <c r="S1108" s="3">
        <v>0.35024616825503768</v>
      </c>
      <c r="T1108" s="3">
        <v>0</v>
      </c>
      <c r="U1108" s="3">
        <v>0.10400419261725563</v>
      </c>
      <c r="V1108" s="3"/>
      <c r="W1108" s="4"/>
    </row>
    <row r="1109" spans="1:23" s="1" customFormat="1" ht="24.95" customHeight="1" x14ac:dyDescent="0.2">
      <c r="A1109" s="8">
        <v>45393</v>
      </c>
      <c r="B1109" s="7">
        <v>0.72361111111111109</v>
      </c>
      <c r="C1109" s="9" t="s">
        <v>375</v>
      </c>
      <c r="D1109" s="1" t="s">
        <v>388</v>
      </c>
      <c r="E1109" s="1" t="s">
        <v>397</v>
      </c>
      <c r="F1109" s="1" t="s">
        <v>529</v>
      </c>
      <c r="G1109" s="1" t="s">
        <v>371</v>
      </c>
      <c r="H1109" s="2">
        <v>1000</v>
      </c>
      <c r="I1109" s="17">
        <v>11.04</v>
      </c>
      <c r="J1109" s="1" t="s">
        <v>369</v>
      </c>
      <c r="K1109" s="6">
        <f>Registro_Ordini[[#This Row],[Numero]]*Registro_Ordini[[#This Row],[Prezzo]]</f>
        <v>11040</v>
      </c>
      <c r="L1109" s="10">
        <v>1</v>
      </c>
      <c r="M1109" s="6">
        <f>Registro_Ordini[[#This Row],[Importo]]*Registro_Ordini[[#This Row],[Cambio]]</f>
        <v>11040</v>
      </c>
      <c r="N1109" s="1">
        <f ca="1">IFERROR(_xlfn.NUMBERVALUE(OFFSET(Origine,MATCH(Registro_Ordini[[#This Row],[Titolo]],Descrizioni,0),MATCH("Price",Intestazioni,0)-1,1,1)),"")</f>
        <v>18.239999999999998</v>
      </c>
      <c r="O1109" s="18">
        <f ca="1">IF(OR(Registro_Ordini[[#This Row],[Price]]=0,Registro_Ordini[[#This Row],[Price]]=""),"",IF(Registro_Ordini[[#This Row],[Tipo]]="Sell",Registro_Ordini[[#This Row],[Prezzo]]/Registro_Ordini[[#This Row],[Price]]-1,Registro_Ordini[[#This Row],[Price]]/Registro_Ordini[[#This Row],[Prezzo]]-1))</f>
        <v>0.65217391304347827</v>
      </c>
      <c r="P1109" s="15">
        <v>1.4715582781205341E-2</v>
      </c>
      <c r="Q1109" s="3">
        <v>0.17976227783379811</v>
      </c>
      <c r="R1109" s="3">
        <v>0.3815987507391258</v>
      </c>
      <c r="S1109" s="3">
        <v>0.33353139166317275</v>
      </c>
      <c r="T1109" s="3">
        <v>0</v>
      </c>
      <c r="U1109" s="3">
        <v>0.10510757976390328</v>
      </c>
      <c r="V1109" s="3"/>
      <c r="W1109" s="4"/>
    </row>
    <row r="1110" spans="1:23" s="1" customFormat="1" ht="24.95" customHeight="1" x14ac:dyDescent="0.2">
      <c r="A1110" s="8">
        <v>45393</v>
      </c>
      <c r="B1110" s="7">
        <v>0.72361111111111109</v>
      </c>
      <c r="C1110" s="9" t="s">
        <v>378</v>
      </c>
      <c r="D1110" s="1" t="s">
        <v>388</v>
      </c>
      <c r="E1110" s="1" t="s">
        <v>397</v>
      </c>
      <c r="F1110" s="1" t="s">
        <v>529</v>
      </c>
      <c r="G1110" s="1" t="s">
        <v>371</v>
      </c>
      <c r="H1110" s="2">
        <v>650</v>
      </c>
      <c r="I1110" s="17">
        <v>11.04</v>
      </c>
      <c r="J1110" s="1" t="s">
        <v>369</v>
      </c>
      <c r="K1110" s="6">
        <f>Registro_Ordini[[#This Row],[Numero]]*Registro_Ordini[[#This Row],[Prezzo]]</f>
        <v>7175.9999999999991</v>
      </c>
      <c r="L1110" s="10">
        <v>1</v>
      </c>
      <c r="M1110" s="6">
        <f>Registro_Ordini[[#This Row],[Importo]]*Registro_Ordini[[#This Row],[Cambio]]</f>
        <v>7175.9999999999991</v>
      </c>
      <c r="N1110" s="1">
        <f ca="1">IFERROR(_xlfn.NUMBERVALUE(OFFSET(Origine,MATCH(Registro_Ordini[[#This Row],[Titolo]],Descrizioni,0),MATCH("Price",Intestazioni,0)-1,1,1)),"")</f>
        <v>18.239999999999998</v>
      </c>
      <c r="O1110" s="18">
        <f ca="1">IF(OR(Registro_Ordini[[#This Row],[Price]]=0,Registro_Ordini[[#This Row],[Price]]=""),"",IF(Registro_Ordini[[#This Row],[Tipo]]="Sell",Registro_Ordini[[#This Row],[Prezzo]]/Registro_Ordini[[#This Row],[Price]]-1,Registro_Ordini[[#This Row],[Price]]/Registro_Ordini[[#This Row],[Prezzo]]-1))</f>
        <v>0.65217391304347827</v>
      </c>
      <c r="P1110" s="15">
        <v>1.4879900029090372E-2</v>
      </c>
      <c r="Q1110" s="3">
        <v>0.21455009996866548</v>
      </c>
      <c r="R1110" s="3">
        <v>0.35104629553183392</v>
      </c>
      <c r="S1110" s="3">
        <v>0.33618947539199523</v>
      </c>
      <c r="T1110" s="3">
        <v>0</v>
      </c>
      <c r="U1110" s="3">
        <v>9.8214129107505405E-2</v>
      </c>
      <c r="V1110" s="3"/>
      <c r="W1110" s="4"/>
    </row>
    <row r="1111" spans="1:23" s="1" customFormat="1" ht="24.95" customHeight="1" x14ac:dyDescent="0.2">
      <c r="A1111" s="8">
        <v>45393</v>
      </c>
      <c r="B1111" s="7">
        <v>0.72361111111111109</v>
      </c>
      <c r="C1111" s="9" t="s">
        <v>377</v>
      </c>
      <c r="D1111" s="1" t="s">
        <v>388</v>
      </c>
      <c r="E1111" s="1" t="s">
        <v>397</v>
      </c>
      <c r="F1111" s="1" t="s">
        <v>529</v>
      </c>
      <c r="G1111" s="1" t="s">
        <v>371</v>
      </c>
      <c r="H1111" s="2">
        <v>2000</v>
      </c>
      <c r="I1111" s="17">
        <v>11.04</v>
      </c>
      <c r="J1111" s="1" t="s">
        <v>369</v>
      </c>
      <c r="K1111" s="6">
        <f>Registro_Ordini[[#This Row],[Numero]]*Registro_Ordini[[#This Row],[Prezzo]]</f>
        <v>22080</v>
      </c>
      <c r="L1111" s="10">
        <v>1</v>
      </c>
      <c r="M1111" s="6">
        <f>Registro_Ordini[[#This Row],[Importo]]*Registro_Ordini[[#This Row],[Cambio]]</f>
        <v>22080</v>
      </c>
      <c r="N1111" s="1">
        <f ca="1">IFERROR(_xlfn.NUMBERVALUE(OFFSET(Origine,MATCH(Registro_Ordini[[#This Row],[Titolo]],Descrizioni,0),MATCH("Price",Intestazioni,0)-1,1,1)),"")</f>
        <v>18.239999999999998</v>
      </c>
      <c r="O1111" s="18">
        <f ca="1">IF(OR(Registro_Ordini[[#This Row],[Price]]=0,Registro_Ordini[[#This Row],[Price]]=""),"",IF(Registro_Ordini[[#This Row],[Tipo]]="Sell",Registro_Ordini[[#This Row],[Prezzo]]/Registro_Ordini[[#This Row],[Price]]-1,Registro_Ordini[[#This Row],[Price]]/Registro_Ordini[[#This Row],[Prezzo]]-1))</f>
        <v>0.65217391304347827</v>
      </c>
      <c r="P1111" s="15">
        <v>1.4841530447394981E-2</v>
      </c>
      <c r="Q1111" s="3">
        <v>0.18520410838003934</v>
      </c>
      <c r="R1111" s="3">
        <v>0.34067336707235008</v>
      </c>
      <c r="S1111" s="3">
        <v>0.36548117596580643</v>
      </c>
      <c r="T1111" s="3">
        <v>0</v>
      </c>
      <c r="U1111" s="3">
        <v>0.10864134858180415</v>
      </c>
      <c r="V1111" s="3"/>
      <c r="W1111" s="4"/>
    </row>
    <row r="1112" spans="1:23" s="1" customFormat="1" ht="24.95" customHeight="1" x14ac:dyDescent="0.2">
      <c r="A1112" s="8">
        <v>45393</v>
      </c>
      <c r="B1112" s="7">
        <v>0.72361111111111109</v>
      </c>
      <c r="C1112" s="9" t="s">
        <v>376</v>
      </c>
      <c r="D1112" s="1" t="s">
        <v>388</v>
      </c>
      <c r="E1112" s="1" t="s">
        <v>397</v>
      </c>
      <c r="F1112" s="1" t="s">
        <v>529</v>
      </c>
      <c r="G1112" s="1" t="s">
        <v>371</v>
      </c>
      <c r="H1112" s="2">
        <v>500</v>
      </c>
      <c r="I1112" s="17">
        <v>11.04</v>
      </c>
      <c r="J1112" s="1" t="s">
        <v>369</v>
      </c>
      <c r="K1112" s="6">
        <f>Registro_Ordini[[#This Row],[Numero]]*Registro_Ordini[[#This Row],[Prezzo]]</f>
        <v>5520</v>
      </c>
      <c r="L1112" s="10">
        <v>1</v>
      </c>
      <c r="M1112" s="6">
        <f>Registro_Ordini[[#This Row],[Importo]]*Registro_Ordini[[#This Row],[Cambio]]</f>
        <v>5520</v>
      </c>
      <c r="N1112" s="1">
        <f ca="1">IFERROR(_xlfn.NUMBERVALUE(OFFSET(Origine,MATCH(Registro_Ordini[[#This Row],[Titolo]],Descrizioni,0),MATCH("Price",Intestazioni,0)-1,1,1)),"")</f>
        <v>18.239999999999998</v>
      </c>
      <c r="O1112" s="18">
        <f ca="1">IF(OR(Registro_Ordini[[#This Row],[Price]]=0,Registro_Ordini[[#This Row],[Price]]=""),"",IF(Registro_Ordini[[#This Row],[Tipo]]="Sell",Registro_Ordini[[#This Row],[Prezzo]]/Registro_Ordini[[#This Row],[Price]]-1,Registro_Ordini[[#This Row],[Price]]/Registro_Ordini[[#This Row],[Prezzo]]-1))</f>
        <v>0.65217391304347827</v>
      </c>
      <c r="P1112" s="15">
        <v>2.0724580224928138E-2</v>
      </c>
      <c r="Q1112" s="3">
        <v>0.13957679077703192</v>
      </c>
      <c r="R1112" s="3">
        <v>0.36210583733506702</v>
      </c>
      <c r="S1112" s="3">
        <v>0.37413206630358847</v>
      </c>
      <c r="T1112" s="3">
        <v>0</v>
      </c>
      <c r="U1112" s="3">
        <v>0.12418530558431272</v>
      </c>
      <c r="V1112" s="3"/>
      <c r="W1112" s="4"/>
    </row>
    <row r="1113" spans="1:23" s="1" customFormat="1" ht="24.95" customHeight="1" x14ac:dyDescent="0.2">
      <c r="A1113" s="8">
        <v>45393</v>
      </c>
      <c r="B1113" s="7">
        <v>0.72361111111111109</v>
      </c>
      <c r="C1113" s="9" t="s">
        <v>367</v>
      </c>
      <c r="D1113" s="1" t="s">
        <v>388</v>
      </c>
      <c r="E1113" s="1" t="s">
        <v>397</v>
      </c>
      <c r="F1113" s="1" t="s">
        <v>529</v>
      </c>
      <c r="G1113" s="1" t="s">
        <v>371</v>
      </c>
      <c r="H1113" s="2">
        <v>3500</v>
      </c>
      <c r="I1113" s="17">
        <v>11.04</v>
      </c>
      <c r="J1113" s="1" t="s">
        <v>369</v>
      </c>
      <c r="K1113" s="6">
        <f>Registro_Ordini[[#This Row],[Numero]]*Registro_Ordini[[#This Row],[Prezzo]]</f>
        <v>38640</v>
      </c>
      <c r="L1113" s="10">
        <v>1</v>
      </c>
      <c r="M1113" s="6">
        <f>Registro_Ordini[[#This Row],[Importo]]*Registro_Ordini[[#This Row],[Cambio]]</f>
        <v>38640</v>
      </c>
      <c r="N1113" s="1">
        <f ca="1">IFERROR(_xlfn.NUMBERVALUE(OFFSET(Origine,MATCH(Registro_Ordini[[#This Row],[Titolo]],Descrizioni,0),MATCH("Price",Intestazioni,0)-1,1,1)),"")</f>
        <v>18.239999999999998</v>
      </c>
      <c r="O1113" s="18">
        <f ca="1">IF(OR(Registro_Ordini[[#This Row],[Price]]=0,Registro_Ordini[[#This Row],[Price]]=""),"",IF(Registro_Ordini[[#This Row],[Tipo]]="Sell",Registro_Ordini[[#This Row],[Prezzo]]/Registro_Ordini[[#This Row],[Price]]-1,Registro_Ordini[[#This Row],[Price]]/Registro_Ordini[[#This Row],[Prezzo]]-1))</f>
        <v>0.65217391304347827</v>
      </c>
      <c r="P1113" s="15">
        <v>1.3523710853042482E-2</v>
      </c>
      <c r="Q1113" s="3">
        <v>0.13147825281484241</v>
      </c>
      <c r="R1113" s="3">
        <v>0.48003947020047433</v>
      </c>
      <c r="S1113" s="3">
        <v>0.32893852163803755</v>
      </c>
      <c r="T1113" s="3">
        <v>0</v>
      </c>
      <c r="U1113" s="3">
        <v>5.9543755346645764E-2</v>
      </c>
      <c r="V1113" s="3"/>
      <c r="W1113" s="4"/>
    </row>
    <row r="1114" spans="1:23" s="1" customFormat="1" ht="24.95" customHeight="1" x14ac:dyDescent="0.2">
      <c r="A1114" s="8">
        <v>45393</v>
      </c>
      <c r="B1114" s="7">
        <v>0.7006944444444444</v>
      </c>
      <c r="C1114" s="9" t="s">
        <v>456</v>
      </c>
      <c r="D1114" s="1" t="s">
        <v>388</v>
      </c>
      <c r="E1114" s="1" t="s">
        <v>389</v>
      </c>
      <c r="F1114" s="1" t="s">
        <v>460</v>
      </c>
      <c r="G1114" s="1" t="s">
        <v>365</v>
      </c>
      <c r="H1114" s="2">
        <v>-60</v>
      </c>
      <c r="I1114" s="17">
        <v>178.55</v>
      </c>
      <c r="J1114" s="1" t="s">
        <v>366</v>
      </c>
      <c r="K1114" s="6">
        <f>Registro_Ordini[[#This Row],[Numero]]*Registro_Ordini[[#This Row],[Prezzo]]</f>
        <v>-10713</v>
      </c>
      <c r="L1114" s="10">
        <v>0.91174999999999995</v>
      </c>
      <c r="M1114" s="6">
        <f>Registro_Ordini[[#This Row],[Importo]]*Registro_Ordini[[#This Row],[Cambio]]</f>
        <v>-9767.5777499999986</v>
      </c>
      <c r="N1114" s="1">
        <f ca="1">IFERROR(_xlfn.NUMBERVALUE(OFFSET(Origine,MATCH(Registro_Ordini[[#This Row],[Titolo]],Descrizioni,0),MATCH("Price",Intestazioni,0)-1,1,1)),"")</f>
        <v>113.6</v>
      </c>
      <c r="O1114" s="18">
        <f ca="1">IF(OR(Registro_Ordini[[#This Row],[Price]]=0,Registro_Ordini[[#This Row],[Price]]=""),"",IF(Registro_Ordini[[#This Row],[Tipo]]="Sell",Registro_Ordini[[#This Row],[Prezzo]]/Registro_Ordini[[#This Row],[Price]]-1,Registro_Ordini[[#This Row],[Price]]/Registro_Ordini[[#This Row],[Prezzo]]-1))</f>
        <v>0.57174295774647899</v>
      </c>
      <c r="P1114" s="15">
        <v>-1.2146933565984197E-2</v>
      </c>
      <c r="Q1114" s="3">
        <v>3.3244305299475092E-2</v>
      </c>
      <c r="R1114" s="3">
        <v>0.35573478398238961</v>
      </c>
      <c r="S1114" s="3">
        <v>0.55837153560692432</v>
      </c>
      <c r="T1114" s="3">
        <v>0</v>
      </c>
      <c r="U1114" s="3">
        <v>0</v>
      </c>
      <c r="V1114" s="3">
        <v>5.264937511121108E-2</v>
      </c>
      <c r="W1114" s="4"/>
    </row>
    <row r="1115" spans="1:23" s="1" customFormat="1" ht="24.95" customHeight="1" x14ac:dyDescent="0.2">
      <c r="A1115" s="8">
        <v>45392</v>
      </c>
      <c r="B1115" s="7">
        <v>0.72569444444444442</v>
      </c>
      <c r="C1115" s="9" t="s">
        <v>375</v>
      </c>
      <c r="D1115" s="1" t="s">
        <v>388</v>
      </c>
      <c r="E1115" s="1" t="s">
        <v>397</v>
      </c>
      <c r="F1115" s="1" t="s">
        <v>485</v>
      </c>
      <c r="G1115" s="1" t="s">
        <v>365</v>
      </c>
      <c r="H1115" s="2">
        <v>-200</v>
      </c>
      <c r="I1115" s="17">
        <v>79.5</v>
      </c>
      <c r="J1115" s="1" t="s">
        <v>369</v>
      </c>
      <c r="K1115" s="6">
        <f>Registro_Ordini[[#This Row],[Numero]]*Registro_Ordini[[#This Row],[Prezzo]]</f>
        <v>-15900</v>
      </c>
      <c r="L1115" s="10">
        <v>1</v>
      </c>
      <c r="M1115" s="6">
        <f>Registro_Ordini[[#This Row],[Importo]]*Registro_Ordini[[#This Row],[Cambio]]</f>
        <v>-15900</v>
      </c>
      <c r="N1115" s="1">
        <f ca="1">IFERROR(_xlfn.NUMBERVALUE(OFFSET(Origine,MATCH(Registro_Ordini[[#This Row],[Titolo]],Descrizioni,0),MATCH("Price",Intestazioni,0)-1,1,1)),"")</f>
        <v>66.959999999999994</v>
      </c>
      <c r="O1115" s="18">
        <f ca="1">IF(OR(Registro_Ordini[[#This Row],[Price]]=0,Registro_Ordini[[#This Row],[Price]]=""),"",IF(Registro_Ordini[[#This Row],[Tipo]]="Sell",Registro_Ordini[[#This Row],[Prezzo]]/Registro_Ordini[[#This Row],[Price]]-1,Registro_Ordini[[#This Row],[Price]]/Registro_Ordini[[#This Row],[Prezzo]]-1))</f>
        <v>0.18727598566308257</v>
      </c>
      <c r="P1115" s="15">
        <v>-2.1193638244670736E-2</v>
      </c>
      <c r="Q1115" s="3">
        <v>0.1585686395891274</v>
      </c>
      <c r="R1115" s="3">
        <v>0.3815987507391258</v>
      </c>
      <c r="S1115" s="3">
        <v>0.35472502990784355</v>
      </c>
      <c r="T1115" s="3"/>
      <c r="U1115" s="3">
        <v>0.10510757976390328</v>
      </c>
      <c r="V1115" s="3"/>
      <c r="W1115" s="4"/>
    </row>
    <row r="1116" spans="1:23" s="1" customFormat="1" ht="24.95" customHeight="1" x14ac:dyDescent="0.2">
      <c r="A1116" s="8">
        <v>45392</v>
      </c>
      <c r="B1116" s="7">
        <v>0.72569444444444442</v>
      </c>
      <c r="C1116" s="9" t="s">
        <v>378</v>
      </c>
      <c r="D1116" s="1" t="s">
        <v>388</v>
      </c>
      <c r="E1116" s="1" t="s">
        <v>397</v>
      </c>
      <c r="F1116" s="1" t="s">
        <v>485</v>
      </c>
      <c r="G1116" s="1" t="s">
        <v>365</v>
      </c>
      <c r="H1116" s="2">
        <v>-75</v>
      </c>
      <c r="I1116" s="17">
        <v>79.5</v>
      </c>
      <c r="J1116" s="1" t="s">
        <v>369</v>
      </c>
      <c r="K1116" s="6">
        <f>Registro_Ordini[[#This Row],[Numero]]*Registro_Ordini[[#This Row],[Prezzo]]</f>
        <v>-5962.5</v>
      </c>
      <c r="L1116" s="10">
        <v>1</v>
      </c>
      <c r="M1116" s="6">
        <f>Registro_Ordini[[#This Row],[Importo]]*Registro_Ordini[[#This Row],[Cambio]]</f>
        <v>-5962.5</v>
      </c>
      <c r="N1116" s="1">
        <f ca="1">IFERROR(_xlfn.NUMBERVALUE(OFFSET(Origine,MATCH(Registro_Ordini[[#This Row],[Titolo]],Descrizioni,0),MATCH("Price",Intestazioni,0)-1,1,1)),"")</f>
        <v>66.959999999999994</v>
      </c>
      <c r="O1116" s="18">
        <f ca="1">IF(OR(Registro_Ordini[[#This Row],[Price]]=0,Registro_Ordini[[#This Row],[Price]]=""),"",IF(Registro_Ordini[[#This Row],[Tipo]]="Sell",Registro_Ordini[[#This Row],[Prezzo]]/Registro_Ordini[[#This Row],[Price]]-1,Registro_Ordini[[#This Row],[Price]]/Registro_Ordini[[#This Row],[Prezzo]]-1))</f>
        <v>0.18727598566308257</v>
      </c>
      <c r="P1116" s="15">
        <v>-1.2363629309288094E-2</v>
      </c>
      <c r="Q1116" s="3">
        <v>0.20218647065937737</v>
      </c>
      <c r="R1116" s="3">
        <v>0.35104629553183392</v>
      </c>
      <c r="S1116" s="3">
        <v>0.34855310470128331</v>
      </c>
      <c r="T1116" s="3"/>
      <c r="U1116" s="3">
        <v>9.8214129107505405E-2</v>
      </c>
      <c r="V1116" s="3"/>
      <c r="W1116" s="4"/>
    </row>
    <row r="1117" spans="1:23" s="1" customFormat="1" ht="24.95" customHeight="1" x14ac:dyDescent="0.2">
      <c r="A1117" s="8">
        <v>45392</v>
      </c>
      <c r="B1117" s="7">
        <v>0.72569444444444442</v>
      </c>
      <c r="C1117" s="9" t="s">
        <v>377</v>
      </c>
      <c r="D1117" s="1" t="s">
        <v>388</v>
      </c>
      <c r="E1117" s="1" t="s">
        <v>397</v>
      </c>
      <c r="F1117" s="1" t="s">
        <v>485</v>
      </c>
      <c r="G1117" s="1" t="s">
        <v>365</v>
      </c>
      <c r="H1117" s="2">
        <v>-300</v>
      </c>
      <c r="I1117" s="17">
        <v>79.5</v>
      </c>
      <c r="J1117" s="1" t="s">
        <v>369</v>
      </c>
      <c r="K1117" s="6">
        <f>Registro_Ordini[[#This Row],[Numero]]*Registro_Ordini[[#This Row],[Prezzo]]</f>
        <v>-23850</v>
      </c>
      <c r="L1117" s="10">
        <v>1</v>
      </c>
      <c r="M1117" s="6">
        <f>Registro_Ordini[[#This Row],[Importo]]*Registro_Ordini[[#This Row],[Cambio]]</f>
        <v>-23850</v>
      </c>
      <c r="N1117" s="1">
        <f ca="1">IFERROR(_xlfn.NUMBERVALUE(OFFSET(Origine,MATCH(Registro_Ordini[[#This Row],[Titolo]],Descrizioni,0),MATCH("Price",Intestazioni,0)-1,1,1)),"")</f>
        <v>66.959999999999994</v>
      </c>
      <c r="O1117" s="18">
        <f ca="1">IF(OR(Registro_Ordini[[#This Row],[Price]]=0,Registro_Ordini[[#This Row],[Price]]=""),"",IF(Registro_Ordini[[#This Row],[Tipo]]="Sell",Registro_Ordini[[#This Row],[Prezzo]]/Registro_Ordini[[#This Row],[Price]]-1,Registro_Ordini[[#This Row],[Price]]/Registro_Ordini[[#This Row],[Prezzo]]-1))</f>
        <v>0.18727598566308257</v>
      </c>
      <c r="P1117" s="15">
        <v>-1.6031272697933436E-2</v>
      </c>
      <c r="Q1117" s="3">
        <v>0.16917283568210589</v>
      </c>
      <c r="R1117" s="3">
        <v>0.34067336707235008</v>
      </c>
      <c r="S1117" s="3">
        <v>0.38151244866373984</v>
      </c>
      <c r="T1117" s="3"/>
      <c r="U1117" s="3">
        <v>0.10864134858180415</v>
      </c>
      <c r="V1117" s="3"/>
      <c r="W1117" s="4"/>
    </row>
    <row r="1118" spans="1:23" s="1" customFormat="1" ht="24.95" customHeight="1" x14ac:dyDescent="0.2">
      <c r="A1118" s="8">
        <v>45392</v>
      </c>
      <c r="B1118" s="7">
        <v>0.72569444444444442</v>
      </c>
      <c r="C1118" s="9" t="s">
        <v>376</v>
      </c>
      <c r="D1118" s="1" t="s">
        <v>388</v>
      </c>
      <c r="E1118" s="1" t="s">
        <v>397</v>
      </c>
      <c r="F1118" s="1" t="s">
        <v>485</v>
      </c>
      <c r="G1118" s="1" t="s">
        <v>365</v>
      </c>
      <c r="H1118" s="2">
        <v>-65</v>
      </c>
      <c r="I1118" s="17">
        <v>79.5</v>
      </c>
      <c r="J1118" s="1" t="s">
        <v>369</v>
      </c>
      <c r="K1118" s="6">
        <f>Registro_Ordini[[#This Row],[Numero]]*Registro_Ordini[[#This Row],[Prezzo]]</f>
        <v>-5167.5</v>
      </c>
      <c r="L1118" s="10">
        <v>1</v>
      </c>
      <c r="M1118" s="6">
        <f>Registro_Ordini[[#This Row],[Importo]]*Registro_Ordini[[#This Row],[Cambio]]</f>
        <v>-5167.5</v>
      </c>
      <c r="N1118" s="1">
        <f ca="1">IFERROR(_xlfn.NUMBERVALUE(OFFSET(Origine,MATCH(Registro_Ordini[[#This Row],[Titolo]],Descrizioni,0),MATCH("Price",Intestazioni,0)-1,1,1)),"")</f>
        <v>66.959999999999994</v>
      </c>
      <c r="O1118" s="18">
        <f ca="1">IF(OR(Registro_Ordini[[#This Row],[Price]]=0,Registro_Ordini[[#This Row],[Price]]=""),"",IF(Registro_Ordini[[#This Row],[Tipo]]="Sell",Registro_Ordini[[#This Row],[Prezzo]]/Registro_Ordini[[#This Row],[Price]]-1,Registro_Ordini[[#This Row],[Price]]/Registro_Ordini[[#This Row],[Prezzo]]-1))</f>
        <v>0.18727598566308257</v>
      </c>
      <c r="P1118" s="15">
        <v>-1.9401135563825389E-2</v>
      </c>
      <c r="Q1118" s="3">
        <v>0.12017565521320654</v>
      </c>
      <c r="R1118" s="3">
        <v>0.36210583733506702</v>
      </c>
      <c r="S1118" s="3">
        <v>0.39353320186741386</v>
      </c>
      <c r="T1118" s="3"/>
      <c r="U1118" s="3">
        <v>0.12418530558431272</v>
      </c>
      <c r="V1118" s="3"/>
      <c r="W1118" s="4"/>
    </row>
    <row r="1119" spans="1:23" s="1" customFormat="1" ht="24.95" customHeight="1" x14ac:dyDescent="0.2">
      <c r="A1119" s="8">
        <v>45392</v>
      </c>
      <c r="B1119" s="7">
        <v>0.72569444444444442</v>
      </c>
      <c r="C1119" s="9" t="s">
        <v>156</v>
      </c>
      <c r="D1119" s="1" t="s">
        <v>388</v>
      </c>
      <c r="E1119" s="1" t="s">
        <v>397</v>
      </c>
      <c r="F1119" s="1" t="s">
        <v>485</v>
      </c>
      <c r="G1119" s="1" t="s">
        <v>365</v>
      </c>
      <c r="H1119" s="2">
        <v>-155</v>
      </c>
      <c r="I1119" s="17">
        <v>79.5</v>
      </c>
      <c r="J1119" s="1" t="s">
        <v>369</v>
      </c>
      <c r="K1119" s="6">
        <f>Registro_Ordini[[#This Row],[Numero]]*Registro_Ordini[[#This Row],[Prezzo]]</f>
        <v>-12322.5</v>
      </c>
      <c r="L1119" s="10">
        <v>1</v>
      </c>
      <c r="M1119" s="6">
        <f>Registro_Ordini[[#This Row],[Importo]]*Registro_Ordini[[#This Row],[Cambio]]</f>
        <v>-12322.5</v>
      </c>
      <c r="N1119" s="1">
        <f ca="1">IFERROR(_xlfn.NUMBERVALUE(OFFSET(Origine,MATCH(Registro_Ordini[[#This Row],[Titolo]],Descrizioni,0),MATCH("Price",Intestazioni,0)-1,1,1)),"")</f>
        <v>66.959999999999994</v>
      </c>
      <c r="O1119" s="18">
        <f ca="1">IF(OR(Registro_Ordini[[#This Row],[Price]]=0,Registro_Ordini[[#This Row],[Price]]=""),"",IF(Registro_Ordini[[#This Row],[Tipo]]="Sell",Registro_Ordini[[#This Row],[Prezzo]]/Registro_Ordini[[#This Row],[Price]]-1,Registro_Ordini[[#This Row],[Price]]/Registro_Ordini[[#This Row],[Prezzo]]-1))</f>
        <v>0.18727598566308257</v>
      </c>
      <c r="P1119" s="15">
        <v>-1.9146687601432365E-2</v>
      </c>
      <c r="Q1119" s="3">
        <v>0.30699210634020768</v>
      </c>
      <c r="R1119" s="3">
        <v>0.25721772526874059</v>
      </c>
      <c r="S1119" s="3">
        <v>0.31276592256228608</v>
      </c>
      <c r="T1119" s="3"/>
      <c r="U1119" s="3">
        <v>0.12302424582876578</v>
      </c>
      <c r="V1119" s="3"/>
      <c r="W1119" s="4"/>
    </row>
    <row r="1120" spans="1:23" s="1" customFormat="1" ht="24.95" customHeight="1" x14ac:dyDescent="0.2">
      <c r="A1120" s="8">
        <v>45392</v>
      </c>
      <c r="B1120" s="7">
        <v>0.72569444444444442</v>
      </c>
      <c r="C1120" s="9" t="s">
        <v>367</v>
      </c>
      <c r="D1120" s="1" t="s">
        <v>388</v>
      </c>
      <c r="E1120" s="1" t="s">
        <v>397</v>
      </c>
      <c r="F1120" s="1" t="s">
        <v>485</v>
      </c>
      <c r="G1120" s="1" t="s">
        <v>365</v>
      </c>
      <c r="H1120" s="2">
        <v>-600</v>
      </c>
      <c r="I1120" s="17">
        <v>79.5</v>
      </c>
      <c r="J1120" s="1" t="s">
        <v>369</v>
      </c>
      <c r="K1120" s="6">
        <f>Registro_Ordini[[#This Row],[Numero]]*Registro_Ordini[[#This Row],[Prezzo]]</f>
        <v>-47700</v>
      </c>
      <c r="L1120" s="10">
        <v>1</v>
      </c>
      <c r="M1120" s="6">
        <f>Registro_Ordini[[#This Row],[Importo]]*Registro_Ordini[[#This Row],[Cambio]]</f>
        <v>-47700</v>
      </c>
      <c r="N1120" s="1">
        <f ca="1">IFERROR(_xlfn.NUMBERVALUE(OFFSET(Origine,MATCH(Registro_Ordini[[#This Row],[Titolo]],Descrizioni,0),MATCH("Price",Intestazioni,0)-1,1,1)),"")</f>
        <v>66.959999999999994</v>
      </c>
      <c r="O1120" s="18">
        <f ca="1">IF(OR(Registro_Ordini[[#This Row],[Price]]=0,Registro_Ordini[[#This Row],[Price]]=""),"",IF(Registro_Ordini[[#This Row],[Tipo]]="Sell",Registro_Ordini[[#This Row],[Prezzo]]/Registro_Ordini[[#This Row],[Price]]-1,Registro_Ordini[[#This Row],[Price]]/Registro_Ordini[[#This Row],[Prezzo]]-1))</f>
        <v>0.18727598566308257</v>
      </c>
      <c r="P1120" s="15">
        <v>-1.6694643056162691E-2</v>
      </c>
      <c r="Q1120" s="3">
        <v>0.11478360975867971</v>
      </c>
      <c r="R1120" s="3">
        <v>0.48003947020047433</v>
      </c>
      <c r="S1120" s="3">
        <v>0.34563316469420025</v>
      </c>
      <c r="T1120" s="3"/>
      <c r="U1120" s="3">
        <v>5.9543755346645764E-2</v>
      </c>
      <c r="V1120" s="3"/>
      <c r="W1120" s="4"/>
    </row>
    <row r="1121" spans="1:23" s="1" customFormat="1" ht="24.95" customHeight="1" x14ac:dyDescent="0.2">
      <c r="A1121" s="8">
        <v>45392</v>
      </c>
      <c r="B1121" s="7">
        <v>0.72499999999999998</v>
      </c>
      <c r="C1121" s="9" t="s">
        <v>156</v>
      </c>
      <c r="D1121" s="1" t="s">
        <v>388</v>
      </c>
      <c r="E1121" s="1" t="s">
        <v>389</v>
      </c>
      <c r="F1121" s="1" t="s">
        <v>414</v>
      </c>
      <c r="G1121" s="1" t="s">
        <v>365</v>
      </c>
      <c r="H1121" s="2">
        <v>-160</v>
      </c>
      <c r="I1121" s="17">
        <v>102.33</v>
      </c>
      <c r="J1121" s="1" t="s">
        <v>366</v>
      </c>
      <c r="K1121" s="6">
        <f>Registro_Ordini[[#This Row],[Numero]]*Registro_Ordini[[#This Row],[Prezzo]]</f>
        <v>-16372.8</v>
      </c>
      <c r="L1121" s="10">
        <v>0.91174999999999995</v>
      </c>
      <c r="M1121" s="6">
        <f>Registro_Ordini[[#This Row],[Importo]]*Registro_Ordini[[#This Row],[Cambio]]</f>
        <v>-14927.900399999999</v>
      </c>
      <c r="N1121" s="1">
        <f ca="1">IFERROR(_xlfn.NUMBERVALUE(OFFSET(Origine,MATCH(Registro_Ordini[[#This Row],[Titolo]],Descrizioni,0),MATCH("Price",Intestazioni,0)-1,1,1)),"")</f>
        <v>137.36000000000001</v>
      </c>
      <c r="O1121" s="18">
        <f ca="1">IF(OR(Registro_Ordini[[#This Row],[Price]]=0,Registro_Ordini[[#This Row],[Price]]=""),"",IF(Registro_Ordini[[#This Row],[Tipo]]="Sell",Registro_Ordini[[#This Row],[Prezzo]]/Registro_Ordini[[#This Row],[Price]]-1,Registro_Ordini[[#This Row],[Price]]/Registro_Ordini[[#This Row],[Prezzo]]-1))</f>
        <v>-0.25502329644729183</v>
      </c>
      <c r="P1121" s="15">
        <v>-2.3194956015751448E-2</v>
      </c>
      <c r="Q1121" s="3">
        <v>0.28379715032445618</v>
      </c>
      <c r="R1121" s="3">
        <v>0.25721772526874054</v>
      </c>
      <c r="S1121" s="3">
        <v>0.33596087857803747</v>
      </c>
      <c r="T1121" s="3"/>
      <c r="U1121" s="3">
        <v>0.12302424582876577</v>
      </c>
      <c r="V1121" s="3"/>
      <c r="W1121" s="4"/>
    </row>
    <row r="1122" spans="1:23" s="1" customFormat="1" ht="24.95" customHeight="1" x14ac:dyDescent="0.2">
      <c r="A1122" s="8">
        <v>45392</v>
      </c>
      <c r="B1122" s="7">
        <v>0.67986111111111114</v>
      </c>
      <c r="C1122" s="9" t="s">
        <v>383</v>
      </c>
      <c r="D1122" s="1" t="s">
        <v>388</v>
      </c>
      <c r="E1122" s="1" t="s">
        <v>389</v>
      </c>
      <c r="F1122" s="1" t="s">
        <v>510</v>
      </c>
      <c r="G1122" s="1" t="s">
        <v>365</v>
      </c>
      <c r="H1122" s="2">
        <v>-15</v>
      </c>
      <c r="I1122" s="17">
        <v>1023.22</v>
      </c>
      <c r="J1122" s="1" t="s">
        <v>366</v>
      </c>
      <c r="K1122" s="6">
        <f>Registro_Ordini[[#This Row],[Numero]]*Registro_Ordini[[#This Row],[Prezzo]]</f>
        <v>-15348.300000000001</v>
      </c>
      <c r="L1122" s="10">
        <v>0.92989693875989932</v>
      </c>
      <c r="M1122" s="6">
        <f>Registro_Ordini[[#This Row],[Importo]]*Registro_Ordini[[#This Row],[Cambio]]</f>
        <v>-14272.337185168564</v>
      </c>
      <c r="N1122" s="1">
        <f ca="1">IFERROR(_xlfn.NUMBERVALUE(OFFSET(Origine,MATCH(Registro_Ordini[[#This Row],[Titolo]],Descrizioni,0),MATCH("Price",Intestazioni,0)-1,1,1)),"")</f>
        <v>1410</v>
      </c>
      <c r="O1122" s="18">
        <f ca="1">IF(OR(Registro_Ordini[[#This Row],[Price]]=0,Registro_Ordini[[#This Row],[Price]]=""),"",IF(Registro_Ordini[[#This Row],[Tipo]]="Sell",Registro_Ordini[[#This Row],[Prezzo]]/Registro_Ordini[[#This Row],[Price]]-1,Registro_Ordini[[#This Row],[Price]]/Registro_Ordini[[#This Row],[Prezzo]]-1))</f>
        <v>-0.27431205673758863</v>
      </c>
      <c r="P1122" s="15">
        <v>-2.4289999285931632E-2</v>
      </c>
      <c r="Q1122" s="3">
        <v>0.17722949654808723</v>
      </c>
      <c r="R1122" s="3">
        <v>0.28361279473099565</v>
      </c>
      <c r="S1122" s="3">
        <v>0.4322602991166728</v>
      </c>
      <c r="T1122" s="3">
        <v>0</v>
      </c>
      <c r="U1122" s="3">
        <v>0.10689740960424456</v>
      </c>
      <c r="V1122" s="3"/>
      <c r="W1122" s="4"/>
    </row>
    <row r="1123" spans="1:23" s="1" customFormat="1" ht="24.95" customHeight="1" x14ac:dyDescent="0.2">
      <c r="A1123" s="8">
        <v>45392</v>
      </c>
      <c r="B1123" s="7">
        <v>0.67986111111111114</v>
      </c>
      <c r="C1123" s="9" t="s">
        <v>382</v>
      </c>
      <c r="D1123" s="1" t="s">
        <v>388</v>
      </c>
      <c r="E1123" s="1" t="s">
        <v>389</v>
      </c>
      <c r="F1123" s="1" t="s">
        <v>510</v>
      </c>
      <c r="G1123" s="1" t="s">
        <v>365</v>
      </c>
      <c r="H1123" s="2">
        <v>-30</v>
      </c>
      <c r="I1123" s="17">
        <v>1023.22</v>
      </c>
      <c r="J1123" s="1" t="s">
        <v>366</v>
      </c>
      <c r="K1123" s="6">
        <f>Registro_Ordini[[#This Row],[Numero]]*Registro_Ordini[[#This Row],[Prezzo]]</f>
        <v>-30696.600000000002</v>
      </c>
      <c r="L1123" s="10">
        <v>0.92989693875989932</v>
      </c>
      <c r="M1123" s="6">
        <f>Registro_Ordini[[#This Row],[Importo]]*Registro_Ordini[[#This Row],[Cambio]]</f>
        <v>-28544.674370337128</v>
      </c>
      <c r="N1123" s="1">
        <f ca="1">IFERROR(_xlfn.NUMBERVALUE(OFFSET(Origine,MATCH(Registro_Ordini[[#This Row],[Titolo]],Descrizioni,0),MATCH("Price",Intestazioni,0)-1,1,1)),"")</f>
        <v>1410</v>
      </c>
      <c r="O1123" s="18">
        <f ca="1">IF(OR(Registro_Ordini[[#This Row],[Price]]=0,Registro_Ordini[[#This Row],[Price]]=""),"",IF(Registro_Ordini[[#This Row],[Tipo]]="Sell",Registro_Ordini[[#This Row],[Prezzo]]/Registro_Ordini[[#This Row],[Price]]-1,Registro_Ordini[[#This Row],[Price]]/Registro_Ordini[[#This Row],[Prezzo]]-1))</f>
        <v>-0.27431205673758863</v>
      </c>
      <c r="P1123" s="15">
        <v>-2.8429062359869507E-2</v>
      </c>
      <c r="Q1123" s="3">
        <v>0.14497963950416978</v>
      </c>
      <c r="R1123" s="3">
        <v>0.27296872547624601</v>
      </c>
      <c r="S1123" s="3">
        <v>0.47490622879750788</v>
      </c>
      <c r="T1123" s="3">
        <v>0</v>
      </c>
      <c r="U1123" s="3">
        <v>0.10714540622207636</v>
      </c>
      <c r="V1123" s="3"/>
      <c r="W1123" s="4"/>
    </row>
    <row r="1124" spans="1:23" s="1" customFormat="1" ht="24.95" customHeight="1" x14ac:dyDescent="0.2">
      <c r="A1124" s="8">
        <v>45392</v>
      </c>
      <c r="B1124" s="7">
        <v>0.67986111111111114</v>
      </c>
      <c r="C1124" s="9" t="s">
        <v>106</v>
      </c>
      <c r="D1124" s="1" t="s">
        <v>388</v>
      </c>
      <c r="E1124" s="1" t="s">
        <v>389</v>
      </c>
      <c r="F1124" s="1" t="s">
        <v>510</v>
      </c>
      <c r="G1124" s="1" t="s">
        <v>365</v>
      </c>
      <c r="H1124" s="2">
        <v>-5</v>
      </c>
      <c r="I1124" s="17">
        <v>1023.22</v>
      </c>
      <c r="J1124" s="1" t="s">
        <v>366</v>
      </c>
      <c r="K1124" s="6">
        <f>Registro_Ordini[[#This Row],[Numero]]*Registro_Ordini[[#This Row],[Prezzo]]</f>
        <v>-5116.1000000000004</v>
      </c>
      <c r="L1124" s="10">
        <v>0.92989693875989932</v>
      </c>
      <c r="M1124" s="6">
        <f>Registro_Ordini[[#This Row],[Importo]]*Registro_Ordini[[#This Row],[Cambio]]</f>
        <v>-4757.4457283895208</v>
      </c>
      <c r="N1124" s="1">
        <f ca="1">IFERROR(_xlfn.NUMBERVALUE(OFFSET(Origine,MATCH(Registro_Ordini[[#This Row],[Titolo]],Descrizioni,0),MATCH("Price",Intestazioni,0)-1,1,1)),"")</f>
        <v>1410</v>
      </c>
      <c r="O1124" s="18">
        <f ca="1">IF(OR(Registro_Ordini[[#This Row],[Price]]=0,Registro_Ordini[[#This Row],[Price]]=""),"",IF(Registro_Ordini[[#This Row],[Tipo]]="Sell",Registro_Ordini[[#This Row],[Prezzo]]/Registro_Ordini[[#This Row],[Price]]-1,Registro_Ordini[[#This Row],[Price]]/Registro_Ordini[[#This Row],[Prezzo]]-1))</f>
        <v>-0.27431205673758863</v>
      </c>
      <c r="P1124" s="15">
        <v>-3.6918807951256641E-2</v>
      </c>
      <c r="Q1124" s="3">
        <v>0.21415925464450755</v>
      </c>
      <c r="R1124" s="3">
        <v>0.24776730566762423</v>
      </c>
      <c r="S1124" s="3">
        <v>0.42137936460002573</v>
      </c>
      <c r="T1124" s="3">
        <v>0</v>
      </c>
      <c r="U1124" s="3">
        <v>0.11669407508784255</v>
      </c>
      <c r="V1124" s="3"/>
      <c r="W1124" s="4"/>
    </row>
    <row r="1125" spans="1:23" s="1" customFormat="1" ht="24.95" customHeight="1" x14ac:dyDescent="0.2">
      <c r="A1125" s="8">
        <v>45392</v>
      </c>
      <c r="B1125" s="7">
        <v>0.67986111111111114</v>
      </c>
      <c r="C1125" s="9" t="s">
        <v>379</v>
      </c>
      <c r="D1125" s="1" t="s">
        <v>388</v>
      </c>
      <c r="E1125" s="1" t="s">
        <v>389</v>
      </c>
      <c r="F1125" s="1" t="s">
        <v>510</v>
      </c>
      <c r="G1125" s="1" t="s">
        <v>365</v>
      </c>
      <c r="H1125" s="2">
        <v>-15</v>
      </c>
      <c r="I1125" s="17">
        <v>1023.22</v>
      </c>
      <c r="J1125" s="1" t="s">
        <v>366</v>
      </c>
      <c r="K1125" s="6">
        <f>Registro_Ordini[[#This Row],[Numero]]*Registro_Ordini[[#This Row],[Prezzo]]</f>
        <v>-15348.300000000001</v>
      </c>
      <c r="L1125" s="10">
        <v>0.92989693875989932</v>
      </c>
      <c r="M1125" s="6">
        <f>Registro_Ordini[[#This Row],[Importo]]*Registro_Ordini[[#This Row],[Cambio]]</f>
        <v>-14272.337185168564</v>
      </c>
      <c r="N1125" s="1">
        <f ca="1">IFERROR(_xlfn.NUMBERVALUE(OFFSET(Origine,MATCH(Registro_Ordini[[#This Row],[Titolo]],Descrizioni,0),MATCH("Price",Intestazioni,0)-1,1,1)),"")</f>
        <v>1410</v>
      </c>
      <c r="O1125" s="18">
        <f ca="1">IF(OR(Registro_Ordini[[#This Row],[Price]]=0,Registro_Ordini[[#This Row],[Price]]=""),"",IF(Registro_Ordini[[#This Row],[Tipo]]="Sell",Registro_Ordini[[#This Row],[Prezzo]]/Registro_Ordini[[#This Row],[Price]]-1,Registro_Ordini[[#This Row],[Price]]/Registro_Ordini[[#This Row],[Prezzo]]-1))</f>
        <v>-0.27431205673758863</v>
      </c>
      <c r="P1125" s="15">
        <v>-2.6458986925631211E-2</v>
      </c>
      <c r="Q1125" s="3">
        <v>0.14475655853067476</v>
      </c>
      <c r="R1125" s="3">
        <v>0.29618117153858159</v>
      </c>
      <c r="S1125" s="3">
        <v>0.4517728130561055</v>
      </c>
      <c r="T1125" s="3">
        <v>0</v>
      </c>
      <c r="U1125" s="3">
        <v>0.10728945687463808</v>
      </c>
      <c r="V1125" s="3"/>
      <c r="W1125" s="4"/>
    </row>
    <row r="1126" spans="1:23" s="1" customFormat="1" ht="24.95" customHeight="1" x14ac:dyDescent="0.2">
      <c r="A1126" s="8">
        <v>45392</v>
      </c>
      <c r="B1126" s="7">
        <v>0.67847222222222225</v>
      </c>
      <c r="C1126" s="9" t="s">
        <v>367</v>
      </c>
      <c r="D1126" s="1" t="s">
        <v>388</v>
      </c>
      <c r="E1126" s="1" t="s">
        <v>389</v>
      </c>
      <c r="F1126" s="1" t="s">
        <v>530</v>
      </c>
      <c r="G1126" s="1" t="s">
        <v>365</v>
      </c>
      <c r="H1126" s="2">
        <v>-280</v>
      </c>
      <c r="I1126" s="17">
        <v>456.43</v>
      </c>
      <c r="J1126" s="1" t="s">
        <v>366</v>
      </c>
      <c r="K1126" s="6">
        <f>Registro_Ordini[[#This Row],[Numero]]*Registro_Ordini[[#This Row],[Prezzo]]</f>
        <v>-127800.40000000001</v>
      </c>
      <c r="L1126" s="10">
        <v>0.91174999999999995</v>
      </c>
      <c r="M1126" s="6">
        <f>Registro_Ordini[[#This Row],[Importo]]*Registro_Ordini[[#This Row],[Cambio]]</f>
        <v>-116522.0147</v>
      </c>
      <c r="N1126" s="1" t="str">
        <f ca="1">IFERROR(_xlfn.NUMBERVALUE(OFFSET(Origine,MATCH(Registro_Ordini[[#This Row],[Titolo]],Descrizioni,0),MATCH("Price",Intestazioni,0)-1,1,1)),"")</f>
        <v/>
      </c>
      <c r="O1126" s="18" t="str">
        <f ca="1">IF(OR(Registro_Ordini[[#This Row],[Price]]=0,Registro_Ordini[[#This Row],[Price]]=""),"",IF(Registro_Ordini[[#This Row],[Tipo]]="Sell",Registro_Ordini[[#This Row],[Prezzo]]/Registro_Ordini[[#This Row],[Price]]-1,Registro_Ordini[[#This Row],[Price]]/Registro_Ordini[[#This Row],[Prezzo]]-1))</f>
        <v/>
      </c>
      <c r="P1126" s="15">
        <v>-4.078183319919166E-2</v>
      </c>
      <c r="Q1126" s="3">
        <v>7.4001776559488031E-2</v>
      </c>
      <c r="R1126" s="3">
        <v>0.48003947020047433</v>
      </c>
      <c r="S1126" s="3">
        <v>0.38641499789339195</v>
      </c>
      <c r="T1126" s="3">
        <v>0</v>
      </c>
      <c r="U1126" s="3">
        <v>5.9543755346645764E-2</v>
      </c>
      <c r="V1126" s="3"/>
      <c r="W1126" s="4"/>
    </row>
    <row r="1127" spans="1:23" s="1" customFormat="1" ht="24.95" customHeight="1" x14ac:dyDescent="0.2">
      <c r="A1127" s="8">
        <v>45392</v>
      </c>
      <c r="B1127" s="7">
        <v>0.67708333333333337</v>
      </c>
      <c r="C1127" s="9" t="s">
        <v>375</v>
      </c>
      <c r="D1127" s="1" t="s">
        <v>388</v>
      </c>
      <c r="E1127" s="1" t="s">
        <v>389</v>
      </c>
      <c r="F1127" s="1" t="s">
        <v>510</v>
      </c>
      <c r="G1127" s="1" t="s">
        <v>365</v>
      </c>
      <c r="H1127" s="2">
        <v>-20</v>
      </c>
      <c r="I1127" s="17">
        <v>1023.22</v>
      </c>
      <c r="J1127" s="1" t="s">
        <v>366</v>
      </c>
      <c r="K1127" s="6">
        <f>Registro_Ordini[[#This Row],[Numero]]*Registro_Ordini[[#This Row],[Prezzo]]</f>
        <v>-20464.400000000001</v>
      </c>
      <c r="L1127" s="10">
        <v>0.91174999999999995</v>
      </c>
      <c r="M1127" s="6">
        <f>Registro_Ordini[[#This Row],[Importo]]*Registro_Ordini[[#This Row],[Cambio]]</f>
        <v>-18658.416700000002</v>
      </c>
      <c r="N1127" s="1">
        <f ca="1">IFERROR(_xlfn.NUMBERVALUE(OFFSET(Origine,MATCH(Registro_Ordini[[#This Row],[Titolo]],Descrizioni,0),MATCH("Price",Intestazioni,0)-1,1,1)),"")</f>
        <v>1410</v>
      </c>
      <c r="O1127" s="18">
        <f ca="1">IF(OR(Registro_Ordini[[#This Row],[Price]]=0,Registro_Ordini[[#This Row],[Price]]=""),"",IF(Registro_Ordini[[#This Row],[Tipo]]="Sell",Registro_Ordini[[#This Row],[Prezzo]]/Registro_Ordini[[#This Row],[Price]]-1,Registro_Ordini[[#This Row],[Price]]/Registro_Ordini[[#This Row],[Prezzo]]-1))</f>
        <v>-0.27431205673758863</v>
      </c>
      <c r="P1127" s="15">
        <v>-2.4870423506800198E-2</v>
      </c>
      <c r="Q1127" s="3">
        <v>0.13369821608232718</v>
      </c>
      <c r="R1127" s="3">
        <v>0.3815987507391258</v>
      </c>
      <c r="S1127" s="3">
        <v>0.37959545341464374</v>
      </c>
      <c r="T1127" s="3">
        <v>0</v>
      </c>
      <c r="U1127" s="3">
        <v>0.10510757976390328</v>
      </c>
      <c r="V1127" s="3"/>
      <c r="W1127" s="4"/>
    </row>
    <row r="1128" spans="1:23" s="1" customFormat="1" ht="24.95" customHeight="1" x14ac:dyDescent="0.2">
      <c r="A1128" s="8">
        <v>45392</v>
      </c>
      <c r="B1128" s="7">
        <v>0.67708333333333337</v>
      </c>
      <c r="C1128" s="9" t="s">
        <v>377</v>
      </c>
      <c r="D1128" s="1" t="s">
        <v>388</v>
      </c>
      <c r="E1128" s="1" t="s">
        <v>389</v>
      </c>
      <c r="F1128" s="1" t="s">
        <v>510</v>
      </c>
      <c r="G1128" s="1" t="s">
        <v>365</v>
      </c>
      <c r="H1128" s="2">
        <v>-50</v>
      </c>
      <c r="I1128" s="17">
        <v>1023.22</v>
      </c>
      <c r="J1128" s="1" t="s">
        <v>366</v>
      </c>
      <c r="K1128" s="6">
        <f>Registro_Ordini[[#This Row],[Numero]]*Registro_Ordini[[#This Row],[Prezzo]]</f>
        <v>-51161</v>
      </c>
      <c r="L1128" s="10">
        <v>0.91174999999999995</v>
      </c>
      <c r="M1128" s="6">
        <f>Registro_Ordini[[#This Row],[Importo]]*Registro_Ordini[[#This Row],[Cambio]]</f>
        <v>-46646.041749999997</v>
      </c>
      <c r="N1128" s="1">
        <f ca="1">IFERROR(_xlfn.NUMBERVALUE(OFFSET(Origine,MATCH(Registro_Ordini[[#This Row],[Titolo]],Descrizioni,0),MATCH("Price",Intestazioni,0)-1,1,1)),"")</f>
        <v>1410</v>
      </c>
      <c r="O1128" s="18">
        <f ca="1">IF(OR(Registro_Ordini[[#This Row],[Price]]=0,Registro_Ordini[[#This Row],[Price]]=""),"",IF(Registro_Ordini[[#This Row],[Tipo]]="Sell",Registro_Ordini[[#This Row],[Prezzo]]/Registro_Ordini[[#This Row],[Price]]-1,Registro_Ordini[[#This Row],[Price]]/Registro_Ordini[[#This Row],[Prezzo]]-1))</f>
        <v>-0.27431205673758863</v>
      </c>
      <c r="P1128" s="15">
        <v>-3.135410547477728E-2</v>
      </c>
      <c r="Q1128" s="3">
        <v>0.13781873020732857</v>
      </c>
      <c r="R1128" s="3">
        <v>0.34067336707235002</v>
      </c>
      <c r="S1128" s="3">
        <v>0.41286655413851714</v>
      </c>
      <c r="T1128" s="3">
        <v>0</v>
      </c>
      <c r="U1128" s="3">
        <v>0.10864134858180413</v>
      </c>
      <c r="V1128" s="3"/>
      <c r="W1128" s="4"/>
    </row>
    <row r="1129" spans="1:23" s="1" customFormat="1" ht="24.95" customHeight="1" x14ac:dyDescent="0.2">
      <c r="A1129" s="8">
        <v>45392</v>
      </c>
      <c r="B1129" s="7">
        <v>0.67708333333333337</v>
      </c>
      <c r="C1129" s="9" t="s">
        <v>376</v>
      </c>
      <c r="D1129" s="1" t="s">
        <v>388</v>
      </c>
      <c r="E1129" s="1" t="s">
        <v>389</v>
      </c>
      <c r="F1129" s="1" t="s">
        <v>510</v>
      </c>
      <c r="G1129" s="1" t="s">
        <v>365</v>
      </c>
      <c r="H1129" s="2">
        <v>-10</v>
      </c>
      <c r="I1129" s="17">
        <v>1023.22</v>
      </c>
      <c r="J1129" s="1" t="s">
        <v>366</v>
      </c>
      <c r="K1129" s="6">
        <f>Registro_Ordini[[#This Row],[Numero]]*Registro_Ordini[[#This Row],[Prezzo]]</f>
        <v>-10232.200000000001</v>
      </c>
      <c r="L1129" s="10">
        <v>0.91174999999999995</v>
      </c>
      <c r="M1129" s="6">
        <f>Registro_Ordini[[#This Row],[Importo]]*Registro_Ordini[[#This Row],[Cambio]]</f>
        <v>-9329.2083500000008</v>
      </c>
      <c r="N1129" s="1">
        <f ca="1">IFERROR(_xlfn.NUMBERVALUE(OFFSET(Origine,MATCH(Registro_Ordini[[#This Row],[Titolo]],Descrizioni,0),MATCH("Price",Intestazioni,0)-1,1,1)),"")</f>
        <v>1410</v>
      </c>
      <c r="O1129" s="18">
        <f ca="1">IF(OR(Registro_Ordini[[#This Row],[Price]]=0,Registro_Ordini[[#This Row],[Price]]=""),"",IF(Registro_Ordini[[#This Row],[Tipo]]="Sell",Registro_Ordini[[#This Row],[Prezzo]]/Registro_Ordini[[#This Row],[Price]]-1,Registro_Ordini[[#This Row],[Price]]/Registro_Ordini[[#This Row],[Prezzo]]-1))</f>
        <v>-0.27431205673758863</v>
      </c>
      <c r="P1129" s="15">
        <v>-3.5026073710986316E-2</v>
      </c>
      <c r="Q1129" s="3">
        <v>8.5149581502220226E-2</v>
      </c>
      <c r="R1129" s="3">
        <v>0.36210583733506702</v>
      </c>
      <c r="S1129" s="3">
        <v>0.42855927557840018</v>
      </c>
      <c r="T1129" s="3">
        <v>0</v>
      </c>
      <c r="U1129" s="3">
        <v>0.12418530558431272</v>
      </c>
      <c r="V1129" s="3"/>
      <c r="W1129" s="4"/>
    </row>
    <row r="1130" spans="1:23" s="1" customFormat="1" ht="24.95" customHeight="1" x14ac:dyDescent="0.2">
      <c r="A1130" s="8">
        <v>45392</v>
      </c>
      <c r="B1130" s="7">
        <v>0.67708333333333337</v>
      </c>
      <c r="C1130" s="9" t="s">
        <v>367</v>
      </c>
      <c r="D1130" s="1" t="s">
        <v>388</v>
      </c>
      <c r="E1130" s="1" t="s">
        <v>389</v>
      </c>
      <c r="F1130" s="1" t="s">
        <v>510</v>
      </c>
      <c r="G1130" s="1" t="s">
        <v>365</v>
      </c>
      <c r="H1130" s="2">
        <v>-75</v>
      </c>
      <c r="I1130" s="17">
        <v>1023.22</v>
      </c>
      <c r="J1130" s="1" t="s">
        <v>366</v>
      </c>
      <c r="K1130" s="6">
        <f>Registro_Ordini[[#This Row],[Numero]]*Registro_Ordini[[#This Row],[Prezzo]]</f>
        <v>-76741.5</v>
      </c>
      <c r="L1130" s="10">
        <v>0.91174999999999995</v>
      </c>
      <c r="M1130" s="6">
        <f>Registro_Ordini[[#This Row],[Importo]]*Registro_Ordini[[#This Row],[Cambio]]</f>
        <v>-69969.062624999991</v>
      </c>
      <c r="N1130" s="1">
        <f ca="1">IFERROR(_xlfn.NUMBERVALUE(OFFSET(Origine,MATCH(Registro_Ordini[[#This Row],[Titolo]],Descrizioni,0),MATCH("Price",Intestazioni,0)-1,1,1)),"")</f>
        <v>1410</v>
      </c>
      <c r="O1130" s="18">
        <f ca="1">IF(OR(Registro_Ordini[[#This Row],[Price]]=0,Registro_Ordini[[#This Row],[Price]]=""),"",IF(Registro_Ordini[[#This Row],[Tipo]]="Sell",Registro_Ordini[[#This Row],[Prezzo]]/Registro_Ordini[[#This Row],[Price]]-1,Registro_Ordini[[#This Row],[Price]]/Registro_Ordini[[#This Row],[Prezzo]]-1))</f>
        <v>-0.27431205673758863</v>
      </c>
      <c r="P1130" s="15">
        <v>-2.4488648333305423E-2</v>
      </c>
      <c r="Q1130" s="3">
        <v>4.9513128226182618E-2</v>
      </c>
      <c r="R1130" s="3">
        <v>0.48003947020047433</v>
      </c>
      <c r="S1130" s="3">
        <v>0.41090364622669739</v>
      </c>
      <c r="T1130" s="3">
        <v>0</v>
      </c>
      <c r="U1130" s="3">
        <v>5.9543755346645764E-2</v>
      </c>
      <c r="V1130" s="3"/>
      <c r="W1130" s="4"/>
    </row>
    <row r="1131" spans="1:23" s="1" customFormat="1" ht="24.95" customHeight="1" x14ac:dyDescent="0.2">
      <c r="A1131" s="8">
        <v>45392</v>
      </c>
      <c r="B1131" s="7">
        <v>0.67638888888888893</v>
      </c>
      <c r="C1131" s="9" t="s">
        <v>378</v>
      </c>
      <c r="D1131" s="1" t="s">
        <v>388</v>
      </c>
      <c r="E1131" s="1" t="s">
        <v>389</v>
      </c>
      <c r="F1131" s="1" t="s">
        <v>510</v>
      </c>
      <c r="G1131" s="1" t="s">
        <v>365</v>
      </c>
      <c r="H1131" s="2">
        <v>-15</v>
      </c>
      <c r="I1131" s="17">
        <v>1023.22</v>
      </c>
      <c r="J1131" s="1" t="s">
        <v>366</v>
      </c>
      <c r="K1131" s="6">
        <f>Registro_Ordini[[#This Row],[Numero]]*Registro_Ordini[[#This Row],[Prezzo]]</f>
        <v>-15348.300000000001</v>
      </c>
      <c r="L1131" s="10">
        <v>0.91174999999999995</v>
      </c>
      <c r="M1131" s="6">
        <f>Registro_Ordini[[#This Row],[Importo]]*Registro_Ordini[[#This Row],[Cambio]]</f>
        <v>-13993.812524999999</v>
      </c>
      <c r="N1131" s="1">
        <f ca="1">IFERROR(_xlfn.NUMBERVALUE(OFFSET(Origine,MATCH(Registro_Ordini[[#This Row],[Titolo]],Descrizioni,0),MATCH("Price",Intestazioni,0)-1,1,1)),"")</f>
        <v>1410</v>
      </c>
      <c r="O1131" s="18">
        <f ca="1">IF(OR(Registro_Ordini[[#This Row],[Price]]=0,Registro_Ordini[[#This Row],[Price]]=""),"",IF(Registro_Ordini[[#This Row],[Tipo]]="Sell",Registro_Ordini[[#This Row],[Prezzo]]/Registro_Ordini[[#This Row],[Price]]-1,Registro_Ordini[[#This Row],[Price]]/Registro_Ordini[[#This Row],[Prezzo]]-1))</f>
        <v>-0.27431205673758863</v>
      </c>
      <c r="P1131" s="15">
        <v>-2.9017075166922066E-2</v>
      </c>
      <c r="Q1131" s="3">
        <v>0.1731693954924553</v>
      </c>
      <c r="R1131" s="3">
        <v>0.35104629553183392</v>
      </c>
      <c r="S1131" s="3">
        <v>0.3775701798682054</v>
      </c>
      <c r="T1131" s="3">
        <v>0</v>
      </c>
      <c r="U1131" s="3">
        <v>9.8214129107505405E-2</v>
      </c>
      <c r="V1131" s="3"/>
      <c r="W1131" s="4"/>
    </row>
    <row r="1132" spans="1:23" s="1" customFormat="1" ht="24.95" customHeight="1" x14ac:dyDescent="0.2">
      <c r="A1132" s="8">
        <v>45387</v>
      </c>
      <c r="B1132" s="7">
        <v>0.76041666666666663</v>
      </c>
      <c r="C1132" s="9" t="s">
        <v>383</v>
      </c>
      <c r="D1132" s="1" t="s">
        <v>388</v>
      </c>
      <c r="E1132" s="1" t="s">
        <v>389</v>
      </c>
      <c r="F1132" s="1" t="s">
        <v>531</v>
      </c>
      <c r="G1132" s="1" t="s">
        <v>365</v>
      </c>
      <c r="H1132" s="2">
        <v>-1300</v>
      </c>
      <c r="I1132" s="17">
        <v>8.1850000000000005</v>
      </c>
      <c r="J1132" s="1" t="s">
        <v>366</v>
      </c>
      <c r="K1132" s="6">
        <f>Registro_Ordini[[#This Row],[Numero]]*Registro_Ordini[[#This Row],[Prezzo]]</f>
        <v>-10640.5</v>
      </c>
      <c r="L1132" s="10">
        <v>0.92575834266402846</v>
      </c>
      <c r="M1132" s="6">
        <f>Registro_Ordini[[#This Row],[Importo]]*Registro_Ordini[[#This Row],[Cambio]]</f>
        <v>-9850.5316451165945</v>
      </c>
      <c r="N1132" s="1">
        <f ca="1">IFERROR(_xlfn.NUMBERVALUE(OFFSET(Origine,MATCH(Registro_Ordini[[#This Row],[Titolo]],Descrizioni,0),MATCH("Price",Intestazioni,0)-1,1,1)),"")</f>
        <v>10.435</v>
      </c>
      <c r="O1132" s="18">
        <f ca="1">IF(OR(Registro_Ordini[[#This Row],[Price]]=0,Registro_Ordini[[#This Row],[Price]]=""),"",IF(Registro_Ordini[[#This Row],[Tipo]]="Sell",Registro_Ordini[[#This Row],[Prezzo]]/Registro_Ordini[[#This Row],[Price]]-1,Registro_Ordini[[#This Row],[Price]]/Registro_Ordini[[#This Row],[Prezzo]]-1))</f>
        <v>-0.21562050790608533</v>
      </c>
      <c r="P1132" s="15">
        <v>-1.6808561991838864E-2</v>
      </c>
      <c r="Q1132" s="3">
        <v>0.16065707167191182</v>
      </c>
      <c r="R1132" s="3">
        <v>0.28462722162419307</v>
      </c>
      <c r="S1132" s="3">
        <v>0.44956323373742746</v>
      </c>
      <c r="T1132" s="3">
        <v>0</v>
      </c>
      <c r="U1132" s="3">
        <v>0.10515247296646774</v>
      </c>
      <c r="V1132" s="3"/>
      <c r="W1132" s="4"/>
    </row>
    <row r="1133" spans="1:23" s="1" customFormat="1" ht="24.95" customHeight="1" x14ac:dyDescent="0.2">
      <c r="A1133" s="8">
        <v>45387</v>
      </c>
      <c r="B1133" s="7">
        <v>0.76041666666666663</v>
      </c>
      <c r="C1133" s="9" t="s">
        <v>382</v>
      </c>
      <c r="D1133" s="1" t="s">
        <v>388</v>
      </c>
      <c r="E1133" s="1" t="s">
        <v>389</v>
      </c>
      <c r="F1133" s="1" t="s">
        <v>531</v>
      </c>
      <c r="G1133" s="1" t="s">
        <v>365</v>
      </c>
      <c r="H1133" s="2">
        <v>-2300</v>
      </c>
      <c r="I1133" s="17">
        <v>8.1850000000000005</v>
      </c>
      <c r="J1133" s="1" t="s">
        <v>366</v>
      </c>
      <c r="K1133" s="6">
        <f>Registro_Ordini[[#This Row],[Numero]]*Registro_Ordini[[#This Row],[Prezzo]]</f>
        <v>-18825.5</v>
      </c>
      <c r="L1133" s="10">
        <v>0.92575834266402846</v>
      </c>
      <c r="M1133" s="6">
        <f>Registro_Ordini[[#This Row],[Importo]]*Registro_Ordini[[#This Row],[Cambio]]</f>
        <v>-17427.863679821668</v>
      </c>
      <c r="N1133" s="1">
        <f ca="1">IFERROR(_xlfn.NUMBERVALUE(OFFSET(Origine,MATCH(Registro_Ordini[[#This Row],[Titolo]],Descrizioni,0),MATCH("Price",Intestazioni,0)-1,1,1)),"")</f>
        <v>10.435</v>
      </c>
      <c r="O1133" s="18">
        <f ca="1">IF(OR(Registro_Ordini[[#This Row],[Price]]=0,Registro_Ordini[[#This Row],[Price]]=""),"",IF(Registro_Ordini[[#This Row],[Tipo]]="Sell",Registro_Ordini[[#This Row],[Prezzo]]/Registro_Ordini[[#This Row],[Price]]-1,Registro_Ordini[[#This Row],[Price]]/Registro_Ordini[[#This Row],[Prezzo]]-1))</f>
        <v>-0.21562050790608533</v>
      </c>
      <c r="P1133" s="15">
        <v>-1.740154611078468E-2</v>
      </c>
      <c r="Q1133" s="3">
        <v>0.12772557405391691</v>
      </c>
      <c r="R1133" s="3">
        <v>0.27397074857319681</v>
      </c>
      <c r="S1133" s="3">
        <v>0.49285664078000097</v>
      </c>
      <c r="T1133" s="3">
        <v>0</v>
      </c>
      <c r="U1133" s="3">
        <v>0.10544703659288535</v>
      </c>
      <c r="V1133" s="3"/>
      <c r="W1133" s="4"/>
    </row>
    <row r="1134" spans="1:23" s="1" customFormat="1" ht="24.95" customHeight="1" x14ac:dyDescent="0.2">
      <c r="A1134" s="8">
        <v>45387</v>
      </c>
      <c r="B1134" s="7">
        <v>0.76041666666666663</v>
      </c>
      <c r="C1134" s="9" t="s">
        <v>379</v>
      </c>
      <c r="D1134" s="1" t="s">
        <v>388</v>
      </c>
      <c r="E1134" s="1" t="s">
        <v>389</v>
      </c>
      <c r="F1134" s="1" t="s">
        <v>531</v>
      </c>
      <c r="G1134" s="1" t="s">
        <v>365</v>
      </c>
      <c r="H1134" s="2">
        <v>-1200</v>
      </c>
      <c r="I1134" s="17">
        <v>8.1850000000000005</v>
      </c>
      <c r="J1134" s="1" t="s">
        <v>366</v>
      </c>
      <c r="K1134" s="6">
        <f>Registro_Ordini[[#This Row],[Numero]]*Registro_Ordini[[#This Row],[Prezzo]]</f>
        <v>-9822</v>
      </c>
      <c r="L1134" s="10">
        <v>0.92575834266402846</v>
      </c>
      <c r="M1134" s="6">
        <f>Registro_Ordini[[#This Row],[Importo]]*Registro_Ordini[[#This Row],[Cambio]]</f>
        <v>-9092.7984416460877</v>
      </c>
      <c r="N1134" s="1">
        <f ca="1">IFERROR(_xlfn.NUMBERVALUE(OFFSET(Origine,MATCH(Registro_Ordini[[#This Row],[Titolo]],Descrizioni,0),MATCH("Price",Intestazioni,0)-1,1,1)),"")</f>
        <v>10.435</v>
      </c>
      <c r="O1134" s="18">
        <f ca="1">IF(OR(Registro_Ordini[[#This Row],[Price]]=0,Registro_Ordini[[#This Row],[Price]]=""),"",IF(Registro_Ordini[[#This Row],[Tipo]]="Sell",Registro_Ordini[[#This Row],[Prezzo]]/Registro_Ordini[[#This Row],[Price]]-1,Registro_Ordini[[#This Row],[Price]]/Registro_Ordini[[#This Row],[Prezzo]]-1))</f>
        <v>-0.21562050790608533</v>
      </c>
      <c r="P1134" s="15">
        <v>-1.6890437256864142E-2</v>
      </c>
      <c r="Q1134" s="3">
        <v>0.1278927272680476</v>
      </c>
      <c r="R1134" s="3">
        <v>0.29702943838058848</v>
      </c>
      <c r="S1134" s="3">
        <v>0.4692791585253237</v>
      </c>
      <c r="T1134" s="3">
        <v>0</v>
      </c>
      <c r="U1134" s="3">
        <v>0.1057986758260402</v>
      </c>
      <c r="V1134" s="3"/>
      <c r="W1134" s="4"/>
    </row>
    <row r="1135" spans="1:23" s="1" customFormat="1" ht="24.95" customHeight="1" x14ac:dyDescent="0.2">
      <c r="A1135" s="8">
        <v>45387</v>
      </c>
      <c r="B1135" s="7">
        <v>0.69861111111111107</v>
      </c>
      <c r="C1135" s="9" t="s">
        <v>375</v>
      </c>
      <c r="D1135" s="1" t="s">
        <v>388</v>
      </c>
      <c r="E1135" s="1" t="s">
        <v>389</v>
      </c>
      <c r="F1135" s="1" t="s">
        <v>531</v>
      </c>
      <c r="G1135" s="1" t="s">
        <v>365</v>
      </c>
      <c r="H1135" s="2">
        <v>-1650</v>
      </c>
      <c r="I1135" s="17">
        <v>8.1850000000000005</v>
      </c>
      <c r="J1135" s="1" t="s">
        <v>366</v>
      </c>
      <c r="K1135" s="6">
        <f>Registro_Ordini[[#This Row],[Numero]]*Registro_Ordini[[#This Row],[Prezzo]]</f>
        <v>-13505.25</v>
      </c>
      <c r="L1135" s="10">
        <v>0.90534999999999999</v>
      </c>
      <c r="M1135" s="6">
        <f>Registro_Ordini[[#This Row],[Importo]]*Registro_Ordini[[#This Row],[Cambio]]</f>
        <v>-12226.9780875</v>
      </c>
      <c r="N1135" s="1">
        <f ca="1">IFERROR(_xlfn.NUMBERVALUE(OFFSET(Origine,MATCH(Registro_Ordini[[#This Row],[Titolo]],Descrizioni,0),MATCH("Price",Intestazioni,0)-1,1,1)),"")</f>
        <v>10.435</v>
      </c>
      <c r="O1135" s="18">
        <f ca="1">IF(OR(Registro_Ordini[[#This Row],[Price]]=0,Registro_Ordini[[#This Row],[Price]]=""),"",IF(Registro_Ordini[[#This Row],[Tipo]]="Sell",Registro_Ordini[[#This Row],[Prezzo]]/Registro_Ordini[[#This Row],[Price]]-1,Registro_Ordini[[#This Row],[Price]]/Registro_Ordini[[#This Row],[Prezzo]]-1))</f>
        <v>-0.21562050790608533</v>
      </c>
      <c r="P1135" s="15">
        <v>-1.5796927423214403E-2</v>
      </c>
      <c r="Q1135" s="3">
        <v>0.11341425809871543</v>
      </c>
      <c r="R1135" s="3">
        <v>0.40590251666025989</v>
      </c>
      <c r="S1135" s="3">
        <v>0.38093954702742061</v>
      </c>
      <c r="T1135" s="3">
        <v>0</v>
      </c>
      <c r="U1135" s="3">
        <v>9.9743678213603915E-2</v>
      </c>
      <c r="V1135" s="3"/>
      <c r="W1135" s="4"/>
    </row>
    <row r="1136" spans="1:23" s="1" customFormat="1" ht="24.95" customHeight="1" x14ac:dyDescent="0.2">
      <c r="A1136" s="8">
        <v>45387</v>
      </c>
      <c r="B1136" s="7">
        <v>0.69861111111111107</v>
      </c>
      <c r="C1136" s="9" t="s">
        <v>378</v>
      </c>
      <c r="D1136" s="1" t="s">
        <v>388</v>
      </c>
      <c r="E1136" s="1" t="s">
        <v>389</v>
      </c>
      <c r="F1136" s="1" t="s">
        <v>531</v>
      </c>
      <c r="G1136" s="1" t="s">
        <v>365</v>
      </c>
      <c r="H1136" s="2">
        <v>-1000</v>
      </c>
      <c r="I1136" s="17">
        <v>8.1850000000000005</v>
      </c>
      <c r="J1136" s="1" t="s">
        <v>366</v>
      </c>
      <c r="K1136" s="6">
        <f>Registro_Ordini[[#This Row],[Numero]]*Registro_Ordini[[#This Row],[Prezzo]]</f>
        <v>-8185.0000000000009</v>
      </c>
      <c r="L1136" s="10">
        <v>0.90534999999999999</v>
      </c>
      <c r="M1136" s="6">
        <f>Registro_Ordini[[#This Row],[Importo]]*Registro_Ordini[[#This Row],[Cambio]]</f>
        <v>-7410.2897500000008</v>
      </c>
      <c r="N1136" s="1">
        <f ca="1">IFERROR(_xlfn.NUMBERVALUE(OFFSET(Origine,MATCH(Registro_Ordini[[#This Row],[Titolo]],Descrizioni,0),MATCH("Price",Intestazioni,0)-1,1,1)),"")</f>
        <v>10.435</v>
      </c>
      <c r="O1136" s="18">
        <f ca="1">IF(OR(Registro_Ordini[[#This Row],[Price]]=0,Registro_Ordini[[#This Row],[Price]]=""),"",IF(Registro_Ordini[[#This Row],[Tipo]]="Sell",Registro_Ordini[[#This Row],[Prezzo]]/Registro_Ordini[[#This Row],[Price]]-1,Registro_Ordini[[#This Row],[Price]]/Registro_Ordini[[#This Row],[Prezzo]]-1))</f>
        <v>-0.21562050790608533</v>
      </c>
      <c r="P1136" s="15">
        <v>-1.4857873506893654E-2</v>
      </c>
      <c r="Q1136" s="3">
        <v>0.15218943742043786</v>
      </c>
      <c r="R1136" s="3">
        <v>0.37670216059617606</v>
      </c>
      <c r="S1136" s="3">
        <v>0.37751577285771504</v>
      </c>
      <c r="T1136" s="3">
        <v>0</v>
      </c>
      <c r="U1136" s="3">
        <v>9.3592629125671026E-2</v>
      </c>
      <c r="V1136" s="3"/>
      <c r="W1136" s="4"/>
    </row>
    <row r="1137" spans="1:23" s="1" customFormat="1" ht="24.95" customHeight="1" x14ac:dyDescent="0.2">
      <c r="A1137" s="8">
        <v>45387</v>
      </c>
      <c r="B1137" s="7">
        <v>0.69861111111111107</v>
      </c>
      <c r="C1137" s="9" t="s">
        <v>377</v>
      </c>
      <c r="D1137" s="1" t="s">
        <v>388</v>
      </c>
      <c r="E1137" s="1" t="s">
        <v>389</v>
      </c>
      <c r="F1137" s="1" t="s">
        <v>531</v>
      </c>
      <c r="G1137" s="1" t="s">
        <v>365</v>
      </c>
      <c r="H1137" s="2">
        <v>-3300</v>
      </c>
      <c r="I1137" s="17">
        <v>8.1850000000000005</v>
      </c>
      <c r="J1137" s="1" t="s">
        <v>366</v>
      </c>
      <c r="K1137" s="6">
        <f>Registro_Ordini[[#This Row],[Numero]]*Registro_Ordini[[#This Row],[Prezzo]]</f>
        <v>-27010.5</v>
      </c>
      <c r="L1137" s="10">
        <v>0.90534999999999999</v>
      </c>
      <c r="M1137" s="6">
        <f>Registro_Ordini[[#This Row],[Importo]]*Registro_Ordini[[#This Row],[Cambio]]</f>
        <v>-24453.956174999999</v>
      </c>
      <c r="N1137" s="1">
        <f ca="1">IFERROR(_xlfn.NUMBERVALUE(OFFSET(Origine,MATCH(Registro_Ordini[[#This Row],[Titolo]],Descrizioni,0),MATCH("Price",Intestazioni,0)-1,1,1)),"")</f>
        <v>10.435</v>
      </c>
      <c r="O1137" s="18">
        <f ca="1">IF(OR(Registro_Ordini[[#This Row],[Price]]=0,Registro_Ordini[[#This Row],[Price]]=""),"",IF(Registro_Ordini[[#This Row],[Tipo]]="Sell",Registro_Ordini[[#This Row],[Prezzo]]/Registro_Ordini[[#This Row],[Price]]-1,Registro_Ordini[[#This Row],[Price]]/Registro_Ordini[[#This Row],[Prezzo]]-1))</f>
        <v>-0.21562050790608533</v>
      </c>
      <c r="P1137" s="15">
        <v>-1.5887643824186067E-2</v>
      </c>
      <c r="Q1137" s="3">
        <v>0.11691267484631626</v>
      </c>
      <c r="R1137" s="3">
        <v>0.36853498349804215</v>
      </c>
      <c r="S1137" s="3">
        <v>0.41164466035403402</v>
      </c>
      <c r="T1137" s="3">
        <v>0</v>
      </c>
      <c r="U1137" s="3">
        <v>0.1029076813016075</v>
      </c>
      <c r="V1137" s="3"/>
      <c r="W1137" s="4"/>
    </row>
    <row r="1138" spans="1:23" s="1" customFormat="1" ht="24.95" customHeight="1" x14ac:dyDescent="0.2">
      <c r="A1138" s="8">
        <v>45387</v>
      </c>
      <c r="B1138" s="7">
        <v>0.69861111111111107</v>
      </c>
      <c r="C1138" s="9" t="s">
        <v>367</v>
      </c>
      <c r="D1138" s="1" t="s">
        <v>388</v>
      </c>
      <c r="E1138" s="1" t="s">
        <v>389</v>
      </c>
      <c r="F1138" s="1" t="s">
        <v>531</v>
      </c>
      <c r="G1138" s="1" t="s">
        <v>365</v>
      </c>
      <c r="H1138" s="2">
        <v>-5000</v>
      </c>
      <c r="I1138" s="17">
        <v>8.1850000000000005</v>
      </c>
      <c r="J1138" s="1" t="s">
        <v>366</v>
      </c>
      <c r="K1138" s="6">
        <f>Registro_Ordini[[#This Row],[Numero]]*Registro_Ordini[[#This Row],[Prezzo]]</f>
        <v>-40925</v>
      </c>
      <c r="L1138" s="10">
        <v>0.90534999999999999</v>
      </c>
      <c r="M1138" s="6">
        <f>Registro_Ordini[[#This Row],[Importo]]*Registro_Ordini[[#This Row],[Cambio]]</f>
        <v>-37051.448749999996</v>
      </c>
      <c r="N1138" s="1">
        <f ca="1">IFERROR(_xlfn.NUMBERVALUE(OFFSET(Origine,MATCH(Registro_Ordini[[#This Row],[Titolo]],Descrizioni,0),MATCH("Price",Intestazioni,0)-1,1,1)),"")</f>
        <v>10.435</v>
      </c>
      <c r="O1138" s="18">
        <f ca="1">IF(OR(Registro_Ordini[[#This Row],[Price]]=0,Registro_Ordini[[#This Row],[Price]]=""),"",IF(Registro_Ordini[[#This Row],[Tipo]]="Sell",Registro_Ordini[[#This Row],[Prezzo]]/Registro_Ordini[[#This Row],[Price]]-1,Registro_Ordini[[#This Row],[Price]]/Registro_Ordini[[#This Row],[Prezzo]]-1))</f>
        <v>-0.21562050790608533</v>
      </c>
      <c r="P1138" s="15">
        <v>-1.2588177788581175E-2</v>
      </c>
      <c r="Q1138" s="3">
        <v>3.5286805636695708E-2</v>
      </c>
      <c r="R1138" s="3">
        <v>0.49694094566263391</v>
      </c>
      <c r="S1138" s="3">
        <v>0.41116184046645732</v>
      </c>
      <c r="T1138" s="3">
        <v>0</v>
      </c>
      <c r="U1138" s="3">
        <v>5.661040823421324E-2</v>
      </c>
      <c r="V1138" s="3"/>
      <c r="W1138" s="4"/>
    </row>
    <row r="1139" spans="1:23" s="1" customFormat="1" ht="24.95" customHeight="1" x14ac:dyDescent="0.2">
      <c r="A1139" s="8">
        <v>45387</v>
      </c>
      <c r="B1139" s="7">
        <v>0.69791666666666663</v>
      </c>
      <c r="C1139" s="9" t="s">
        <v>78</v>
      </c>
      <c r="D1139" s="1" t="s">
        <v>388</v>
      </c>
      <c r="E1139" s="1" t="s">
        <v>389</v>
      </c>
      <c r="F1139" s="1" t="s">
        <v>531</v>
      </c>
      <c r="G1139" s="1" t="s">
        <v>365</v>
      </c>
      <c r="H1139" s="2">
        <v>-1000</v>
      </c>
      <c r="I1139" s="17">
        <v>8.1850000000000005</v>
      </c>
      <c r="J1139" s="1" t="s">
        <v>366</v>
      </c>
      <c r="K1139" s="6">
        <f>Registro_Ordini[[#This Row],[Numero]]*Registro_Ordini[[#This Row],[Prezzo]]</f>
        <v>-8185.0000000000009</v>
      </c>
      <c r="L1139" s="10">
        <v>0.90534999999999999</v>
      </c>
      <c r="M1139" s="6">
        <f>Registro_Ordini[[#This Row],[Importo]]*Registro_Ordini[[#This Row],[Cambio]]</f>
        <v>-7410.2897500000008</v>
      </c>
      <c r="N1139" s="1">
        <f ca="1">IFERROR(_xlfn.NUMBERVALUE(OFFSET(Origine,MATCH(Registro_Ordini[[#This Row],[Titolo]],Descrizioni,0),MATCH("Price",Intestazioni,0)-1,1,1)),"")</f>
        <v>10.435</v>
      </c>
      <c r="O1139" s="18">
        <f ca="1">IF(OR(Registro_Ordini[[#This Row],[Price]]=0,Registro_Ordini[[#This Row],[Price]]=""),"",IF(Registro_Ordini[[#This Row],[Tipo]]="Sell",Registro_Ordini[[#This Row],[Prezzo]]/Registro_Ordini[[#This Row],[Price]]-1,Registro_Ordini[[#This Row],[Price]]/Registro_Ordini[[#This Row],[Prezzo]]-1))</f>
        <v>-0.21562050790608533</v>
      </c>
      <c r="P1139" s="15">
        <v>-1.8550989527869776E-2</v>
      </c>
      <c r="Q1139" s="3">
        <v>0.19591769170045542</v>
      </c>
      <c r="R1139" s="3">
        <v>0.16573689533293565</v>
      </c>
      <c r="S1139" s="3">
        <v>0.55836470354963397</v>
      </c>
      <c r="T1139" s="3">
        <v>0</v>
      </c>
      <c r="U1139" s="3">
        <v>7.998070941697491E-2</v>
      </c>
      <c r="V1139" s="3"/>
      <c r="W1139" s="4"/>
    </row>
    <row r="1140" spans="1:23" s="1" customFormat="1" ht="24.95" customHeight="1" x14ac:dyDescent="0.2">
      <c r="A1140" s="8">
        <v>45387</v>
      </c>
      <c r="B1140" s="7">
        <v>0.68125000000000002</v>
      </c>
      <c r="C1140" s="9" t="s">
        <v>375</v>
      </c>
      <c r="D1140" s="1" t="s">
        <v>388</v>
      </c>
      <c r="E1140" s="1" t="s">
        <v>397</v>
      </c>
      <c r="F1140" s="1" t="s">
        <v>532</v>
      </c>
      <c r="G1140" s="1" t="s">
        <v>365</v>
      </c>
      <c r="H1140" s="2">
        <v>-90</v>
      </c>
      <c r="I1140" s="17">
        <v>122.5</v>
      </c>
      <c r="J1140" s="1" t="s">
        <v>369</v>
      </c>
      <c r="K1140" s="6">
        <f>Registro_Ordini[[#This Row],[Numero]]*Registro_Ordini[[#This Row],[Prezzo]]</f>
        <v>-11025</v>
      </c>
      <c r="L1140" s="10">
        <v>1</v>
      </c>
      <c r="M1140" s="6">
        <f>Registro_Ordini[[#This Row],[Importo]]*Registro_Ordini[[#This Row],[Cambio]]</f>
        <v>-11025</v>
      </c>
      <c r="N1140" s="1" t="str">
        <f ca="1">IFERROR(_xlfn.NUMBERVALUE(OFFSET(Origine,MATCH(Registro_Ordini[[#This Row],[Titolo]],Descrizioni,0),MATCH("Price",Intestazioni,0)-1,1,1)),"")</f>
        <v/>
      </c>
      <c r="O1140" s="18" t="str">
        <f ca="1">IF(OR(Registro_Ordini[[#This Row],[Price]]=0,Registro_Ordini[[#This Row],[Price]]=""),"",IF(Registro_Ordini[[#This Row],[Tipo]]="Sell",Registro_Ordini[[#This Row],[Prezzo]]/Registro_Ordini[[#This Row],[Price]]-1,Registro_Ordini[[#This Row],[Price]]/Registro_Ordini[[#This Row],[Prezzo]]-1))</f>
        <v/>
      </c>
      <c r="P1140" s="15">
        <v>-1.4244004004471789E-2</v>
      </c>
      <c r="Q1140" s="3">
        <v>9.917025409424364E-2</v>
      </c>
      <c r="R1140" s="3">
        <v>0.40590251666025989</v>
      </c>
      <c r="S1140" s="3">
        <v>0.3951835510318924</v>
      </c>
      <c r="T1140" s="3">
        <v>0</v>
      </c>
      <c r="U1140" s="3">
        <v>9.9743678213603915E-2</v>
      </c>
      <c r="V1140" s="3"/>
      <c r="W1140" s="4"/>
    </row>
    <row r="1141" spans="1:23" s="1" customFormat="1" ht="24.95" customHeight="1" x14ac:dyDescent="0.2">
      <c r="A1141" s="8">
        <v>45387</v>
      </c>
      <c r="B1141" s="7">
        <v>0.68125000000000002</v>
      </c>
      <c r="C1141" s="9" t="s">
        <v>367</v>
      </c>
      <c r="D1141" s="1" t="s">
        <v>388</v>
      </c>
      <c r="E1141" s="1" t="s">
        <v>397</v>
      </c>
      <c r="F1141" s="1" t="s">
        <v>532</v>
      </c>
      <c r="G1141" s="1" t="s">
        <v>365</v>
      </c>
      <c r="H1141" s="2">
        <v>-240</v>
      </c>
      <c r="I1141" s="17">
        <v>122.5</v>
      </c>
      <c r="J1141" s="1" t="s">
        <v>369</v>
      </c>
      <c r="K1141" s="6">
        <f>Registro_Ordini[[#This Row],[Numero]]*Registro_Ordini[[#This Row],[Prezzo]]</f>
        <v>-29400</v>
      </c>
      <c r="L1141" s="10">
        <v>1</v>
      </c>
      <c r="M1141" s="6">
        <f>Registro_Ordini[[#This Row],[Importo]]*Registro_Ordini[[#This Row],[Cambio]]</f>
        <v>-29400</v>
      </c>
      <c r="N1141" s="1" t="str">
        <f ca="1">IFERROR(_xlfn.NUMBERVALUE(OFFSET(Origine,MATCH(Registro_Ordini[[#This Row],[Titolo]],Descrizioni,0),MATCH("Price",Intestazioni,0)-1,1,1)),"")</f>
        <v/>
      </c>
      <c r="O1141" s="18" t="str">
        <f ca="1">IF(OR(Registro_Ordini[[#This Row],[Price]]=0,Registro_Ordini[[#This Row],[Price]]=""),"",IF(Registro_Ordini[[#This Row],[Tipo]]="Sell",Registro_Ordini[[#This Row],[Prezzo]]/Registro_Ordini[[#This Row],[Price]]-1,Registro_Ordini[[#This Row],[Price]]/Registro_Ordini[[#This Row],[Prezzo]]-1))</f>
        <v/>
      </c>
      <c r="P1141" s="15">
        <v>-9.9886087985773184E-3</v>
      </c>
      <c r="Q1141" s="3">
        <v>2.5298196838118393E-2</v>
      </c>
      <c r="R1141" s="3">
        <v>0.49694094566263391</v>
      </c>
      <c r="S1141" s="3">
        <v>0.42115044926503464</v>
      </c>
      <c r="T1141" s="3">
        <v>0</v>
      </c>
      <c r="U1141" s="3">
        <v>5.661040823421324E-2</v>
      </c>
      <c r="V1141" s="3"/>
      <c r="W1141" s="4"/>
    </row>
    <row r="1142" spans="1:23" s="1" customFormat="1" ht="24.95" customHeight="1" x14ac:dyDescent="0.2">
      <c r="A1142" s="8">
        <v>45387</v>
      </c>
      <c r="B1142" s="7">
        <v>0.68055555555555558</v>
      </c>
      <c r="C1142" s="9" t="s">
        <v>378</v>
      </c>
      <c r="D1142" s="1" t="s">
        <v>388</v>
      </c>
      <c r="E1142" s="1" t="s">
        <v>397</v>
      </c>
      <c r="F1142" s="1" t="s">
        <v>532</v>
      </c>
      <c r="G1142" s="1" t="s">
        <v>365</v>
      </c>
      <c r="H1142" s="2">
        <v>-60</v>
      </c>
      <c r="I1142" s="17">
        <v>122.5</v>
      </c>
      <c r="J1142" s="1" t="s">
        <v>369</v>
      </c>
      <c r="K1142" s="6">
        <f>Registro_Ordini[[#This Row],[Numero]]*Registro_Ordini[[#This Row],[Prezzo]]</f>
        <v>-7350</v>
      </c>
      <c r="L1142" s="10">
        <v>1</v>
      </c>
      <c r="M1142" s="6">
        <f>Registro_Ordini[[#This Row],[Importo]]*Registro_Ordini[[#This Row],[Cambio]]</f>
        <v>-7350</v>
      </c>
      <c r="N1142" s="1" t="str">
        <f ca="1">IFERROR(_xlfn.NUMBERVALUE(OFFSET(Origine,MATCH(Registro_Ordini[[#This Row],[Titolo]],Descrizioni,0),MATCH("Price",Intestazioni,0)-1,1,1)),"")</f>
        <v/>
      </c>
      <c r="O1142" s="18" t="str">
        <f ca="1">IF(OR(Registro_Ordini[[#This Row],[Price]]=0,Registro_Ordini[[#This Row],[Price]]=""),"",IF(Registro_Ordini[[#This Row],[Tipo]]="Sell",Registro_Ordini[[#This Row],[Prezzo]]/Registro_Ordini[[#This Row],[Price]]-1,Registro_Ordini[[#This Row],[Price]]/Registro_Ordini[[#This Row],[Prezzo]]-1))</f>
        <v/>
      </c>
      <c r="P1142" s="15">
        <v>-1.4736990584702622E-2</v>
      </c>
      <c r="Q1142" s="3">
        <v>0.13745244683573524</v>
      </c>
      <c r="R1142" s="3">
        <v>0.37670216059617606</v>
      </c>
      <c r="S1142" s="3">
        <v>0.39225276344241761</v>
      </c>
      <c r="T1142" s="3">
        <v>0</v>
      </c>
      <c r="U1142" s="3">
        <v>9.3592629125671026E-2</v>
      </c>
      <c r="V1142" s="3"/>
      <c r="W1142" s="4"/>
    </row>
    <row r="1143" spans="1:23" s="1" customFormat="1" ht="24.95" customHeight="1" x14ac:dyDescent="0.2">
      <c r="A1143" s="8">
        <v>45387</v>
      </c>
      <c r="B1143" s="7">
        <v>0.68055555555555558</v>
      </c>
      <c r="C1143" s="9" t="s">
        <v>377</v>
      </c>
      <c r="D1143" s="1" t="s">
        <v>388</v>
      </c>
      <c r="E1143" s="1" t="s">
        <v>397</v>
      </c>
      <c r="F1143" s="1" t="s">
        <v>532</v>
      </c>
      <c r="G1143" s="1" t="s">
        <v>365</v>
      </c>
      <c r="H1143" s="2">
        <v>-180</v>
      </c>
      <c r="I1143" s="17">
        <v>122.5</v>
      </c>
      <c r="J1143" s="1" t="s">
        <v>369</v>
      </c>
      <c r="K1143" s="6">
        <f>Registro_Ordini[[#This Row],[Numero]]*Registro_Ordini[[#This Row],[Prezzo]]</f>
        <v>-22050</v>
      </c>
      <c r="L1143" s="10">
        <v>1</v>
      </c>
      <c r="M1143" s="6">
        <f>Registro_Ordini[[#This Row],[Importo]]*Registro_Ordini[[#This Row],[Cambio]]</f>
        <v>-22050</v>
      </c>
      <c r="N1143" s="1" t="str">
        <f ca="1">IFERROR(_xlfn.NUMBERVALUE(OFFSET(Origine,MATCH(Registro_Ordini[[#This Row],[Titolo]],Descrizioni,0),MATCH("Price",Intestazioni,0)-1,1,1)),"")</f>
        <v/>
      </c>
      <c r="O1143" s="18" t="str">
        <f ca="1">IF(OR(Registro_Ordini[[#This Row],[Price]]=0,Registro_Ordini[[#This Row],[Price]]=""),"",IF(Registro_Ordini[[#This Row],[Tipo]]="Sell",Registro_Ordini[[#This Row],[Prezzo]]/Registro_Ordini[[#This Row],[Price]]-1,Registro_Ordini[[#This Row],[Price]]/Registro_Ordini[[#This Row],[Prezzo]]-1))</f>
        <v/>
      </c>
      <c r="P1143" s="15">
        <v>-1.4325802492500081E-2</v>
      </c>
      <c r="Q1143" s="3">
        <v>0.10258687235381618</v>
      </c>
      <c r="R1143" s="3">
        <v>0.36853498349804215</v>
      </c>
      <c r="S1143" s="3">
        <v>0.42597046284653411</v>
      </c>
      <c r="T1143" s="3">
        <v>0</v>
      </c>
      <c r="U1143" s="3">
        <v>0.1029076813016075</v>
      </c>
      <c r="V1143" s="3"/>
      <c r="W1143" s="4"/>
    </row>
    <row r="1144" spans="1:23" s="1" customFormat="1" ht="24.95" customHeight="1" x14ac:dyDescent="0.2">
      <c r="A1144" s="8">
        <v>45387</v>
      </c>
      <c r="B1144" s="7">
        <v>0.42777777777777776</v>
      </c>
      <c r="C1144" s="9" t="s">
        <v>78</v>
      </c>
      <c r="D1144" s="1" t="s">
        <v>368</v>
      </c>
      <c r="E1144" s="1" t="s">
        <v>369</v>
      </c>
      <c r="F1144" s="1" t="s">
        <v>533</v>
      </c>
      <c r="G1144" s="1" t="s">
        <v>371</v>
      </c>
      <c r="H1144" s="2">
        <v>10000</v>
      </c>
      <c r="I1144" s="16">
        <v>0.98065000000000002</v>
      </c>
      <c r="J1144" s="1" t="s">
        <v>369</v>
      </c>
      <c r="K1144" s="6">
        <f>Registro_Ordini[[#This Row],[Numero]]*Registro_Ordini[[#This Row],[Prezzo]]</f>
        <v>9806.5</v>
      </c>
      <c r="L1144" s="10">
        <v>1</v>
      </c>
      <c r="M1144" s="6">
        <f>Registro_Ordini[[#This Row],[Importo]]*Registro_Ordini[[#This Row],[Cambio]]</f>
        <v>9806.5</v>
      </c>
      <c r="N1144" s="1" t="str">
        <f ca="1">IFERROR(_xlfn.NUMBERVALUE(OFFSET(Origine,MATCH(Registro_Ordini[[#This Row],[Titolo]],Descrizioni,0),MATCH("Price",Intestazioni,0)-1,1,1)),"")</f>
        <v/>
      </c>
      <c r="O1144" s="18" t="str">
        <f ca="1">IF(OR(Registro_Ordini[[#This Row],[Price]]=0,Registro_Ordini[[#This Row],[Price]]=""),"",IF(Registro_Ordini[[#This Row],[Tipo]]="Sell",Registro_Ordini[[#This Row],[Prezzo]]/Registro_Ordini[[#This Row],[Price]]-1,Registro_Ordini[[#This Row],[Price]]/Registro_Ordini[[#This Row],[Prezzo]]-1))</f>
        <v/>
      </c>
      <c r="P1144" s="15">
        <v>2.4331140182032064E-2</v>
      </c>
      <c r="Q1144" s="3">
        <v>0.30960823655885344</v>
      </c>
      <c r="R1144" s="3">
        <v>4.858977646923647E-2</v>
      </c>
      <c r="S1144" s="3">
        <v>0.56330615992881872</v>
      </c>
      <c r="T1144" s="3">
        <v>0</v>
      </c>
      <c r="U1144" s="3">
        <v>7.849582704309141E-2</v>
      </c>
      <c r="V1144" s="3"/>
      <c r="W1144" s="4"/>
    </row>
    <row r="1145" spans="1:23" s="1" customFormat="1" ht="24.95" customHeight="1" x14ac:dyDescent="0.2">
      <c r="A1145" s="8">
        <v>45387</v>
      </c>
      <c r="B1145" s="7">
        <v>0.42777777777777776</v>
      </c>
      <c r="C1145" s="9" t="s">
        <v>78</v>
      </c>
      <c r="D1145" s="1" t="s">
        <v>368</v>
      </c>
      <c r="E1145" s="1" t="s">
        <v>369</v>
      </c>
      <c r="F1145" s="1" t="s">
        <v>374</v>
      </c>
      <c r="G1145" s="1" t="s">
        <v>371</v>
      </c>
      <c r="H1145" s="2">
        <v>20000</v>
      </c>
      <c r="I1145" s="16">
        <v>0.90777638999999999</v>
      </c>
      <c r="J1145" s="1" t="s">
        <v>369</v>
      </c>
      <c r="K1145" s="6">
        <f>Registro_Ordini[[#This Row],[Numero]]*Registro_Ordini[[#This Row],[Prezzo]]</f>
        <v>18155.5278</v>
      </c>
      <c r="L1145" s="10">
        <v>1</v>
      </c>
      <c r="M1145" s="6">
        <f>Registro_Ordini[[#This Row],[Importo]]*Registro_Ordini[[#This Row],[Cambio]]</f>
        <v>18155.5278</v>
      </c>
      <c r="N1145" s="1">
        <f ca="1">IFERROR(_xlfn.NUMBERVALUE(OFFSET(Origine,MATCH(Registro_Ordini[[#This Row],[Titolo]],Descrizioni,0),MATCH("Price",Intestazioni,0)-1,1,1)),"")</f>
        <v>0.99599166667000005</v>
      </c>
      <c r="O1145" s="18">
        <f ca="1">IF(OR(Registro_Ordini[[#This Row],[Price]]=0,Registro_Ordini[[#This Row],[Price]]=""),"",IF(Registro_Ordini[[#This Row],[Tipo]]="Sell",Registro_Ordini[[#This Row],[Prezzo]]/Registro_Ordini[[#This Row],[Price]]-1,Registro_Ordini[[#This Row],[Price]]/Registro_Ordini[[#This Row],[Prezzo]]-1))</f>
        <v>9.717731992346712E-2</v>
      </c>
      <c r="P1145" s="15">
        <v>4.5046111454706592E-2</v>
      </c>
      <c r="Q1145" s="3">
        <v>0.23921606735255935</v>
      </c>
      <c r="R1145" s="3">
        <v>0.11898194567553055</v>
      </c>
      <c r="S1145" s="3">
        <v>0.56330615992881872</v>
      </c>
      <c r="T1145" s="3">
        <v>0</v>
      </c>
      <c r="U1145" s="3">
        <v>7.849582704309141E-2</v>
      </c>
      <c r="V1145" s="3"/>
      <c r="W1145" s="4"/>
    </row>
    <row r="1146" spans="1:23" s="1" customFormat="1" ht="24.95" customHeight="1" x14ac:dyDescent="0.2">
      <c r="A1146" s="8">
        <v>45387</v>
      </c>
      <c r="B1146" s="7">
        <v>0.42777777777777776</v>
      </c>
      <c r="C1146" s="9" t="s">
        <v>78</v>
      </c>
      <c r="D1146" s="1" t="s">
        <v>368</v>
      </c>
      <c r="E1146" s="1" t="s">
        <v>369</v>
      </c>
      <c r="F1146" s="1" t="s">
        <v>534</v>
      </c>
      <c r="G1146" s="1" t="s">
        <v>371</v>
      </c>
      <c r="H1146" s="2">
        <v>20000</v>
      </c>
      <c r="I1146" s="16">
        <v>0.92822917000000005</v>
      </c>
      <c r="J1146" s="1" t="s">
        <v>369</v>
      </c>
      <c r="K1146" s="6">
        <f>Registro_Ordini[[#This Row],[Numero]]*Registro_Ordini[[#This Row],[Prezzo]]</f>
        <v>18564.5834</v>
      </c>
      <c r="L1146" s="10">
        <v>1</v>
      </c>
      <c r="M1146" s="6">
        <f>Registro_Ordini[[#This Row],[Importo]]*Registro_Ordini[[#This Row],[Cambio]]</f>
        <v>18564.5834</v>
      </c>
      <c r="N1146" s="1">
        <f ca="1">IFERROR(_xlfn.NUMBERVALUE(OFFSET(Origine,MATCH(Registro_Ordini[[#This Row],[Titolo]],Descrizioni,0),MATCH("Price",Intestazioni,0)-1,1,1)),"")</f>
        <v>0.99752430556000005</v>
      </c>
      <c r="O1146" s="18">
        <f ca="1">IF(OR(Registro_Ordini[[#This Row],[Price]]=0,Registro_Ordini[[#This Row],[Price]]=""),"",IF(Registro_Ordini[[#This Row],[Tipo]]="Sell",Registro_Ordini[[#This Row],[Prezzo]]/Registro_Ordini[[#This Row],[Price]]-1,Registro_Ordini[[#This Row],[Price]]/Registro_Ordini[[#This Row],[Prezzo]]-1))</f>
        <v>7.4653046682426449E-2</v>
      </c>
      <c r="P1146" s="15">
        <v>4.6061029024262012E-2</v>
      </c>
      <c r="Q1146" s="3">
        <v>0.28527709637682136</v>
      </c>
      <c r="R1146" s="3">
        <v>7.2920916651268541E-2</v>
      </c>
      <c r="S1146" s="3">
        <v>0.56330615992881872</v>
      </c>
      <c r="T1146" s="3">
        <v>0</v>
      </c>
      <c r="U1146" s="3">
        <v>7.849582704309141E-2</v>
      </c>
      <c r="V1146" s="3"/>
      <c r="W1146" s="4"/>
    </row>
    <row r="1147" spans="1:23" s="1" customFormat="1" ht="24.95" customHeight="1" x14ac:dyDescent="0.2">
      <c r="A1147" s="8">
        <v>45387</v>
      </c>
      <c r="B1147" s="7">
        <v>0.42708333333333331</v>
      </c>
      <c r="C1147" s="9" t="s">
        <v>78</v>
      </c>
      <c r="D1147" s="1" t="s">
        <v>368</v>
      </c>
      <c r="E1147" s="1" t="s">
        <v>369</v>
      </c>
      <c r="F1147" s="1" t="s">
        <v>535</v>
      </c>
      <c r="G1147" s="1" t="s">
        <v>371</v>
      </c>
      <c r="H1147" s="2">
        <v>20000</v>
      </c>
      <c r="I1147" s="16">
        <v>0.97918888999999998</v>
      </c>
      <c r="J1147" s="1" t="s">
        <v>369</v>
      </c>
      <c r="K1147" s="6">
        <f>Registro_Ordini[[#This Row],[Numero]]*Registro_Ordini[[#This Row],[Prezzo]]</f>
        <v>19583.7778</v>
      </c>
      <c r="L1147" s="10">
        <v>1</v>
      </c>
      <c r="M1147" s="6">
        <f>Registro_Ordini[[#This Row],[Importo]]*Registro_Ordini[[#This Row],[Cambio]]</f>
        <v>19583.7778</v>
      </c>
      <c r="N1147" s="1">
        <f ca="1">IFERROR(_xlfn.NUMBERVALUE(OFFSET(Origine,MATCH(Registro_Ordini[[#This Row],[Titolo]],Descrizioni,0),MATCH("Price",Intestazioni,0)-1,1,1)),"")</f>
        <v>1.00708333333</v>
      </c>
      <c r="O1147" s="18">
        <f ca="1">IF(OR(Registro_Ordini[[#This Row],[Price]]=0,Registro_Ordini[[#This Row],[Price]]=""),"",IF(Registro_Ordini[[#This Row],[Tipo]]="Sell",Registro_Ordini[[#This Row],[Prezzo]]/Registro_Ordini[[#This Row],[Price]]-1,Registro_Ordini[[#This Row],[Price]]/Registro_Ordini[[#This Row],[Prezzo]]-1))</f>
        <v>2.8487295571746118E-2</v>
      </c>
      <c r="P1147" s="15">
        <v>4.858977646923647E-2</v>
      </c>
      <c r="Q1147" s="3">
        <v>0.3581980130280899</v>
      </c>
      <c r="R1147" s="3">
        <v>0</v>
      </c>
      <c r="S1147" s="3">
        <v>0.56330615992881872</v>
      </c>
      <c r="T1147" s="3">
        <v>0</v>
      </c>
      <c r="U1147" s="3">
        <v>7.849582704309141E-2</v>
      </c>
      <c r="V1147" s="3"/>
      <c r="W1147" s="4"/>
    </row>
    <row r="1148" spans="1:23" s="1" customFormat="1" ht="24.95" customHeight="1" x14ac:dyDescent="0.2">
      <c r="A1148" s="8">
        <v>45362</v>
      </c>
      <c r="B1148" s="7">
        <v>0.71180555555555558</v>
      </c>
      <c r="C1148" s="9" t="s">
        <v>367</v>
      </c>
      <c r="D1148" s="1" t="s">
        <v>362</v>
      </c>
      <c r="E1148" s="1" t="s">
        <v>363</v>
      </c>
      <c r="F1148" s="1" t="s">
        <v>536</v>
      </c>
      <c r="G1148" s="1" t="s">
        <v>371</v>
      </c>
      <c r="H1148" s="2">
        <v>120000</v>
      </c>
      <c r="I1148" s="17">
        <v>1</v>
      </c>
      <c r="J1148" s="1" t="s">
        <v>381</v>
      </c>
      <c r="K1148" s="6">
        <f>Registro_Ordini[[#This Row],[Numero]]*Registro_Ordini[[#This Row],[Prezzo]]</f>
        <v>120000</v>
      </c>
      <c r="L1148" s="10">
        <v>0.95940499999999995</v>
      </c>
      <c r="M1148" s="6">
        <f>Registro_Ordini[[#This Row],[Importo]]*Registro_Ordini[[#This Row],[Cambio]]</f>
        <v>115128.59999999999</v>
      </c>
      <c r="N1148" s="1" t="str">
        <f ca="1">IFERROR(_xlfn.NUMBERVALUE(OFFSET(Origine,MATCH(Registro_Ordini[[#This Row],[Titolo]],Descrizioni,0),MATCH("Price",Intestazioni,0)-1,1,1)),"")</f>
        <v/>
      </c>
      <c r="O1148" s="18" t="str">
        <f ca="1">IF(OR(Registro_Ordini[[#This Row],[Price]]=0,Registro_Ordini[[#This Row],[Price]]=""),"",IF(Registro_Ordini[[#This Row],[Tipo]]="Sell",Registro_Ordini[[#This Row],[Prezzo]]/Registro_Ordini[[#This Row],[Price]]-1,Registro_Ordini[[#This Row],[Price]]/Registro_Ordini[[#This Row],[Prezzo]]-1))</f>
        <v/>
      </c>
      <c r="P1148" s="15">
        <v>0</v>
      </c>
      <c r="Q1148" s="3">
        <v>0</v>
      </c>
      <c r="R1148" s="3">
        <v>0</v>
      </c>
      <c r="S1148" s="3">
        <v>0</v>
      </c>
      <c r="T1148" s="3">
        <v>0</v>
      </c>
      <c r="U1148" s="3">
        <v>0</v>
      </c>
      <c r="V1148" s="3"/>
      <c r="W1148" s="4"/>
    </row>
    <row r="1149" spans="1:23" s="1" customFormat="1" ht="24.95" customHeight="1" x14ac:dyDescent="0.2">
      <c r="A1149" s="8">
        <v>45362</v>
      </c>
      <c r="B1149" s="7">
        <v>0.71111111111111114</v>
      </c>
      <c r="C1149" s="9" t="s">
        <v>367</v>
      </c>
      <c r="D1149" s="1" t="s">
        <v>362</v>
      </c>
      <c r="E1149" s="1" t="s">
        <v>363</v>
      </c>
      <c r="F1149" s="1" t="s">
        <v>537</v>
      </c>
      <c r="G1149" s="1" t="s">
        <v>371</v>
      </c>
      <c r="H1149" s="2">
        <v>230000</v>
      </c>
      <c r="I1149" s="17">
        <v>1</v>
      </c>
      <c r="J1149" s="1" t="s">
        <v>369</v>
      </c>
      <c r="K1149" s="6">
        <f>Registro_Ordini[[#This Row],[Numero]]*Registro_Ordini[[#This Row],[Prezzo]]</f>
        <v>230000</v>
      </c>
      <c r="L1149" s="10">
        <v>1</v>
      </c>
      <c r="M1149" s="6">
        <f>Registro_Ordini[[#This Row],[Importo]]*Registro_Ordini[[#This Row],[Cambio]]</f>
        <v>230000</v>
      </c>
      <c r="N1149" s="1" t="str">
        <f ca="1">IFERROR(_xlfn.NUMBERVALUE(OFFSET(Origine,MATCH(Registro_Ordini[[#This Row],[Titolo]],Descrizioni,0),MATCH("Price",Intestazioni,0)-1,1,1)),"")</f>
        <v/>
      </c>
      <c r="O1149" s="18" t="str">
        <f ca="1">IF(OR(Registro_Ordini[[#This Row],[Price]]=0,Registro_Ordini[[#This Row],[Price]]=""),"",IF(Registro_Ordini[[#This Row],[Tipo]]="Sell",Registro_Ordini[[#This Row],[Prezzo]]/Registro_Ordini[[#This Row],[Price]]-1,Registro_Ordini[[#This Row],[Price]]/Registro_Ordini[[#This Row],[Prezzo]]-1))</f>
        <v/>
      </c>
      <c r="P1149" s="15">
        <v>0</v>
      </c>
      <c r="Q1149" s="3">
        <v>0</v>
      </c>
      <c r="R1149" s="3">
        <v>0</v>
      </c>
      <c r="S1149" s="3">
        <v>0</v>
      </c>
      <c r="T1149" s="3">
        <v>0</v>
      </c>
      <c r="U1149" s="3">
        <v>0</v>
      </c>
      <c r="V1149" s="3"/>
      <c r="W1149" s="4"/>
    </row>
    <row r="1150" spans="1:23" s="1" customFormat="1" ht="24.95" customHeight="1" x14ac:dyDescent="0.2">
      <c r="A1150" s="8">
        <v>45264</v>
      </c>
      <c r="B1150" s="7">
        <v>0.72152777777777777</v>
      </c>
      <c r="C1150" s="9" t="s">
        <v>375</v>
      </c>
      <c r="D1150" s="1" t="s">
        <v>388</v>
      </c>
      <c r="E1150" s="1" t="s">
        <v>397</v>
      </c>
      <c r="F1150" s="1" t="s">
        <v>538</v>
      </c>
      <c r="G1150" s="1" t="s">
        <v>365</v>
      </c>
      <c r="H1150" s="2">
        <v>-165</v>
      </c>
      <c r="I1150" s="17">
        <v>64.02</v>
      </c>
      <c r="J1150" s="1" t="s">
        <v>369</v>
      </c>
      <c r="K1150" s="6">
        <f>Registro_Ordini[[#This Row],[Numero]]*Registro_Ordini[[#This Row],[Prezzo]]</f>
        <v>-10563.3</v>
      </c>
      <c r="L1150" s="10">
        <v>1</v>
      </c>
      <c r="M1150" s="6">
        <f>Registro_Ordini[[#This Row],[Importo]]*Registro_Ordini[[#This Row],[Cambio]]</f>
        <v>-10563.3</v>
      </c>
      <c r="N1150" s="1" t="str">
        <f ca="1">IFERROR(_xlfn.NUMBERVALUE(OFFSET(Origine,MATCH(Registro_Ordini[[#This Row],[Titolo]],Descrizioni,0),MATCH("Price",Intestazioni,0)-1,1,1)),"")</f>
        <v/>
      </c>
      <c r="O1150" s="18" t="str">
        <f ca="1">IF(OR(Registro_Ordini[[#This Row],[Price]]=0,Registro_Ordini[[#This Row],[Price]]=""),"",IF(Registro_Ordini[[#This Row],[Tipo]]="Sell",Registro_Ordini[[#This Row],[Prezzo]]/Registro_Ordini[[#This Row],[Price]]-1,Registro_Ordini[[#This Row],[Price]]/Registro_Ordini[[#This Row],[Prezzo]]-1))</f>
        <v/>
      </c>
      <c r="P1150" s="15">
        <v>-1.4418789821304748E-2</v>
      </c>
      <c r="Q1150" s="3">
        <v>8.8776088473012091E-2</v>
      </c>
      <c r="R1150" s="3">
        <v>0.42373215993879954</v>
      </c>
      <c r="S1150" s="3">
        <v>0.39095200555412141</v>
      </c>
      <c r="T1150" s="3">
        <v>0</v>
      </c>
      <c r="U1150" s="3">
        <v>9.6539746034066884E-2</v>
      </c>
      <c r="V1150" s="3"/>
      <c r="W1150" s="4"/>
    </row>
    <row r="1151" spans="1:23" s="1" customFormat="1" ht="24.95" customHeight="1" x14ac:dyDescent="0.2">
      <c r="A1151" s="8">
        <v>45264</v>
      </c>
      <c r="B1151" s="7">
        <v>0.72152777777777777</v>
      </c>
      <c r="C1151" s="9" t="s">
        <v>378</v>
      </c>
      <c r="D1151" s="1" t="s">
        <v>388</v>
      </c>
      <c r="E1151" s="1" t="s">
        <v>397</v>
      </c>
      <c r="F1151" s="1" t="s">
        <v>538</v>
      </c>
      <c r="G1151" s="1" t="s">
        <v>365</v>
      </c>
      <c r="H1151" s="2">
        <v>-110</v>
      </c>
      <c r="I1151" s="17">
        <v>64.02</v>
      </c>
      <c r="J1151" s="1" t="s">
        <v>369</v>
      </c>
      <c r="K1151" s="6">
        <f>Registro_Ordini[[#This Row],[Numero]]*Registro_Ordini[[#This Row],[Prezzo]]</f>
        <v>-7042.2</v>
      </c>
      <c r="L1151" s="10">
        <v>1</v>
      </c>
      <c r="M1151" s="6">
        <f>Registro_Ordini[[#This Row],[Importo]]*Registro_Ordini[[#This Row],[Cambio]]</f>
        <v>-7042.2</v>
      </c>
      <c r="N1151" s="1" t="str">
        <f ca="1">IFERROR(_xlfn.NUMBERVALUE(OFFSET(Origine,MATCH(Registro_Ordini[[#This Row],[Titolo]],Descrizioni,0),MATCH("Price",Intestazioni,0)-1,1,1)),"")</f>
        <v/>
      </c>
      <c r="O1151" s="18" t="str">
        <f ca="1">IF(OR(Registro_Ordini[[#This Row],[Price]]=0,Registro_Ordini[[#This Row],[Price]]=""),"",IF(Registro_Ordini[[#This Row],[Tipo]]="Sell",Registro_Ordini[[#This Row],[Prezzo]]/Registro_Ordini[[#This Row],[Price]]-1,Registro_Ordini[[#This Row],[Price]]/Registro_Ordini[[#This Row],[Prezzo]]-1))</f>
        <v/>
      </c>
      <c r="P1151" s="15">
        <v>-1.4883056234519462E-2</v>
      </c>
      <c r="Q1151" s="3">
        <v>0.12970771608418918</v>
      </c>
      <c r="R1151" s="3">
        <v>0.39210319391157961</v>
      </c>
      <c r="S1151" s="3">
        <v>0.38866453807186419</v>
      </c>
      <c r="T1151" s="3">
        <v>0</v>
      </c>
      <c r="U1151" s="3">
        <v>8.9524551932366969E-2</v>
      </c>
      <c r="V1151" s="3"/>
      <c r="W1151" s="4"/>
    </row>
    <row r="1152" spans="1:23" s="1" customFormat="1" ht="24.95" customHeight="1" x14ac:dyDescent="0.2">
      <c r="A1152" s="8">
        <v>45264</v>
      </c>
      <c r="B1152" s="7">
        <v>0.72152777777777777</v>
      </c>
      <c r="C1152" s="9" t="s">
        <v>377</v>
      </c>
      <c r="D1152" s="1" t="s">
        <v>388</v>
      </c>
      <c r="E1152" s="1" t="s">
        <v>397</v>
      </c>
      <c r="F1152" s="1" t="s">
        <v>538</v>
      </c>
      <c r="G1152" s="1" t="s">
        <v>365</v>
      </c>
      <c r="H1152" s="2">
        <v>-325</v>
      </c>
      <c r="I1152" s="17">
        <v>64.02</v>
      </c>
      <c r="J1152" s="1" t="s">
        <v>369</v>
      </c>
      <c r="K1152" s="6">
        <f>Registro_Ordini[[#This Row],[Numero]]*Registro_Ordini[[#This Row],[Prezzo]]</f>
        <v>-20806.5</v>
      </c>
      <c r="L1152" s="10">
        <v>1</v>
      </c>
      <c r="M1152" s="6">
        <f>Registro_Ordini[[#This Row],[Importo]]*Registro_Ordini[[#This Row],[Cambio]]</f>
        <v>-20806.5</v>
      </c>
      <c r="N1152" s="1" t="str">
        <f ca="1">IFERROR(_xlfn.NUMBERVALUE(OFFSET(Origine,MATCH(Registro_Ordini[[#This Row],[Titolo]],Descrizioni,0),MATCH("Price",Intestazioni,0)-1,1,1)),"")</f>
        <v/>
      </c>
      <c r="O1152" s="18" t="str">
        <f ca="1">IF(OR(Registro_Ordini[[#This Row],[Price]]=0,Registro_Ordini[[#This Row],[Price]]=""),"",IF(Registro_Ordini[[#This Row],[Tipo]]="Sell",Registro_Ordini[[#This Row],[Prezzo]]/Registro_Ordini[[#This Row],[Price]]-1,Registro_Ordini[[#This Row],[Price]]/Registro_Ordini[[#This Row],[Prezzo]]-1))</f>
        <v/>
      </c>
      <c r="P1152" s="15">
        <v>-1.4396270449113825E-2</v>
      </c>
      <c r="Q1152" s="3">
        <v>9.2466930366094074E-2</v>
      </c>
      <c r="R1152" s="3">
        <v>0.38766802818291407</v>
      </c>
      <c r="S1152" s="3">
        <v>0.42346529044611847</v>
      </c>
      <c r="T1152" s="3">
        <v>0</v>
      </c>
      <c r="U1152" s="3">
        <v>9.6399751004873496E-2</v>
      </c>
      <c r="V1152" s="3"/>
      <c r="W1152" s="4"/>
    </row>
    <row r="1153" spans="1:23" s="1" customFormat="1" ht="24.95" customHeight="1" x14ac:dyDescent="0.2">
      <c r="A1153" s="8">
        <v>45264</v>
      </c>
      <c r="B1153" s="7">
        <v>0.72152777777777777</v>
      </c>
      <c r="C1153" s="9" t="s">
        <v>367</v>
      </c>
      <c r="D1153" s="1" t="s">
        <v>388</v>
      </c>
      <c r="E1153" s="1" t="s">
        <v>397</v>
      </c>
      <c r="F1153" s="1" t="s">
        <v>538</v>
      </c>
      <c r="G1153" s="1" t="s">
        <v>365</v>
      </c>
      <c r="H1153" s="2">
        <v>-430</v>
      </c>
      <c r="I1153" s="17">
        <v>64.02</v>
      </c>
      <c r="J1153" s="1" t="s">
        <v>369</v>
      </c>
      <c r="K1153" s="6">
        <f>Registro_Ordini[[#This Row],[Numero]]*Registro_Ordini[[#This Row],[Prezzo]]</f>
        <v>-27528.6</v>
      </c>
      <c r="L1153" s="10">
        <v>1</v>
      </c>
      <c r="M1153" s="6">
        <f>Registro_Ordini[[#This Row],[Importo]]*Registro_Ordini[[#This Row],[Cambio]]</f>
        <v>-27528.6</v>
      </c>
      <c r="N1153" s="1" t="str">
        <f ca="1">IFERROR(_xlfn.NUMBERVALUE(OFFSET(Origine,MATCH(Registro_Ordini[[#This Row],[Titolo]],Descrizioni,0),MATCH("Price",Intestazioni,0)-1,1,1)),"")</f>
        <v/>
      </c>
      <c r="O1153" s="18" t="str">
        <f ca="1">IF(OR(Registro_Ordini[[#This Row],[Price]]=0,Registro_Ordini[[#This Row],[Price]]=""),"",IF(Registro_Ordini[[#This Row],[Tipo]]="Sell",Registro_Ordini[[#This Row],[Prezzo]]/Registro_Ordini[[#This Row],[Price]]-1,Registro_Ordini[[#This Row],[Price]]/Registro_Ordini[[#This Row],[Prezzo]]-1))</f>
        <v/>
      </c>
      <c r="P1153" s="15">
        <v>-8.4693911623060347E-3</v>
      </c>
      <c r="Q1153" s="3">
        <v>8.8810145664152434E-2</v>
      </c>
      <c r="R1153" s="3">
        <v>0.4914517066370927</v>
      </c>
      <c r="S1153" s="3">
        <v>0.37491639679088412</v>
      </c>
      <c r="T1153" s="3">
        <v>0</v>
      </c>
      <c r="U1153" s="3">
        <v>4.4821750907870925E-2</v>
      </c>
      <c r="V1153" s="3"/>
      <c r="W1153" s="4"/>
    </row>
    <row r="1154" spans="1:23" s="1" customFormat="1" ht="24.95" customHeight="1" x14ac:dyDescent="0.2">
      <c r="A1154" s="8">
        <v>45246</v>
      </c>
      <c r="B1154" s="7">
        <v>0.61875000000000002</v>
      </c>
      <c r="C1154" s="9" t="s">
        <v>378</v>
      </c>
      <c r="D1154" s="1" t="s">
        <v>388</v>
      </c>
      <c r="E1154" s="1" t="s">
        <v>397</v>
      </c>
      <c r="F1154" s="1" t="s">
        <v>486</v>
      </c>
      <c r="G1154" s="1" t="s">
        <v>365</v>
      </c>
      <c r="H1154" s="2">
        <v>-29</v>
      </c>
      <c r="I1154" s="17">
        <v>26.03</v>
      </c>
      <c r="J1154" s="1" t="s">
        <v>369</v>
      </c>
      <c r="K1154" s="6">
        <f>Registro_Ordini[[#This Row],[Numero]]*Registro_Ordini[[#This Row],[Prezzo]]</f>
        <v>-754.87</v>
      </c>
      <c r="L1154" s="10">
        <v>1</v>
      </c>
      <c r="M1154" s="6">
        <f>Registro_Ordini[[#This Row],[Importo]]*Registro_Ordini[[#This Row],[Cambio]]</f>
        <v>-754.87</v>
      </c>
      <c r="N1154" s="1">
        <f ca="1">IFERROR(_xlfn.NUMBERVALUE(OFFSET(Origine,MATCH(Registro_Ordini[[#This Row],[Titolo]],Descrizioni,0),MATCH("Price",Intestazioni,0)-1,1,1)),"")</f>
        <v>65.44</v>
      </c>
      <c r="O1154" s="18">
        <f ca="1">IF(OR(Registro_Ordini[[#This Row],[Price]]=0,Registro_Ordini[[#This Row],[Price]]=""),"",IF(Registro_Ordini[[#This Row],[Tipo]]="Sell",Registro_Ordini[[#This Row],[Prezzo]]/Registro_Ordini[[#This Row],[Price]]-1,Registro_Ordini[[#This Row],[Price]]/Registro_Ordini[[#This Row],[Prezzo]]-1))</f>
        <v>-0.60223105134474331</v>
      </c>
      <c r="P1154" s="15">
        <v>-1.6031056943762059E-3</v>
      </c>
      <c r="Q1154" s="3">
        <v>0.13045264193274042</v>
      </c>
      <c r="R1154" s="3">
        <v>0.39077010902302495</v>
      </c>
      <c r="S1154" s="3">
        <v>0.39097689935560609</v>
      </c>
      <c r="T1154" s="3">
        <v>0</v>
      </c>
      <c r="U1154" s="3">
        <v>8.7800349688628612E-2</v>
      </c>
      <c r="V1154" s="3"/>
      <c r="W1154" s="4"/>
    </row>
    <row r="1155" spans="1:23" s="1" customFormat="1" ht="24.95" customHeight="1" x14ac:dyDescent="0.2">
      <c r="A1155" s="8">
        <v>45246</v>
      </c>
      <c r="B1155" s="7">
        <v>0.60902777777777772</v>
      </c>
      <c r="C1155" s="9" t="s">
        <v>106</v>
      </c>
      <c r="D1155" s="1" t="s">
        <v>393</v>
      </c>
      <c r="E1155" s="1" t="s">
        <v>539</v>
      </c>
      <c r="F1155" s="1" t="s">
        <v>540</v>
      </c>
      <c r="G1155" s="1" t="s">
        <v>365</v>
      </c>
      <c r="H1155" s="2">
        <v>-875</v>
      </c>
      <c r="I1155" s="17">
        <v>6.8079999999999998</v>
      </c>
      <c r="J1155" s="1" t="s">
        <v>366</v>
      </c>
      <c r="K1155" s="6">
        <f>Registro_Ordini[[#This Row],[Numero]]*Registro_Ordini[[#This Row],[Prezzo]]</f>
        <v>-5957</v>
      </c>
      <c r="L1155" s="10">
        <v>0.92192796061155746</v>
      </c>
      <c r="M1155" s="6">
        <f>Registro_Ordini[[#This Row],[Importo]]*Registro_Ordini[[#This Row],[Cambio]]</f>
        <v>-5491.924861363048</v>
      </c>
      <c r="N1155" s="1">
        <f ca="1">IFERROR(_xlfn.NUMBERVALUE(OFFSET(Origine,MATCH(Registro_Ordini[[#This Row],[Titolo]],Descrizioni,0),MATCH("Price",Intestazioni,0)-1,1,1)),"")</f>
        <v>9.1724999999999994</v>
      </c>
      <c r="O1155" s="18">
        <f ca="1">IF(OR(Registro_Ordini[[#This Row],[Price]]=0,Registro_Ordini[[#This Row],[Price]]=""),"",IF(Registro_Ordini[[#This Row],[Tipo]]="Sell",Registro_Ordini[[#This Row],[Prezzo]]/Registro_Ordini[[#This Row],[Price]]-1,Registro_Ordini[[#This Row],[Price]]/Registro_Ordini[[#This Row],[Prezzo]]-1))</f>
        <v>-0.25778141182883618</v>
      </c>
      <c r="P1155" s="15">
        <v>-4.5953181918665445E-2</v>
      </c>
      <c r="Q1155" s="3">
        <v>0.18798568216171044</v>
      </c>
      <c r="R1155" s="3">
        <v>0.26105198006640268</v>
      </c>
      <c r="S1155" s="3">
        <v>0.40003919613017952</v>
      </c>
      <c r="T1155" s="3">
        <v>0</v>
      </c>
      <c r="U1155" s="3">
        <v>0.15092314164170734</v>
      </c>
      <c r="V1155" s="3"/>
      <c r="W1155" s="4"/>
    </row>
    <row r="1156" spans="1:23" s="1" customFormat="1" ht="24.95" customHeight="1" x14ac:dyDescent="0.2">
      <c r="A1156" s="8">
        <v>45246</v>
      </c>
      <c r="B1156" s="7">
        <v>0.60555555555555551</v>
      </c>
      <c r="C1156" s="9" t="s">
        <v>383</v>
      </c>
      <c r="D1156" s="1" t="s">
        <v>393</v>
      </c>
      <c r="E1156" s="1" t="s">
        <v>481</v>
      </c>
      <c r="F1156" s="1" t="s">
        <v>541</v>
      </c>
      <c r="G1156" s="1" t="s">
        <v>365</v>
      </c>
      <c r="H1156" s="2">
        <v>-3350</v>
      </c>
      <c r="I1156" s="17">
        <v>3.9319999999999999</v>
      </c>
      <c r="J1156" s="1" t="s">
        <v>366</v>
      </c>
      <c r="K1156" s="6">
        <f>Registro_Ordini[[#This Row],[Numero]]*Registro_Ordini[[#This Row],[Prezzo]]</f>
        <v>-13172.199999999999</v>
      </c>
      <c r="L1156" s="10">
        <v>0.92192796061155746</v>
      </c>
      <c r="M1156" s="6">
        <f>Registro_Ordini[[#This Row],[Importo]]*Registro_Ordini[[#This Row],[Cambio]]</f>
        <v>-12143.819482767556</v>
      </c>
      <c r="N1156" s="1">
        <f ca="1">IFERROR(_xlfn.NUMBERVALUE(OFFSET(Origine,MATCH(Registro_Ordini[[#This Row],[Titolo]],Descrizioni,0),MATCH("Price",Intestazioni,0)-1,1,1)),"")</f>
        <v>4.1529999999999996</v>
      </c>
      <c r="O1156" s="18">
        <f ca="1">IF(OR(Registro_Ordini[[#This Row],[Price]]=0,Registro_Ordini[[#This Row],[Price]]=""),"",IF(Registro_Ordini[[#This Row],[Tipo]]="Sell",Registro_Ordini[[#This Row],[Prezzo]]/Registro_Ordini[[#This Row],[Price]]-1,Registro_Ordini[[#This Row],[Price]]/Registro_Ordini[[#This Row],[Prezzo]]-1))</f>
        <v>-5.3214543703346884E-2</v>
      </c>
      <c r="P1156" s="15">
        <v>-2.2263848947359308E-2</v>
      </c>
      <c r="Q1156" s="3">
        <v>0.1339593339834266</v>
      </c>
      <c r="R1156" s="3">
        <v>0.29836387624662997</v>
      </c>
      <c r="S1156" s="3">
        <v>0.42569917338763419</v>
      </c>
      <c r="T1156" s="3">
        <v>0</v>
      </c>
      <c r="U1156" s="3">
        <v>0.14197761638230913</v>
      </c>
      <c r="V1156" s="3"/>
      <c r="W1156" s="4"/>
    </row>
    <row r="1157" spans="1:23" s="1" customFormat="1" ht="24.95" customHeight="1" x14ac:dyDescent="0.2">
      <c r="A1157" s="8">
        <v>45246</v>
      </c>
      <c r="B1157" s="7">
        <v>0.60555555555555551</v>
      </c>
      <c r="C1157" s="9" t="s">
        <v>382</v>
      </c>
      <c r="D1157" s="1" t="s">
        <v>393</v>
      </c>
      <c r="E1157" s="1" t="s">
        <v>481</v>
      </c>
      <c r="F1157" s="1" t="s">
        <v>541</v>
      </c>
      <c r="G1157" s="1" t="s">
        <v>365</v>
      </c>
      <c r="H1157" s="2">
        <v>-5870</v>
      </c>
      <c r="I1157" s="17">
        <v>3.9319999999999999</v>
      </c>
      <c r="J1157" s="1" t="s">
        <v>366</v>
      </c>
      <c r="K1157" s="6">
        <f>Registro_Ordini[[#This Row],[Numero]]*Registro_Ordini[[#This Row],[Prezzo]]</f>
        <v>-23080.84</v>
      </c>
      <c r="L1157" s="10">
        <v>0.92192796061155746</v>
      </c>
      <c r="M1157" s="6">
        <f>Registro_Ordini[[#This Row],[Importo]]*Registro_Ordini[[#This Row],[Cambio]]</f>
        <v>-21278.87175040166</v>
      </c>
      <c r="N1157" s="1">
        <f ca="1">IFERROR(_xlfn.NUMBERVALUE(OFFSET(Origine,MATCH(Registro_Ordini[[#This Row],[Titolo]],Descrizioni,0),MATCH("Price",Intestazioni,0)-1,1,1)),"")</f>
        <v>4.1529999999999996</v>
      </c>
      <c r="O1157" s="18">
        <f ca="1">IF(OR(Registro_Ordini[[#This Row],[Price]]=0,Registro_Ordini[[#This Row],[Price]]=""),"",IF(Registro_Ordini[[#This Row],[Tipo]]="Sell",Registro_Ordini[[#This Row],[Prezzo]]/Registro_Ordini[[#This Row],[Price]]-1,Registro_Ordini[[#This Row],[Price]]/Registro_Ordini[[#This Row],[Prezzo]]-1))</f>
        <v>-5.3214543703346884E-2</v>
      </c>
      <c r="P1157" s="15">
        <v>-2.2843849535513258E-2</v>
      </c>
      <c r="Q1157" s="3">
        <v>9.981258526596086E-2</v>
      </c>
      <c r="R1157" s="3">
        <v>0.28696380626730866</v>
      </c>
      <c r="S1157" s="3">
        <v>0.46976724008105236</v>
      </c>
      <c r="T1157" s="3">
        <v>0</v>
      </c>
      <c r="U1157" s="3">
        <v>0.1434563683856781</v>
      </c>
      <c r="V1157" s="3"/>
      <c r="W1157" s="4"/>
    </row>
    <row r="1158" spans="1:23" s="1" customFormat="1" ht="24.95" customHeight="1" x14ac:dyDescent="0.2">
      <c r="A1158" s="8">
        <v>45246</v>
      </c>
      <c r="B1158" s="7">
        <v>0.60555555555555551</v>
      </c>
      <c r="C1158" s="9" t="s">
        <v>379</v>
      </c>
      <c r="D1158" s="1" t="s">
        <v>393</v>
      </c>
      <c r="E1158" s="1" t="s">
        <v>481</v>
      </c>
      <c r="F1158" s="1" t="s">
        <v>541</v>
      </c>
      <c r="G1158" s="1" t="s">
        <v>365</v>
      </c>
      <c r="H1158" s="2">
        <v>-3115</v>
      </c>
      <c r="I1158" s="17">
        <v>3.9319999999999999</v>
      </c>
      <c r="J1158" s="1" t="s">
        <v>366</v>
      </c>
      <c r="K1158" s="6">
        <f>Registro_Ordini[[#This Row],[Numero]]*Registro_Ordini[[#This Row],[Prezzo]]</f>
        <v>-12248.18</v>
      </c>
      <c r="L1158" s="10">
        <v>0.92192796061155746</v>
      </c>
      <c r="M1158" s="6">
        <f>Registro_Ordini[[#This Row],[Importo]]*Registro_Ordini[[#This Row],[Cambio]]</f>
        <v>-11291.939608603267</v>
      </c>
      <c r="N1158" s="1">
        <f ca="1">IFERROR(_xlfn.NUMBERVALUE(OFFSET(Origine,MATCH(Registro_Ordini[[#This Row],[Titolo]],Descrizioni,0),MATCH("Price",Intestazioni,0)-1,1,1)),"")</f>
        <v>4.1529999999999996</v>
      </c>
      <c r="O1158" s="18">
        <f ca="1">IF(OR(Registro_Ordini[[#This Row],[Price]]=0,Registro_Ordini[[#This Row],[Price]]=""),"",IF(Registro_Ordini[[#This Row],[Tipo]]="Sell",Registro_Ordini[[#This Row],[Prezzo]]/Registro_Ordini[[#This Row],[Price]]-1,Registro_Ordini[[#This Row],[Price]]/Registro_Ordini[[#This Row],[Prezzo]]-1))</f>
        <v>-5.3214543703346884E-2</v>
      </c>
      <c r="P1158" s="15">
        <v>-2.2352024282130772E-2</v>
      </c>
      <c r="Q1158" s="3">
        <v>0.10119381246237893</v>
      </c>
      <c r="R1158" s="3">
        <v>0.30883839750384451</v>
      </c>
      <c r="S1158" s="3">
        <v>0.44780543875007561</v>
      </c>
      <c r="T1158" s="3">
        <v>0</v>
      </c>
      <c r="U1158" s="3">
        <v>0.14216235128370092</v>
      </c>
      <c r="V1158" s="3"/>
      <c r="W1158" s="4"/>
    </row>
    <row r="1159" spans="1:23" s="1" customFormat="1" ht="24.95" customHeight="1" x14ac:dyDescent="0.2">
      <c r="A1159" s="8">
        <v>45246</v>
      </c>
      <c r="B1159" s="7">
        <v>0.60555555555555551</v>
      </c>
      <c r="C1159" s="9" t="s">
        <v>383</v>
      </c>
      <c r="D1159" s="1" t="s">
        <v>393</v>
      </c>
      <c r="E1159" s="1" t="s">
        <v>542</v>
      </c>
      <c r="F1159" s="1" t="s">
        <v>543</v>
      </c>
      <c r="G1159" s="1" t="s">
        <v>365</v>
      </c>
      <c r="H1159" s="2">
        <v>-810</v>
      </c>
      <c r="I1159" s="17">
        <v>14.03</v>
      </c>
      <c r="J1159" s="1" t="s">
        <v>366</v>
      </c>
      <c r="K1159" s="6">
        <f>Registro_Ordini[[#This Row],[Numero]]*Registro_Ordini[[#This Row],[Prezzo]]</f>
        <v>-11364.3</v>
      </c>
      <c r="L1159" s="10">
        <v>0.92192796061155746</v>
      </c>
      <c r="M1159" s="6">
        <f>Registro_Ordini[[#This Row],[Importo]]*Registro_Ordini[[#This Row],[Cambio]]</f>
        <v>-10477.065922777922</v>
      </c>
      <c r="N1159" s="1">
        <f ca="1">IFERROR(_xlfn.NUMBERVALUE(OFFSET(Origine,MATCH(Registro_Ordini[[#This Row],[Titolo]],Descrizioni,0),MATCH("Price",Intestazioni,0)-1,1,1)),"")</f>
        <v>18.46</v>
      </c>
      <c r="O1159" s="18">
        <f ca="1">IF(OR(Registro_Ordini[[#This Row],[Price]]=0,Registro_Ordini[[#This Row],[Price]]=""),"",IF(Registro_Ordini[[#This Row],[Tipo]]="Sell",Registro_Ordini[[#This Row],[Prezzo]]/Registro_Ordini[[#This Row],[Price]]-1,Registro_Ordini[[#This Row],[Price]]/Registro_Ordini[[#This Row],[Prezzo]]-1))</f>
        <v>-0.23997833152762738</v>
      </c>
      <c r="P1159" s="15">
        <v>-1.9208109396492264E-2</v>
      </c>
      <c r="Q1159" s="3">
        <v>0.15622318293078594</v>
      </c>
      <c r="R1159" s="3">
        <v>0.29836387624662997</v>
      </c>
      <c r="S1159" s="3">
        <v>0.42569917338763419</v>
      </c>
      <c r="T1159" s="3">
        <v>0</v>
      </c>
      <c r="U1159" s="3">
        <v>0.11971376743494981</v>
      </c>
      <c r="V1159" s="3"/>
      <c r="W1159" s="4"/>
    </row>
    <row r="1160" spans="1:23" s="1" customFormat="1" ht="24.95" customHeight="1" x14ac:dyDescent="0.2">
      <c r="A1160" s="8">
        <v>45246</v>
      </c>
      <c r="B1160" s="7">
        <v>0.60555555555555551</v>
      </c>
      <c r="C1160" s="9" t="s">
        <v>382</v>
      </c>
      <c r="D1160" s="1" t="s">
        <v>393</v>
      </c>
      <c r="E1160" s="1" t="s">
        <v>542</v>
      </c>
      <c r="F1160" s="1" t="s">
        <v>543</v>
      </c>
      <c r="G1160" s="1" t="s">
        <v>365</v>
      </c>
      <c r="H1160" s="2">
        <v>-1415</v>
      </c>
      <c r="I1160" s="17">
        <v>14.03</v>
      </c>
      <c r="J1160" s="1" t="s">
        <v>366</v>
      </c>
      <c r="K1160" s="6">
        <f>Registro_Ordini[[#This Row],[Numero]]*Registro_Ordini[[#This Row],[Prezzo]]</f>
        <v>-19852.45</v>
      </c>
      <c r="L1160" s="10">
        <v>0.92192796061155746</v>
      </c>
      <c r="M1160" s="6">
        <f>Registro_Ordini[[#This Row],[Importo]]*Registro_Ordini[[#This Row],[Cambio]]</f>
        <v>-18302.528741642913</v>
      </c>
      <c r="N1160" s="1">
        <f ca="1">IFERROR(_xlfn.NUMBERVALUE(OFFSET(Origine,MATCH(Registro_Ordini[[#This Row],[Titolo]],Descrizioni,0),MATCH("Price",Intestazioni,0)-1,1,1)),"")</f>
        <v>18.46</v>
      </c>
      <c r="O1160" s="18">
        <f ca="1">IF(OR(Registro_Ordini[[#This Row],[Price]]=0,Registro_Ordini[[#This Row],[Price]]=""),"",IF(Registro_Ordini[[#This Row],[Tipo]]="Sell",Registro_Ordini[[#This Row],[Prezzo]]/Registro_Ordini[[#This Row],[Price]]-1,Registro_Ordini[[#This Row],[Price]]/Registro_Ordini[[#This Row],[Prezzo]]-1))</f>
        <v>-0.23997833152762738</v>
      </c>
      <c r="P1160" s="15">
        <v>-1.9648608140401314E-2</v>
      </c>
      <c r="Q1160" s="3">
        <v>0.1226564348014741</v>
      </c>
      <c r="R1160" s="3">
        <v>0.28696380626730866</v>
      </c>
      <c r="S1160" s="3">
        <v>0.46976724008105236</v>
      </c>
      <c r="T1160" s="3">
        <v>0</v>
      </c>
      <c r="U1160" s="3">
        <v>0.12061251885016484</v>
      </c>
      <c r="V1160" s="3"/>
      <c r="W1160" s="4"/>
    </row>
    <row r="1161" spans="1:23" s="1" customFormat="1" ht="24.95" customHeight="1" x14ac:dyDescent="0.2">
      <c r="A1161" s="8">
        <v>45246</v>
      </c>
      <c r="B1161" s="7">
        <v>0.60555555555555551</v>
      </c>
      <c r="C1161" s="9" t="s">
        <v>379</v>
      </c>
      <c r="D1161" s="1" t="s">
        <v>393</v>
      </c>
      <c r="E1161" s="1" t="s">
        <v>542</v>
      </c>
      <c r="F1161" s="1" t="s">
        <v>543</v>
      </c>
      <c r="G1161" s="1" t="s">
        <v>365</v>
      </c>
      <c r="H1161" s="2">
        <v>-750</v>
      </c>
      <c r="I1161" s="17">
        <v>14.03</v>
      </c>
      <c r="J1161" s="1" t="s">
        <v>366</v>
      </c>
      <c r="K1161" s="6">
        <f>Registro_Ordini[[#This Row],[Numero]]*Registro_Ordini[[#This Row],[Prezzo]]</f>
        <v>-10522.5</v>
      </c>
      <c r="L1161" s="10">
        <v>0.92192796061155746</v>
      </c>
      <c r="M1161" s="6">
        <f>Registro_Ordini[[#This Row],[Importo]]*Registro_Ordini[[#This Row],[Cambio]]</f>
        <v>-9700.986965535114</v>
      </c>
      <c r="N1161" s="1">
        <f ca="1">IFERROR(_xlfn.NUMBERVALUE(OFFSET(Origine,MATCH(Registro_Ordini[[#This Row],[Titolo]],Descrizioni,0),MATCH("Price",Intestazioni,0)-1,1,1)),"")</f>
        <v>18.46</v>
      </c>
      <c r="O1161" s="18">
        <f ca="1">IF(OR(Registro_Ordini[[#This Row],[Price]]=0,Registro_Ordini[[#This Row],[Price]]=""),"",IF(Registro_Ordini[[#This Row],[Tipo]]="Sell",Registro_Ordini[[#This Row],[Prezzo]]/Registro_Ordini[[#This Row],[Price]]-1,Registro_Ordini[[#This Row],[Price]]/Registro_Ordini[[#This Row],[Prezzo]]-1))</f>
        <v>-0.23997833152762738</v>
      </c>
      <c r="P1161" s="15">
        <v>-1.9202785679890488E-2</v>
      </c>
      <c r="Q1161" s="3">
        <v>0.1235458367445097</v>
      </c>
      <c r="R1161" s="3">
        <v>0.30883839750384451</v>
      </c>
      <c r="S1161" s="3">
        <v>0.44780543875007561</v>
      </c>
      <c r="T1161" s="3">
        <v>0</v>
      </c>
      <c r="U1161" s="3">
        <v>0.11981032700157017</v>
      </c>
      <c r="V1161" s="3"/>
      <c r="W1161" s="4"/>
    </row>
    <row r="1162" spans="1:23" s="1" customFormat="1" ht="24.95" customHeight="1" x14ac:dyDescent="0.2">
      <c r="A1162" s="8">
        <v>45246</v>
      </c>
      <c r="B1162" s="7">
        <v>0.60416666666666663</v>
      </c>
      <c r="C1162" s="9" t="s">
        <v>78</v>
      </c>
      <c r="D1162" s="1" t="s">
        <v>393</v>
      </c>
      <c r="E1162" s="1" t="s">
        <v>481</v>
      </c>
      <c r="F1162" s="1" t="s">
        <v>541</v>
      </c>
      <c r="G1162" s="1" t="s">
        <v>365</v>
      </c>
      <c r="H1162" s="2">
        <v>-2300</v>
      </c>
      <c r="I1162" s="17">
        <v>3.9319999999999999</v>
      </c>
      <c r="J1162" s="1" t="s">
        <v>366</v>
      </c>
      <c r="K1162" s="6">
        <f>Registro_Ordini[[#This Row],[Numero]]*Registro_Ordini[[#This Row],[Prezzo]]</f>
        <v>-9043.6</v>
      </c>
      <c r="L1162" s="10">
        <v>0.88943000000000005</v>
      </c>
      <c r="M1162" s="6">
        <f>Registro_Ordini[[#This Row],[Importo]]*Registro_Ordini[[#This Row],[Cambio]]</f>
        <v>-8043.6491480000004</v>
      </c>
      <c r="N1162" s="1">
        <f ca="1">IFERROR(_xlfn.NUMBERVALUE(OFFSET(Origine,MATCH(Registro_Ordini[[#This Row],[Titolo]],Descrizioni,0),MATCH("Price",Intestazioni,0)-1,1,1)),"")</f>
        <v>4.1529999999999996</v>
      </c>
      <c r="O1162" s="18">
        <f ca="1">IF(OR(Registro_Ordini[[#This Row],[Price]]=0,Registro_Ordini[[#This Row],[Price]]=""),"",IF(Registro_Ordini[[#This Row],[Tipo]]="Sell",Registro_Ordini[[#This Row],[Prezzo]]/Registro_Ordini[[#This Row],[Price]]-1,Registro_Ordini[[#This Row],[Price]]/Registro_Ordini[[#This Row],[Prezzo]]-1))</f>
        <v>-5.3214543703346884E-2</v>
      </c>
      <c r="P1162" s="15">
        <v>-2.0756543605961495E-2</v>
      </c>
      <c r="Q1162" s="3">
        <v>0.36646098647163611</v>
      </c>
      <c r="R1162" s="3">
        <v>0</v>
      </c>
      <c r="S1162" s="3">
        <v>0.51890197534284876</v>
      </c>
      <c r="T1162" s="3">
        <v>0</v>
      </c>
      <c r="U1162" s="3">
        <v>0.11463703818551514</v>
      </c>
      <c r="V1162" s="3"/>
      <c r="W1162" s="4"/>
    </row>
    <row r="1163" spans="1:23" s="1" customFormat="1" ht="24.95" customHeight="1" x14ac:dyDescent="0.2">
      <c r="A1163" s="8">
        <v>45246</v>
      </c>
      <c r="B1163" s="7">
        <v>0.60416666666666663</v>
      </c>
      <c r="C1163" s="9" t="s">
        <v>78</v>
      </c>
      <c r="D1163" s="1" t="s">
        <v>393</v>
      </c>
      <c r="E1163" s="1" t="s">
        <v>542</v>
      </c>
      <c r="F1163" s="1" t="s">
        <v>543</v>
      </c>
      <c r="G1163" s="1" t="s">
        <v>365</v>
      </c>
      <c r="H1163" s="2">
        <v>-600</v>
      </c>
      <c r="I1163" s="17">
        <v>14.03</v>
      </c>
      <c r="J1163" s="1" t="s">
        <v>366</v>
      </c>
      <c r="K1163" s="6">
        <f>Registro_Ordini[[#This Row],[Numero]]*Registro_Ordini[[#This Row],[Prezzo]]</f>
        <v>-8418</v>
      </c>
      <c r="L1163" s="10">
        <v>0.88943000000000005</v>
      </c>
      <c r="M1163" s="6">
        <f>Registro_Ordini[[#This Row],[Importo]]*Registro_Ordini[[#This Row],[Cambio]]</f>
        <v>-7487.2217400000009</v>
      </c>
      <c r="N1163" s="1">
        <f ca="1">IFERROR(_xlfn.NUMBERVALUE(OFFSET(Origine,MATCH(Registro_Ordini[[#This Row],[Titolo]],Descrizioni,0),MATCH("Price",Intestazioni,0)-1,1,1)),"")</f>
        <v>18.46</v>
      </c>
      <c r="O1163" s="18">
        <f ca="1">IF(OR(Registro_Ordini[[#This Row],[Price]]=0,Registro_Ordini[[#This Row],[Price]]=""),"",IF(Registro_Ordini[[#This Row],[Tipo]]="Sell",Registro_Ordini[[#This Row],[Prezzo]]/Registro_Ordini[[#This Row],[Price]]-1,Registro_Ordini[[#This Row],[Price]]/Registro_Ordini[[#This Row],[Prezzo]]-1))</f>
        <v>-0.23997833152762738</v>
      </c>
      <c r="P1163" s="15">
        <v>-1.9320689114399561E-2</v>
      </c>
      <c r="Q1163" s="3">
        <v>0.38721753007759763</v>
      </c>
      <c r="R1163" s="3">
        <v>0</v>
      </c>
      <c r="S1163" s="3">
        <v>0.51890197534284888</v>
      </c>
      <c r="T1163" s="3">
        <v>0</v>
      </c>
      <c r="U1163" s="3">
        <v>9.3880494579553678E-2</v>
      </c>
      <c r="V1163" s="3"/>
      <c r="W1163" s="4"/>
    </row>
    <row r="1164" spans="1:23" s="1" customFormat="1" ht="24.95" customHeight="1" x14ac:dyDescent="0.2">
      <c r="A1164" s="8">
        <v>45246</v>
      </c>
      <c r="B1164" s="7">
        <v>0.60416666666666663</v>
      </c>
      <c r="C1164" s="9" t="s">
        <v>375</v>
      </c>
      <c r="D1164" s="1" t="s">
        <v>393</v>
      </c>
      <c r="E1164" s="1" t="s">
        <v>542</v>
      </c>
      <c r="F1164" s="1" t="s">
        <v>543</v>
      </c>
      <c r="G1164" s="1" t="s">
        <v>365</v>
      </c>
      <c r="H1164" s="2">
        <v>-1000</v>
      </c>
      <c r="I1164" s="17">
        <v>14.03</v>
      </c>
      <c r="J1164" s="1" t="s">
        <v>366</v>
      </c>
      <c r="K1164" s="6">
        <f>Registro_Ordini[[#This Row],[Numero]]*Registro_Ordini[[#This Row],[Prezzo]]</f>
        <v>-14030</v>
      </c>
      <c r="L1164" s="10">
        <v>0.88966000000000001</v>
      </c>
      <c r="M1164" s="6">
        <f>Registro_Ordini[[#This Row],[Importo]]*Registro_Ordini[[#This Row],[Cambio]]</f>
        <v>-12481.9298</v>
      </c>
      <c r="N1164" s="1">
        <f ca="1">IFERROR(_xlfn.NUMBERVALUE(OFFSET(Origine,MATCH(Registro_Ordini[[#This Row],[Titolo]],Descrizioni,0),MATCH("Price",Intestazioni,0)-1,1,1)),"")</f>
        <v>18.46</v>
      </c>
      <c r="O1164" s="18">
        <f ca="1">IF(OR(Registro_Ordini[[#This Row],[Price]]=0,Registro_Ordini[[#This Row],[Price]]=""),"",IF(Registro_Ordini[[#This Row],[Tipo]]="Sell",Registro_Ordini[[#This Row],[Prezzo]]/Registro_Ordini[[#This Row],[Price]]-1,Registro_Ordini[[#This Row],[Price]]/Registro_Ordini[[#This Row],[Prezzo]]-1))</f>
        <v>-0.23997833152762738</v>
      </c>
      <c r="P1164" s="15">
        <v>-1.7132559411460795E-2</v>
      </c>
      <c r="Q1164" s="3">
        <v>7.3513702669494668E-2</v>
      </c>
      <c r="R1164" s="3">
        <v>0.42290358572539855</v>
      </c>
      <c r="S1164" s="3">
        <v>0.39161898214044433</v>
      </c>
      <c r="T1164" s="3">
        <v>0</v>
      </c>
      <c r="U1164" s="3">
        <v>0.11196372946466231</v>
      </c>
      <c r="V1164" s="3"/>
      <c r="W1164" s="4"/>
    </row>
    <row r="1165" spans="1:23" s="1" customFormat="1" ht="24.95" customHeight="1" x14ac:dyDescent="0.2">
      <c r="A1165" s="8">
        <v>45246</v>
      </c>
      <c r="B1165" s="7">
        <v>0.60347222222222219</v>
      </c>
      <c r="C1165" s="9" t="s">
        <v>375</v>
      </c>
      <c r="D1165" s="1" t="s">
        <v>393</v>
      </c>
      <c r="E1165" s="1" t="s">
        <v>481</v>
      </c>
      <c r="F1165" s="1" t="s">
        <v>541</v>
      </c>
      <c r="G1165" s="1" t="s">
        <v>365</v>
      </c>
      <c r="H1165" s="2">
        <v>-4500</v>
      </c>
      <c r="I1165" s="17">
        <v>3.93</v>
      </c>
      <c r="J1165" s="1" t="s">
        <v>366</v>
      </c>
      <c r="K1165" s="6">
        <f>Registro_Ordini[[#This Row],[Numero]]*Registro_Ordini[[#This Row],[Prezzo]]</f>
        <v>-17685</v>
      </c>
      <c r="L1165" s="10">
        <v>0.88966000000000001</v>
      </c>
      <c r="M1165" s="6">
        <f>Registro_Ordini[[#This Row],[Importo]]*Registro_Ordini[[#This Row],[Cambio]]</f>
        <v>-15733.6371</v>
      </c>
      <c r="N1165" s="1">
        <f ca="1">IFERROR(_xlfn.NUMBERVALUE(OFFSET(Origine,MATCH(Registro_Ordini[[#This Row],[Titolo]],Descrizioni,0),MATCH("Price",Intestazioni,0)-1,1,1)),"")</f>
        <v>4.1529999999999996</v>
      </c>
      <c r="O1165" s="18">
        <f ca="1">IF(OR(Registro_Ordini[[#This Row],[Price]]=0,Registro_Ordini[[#This Row],[Price]]=""),"",IF(Registro_Ordini[[#This Row],[Tipo]]="Sell",Registro_Ordini[[#This Row],[Prezzo]]/Registro_Ordini[[#This Row],[Price]]-1,Registro_Ordini[[#This Row],[Price]]/Registro_Ordini[[#This Row],[Prezzo]]-1))</f>
        <v>-5.3696123284372566E-2</v>
      </c>
      <c r="P1165" s="15">
        <v>-2.159584869438896E-2</v>
      </c>
      <c r="Q1165" s="3">
        <v>5.1917961699672284E-2</v>
      </c>
      <c r="R1165" s="3">
        <v>0.42290420543442997</v>
      </c>
      <c r="S1165" s="3">
        <v>0.39161955600604464</v>
      </c>
      <c r="T1165" s="3">
        <v>0</v>
      </c>
      <c r="U1165" s="3">
        <v>0.13355827685985308</v>
      </c>
      <c r="V1165" s="3"/>
      <c r="W1165" s="4"/>
    </row>
    <row r="1166" spans="1:23" s="1" customFormat="1" ht="24.95" customHeight="1" x14ac:dyDescent="0.2">
      <c r="A1166" s="8">
        <v>45246</v>
      </c>
      <c r="B1166" s="7">
        <v>0.60347222222222219</v>
      </c>
      <c r="C1166" s="9" t="s">
        <v>378</v>
      </c>
      <c r="D1166" s="1" t="s">
        <v>393</v>
      </c>
      <c r="E1166" s="1" t="s">
        <v>481</v>
      </c>
      <c r="F1166" s="1" t="s">
        <v>541</v>
      </c>
      <c r="G1166" s="1" t="s">
        <v>365</v>
      </c>
      <c r="H1166" s="2">
        <v>-2450</v>
      </c>
      <c r="I1166" s="17">
        <v>3.93</v>
      </c>
      <c r="J1166" s="1" t="s">
        <v>366</v>
      </c>
      <c r="K1166" s="6">
        <f>Registro_Ordini[[#This Row],[Numero]]*Registro_Ordini[[#This Row],[Prezzo]]</f>
        <v>-9628.5</v>
      </c>
      <c r="L1166" s="10">
        <v>0.88966000000000001</v>
      </c>
      <c r="M1166" s="6">
        <f>Registro_Ordini[[#This Row],[Importo]]*Registro_Ordini[[#This Row],[Cambio]]</f>
        <v>-8566.0913099999998</v>
      </c>
      <c r="N1166" s="1">
        <f ca="1">IFERROR(_xlfn.NUMBERVALUE(OFFSET(Origine,MATCH(Registro_Ordini[[#This Row],[Titolo]],Descrizioni,0),MATCH("Price",Intestazioni,0)-1,1,1)),"")</f>
        <v>4.1529999999999996</v>
      </c>
      <c r="O1166" s="18">
        <f ca="1">IF(OR(Registro_Ordini[[#This Row],[Price]]=0,Registro_Ordini[[#This Row],[Price]]=""),"",IF(Registro_Ordini[[#This Row],[Tipo]]="Sell",Registro_Ordini[[#This Row],[Prezzo]]/Registro_Ordini[[#This Row],[Price]]-1,Registro_Ordini[[#This Row],[Price]]/Registro_Ordini[[#This Row],[Prezzo]]-1))</f>
        <v>-5.3696123284372566E-2</v>
      </c>
      <c r="P1166" s="15">
        <v>-1.8187212985371223E-2</v>
      </c>
      <c r="Q1166" s="3">
        <v>9.6490004442370547E-2</v>
      </c>
      <c r="R1166" s="3">
        <v>0.39067426034471964</v>
      </c>
      <c r="S1166" s="3">
        <v>0.39091389058929565</v>
      </c>
      <c r="T1166" s="3">
        <v>0</v>
      </c>
      <c r="U1166" s="3">
        <v>0.12192184462361416</v>
      </c>
      <c r="V1166" s="3"/>
      <c r="W1166" s="4"/>
    </row>
    <row r="1167" spans="1:23" s="1" customFormat="1" ht="24.95" customHeight="1" x14ac:dyDescent="0.2">
      <c r="A1167" s="8">
        <v>45246</v>
      </c>
      <c r="B1167" s="7">
        <v>0.60347222222222219</v>
      </c>
      <c r="C1167" s="9" t="s">
        <v>377</v>
      </c>
      <c r="D1167" s="1" t="s">
        <v>393</v>
      </c>
      <c r="E1167" s="1" t="s">
        <v>481</v>
      </c>
      <c r="F1167" s="1" t="s">
        <v>541</v>
      </c>
      <c r="G1167" s="1" t="s">
        <v>365</v>
      </c>
      <c r="H1167" s="2">
        <v>-8000</v>
      </c>
      <c r="I1167" s="17">
        <v>3.93</v>
      </c>
      <c r="J1167" s="1" t="s">
        <v>366</v>
      </c>
      <c r="K1167" s="6">
        <f>Registro_Ordini[[#This Row],[Numero]]*Registro_Ordini[[#This Row],[Prezzo]]</f>
        <v>-31440</v>
      </c>
      <c r="L1167" s="10">
        <v>0.88966000000000001</v>
      </c>
      <c r="M1167" s="6">
        <f>Registro_Ordini[[#This Row],[Importo]]*Registro_Ordini[[#This Row],[Cambio]]</f>
        <v>-27970.910400000001</v>
      </c>
      <c r="N1167" s="1">
        <f ca="1">IFERROR(_xlfn.NUMBERVALUE(OFFSET(Origine,MATCH(Registro_Ordini[[#This Row],[Titolo]],Descrizioni,0),MATCH("Price",Intestazioni,0)-1,1,1)),"")</f>
        <v>4.1529999999999996</v>
      </c>
      <c r="O1167" s="18">
        <f ca="1">IF(OR(Registro_Ordini[[#This Row],[Price]]=0,Registro_Ordini[[#This Row],[Price]]=""),"",IF(Registro_Ordini[[#This Row],[Tipo]]="Sell",Registro_Ordini[[#This Row],[Prezzo]]/Registro_Ordini[[#This Row],[Price]]-1,Registro_Ordini[[#This Row],[Price]]/Registro_Ordini[[#This Row],[Prezzo]]-1))</f>
        <v>-5.3696123284372566E-2</v>
      </c>
      <c r="P1167" s="15">
        <v>-1.942249634904817E-2</v>
      </c>
      <c r="Q1167" s="3">
        <v>5.6698258671876368E-2</v>
      </c>
      <c r="R1167" s="3">
        <v>0.38601673267839176</v>
      </c>
      <c r="S1167" s="3">
        <v>0.42338467915097322</v>
      </c>
      <c r="T1167" s="3">
        <v>0</v>
      </c>
      <c r="U1167" s="3">
        <v>0.13390032949875852</v>
      </c>
      <c r="V1167" s="3"/>
      <c r="W1167" s="4"/>
    </row>
    <row r="1168" spans="1:23" s="1" customFormat="1" ht="24.95" customHeight="1" x14ac:dyDescent="0.2">
      <c r="A1168" s="8">
        <v>45246</v>
      </c>
      <c r="B1168" s="7">
        <v>0.60347222222222219</v>
      </c>
      <c r="C1168" s="9" t="s">
        <v>376</v>
      </c>
      <c r="D1168" s="1" t="s">
        <v>393</v>
      </c>
      <c r="E1168" s="1" t="s">
        <v>481</v>
      </c>
      <c r="F1168" s="1" t="s">
        <v>541</v>
      </c>
      <c r="G1168" s="1" t="s">
        <v>365</v>
      </c>
      <c r="H1168" s="2">
        <v>-1685</v>
      </c>
      <c r="I1168" s="17">
        <v>3.93</v>
      </c>
      <c r="J1168" s="1" t="s">
        <v>366</v>
      </c>
      <c r="K1168" s="6">
        <f>Registro_Ordini[[#This Row],[Numero]]*Registro_Ordini[[#This Row],[Prezzo]]</f>
        <v>-6622.05</v>
      </c>
      <c r="L1168" s="10">
        <v>0.88966000000000001</v>
      </c>
      <c r="M1168" s="6">
        <f>Registro_Ordini[[#This Row],[Importo]]*Registro_Ordini[[#This Row],[Cambio]]</f>
        <v>-5891.3730030000006</v>
      </c>
      <c r="N1168" s="1">
        <f ca="1">IFERROR(_xlfn.NUMBERVALUE(OFFSET(Origine,MATCH(Registro_Ordini[[#This Row],[Titolo]],Descrizioni,0),MATCH("Price",Intestazioni,0)-1,1,1)),"")</f>
        <v>4.1529999999999996</v>
      </c>
      <c r="O1168" s="18">
        <f ca="1">IF(OR(Registro_Ordini[[#This Row],[Price]]=0,Registro_Ordini[[#This Row],[Price]]=""),"",IF(Registro_Ordini[[#This Row],[Tipo]]="Sell",Registro_Ordini[[#This Row],[Prezzo]]/Registro_Ordini[[#This Row],[Price]]-1,Registro_Ordini[[#This Row],[Price]]/Registro_Ordini[[#This Row],[Prezzo]]-1))</f>
        <v>-5.3696123284372566E-2</v>
      </c>
      <c r="P1168" s="15">
        <v>-2.2786287422712961E-2</v>
      </c>
      <c r="Q1168" s="3">
        <v>4.637995449928653E-2</v>
      </c>
      <c r="R1168" s="3">
        <v>0.40102556904309766</v>
      </c>
      <c r="S1168" s="3">
        <v>0.39926978503862331</v>
      </c>
      <c r="T1168" s="3">
        <v>0</v>
      </c>
      <c r="U1168" s="3">
        <v>0.15332469141899241</v>
      </c>
      <c r="V1168" s="3"/>
      <c r="W1168" s="4"/>
    </row>
    <row r="1169" spans="1:23" s="1" customFormat="1" ht="24.95" customHeight="1" x14ac:dyDescent="0.2">
      <c r="A1169" s="8">
        <v>45246</v>
      </c>
      <c r="B1169" s="7">
        <v>0.60347222222222219</v>
      </c>
      <c r="C1169" s="9" t="s">
        <v>367</v>
      </c>
      <c r="D1169" s="1" t="s">
        <v>393</v>
      </c>
      <c r="E1169" s="1" t="s">
        <v>481</v>
      </c>
      <c r="F1169" s="1" t="s">
        <v>541</v>
      </c>
      <c r="G1169" s="1" t="s">
        <v>365</v>
      </c>
      <c r="H1169" s="2">
        <v>-9200</v>
      </c>
      <c r="I1169" s="17">
        <v>3.93</v>
      </c>
      <c r="J1169" s="1" t="s">
        <v>366</v>
      </c>
      <c r="K1169" s="6">
        <f>Registro_Ordini[[#This Row],[Numero]]*Registro_Ordini[[#This Row],[Prezzo]]</f>
        <v>-36156</v>
      </c>
      <c r="L1169" s="10">
        <v>0.88966000000000001</v>
      </c>
      <c r="M1169" s="6">
        <f>Registro_Ordini[[#This Row],[Importo]]*Registro_Ordini[[#This Row],[Cambio]]</f>
        <v>-32166.54696</v>
      </c>
      <c r="N1169" s="1">
        <f ca="1">IFERROR(_xlfn.NUMBERVALUE(OFFSET(Origine,MATCH(Registro_Ordini[[#This Row],[Titolo]],Descrizioni,0),MATCH("Price",Intestazioni,0)-1,1,1)),"")</f>
        <v>4.1529999999999996</v>
      </c>
      <c r="O1169" s="18">
        <f ca="1">IF(OR(Registro_Ordini[[#This Row],[Price]]=0,Registro_Ordini[[#This Row],[Price]]=""),"",IF(Registro_Ordini[[#This Row],[Tipo]]="Sell",Registro_Ordini[[#This Row],[Prezzo]]/Registro_Ordini[[#This Row],[Price]]-1,Registro_Ordini[[#This Row],[Price]]/Registro_Ordini[[#This Row],[Prezzo]]-1))</f>
        <v>-5.3696123284372566E-2</v>
      </c>
      <c r="P1169" s="15">
        <v>-9.9542649191576484E-3</v>
      </c>
      <c r="Q1169" s="3">
        <v>8.0397063864654922E-2</v>
      </c>
      <c r="R1169" s="3">
        <v>0.49038216467444867</v>
      </c>
      <c r="S1169" s="3">
        <v>0.37449466513807134</v>
      </c>
      <c r="T1169" s="3">
        <v>0</v>
      </c>
      <c r="U1169" s="3">
        <v>5.4726106322825083E-2</v>
      </c>
      <c r="V1169" s="3"/>
      <c r="W1169" s="4"/>
    </row>
    <row r="1170" spans="1:23" s="1" customFormat="1" ht="24.95" customHeight="1" x14ac:dyDescent="0.2">
      <c r="A1170" s="8">
        <v>45246</v>
      </c>
      <c r="B1170" s="7">
        <v>0.60347222222222219</v>
      </c>
      <c r="C1170" s="9" t="s">
        <v>378</v>
      </c>
      <c r="D1170" s="1" t="s">
        <v>393</v>
      </c>
      <c r="E1170" s="1" t="s">
        <v>542</v>
      </c>
      <c r="F1170" s="1" t="s">
        <v>543</v>
      </c>
      <c r="G1170" s="1" t="s">
        <v>365</v>
      </c>
      <c r="H1170" s="2">
        <v>-595</v>
      </c>
      <c r="I1170" s="17">
        <v>14.03</v>
      </c>
      <c r="J1170" s="1" t="s">
        <v>366</v>
      </c>
      <c r="K1170" s="6">
        <f>Registro_Ordini[[#This Row],[Numero]]*Registro_Ordini[[#This Row],[Prezzo]]</f>
        <v>-8347.85</v>
      </c>
      <c r="L1170" s="10">
        <v>0.88966000000000001</v>
      </c>
      <c r="M1170" s="6">
        <f>Registro_Ordini[[#This Row],[Importo]]*Registro_Ordini[[#This Row],[Cambio]]</f>
        <v>-7426.7482310000005</v>
      </c>
      <c r="N1170" s="1">
        <f ca="1">IFERROR(_xlfn.NUMBERVALUE(OFFSET(Origine,MATCH(Registro_Ordini[[#This Row],[Titolo]],Descrizioni,0),MATCH("Price",Intestazioni,0)-1,1,1)),"")</f>
        <v>18.46</v>
      </c>
      <c r="O1170" s="18">
        <f ca="1">IF(OR(Registro_Ordini[[#This Row],[Price]]=0,Registro_Ordini[[#This Row],[Price]]=""),"",IF(Registro_Ordini[[#This Row],[Tipo]]="Sell",Registro_Ordini[[#This Row],[Prezzo]]/Registro_Ordini[[#This Row],[Price]]-1,Registro_Ordini[[#This Row],[Price]]/Registro_Ordini[[#This Row],[Prezzo]]-1))</f>
        <v>-0.23997833152762738</v>
      </c>
      <c r="P1170" s="15">
        <v>-1.5768201269141732E-2</v>
      </c>
      <c r="Q1170" s="3">
        <v>0.11467721742774177</v>
      </c>
      <c r="R1170" s="3">
        <v>0.39067426034471964</v>
      </c>
      <c r="S1170" s="3">
        <v>0.39091389058929565</v>
      </c>
      <c r="T1170" s="3">
        <v>0</v>
      </c>
      <c r="U1170" s="3">
        <v>0.10373463163824294</v>
      </c>
      <c r="V1170" s="3"/>
      <c r="W1170" s="4"/>
    </row>
    <row r="1171" spans="1:23" s="1" customFormat="1" ht="24.95" customHeight="1" x14ac:dyDescent="0.2">
      <c r="A1171" s="8">
        <v>45246</v>
      </c>
      <c r="B1171" s="7">
        <v>0.60347222222222219</v>
      </c>
      <c r="C1171" s="9" t="s">
        <v>377</v>
      </c>
      <c r="D1171" s="1" t="s">
        <v>393</v>
      </c>
      <c r="E1171" s="1" t="s">
        <v>542</v>
      </c>
      <c r="F1171" s="1" t="s">
        <v>543</v>
      </c>
      <c r="G1171" s="1" t="s">
        <v>365</v>
      </c>
      <c r="H1171" s="2">
        <v>-2100</v>
      </c>
      <c r="I1171" s="17">
        <v>14.03</v>
      </c>
      <c r="J1171" s="1" t="s">
        <v>366</v>
      </c>
      <c r="K1171" s="6">
        <f>Registro_Ordini[[#This Row],[Numero]]*Registro_Ordini[[#This Row],[Prezzo]]</f>
        <v>-29463</v>
      </c>
      <c r="L1171" s="10">
        <v>0.88966000000000001</v>
      </c>
      <c r="M1171" s="6">
        <f>Registro_Ordini[[#This Row],[Importo]]*Registro_Ordini[[#This Row],[Cambio]]</f>
        <v>-26212.05258</v>
      </c>
      <c r="N1171" s="1">
        <f ca="1">IFERROR(_xlfn.NUMBERVALUE(OFFSET(Origine,MATCH(Registro_Ordini[[#This Row],[Titolo]],Descrizioni,0),MATCH("Price",Intestazioni,0)-1,1,1)),"")</f>
        <v>18.46</v>
      </c>
      <c r="O1171" s="18">
        <f ca="1">IF(OR(Registro_Ordini[[#This Row],[Price]]=0,Registro_Ordini[[#This Row],[Price]]=""),"",IF(Registro_Ordini[[#This Row],[Tipo]]="Sell",Registro_Ordini[[#This Row],[Prezzo]]/Registro_Ordini[[#This Row],[Price]]-1,Registro_Ordini[[#This Row],[Price]]/Registro_Ordini[[#This Row],[Prezzo]]-1))</f>
        <v>-0.23997833152762738</v>
      </c>
      <c r="P1171" s="15">
        <v>-1.8201177160687219E-2</v>
      </c>
      <c r="Q1171" s="3">
        <v>7.6120755020924552E-2</v>
      </c>
      <c r="R1171" s="3">
        <v>0.38601673267839182</v>
      </c>
      <c r="S1171" s="3">
        <v>0.42338467915097328</v>
      </c>
      <c r="T1171" s="3">
        <v>0</v>
      </c>
      <c r="U1171" s="3">
        <v>0.11447783314971037</v>
      </c>
      <c r="V1171" s="3"/>
      <c r="W1171" s="4"/>
    </row>
    <row r="1172" spans="1:23" s="1" customFormat="1" ht="24.95" customHeight="1" x14ac:dyDescent="0.2">
      <c r="A1172" s="8">
        <v>45246</v>
      </c>
      <c r="B1172" s="7">
        <v>0.60347222222222219</v>
      </c>
      <c r="C1172" s="9" t="s">
        <v>376</v>
      </c>
      <c r="D1172" s="1" t="s">
        <v>393</v>
      </c>
      <c r="E1172" s="1" t="s">
        <v>542</v>
      </c>
      <c r="F1172" s="1" t="s">
        <v>543</v>
      </c>
      <c r="G1172" s="1" t="s">
        <v>365</v>
      </c>
      <c r="H1172" s="2">
        <v>-400</v>
      </c>
      <c r="I1172" s="17">
        <v>14.03</v>
      </c>
      <c r="J1172" s="1" t="s">
        <v>366</v>
      </c>
      <c r="K1172" s="6">
        <f>Registro_Ordini[[#This Row],[Numero]]*Registro_Ordini[[#This Row],[Prezzo]]</f>
        <v>-5612</v>
      </c>
      <c r="L1172" s="10">
        <v>0.88966000000000001</v>
      </c>
      <c r="M1172" s="6">
        <f>Registro_Ordini[[#This Row],[Importo]]*Registro_Ordini[[#This Row],[Cambio]]</f>
        <v>-4992.7719200000001</v>
      </c>
      <c r="N1172" s="1">
        <f ca="1">IFERROR(_xlfn.NUMBERVALUE(OFFSET(Origine,MATCH(Registro_Ordini[[#This Row],[Titolo]],Descrizioni,0),MATCH("Price",Intestazioni,0)-1,1,1)),"")</f>
        <v>18.46</v>
      </c>
      <c r="O1172" s="18">
        <f ca="1">IF(OR(Registro_Ordini[[#This Row],[Price]]=0,Registro_Ordini[[#This Row],[Price]]=""),"",IF(Registro_Ordini[[#This Row],[Tipo]]="Sell",Registro_Ordini[[#This Row],[Prezzo]]/Registro_Ordini[[#This Row],[Price]]-1,Registro_Ordini[[#This Row],[Price]]/Registro_Ordini[[#This Row],[Prezzo]]-1))</f>
        <v>-0.23997833152762738</v>
      </c>
      <c r="P1172" s="15">
        <v>-1.9310733838654968E-2</v>
      </c>
      <c r="Q1172" s="3">
        <v>6.9166241921999494E-2</v>
      </c>
      <c r="R1172" s="3">
        <v>0.40102556904309766</v>
      </c>
      <c r="S1172" s="3">
        <v>0.39926978503862331</v>
      </c>
      <c r="T1172" s="3">
        <v>0</v>
      </c>
      <c r="U1172" s="3">
        <v>0.13053840399627945</v>
      </c>
      <c r="V1172" s="3"/>
      <c r="W1172" s="4"/>
    </row>
    <row r="1173" spans="1:23" s="1" customFormat="1" ht="24.95" customHeight="1" x14ac:dyDescent="0.2">
      <c r="A1173" s="8">
        <v>45244</v>
      </c>
      <c r="B1173" s="7">
        <v>0.6694444444444444</v>
      </c>
      <c r="C1173" s="9" t="s">
        <v>383</v>
      </c>
      <c r="D1173" s="1" t="s">
        <v>388</v>
      </c>
      <c r="E1173" s="1" t="s">
        <v>389</v>
      </c>
      <c r="F1173" s="1" t="s">
        <v>510</v>
      </c>
      <c r="G1173" s="1" t="s">
        <v>371</v>
      </c>
      <c r="H1173" s="2">
        <v>35</v>
      </c>
      <c r="I1173" s="17">
        <v>899.72</v>
      </c>
      <c r="J1173" s="1" t="s">
        <v>366</v>
      </c>
      <c r="K1173" s="6">
        <f>Registro_Ordini[[#This Row],[Numero]]*Registro_Ordini[[#This Row],[Prezzo]]</f>
        <v>31490.2</v>
      </c>
      <c r="L1173" s="10">
        <v>0.92308965374570084</v>
      </c>
      <c r="M1173" s="6">
        <f>Registro_Ordini[[#This Row],[Importo]]*Registro_Ordini[[#This Row],[Cambio]]</f>
        <v>29068.277814382869</v>
      </c>
      <c r="N1173" s="1">
        <f ca="1">IFERROR(_xlfn.NUMBERVALUE(OFFSET(Origine,MATCH(Registro_Ordini[[#This Row],[Titolo]],Descrizioni,0),MATCH("Price",Intestazioni,0)-1,1,1)),"")</f>
        <v>1410</v>
      </c>
      <c r="O1173" s="18">
        <f ca="1">IF(OR(Registro_Ordini[[#This Row],[Price]]=0,Registro_Ordini[[#This Row],[Price]]=""),"",IF(Registro_Ordini[[#This Row],[Tipo]]="Sell",Registro_Ordini[[#This Row],[Prezzo]]/Registro_Ordini[[#This Row],[Price]]-1,Registro_Ordini[[#This Row],[Price]]/Registro_Ordini[[#This Row],[Prezzo]]-1))</f>
        <v>0.56715422575912511</v>
      </c>
      <c r="P1173" s="15">
        <v>5.332507809508983E-2</v>
      </c>
      <c r="Q1173" s="3">
        <v>0.18735227689723902</v>
      </c>
      <c r="R1173" s="3">
        <v>0.29823089902918443</v>
      </c>
      <c r="S1173" s="3">
        <v>0.37120228226069557</v>
      </c>
      <c r="T1173" s="3">
        <v>0</v>
      </c>
      <c r="U1173" s="3">
        <v>0.14321454181288093</v>
      </c>
      <c r="V1173" s="3"/>
      <c r="W1173" s="4"/>
    </row>
    <row r="1174" spans="1:23" s="1" customFormat="1" ht="24.95" customHeight="1" x14ac:dyDescent="0.2">
      <c r="A1174" s="8">
        <v>45244</v>
      </c>
      <c r="B1174" s="7">
        <v>0.6694444444444444</v>
      </c>
      <c r="C1174" s="9" t="s">
        <v>382</v>
      </c>
      <c r="D1174" s="1" t="s">
        <v>388</v>
      </c>
      <c r="E1174" s="1" t="s">
        <v>389</v>
      </c>
      <c r="F1174" s="1" t="s">
        <v>510</v>
      </c>
      <c r="G1174" s="1" t="s">
        <v>371</v>
      </c>
      <c r="H1174" s="2">
        <v>60</v>
      </c>
      <c r="I1174" s="17">
        <v>899.72</v>
      </c>
      <c r="J1174" s="1" t="s">
        <v>366</v>
      </c>
      <c r="K1174" s="6">
        <f>Registro_Ordini[[#This Row],[Numero]]*Registro_Ordini[[#This Row],[Prezzo]]</f>
        <v>53983.200000000004</v>
      </c>
      <c r="L1174" s="10">
        <v>0.92308965374570084</v>
      </c>
      <c r="M1174" s="6">
        <f>Registro_Ordini[[#This Row],[Importo]]*Registro_Ordini[[#This Row],[Cambio]]</f>
        <v>49831.33339608492</v>
      </c>
      <c r="N1174" s="1">
        <f ca="1">IFERROR(_xlfn.NUMBERVALUE(OFFSET(Origine,MATCH(Registro_Ordini[[#This Row],[Titolo]],Descrizioni,0),MATCH("Price",Intestazioni,0)-1,1,1)),"")</f>
        <v>1410</v>
      </c>
      <c r="O1174" s="18">
        <f ca="1">IF(OR(Registro_Ordini[[#This Row],[Price]]=0,Registro_Ordini[[#This Row],[Price]]=""),"",IF(Registro_Ordini[[#This Row],[Tipo]]="Sell",Registro_Ordini[[#This Row],[Prezzo]]/Registro_Ordini[[#This Row],[Price]]-1,Registro_Ordini[[#This Row],[Price]]/Registro_Ordini[[#This Row],[Prezzo]]-1))</f>
        <v>0.56715422575912511</v>
      </c>
      <c r="P1174" s="15">
        <v>5.3585260489876718E-2</v>
      </c>
      <c r="Q1174" s="3">
        <v>0.15354120552118622</v>
      </c>
      <c r="R1174" s="3">
        <v>0.28712676124123232</v>
      </c>
      <c r="S1174" s="3">
        <v>0.41462637664999807</v>
      </c>
      <c r="T1174" s="3">
        <v>0</v>
      </c>
      <c r="U1174" s="3">
        <v>0.14470565658758333</v>
      </c>
      <c r="V1174" s="3"/>
      <c r="W1174" s="4"/>
    </row>
    <row r="1175" spans="1:23" s="1" customFormat="1" ht="24.95" customHeight="1" x14ac:dyDescent="0.2">
      <c r="A1175" s="8">
        <v>45244</v>
      </c>
      <c r="B1175" s="7">
        <v>0.6694444444444444</v>
      </c>
      <c r="C1175" s="9" t="s">
        <v>106</v>
      </c>
      <c r="D1175" s="1" t="s">
        <v>388</v>
      </c>
      <c r="E1175" s="1" t="s">
        <v>389</v>
      </c>
      <c r="F1175" s="1" t="s">
        <v>510</v>
      </c>
      <c r="G1175" s="1" t="s">
        <v>371</v>
      </c>
      <c r="H1175" s="2">
        <v>15</v>
      </c>
      <c r="I1175" s="17">
        <v>899.72</v>
      </c>
      <c r="J1175" s="1" t="s">
        <v>366</v>
      </c>
      <c r="K1175" s="6">
        <f>Registro_Ordini[[#This Row],[Numero]]*Registro_Ordini[[#This Row],[Prezzo]]</f>
        <v>13495.800000000001</v>
      </c>
      <c r="L1175" s="10">
        <v>0.92308965374570084</v>
      </c>
      <c r="M1175" s="6">
        <f>Registro_Ordini[[#This Row],[Importo]]*Registro_Ordini[[#This Row],[Cambio]]</f>
        <v>12457.83334902123</v>
      </c>
      <c r="N1175" s="1">
        <f ca="1">IFERROR(_xlfn.NUMBERVALUE(OFFSET(Origine,MATCH(Registro_Ordini[[#This Row],[Titolo]],Descrizioni,0),MATCH("Price",Intestazioni,0)-1,1,1)),"")</f>
        <v>1410</v>
      </c>
      <c r="O1175" s="18">
        <f ca="1">IF(OR(Registro_Ordini[[#This Row],[Price]]=0,Registro_Ordini[[#This Row],[Price]]=""),"",IF(Registro_Ordini[[#This Row],[Tipo]]="Sell",Registro_Ordini[[#This Row],[Prezzo]]/Registro_Ordini[[#This Row],[Price]]-1,Registro_Ordini[[#This Row],[Price]]/Registro_Ordini[[#This Row],[Prezzo]]-1))</f>
        <v>0.56715422575912511</v>
      </c>
      <c r="P1175" s="15">
        <v>0.10421810030943909</v>
      </c>
      <c r="Q1175" s="3">
        <v>0.29216953235266557</v>
      </c>
      <c r="R1175" s="3">
        <v>0.26073648306748148</v>
      </c>
      <c r="S1175" s="3">
        <v>0.29498631868678515</v>
      </c>
      <c r="T1175" s="3">
        <v>0</v>
      </c>
      <c r="U1175" s="3">
        <v>0.15210766589306779</v>
      </c>
      <c r="V1175" s="3"/>
      <c r="W1175" s="4"/>
    </row>
    <row r="1176" spans="1:23" s="1" customFormat="1" ht="24.95" customHeight="1" x14ac:dyDescent="0.2">
      <c r="A1176" s="8">
        <v>45244</v>
      </c>
      <c r="B1176" s="7">
        <v>0.6694444444444444</v>
      </c>
      <c r="C1176" s="9" t="s">
        <v>379</v>
      </c>
      <c r="D1176" s="1" t="s">
        <v>388</v>
      </c>
      <c r="E1176" s="1" t="s">
        <v>389</v>
      </c>
      <c r="F1176" s="1" t="s">
        <v>510</v>
      </c>
      <c r="G1176" s="1" t="s">
        <v>371</v>
      </c>
      <c r="H1176" s="2">
        <v>30</v>
      </c>
      <c r="I1176" s="17">
        <v>899.72</v>
      </c>
      <c r="J1176" s="1" t="s">
        <v>366</v>
      </c>
      <c r="K1176" s="6">
        <f>Registro_Ordini[[#This Row],[Numero]]*Registro_Ordini[[#This Row],[Prezzo]]</f>
        <v>26991.600000000002</v>
      </c>
      <c r="L1176" s="10">
        <v>0.92308965374570084</v>
      </c>
      <c r="M1176" s="6">
        <f>Registro_Ordini[[#This Row],[Importo]]*Registro_Ordini[[#This Row],[Cambio]]</f>
        <v>24915.66669804246</v>
      </c>
      <c r="N1176" s="1">
        <f ca="1">IFERROR(_xlfn.NUMBERVALUE(OFFSET(Origine,MATCH(Registro_Ordini[[#This Row],[Titolo]],Descrizioni,0),MATCH("Price",Intestazioni,0)-1,1,1)),"")</f>
        <v>1410</v>
      </c>
      <c r="O1176" s="18">
        <f ca="1">IF(OR(Registro_Ordini[[#This Row],[Price]]=0,Registro_Ordini[[#This Row],[Price]]=""),"",IF(Registro_Ordini[[#This Row],[Tipo]]="Sell",Registro_Ordini[[#This Row],[Prezzo]]/Registro_Ordini[[#This Row],[Price]]-1,Registro_Ordini[[#This Row],[Price]]/Registro_Ordini[[#This Row],[Prezzo]]-1))</f>
        <v>0.56715422575912511</v>
      </c>
      <c r="P1176" s="15">
        <v>4.9391160016780865E-2</v>
      </c>
      <c r="Q1176" s="3">
        <v>0.1507216537748646</v>
      </c>
      <c r="R1176" s="3">
        <v>0.30895942678420657</v>
      </c>
      <c r="S1176" s="3">
        <v>0.39754990086819275</v>
      </c>
      <c r="T1176" s="3">
        <v>0</v>
      </c>
      <c r="U1176" s="3">
        <v>0.14276901857273616</v>
      </c>
      <c r="V1176" s="3"/>
      <c r="W1176" s="4"/>
    </row>
    <row r="1177" spans="1:23" s="1" customFormat="1" ht="24.95" customHeight="1" x14ac:dyDescent="0.2">
      <c r="A1177" s="8">
        <v>45244</v>
      </c>
      <c r="B1177" s="7">
        <v>0.66874999999999996</v>
      </c>
      <c r="C1177" s="9" t="s">
        <v>78</v>
      </c>
      <c r="D1177" s="1" t="s">
        <v>388</v>
      </c>
      <c r="E1177" s="1" t="s">
        <v>389</v>
      </c>
      <c r="F1177" s="1" t="s">
        <v>510</v>
      </c>
      <c r="G1177" s="1" t="s">
        <v>371</v>
      </c>
      <c r="H1177" s="2">
        <v>25</v>
      </c>
      <c r="I1177" s="17">
        <v>899.72</v>
      </c>
      <c r="J1177" s="1" t="s">
        <v>366</v>
      </c>
      <c r="K1177" s="6">
        <f>Registro_Ordini[[#This Row],[Numero]]*Registro_Ordini[[#This Row],[Prezzo]]</f>
        <v>22493</v>
      </c>
      <c r="L1177" s="10">
        <v>0.89241999999999999</v>
      </c>
      <c r="M1177" s="6">
        <f>Registro_Ordini[[#This Row],[Importo]]*Registro_Ordini[[#This Row],[Cambio]]</f>
        <v>20073.20306</v>
      </c>
      <c r="N1177" s="1">
        <f ca="1">IFERROR(_xlfn.NUMBERVALUE(OFFSET(Origine,MATCH(Registro_Ordini[[#This Row],[Titolo]],Descrizioni,0),MATCH("Price",Intestazioni,0)-1,1,1)),"")</f>
        <v>1410</v>
      </c>
      <c r="O1177" s="18">
        <f ca="1">IF(OR(Registro_Ordini[[#This Row],[Price]]=0,Registro_Ordini[[#This Row],[Price]]=""),"",IF(Registro_Ordini[[#This Row],[Tipo]]="Sell",Registro_Ordini[[#This Row],[Prezzo]]/Registro_Ordini[[#This Row],[Price]]-1,Registro_Ordini[[#This Row],[Price]]/Registro_Ordini[[#This Row],[Prezzo]]-1))</f>
        <v>0.56715422575912511</v>
      </c>
      <c r="P1177" s="15">
        <v>5.1731588451097613E-2</v>
      </c>
      <c r="Q1177" s="3">
        <v>0.41781189990552792</v>
      </c>
      <c r="R1177" s="3">
        <v>0</v>
      </c>
      <c r="S1177" s="3">
        <v>0.46714458765279349</v>
      </c>
      <c r="T1177" s="3">
        <v>0</v>
      </c>
      <c r="U1177" s="3">
        <v>0.11504351244167862</v>
      </c>
      <c r="V1177" s="3"/>
      <c r="W1177" s="4"/>
    </row>
    <row r="1178" spans="1:23" s="1" customFormat="1" ht="24.95" customHeight="1" x14ac:dyDescent="0.2">
      <c r="A1178" s="8">
        <v>45244</v>
      </c>
      <c r="B1178" s="7">
        <v>0.66805555555555551</v>
      </c>
      <c r="C1178" s="9" t="s">
        <v>375</v>
      </c>
      <c r="D1178" s="1" t="s">
        <v>388</v>
      </c>
      <c r="E1178" s="1" t="s">
        <v>389</v>
      </c>
      <c r="F1178" s="1" t="s">
        <v>510</v>
      </c>
      <c r="G1178" s="1" t="s">
        <v>371</v>
      </c>
      <c r="H1178" s="2">
        <v>60</v>
      </c>
      <c r="I1178" s="17">
        <v>899.72</v>
      </c>
      <c r="J1178" s="1" t="s">
        <v>366</v>
      </c>
      <c r="K1178" s="6">
        <f>Registro_Ordini[[#This Row],[Numero]]*Registro_Ordini[[#This Row],[Prezzo]]</f>
        <v>53983.200000000004</v>
      </c>
      <c r="L1178" s="10">
        <v>0.89241999999999999</v>
      </c>
      <c r="M1178" s="6">
        <f>Registro_Ordini[[#This Row],[Importo]]*Registro_Ordini[[#This Row],[Cambio]]</f>
        <v>48175.687344000005</v>
      </c>
      <c r="N1178" s="1">
        <f ca="1">IFERROR(_xlfn.NUMBERVALUE(OFFSET(Origine,MATCH(Registro_Ordini[[#This Row],[Titolo]],Descrizioni,0),MATCH("Price",Intestazioni,0)-1,1,1)),"")</f>
        <v>1410</v>
      </c>
      <c r="O1178" s="18">
        <f ca="1">IF(OR(Registro_Ordini[[#This Row],[Price]]=0,Registro_Ordini[[#This Row],[Price]]=""),"",IF(Registro_Ordini[[#This Row],[Tipo]]="Sell",Registro_Ordini[[#This Row],[Prezzo]]/Registro_Ordini[[#This Row],[Price]]-1,Registro_Ordini[[#This Row],[Price]]/Registro_Ordini[[#This Row],[Prezzo]]-1))</f>
        <v>0.56715422575912511</v>
      </c>
      <c r="P1178" s="15">
        <v>6.6000029269385668E-2</v>
      </c>
      <c r="Q1178" s="3">
        <v>0.11785345857266495</v>
      </c>
      <c r="R1178" s="3">
        <v>0.42189143128287204</v>
      </c>
      <c r="S1178" s="3">
        <v>0.32667245815345353</v>
      </c>
      <c r="T1178" s="3">
        <v>0</v>
      </c>
      <c r="U1178" s="3">
        <v>0.13358265199100933</v>
      </c>
      <c r="V1178" s="3"/>
      <c r="W1178" s="4"/>
    </row>
    <row r="1179" spans="1:23" s="1" customFormat="1" ht="24.95" customHeight="1" x14ac:dyDescent="0.2">
      <c r="A1179" s="8">
        <v>45244</v>
      </c>
      <c r="B1179" s="7">
        <v>0.66805555555555551</v>
      </c>
      <c r="C1179" s="9" t="s">
        <v>378</v>
      </c>
      <c r="D1179" s="1" t="s">
        <v>388</v>
      </c>
      <c r="E1179" s="1" t="s">
        <v>389</v>
      </c>
      <c r="F1179" s="1" t="s">
        <v>510</v>
      </c>
      <c r="G1179" s="1" t="s">
        <v>371</v>
      </c>
      <c r="H1179" s="2">
        <v>30</v>
      </c>
      <c r="I1179" s="17">
        <v>899.72</v>
      </c>
      <c r="J1179" s="1" t="s">
        <v>366</v>
      </c>
      <c r="K1179" s="6">
        <f>Registro_Ordini[[#This Row],[Numero]]*Registro_Ordini[[#This Row],[Prezzo]]</f>
        <v>26991.600000000002</v>
      </c>
      <c r="L1179" s="10">
        <v>0.89241999999999999</v>
      </c>
      <c r="M1179" s="6">
        <f>Registro_Ordini[[#This Row],[Importo]]*Registro_Ordini[[#This Row],[Cambio]]</f>
        <v>24087.843672000003</v>
      </c>
      <c r="N1179" s="1">
        <f ca="1">IFERROR(_xlfn.NUMBERVALUE(OFFSET(Origine,MATCH(Registro_Ordini[[#This Row],[Titolo]],Descrizioni,0),MATCH("Price",Intestazioni,0)-1,1,1)),"")</f>
        <v>1410</v>
      </c>
      <c r="O1179" s="18">
        <f ca="1">IF(OR(Registro_Ordini[[#This Row],[Price]]=0,Registro_Ordini[[#This Row],[Price]]=""),"",IF(Registro_Ordini[[#This Row],[Tipo]]="Sell",Registro_Ordini[[#This Row],[Prezzo]]/Registro_Ordini[[#This Row],[Price]]-1,Registro_Ordini[[#This Row],[Price]]/Registro_Ordini[[#This Row],[Prezzo]]-1))</f>
        <v>0.56715422575912511</v>
      </c>
      <c r="P1179" s="15">
        <v>5.1046523442678807E-2</v>
      </c>
      <c r="Q1179" s="3">
        <v>0.1474283736685357</v>
      </c>
      <c r="R1179" s="3">
        <v>0.38976217204790958</v>
      </c>
      <c r="S1179" s="3">
        <v>0.34069873776802045</v>
      </c>
      <c r="T1179" s="3">
        <v>0</v>
      </c>
      <c r="U1179" s="3">
        <v>0.12211071651553436</v>
      </c>
      <c r="V1179" s="3"/>
      <c r="W1179" s="4"/>
    </row>
    <row r="1180" spans="1:23" s="1" customFormat="1" ht="24.95" customHeight="1" x14ac:dyDescent="0.2">
      <c r="A1180" s="8">
        <v>45244</v>
      </c>
      <c r="B1180" s="7">
        <v>0.66805555555555551</v>
      </c>
      <c r="C1180" s="9" t="s">
        <v>377</v>
      </c>
      <c r="D1180" s="1" t="s">
        <v>388</v>
      </c>
      <c r="E1180" s="1" t="s">
        <v>389</v>
      </c>
      <c r="F1180" s="1" t="s">
        <v>510</v>
      </c>
      <c r="G1180" s="1" t="s">
        <v>371</v>
      </c>
      <c r="H1180" s="2">
        <v>100</v>
      </c>
      <c r="I1180" s="17">
        <v>899.72</v>
      </c>
      <c r="J1180" s="1" t="s">
        <v>366</v>
      </c>
      <c r="K1180" s="6">
        <f>Registro_Ordini[[#This Row],[Numero]]*Registro_Ordini[[#This Row],[Prezzo]]</f>
        <v>89972</v>
      </c>
      <c r="L1180" s="10">
        <v>0.89241999999999999</v>
      </c>
      <c r="M1180" s="6">
        <f>Registro_Ordini[[#This Row],[Importo]]*Registro_Ordini[[#This Row],[Cambio]]</f>
        <v>80292.812239999999</v>
      </c>
      <c r="N1180" s="1">
        <f ca="1">IFERROR(_xlfn.NUMBERVALUE(OFFSET(Origine,MATCH(Registro_Ordini[[#This Row],[Titolo]],Descrizioni,0),MATCH("Price",Intestazioni,0)-1,1,1)),"")</f>
        <v>1410</v>
      </c>
      <c r="O1180" s="18">
        <f ca="1">IF(OR(Registro_Ordini[[#This Row],[Price]]=0,Registro_Ordini[[#This Row],[Price]]=""),"",IF(Registro_Ordini[[#This Row],[Tipo]]="Sell",Registro_Ordini[[#This Row],[Prezzo]]/Registro_Ordini[[#This Row],[Price]]-1,Registro_Ordini[[#This Row],[Price]]/Registro_Ordini[[#This Row],[Prezzo]]-1))</f>
        <v>0.56715422575912511</v>
      </c>
      <c r="P1180" s="15">
        <v>5.5686055574181569E-2</v>
      </c>
      <c r="Q1180" s="3">
        <v>0.112374847280653</v>
      </c>
      <c r="R1180" s="3">
        <v>0.38536023153600685</v>
      </c>
      <c r="S1180" s="3">
        <v>0.36784823939186223</v>
      </c>
      <c r="T1180" s="3">
        <v>0</v>
      </c>
      <c r="U1180" s="3">
        <v>0.13441668179147778</v>
      </c>
      <c r="V1180" s="3"/>
      <c r="W1180" s="4"/>
    </row>
    <row r="1181" spans="1:23" s="1" customFormat="1" ht="24.95" customHeight="1" x14ac:dyDescent="0.2">
      <c r="A1181" s="8">
        <v>45244</v>
      </c>
      <c r="B1181" s="7">
        <v>0.66805555555555551</v>
      </c>
      <c r="C1181" s="9" t="s">
        <v>376</v>
      </c>
      <c r="D1181" s="1" t="s">
        <v>388</v>
      </c>
      <c r="E1181" s="1" t="s">
        <v>389</v>
      </c>
      <c r="F1181" s="1" t="s">
        <v>510</v>
      </c>
      <c r="G1181" s="1" t="s">
        <v>371</v>
      </c>
      <c r="H1181" s="2">
        <v>20</v>
      </c>
      <c r="I1181" s="17">
        <v>899.72</v>
      </c>
      <c r="J1181" s="1" t="s">
        <v>366</v>
      </c>
      <c r="K1181" s="6">
        <f>Registro_Ordini[[#This Row],[Numero]]*Registro_Ordini[[#This Row],[Prezzo]]</f>
        <v>17994.400000000001</v>
      </c>
      <c r="L1181" s="10">
        <v>0.89241999999999999</v>
      </c>
      <c r="M1181" s="6">
        <f>Registro_Ordini[[#This Row],[Importo]]*Registro_Ordini[[#This Row],[Cambio]]</f>
        <v>16058.562448000001</v>
      </c>
      <c r="N1181" s="1">
        <f ca="1">IFERROR(_xlfn.NUMBERVALUE(OFFSET(Origine,MATCH(Registro_Ordini[[#This Row],[Titolo]],Descrizioni,0),MATCH("Price",Intestazioni,0)-1,1,1)),"")</f>
        <v>1410</v>
      </c>
      <c r="O1181" s="18">
        <f ca="1">IF(OR(Registro_Ordini[[#This Row],[Price]]=0,Registro_Ordini[[#This Row],[Price]]=""),"",IF(Registro_Ordini[[#This Row],[Tipo]]="Sell",Registro_Ordini[[#This Row],[Prezzo]]/Registro_Ordini[[#This Row],[Price]]-1,Registro_Ordini[[#This Row],[Price]]/Registro_Ordini[[#This Row],[Prezzo]]-1))</f>
        <v>0.56715422575912511</v>
      </c>
      <c r="P1181" s="15">
        <v>6.2027271782927024E-2</v>
      </c>
      <c r="Q1181" s="3">
        <v>0.10835289658051252</v>
      </c>
      <c r="R1181" s="3">
        <v>0.40028176723379316</v>
      </c>
      <c r="S1181" s="3">
        <v>0.33754848733434528</v>
      </c>
      <c r="T1181" s="3">
        <v>0</v>
      </c>
      <c r="U1181" s="3">
        <v>0.15381684885134897</v>
      </c>
      <c r="V1181" s="3"/>
      <c r="W1181" s="4"/>
    </row>
    <row r="1182" spans="1:23" s="1" customFormat="1" ht="24.95" customHeight="1" x14ac:dyDescent="0.2">
      <c r="A1182" s="8">
        <v>45244</v>
      </c>
      <c r="B1182" s="7">
        <v>0.65972222222222221</v>
      </c>
      <c r="C1182" s="9" t="s">
        <v>367</v>
      </c>
      <c r="D1182" s="1" t="s">
        <v>388</v>
      </c>
      <c r="E1182" s="1" t="s">
        <v>389</v>
      </c>
      <c r="F1182" s="1" t="s">
        <v>510</v>
      </c>
      <c r="G1182" s="1" t="s">
        <v>371</v>
      </c>
      <c r="H1182" s="2">
        <v>150</v>
      </c>
      <c r="I1182" s="17">
        <v>899</v>
      </c>
      <c r="J1182" s="1" t="s">
        <v>366</v>
      </c>
      <c r="K1182" s="6">
        <f>Registro_Ordini[[#This Row],[Numero]]*Registro_Ordini[[#This Row],[Prezzo]]</f>
        <v>134850</v>
      </c>
      <c r="L1182" s="10">
        <v>0.89298</v>
      </c>
      <c r="M1182" s="6">
        <f>Registro_Ordini[[#This Row],[Importo]]*Registro_Ordini[[#This Row],[Cambio]]</f>
        <v>120418.353</v>
      </c>
      <c r="N1182" s="1">
        <f ca="1">IFERROR(_xlfn.NUMBERVALUE(OFFSET(Origine,MATCH(Registro_Ordini[[#This Row],[Titolo]],Descrizioni,0),MATCH("Price",Intestazioni,0)-1,1,1)),"")</f>
        <v>1410</v>
      </c>
      <c r="O1182" s="18">
        <f ca="1">IF(OR(Registro_Ordini[[#This Row],[Price]]=0,Registro_Ordini[[#This Row],[Price]]=""),"",IF(Registro_Ordini[[#This Row],[Tipo]]="Sell",Registro_Ordini[[#This Row],[Prezzo]]/Registro_Ordini[[#This Row],[Price]]-1,Registro_Ordini[[#This Row],[Price]]/Registro_Ordini[[#This Row],[Prezzo]]-1))</f>
        <v>0.5684093437152391</v>
      </c>
      <c r="P1182" s="15">
        <v>3.7236296024427011E-2</v>
      </c>
      <c r="Q1182" s="3">
        <v>0.14497723485068473</v>
      </c>
      <c r="R1182" s="3">
        <v>0.46303960376903192</v>
      </c>
      <c r="S1182" s="3">
        <v>0.33694255990050392</v>
      </c>
      <c r="T1182" s="3">
        <v>0</v>
      </c>
      <c r="U1182" s="3">
        <v>5.5040601479779447E-2</v>
      </c>
      <c r="V1182" s="3"/>
      <c r="W1182" s="4"/>
    </row>
    <row r="1183" spans="1:23" s="1" customFormat="1" ht="24.95" customHeight="1" x14ac:dyDescent="0.2">
      <c r="A1183" s="8">
        <v>45244</v>
      </c>
      <c r="B1183" s="7">
        <v>0.65347222222222223</v>
      </c>
      <c r="C1183" s="9" t="s">
        <v>385</v>
      </c>
      <c r="D1183" s="1" t="s">
        <v>388</v>
      </c>
      <c r="E1183" s="1" t="s">
        <v>389</v>
      </c>
      <c r="F1183" s="1" t="s">
        <v>439</v>
      </c>
      <c r="G1183" s="1" t="s">
        <v>371</v>
      </c>
      <c r="H1183" s="2">
        <v>100</v>
      </c>
      <c r="I1183" s="17">
        <v>94.54</v>
      </c>
      <c r="J1183" s="1" t="s">
        <v>381</v>
      </c>
      <c r="K1183" s="6">
        <f>Registro_Ordini[[#This Row],[Numero]]*Registro_Ordini[[#This Row],[Prezzo]]</f>
        <v>9454</v>
      </c>
      <c r="L1183" s="10">
        <v>1</v>
      </c>
      <c r="M1183" s="6">
        <f>Registro_Ordini[[#This Row],[Importo]]*Registro_Ordini[[#This Row],[Cambio]]</f>
        <v>9454</v>
      </c>
      <c r="N1183" s="1">
        <f ca="1">IFERROR(_xlfn.NUMBERVALUE(OFFSET(Origine,MATCH(Registro_Ordini[[#This Row],[Titolo]],Descrizioni,0),MATCH("Price",Intestazioni,0)-1,1,1)),"")</f>
        <v>140.09</v>
      </c>
      <c r="O1183" s="18">
        <f ca="1">IF(OR(Registro_Ordini[[#This Row],[Price]]=0,Registro_Ordini[[#This Row],[Price]]=""),"",IF(Registro_Ordini[[#This Row],[Tipo]]="Sell",Registro_Ordini[[#This Row],[Prezzo]]/Registro_Ordini[[#This Row],[Price]]-1,Registro_Ordini[[#This Row],[Price]]/Registro_Ordini[[#This Row],[Prezzo]]-1))</f>
        <v>0.48180664269092444</v>
      </c>
      <c r="P1183" s="15">
        <v>7.0944501741540267E-2</v>
      </c>
      <c r="Q1183" s="3">
        <v>0.58201320762918496</v>
      </c>
      <c r="R1183" s="3">
        <v>0.29031520511362008</v>
      </c>
      <c r="S1183" s="3">
        <v>7.1465291716245466E-2</v>
      </c>
      <c r="T1183" s="3">
        <v>0</v>
      </c>
      <c r="U1183" s="3">
        <v>5.6206295540949504E-2</v>
      </c>
      <c r="V1183" s="3"/>
      <c r="W1183" s="4"/>
    </row>
    <row r="1184" spans="1:23" s="1" customFormat="1" ht="24.95" customHeight="1" x14ac:dyDescent="0.2">
      <c r="A1184" s="8">
        <v>45243</v>
      </c>
      <c r="B1184" s="7">
        <v>0.39652777777777776</v>
      </c>
      <c r="C1184" s="9" t="s">
        <v>367</v>
      </c>
      <c r="D1184" s="1" t="s">
        <v>368</v>
      </c>
      <c r="E1184" s="1" t="s">
        <v>369</v>
      </c>
      <c r="F1184" s="1" t="s">
        <v>374</v>
      </c>
      <c r="G1184" s="1" t="s">
        <v>371</v>
      </c>
      <c r="H1184" s="2">
        <v>100000</v>
      </c>
      <c r="I1184" s="16">
        <v>0.872</v>
      </c>
      <c r="J1184" s="1" t="s">
        <v>369</v>
      </c>
      <c r="K1184" s="6">
        <f>Registro_Ordini[[#This Row],[Numero]]*Registro_Ordini[[#This Row],[Prezzo]]</f>
        <v>87200</v>
      </c>
      <c r="L1184" s="10">
        <v>1</v>
      </c>
      <c r="M1184" s="6">
        <f>Registro_Ordini[[#This Row],[Importo]]*Registro_Ordini[[#This Row],[Cambio]]</f>
        <v>87200</v>
      </c>
      <c r="N1184" s="1">
        <f ca="1">IFERROR(_xlfn.NUMBERVALUE(OFFSET(Origine,MATCH(Registro_Ordini[[#This Row],[Titolo]],Descrizioni,0),MATCH("Price",Intestazioni,0)-1,1,1)),"")</f>
        <v>0.99599166667000005</v>
      </c>
      <c r="O1184" s="18">
        <f ca="1">IF(OR(Registro_Ordini[[#This Row],[Price]]=0,Registro_Ordini[[#This Row],[Price]]=""),"",IF(Registro_Ordini[[#This Row],[Tipo]]="Sell",Registro_Ordini[[#This Row],[Prezzo]]/Registro_Ordini[[#This Row],[Price]]-1,Registro_Ordini[[#This Row],[Price]]/Registro_Ordini[[#This Row],[Prezzo]]-1))</f>
        <v>0.14219227829128456</v>
      </c>
      <c r="P1184" s="15">
        <v>2.6716007813481001E-2</v>
      </c>
      <c r="Q1184" s="3">
        <v>0.1065857727913727</v>
      </c>
      <c r="R1184" s="3">
        <v>0.45866045553685159</v>
      </c>
      <c r="S1184" s="3">
        <v>0.38056224220090984</v>
      </c>
      <c r="T1184" s="3">
        <v>0</v>
      </c>
      <c r="U1184" s="3">
        <v>5.4191529470865703E-2</v>
      </c>
      <c r="V1184" s="3"/>
      <c r="W1184" s="4"/>
    </row>
    <row r="1185" spans="1:27" s="1" customFormat="1" ht="24.95" customHeight="1" x14ac:dyDescent="0.2">
      <c r="A1185" s="8">
        <v>45240</v>
      </c>
      <c r="B1185" s="7">
        <v>0.67291666666666672</v>
      </c>
      <c r="C1185" s="9" t="s">
        <v>456</v>
      </c>
      <c r="D1185" s="1" t="s">
        <v>388</v>
      </c>
      <c r="E1185" s="1" t="s">
        <v>389</v>
      </c>
      <c r="F1185" s="1" t="s">
        <v>544</v>
      </c>
      <c r="G1185" s="1" t="s">
        <v>365</v>
      </c>
      <c r="H1185" s="2">
        <v>-30</v>
      </c>
      <c r="I1185" s="17">
        <v>755.91</v>
      </c>
      <c r="J1185" s="1" t="s">
        <v>366</v>
      </c>
      <c r="K1185" s="6">
        <f>Registro_Ordini[[#This Row],[Numero]]*Registro_Ordini[[#This Row],[Prezzo]]</f>
        <v>-22677.3</v>
      </c>
      <c r="L1185" s="10">
        <v>0.90207999999999999</v>
      </c>
      <c r="M1185" s="6">
        <f>Registro_Ordini[[#This Row],[Importo]]*Registro_Ordini[[#This Row],[Cambio]]</f>
        <v>-20456.738783999997</v>
      </c>
      <c r="N1185" s="1">
        <f ca="1">IFERROR(_xlfn.NUMBERVALUE(OFFSET(Origine,MATCH(Registro_Ordini[[#This Row],[Titolo]],Descrizioni,0),MATCH("Price",Intestazioni,0)-1,1,1)),"")</f>
        <v>968.16499999999996</v>
      </c>
      <c r="O1185" s="18">
        <f ca="1">IF(OR(Registro_Ordini[[#This Row],[Price]]=0,Registro_Ordini[[#This Row],[Price]]=""),"",IF(Registro_Ordini[[#This Row],[Tipo]]="Sell",Registro_Ordini[[#This Row],[Prezzo]]/Registro_Ordini[[#This Row],[Price]]-1,Registro_Ordini[[#This Row],[Price]]/Registro_Ordini[[#This Row],[Prezzo]]-1))</f>
        <v>-0.21923432472770654</v>
      </c>
      <c r="P1185" s="15">
        <v>-2.4449340602307558E-2</v>
      </c>
      <c r="Q1185" s="3">
        <v>7.83270409925549E-2</v>
      </c>
      <c r="R1185" s="3">
        <v>0.35098514216225901</v>
      </c>
      <c r="S1185" s="3">
        <v>0.5249400489012116</v>
      </c>
      <c r="T1185" s="3">
        <v>0</v>
      </c>
      <c r="U1185" s="3">
        <v>0</v>
      </c>
      <c r="V1185" s="3">
        <v>4.5747767943974629E-2</v>
      </c>
      <c r="W1185" s="4" t="s">
        <v>545</v>
      </c>
    </row>
    <row r="1186" spans="1:27" s="1" customFormat="1" ht="24.95" customHeight="1" x14ac:dyDescent="0.2">
      <c r="A1186" s="8">
        <v>45240</v>
      </c>
      <c r="B1186" s="7">
        <v>0.67222222222222228</v>
      </c>
      <c r="C1186" s="9" t="s">
        <v>456</v>
      </c>
      <c r="D1186" s="1" t="s">
        <v>388</v>
      </c>
      <c r="E1186" s="1" t="s">
        <v>389</v>
      </c>
      <c r="F1186" s="1" t="s">
        <v>546</v>
      </c>
      <c r="G1186" s="1" t="s">
        <v>365</v>
      </c>
      <c r="H1186" s="2">
        <v>-150</v>
      </c>
      <c r="I1186" s="17">
        <v>138.55000000000001</v>
      </c>
      <c r="J1186" s="1" t="s">
        <v>366</v>
      </c>
      <c r="K1186" s="6">
        <f>Registro_Ordini[[#This Row],[Numero]]*Registro_Ordini[[#This Row],[Prezzo]]</f>
        <v>-20782.5</v>
      </c>
      <c r="L1186" s="10">
        <v>0.90207999999999999</v>
      </c>
      <c r="M1186" s="6">
        <f>Registro_Ordini[[#This Row],[Importo]]*Registro_Ordini[[#This Row],[Cambio]]</f>
        <v>-18747.477599999998</v>
      </c>
      <c r="N1186" s="1">
        <f ca="1">IFERROR(_xlfn.NUMBERVALUE(OFFSET(Origine,MATCH(Registro_Ordini[[#This Row],[Titolo]],Descrizioni,0),MATCH("Price",Intestazioni,0)-1,1,1)),"")</f>
        <v>233.16</v>
      </c>
      <c r="O1186" s="18">
        <f ca="1">IF(OR(Registro_Ordini[[#This Row],[Price]]=0,Registro_Ordini[[#This Row],[Price]]=""),"",IF(Registro_Ordini[[#This Row],[Tipo]]="Sell",Registro_Ordini[[#This Row],[Prezzo]]/Registro_Ordini[[#This Row],[Price]]-1,Registro_Ordini[[#This Row],[Price]]/Registro_Ordini[[#This Row],[Prezzo]]-1))</f>
        <v>-0.40577285983873734</v>
      </c>
      <c r="P1186" s="15">
        <v>-2.240647789055385E-2</v>
      </c>
      <c r="Q1186" s="3">
        <v>5.5920563102001032E-2</v>
      </c>
      <c r="R1186" s="3">
        <v>0.35098514216225901</v>
      </c>
      <c r="S1186" s="3">
        <v>0.54734652679176543</v>
      </c>
      <c r="T1186" s="3">
        <v>0</v>
      </c>
      <c r="U1186" s="3">
        <v>0</v>
      </c>
      <c r="V1186" s="3">
        <v>4.5747767943974629E-2</v>
      </c>
      <c r="W1186" s="4" t="s">
        <v>545</v>
      </c>
    </row>
    <row r="1187" spans="1:27" s="1" customFormat="1" ht="24.95" customHeight="1" x14ac:dyDescent="0.2">
      <c r="A1187" s="8">
        <v>45233</v>
      </c>
      <c r="B1187" s="7">
        <v>0.63194444444444442</v>
      </c>
      <c r="C1187" s="9" t="s">
        <v>547</v>
      </c>
      <c r="D1187" s="1" t="s">
        <v>388</v>
      </c>
      <c r="E1187" s="1" t="s">
        <v>366</v>
      </c>
      <c r="F1187" s="1" t="s">
        <v>476</v>
      </c>
      <c r="G1187" s="1" t="s">
        <v>365</v>
      </c>
      <c r="H1187" s="2">
        <v>-12</v>
      </c>
      <c r="I1187" s="17">
        <v>1478.374</v>
      </c>
      <c r="J1187" s="1" t="s">
        <v>369</v>
      </c>
      <c r="K1187" s="6">
        <f>Registro_Ordini[[#This Row],[Numero]]*Registro_Ordini[[#This Row],[Prezzo]]</f>
        <v>-17740.488000000001</v>
      </c>
      <c r="L1187" s="10">
        <v>1</v>
      </c>
      <c r="M1187" s="6">
        <f>Registro_Ordini[[#This Row],[Importo]]*Registro_Ordini[[#This Row],[Cambio]]</f>
        <v>-17740.488000000001</v>
      </c>
      <c r="N1187" s="1">
        <f ca="1">IFERROR(_xlfn.NUMBERVALUE(OFFSET(Origine,MATCH(Registro_Ordini[[#This Row],[Titolo]],Descrizioni,0),MATCH("Price",Intestazioni,0)-1,1,1)),"")</f>
        <v>1392</v>
      </c>
      <c r="O1187" s="18">
        <f ca="1">IF(OR(Registro_Ordini[[#This Row],[Price]]=0,Registro_Ordini[[#This Row],[Price]]=""),"",IF(Registro_Ordini[[#This Row],[Tipo]]="Sell",Registro_Ordini[[#This Row],[Prezzo]]/Registro_Ordini[[#This Row],[Price]]-1,Registro_Ordini[[#This Row],[Price]]/Registro_Ordini[[#This Row],[Prezzo]]-1))</f>
        <v>6.2050287356321787E-2</v>
      </c>
      <c r="P1187" s="15">
        <v>-4.6248536439089357E-3</v>
      </c>
      <c r="Q1187" s="3">
        <v>0.43355260950956959</v>
      </c>
      <c r="R1187" s="3">
        <v>0.27701184549002933</v>
      </c>
      <c r="S1187" s="3">
        <v>0.25650492114344708</v>
      </c>
      <c r="T1187" s="3"/>
      <c r="U1187" s="3">
        <v>3.2930623856954069E-2</v>
      </c>
      <c r="V1187" s="3"/>
      <c r="W1187" s="4"/>
    </row>
    <row r="1188" spans="1:27" s="1" customFormat="1" ht="24.95" customHeight="1" x14ac:dyDescent="0.2">
      <c r="A1188" s="8">
        <v>45232</v>
      </c>
      <c r="B1188" s="7">
        <v>0.65277777777777779</v>
      </c>
      <c r="C1188" s="9" t="s">
        <v>78</v>
      </c>
      <c r="D1188" s="1" t="s">
        <v>388</v>
      </c>
      <c r="E1188" s="1" t="s">
        <v>397</v>
      </c>
      <c r="F1188" s="1" t="s">
        <v>486</v>
      </c>
      <c r="G1188" s="1" t="s">
        <v>371</v>
      </c>
      <c r="H1188" s="2">
        <v>357</v>
      </c>
      <c r="I1188" s="17">
        <v>25.15</v>
      </c>
      <c r="J1188" s="1" t="s">
        <v>369</v>
      </c>
      <c r="K1188" s="6">
        <f>Registro_Ordini[[#This Row],[Numero]]*Registro_Ordini[[#This Row],[Prezzo]]</f>
        <v>8978.5499999999993</v>
      </c>
      <c r="L1188" s="10">
        <v>1</v>
      </c>
      <c r="M1188" s="6">
        <f>Registro_Ordini[[#This Row],[Importo]]*Registro_Ordini[[#This Row],[Cambio]]</f>
        <v>8978.5499999999993</v>
      </c>
      <c r="N1188" s="1">
        <f ca="1">IFERROR(_xlfn.NUMBERVALUE(OFFSET(Origine,MATCH(Registro_Ordini[[#This Row],[Titolo]],Descrizioni,0),MATCH("Price",Intestazioni,0)-1,1,1)),"")</f>
        <v>65.44</v>
      </c>
      <c r="O1188" s="18">
        <f ca="1">IF(OR(Registro_Ordini[[#This Row],[Price]]=0,Registro_Ordini[[#This Row],[Price]]=""),"",IF(Registro_Ordini[[#This Row],[Tipo]]="Sell",Registro_Ordini[[#This Row],[Prezzo]]/Registro_Ordini[[#This Row],[Price]]-1,Registro_Ordini[[#This Row],[Price]]/Registro_Ordini[[#This Row],[Prezzo]]-1))</f>
        <v>1.6019880715705765</v>
      </c>
      <c r="P1188" s="15">
        <v>2.3289889474438361E-2</v>
      </c>
      <c r="Q1188" s="3">
        <v>0.44413589067665971</v>
      </c>
      <c r="R1188" s="3">
        <v>0</v>
      </c>
      <c r="S1188" s="3">
        <v>0.43859575703363207</v>
      </c>
      <c r="T1188" s="3">
        <v>0</v>
      </c>
      <c r="U1188" s="3">
        <v>0.11726835228970825</v>
      </c>
      <c r="V1188" s="3"/>
      <c r="W1188" s="4"/>
    </row>
    <row r="1189" spans="1:27" s="1" customFormat="1" ht="24.95" customHeight="1" x14ac:dyDescent="0.2">
      <c r="A1189" s="8">
        <v>45229</v>
      </c>
      <c r="B1189" s="7">
        <v>0.47361111111111109</v>
      </c>
      <c r="C1189" s="9" t="s">
        <v>383</v>
      </c>
      <c r="D1189" s="1" t="s">
        <v>388</v>
      </c>
      <c r="E1189" s="1" t="s">
        <v>403</v>
      </c>
      <c r="F1189" s="1" t="s">
        <v>548</v>
      </c>
      <c r="G1189" s="1" t="s">
        <v>365</v>
      </c>
      <c r="H1189" s="2">
        <v>-450</v>
      </c>
      <c r="I1189" s="17">
        <v>20.079999999999998</v>
      </c>
      <c r="J1189" s="1" t="s">
        <v>381</v>
      </c>
      <c r="K1189" s="6">
        <f>Registro_Ordini[[#This Row],[Numero]]*Registro_Ordini[[#This Row],[Prezzo]]</f>
        <v>-9036</v>
      </c>
      <c r="L1189" s="10">
        <v>1</v>
      </c>
      <c r="M1189" s="6">
        <f>Registro_Ordini[[#This Row],[Importo]]*Registro_Ordini[[#This Row],[Cambio]]</f>
        <v>-9036</v>
      </c>
      <c r="N1189" s="1" t="str">
        <f ca="1">IFERROR(_xlfn.NUMBERVALUE(OFFSET(Origine,MATCH(Registro_Ordini[[#This Row],[Titolo]],Descrizioni,0),MATCH("Price",Intestazioni,0)-1,1,1)),"")</f>
        <v/>
      </c>
      <c r="O1189" s="18" t="str">
        <f ca="1">IF(OR(Registro_Ordini[[#This Row],[Price]]=0,Registro_Ordini[[#This Row],[Price]]=""),"",IF(Registro_Ordini[[#This Row],[Tipo]]="Sell",Registro_Ordini[[#This Row],[Prezzo]]/Registro_Ordini[[#This Row],[Price]]-1,Registro_Ordini[[#This Row],[Price]]/Registro_Ordini[[#This Row],[Prezzo]]-1))</f>
        <v/>
      </c>
      <c r="P1189" s="15">
        <v>-1.6792497481557513E-2</v>
      </c>
      <c r="Q1189" s="3">
        <v>0.17423108514387878</v>
      </c>
      <c r="R1189" s="3">
        <v>0.2956445480996453</v>
      </c>
      <c r="S1189" s="3">
        <v>0.38246388352545568</v>
      </c>
      <c r="T1189" s="3">
        <v>0</v>
      </c>
      <c r="U1189" s="3">
        <v>0.1476604832310203</v>
      </c>
      <c r="V1189" s="3"/>
      <c r="W1189" s="4"/>
    </row>
    <row r="1190" spans="1:27" s="1" customFormat="1" ht="24.95" customHeight="1" x14ac:dyDescent="0.2">
      <c r="A1190" s="8">
        <v>45229</v>
      </c>
      <c r="B1190" s="7">
        <v>0.47361111111111109</v>
      </c>
      <c r="C1190" s="9" t="s">
        <v>382</v>
      </c>
      <c r="D1190" s="1" t="s">
        <v>388</v>
      </c>
      <c r="E1190" s="1" t="s">
        <v>403</v>
      </c>
      <c r="F1190" s="1" t="s">
        <v>548</v>
      </c>
      <c r="G1190" s="1" t="s">
        <v>365</v>
      </c>
      <c r="H1190" s="2">
        <v>-800</v>
      </c>
      <c r="I1190" s="17">
        <v>20.079999999999998</v>
      </c>
      <c r="J1190" s="1" t="s">
        <v>381</v>
      </c>
      <c r="K1190" s="6">
        <f>Registro_Ordini[[#This Row],[Numero]]*Registro_Ordini[[#This Row],[Prezzo]]</f>
        <v>-16063.999999999998</v>
      </c>
      <c r="L1190" s="10">
        <v>1</v>
      </c>
      <c r="M1190" s="6">
        <f>Registro_Ordini[[#This Row],[Importo]]*Registro_Ordini[[#This Row],[Cambio]]</f>
        <v>-16063.999999999998</v>
      </c>
      <c r="N1190" s="1" t="str">
        <f ca="1">IFERROR(_xlfn.NUMBERVALUE(OFFSET(Origine,MATCH(Registro_Ordini[[#This Row],[Titolo]],Descrizioni,0),MATCH("Price",Intestazioni,0)-1,1,1)),"")</f>
        <v/>
      </c>
      <c r="O1190" s="18" t="str">
        <f ca="1">IF(OR(Registro_Ordini[[#This Row],[Price]]=0,Registro_Ordini[[#This Row],[Price]]=""),"",IF(Registro_Ordini[[#This Row],[Tipo]]="Sell",Registro_Ordini[[#This Row],[Prezzo]]/Registro_Ordini[[#This Row],[Price]]-1,Registro_Ordini[[#This Row],[Price]]/Registro_Ordini[[#This Row],[Prezzo]]-1))</f>
        <v/>
      </c>
      <c r="P1190" s="15">
        <v>-1.7548344612475123E-2</v>
      </c>
      <c r="Q1190" s="3">
        <v>0.13777631449030189</v>
      </c>
      <c r="R1190" s="3">
        <v>0.28513784553087196</v>
      </c>
      <c r="S1190" s="3">
        <v>0.42707914032904615</v>
      </c>
      <c r="T1190" s="3">
        <v>0</v>
      </c>
      <c r="U1190" s="3">
        <v>0.15000669964978003</v>
      </c>
      <c r="V1190" s="3"/>
      <c r="W1190" s="4"/>
    </row>
    <row r="1191" spans="1:27" s="1" customFormat="1" ht="24.95" customHeight="1" x14ac:dyDescent="0.2">
      <c r="A1191" s="8">
        <v>45229</v>
      </c>
      <c r="B1191" s="7">
        <v>0.47361111111111109</v>
      </c>
      <c r="C1191" s="9" t="s">
        <v>379</v>
      </c>
      <c r="D1191" s="1" t="s">
        <v>388</v>
      </c>
      <c r="E1191" s="1" t="s">
        <v>403</v>
      </c>
      <c r="F1191" s="1" t="s">
        <v>548</v>
      </c>
      <c r="G1191" s="1" t="s">
        <v>365</v>
      </c>
      <c r="H1191" s="2">
        <v>-430</v>
      </c>
      <c r="I1191" s="17">
        <v>20.079999999999998</v>
      </c>
      <c r="J1191" s="1" t="s">
        <v>381</v>
      </c>
      <c r="K1191" s="6">
        <f>Registro_Ordini[[#This Row],[Numero]]*Registro_Ordini[[#This Row],[Prezzo]]</f>
        <v>-8634.4</v>
      </c>
      <c r="L1191" s="10">
        <v>1</v>
      </c>
      <c r="M1191" s="6">
        <f>Registro_Ordini[[#This Row],[Importo]]*Registro_Ordini[[#This Row],[Cambio]]</f>
        <v>-8634.4</v>
      </c>
      <c r="N1191" s="1" t="str">
        <f ca="1">IFERROR(_xlfn.NUMBERVALUE(OFFSET(Origine,MATCH(Registro_Ordini[[#This Row],[Titolo]],Descrizioni,0),MATCH("Price",Intestazioni,0)-1,1,1)),"")</f>
        <v/>
      </c>
      <c r="O1191" s="18" t="str">
        <f ca="1">IF(OR(Registro_Ordini[[#This Row],[Price]]=0,Registro_Ordini[[#This Row],[Price]]=""),"",IF(Registro_Ordini[[#This Row],[Tipo]]="Sell",Registro_Ordini[[#This Row],[Prezzo]]/Registro_Ordini[[#This Row],[Price]]-1,Registro_Ordini[[#This Row],[Price]]/Registro_Ordini[[#This Row],[Prezzo]]-1))</f>
        <v/>
      </c>
      <c r="P1191" s="15">
        <v>-1.7296563783932177E-2</v>
      </c>
      <c r="Q1191" s="3">
        <v>0.13695357284431786</v>
      </c>
      <c r="R1191" s="3">
        <v>0.30554288207159253</v>
      </c>
      <c r="S1191" s="3">
        <v>0.40881020565520315</v>
      </c>
      <c r="T1191" s="3">
        <v>0</v>
      </c>
      <c r="U1191" s="3">
        <v>0.14869333942888632</v>
      </c>
      <c r="V1191" s="3"/>
      <c r="W1191" s="4"/>
    </row>
    <row r="1192" spans="1:27" s="1" customFormat="1" ht="24.95" customHeight="1" x14ac:dyDescent="0.2">
      <c r="A1192" s="8">
        <v>45229</v>
      </c>
      <c r="B1192" s="7">
        <v>0.47291666666666665</v>
      </c>
      <c r="C1192" s="9" t="s">
        <v>78</v>
      </c>
      <c r="D1192" s="1" t="s">
        <v>388</v>
      </c>
      <c r="E1192" s="1" t="s">
        <v>403</v>
      </c>
      <c r="F1192" s="1" t="s">
        <v>548</v>
      </c>
      <c r="G1192" s="1" t="s">
        <v>365</v>
      </c>
      <c r="H1192" s="2">
        <v>-360</v>
      </c>
      <c r="I1192" s="17">
        <v>20.079999999999998</v>
      </c>
      <c r="J1192" s="1" t="s">
        <v>381</v>
      </c>
      <c r="K1192" s="6">
        <f>Registro_Ordini[[#This Row],[Numero]]*Registro_Ordini[[#This Row],[Prezzo]]</f>
        <v>-7228.7999999999993</v>
      </c>
      <c r="L1192" s="10">
        <v>0.94508499999999995</v>
      </c>
      <c r="M1192" s="6">
        <f>Registro_Ordini[[#This Row],[Importo]]*Registro_Ordini[[#This Row],[Cambio]]</f>
        <v>-6831.8304479999988</v>
      </c>
      <c r="N1192" s="1" t="str">
        <f ca="1">IFERROR(_xlfn.NUMBERVALUE(OFFSET(Origine,MATCH(Registro_Ordini[[#This Row],[Titolo]],Descrizioni,0),MATCH("Price",Intestazioni,0)-1,1,1)),"")</f>
        <v/>
      </c>
      <c r="O1192" s="18" t="str">
        <f ca="1">IF(OR(Registro_Ordini[[#This Row],[Price]]=0,Registro_Ordini[[#This Row],[Price]]=""),"",IF(Registro_Ordini[[#This Row],[Tipo]]="Sell",Registro_Ordini[[#This Row],[Prezzo]]/Registro_Ordini[[#This Row],[Price]]-1,Registro_Ordini[[#This Row],[Price]]/Registro_Ordini[[#This Row],[Prezzo]]-1))</f>
        <v/>
      </c>
      <c r="P1192" s="15">
        <v>-1.8132974953384683E-2</v>
      </c>
      <c r="Q1192" s="3">
        <v>0.4290827733261634</v>
      </c>
      <c r="R1192" s="3">
        <v>0</v>
      </c>
      <c r="S1192" s="3">
        <v>0.45032303509395777</v>
      </c>
      <c r="T1192" s="3">
        <v>0</v>
      </c>
      <c r="U1192" s="3">
        <v>0.12059419157987883</v>
      </c>
      <c r="V1192" s="3"/>
      <c r="W1192" s="4"/>
    </row>
    <row r="1193" spans="1:27" s="1" customFormat="1" ht="24.95" customHeight="1" x14ac:dyDescent="0.2">
      <c r="A1193" s="8">
        <v>45229</v>
      </c>
      <c r="B1193" s="7">
        <v>0.47291666666666665</v>
      </c>
      <c r="C1193" s="9" t="s">
        <v>375</v>
      </c>
      <c r="D1193" s="1" t="s">
        <v>388</v>
      </c>
      <c r="E1193" s="1" t="s">
        <v>403</v>
      </c>
      <c r="F1193" s="1" t="s">
        <v>548</v>
      </c>
      <c r="G1193" s="1" t="s">
        <v>365</v>
      </c>
      <c r="H1193" s="2">
        <v>-550</v>
      </c>
      <c r="I1193" s="17">
        <v>20.079999999999998</v>
      </c>
      <c r="J1193" s="1" t="s">
        <v>381</v>
      </c>
      <c r="K1193" s="6">
        <f>Registro_Ordini[[#This Row],[Numero]]*Registro_Ordini[[#This Row],[Prezzo]]</f>
        <v>-11043.999999999998</v>
      </c>
      <c r="L1193" s="10">
        <v>0.94508499999999995</v>
      </c>
      <c r="M1193" s="6">
        <f>Registro_Ordini[[#This Row],[Importo]]*Registro_Ordini[[#This Row],[Cambio]]</f>
        <v>-10437.518739999998</v>
      </c>
      <c r="N1193" s="1" t="str">
        <f ca="1">IFERROR(_xlfn.NUMBERVALUE(OFFSET(Origine,MATCH(Registro_Ordini[[#This Row],[Titolo]],Descrizioni,0),MATCH("Price",Intestazioni,0)-1,1,1)),"")</f>
        <v/>
      </c>
      <c r="O1193" s="18" t="str">
        <f ca="1">IF(OR(Registro_Ordini[[#This Row],[Price]]=0,Registro_Ordini[[#This Row],[Price]]=""),"",IF(Registro_Ordini[[#This Row],[Tipo]]="Sell",Registro_Ordini[[#This Row],[Prezzo]]/Registro_Ordini[[#This Row],[Price]]-1,Registro_Ordini[[#This Row],[Price]]/Registro_Ordini[[#This Row],[Prezzo]]-1))</f>
        <v/>
      </c>
      <c r="P1193" s="15">
        <v>-1.467638328067669E-2</v>
      </c>
      <c r="Q1193" s="3">
        <v>0.1058565896634029</v>
      </c>
      <c r="R1193" s="3">
        <v>0.42535885846357135</v>
      </c>
      <c r="S1193" s="3">
        <v>0.3305775592345645</v>
      </c>
      <c r="T1193" s="3">
        <v>0</v>
      </c>
      <c r="U1193" s="3">
        <v>0.1382069926384614</v>
      </c>
      <c r="V1193" s="3"/>
      <c r="W1193" s="4"/>
    </row>
    <row r="1194" spans="1:27" s="1" customFormat="1" ht="24.95" customHeight="1" x14ac:dyDescent="0.2">
      <c r="A1194" s="8">
        <v>45229</v>
      </c>
      <c r="B1194" s="7">
        <v>0.47291666666666665</v>
      </c>
      <c r="C1194" s="9" t="s">
        <v>378</v>
      </c>
      <c r="D1194" s="1" t="s">
        <v>388</v>
      </c>
      <c r="E1194" s="1" t="s">
        <v>403</v>
      </c>
      <c r="F1194" s="1" t="s">
        <v>548</v>
      </c>
      <c r="G1194" s="1" t="s">
        <v>365</v>
      </c>
      <c r="H1194" s="2">
        <v>-320</v>
      </c>
      <c r="I1194" s="17">
        <v>20.079999999999998</v>
      </c>
      <c r="J1194" s="1" t="s">
        <v>381</v>
      </c>
      <c r="K1194" s="6">
        <f>Registro_Ordini[[#This Row],[Numero]]*Registro_Ordini[[#This Row],[Prezzo]]</f>
        <v>-6425.5999999999995</v>
      </c>
      <c r="L1194" s="10">
        <v>0.94508499999999995</v>
      </c>
      <c r="M1194" s="6">
        <f>Registro_Ordini[[#This Row],[Importo]]*Registro_Ordini[[#This Row],[Cambio]]</f>
        <v>-6072.7381759999989</v>
      </c>
      <c r="N1194" s="1" t="str">
        <f ca="1">IFERROR(_xlfn.NUMBERVALUE(OFFSET(Origine,MATCH(Registro_Ordini[[#This Row],[Titolo]],Descrizioni,0),MATCH("Price",Intestazioni,0)-1,1,1)),"")</f>
        <v/>
      </c>
      <c r="O1194" s="18" t="str">
        <f ca="1">IF(OR(Registro_Ordini[[#This Row],[Price]]=0,Registro_Ordini[[#This Row],[Price]]=""),"",IF(Registro_Ordini[[#This Row],[Tipo]]="Sell",Registro_Ordini[[#This Row],[Prezzo]]/Registro_Ordini[[#This Row],[Price]]-1,Registro_Ordini[[#This Row],[Price]]/Registro_Ordini[[#This Row],[Prezzo]]-1))</f>
        <v/>
      </c>
      <c r="P1194" s="15">
        <v>-1.3199657885078249E-2</v>
      </c>
      <c r="Q1194" s="3">
        <v>0.13704894866516837</v>
      </c>
      <c r="R1194" s="3">
        <v>0.39242528536654436</v>
      </c>
      <c r="S1194" s="3">
        <v>0.34324043819869221</v>
      </c>
      <c r="T1194" s="3">
        <v>0</v>
      </c>
      <c r="U1194" s="3">
        <v>0.12728532776959497</v>
      </c>
      <c r="V1194" s="3"/>
      <c r="W1194" s="4"/>
    </row>
    <row r="1195" spans="1:27" s="1" customFormat="1" ht="24.95" customHeight="1" x14ac:dyDescent="0.2">
      <c r="A1195" s="8">
        <v>45229</v>
      </c>
      <c r="B1195" s="7">
        <v>0.47291666666666665</v>
      </c>
      <c r="C1195" s="9" t="s">
        <v>377</v>
      </c>
      <c r="D1195" s="1" t="s">
        <v>388</v>
      </c>
      <c r="E1195" s="1" t="s">
        <v>403</v>
      </c>
      <c r="F1195" s="1" t="s">
        <v>548</v>
      </c>
      <c r="G1195" s="1" t="s">
        <v>365</v>
      </c>
      <c r="H1195" s="2">
        <v>-1000</v>
      </c>
      <c r="I1195" s="17">
        <v>20.079999999999998</v>
      </c>
      <c r="J1195" s="1" t="s">
        <v>381</v>
      </c>
      <c r="K1195" s="6">
        <f>Registro_Ordini[[#This Row],[Numero]]*Registro_Ordini[[#This Row],[Prezzo]]</f>
        <v>-20080</v>
      </c>
      <c r="L1195" s="10">
        <v>0.94508499999999995</v>
      </c>
      <c r="M1195" s="6">
        <f>Registro_Ordini[[#This Row],[Importo]]*Registro_Ordini[[#This Row],[Cambio]]</f>
        <v>-18977.306799999998</v>
      </c>
      <c r="N1195" s="1" t="str">
        <f ca="1">IFERROR(_xlfn.NUMBERVALUE(OFFSET(Origine,MATCH(Registro_Ordini[[#This Row],[Titolo]],Descrizioni,0),MATCH("Price",Intestazioni,0)-1,1,1)),"")</f>
        <v/>
      </c>
      <c r="O1195" s="18" t="str">
        <f ca="1">IF(OR(Registro_Ordini[[#This Row],[Price]]=0,Registro_Ordini[[#This Row],[Price]]=""),"",IF(Registro_Ordini[[#This Row],[Tipo]]="Sell",Registro_Ordini[[#This Row],[Prezzo]]/Registro_Ordini[[#This Row],[Price]]-1,Registro_Ordini[[#This Row],[Price]]/Registro_Ordini[[#This Row],[Prezzo]]-1))</f>
        <v/>
      </c>
      <c r="P1195" s="15">
        <v>-1.3521042641655181E-2</v>
      </c>
      <c r="Q1195" s="3">
        <v>0.10165218109106693</v>
      </c>
      <c r="R1195" s="3">
        <v>0.38879027357291129</v>
      </c>
      <c r="S1195" s="3">
        <v>0.37050279159520788</v>
      </c>
      <c r="T1195" s="3">
        <v>0</v>
      </c>
      <c r="U1195" s="3">
        <v>0.13905475374081394</v>
      </c>
      <c r="V1195" s="3"/>
      <c r="W1195" s="4"/>
    </row>
    <row r="1196" spans="1:27" s="1" customFormat="1" ht="24.95" customHeight="1" x14ac:dyDescent="0.2">
      <c r="A1196" s="8">
        <v>45229</v>
      </c>
      <c r="B1196" s="7">
        <v>0.47291666666666665</v>
      </c>
      <c r="C1196" s="9" t="s">
        <v>376</v>
      </c>
      <c r="D1196" s="1" t="s">
        <v>388</v>
      </c>
      <c r="E1196" s="1" t="s">
        <v>403</v>
      </c>
      <c r="F1196" s="1" t="s">
        <v>548</v>
      </c>
      <c r="G1196" s="1" t="s">
        <v>365</v>
      </c>
      <c r="H1196" s="2">
        <v>-210</v>
      </c>
      <c r="I1196" s="17">
        <v>20.079999999999998</v>
      </c>
      <c r="J1196" s="1" t="s">
        <v>381</v>
      </c>
      <c r="K1196" s="6">
        <f>Registro_Ordini[[#This Row],[Numero]]*Registro_Ordini[[#This Row],[Prezzo]]</f>
        <v>-4216.7999999999993</v>
      </c>
      <c r="L1196" s="10">
        <v>0.94508499999999995</v>
      </c>
      <c r="M1196" s="6">
        <f>Registro_Ordini[[#This Row],[Importo]]*Registro_Ordini[[#This Row],[Cambio]]</f>
        <v>-3985.2344279999993</v>
      </c>
      <c r="N1196" s="1" t="str">
        <f ca="1">IFERROR(_xlfn.NUMBERVALUE(OFFSET(Origine,MATCH(Registro_Ordini[[#This Row],[Titolo]],Descrizioni,0),MATCH("Price",Intestazioni,0)-1,1,1)),"")</f>
        <v/>
      </c>
      <c r="O1196" s="18" t="str">
        <f ca="1">IF(OR(Registro_Ordini[[#This Row],[Price]]=0,Registro_Ordini[[#This Row],[Price]]=""),"",IF(Registro_Ordini[[#This Row],[Tipo]]="Sell",Registro_Ordini[[#This Row],[Prezzo]]/Registro_Ordini[[#This Row],[Price]]-1,Registro_Ordini[[#This Row],[Price]]/Registro_Ordini[[#This Row],[Prezzo]]-1))</f>
        <v/>
      </c>
      <c r="P1196" s="15">
        <v>-1.5782582796741686E-2</v>
      </c>
      <c r="Q1196" s="3">
        <v>9.500091962644755E-2</v>
      </c>
      <c r="R1196" s="3">
        <v>0.40311113777502039</v>
      </c>
      <c r="S1196" s="3">
        <v>0.34215675514713695</v>
      </c>
      <c r="T1196" s="3">
        <v>0</v>
      </c>
      <c r="U1196" s="3">
        <v>0.15973118745139506</v>
      </c>
      <c r="V1196" s="3"/>
      <c r="W1196" s="4"/>
    </row>
    <row r="1197" spans="1:27" s="1" customFormat="1" ht="24.95" customHeight="1" x14ac:dyDescent="0.2">
      <c r="A1197" s="8">
        <v>45229</v>
      </c>
      <c r="B1197" s="7">
        <v>0.47291666666666665</v>
      </c>
      <c r="C1197" s="9" t="s">
        <v>367</v>
      </c>
      <c r="D1197" s="1" t="s">
        <v>388</v>
      </c>
      <c r="E1197" s="1" t="s">
        <v>403</v>
      </c>
      <c r="F1197" s="1" t="s">
        <v>548</v>
      </c>
      <c r="G1197" s="1" t="s">
        <v>365</v>
      </c>
      <c r="H1197" s="2">
        <v>-1000</v>
      </c>
      <c r="I1197" s="17">
        <v>20.079999999999998</v>
      </c>
      <c r="J1197" s="1" t="s">
        <v>381</v>
      </c>
      <c r="K1197" s="6">
        <f>Registro_Ordini[[#This Row],[Numero]]*Registro_Ordini[[#This Row],[Prezzo]]</f>
        <v>-20080</v>
      </c>
      <c r="L1197" s="10">
        <v>0.94508499999999995</v>
      </c>
      <c r="M1197" s="6">
        <f>Registro_Ordini[[#This Row],[Importo]]*Registro_Ordini[[#This Row],[Cambio]]</f>
        <v>-18977.306799999998</v>
      </c>
      <c r="N1197" s="1" t="str">
        <f ca="1">IFERROR(_xlfn.NUMBERVALUE(OFFSET(Origine,MATCH(Registro_Ordini[[#This Row],[Titolo]],Descrizioni,0),MATCH("Price",Intestazioni,0)-1,1,1)),"")</f>
        <v/>
      </c>
      <c r="O1197" s="18" t="str">
        <f ca="1">IF(OR(Registro_Ordini[[#This Row],[Price]]=0,Registro_Ordini[[#This Row],[Price]]=""),"",IF(Registro_Ordini[[#This Row],[Tipo]]="Sell",Registro_Ordini[[#This Row],[Prezzo]]/Registro_Ordini[[#This Row],[Price]]-1,Registro_Ordini[[#This Row],[Price]]/Registro_Ordini[[#This Row],[Prezzo]]-1))</f>
        <v/>
      </c>
      <c r="P1197" s="15">
        <v>-1.5017316532398895E-2</v>
      </c>
      <c r="Q1197" s="3">
        <v>0.26572494619368986</v>
      </c>
      <c r="R1197" s="3">
        <v>0.34228401701920852</v>
      </c>
      <c r="S1197" s="3">
        <v>0.34617885950215765</v>
      </c>
      <c r="T1197" s="3">
        <v>0</v>
      </c>
      <c r="U1197" s="3">
        <v>4.5812177284943995E-2</v>
      </c>
      <c r="V1197" s="3"/>
      <c r="W1197" s="4"/>
    </row>
    <row r="1198" spans="1:27" s="1" customFormat="1" ht="24.95" customHeight="1" x14ac:dyDescent="0.2">
      <c r="A1198" s="8">
        <v>45210</v>
      </c>
      <c r="B1198" s="7">
        <v>0.75</v>
      </c>
      <c r="C1198" s="9" t="s">
        <v>549</v>
      </c>
      <c r="D1198" s="1" t="s">
        <v>362</v>
      </c>
      <c r="E1198" s="1" t="s">
        <v>363</v>
      </c>
      <c r="F1198" s="1" t="s">
        <v>427</v>
      </c>
      <c r="G1198" s="1" t="s">
        <v>365</v>
      </c>
      <c r="H1198" s="2">
        <v>-100000</v>
      </c>
      <c r="I1198" s="17">
        <v>1</v>
      </c>
      <c r="J1198" s="1" t="s">
        <v>381</v>
      </c>
      <c r="K1198" s="6">
        <f>Registro_Ordini[[#This Row],[Numero]]*Registro_Ordini[[#This Row],[Prezzo]]</f>
        <v>-100000</v>
      </c>
      <c r="L1198" s="10">
        <v>1.0610642209964334</v>
      </c>
      <c r="M1198" s="6">
        <f>Registro_Ordini[[#This Row],[Importo]]*Registro_Ordini[[#This Row],[Cambio]]</f>
        <v>-106106.42209964334</v>
      </c>
      <c r="N1198" s="1">
        <f ca="1">IFERROR(_xlfn.NUMBERVALUE(OFFSET(Origine,MATCH(Registro_Ordini[[#This Row],[Titolo]],Descrizioni,0),MATCH("Price",Intestazioni,0)-1,1,1)),"")</f>
        <v>1</v>
      </c>
      <c r="O1198" s="18">
        <f ca="1">IF(OR(Registro_Ordini[[#This Row],[Price]]=0,Registro_Ordini[[#This Row],[Price]]=""),"",IF(Registro_Ordini[[#This Row],[Tipo]]="Sell",Registro_Ordini[[#This Row],[Prezzo]]/Registro_Ordini[[#This Row],[Price]]-1,Registro_Ordini[[#This Row],[Price]]/Registro_Ordini[[#This Row],[Prezzo]]-1))</f>
        <v>0</v>
      </c>
      <c r="P1198" s="15">
        <v>-5.4613007258169879E-2</v>
      </c>
      <c r="Q1198" s="3">
        <v>1</v>
      </c>
      <c r="R1198" s="3">
        <v>0</v>
      </c>
      <c r="S1198" s="3">
        <v>0</v>
      </c>
      <c r="T1198" s="3">
        <v>0</v>
      </c>
      <c r="U1198" s="3">
        <v>0</v>
      </c>
      <c r="V1198" s="3"/>
      <c r="W1198" s="4"/>
      <c r="X1198" s="13"/>
      <c r="Z1198"/>
      <c r="AA1198"/>
    </row>
    <row r="1199" spans="1:27" s="1" customFormat="1" ht="24.95" customHeight="1" x14ac:dyDescent="0.2">
      <c r="A1199" s="8">
        <v>45210</v>
      </c>
      <c r="B1199" s="7">
        <v>0.74930555555555556</v>
      </c>
      <c r="C1199" s="9" t="s">
        <v>549</v>
      </c>
      <c r="D1199" s="1" t="s">
        <v>362</v>
      </c>
      <c r="E1199" s="1" t="s">
        <v>363</v>
      </c>
      <c r="F1199" s="1" t="s">
        <v>427</v>
      </c>
      <c r="G1199" s="1" t="s">
        <v>371</v>
      </c>
      <c r="H1199" s="2">
        <v>100000</v>
      </c>
      <c r="I1199" s="17">
        <v>1</v>
      </c>
      <c r="J1199" s="1" t="s">
        <v>381</v>
      </c>
      <c r="K1199" s="6">
        <f>Registro_Ordini[[#This Row],[Numero]]*Registro_Ordini[[#This Row],[Prezzo]]</f>
        <v>100000</v>
      </c>
      <c r="L1199" s="10">
        <v>1.0610642209964334</v>
      </c>
      <c r="M1199" s="6">
        <f>Registro_Ordini[[#This Row],[Importo]]*Registro_Ordini[[#This Row],[Cambio]]</f>
        <v>106106.42209964334</v>
      </c>
      <c r="N1199" s="1">
        <f ca="1">IFERROR(_xlfn.NUMBERVALUE(OFFSET(Origine,MATCH(Registro_Ordini[[#This Row],[Titolo]],Descrizioni,0),MATCH("Price",Intestazioni,0)-1,1,1)),"")</f>
        <v>1</v>
      </c>
      <c r="O1199" s="18">
        <f ca="1">IF(OR(Registro_Ordini[[#This Row],[Price]]=0,Registro_Ordini[[#This Row],[Price]]=""),"",IF(Registro_Ordini[[#This Row],[Tipo]]="Sell",Registro_Ordini[[#This Row],[Prezzo]]/Registro_Ordini[[#This Row],[Price]]-1,Registro_Ordini[[#This Row],[Price]]/Registro_Ordini[[#This Row],[Prezzo]]-1))</f>
        <v>0</v>
      </c>
      <c r="P1199" s="15">
        <v>5.4613007258169879E-2</v>
      </c>
      <c r="Q1199" s="3">
        <v>1</v>
      </c>
      <c r="R1199" s="3">
        <v>0</v>
      </c>
      <c r="S1199" s="3">
        <v>0</v>
      </c>
      <c r="T1199" s="3">
        <v>0</v>
      </c>
      <c r="U1199" s="3">
        <v>0</v>
      </c>
      <c r="V1199" s="3"/>
      <c r="W1199" s="4"/>
      <c r="X1199" s="13"/>
      <c r="Z1199"/>
      <c r="AA1199"/>
    </row>
    <row r="1200" spans="1:27" s="1" customFormat="1" ht="24.95" customHeight="1" x14ac:dyDescent="0.2">
      <c r="A1200" s="8">
        <v>45209</v>
      </c>
      <c r="B1200" s="7">
        <v>0.90902777777777777</v>
      </c>
      <c r="C1200" s="9" t="s">
        <v>549</v>
      </c>
      <c r="D1200" s="1" t="s">
        <v>368</v>
      </c>
      <c r="E1200" s="1" t="s">
        <v>366</v>
      </c>
      <c r="F1200" s="1" t="s">
        <v>550</v>
      </c>
      <c r="G1200" s="1" t="s">
        <v>371</v>
      </c>
      <c r="H1200" s="2">
        <v>100000</v>
      </c>
      <c r="I1200" s="16">
        <v>0.92165832999999997</v>
      </c>
      <c r="J1200" s="1" t="s">
        <v>366</v>
      </c>
      <c r="K1200" s="6">
        <f>Registro_Ordini[[#This Row],[Numero]]*Registro_Ordini[[#This Row],[Prezzo]]</f>
        <v>92165.832999999999</v>
      </c>
      <c r="L1200" s="10">
        <v>1</v>
      </c>
      <c r="M1200" s="6">
        <f>Registro_Ordini[[#This Row],[Importo]]*Registro_Ordini[[#This Row],[Cambio]]</f>
        <v>92165.832999999999</v>
      </c>
      <c r="N1200" s="1" t="str">
        <f ca="1">IFERROR(_xlfn.NUMBERVALUE(OFFSET(Origine,MATCH(Registro_Ordini[[#This Row],[Titolo]],Descrizioni,0),MATCH("Price",Intestazioni,0)-1,1,1)),"")</f>
        <v/>
      </c>
      <c r="O1200" s="18" t="str">
        <f ca="1">IF(OR(Registro_Ordini[[#This Row],[Price]]=0,Registro_Ordini[[#This Row],[Price]]=""),"",IF(Registro_Ordini[[#This Row],[Tipo]]="Sell",Registro_Ordini[[#This Row],[Prezzo]]/Registro_Ordini[[#This Row],[Price]]-1,Registro_Ordini[[#This Row],[Price]]/Registro_Ordini[[#This Row],[Prezzo]]-1))</f>
        <v/>
      </c>
      <c r="P1200" s="15">
        <v>4.7544377555745782E-2</v>
      </c>
      <c r="Q1200" s="3">
        <v>0.85071487966250359</v>
      </c>
      <c r="R1200" s="3">
        <v>0.14928512033749644</v>
      </c>
      <c r="S1200" s="3">
        <v>0</v>
      </c>
      <c r="T1200" s="3">
        <v>0</v>
      </c>
      <c r="U1200" s="3">
        <v>0</v>
      </c>
      <c r="V1200" s="3"/>
      <c r="W1200" s="4"/>
      <c r="X1200" s="13"/>
      <c r="Z1200"/>
      <c r="AA1200"/>
    </row>
    <row r="1201" spans="1:27" s="1" customFormat="1" ht="24.95" customHeight="1" x14ac:dyDescent="0.2">
      <c r="A1201" s="8">
        <v>45209</v>
      </c>
      <c r="B1201" s="7">
        <v>0.90902777777777777</v>
      </c>
      <c r="C1201" s="9" t="s">
        <v>549</v>
      </c>
      <c r="D1201" s="1" t="s">
        <v>368</v>
      </c>
      <c r="E1201" s="1" t="s">
        <v>366</v>
      </c>
      <c r="F1201" s="1" t="s">
        <v>551</v>
      </c>
      <c r="G1201" s="1" t="s">
        <v>371</v>
      </c>
      <c r="H1201" s="2">
        <v>100000</v>
      </c>
      <c r="I1201" s="16">
        <v>0.76174167000000004</v>
      </c>
      <c r="J1201" s="1" t="s">
        <v>366</v>
      </c>
      <c r="K1201" s="6">
        <f>Registro_Ordini[[#This Row],[Numero]]*Registro_Ordini[[#This Row],[Prezzo]]</f>
        <v>76174.167000000001</v>
      </c>
      <c r="L1201" s="10">
        <v>1</v>
      </c>
      <c r="M1201" s="6">
        <f>Registro_Ordini[[#This Row],[Importo]]*Registro_Ordini[[#This Row],[Cambio]]</f>
        <v>76174.167000000001</v>
      </c>
      <c r="N1201" s="1" t="str">
        <f ca="1">IFERROR(_xlfn.NUMBERVALUE(OFFSET(Origine,MATCH(Registro_Ordini[[#This Row],[Titolo]],Descrizioni,0),MATCH("Price",Intestazioni,0)-1,1,1)),"")</f>
        <v/>
      </c>
      <c r="O1201" s="18" t="str">
        <f ca="1">IF(OR(Registro_Ordini[[#This Row],[Price]]=0,Registro_Ordini[[#This Row],[Price]]=""),"",IF(Registro_Ordini[[#This Row],[Tipo]]="Sell",Registro_Ordini[[#This Row],[Prezzo]]/Registro_Ordini[[#This Row],[Price]]-1,Registro_Ordini[[#This Row],[Price]]/Registro_Ordini[[#This Row],[Prezzo]]-1))</f>
        <v/>
      </c>
      <c r="P1201" s="15">
        <v>3.9294966886942055E-2</v>
      </c>
      <c r="Q1201" s="3">
        <v>0.85071487966250359</v>
      </c>
      <c r="R1201" s="3">
        <v>0.14928512033749644</v>
      </c>
      <c r="S1201" s="3">
        <v>0</v>
      </c>
      <c r="T1201" s="3">
        <v>0</v>
      </c>
      <c r="U1201" s="3">
        <v>0</v>
      </c>
      <c r="V1201" s="3"/>
      <c r="W1201" s="4"/>
      <c r="X1201" s="13"/>
      <c r="Z1201"/>
      <c r="AA1201"/>
    </row>
    <row r="1202" spans="1:27" s="1" customFormat="1" ht="24.95" customHeight="1" x14ac:dyDescent="0.2">
      <c r="A1202" s="8">
        <v>45209</v>
      </c>
      <c r="B1202" s="7">
        <v>0.90902777777777777</v>
      </c>
      <c r="C1202" s="9" t="s">
        <v>549</v>
      </c>
      <c r="D1202" s="1" t="s">
        <v>368</v>
      </c>
      <c r="E1202" s="1" t="s">
        <v>366</v>
      </c>
      <c r="F1202" s="1" t="s">
        <v>552</v>
      </c>
      <c r="G1202" s="1" t="s">
        <v>371</v>
      </c>
      <c r="H1202" s="2">
        <v>100000</v>
      </c>
      <c r="I1202" s="16">
        <v>0.87785416999999999</v>
      </c>
      <c r="J1202" s="1" t="s">
        <v>366</v>
      </c>
      <c r="K1202" s="6">
        <f>Registro_Ordini[[#This Row],[Numero]]*Registro_Ordini[[#This Row],[Prezzo]]</f>
        <v>87785.417000000001</v>
      </c>
      <c r="L1202" s="10">
        <v>1</v>
      </c>
      <c r="M1202" s="6">
        <f>Registro_Ordini[[#This Row],[Importo]]*Registro_Ordini[[#This Row],[Cambio]]</f>
        <v>87785.417000000001</v>
      </c>
      <c r="N1202" s="1" t="str">
        <f ca="1">IFERROR(_xlfn.NUMBERVALUE(OFFSET(Origine,MATCH(Registro_Ordini[[#This Row],[Titolo]],Descrizioni,0),MATCH("Price",Intestazioni,0)-1,1,1)),"")</f>
        <v/>
      </c>
      <c r="O1202" s="18" t="str">
        <f ca="1">IF(OR(Registro_Ordini[[#This Row],[Price]]=0,Registro_Ordini[[#This Row],[Price]]=""),"",IF(Registro_Ordini[[#This Row],[Tipo]]="Sell",Registro_Ordini[[#This Row],[Prezzo]]/Registro_Ordini[[#This Row],[Price]]-1,Registro_Ordini[[#This Row],[Price]]/Registro_Ordini[[#This Row],[Prezzo]]-1))</f>
        <v/>
      </c>
      <c r="P1202" s="15">
        <v>4.5284709896091152E-2</v>
      </c>
      <c r="Q1202" s="3">
        <v>0.85071487966250359</v>
      </c>
      <c r="R1202" s="3">
        <v>0.14928512033749644</v>
      </c>
      <c r="S1202" s="3">
        <v>0</v>
      </c>
      <c r="T1202" s="3">
        <v>0</v>
      </c>
      <c r="U1202" s="3">
        <v>0</v>
      </c>
      <c r="V1202" s="3"/>
      <c r="W1202" s="4"/>
      <c r="X1202" s="13"/>
      <c r="Z1202"/>
      <c r="AA1202"/>
    </row>
    <row r="1203" spans="1:27" s="1" customFormat="1" ht="24.95" customHeight="1" x14ac:dyDescent="0.2">
      <c r="A1203" s="8">
        <v>45209</v>
      </c>
      <c r="B1203" s="7">
        <v>0.90902777777777777</v>
      </c>
      <c r="C1203" s="9" t="s">
        <v>549</v>
      </c>
      <c r="D1203" s="1" t="s">
        <v>368</v>
      </c>
      <c r="E1203" s="1" t="s">
        <v>366</v>
      </c>
      <c r="F1203" s="1" t="s">
        <v>553</v>
      </c>
      <c r="G1203" s="1" t="s">
        <v>371</v>
      </c>
      <c r="H1203" s="2">
        <v>100000</v>
      </c>
      <c r="I1203" s="16">
        <v>0.79004443999999996</v>
      </c>
      <c r="J1203" s="1" t="s">
        <v>366</v>
      </c>
      <c r="K1203" s="6">
        <f>Registro_Ordini[[#This Row],[Numero]]*Registro_Ordini[[#This Row],[Prezzo]]</f>
        <v>79004.444000000003</v>
      </c>
      <c r="L1203" s="10">
        <v>1</v>
      </c>
      <c r="M1203" s="6">
        <f>Registro_Ordini[[#This Row],[Importo]]*Registro_Ordini[[#This Row],[Cambio]]</f>
        <v>79004.444000000003</v>
      </c>
      <c r="N1203" s="1" t="str">
        <f ca="1">IFERROR(_xlfn.NUMBERVALUE(OFFSET(Origine,MATCH(Registro_Ordini[[#This Row],[Titolo]],Descrizioni,0),MATCH("Price",Intestazioni,0)-1,1,1)),"")</f>
        <v/>
      </c>
      <c r="O1203" s="18" t="str">
        <f ca="1">IF(OR(Registro_Ordini[[#This Row],[Price]]=0,Registro_Ordini[[#This Row],[Price]]=""),"",IF(Registro_Ordini[[#This Row],[Tipo]]="Sell",Registro_Ordini[[#This Row],[Prezzo]]/Registro_Ordini[[#This Row],[Price]]-1,Registro_Ordini[[#This Row],[Price]]/Registro_Ordini[[#This Row],[Prezzo]]-1))</f>
        <v/>
      </c>
      <c r="P1203" s="15">
        <v>4.0754984703689219E-2</v>
      </c>
      <c r="Q1203" s="3">
        <v>0.85071487966250359</v>
      </c>
      <c r="R1203" s="3">
        <v>0.14928512033749644</v>
      </c>
      <c r="S1203" s="3">
        <v>0</v>
      </c>
      <c r="T1203" s="3">
        <v>0</v>
      </c>
      <c r="U1203" s="3">
        <v>0</v>
      </c>
      <c r="V1203" s="3"/>
      <c r="W1203" s="4"/>
      <c r="X1203" s="13"/>
      <c r="Z1203"/>
      <c r="AA1203"/>
    </row>
    <row r="1204" spans="1:27" s="1" customFormat="1" ht="24.95" customHeight="1" x14ac:dyDescent="0.2">
      <c r="A1204" s="8">
        <v>45209</v>
      </c>
      <c r="B1204" s="7">
        <v>0.90902777777777777</v>
      </c>
      <c r="C1204" s="9" t="s">
        <v>549</v>
      </c>
      <c r="D1204" s="1" t="s">
        <v>368</v>
      </c>
      <c r="E1204" s="1" t="s">
        <v>366</v>
      </c>
      <c r="F1204" s="1" t="s">
        <v>554</v>
      </c>
      <c r="G1204" s="1" t="s">
        <v>371</v>
      </c>
      <c r="H1204" s="2">
        <v>100000</v>
      </c>
      <c r="I1204" s="16">
        <v>0.86949306000000004</v>
      </c>
      <c r="J1204" s="1" t="s">
        <v>366</v>
      </c>
      <c r="K1204" s="6">
        <f>Registro_Ordini[[#This Row],[Numero]]*Registro_Ordini[[#This Row],[Prezzo]]</f>
        <v>86949.305999999997</v>
      </c>
      <c r="L1204" s="10">
        <v>1</v>
      </c>
      <c r="M1204" s="6">
        <f>Registro_Ordini[[#This Row],[Importo]]*Registro_Ordini[[#This Row],[Cambio]]</f>
        <v>86949.305999999997</v>
      </c>
      <c r="N1204" s="1" t="str">
        <f ca="1">IFERROR(_xlfn.NUMBERVALUE(OFFSET(Origine,MATCH(Registro_Ordini[[#This Row],[Titolo]],Descrizioni,0),MATCH("Price",Intestazioni,0)-1,1,1)),"")</f>
        <v/>
      </c>
      <c r="O1204" s="18" t="str">
        <f ca="1">IF(OR(Registro_Ordini[[#This Row],[Price]]=0,Registro_Ordini[[#This Row],[Price]]=""),"",IF(Registro_Ordini[[#This Row],[Tipo]]="Sell",Registro_Ordini[[#This Row],[Prezzo]]/Registro_Ordini[[#This Row],[Price]]-1,Registro_Ordini[[#This Row],[Price]]/Registro_Ordini[[#This Row],[Prezzo]]-1))</f>
        <v/>
      </c>
      <c r="P1204" s="15">
        <v>4.4853396297889175E-2</v>
      </c>
      <c r="Q1204" s="3">
        <v>0.85071487966250359</v>
      </c>
      <c r="R1204" s="3">
        <v>0.14928512033749644</v>
      </c>
      <c r="S1204" s="3">
        <v>0</v>
      </c>
      <c r="T1204" s="3">
        <v>0</v>
      </c>
      <c r="U1204" s="3">
        <v>0</v>
      </c>
      <c r="V1204" s="3"/>
      <c r="W1204" s="4"/>
      <c r="X1204" s="13"/>
      <c r="Z1204"/>
      <c r="AA1204"/>
    </row>
    <row r="1205" spans="1:27" s="1" customFormat="1" ht="24.95" customHeight="1" x14ac:dyDescent="0.2">
      <c r="A1205" s="8">
        <v>45209</v>
      </c>
      <c r="B1205" s="7">
        <v>0.90902777777777777</v>
      </c>
      <c r="C1205" s="9" t="s">
        <v>549</v>
      </c>
      <c r="D1205" s="1" t="s">
        <v>368</v>
      </c>
      <c r="E1205" s="1" t="s">
        <v>366</v>
      </c>
      <c r="F1205" s="1" t="s">
        <v>555</v>
      </c>
      <c r="G1205" s="1" t="s">
        <v>371</v>
      </c>
      <c r="H1205" s="2">
        <v>100000</v>
      </c>
      <c r="I1205" s="16">
        <v>0.90446667000000003</v>
      </c>
      <c r="J1205" s="1" t="s">
        <v>366</v>
      </c>
      <c r="K1205" s="6">
        <f>Registro_Ordini[[#This Row],[Numero]]*Registro_Ordini[[#This Row],[Prezzo]]</f>
        <v>90446.667000000001</v>
      </c>
      <c r="L1205" s="10">
        <v>1</v>
      </c>
      <c r="M1205" s="6">
        <f>Registro_Ordini[[#This Row],[Importo]]*Registro_Ordini[[#This Row],[Cambio]]</f>
        <v>90446.667000000001</v>
      </c>
      <c r="N1205" s="1" t="str">
        <f ca="1">IFERROR(_xlfn.NUMBERVALUE(OFFSET(Origine,MATCH(Registro_Ordini[[#This Row],[Titolo]],Descrizioni,0),MATCH("Price",Intestazioni,0)-1,1,1)),"")</f>
        <v/>
      </c>
      <c r="O1205" s="18" t="str">
        <f ca="1">IF(OR(Registro_Ordini[[#This Row],[Price]]=0,Registro_Ordini[[#This Row],[Price]]=""),"",IF(Registro_Ordini[[#This Row],[Tipo]]="Sell",Registro_Ordini[[#This Row],[Prezzo]]/Registro_Ordini[[#This Row],[Price]]-1,Registro_Ordini[[#This Row],[Price]]/Registro_Ordini[[#This Row],[Prezzo]]-1))</f>
        <v/>
      </c>
      <c r="P1205" s="15">
        <v>4.6657533974730235E-2</v>
      </c>
      <c r="Q1205" s="3">
        <v>0.85071487966250359</v>
      </c>
      <c r="R1205" s="3">
        <v>0.14928512033749644</v>
      </c>
      <c r="S1205" s="3">
        <v>0</v>
      </c>
      <c r="T1205" s="3">
        <v>0</v>
      </c>
      <c r="U1205" s="3">
        <v>0</v>
      </c>
      <c r="V1205" s="3"/>
      <c r="W1205" s="4"/>
      <c r="X1205" s="13"/>
      <c r="Z1205"/>
      <c r="AA1205"/>
    </row>
    <row r="1206" spans="1:27" s="1" customFormat="1" ht="24.95" customHeight="1" x14ac:dyDescent="0.2">
      <c r="A1206" s="8">
        <v>45209</v>
      </c>
      <c r="B1206" s="7">
        <v>0.90902777777777777</v>
      </c>
      <c r="C1206" s="9" t="s">
        <v>549</v>
      </c>
      <c r="D1206" s="1" t="s">
        <v>368</v>
      </c>
      <c r="E1206" s="1" t="s">
        <v>366</v>
      </c>
      <c r="F1206" s="1" t="s">
        <v>556</v>
      </c>
      <c r="G1206" s="1" t="s">
        <v>371</v>
      </c>
      <c r="H1206" s="2">
        <v>100000</v>
      </c>
      <c r="I1206" s="16">
        <v>0.85517500000000002</v>
      </c>
      <c r="J1206" s="1" t="s">
        <v>366</v>
      </c>
      <c r="K1206" s="6">
        <f>Registro_Ordini[[#This Row],[Numero]]*Registro_Ordini[[#This Row],[Prezzo]]</f>
        <v>85517.5</v>
      </c>
      <c r="L1206" s="10">
        <v>1</v>
      </c>
      <c r="M1206" s="6">
        <f>Registro_Ordini[[#This Row],[Importo]]*Registro_Ordini[[#This Row],[Cambio]]</f>
        <v>85517.5</v>
      </c>
      <c r="N1206" s="1" t="str">
        <f ca="1">IFERROR(_xlfn.NUMBERVALUE(OFFSET(Origine,MATCH(Registro_Ordini[[#This Row],[Titolo]],Descrizioni,0),MATCH("Price",Intestazioni,0)-1,1,1)),"")</f>
        <v/>
      </c>
      <c r="O1206" s="18" t="str">
        <f ca="1">IF(OR(Registro_Ordini[[#This Row],[Price]]=0,Registro_Ordini[[#This Row],[Price]]=""),"",IF(Registro_Ordini[[#This Row],[Tipo]]="Sell",Registro_Ordini[[#This Row],[Prezzo]]/Registro_Ordini[[#This Row],[Price]]-1,Registro_Ordini[[#This Row],[Price]]/Registro_Ordini[[#This Row],[Prezzo]]-1))</f>
        <v/>
      </c>
      <c r="P1206" s="15">
        <v>4.4114789345239144E-2</v>
      </c>
      <c r="Q1206" s="3">
        <v>0.85071487966250359</v>
      </c>
      <c r="R1206" s="3">
        <v>0.14928512033749644</v>
      </c>
      <c r="S1206" s="3">
        <v>0</v>
      </c>
      <c r="T1206" s="3">
        <v>0</v>
      </c>
      <c r="U1206" s="3">
        <v>0</v>
      </c>
      <c r="V1206" s="3"/>
      <c r="W1206" s="4"/>
      <c r="X1206" s="13"/>
      <c r="Z1206"/>
      <c r="AA1206"/>
    </row>
    <row r="1207" spans="1:27" s="1" customFormat="1" ht="24.95" customHeight="1" x14ac:dyDescent="0.2">
      <c r="A1207" s="8">
        <v>45209</v>
      </c>
      <c r="B1207" s="7">
        <v>0.90902777777777777</v>
      </c>
      <c r="C1207" s="9" t="s">
        <v>549</v>
      </c>
      <c r="D1207" s="1" t="s">
        <v>368</v>
      </c>
      <c r="E1207" s="1" t="s">
        <v>366</v>
      </c>
      <c r="F1207" s="1" t="s">
        <v>557</v>
      </c>
      <c r="G1207" s="1" t="s">
        <v>371</v>
      </c>
      <c r="H1207" s="2">
        <v>100000</v>
      </c>
      <c r="I1207" s="16">
        <v>0.95707942000000001</v>
      </c>
      <c r="J1207" s="1" t="s">
        <v>366</v>
      </c>
      <c r="K1207" s="6">
        <f>Registro_Ordini[[#This Row],[Numero]]*Registro_Ordini[[#This Row],[Prezzo]]</f>
        <v>95707.941999999995</v>
      </c>
      <c r="L1207" s="10">
        <v>1</v>
      </c>
      <c r="M1207" s="6">
        <f>Registro_Ordini[[#This Row],[Importo]]*Registro_Ordini[[#This Row],[Cambio]]</f>
        <v>95707.941999999995</v>
      </c>
      <c r="N1207" s="1" t="str">
        <f ca="1">IFERROR(_xlfn.NUMBERVALUE(OFFSET(Origine,MATCH(Registro_Ordini[[#This Row],[Titolo]],Descrizioni,0),MATCH("Price",Intestazioni,0)-1,1,1)),"")</f>
        <v/>
      </c>
      <c r="O1207" s="18" t="str">
        <f ca="1">IF(OR(Registro_Ordini[[#This Row],[Price]]=0,Registro_Ordini[[#This Row],[Price]]=""),"",IF(Registro_Ordini[[#This Row],[Tipo]]="Sell",Registro_Ordini[[#This Row],[Prezzo]]/Registro_Ordini[[#This Row],[Price]]-1,Registro_Ordini[[#This Row],[Price]]/Registro_Ordini[[#This Row],[Prezzo]]-1))</f>
        <v/>
      </c>
      <c r="P1207" s="15">
        <v>4.9371598795525655E-2</v>
      </c>
      <c r="Q1207" s="3">
        <v>0.90008647845802914</v>
      </c>
      <c r="R1207" s="3">
        <v>9.9913521541970779E-2</v>
      </c>
      <c r="S1207" s="3">
        <v>0</v>
      </c>
      <c r="T1207" s="3">
        <v>0</v>
      </c>
      <c r="U1207" s="3">
        <v>0</v>
      </c>
      <c r="V1207" s="3"/>
      <c r="W1207" s="4"/>
      <c r="X1207" s="13"/>
      <c r="Z1207"/>
      <c r="AA1207"/>
    </row>
    <row r="1208" spans="1:27" s="1" customFormat="1" ht="24.95" customHeight="1" x14ac:dyDescent="0.2">
      <c r="A1208" s="8">
        <v>45209</v>
      </c>
      <c r="B1208" s="7">
        <v>0.90902777777777777</v>
      </c>
      <c r="C1208" s="9" t="s">
        <v>549</v>
      </c>
      <c r="D1208" s="1" t="s">
        <v>368</v>
      </c>
      <c r="E1208" s="1" t="s">
        <v>366</v>
      </c>
      <c r="F1208" s="1" t="s">
        <v>558</v>
      </c>
      <c r="G1208" s="1" t="s">
        <v>371</v>
      </c>
      <c r="H1208" s="2">
        <v>100000</v>
      </c>
      <c r="I1208" s="16">
        <v>0.88634332999999998</v>
      </c>
      <c r="J1208" s="1" t="s">
        <v>366</v>
      </c>
      <c r="K1208" s="6">
        <f>Registro_Ordini[[#This Row],[Numero]]*Registro_Ordini[[#This Row],[Prezzo]]</f>
        <v>88634.332999999999</v>
      </c>
      <c r="L1208" s="10">
        <v>1</v>
      </c>
      <c r="M1208" s="6">
        <f>Registro_Ordini[[#This Row],[Importo]]*Registro_Ordini[[#This Row],[Cambio]]</f>
        <v>88634.332999999999</v>
      </c>
      <c r="N1208" s="1" t="str">
        <f ca="1">IFERROR(_xlfn.NUMBERVALUE(OFFSET(Origine,MATCH(Registro_Ordini[[#This Row],[Titolo]],Descrizioni,0),MATCH("Price",Intestazioni,0)-1,1,1)),"")</f>
        <v/>
      </c>
      <c r="O1208" s="18" t="str">
        <f ca="1">IF(OR(Registro_Ordini[[#This Row],[Price]]=0,Registro_Ordini[[#This Row],[Price]]=""),"",IF(Registro_Ordini[[#This Row],[Tipo]]="Sell",Registro_Ordini[[#This Row],[Prezzo]]/Registro_Ordini[[#This Row],[Price]]-1,Registro_Ordini[[#This Row],[Price]]/Registro_Ordini[[#This Row],[Prezzo]]-1))</f>
        <v/>
      </c>
      <c r="P1208" s="15">
        <v>4.5722629041433364E-2</v>
      </c>
      <c r="Q1208" s="3">
        <v>0.85071487966250359</v>
      </c>
      <c r="R1208" s="3">
        <v>0.14928512033749644</v>
      </c>
      <c r="S1208" s="3">
        <v>0</v>
      </c>
      <c r="T1208" s="3">
        <v>0</v>
      </c>
      <c r="U1208" s="3">
        <v>0</v>
      </c>
      <c r="V1208" s="3"/>
      <c r="W1208" s="4"/>
      <c r="X1208" s="13"/>
      <c r="Z1208"/>
      <c r="AA1208"/>
    </row>
    <row r="1209" spans="1:27" s="1" customFormat="1" ht="24.95" customHeight="1" x14ac:dyDescent="0.2">
      <c r="A1209" s="8">
        <v>45209</v>
      </c>
      <c r="B1209" s="7">
        <v>0.90902777777777777</v>
      </c>
      <c r="C1209" s="9" t="s">
        <v>549</v>
      </c>
      <c r="D1209" s="1" t="s">
        <v>368</v>
      </c>
      <c r="E1209" s="1" t="s">
        <v>366</v>
      </c>
      <c r="F1209" s="1" t="s">
        <v>559</v>
      </c>
      <c r="G1209" s="1" t="s">
        <v>371</v>
      </c>
      <c r="H1209" s="2">
        <v>100000</v>
      </c>
      <c r="I1209" s="16">
        <v>0.93134333000000002</v>
      </c>
      <c r="J1209" s="1" t="s">
        <v>366</v>
      </c>
      <c r="K1209" s="6">
        <f>Registro_Ordini[[#This Row],[Numero]]*Registro_Ordini[[#This Row],[Prezzo]]</f>
        <v>93134.332999999999</v>
      </c>
      <c r="L1209" s="10">
        <v>1</v>
      </c>
      <c r="M1209" s="6">
        <f>Registro_Ordini[[#This Row],[Importo]]*Registro_Ordini[[#This Row],[Cambio]]</f>
        <v>93134.332999999999</v>
      </c>
      <c r="N1209" s="1" t="str">
        <f ca="1">IFERROR(_xlfn.NUMBERVALUE(OFFSET(Origine,MATCH(Registro_Ordini[[#This Row],[Titolo]],Descrizioni,0),MATCH("Price",Intestazioni,0)-1,1,1)),"")</f>
        <v/>
      </c>
      <c r="O1209" s="18" t="str">
        <f ca="1">IF(OR(Registro_Ordini[[#This Row],[Price]]=0,Registro_Ordini[[#This Row],[Price]]=""),"",IF(Registro_Ordini[[#This Row],[Tipo]]="Sell",Registro_Ordini[[#This Row],[Prezzo]]/Registro_Ordini[[#This Row],[Price]]-1,Registro_Ordini[[#This Row],[Price]]/Registro_Ordini[[#This Row],[Prezzo]]-1))</f>
        <v/>
      </c>
      <c r="P1209" s="15">
        <v>4.8043984928281977E-2</v>
      </c>
      <c r="Q1209" s="3">
        <v>0.85071487966250359</v>
      </c>
      <c r="R1209" s="3">
        <v>0.14928512033749644</v>
      </c>
      <c r="S1209" s="3">
        <v>0</v>
      </c>
      <c r="T1209" s="3">
        <v>0</v>
      </c>
      <c r="U1209" s="3">
        <v>0</v>
      </c>
      <c r="V1209" s="3"/>
      <c r="W1209" s="4"/>
      <c r="X1209" s="13"/>
      <c r="Z1209"/>
      <c r="AA1209"/>
    </row>
    <row r="1210" spans="1:27" s="1" customFormat="1" ht="24.95" customHeight="1" x14ac:dyDescent="0.2">
      <c r="A1210" s="8">
        <v>45209</v>
      </c>
      <c r="B1210" s="7">
        <v>0.90902777777777777</v>
      </c>
      <c r="C1210" s="9" t="s">
        <v>549</v>
      </c>
      <c r="D1210" s="1" t="s">
        <v>368</v>
      </c>
      <c r="E1210" s="1" t="s">
        <v>366</v>
      </c>
      <c r="F1210" s="1" t="s">
        <v>560</v>
      </c>
      <c r="G1210" s="1" t="s">
        <v>371</v>
      </c>
      <c r="H1210" s="2">
        <v>100000</v>
      </c>
      <c r="I1210" s="16">
        <v>0.97658750000000005</v>
      </c>
      <c r="J1210" s="1" t="s">
        <v>366</v>
      </c>
      <c r="K1210" s="6">
        <f>Registro_Ordini[[#This Row],[Numero]]*Registro_Ordini[[#This Row],[Prezzo]]</f>
        <v>97658.75</v>
      </c>
      <c r="L1210" s="10">
        <v>1</v>
      </c>
      <c r="M1210" s="6">
        <f>Registro_Ordini[[#This Row],[Importo]]*Registro_Ordini[[#This Row],[Cambio]]</f>
        <v>97658.75</v>
      </c>
      <c r="N1210" s="1" t="str">
        <f ca="1">IFERROR(_xlfn.NUMBERVALUE(OFFSET(Origine,MATCH(Registro_Ordini[[#This Row],[Titolo]],Descrizioni,0),MATCH("Price",Intestazioni,0)-1,1,1)),"")</f>
        <v/>
      </c>
      <c r="O1210" s="18" t="str">
        <f ca="1">IF(OR(Registro_Ordini[[#This Row],[Price]]=0,Registro_Ordini[[#This Row],[Price]]=""),"",IF(Registro_Ordini[[#This Row],[Tipo]]="Sell",Registro_Ordini[[#This Row],[Prezzo]]/Registro_Ordini[[#This Row],[Price]]-1,Registro_Ordini[[#This Row],[Price]]/Registro_Ordini[[#This Row],[Prezzo]]-1))</f>
        <v/>
      </c>
      <c r="P1210" s="15">
        <v>5.0377936492172634E-2</v>
      </c>
      <c r="Q1210" s="3">
        <v>0.85071487966250359</v>
      </c>
      <c r="R1210" s="3">
        <v>0.14928512033749644</v>
      </c>
      <c r="S1210" s="3">
        <v>0</v>
      </c>
      <c r="T1210" s="3">
        <v>0</v>
      </c>
      <c r="U1210" s="3">
        <v>0</v>
      </c>
      <c r="V1210" s="3"/>
      <c r="W1210" s="4"/>
      <c r="X1210" s="13"/>
      <c r="Z1210"/>
      <c r="AA1210"/>
    </row>
    <row r="1211" spans="1:27" s="1" customFormat="1" ht="24.95" customHeight="1" x14ac:dyDescent="0.2">
      <c r="A1211" s="8">
        <v>45209</v>
      </c>
      <c r="B1211" s="7">
        <v>0.90833333333333333</v>
      </c>
      <c r="C1211" s="9" t="s">
        <v>549</v>
      </c>
      <c r="D1211" s="1" t="s">
        <v>368</v>
      </c>
      <c r="E1211" s="1" t="s">
        <v>366</v>
      </c>
      <c r="F1211" s="1" t="s">
        <v>561</v>
      </c>
      <c r="G1211" s="1" t="s">
        <v>371</v>
      </c>
      <c r="H1211" s="2">
        <v>100000</v>
      </c>
      <c r="I1211" s="16">
        <v>0.96644582999999995</v>
      </c>
      <c r="J1211" s="1" t="s">
        <v>366</v>
      </c>
      <c r="K1211" s="6">
        <f>Registro_Ordini[[#This Row],[Numero]]*Registro_Ordini[[#This Row],[Prezzo]]</f>
        <v>96644.582999999999</v>
      </c>
      <c r="L1211" s="10">
        <v>1</v>
      </c>
      <c r="M1211" s="6">
        <f>Registro_Ordini[[#This Row],[Importo]]*Registro_Ordini[[#This Row],[Cambio]]</f>
        <v>96644.582999999999</v>
      </c>
      <c r="N1211" s="1" t="str">
        <f ca="1">IFERROR(_xlfn.NUMBERVALUE(OFFSET(Origine,MATCH(Registro_Ordini[[#This Row],[Titolo]],Descrizioni,0),MATCH("Price",Intestazioni,0)-1,1,1)),"")</f>
        <v/>
      </c>
      <c r="O1211" s="18" t="str">
        <f ca="1">IF(OR(Registro_Ordini[[#This Row],[Price]]=0,Registro_Ordini[[#This Row],[Price]]=""),"",IF(Registro_Ordini[[#This Row],[Tipo]]="Sell",Registro_Ordini[[#This Row],[Prezzo]]/Registro_Ordini[[#This Row],[Price]]-1,Registro_Ordini[[#This Row],[Price]]/Registro_Ordini[[#This Row],[Prezzo]]-1))</f>
        <v/>
      </c>
      <c r="P1211" s="15">
        <v>4.9854771484239828E-2</v>
      </c>
      <c r="Q1211" s="3">
        <v>1</v>
      </c>
      <c r="R1211" s="3">
        <v>0</v>
      </c>
      <c r="S1211" s="3">
        <v>0</v>
      </c>
      <c r="T1211" s="3">
        <v>0</v>
      </c>
      <c r="U1211" s="3">
        <v>0</v>
      </c>
      <c r="V1211" s="3"/>
      <c r="W1211" s="4"/>
      <c r="X1211" s="13"/>
      <c r="Z1211"/>
      <c r="AA1211"/>
    </row>
    <row r="1212" spans="1:27" s="1" customFormat="1" ht="24.95" customHeight="1" x14ac:dyDescent="0.2">
      <c r="A1212" s="8">
        <v>45209</v>
      </c>
      <c r="B1212" s="7">
        <v>0.90833333333333333</v>
      </c>
      <c r="C1212" s="9" t="s">
        <v>549</v>
      </c>
      <c r="D1212" s="1" t="s">
        <v>368</v>
      </c>
      <c r="E1212" s="1" t="s">
        <v>366</v>
      </c>
      <c r="F1212" s="1" t="s">
        <v>562</v>
      </c>
      <c r="G1212" s="1" t="s">
        <v>371</v>
      </c>
      <c r="H1212" s="2">
        <v>100000</v>
      </c>
      <c r="I1212" s="16">
        <v>0.97040000000000004</v>
      </c>
      <c r="J1212" s="1" t="s">
        <v>366</v>
      </c>
      <c r="K1212" s="6">
        <f>Registro_Ordini[[#This Row],[Numero]]*Registro_Ordini[[#This Row],[Prezzo]]</f>
        <v>97040</v>
      </c>
      <c r="L1212" s="10">
        <v>1</v>
      </c>
      <c r="M1212" s="6">
        <f>Registro_Ordini[[#This Row],[Importo]]*Registro_Ordini[[#This Row],[Cambio]]</f>
        <v>97040</v>
      </c>
      <c r="N1212" s="1" t="str">
        <f ca="1">IFERROR(_xlfn.NUMBERVALUE(OFFSET(Origine,MATCH(Registro_Ordini[[#This Row],[Titolo]],Descrizioni,0),MATCH("Price",Intestazioni,0)-1,1,1)),"")</f>
        <v/>
      </c>
      <c r="O1212" s="18" t="str">
        <f ca="1">IF(OR(Registro_Ordini[[#This Row],[Price]]=0,Registro_Ordini[[#This Row],[Price]]=""),"",IF(Registro_Ordini[[#This Row],[Tipo]]="Sell",Registro_Ordini[[#This Row],[Prezzo]]/Registro_Ordini[[#This Row],[Price]]-1,Registro_Ordini[[#This Row],[Price]]/Registro_Ordini[[#This Row],[Prezzo]]-1))</f>
        <v/>
      </c>
      <c r="P1212" s="15">
        <v>5.0058750057730944E-2</v>
      </c>
      <c r="Q1212" s="3">
        <v>0.95014522851576011</v>
      </c>
      <c r="R1212" s="3">
        <v>4.9854771484239828E-2</v>
      </c>
      <c r="S1212" s="3">
        <v>0</v>
      </c>
      <c r="T1212" s="3">
        <v>0</v>
      </c>
      <c r="U1212" s="3">
        <v>0</v>
      </c>
      <c r="V1212" s="3"/>
      <c r="W1212" s="4"/>
      <c r="X1212" s="13"/>
      <c r="Z1212"/>
      <c r="AA1212"/>
    </row>
    <row r="1213" spans="1:27" s="1" customFormat="1" ht="24.95" customHeight="1" x14ac:dyDescent="0.2">
      <c r="A1213" s="8">
        <v>45204</v>
      </c>
      <c r="B1213" s="7">
        <v>0.44097222222222221</v>
      </c>
      <c r="C1213" s="9" t="s">
        <v>156</v>
      </c>
      <c r="D1213" s="1" t="s">
        <v>362</v>
      </c>
      <c r="E1213" s="1" t="s">
        <v>363</v>
      </c>
      <c r="F1213" s="1" t="s">
        <v>563</v>
      </c>
      <c r="G1213" s="1" t="s">
        <v>365</v>
      </c>
      <c r="H1213" s="2">
        <v>-105000</v>
      </c>
      <c r="I1213" s="17">
        <v>1</v>
      </c>
      <c r="J1213" s="1" t="s">
        <v>564</v>
      </c>
      <c r="K1213" s="6">
        <f>Registro_Ordini[[#This Row],[Numero]]*Registro_Ordini[[#This Row],[Prezzo]]</f>
        <v>-105000</v>
      </c>
      <c r="L1213" s="10">
        <v>5.0883999999999999E-2</v>
      </c>
      <c r="M1213" s="6">
        <f>Registro_Ordini[[#This Row],[Importo]]*Registro_Ordini[[#This Row],[Cambio]]</f>
        <v>-5342.82</v>
      </c>
      <c r="N1213" s="1">
        <f ca="1">IFERROR(_xlfn.NUMBERVALUE(OFFSET(Origine,MATCH(Registro_Ordini[[#This Row],[Titolo]],Descrizioni,0),MATCH("Price",Intestazioni,0)-1,1,1)),"")</f>
        <v>4.4286499999999999E-2</v>
      </c>
      <c r="O1213" s="18">
        <f ca="1">IF(OR(Registro_Ordini[[#This Row],[Price]]=0,Registro_Ordini[[#This Row],[Price]]=""),"",IF(Registro_Ordini[[#This Row],[Tipo]]="Sell",Registro_Ordini[[#This Row],[Prezzo]]/Registro_Ordini[[#This Row],[Price]]-1,Registro_Ordini[[#This Row],[Price]]/Registro_Ordini[[#This Row],[Prezzo]]-1))</f>
        <v>21.580244544048412</v>
      </c>
      <c r="P1213" s="15">
        <v>-9.1846335962565227E-3</v>
      </c>
      <c r="Q1213" s="3">
        <v>0.23122623435695513</v>
      </c>
      <c r="R1213" s="3">
        <v>0.3135743372801561</v>
      </c>
      <c r="S1213" s="3">
        <v>0.33125559869281063</v>
      </c>
      <c r="T1213" s="3">
        <v>0</v>
      </c>
      <c r="U1213" s="3">
        <v>0.12394382967007821</v>
      </c>
      <c r="V1213" s="3"/>
      <c r="W1213" s="4"/>
      <c r="X1213" s="13"/>
      <c r="Z1213"/>
      <c r="AA1213"/>
    </row>
    <row r="1214" spans="1:27" s="1" customFormat="1" ht="24.95" customHeight="1" x14ac:dyDescent="0.2">
      <c r="A1214" s="8">
        <v>45204</v>
      </c>
      <c r="B1214" s="7">
        <v>0.44027777777777777</v>
      </c>
      <c r="C1214" s="9" t="s">
        <v>156</v>
      </c>
      <c r="D1214" s="1" t="s">
        <v>362</v>
      </c>
      <c r="E1214" s="1" t="s">
        <v>363</v>
      </c>
      <c r="F1214" s="1" t="s">
        <v>364</v>
      </c>
      <c r="G1214" s="1" t="s">
        <v>371</v>
      </c>
      <c r="H1214" s="2">
        <v>5638.17</v>
      </c>
      <c r="I1214" s="17">
        <v>1</v>
      </c>
      <c r="J1214" s="1" t="s">
        <v>366</v>
      </c>
      <c r="K1214" s="6">
        <f>Registro_Ordini[[#This Row],[Numero]]*Registro_Ordini[[#This Row],[Prezzo]]</f>
        <v>5638.17</v>
      </c>
      <c r="L1214" s="10">
        <v>0.91610000000000003</v>
      </c>
      <c r="M1214" s="6">
        <f>Registro_Ordini[[#This Row],[Importo]]*Registro_Ordini[[#This Row],[Cambio]]</f>
        <v>5165.1275370000003</v>
      </c>
      <c r="N1214" s="1">
        <f ca="1">IFERROR(_xlfn.NUMBERVALUE(OFFSET(Origine,MATCH(Registro_Ordini[[#This Row],[Titolo]],Descrizioni,0),MATCH("Price",Intestazioni,0)-1,1,1)),"")</f>
        <v>0.78225</v>
      </c>
      <c r="O1214" s="18">
        <f ca="1">IF(OR(Registro_Ordini[[#This Row],[Price]]=0,Registro_Ordini[[#This Row],[Price]]=""),"",IF(Registro_Ordini[[#This Row],[Tipo]]="Sell",Registro_Ordini[[#This Row],[Prezzo]]/Registro_Ordini[[#This Row],[Price]]-1,Registro_Ordini[[#This Row],[Price]]/Registro_Ordini[[#This Row],[Prezzo]]-1))</f>
        <v>-0.21775</v>
      </c>
      <c r="P1214" s="15">
        <v>8.8791694096525646E-3</v>
      </c>
      <c r="Q1214" s="3">
        <v>0.23122623435695519</v>
      </c>
      <c r="R1214" s="3">
        <v>0.3135743372801561</v>
      </c>
      <c r="S1214" s="3">
        <v>0.33125559869281063</v>
      </c>
      <c r="T1214" s="3">
        <v>0</v>
      </c>
      <c r="U1214" s="3">
        <v>0.12394382967007821</v>
      </c>
      <c r="V1214" s="3"/>
      <c r="W1214" s="4"/>
      <c r="X1214" s="13"/>
      <c r="Z1214"/>
      <c r="AA1214"/>
    </row>
    <row r="1215" spans="1:27" s="1" customFormat="1" ht="24.95" customHeight="1" x14ac:dyDescent="0.2">
      <c r="A1215" s="8">
        <v>45203</v>
      </c>
      <c r="B1215" s="7">
        <v>0.68333333333333335</v>
      </c>
      <c r="C1215" s="9" t="s">
        <v>547</v>
      </c>
      <c r="D1215" s="1" t="s">
        <v>388</v>
      </c>
      <c r="E1215" s="1" t="s">
        <v>389</v>
      </c>
      <c r="F1215" s="1" t="s">
        <v>565</v>
      </c>
      <c r="G1215" s="1" t="s">
        <v>365</v>
      </c>
      <c r="H1215" s="2">
        <v>-380</v>
      </c>
      <c r="I1215" s="17">
        <v>122.74</v>
      </c>
      <c r="J1215" s="1" t="s">
        <v>366</v>
      </c>
      <c r="K1215" s="6">
        <f>Registro_Ordini[[#This Row],[Numero]]*Registro_Ordini[[#This Row],[Prezzo]]</f>
        <v>-46641.2</v>
      </c>
      <c r="L1215" s="10">
        <v>0.92135</v>
      </c>
      <c r="M1215" s="6">
        <f>Registro_Ordini[[#This Row],[Importo]]*Registro_Ordini[[#This Row],[Cambio]]</f>
        <v>-42972.869619999998</v>
      </c>
      <c r="N1215" s="1" t="str">
        <f ca="1">IFERROR(_xlfn.NUMBERVALUE(OFFSET(Origine,MATCH(Registro_Ordini[[#This Row],[Titolo]],Descrizioni,0),MATCH("Price",Intestazioni,0)-1,1,1)),"")</f>
        <v/>
      </c>
      <c r="O1215" s="18" t="str">
        <f ca="1">IF(OR(Registro_Ordini[[#This Row],[Price]]=0,Registro_Ordini[[#This Row],[Price]]=""),"",IF(Registro_Ordini[[#This Row],[Tipo]]="Sell",Registro_Ordini[[#This Row],[Prezzo]]/Registro_Ordini[[#This Row],[Price]]-1,Registro_Ordini[[#This Row],[Price]]/Registro_Ordini[[#This Row],[Prezzo]]-1))</f>
        <v/>
      </c>
      <c r="P1215" s="15">
        <v>-1.1229565952431454E-2</v>
      </c>
      <c r="Q1215" s="3">
        <v>0.40982404488346319</v>
      </c>
      <c r="R1215" s="3">
        <v>0.27422704083216776</v>
      </c>
      <c r="S1215" s="3">
        <v>0.28517552440406851</v>
      </c>
      <c r="T1215" s="3">
        <v>0</v>
      </c>
      <c r="U1215" s="3">
        <v>3.0773389880300619E-2</v>
      </c>
      <c r="V1215" s="3"/>
      <c r="W1215" s="4"/>
      <c r="X1215" s="13"/>
      <c r="Z1215"/>
      <c r="AA1215"/>
    </row>
    <row r="1216" spans="1:27" s="1" customFormat="1" ht="24.95" customHeight="1" x14ac:dyDescent="0.2">
      <c r="A1216" s="8">
        <v>45203</v>
      </c>
      <c r="B1216" s="7">
        <v>0.68333333333333335</v>
      </c>
      <c r="C1216" s="9" t="s">
        <v>547</v>
      </c>
      <c r="D1216" s="1" t="s">
        <v>388</v>
      </c>
      <c r="E1216" s="1" t="s">
        <v>389</v>
      </c>
      <c r="F1216" s="1" t="s">
        <v>566</v>
      </c>
      <c r="G1216" s="1" t="s">
        <v>365</v>
      </c>
      <c r="H1216" s="2">
        <v>-280</v>
      </c>
      <c r="I1216" s="17">
        <v>203.45869999999999</v>
      </c>
      <c r="J1216" s="1" t="s">
        <v>366</v>
      </c>
      <c r="K1216" s="6">
        <f>Registro_Ordini[[#This Row],[Numero]]*Registro_Ordini[[#This Row],[Prezzo]]</f>
        <v>-56968.436000000002</v>
      </c>
      <c r="L1216" s="10">
        <v>0.92135</v>
      </c>
      <c r="M1216" s="6">
        <f>Registro_Ordini[[#This Row],[Importo]]*Registro_Ordini[[#This Row],[Cambio]]</f>
        <v>-52487.868508600004</v>
      </c>
      <c r="N1216" s="1" t="str">
        <f ca="1">IFERROR(_xlfn.NUMBERVALUE(OFFSET(Origine,MATCH(Registro_Ordini[[#This Row],[Titolo]],Descrizioni,0),MATCH("Price",Intestazioni,0)-1,1,1)),"")</f>
        <v/>
      </c>
      <c r="O1216" s="18" t="str">
        <f ca="1">IF(OR(Registro_Ordini[[#This Row],[Price]]=0,Registro_Ordini[[#This Row],[Price]]=""),"",IF(Registro_Ordini[[#This Row],[Tipo]]="Sell",Registro_Ordini[[#This Row],[Prezzo]]/Registro_Ordini[[#This Row],[Price]]-1,Registro_Ordini[[#This Row],[Price]]/Registro_Ordini[[#This Row],[Prezzo]]-1))</f>
        <v/>
      </c>
      <c r="P1216" s="15">
        <v>-1.3716002359906486E-2</v>
      </c>
      <c r="Q1216" s="3">
        <v>0.4210536108358946</v>
      </c>
      <c r="R1216" s="3">
        <v>0.27422704083216776</v>
      </c>
      <c r="S1216" s="3">
        <v>0.27394595845163705</v>
      </c>
      <c r="T1216" s="3">
        <v>0</v>
      </c>
      <c r="U1216" s="3">
        <v>3.0773389880300619E-2</v>
      </c>
      <c r="V1216" s="3"/>
      <c r="W1216" s="4"/>
      <c r="X1216" s="13"/>
      <c r="Z1216"/>
      <c r="AA1216"/>
    </row>
    <row r="1217" spans="1:27" s="1" customFormat="1" ht="24.95" customHeight="1" x14ac:dyDescent="0.2">
      <c r="A1217" s="8">
        <v>45203</v>
      </c>
      <c r="B1217" s="7">
        <v>0.68263888888888891</v>
      </c>
      <c r="C1217" s="9" t="s">
        <v>547</v>
      </c>
      <c r="D1217" s="1" t="s">
        <v>388</v>
      </c>
      <c r="E1217" s="1" t="s">
        <v>389</v>
      </c>
      <c r="F1217" s="1" t="s">
        <v>567</v>
      </c>
      <c r="G1217" s="1" t="s">
        <v>365</v>
      </c>
      <c r="H1217" s="2">
        <v>-791</v>
      </c>
      <c r="I1217" s="17">
        <v>124.39</v>
      </c>
      <c r="J1217" s="1" t="s">
        <v>366</v>
      </c>
      <c r="K1217" s="6">
        <f>Registro_Ordini[[#This Row],[Numero]]*Registro_Ordini[[#This Row],[Prezzo]]</f>
        <v>-98392.49</v>
      </c>
      <c r="L1217" s="10">
        <v>0.92135</v>
      </c>
      <c r="M1217" s="6">
        <f>Registro_Ordini[[#This Row],[Importo]]*Registro_Ordini[[#This Row],[Cambio]]</f>
        <v>-90653.9206615</v>
      </c>
      <c r="N1217" s="1" t="str">
        <f ca="1">IFERROR(_xlfn.NUMBERVALUE(OFFSET(Origine,MATCH(Registro_Ordini[[#This Row],[Titolo]],Descrizioni,0),MATCH("Price",Intestazioni,0)-1,1,1)),"")</f>
        <v/>
      </c>
      <c r="O1217" s="18" t="str">
        <f ca="1">IF(OR(Registro_Ordini[[#This Row],[Price]]=0,Registro_Ordini[[#This Row],[Price]]=""),"",IF(Registro_Ordini[[#This Row],[Tipo]]="Sell",Registro_Ordini[[#This Row],[Prezzo]]/Registro_Ordini[[#This Row],[Price]]-1,Registro_Ordini[[#This Row],[Price]]/Registro_Ordini[[#This Row],[Prezzo]]-1))</f>
        <v/>
      </c>
      <c r="P1217" s="15">
        <v>-2.3689462442624813E-2</v>
      </c>
      <c r="Q1217" s="3">
        <v>0.38613458244083831</v>
      </c>
      <c r="R1217" s="3">
        <v>0.2742270408321677</v>
      </c>
      <c r="S1217" s="3">
        <v>0.30886498684669333</v>
      </c>
      <c r="T1217" s="3">
        <v>0</v>
      </c>
      <c r="U1217" s="3">
        <v>3.0773389880300615E-2</v>
      </c>
      <c r="V1217" s="3"/>
      <c r="W1217" s="4"/>
      <c r="X1217" s="13"/>
      <c r="Z1217"/>
      <c r="AA1217"/>
    </row>
    <row r="1218" spans="1:27" s="1" customFormat="1" ht="24.95" customHeight="1" x14ac:dyDescent="0.2">
      <c r="A1218" s="8">
        <v>45203</v>
      </c>
      <c r="B1218" s="7">
        <v>0.68263888888888891</v>
      </c>
      <c r="C1218" s="9" t="s">
        <v>547</v>
      </c>
      <c r="D1218" s="1" t="s">
        <v>368</v>
      </c>
      <c r="E1218" s="1" t="s">
        <v>568</v>
      </c>
      <c r="F1218" s="1" t="s">
        <v>569</v>
      </c>
      <c r="G1218" s="1" t="s">
        <v>365</v>
      </c>
      <c r="H1218" s="2">
        <v>-1120</v>
      </c>
      <c r="I1218" s="16">
        <v>156.21</v>
      </c>
      <c r="J1218" s="1" t="s">
        <v>366</v>
      </c>
      <c r="K1218" s="6">
        <f>Registro_Ordini[[#This Row],[Numero]]*Registro_Ordini[[#This Row],[Prezzo]]</f>
        <v>-174955.2</v>
      </c>
      <c r="L1218" s="10">
        <v>0.92135</v>
      </c>
      <c r="M1218" s="6">
        <f>Registro_Ordini[[#This Row],[Importo]]*Registro_Ordini[[#This Row],[Cambio]]</f>
        <v>-161194.97352</v>
      </c>
      <c r="N1218" s="1">
        <f ca="1">IFERROR(_xlfn.NUMBERVALUE(OFFSET(Origine,MATCH(Registro_Ordini[[#This Row],[Titolo]],Descrizioni,0),MATCH("Price",Intestazioni,0)-1,1,1)),"")</f>
        <v>197.89</v>
      </c>
      <c r="O1218" s="18">
        <f ca="1">IF(OR(Registro_Ordini[[#This Row],[Price]]=0,Registro_Ordini[[#This Row],[Price]]=""),"",IF(Registro_Ordini[[#This Row],[Tipo]]="Sell",Registro_Ordini[[#This Row],[Prezzo]]/Registro_Ordini[[#This Row],[Price]]-1,Registro_Ordini[[#This Row],[Price]]/Registro_Ordini[[#This Row],[Prezzo]]-1))</f>
        <v>-0.21062206276214046</v>
      </c>
      <c r="P1218" s="15">
        <v>-4.2123079104329123E-2</v>
      </c>
      <c r="Q1218" s="3">
        <v>0.34401150333650921</v>
      </c>
      <c r="R1218" s="3">
        <v>0.31635011993649681</v>
      </c>
      <c r="S1218" s="3">
        <v>0.30886498684669333</v>
      </c>
      <c r="T1218" s="3">
        <v>0</v>
      </c>
      <c r="U1218" s="3">
        <v>3.0773389880300615E-2</v>
      </c>
      <c r="V1218" s="3"/>
      <c r="W1218" s="4"/>
      <c r="X1218" s="13"/>
      <c r="Z1218"/>
      <c r="AA1218"/>
    </row>
    <row r="1219" spans="1:27" s="1" customFormat="1" ht="24.95" customHeight="1" x14ac:dyDescent="0.2">
      <c r="A1219" s="8">
        <v>45203</v>
      </c>
      <c r="B1219" s="7">
        <v>0.68194444444444446</v>
      </c>
      <c r="C1219" s="9" t="s">
        <v>547</v>
      </c>
      <c r="D1219" s="1" t="s">
        <v>368</v>
      </c>
      <c r="E1219" s="1" t="s">
        <v>369</v>
      </c>
      <c r="F1219" s="1" t="s">
        <v>570</v>
      </c>
      <c r="G1219" s="1" t="s">
        <v>365</v>
      </c>
      <c r="H1219" s="2">
        <v>-100000</v>
      </c>
      <c r="I1219" s="16">
        <v>0.94716500000000003</v>
      </c>
      <c r="J1219" s="1" t="s">
        <v>369</v>
      </c>
      <c r="K1219" s="6">
        <f>Registro_Ordini[[#This Row],[Numero]]*Registro_Ordini[[#This Row],[Prezzo]]</f>
        <v>-94716.5</v>
      </c>
      <c r="L1219" s="10">
        <v>1</v>
      </c>
      <c r="M1219" s="6">
        <f>Registro_Ordini[[#This Row],[Importo]]*Registro_Ordini[[#This Row],[Cambio]]</f>
        <v>-94716.5</v>
      </c>
      <c r="N1219" s="1" t="str">
        <f ca="1">IFERROR(_xlfn.NUMBERVALUE(OFFSET(Origine,MATCH(Registro_Ordini[[#This Row],[Titolo]],Descrizioni,0),MATCH("Price",Intestazioni,0)-1,1,1)),"")</f>
        <v/>
      </c>
      <c r="O1219" s="18" t="str">
        <f ca="1">IF(OR(Registro_Ordini[[#This Row],[Price]]=0,Registro_Ordini[[#This Row],[Price]]=""),"",IF(Registro_Ordini[[#This Row],[Tipo]]="Sell",Registro_Ordini[[#This Row],[Prezzo]]/Registro_Ordini[[#This Row],[Price]]-1,Registro_Ordini[[#This Row],[Price]]/Registro_Ordini[[#This Row],[Prezzo]]-1))</f>
        <v/>
      </c>
      <c r="P1219" s="15">
        <v>-2.4751085811557067E-2</v>
      </c>
      <c r="Q1219" s="3">
        <v>0.31926041752495216</v>
      </c>
      <c r="R1219" s="3">
        <v>0.34110120574805386</v>
      </c>
      <c r="S1219" s="3">
        <v>0.30886498684669333</v>
      </c>
      <c r="T1219" s="3">
        <v>0</v>
      </c>
      <c r="U1219" s="3">
        <v>3.0773389880300615E-2</v>
      </c>
      <c r="V1219" s="3"/>
      <c r="W1219" s="4"/>
      <c r="X1219" s="13"/>
      <c r="Z1219"/>
      <c r="AA1219"/>
    </row>
    <row r="1220" spans="1:27" s="1" customFormat="1" ht="24.95" customHeight="1" x14ac:dyDescent="0.2">
      <c r="A1220" s="8">
        <v>45203</v>
      </c>
      <c r="B1220" s="7">
        <v>0.68194444444444446</v>
      </c>
      <c r="C1220" s="9" t="s">
        <v>547</v>
      </c>
      <c r="D1220" s="1" t="s">
        <v>368</v>
      </c>
      <c r="E1220" s="1" t="s">
        <v>369</v>
      </c>
      <c r="F1220" s="1" t="s">
        <v>571</v>
      </c>
      <c r="G1220" s="1" t="s">
        <v>365</v>
      </c>
      <c r="H1220" s="2">
        <v>-100000</v>
      </c>
      <c r="I1220" s="16">
        <v>0.98081750000000001</v>
      </c>
      <c r="J1220" s="1" t="s">
        <v>369</v>
      </c>
      <c r="K1220" s="6">
        <f>Registro_Ordini[[#This Row],[Numero]]*Registro_Ordini[[#This Row],[Prezzo]]</f>
        <v>-98081.75</v>
      </c>
      <c r="L1220" s="10">
        <v>1</v>
      </c>
      <c r="M1220" s="6">
        <f>Registro_Ordini[[#This Row],[Importo]]*Registro_Ordini[[#This Row],[Cambio]]</f>
        <v>-98081.75</v>
      </c>
      <c r="N1220" s="1" t="str">
        <f ca="1">IFERROR(_xlfn.NUMBERVALUE(OFFSET(Origine,MATCH(Registro_Ordini[[#This Row],[Titolo]],Descrizioni,0),MATCH("Price",Intestazioni,0)-1,1,1)),"")</f>
        <v/>
      </c>
      <c r="O1220" s="18" t="str">
        <f ca="1">IF(OR(Registro_Ordini[[#This Row],[Price]]=0,Registro_Ordini[[#This Row],[Price]]=""),"",IF(Registro_Ordini[[#This Row],[Tipo]]="Sell",Registro_Ordini[[#This Row],[Prezzo]]/Registro_Ordini[[#This Row],[Price]]-1,Registro_Ordini[[#This Row],[Price]]/Registro_Ordini[[#This Row],[Prezzo]]-1))</f>
        <v/>
      </c>
      <c r="P1220" s="15">
        <v>-2.5630484770844439E-2</v>
      </c>
      <c r="Q1220" s="3">
        <v>0.26743714692230114</v>
      </c>
      <c r="R1220" s="3">
        <v>0.39292447635070493</v>
      </c>
      <c r="S1220" s="3">
        <v>0.30886498684669333</v>
      </c>
      <c r="T1220" s="3">
        <v>0</v>
      </c>
      <c r="U1220" s="3">
        <v>3.0773389880300615E-2</v>
      </c>
      <c r="V1220" s="3"/>
      <c r="W1220" s="4"/>
      <c r="X1220" s="13"/>
      <c r="Z1220"/>
      <c r="AA1220"/>
    </row>
    <row r="1221" spans="1:27" s="1" customFormat="1" ht="24.95" customHeight="1" x14ac:dyDescent="0.2">
      <c r="A1221" s="8">
        <v>45203</v>
      </c>
      <c r="B1221" s="7">
        <v>0.68194444444444446</v>
      </c>
      <c r="C1221" s="9" t="s">
        <v>547</v>
      </c>
      <c r="D1221" s="1" t="s">
        <v>368</v>
      </c>
      <c r="E1221" s="1" t="s">
        <v>369</v>
      </c>
      <c r="F1221" s="1" t="s">
        <v>572</v>
      </c>
      <c r="G1221" s="1" t="s">
        <v>365</v>
      </c>
      <c r="H1221" s="2">
        <v>-100000</v>
      </c>
      <c r="I1221" s="16">
        <v>1.0023354200000001</v>
      </c>
      <c r="J1221" s="1" t="s">
        <v>369</v>
      </c>
      <c r="K1221" s="6">
        <f>Registro_Ordini[[#This Row],[Numero]]*Registro_Ordini[[#This Row],[Prezzo]]</f>
        <v>-100233.54200000002</v>
      </c>
      <c r="L1221" s="10">
        <v>1</v>
      </c>
      <c r="M1221" s="6">
        <f>Registro_Ordini[[#This Row],[Importo]]*Registro_Ordini[[#This Row],[Cambio]]</f>
        <v>-100233.54200000002</v>
      </c>
      <c r="N1221" s="1" t="str">
        <f ca="1">IFERROR(_xlfn.NUMBERVALUE(OFFSET(Origine,MATCH(Registro_Ordini[[#This Row],[Titolo]],Descrizioni,0),MATCH("Price",Intestazioni,0)-1,1,1)),"")</f>
        <v/>
      </c>
      <c r="O1221" s="18" t="str">
        <f ca="1">IF(OR(Registro_Ordini[[#This Row],[Price]]=0,Registro_Ordini[[#This Row],[Price]]=""),"",IF(Registro_Ordini[[#This Row],[Tipo]]="Sell",Registro_Ordini[[#This Row],[Prezzo]]/Registro_Ordini[[#This Row],[Price]]-1,Registro_Ordini[[#This Row],[Price]]/Registro_Ordini[[#This Row],[Prezzo]]-1))</f>
        <v/>
      </c>
      <c r="P1221" s="15">
        <v>-2.6192785831806599E-2</v>
      </c>
      <c r="Q1221" s="3">
        <v>0.29306763169314554</v>
      </c>
      <c r="R1221" s="3">
        <v>0.36729399157986048</v>
      </c>
      <c r="S1221" s="3">
        <v>0.30886498684669333</v>
      </c>
      <c r="T1221" s="3">
        <v>0</v>
      </c>
      <c r="U1221" s="3">
        <v>3.0773389880300615E-2</v>
      </c>
      <c r="V1221" s="3"/>
      <c r="W1221" s="4"/>
      <c r="X1221" s="13"/>
      <c r="Z1221"/>
      <c r="AA1221"/>
    </row>
    <row r="1222" spans="1:27" s="1" customFormat="1" ht="24.95" customHeight="1" x14ac:dyDescent="0.2">
      <c r="A1222" s="8">
        <v>45195</v>
      </c>
      <c r="B1222" s="7">
        <v>0.69444444444444442</v>
      </c>
      <c r="C1222" s="9" t="s">
        <v>78</v>
      </c>
      <c r="D1222" s="1" t="s">
        <v>388</v>
      </c>
      <c r="E1222" s="1" t="s">
        <v>397</v>
      </c>
      <c r="F1222" s="1" t="s">
        <v>573</v>
      </c>
      <c r="G1222" s="1" t="s">
        <v>365</v>
      </c>
      <c r="H1222" s="2">
        <v>-50</v>
      </c>
      <c r="I1222" s="17">
        <v>175.9</v>
      </c>
      <c r="J1222" s="1" t="s">
        <v>369</v>
      </c>
      <c r="K1222" s="6">
        <f>Registro_Ordini[[#This Row],[Numero]]*Registro_Ordini[[#This Row],[Prezzo]]</f>
        <v>-8795</v>
      </c>
      <c r="L1222" s="10">
        <v>1</v>
      </c>
      <c r="M1222" s="6">
        <f>Registro_Ordini[[#This Row],[Importo]]*Registro_Ordini[[#This Row],[Cambio]]</f>
        <v>-8795</v>
      </c>
      <c r="N1222" s="1">
        <f ca="1">IFERROR(_xlfn.NUMBERVALUE(OFFSET(Origine,MATCH(Registro_Ordini[[#This Row],[Titolo]],Descrizioni,0),MATCH("Price",Intestazioni,0)-1,1,1)),"")</f>
        <v>275.5</v>
      </c>
      <c r="O1222" s="18">
        <f ca="1">IF(OR(Registro_Ordini[[#This Row],[Price]]=0,Registro_Ordini[[#This Row],[Price]]=""),"",IF(Registro_Ordini[[#This Row],[Tipo]]="Sell",Registro_Ordini[[#This Row],[Prezzo]]/Registro_Ordini[[#This Row],[Price]]-1,Registro_Ordini[[#This Row],[Price]]/Registro_Ordini[[#This Row],[Prezzo]]-1))</f>
        <v>-0.36152450090744104</v>
      </c>
      <c r="P1222" s="15">
        <v>-2.2319371850719989E-2</v>
      </c>
      <c r="Q1222" s="3">
        <v>0.41032839627005224</v>
      </c>
      <c r="R1222" s="3">
        <v>0</v>
      </c>
      <c r="S1222" s="3">
        <v>0.47830096749540613</v>
      </c>
      <c r="T1222" s="3">
        <v>0</v>
      </c>
      <c r="U1222" s="3">
        <v>0.11137063623454171</v>
      </c>
      <c r="V1222" s="3"/>
      <c r="W1222" s="4"/>
      <c r="X1222" s="13"/>
      <c r="Z1222"/>
      <c r="AA1222"/>
    </row>
    <row r="1223" spans="1:27" s="1" customFormat="1" ht="24.95" customHeight="1" x14ac:dyDescent="0.2">
      <c r="A1223" s="8">
        <v>45195</v>
      </c>
      <c r="B1223" s="7">
        <v>0.69166666666666665</v>
      </c>
      <c r="C1223" s="9" t="s">
        <v>375</v>
      </c>
      <c r="D1223" s="1" t="s">
        <v>388</v>
      </c>
      <c r="E1223" s="1" t="s">
        <v>397</v>
      </c>
      <c r="F1223" s="1" t="s">
        <v>573</v>
      </c>
      <c r="G1223" s="1" t="s">
        <v>365</v>
      </c>
      <c r="H1223" s="2">
        <v>-70</v>
      </c>
      <c r="I1223" s="17">
        <v>175.8</v>
      </c>
      <c r="J1223" s="1" t="s">
        <v>369</v>
      </c>
      <c r="K1223" s="6">
        <f>Registro_Ordini[[#This Row],[Numero]]*Registro_Ordini[[#This Row],[Prezzo]]</f>
        <v>-12306</v>
      </c>
      <c r="L1223" s="10">
        <v>1</v>
      </c>
      <c r="M1223" s="6">
        <f>Registro_Ordini[[#This Row],[Importo]]*Registro_Ordini[[#This Row],[Cambio]]</f>
        <v>-12306</v>
      </c>
      <c r="N1223" s="1">
        <f ca="1">IFERROR(_xlfn.NUMBERVALUE(OFFSET(Origine,MATCH(Registro_Ordini[[#This Row],[Titolo]],Descrizioni,0),MATCH("Price",Intestazioni,0)-1,1,1)),"")</f>
        <v>275.5</v>
      </c>
      <c r="O1223" s="18">
        <f ca="1">IF(OR(Registro_Ordini[[#This Row],[Price]]=0,Registro_Ordini[[#This Row],[Price]]=""),"",IF(Registro_Ordini[[#This Row],[Tipo]]="Sell",Registro_Ordini[[#This Row],[Prezzo]]/Registro_Ordini[[#This Row],[Price]]-1,Registro_Ordini[[#This Row],[Price]]/Registro_Ordini[[#This Row],[Prezzo]]-1))</f>
        <v>-0.36188747731397453</v>
      </c>
      <c r="P1223" s="15">
        <v>-1.6822820194704591E-2</v>
      </c>
      <c r="Q1223" s="3">
        <v>9.0101424410524461E-2</v>
      </c>
      <c r="R1223" s="3">
        <v>0.41865209844928519</v>
      </c>
      <c r="S1223" s="3">
        <v>0.36003888856411642</v>
      </c>
      <c r="T1223" s="3">
        <v>0</v>
      </c>
      <c r="U1223" s="3">
        <v>0.13120758857607404</v>
      </c>
      <c r="V1223" s="3"/>
      <c r="W1223" s="4"/>
      <c r="X1223" s="13"/>
      <c r="Z1223"/>
      <c r="AA1223"/>
    </row>
    <row r="1224" spans="1:27" s="1" customFormat="1" ht="24.95" customHeight="1" x14ac:dyDescent="0.2">
      <c r="A1224" s="8">
        <v>45195</v>
      </c>
      <c r="B1224" s="7">
        <v>0.69166666666666665</v>
      </c>
      <c r="C1224" s="9" t="s">
        <v>376</v>
      </c>
      <c r="D1224" s="1" t="s">
        <v>388</v>
      </c>
      <c r="E1224" s="1" t="s">
        <v>397</v>
      </c>
      <c r="F1224" s="1" t="s">
        <v>573</v>
      </c>
      <c r="G1224" s="1" t="s">
        <v>365</v>
      </c>
      <c r="H1224" s="2">
        <v>-30</v>
      </c>
      <c r="I1224" s="17">
        <v>175.8</v>
      </c>
      <c r="J1224" s="1" t="s">
        <v>369</v>
      </c>
      <c r="K1224" s="6">
        <f>Registro_Ordini[[#This Row],[Numero]]*Registro_Ordini[[#This Row],[Prezzo]]</f>
        <v>-5274</v>
      </c>
      <c r="L1224" s="10">
        <v>1</v>
      </c>
      <c r="M1224" s="6">
        <f>Registro_Ordini[[#This Row],[Importo]]*Registro_Ordini[[#This Row],[Cambio]]</f>
        <v>-5274</v>
      </c>
      <c r="N1224" s="1">
        <f ca="1">IFERROR(_xlfn.NUMBERVALUE(OFFSET(Origine,MATCH(Registro_Ordini[[#This Row],[Titolo]],Descrizioni,0),MATCH("Price",Intestazioni,0)-1,1,1)),"")</f>
        <v>275.5</v>
      </c>
      <c r="O1224" s="18">
        <f ca="1">IF(OR(Registro_Ordini[[#This Row],[Price]]=0,Registro_Ordini[[#This Row],[Price]]=""),"",IF(Registro_Ordini[[#This Row],[Tipo]]="Sell",Registro_Ordini[[#This Row],[Prezzo]]/Registro_Ordini[[#This Row],[Price]]-1,Registro_Ordini[[#This Row],[Price]]/Registro_Ordini[[#This Row],[Prezzo]]-1))</f>
        <v>-0.36188747731397453</v>
      </c>
      <c r="P1224" s="15">
        <v>-2.0359935072757865E-2</v>
      </c>
      <c r="Q1224" s="3">
        <v>7.610630634691995E-2</v>
      </c>
      <c r="R1224" s="3">
        <v>0.39786510209459258</v>
      </c>
      <c r="S1224" s="3">
        <v>0.37427252383834053</v>
      </c>
      <c r="T1224" s="3">
        <v>0</v>
      </c>
      <c r="U1224" s="3">
        <v>0.15175606772014696</v>
      </c>
      <c r="V1224" s="3"/>
      <c r="W1224" s="4"/>
      <c r="X1224" s="13"/>
      <c r="Z1224"/>
      <c r="AA1224"/>
    </row>
    <row r="1225" spans="1:27" s="1" customFormat="1" ht="24.95" customHeight="1" x14ac:dyDescent="0.2">
      <c r="A1225" s="8">
        <v>45195</v>
      </c>
      <c r="B1225" s="7">
        <v>0.69166666666666665</v>
      </c>
      <c r="C1225" s="9" t="s">
        <v>367</v>
      </c>
      <c r="D1225" s="1" t="s">
        <v>388</v>
      </c>
      <c r="E1225" s="1" t="s">
        <v>397</v>
      </c>
      <c r="F1225" s="1" t="s">
        <v>573</v>
      </c>
      <c r="G1225" s="1" t="s">
        <v>365</v>
      </c>
      <c r="H1225" s="2">
        <v>-120</v>
      </c>
      <c r="I1225" s="17">
        <v>175.8</v>
      </c>
      <c r="J1225" s="1" t="s">
        <v>369</v>
      </c>
      <c r="K1225" s="6">
        <f>Registro_Ordini[[#This Row],[Numero]]*Registro_Ordini[[#This Row],[Prezzo]]</f>
        <v>-21096</v>
      </c>
      <c r="L1225" s="10">
        <v>1</v>
      </c>
      <c r="M1225" s="6">
        <f>Registro_Ordini[[#This Row],[Importo]]*Registro_Ordini[[#This Row],[Cambio]]</f>
        <v>-21096</v>
      </c>
      <c r="N1225" s="1">
        <f ca="1">IFERROR(_xlfn.NUMBERVALUE(OFFSET(Origine,MATCH(Registro_Ordini[[#This Row],[Titolo]],Descrizioni,0),MATCH("Price",Intestazioni,0)-1,1,1)),"")</f>
        <v>275.5</v>
      </c>
      <c r="O1225" s="18">
        <f ca="1">IF(OR(Registro_Ordini[[#This Row],[Price]]=0,Registro_Ordini[[#This Row],[Price]]=""),"",IF(Registro_Ordini[[#This Row],[Tipo]]="Sell",Registro_Ordini[[#This Row],[Prezzo]]/Registro_Ordini[[#This Row],[Price]]-1,Registro_Ordini[[#This Row],[Price]]/Registro_Ordini[[#This Row],[Prezzo]]-1))</f>
        <v>-0.36188747731397453</v>
      </c>
      <c r="P1225" s="15">
        <v>-1.6172241565964231E-2</v>
      </c>
      <c r="Q1225" s="3">
        <v>0.24759616733139825</v>
      </c>
      <c r="R1225" s="3">
        <v>0.33562938877560072</v>
      </c>
      <c r="S1225" s="3">
        <v>0.37503693771054597</v>
      </c>
      <c r="T1225" s="3">
        <v>0</v>
      </c>
      <c r="U1225" s="3">
        <v>4.1737506182455031E-2</v>
      </c>
      <c r="V1225" s="3"/>
      <c r="W1225" s="4"/>
      <c r="X1225" s="13"/>
      <c r="Z1225"/>
      <c r="AA1225"/>
    </row>
    <row r="1226" spans="1:27" s="1" customFormat="1" ht="24.95" customHeight="1" x14ac:dyDescent="0.2">
      <c r="A1226" s="8">
        <v>45195</v>
      </c>
      <c r="B1226" s="7">
        <v>0.69097222222222221</v>
      </c>
      <c r="C1226" s="9" t="s">
        <v>378</v>
      </c>
      <c r="D1226" s="1" t="s">
        <v>388</v>
      </c>
      <c r="E1226" s="1" t="s">
        <v>397</v>
      </c>
      <c r="F1226" s="1" t="s">
        <v>573</v>
      </c>
      <c r="G1226" s="1" t="s">
        <v>365</v>
      </c>
      <c r="H1226" s="2">
        <v>-45</v>
      </c>
      <c r="I1226" s="17">
        <v>175.8</v>
      </c>
      <c r="J1226" s="1" t="s">
        <v>369</v>
      </c>
      <c r="K1226" s="6">
        <f>Registro_Ordini[[#This Row],[Numero]]*Registro_Ordini[[#This Row],[Prezzo]]</f>
        <v>-7911.0000000000009</v>
      </c>
      <c r="L1226" s="10">
        <v>1</v>
      </c>
      <c r="M1226" s="6">
        <f>Registro_Ordini[[#This Row],[Importo]]*Registro_Ordini[[#This Row],[Cambio]]</f>
        <v>-7911.0000000000009</v>
      </c>
      <c r="N1226" s="1">
        <f ca="1">IFERROR(_xlfn.NUMBERVALUE(OFFSET(Origine,MATCH(Registro_Ordini[[#This Row],[Titolo]],Descrizioni,0),MATCH("Price",Intestazioni,0)-1,1,1)),"")</f>
        <v>275.5</v>
      </c>
      <c r="O1226" s="18">
        <f ca="1">IF(OR(Registro_Ordini[[#This Row],[Price]]=0,Registro_Ordini[[#This Row],[Price]]=""),"",IF(Registro_Ordini[[#This Row],[Tipo]]="Sell",Registro_Ordini[[#This Row],[Prezzo]]/Registro_Ordini[[#This Row],[Price]]-1,Registro_Ordini[[#This Row],[Price]]/Registro_Ordini[[#This Row],[Prezzo]]-1))</f>
        <v>-0.36188747731397453</v>
      </c>
      <c r="P1226" s="15">
        <v>-1.6751832393449212E-2</v>
      </c>
      <c r="Q1226" s="3">
        <v>0.12135664919814097</v>
      </c>
      <c r="R1226" s="3">
        <v>0.38715776820564846</v>
      </c>
      <c r="S1226" s="3">
        <v>0.37173603368964414</v>
      </c>
      <c r="T1226" s="3">
        <v>0</v>
      </c>
      <c r="U1226" s="3">
        <v>0.11974954890656637</v>
      </c>
      <c r="V1226" s="3"/>
      <c r="W1226" s="4"/>
      <c r="X1226" s="13"/>
      <c r="Z1226"/>
      <c r="AA1226"/>
    </row>
    <row r="1227" spans="1:27" s="1" customFormat="1" ht="24.95" customHeight="1" x14ac:dyDescent="0.2">
      <c r="A1227" s="8">
        <v>45195</v>
      </c>
      <c r="B1227" s="7">
        <v>0.69097222222222221</v>
      </c>
      <c r="C1227" s="9" t="s">
        <v>377</v>
      </c>
      <c r="D1227" s="1" t="s">
        <v>388</v>
      </c>
      <c r="E1227" s="1" t="s">
        <v>397</v>
      </c>
      <c r="F1227" s="1" t="s">
        <v>573</v>
      </c>
      <c r="G1227" s="1" t="s">
        <v>365</v>
      </c>
      <c r="H1227" s="2">
        <v>-140</v>
      </c>
      <c r="I1227" s="17">
        <v>175.8</v>
      </c>
      <c r="J1227" s="1" t="s">
        <v>369</v>
      </c>
      <c r="K1227" s="6">
        <f>Registro_Ordini[[#This Row],[Numero]]*Registro_Ordini[[#This Row],[Prezzo]]</f>
        <v>-24612</v>
      </c>
      <c r="L1227" s="10">
        <v>1</v>
      </c>
      <c r="M1227" s="6">
        <f>Registro_Ordini[[#This Row],[Importo]]*Registro_Ordini[[#This Row],[Cambio]]</f>
        <v>-24612</v>
      </c>
      <c r="N1227" s="1">
        <f ca="1">IFERROR(_xlfn.NUMBERVALUE(OFFSET(Origine,MATCH(Registro_Ordini[[#This Row],[Titolo]],Descrizioni,0),MATCH("Price",Intestazioni,0)-1,1,1)),"")</f>
        <v>275.5</v>
      </c>
      <c r="O1227" s="18">
        <f ca="1">IF(OR(Registro_Ordini[[#This Row],[Price]]=0,Registro_Ordini[[#This Row],[Price]]=""),"",IF(Registro_Ordini[[#This Row],[Tipo]]="Sell",Registro_Ordini[[#This Row],[Prezzo]]/Registro_Ordini[[#This Row],[Price]]-1,Registro_Ordini[[#This Row],[Price]]/Registro_Ordini[[#This Row],[Prezzo]]-1))</f>
        <v>-0.36188747731397453</v>
      </c>
      <c r="P1227" s="15">
        <v>-1.7022621949965119E-2</v>
      </c>
      <c r="Q1227" s="3">
        <v>8.5734830471447684E-2</v>
      </c>
      <c r="R1227" s="3">
        <v>0.38208601478650367</v>
      </c>
      <c r="S1227" s="3">
        <v>0.39858114532491862</v>
      </c>
      <c r="T1227" s="3">
        <v>0</v>
      </c>
      <c r="U1227" s="3">
        <v>0.13359800941713007</v>
      </c>
      <c r="V1227" s="3"/>
      <c r="W1227" s="4"/>
      <c r="X1227" s="13"/>
      <c r="Z1227"/>
      <c r="AA1227"/>
    </row>
    <row r="1228" spans="1:27" s="1" customFormat="1" ht="24.95" customHeight="1" x14ac:dyDescent="0.2">
      <c r="A1228" s="8">
        <v>45195</v>
      </c>
      <c r="B1228" s="7">
        <v>0.6875</v>
      </c>
      <c r="C1228" s="9" t="s">
        <v>375</v>
      </c>
      <c r="D1228" s="1" t="s">
        <v>388</v>
      </c>
      <c r="E1228" s="1" t="s">
        <v>397</v>
      </c>
      <c r="F1228" s="1" t="s">
        <v>458</v>
      </c>
      <c r="G1228" s="1" t="s">
        <v>371</v>
      </c>
      <c r="H1228" s="2">
        <v>4</v>
      </c>
      <c r="I1228" s="17">
        <v>2943</v>
      </c>
      <c r="J1228" s="1" t="s">
        <v>369</v>
      </c>
      <c r="K1228" s="6">
        <f>Registro_Ordini[[#This Row],[Numero]]*Registro_Ordini[[#This Row],[Prezzo]]</f>
        <v>11772</v>
      </c>
      <c r="L1228" s="10">
        <v>1</v>
      </c>
      <c r="M1228" s="6">
        <f>Registro_Ordini[[#This Row],[Importo]]*Registro_Ordini[[#This Row],[Cambio]]</f>
        <v>11772</v>
      </c>
      <c r="N1228" s="1">
        <f ca="1">IFERROR(_xlfn.NUMBERVALUE(OFFSET(Origine,MATCH(Registro_Ordini[[#This Row],[Titolo]],Descrizioni,0),MATCH("Price",Intestazioni,0)-1,1,1)),"")</f>
        <v>2961</v>
      </c>
      <c r="O1228" s="18">
        <f ca="1">IF(OR(Registro_Ordini[[#This Row],[Price]]=0,Registro_Ordini[[#This Row],[Price]]=""),"",IF(Registro_Ordini[[#This Row],[Tipo]]="Sell",Registro_Ordini[[#This Row],[Prezzo]]/Registro_Ordini[[#This Row],[Price]]-1,Registro_Ordini[[#This Row],[Price]]/Registro_Ordini[[#This Row],[Prezzo]]-1))</f>
        <v>6.1162079510703737E-3</v>
      </c>
      <c r="P1228" s="15">
        <v>1.6091235895851864E-2</v>
      </c>
      <c r="Q1228" s="3">
        <v>0.10618379276341154</v>
      </c>
      <c r="R1228" s="3">
        <v>0.41861089582130695</v>
      </c>
      <c r="S1228" s="3">
        <v>0.34401063594170972</v>
      </c>
      <c r="T1228" s="3">
        <v>0</v>
      </c>
      <c r="U1228" s="3">
        <v>0.13119467547357189</v>
      </c>
      <c r="V1228" s="3"/>
      <c r="W1228" s="4"/>
      <c r="X1228" s="13"/>
      <c r="Z1228"/>
      <c r="AA1228"/>
    </row>
    <row r="1229" spans="1:27" s="1" customFormat="1" ht="24.95" customHeight="1" x14ac:dyDescent="0.2">
      <c r="A1229" s="8">
        <v>45195</v>
      </c>
      <c r="B1229" s="7">
        <v>0.6875</v>
      </c>
      <c r="C1229" s="9" t="s">
        <v>378</v>
      </c>
      <c r="D1229" s="1" t="s">
        <v>388</v>
      </c>
      <c r="E1229" s="1" t="s">
        <v>397</v>
      </c>
      <c r="F1229" s="1" t="s">
        <v>458</v>
      </c>
      <c r="G1229" s="1" t="s">
        <v>371</v>
      </c>
      <c r="H1229" s="2">
        <v>3</v>
      </c>
      <c r="I1229" s="17">
        <v>2943</v>
      </c>
      <c r="J1229" s="1" t="s">
        <v>369</v>
      </c>
      <c r="K1229" s="6">
        <f>Registro_Ordini[[#This Row],[Numero]]*Registro_Ordini[[#This Row],[Prezzo]]</f>
        <v>8829</v>
      </c>
      <c r="L1229" s="10">
        <v>1</v>
      </c>
      <c r="M1229" s="6">
        <f>Registro_Ordini[[#This Row],[Importo]]*Registro_Ordini[[#This Row],[Cambio]]</f>
        <v>8829</v>
      </c>
      <c r="N1229" s="1">
        <f ca="1">IFERROR(_xlfn.NUMBERVALUE(OFFSET(Origine,MATCH(Registro_Ordini[[#This Row],[Titolo]],Descrizioni,0),MATCH("Price",Intestazioni,0)-1,1,1)),"")</f>
        <v>2961</v>
      </c>
      <c r="O1229" s="18">
        <f ca="1">IF(OR(Registro_Ordini[[#This Row],[Price]]=0,Registro_Ordini[[#This Row],[Price]]=""),"",IF(Registro_Ordini[[#This Row],[Tipo]]="Sell",Registro_Ordini[[#This Row],[Prezzo]]/Registro_Ordini[[#This Row],[Price]]-1,Registro_Ordini[[#This Row],[Price]]/Registro_Ordini[[#This Row],[Prezzo]]-1))</f>
        <v>6.1162079510703737E-3</v>
      </c>
      <c r="P1229" s="15">
        <v>1.8694068447213393E-2</v>
      </c>
      <c r="Q1229" s="3">
        <v>0.14003992556479272</v>
      </c>
      <c r="R1229" s="3">
        <v>0.38712333879570565</v>
      </c>
      <c r="S1229" s="3">
        <v>0.35309783589626959</v>
      </c>
      <c r="T1229" s="3">
        <v>0</v>
      </c>
      <c r="U1229" s="3">
        <v>0.11973889974323204</v>
      </c>
      <c r="V1229" s="3"/>
      <c r="W1229" s="4"/>
      <c r="X1229" s="13"/>
      <c r="Z1229"/>
      <c r="AA1229"/>
    </row>
    <row r="1230" spans="1:27" s="1" customFormat="1" ht="24.95" customHeight="1" x14ac:dyDescent="0.2">
      <c r="A1230" s="8">
        <v>45195</v>
      </c>
      <c r="B1230" s="7">
        <v>0.6875</v>
      </c>
      <c r="C1230" s="9" t="s">
        <v>377</v>
      </c>
      <c r="D1230" s="1" t="s">
        <v>388</v>
      </c>
      <c r="E1230" s="1" t="s">
        <v>397</v>
      </c>
      <c r="F1230" s="1" t="s">
        <v>458</v>
      </c>
      <c r="G1230" s="1" t="s">
        <v>371</v>
      </c>
      <c r="H1230" s="2">
        <v>8</v>
      </c>
      <c r="I1230" s="17">
        <v>2943</v>
      </c>
      <c r="J1230" s="1" t="s">
        <v>369</v>
      </c>
      <c r="K1230" s="6">
        <f>Registro_Ordini[[#This Row],[Numero]]*Registro_Ordini[[#This Row],[Prezzo]]</f>
        <v>23544</v>
      </c>
      <c r="L1230" s="10">
        <v>1</v>
      </c>
      <c r="M1230" s="6">
        <f>Registro_Ordini[[#This Row],[Importo]]*Registro_Ordini[[#This Row],[Cambio]]</f>
        <v>23544</v>
      </c>
      <c r="N1230" s="1">
        <f ca="1">IFERROR(_xlfn.NUMBERVALUE(OFFSET(Origine,MATCH(Registro_Ordini[[#This Row],[Titolo]],Descrizioni,0),MATCH("Price",Intestazioni,0)-1,1,1)),"")</f>
        <v>2961</v>
      </c>
      <c r="O1230" s="18">
        <f ca="1">IF(OR(Registro_Ordini[[#This Row],[Price]]=0,Registro_Ordini[[#This Row],[Price]]=""),"",IF(Registro_Ordini[[#This Row],[Tipo]]="Sell",Registro_Ordini[[#This Row],[Prezzo]]/Registro_Ordini[[#This Row],[Price]]-1,Registro_Ordini[[#This Row],[Price]]/Registro_Ordini[[#This Row],[Prezzo]]-1))</f>
        <v>6.1162079510703737E-3</v>
      </c>
      <c r="P1230" s="15">
        <v>1.6282329717461054E-2</v>
      </c>
      <c r="Q1230" s="3">
        <v>0.1020086221902665</v>
      </c>
      <c r="R1230" s="3">
        <v>0.38204796432489396</v>
      </c>
      <c r="S1230" s="3">
        <v>0.3823587085743696</v>
      </c>
      <c r="T1230" s="3">
        <v>0</v>
      </c>
      <c r="U1230" s="3">
        <v>0.13358470491046998</v>
      </c>
      <c r="V1230" s="3"/>
      <c r="W1230" s="4"/>
      <c r="X1230" s="13"/>
      <c r="Z1230"/>
      <c r="AA1230"/>
    </row>
    <row r="1231" spans="1:27" s="1" customFormat="1" ht="24.95" customHeight="1" x14ac:dyDescent="0.2">
      <c r="A1231" s="8">
        <v>45195</v>
      </c>
      <c r="B1231" s="7">
        <v>0.68611111111111112</v>
      </c>
      <c r="C1231" s="9" t="s">
        <v>367</v>
      </c>
      <c r="D1231" s="1" t="s">
        <v>388</v>
      </c>
      <c r="E1231" s="1" t="s">
        <v>397</v>
      </c>
      <c r="F1231" s="1" t="s">
        <v>458</v>
      </c>
      <c r="G1231" s="1" t="s">
        <v>371</v>
      </c>
      <c r="H1231" s="2">
        <v>10</v>
      </c>
      <c r="I1231" s="17">
        <v>2942</v>
      </c>
      <c r="J1231" s="1" t="s">
        <v>369</v>
      </c>
      <c r="K1231" s="6">
        <f>Registro_Ordini[[#This Row],[Numero]]*Registro_Ordini[[#This Row],[Prezzo]]</f>
        <v>29420</v>
      </c>
      <c r="L1231" s="10">
        <v>1</v>
      </c>
      <c r="M1231" s="6">
        <f>Registro_Ordini[[#This Row],[Importo]]*Registro_Ordini[[#This Row],[Cambio]]</f>
        <v>29420</v>
      </c>
      <c r="N1231" s="1">
        <f ca="1">IFERROR(_xlfn.NUMBERVALUE(OFFSET(Origine,MATCH(Registro_Ordini[[#This Row],[Titolo]],Descrizioni,0),MATCH("Price",Intestazioni,0)-1,1,1)),"")</f>
        <v>2961</v>
      </c>
      <c r="O1231" s="18">
        <f ca="1">IF(OR(Registro_Ordini[[#This Row],[Price]]=0,Registro_Ordini[[#This Row],[Price]]=""),"",IF(Registro_Ordini[[#This Row],[Tipo]]="Sell",Registro_Ordini[[#This Row],[Prezzo]]/Registro_Ordini[[#This Row],[Price]]-1,Registro_Ordini[[#This Row],[Price]]/Registro_Ordini[[#This Row],[Prezzo]]-1))</f>
        <v>6.4581917063222249E-3</v>
      </c>
      <c r="P1231" s="15">
        <v>2.2552021240916396E-2</v>
      </c>
      <c r="Q1231" s="3">
        <v>0.27013262531228627</v>
      </c>
      <c r="R1231" s="3">
        <v>0.33560829197306546</v>
      </c>
      <c r="S1231" s="3">
        <v>0.35252420004478097</v>
      </c>
      <c r="T1231" s="3">
        <v>0</v>
      </c>
      <c r="U1231" s="3">
        <v>4.173488266986735E-2</v>
      </c>
      <c r="V1231" s="3"/>
      <c r="W1231" s="4"/>
      <c r="X1231" s="13"/>
      <c r="Z1231"/>
      <c r="AA1231"/>
    </row>
    <row r="1232" spans="1:27" s="1" customFormat="1" ht="24.95" customHeight="1" x14ac:dyDescent="0.2">
      <c r="A1232" s="8">
        <v>45195</v>
      </c>
      <c r="B1232" s="7">
        <v>0.68541666666666667</v>
      </c>
      <c r="C1232" s="9" t="s">
        <v>367</v>
      </c>
      <c r="D1232" s="1" t="s">
        <v>393</v>
      </c>
      <c r="E1232" s="1" t="s">
        <v>542</v>
      </c>
      <c r="F1232" s="1" t="s">
        <v>543</v>
      </c>
      <c r="G1232" s="1" t="s">
        <v>365</v>
      </c>
      <c r="H1232" s="2">
        <v>-1800</v>
      </c>
      <c r="I1232" s="17">
        <v>14.05</v>
      </c>
      <c r="J1232" s="1" t="s">
        <v>366</v>
      </c>
      <c r="K1232" s="6">
        <f>Registro_Ordini[[#This Row],[Numero]]*Registro_Ordini[[#This Row],[Prezzo]]</f>
        <v>-25290</v>
      </c>
      <c r="L1232" s="10">
        <v>0.91337000000000002</v>
      </c>
      <c r="M1232" s="6">
        <f>Registro_Ordini[[#This Row],[Importo]]*Registro_Ordini[[#This Row],[Cambio]]</f>
        <v>-23099.1273</v>
      </c>
      <c r="N1232" s="1">
        <f ca="1">IFERROR(_xlfn.NUMBERVALUE(OFFSET(Origine,MATCH(Registro_Ordini[[#This Row],[Titolo]],Descrizioni,0),MATCH("Price",Intestazioni,0)-1,1,1)),"")</f>
        <v>18.46</v>
      </c>
      <c r="O1232" s="18">
        <f ca="1">IF(OR(Registro_Ordini[[#This Row],[Price]]=0,Registro_Ordini[[#This Row],[Price]]=""),"",IF(Registro_Ordini[[#This Row],[Tipo]]="Sell",Registro_Ordini[[#This Row],[Prezzo]]/Registro_Ordini[[#This Row],[Price]]-1,Registro_Ordini[[#This Row],[Price]]/Registro_Ordini[[#This Row],[Prezzo]]-1))</f>
        <v>-0.23889490790899237</v>
      </c>
      <c r="P1232" s="15">
        <v>-1.7706730439028956E-2</v>
      </c>
      <c r="Q1232" s="3">
        <v>0.25242589487325723</v>
      </c>
      <c r="R1232" s="3">
        <v>0.33560829197306546</v>
      </c>
      <c r="S1232" s="3">
        <v>0.35252420004478097</v>
      </c>
      <c r="T1232" s="3">
        <v>0</v>
      </c>
      <c r="U1232" s="3">
        <v>5.9441613108896306E-2</v>
      </c>
      <c r="V1232" s="3"/>
      <c r="W1232" s="4"/>
      <c r="X1232" s="13"/>
      <c r="Z1232"/>
      <c r="AA1232"/>
    </row>
    <row r="1233" spans="1:27" s="1" customFormat="1" ht="24.95" customHeight="1" x14ac:dyDescent="0.2">
      <c r="A1233" s="8">
        <v>45195</v>
      </c>
      <c r="B1233" s="7">
        <v>0.60277777777777775</v>
      </c>
      <c r="C1233" s="9" t="s">
        <v>376</v>
      </c>
      <c r="D1233" s="1" t="s">
        <v>368</v>
      </c>
      <c r="E1233" s="1" t="s">
        <v>568</v>
      </c>
      <c r="F1233" s="1" t="s">
        <v>574</v>
      </c>
      <c r="G1233" s="1" t="s">
        <v>365</v>
      </c>
      <c r="H1233" s="2">
        <v>-1400</v>
      </c>
      <c r="I1233" s="16">
        <v>5.3640999999999996</v>
      </c>
      <c r="J1233" s="1" t="s">
        <v>366</v>
      </c>
      <c r="K1233" s="6">
        <f>Registro_Ordini[[#This Row],[Numero]]*Registro_Ordini[[#This Row],[Prezzo]]</f>
        <v>-7509.74</v>
      </c>
      <c r="L1233" s="10">
        <v>0.91205499999999995</v>
      </c>
      <c r="M1233" s="6">
        <f>Registro_Ordini[[#This Row],[Importo]]*Registro_Ordini[[#This Row],[Cambio]]</f>
        <v>-6849.2959156999996</v>
      </c>
      <c r="N1233" s="1">
        <f ca="1">IFERROR(_xlfn.NUMBERVALUE(OFFSET(Origine,MATCH(Registro_Ordini[[#This Row],[Titolo]],Descrizioni,0),MATCH("Price",Intestazioni,0)-1,1,1)),"")</f>
        <v>6.2729999999999997</v>
      </c>
      <c r="O1233" s="18">
        <f ca="1">IF(OR(Registro_Ordini[[#This Row],[Price]]=0,Registro_Ordini[[#This Row],[Price]]=""),"",IF(Registro_Ordini[[#This Row],[Tipo]]="Sell",Registro_Ordini[[#This Row],[Prezzo]]/Registro_Ordini[[#This Row],[Price]]-1,Registro_Ordini[[#This Row],[Price]]/Registro_Ordini[[#This Row],[Prezzo]]-1))</f>
        <v>-0.14489080184919501</v>
      </c>
      <c r="P1233" s="15">
        <v>-2.6422108350372495E-2</v>
      </c>
      <c r="Q1233" s="3">
        <v>4.9608025383312812E-2</v>
      </c>
      <c r="R1233" s="3">
        <v>0.42402194354086858</v>
      </c>
      <c r="S1233" s="3">
        <v>0.37471239691407182</v>
      </c>
      <c r="T1233" s="3">
        <v>0</v>
      </c>
      <c r="U1233" s="3">
        <v>0.1516576341617468</v>
      </c>
      <c r="V1233" s="3"/>
      <c r="W1233" s="4"/>
      <c r="X1233" s="13"/>
      <c r="Z1233"/>
      <c r="AA1233"/>
    </row>
    <row r="1234" spans="1:27" s="1" customFormat="1" ht="24.95" customHeight="1" x14ac:dyDescent="0.2">
      <c r="A1234" s="8">
        <v>45195</v>
      </c>
      <c r="B1234" s="7">
        <v>0.49375000000000002</v>
      </c>
      <c r="C1234" s="9" t="s">
        <v>378</v>
      </c>
      <c r="D1234" s="1" t="s">
        <v>388</v>
      </c>
      <c r="E1234" s="1" t="s">
        <v>397</v>
      </c>
      <c r="F1234" s="1" t="s">
        <v>435</v>
      </c>
      <c r="G1234" s="1" t="s">
        <v>371</v>
      </c>
      <c r="H1234" s="2">
        <v>15</v>
      </c>
      <c r="I1234" s="17">
        <v>547.4</v>
      </c>
      <c r="J1234" s="1" t="s">
        <v>369</v>
      </c>
      <c r="K1234" s="6">
        <f>Registro_Ordini[[#This Row],[Numero]]*Registro_Ordini[[#This Row],[Prezzo]]</f>
        <v>8211</v>
      </c>
      <c r="L1234" s="10">
        <v>1</v>
      </c>
      <c r="M1234" s="6">
        <f>Registro_Ordini[[#This Row],[Importo]]*Registro_Ordini[[#This Row],[Cambio]]</f>
        <v>8211</v>
      </c>
      <c r="N1234" s="1">
        <f ca="1">IFERROR(_xlfn.NUMBERVALUE(OFFSET(Origine,MATCH(Registro_Ordini[[#This Row],[Titolo]],Descrizioni,0),MATCH("Price",Intestazioni,0)-1,1,1)),"")</f>
        <v>715.5</v>
      </c>
      <c r="O1234" s="18">
        <f ca="1">IF(OR(Registro_Ordini[[#This Row],[Price]]=0,Registro_Ordini[[#This Row],[Price]]=""),"",IF(Registro_Ordini[[#This Row],[Tipo]]="Sell",Registro_Ordini[[#This Row],[Prezzo]]/Registro_Ordini[[#This Row],[Price]]-1,Registro_Ordini[[#This Row],[Price]]/Registro_Ordini[[#This Row],[Prezzo]]-1))</f>
        <v>0.30708805261234939</v>
      </c>
      <c r="P1234" s="15">
        <v>1.7383795029110423E-2</v>
      </c>
      <c r="Q1234" s="3">
        <v>0.15731404891906975</v>
      </c>
      <c r="R1234" s="3">
        <v>0.38684547104718364</v>
      </c>
      <c r="S1234" s="3">
        <v>0.33602119509951284</v>
      </c>
      <c r="T1234" s="3">
        <v>0</v>
      </c>
      <c r="U1234" s="3">
        <v>0.11981928493423391</v>
      </c>
      <c r="V1234" s="3"/>
      <c r="W1234" s="4"/>
      <c r="X1234" s="13"/>
      <c r="Z1234"/>
      <c r="AA1234"/>
    </row>
    <row r="1235" spans="1:27" s="1" customFormat="1" ht="24.95" customHeight="1" x14ac:dyDescent="0.2">
      <c r="A1235" s="8">
        <v>45194</v>
      </c>
      <c r="B1235" s="7">
        <v>0.42291666666666666</v>
      </c>
      <c r="C1235" s="9" t="s">
        <v>375</v>
      </c>
      <c r="D1235" s="1" t="s">
        <v>388</v>
      </c>
      <c r="E1235" s="1" t="s">
        <v>397</v>
      </c>
      <c r="F1235" s="1" t="s">
        <v>575</v>
      </c>
      <c r="G1235" s="1" t="s">
        <v>365</v>
      </c>
      <c r="H1235" s="2">
        <v>-85</v>
      </c>
      <c r="I1235" s="17">
        <v>135.30000000000001</v>
      </c>
      <c r="J1235" s="1" t="s">
        <v>369</v>
      </c>
      <c r="K1235" s="6">
        <f>Registro_Ordini[[#This Row],[Numero]]*Registro_Ordini[[#This Row],[Prezzo]]</f>
        <v>-11500.500000000002</v>
      </c>
      <c r="L1235" s="10">
        <v>1</v>
      </c>
      <c r="M1235" s="6">
        <f>Registro_Ordini[[#This Row],[Importo]]*Registro_Ordini[[#This Row],[Cambio]]</f>
        <v>-11500.500000000002</v>
      </c>
      <c r="N1235" s="1" t="str">
        <f ca="1">IFERROR(_xlfn.NUMBERVALUE(OFFSET(Origine,MATCH(Registro_Ordini[[#This Row],[Titolo]],Descrizioni,0),MATCH("Price",Intestazioni,0)-1,1,1)),"")</f>
        <v/>
      </c>
      <c r="O1235" s="18" t="str">
        <f ca="1">IF(OR(Registro_Ordini[[#This Row],[Price]]=0,Registro_Ordini[[#This Row],[Price]]=""),"",IF(Registro_Ordini[[#This Row],[Tipo]]="Sell",Registro_Ordini[[#This Row],[Prezzo]]/Registro_Ordini[[#This Row],[Price]]-1,Registro_Ordini[[#This Row],[Price]]/Registro_Ordini[[#This Row],[Prezzo]]-1))</f>
        <v/>
      </c>
      <c r="P1235" s="15">
        <v>-1.5702455096699677E-2</v>
      </c>
      <c r="Q1235" s="3">
        <v>9.0211579331046524E-2</v>
      </c>
      <c r="R1235" s="3">
        <v>0.41774203013656591</v>
      </c>
      <c r="S1235" s="3">
        <v>0.36146468283528521</v>
      </c>
      <c r="T1235" s="3">
        <v>0</v>
      </c>
      <c r="U1235" s="3">
        <v>0.13058170769710234</v>
      </c>
      <c r="V1235" s="3"/>
      <c r="W1235" s="4"/>
      <c r="X1235" s="13"/>
      <c r="Z1235"/>
      <c r="AA1235"/>
    </row>
    <row r="1236" spans="1:27" s="1" customFormat="1" ht="24.95" customHeight="1" x14ac:dyDescent="0.2">
      <c r="A1236" s="8">
        <v>45194</v>
      </c>
      <c r="B1236" s="7">
        <v>0.42291666666666666</v>
      </c>
      <c r="C1236" s="9" t="s">
        <v>378</v>
      </c>
      <c r="D1236" s="1" t="s">
        <v>388</v>
      </c>
      <c r="E1236" s="1" t="s">
        <v>397</v>
      </c>
      <c r="F1236" s="1" t="s">
        <v>575</v>
      </c>
      <c r="G1236" s="1" t="s">
        <v>365</v>
      </c>
      <c r="H1236" s="2">
        <v>-55</v>
      </c>
      <c r="I1236" s="17">
        <v>135.30000000000001</v>
      </c>
      <c r="J1236" s="1" t="s">
        <v>369</v>
      </c>
      <c r="K1236" s="6">
        <f>Registro_Ordini[[#This Row],[Numero]]*Registro_Ordini[[#This Row],[Prezzo]]</f>
        <v>-7441.5000000000009</v>
      </c>
      <c r="L1236" s="10">
        <v>1</v>
      </c>
      <c r="M1236" s="6">
        <f>Registro_Ordini[[#This Row],[Importo]]*Registro_Ordini[[#This Row],[Cambio]]</f>
        <v>-7441.5000000000009</v>
      </c>
      <c r="N1236" s="1" t="str">
        <f ca="1">IFERROR(_xlfn.NUMBERVALUE(OFFSET(Origine,MATCH(Registro_Ordini[[#This Row],[Titolo]],Descrizioni,0),MATCH("Price",Intestazioni,0)-1,1,1)),"")</f>
        <v/>
      </c>
      <c r="O1236" s="18" t="str">
        <f ca="1">IF(OR(Registro_Ordini[[#This Row],[Price]]=0,Registro_Ordini[[#This Row],[Price]]=""),"",IF(Registro_Ordini[[#This Row],[Tipo]]="Sell",Registro_Ordini[[#This Row],[Prezzo]]/Registro_Ordini[[#This Row],[Price]]-1,Registro_Ordini[[#This Row],[Price]]/Registro_Ordini[[#This Row],[Prezzo]]-1))</f>
        <v/>
      </c>
      <c r="P1236" s="15">
        <v>-1.5720861299674444E-2</v>
      </c>
      <c r="Q1236" s="3">
        <v>0.15974561966986758</v>
      </c>
      <c r="R1236" s="3">
        <v>0.36761885670571764</v>
      </c>
      <c r="S1236" s="3">
        <v>0.35276689141449646</v>
      </c>
      <c r="T1236" s="3">
        <v>0</v>
      </c>
      <c r="U1236" s="3">
        <v>0.11986863220991818</v>
      </c>
      <c r="V1236" s="3"/>
      <c r="W1236" s="4"/>
      <c r="X1236" s="13"/>
      <c r="Z1236"/>
      <c r="AA1236"/>
    </row>
    <row r="1237" spans="1:27" s="1" customFormat="1" ht="24.95" customHeight="1" x14ac:dyDescent="0.2">
      <c r="A1237" s="8">
        <v>45194</v>
      </c>
      <c r="B1237" s="7">
        <v>0.42291666666666666</v>
      </c>
      <c r="C1237" s="9" t="s">
        <v>377</v>
      </c>
      <c r="D1237" s="1" t="s">
        <v>388</v>
      </c>
      <c r="E1237" s="1" t="s">
        <v>397</v>
      </c>
      <c r="F1237" s="1" t="s">
        <v>575</v>
      </c>
      <c r="G1237" s="1" t="s">
        <v>365</v>
      </c>
      <c r="H1237" s="2">
        <v>-165</v>
      </c>
      <c r="I1237" s="17">
        <v>135.30000000000001</v>
      </c>
      <c r="J1237" s="1" t="s">
        <v>369</v>
      </c>
      <c r="K1237" s="6">
        <f>Registro_Ordini[[#This Row],[Numero]]*Registro_Ordini[[#This Row],[Prezzo]]</f>
        <v>-22324.500000000004</v>
      </c>
      <c r="L1237" s="10">
        <v>1</v>
      </c>
      <c r="M1237" s="6">
        <f>Registro_Ordini[[#This Row],[Importo]]*Registro_Ordini[[#This Row],[Cambio]]</f>
        <v>-22324.500000000004</v>
      </c>
      <c r="N1237" s="1" t="str">
        <f ca="1">IFERROR(_xlfn.NUMBERVALUE(OFFSET(Origine,MATCH(Registro_Ordini[[#This Row],[Titolo]],Descrizioni,0),MATCH("Price",Intestazioni,0)-1,1,1)),"")</f>
        <v/>
      </c>
      <c r="O1237" s="18" t="str">
        <f ca="1">IF(OR(Registro_Ordini[[#This Row],[Price]]=0,Registro_Ordini[[#This Row],[Price]]=""),"",IF(Registro_Ordini[[#This Row],[Tipo]]="Sell",Registro_Ordini[[#This Row],[Prezzo]]/Registro_Ordini[[#This Row],[Price]]-1,Registro_Ordini[[#This Row],[Price]]/Registro_Ordini[[#This Row],[Prezzo]]-1))</f>
        <v/>
      </c>
      <c r="P1237" s="15">
        <v>-1.5440350765162456E-2</v>
      </c>
      <c r="Q1237" s="3">
        <v>8.6033980343094257E-2</v>
      </c>
      <c r="R1237" s="3">
        <v>0.38170592667356734</v>
      </c>
      <c r="S1237" s="3">
        <v>0.40000825746941326</v>
      </c>
      <c r="T1237" s="3">
        <v>0</v>
      </c>
      <c r="U1237" s="3">
        <v>0.13225183551392511</v>
      </c>
      <c r="V1237" s="3"/>
      <c r="W1237" s="4"/>
      <c r="X1237" s="13"/>
      <c r="Z1237"/>
      <c r="AA1237"/>
    </row>
    <row r="1238" spans="1:27" s="1" customFormat="1" ht="24.95" customHeight="1" x14ac:dyDescent="0.2">
      <c r="A1238" s="8">
        <v>45194</v>
      </c>
      <c r="B1238" s="7">
        <v>0.42291666666666666</v>
      </c>
      <c r="C1238" s="9" t="s">
        <v>367</v>
      </c>
      <c r="D1238" s="1" t="s">
        <v>388</v>
      </c>
      <c r="E1238" s="1" t="s">
        <v>397</v>
      </c>
      <c r="F1238" s="1" t="s">
        <v>575</v>
      </c>
      <c r="G1238" s="1" t="s">
        <v>365</v>
      </c>
      <c r="H1238" s="2">
        <v>-220</v>
      </c>
      <c r="I1238" s="17">
        <v>135.30000000000001</v>
      </c>
      <c r="J1238" s="1" t="s">
        <v>369</v>
      </c>
      <c r="K1238" s="6">
        <f>Registro_Ordini[[#This Row],[Numero]]*Registro_Ordini[[#This Row],[Prezzo]]</f>
        <v>-29766.000000000004</v>
      </c>
      <c r="L1238" s="10">
        <v>1</v>
      </c>
      <c r="M1238" s="6">
        <f>Registro_Ordini[[#This Row],[Importo]]*Registro_Ordini[[#This Row],[Cambio]]</f>
        <v>-29766.000000000004</v>
      </c>
      <c r="N1238" s="1" t="str">
        <f ca="1">IFERROR(_xlfn.NUMBERVALUE(OFFSET(Origine,MATCH(Registro_Ordini[[#This Row],[Titolo]],Descrizioni,0),MATCH("Price",Intestazioni,0)-1,1,1)),"")</f>
        <v/>
      </c>
      <c r="O1238" s="18" t="str">
        <f ca="1">IF(OR(Registro_Ordini[[#This Row],[Price]]=0,Registro_Ordini[[#This Row],[Price]]=""),"",IF(Registro_Ordini[[#This Row],[Tipo]]="Sell",Registro_Ordini[[#This Row],[Prezzo]]/Registro_Ordini[[#This Row],[Price]]-1,Registro_Ordini[[#This Row],[Price]]/Registro_Ordini[[#This Row],[Prezzo]]-1))</f>
        <v/>
      </c>
      <c r="P1238" s="15">
        <v>-2.3823518489669401E-2</v>
      </c>
      <c r="Q1238" s="3">
        <v>0.18694728274567843</v>
      </c>
      <c r="R1238" s="3">
        <v>0.35010849565492008</v>
      </c>
      <c r="S1238" s="3">
        <v>0.40291036907364086</v>
      </c>
      <c r="T1238" s="3">
        <v>0</v>
      </c>
      <c r="U1238" s="3">
        <v>6.0033852525760462E-2</v>
      </c>
      <c r="V1238" s="3"/>
      <c r="W1238" s="4"/>
      <c r="X1238" s="13"/>
      <c r="Z1238"/>
      <c r="AA1238"/>
    </row>
    <row r="1239" spans="1:27" s="1" customFormat="1" ht="24.95" customHeight="1" x14ac:dyDescent="0.2">
      <c r="A1239" s="8">
        <v>45193</v>
      </c>
      <c r="B1239" s="7">
        <v>0.87152777777777779</v>
      </c>
      <c r="C1239" s="9" t="s">
        <v>376</v>
      </c>
      <c r="D1239" s="1" t="s">
        <v>362</v>
      </c>
      <c r="E1239" s="1" t="s">
        <v>363</v>
      </c>
      <c r="F1239" s="1" t="s">
        <v>364</v>
      </c>
      <c r="G1239" s="1" t="s">
        <v>365</v>
      </c>
      <c r="H1239" s="2">
        <v>-8296.5060647459341</v>
      </c>
      <c r="I1239" s="17">
        <v>1</v>
      </c>
      <c r="J1239" s="1" t="s">
        <v>366</v>
      </c>
      <c r="K1239" s="6">
        <f>Registro_Ordini[[#This Row],[Numero]]*Registro_Ordini[[#This Row],[Prezzo]]</f>
        <v>-8296.5060647459341</v>
      </c>
      <c r="L1239" s="10">
        <v>0.90399499999999999</v>
      </c>
      <c r="M1239" s="6">
        <f>Registro_Ordini[[#This Row],[Importo]]*Registro_Ordini[[#This Row],[Cambio]]</f>
        <v>-7500.0000000000009</v>
      </c>
      <c r="N1239" s="1">
        <f ca="1">IFERROR(_xlfn.NUMBERVALUE(OFFSET(Origine,MATCH(Registro_Ordini[[#This Row],[Titolo]],Descrizioni,0),MATCH("Price",Intestazioni,0)-1,1,1)),"")</f>
        <v>0.78225</v>
      </c>
      <c r="O1239" s="18">
        <f ca="1">IF(OR(Registro_Ordini[[#This Row],[Price]]=0,Registro_Ordini[[#This Row],[Price]]=""),"",IF(Registro_Ordini[[#This Row],[Tipo]]="Sell",Registro_Ordini[[#This Row],[Prezzo]]/Registro_Ordini[[#This Row],[Price]]-1,Registro_Ordini[[#This Row],[Price]]/Registro_Ordini[[#This Row],[Prezzo]]-1))</f>
        <v>0.27836369447107701</v>
      </c>
      <c r="P1239" s="15">
        <v>-2.8789784796198634E-2</v>
      </c>
      <c r="Q1239" s="3">
        <v>7.4976277124125329E-2</v>
      </c>
      <c r="R1239" s="3">
        <v>0.3950508571972467</v>
      </c>
      <c r="S1239" s="3">
        <v>0.37481439351391793</v>
      </c>
      <c r="T1239" s="3">
        <v>0</v>
      </c>
      <c r="U1239" s="3">
        <v>0.15515847216471013</v>
      </c>
      <c r="V1239" s="3"/>
      <c r="W1239" s="4"/>
      <c r="X1239" s="13"/>
      <c r="Z1239"/>
      <c r="AA1239"/>
    </row>
    <row r="1240" spans="1:27" s="1" customFormat="1" ht="24.95" customHeight="1" x14ac:dyDescent="0.2">
      <c r="A1240" s="8">
        <v>45193</v>
      </c>
      <c r="B1240" s="7">
        <v>0.87152777777777779</v>
      </c>
      <c r="C1240" s="9" t="s">
        <v>367</v>
      </c>
      <c r="D1240" s="1" t="s">
        <v>362</v>
      </c>
      <c r="E1240" s="1" t="s">
        <v>363</v>
      </c>
      <c r="F1240" s="1" t="s">
        <v>364</v>
      </c>
      <c r="G1240" s="1" t="s">
        <v>365</v>
      </c>
      <c r="H1240" s="2">
        <v>-445000</v>
      </c>
      <c r="I1240" s="17">
        <v>1</v>
      </c>
      <c r="J1240" s="1" t="s">
        <v>366</v>
      </c>
      <c r="K1240" s="6">
        <f>Registro_Ordini[[#This Row],[Numero]]*Registro_Ordini[[#This Row],[Prezzo]]</f>
        <v>-445000</v>
      </c>
      <c r="L1240" s="10">
        <v>0.90399499999999999</v>
      </c>
      <c r="M1240" s="6">
        <f>Registro_Ordini[[#This Row],[Importo]]*Registro_Ordini[[#This Row],[Cambio]]</f>
        <v>-402277.77500000002</v>
      </c>
      <c r="N1240" s="1">
        <f ca="1">IFERROR(_xlfn.NUMBERVALUE(OFFSET(Origine,MATCH(Registro_Ordini[[#This Row],[Titolo]],Descrizioni,0),MATCH("Price",Intestazioni,0)-1,1,1)),"")</f>
        <v>0.78225</v>
      </c>
      <c r="O1240" s="18">
        <f ca="1">IF(OR(Registro_Ordini[[#This Row],[Price]]=0,Registro_Ordini[[#This Row],[Price]]=""),"",IF(Registro_Ordini[[#This Row],[Tipo]]="Sell",Registro_Ordini[[#This Row],[Prezzo]]/Registro_Ordini[[#This Row],[Price]]-1,Registro_Ordini[[#This Row],[Price]]/Registro_Ordini[[#This Row],[Prezzo]]-1))</f>
        <v>0.27836369447107701</v>
      </c>
      <c r="P1240" s="15">
        <v>-0.10851410862694866</v>
      </c>
      <c r="Q1240" s="3">
        <v>0.27658254123548165</v>
      </c>
      <c r="R1240" s="3">
        <v>0.37719935647931724</v>
      </c>
      <c r="S1240" s="3">
        <v>0.31323180314851884</v>
      </c>
      <c r="T1240" s="3">
        <v>0</v>
      </c>
      <c r="U1240" s="3">
        <v>3.2986299136682044E-2</v>
      </c>
      <c r="V1240" s="3"/>
      <c r="W1240" s="4"/>
      <c r="X1240" s="13"/>
      <c r="Z1240"/>
      <c r="AA1240"/>
    </row>
    <row r="1241" spans="1:27" s="1" customFormat="1" ht="24.95" customHeight="1" x14ac:dyDescent="0.2">
      <c r="A1241" s="8">
        <v>45190</v>
      </c>
      <c r="B1241" s="7">
        <v>0.8</v>
      </c>
      <c r="C1241" s="9" t="s">
        <v>375</v>
      </c>
      <c r="D1241" s="1" t="s">
        <v>368</v>
      </c>
      <c r="E1241" s="1" t="s">
        <v>369</v>
      </c>
      <c r="F1241" s="1" t="s">
        <v>576</v>
      </c>
      <c r="G1241" s="1" t="s">
        <v>371</v>
      </c>
      <c r="H1241" s="2">
        <v>30000</v>
      </c>
      <c r="I1241" s="16">
        <v>0.90349999999999997</v>
      </c>
      <c r="J1241" s="1" t="s">
        <v>369</v>
      </c>
      <c r="K1241" s="6">
        <f>Registro_Ordini[[#This Row],[Numero]]*Registro_Ordini[[#This Row],[Prezzo]]</f>
        <v>27105</v>
      </c>
      <c r="L1241" s="10">
        <v>1</v>
      </c>
      <c r="M1241" s="6">
        <f>Registro_Ordini[[#This Row],[Importo]]*Registro_Ordini[[#This Row],[Cambio]]</f>
        <v>27105</v>
      </c>
      <c r="N1241" s="1">
        <f ca="1">IFERROR(_xlfn.NUMBERVALUE(OFFSET(Origine,MATCH(Registro_Ordini[[#This Row],[Titolo]],Descrizioni,0),MATCH("Price",Intestazioni,0)-1,1,1)),"")</f>
        <v>0.99544444444000002</v>
      </c>
      <c r="O1241" s="18">
        <f ca="1">IF(OR(Registro_Ordini[[#This Row],[Price]]=0,Registro_Ordini[[#This Row],[Price]]=""),"",IF(Registro_Ordini[[#This Row],[Tipo]]="Sell",Registro_Ordini[[#This Row],[Prezzo]]/Registro_Ordini[[#This Row],[Price]]-1,Registro_Ordini[[#This Row],[Price]]/Registro_Ordini[[#This Row],[Prezzo]]-1))</f>
        <v>0.10176474204759267</v>
      </c>
      <c r="P1241" s="15">
        <v>3.6816574949395921E-2</v>
      </c>
      <c r="Q1241" s="3">
        <v>0.12610670049111061</v>
      </c>
      <c r="R1241" s="3">
        <v>0.37848498266477215</v>
      </c>
      <c r="S1241" s="3">
        <v>0.36123462170174486</v>
      </c>
      <c r="T1241" s="3">
        <v>0</v>
      </c>
      <c r="U1241" s="3">
        <v>0.13417369514237235</v>
      </c>
      <c r="V1241" s="3"/>
      <c r="W1241" s="4"/>
      <c r="X1241" s="13"/>
      <c r="Z1241"/>
      <c r="AA1241"/>
    </row>
    <row r="1242" spans="1:27" s="1" customFormat="1" ht="24.95" customHeight="1" x14ac:dyDescent="0.2">
      <c r="A1242" s="8">
        <v>45190</v>
      </c>
      <c r="B1242" s="7">
        <v>0.7993055555555556</v>
      </c>
      <c r="C1242" s="9" t="s">
        <v>378</v>
      </c>
      <c r="D1242" s="1" t="s">
        <v>368</v>
      </c>
      <c r="E1242" s="1" t="s">
        <v>369</v>
      </c>
      <c r="F1242" s="1" t="s">
        <v>576</v>
      </c>
      <c r="G1242" s="1" t="s">
        <v>371</v>
      </c>
      <c r="H1242" s="2">
        <v>20000</v>
      </c>
      <c r="I1242" s="16">
        <v>0.90349999999999997</v>
      </c>
      <c r="J1242" s="1" t="s">
        <v>369</v>
      </c>
      <c r="K1242" s="6">
        <f>Registro_Ordini[[#This Row],[Numero]]*Registro_Ordini[[#This Row],[Prezzo]]</f>
        <v>18070</v>
      </c>
      <c r="L1242" s="10">
        <v>1</v>
      </c>
      <c r="M1242" s="6">
        <f>Registro_Ordini[[#This Row],[Importo]]*Registro_Ordini[[#This Row],[Cambio]]</f>
        <v>18070</v>
      </c>
      <c r="N1242" s="1">
        <f ca="1">IFERROR(_xlfn.NUMBERVALUE(OFFSET(Origine,MATCH(Registro_Ordini[[#This Row],[Titolo]],Descrizioni,0),MATCH("Price",Intestazioni,0)-1,1,1)),"")</f>
        <v>0.99544444444000002</v>
      </c>
      <c r="O1242" s="18">
        <f ca="1">IF(OR(Registro_Ordini[[#This Row],[Price]]=0,Registro_Ordini[[#This Row],[Price]]=""),"",IF(Registro_Ordini[[#This Row],[Tipo]]="Sell",Registro_Ordini[[#This Row],[Prezzo]]/Registro_Ordini[[#This Row],[Price]]-1,Registro_Ordini[[#This Row],[Price]]/Registro_Ordini[[#This Row],[Prezzo]]-1))</f>
        <v>0.10176474204759267</v>
      </c>
      <c r="P1242" s="15">
        <v>3.8028876246325165E-2</v>
      </c>
      <c r="Q1242" s="3">
        <v>0.19670428190579692</v>
      </c>
      <c r="R1242" s="3">
        <v>0.32795268228335261</v>
      </c>
      <c r="S1242" s="3">
        <v>0.35245668629713978</v>
      </c>
      <c r="T1242" s="3">
        <v>0</v>
      </c>
      <c r="U1242" s="3">
        <v>0.12288634951371064</v>
      </c>
      <c r="V1242" s="3"/>
      <c r="W1242" s="4"/>
      <c r="X1242" s="13"/>
      <c r="Z1242"/>
      <c r="AA1242"/>
    </row>
    <row r="1243" spans="1:27" s="1" customFormat="1" ht="24.95" customHeight="1" x14ac:dyDescent="0.2">
      <c r="A1243" s="8">
        <v>45190</v>
      </c>
      <c r="B1243" s="7">
        <v>0.7993055555555556</v>
      </c>
      <c r="C1243" s="9" t="s">
        <v>377</v>
      </c>
      <c r="D1243" s="1" t="s">
        <v>368</v>
      </c>
      <c r="E1243" s="1" t="s">
        <v>369</v>
      </c>
      <c r="F1243" s="1" t="s">
        <v>576</v>
      </c>
      <c r="G1243" s="1" t="s">
        <v>371</v>
      </c>
      <c r="H1243" s="2">
        <v>60000</v>
      </c>
      <c r="I1243" s="16">
        <v>0.90349999999999997</v>
      </c>
      <c r="J1243" s="1" t="s">
        <v>369</v>
      </c>
      <c r="K1243" s="6">
        <f>Registro_Ordini[[#This Row],[Numero]]*Registro_Ordini[[#This Row],[Prezzo]]</f>
        <v>54210</v>
      </c>
      <c r="L1243" s="10">
        <v>1</v>
      </c>
      <c r="M1243" s="6">
        <f>Registro_Ordini[[#This Row],[Importo]]*Registro_Ordini[[#This Row],[Cambio]]</f>
        <v>54210</v>
      </c>
      <c r="N1243" s="1">
        <f ca="1">IFERROR(_xlfn.NUMBERVALUE(OFFSET(Origine,MATCH(Registro_Ordini[[#This Row],[Titolo]],Descrizioni,0),MATCH("Price",Intestazioni,0)-1,1,1)),"")</f>
        <v>0.99544444444000002</v>
      </c>
      <c r="O1243" s="18">
        <f ca="1">IF(OR(Registro_Ordini[[#This Row],[Price]]=0,Registro_Ordini[[#This Row],[Price]]=""),"",IF(Registro_Ordini[[#This Row],[Tipo]]="Sell",Registro_Ordini[[#This Row],[Prezzo]]/Registro_Ordini[[#This Row],[Price]]-1,Registro_Ordini[[#This Row],[Price]]/Registro_Ordini[[#This Row],[Prezzo]]-1))</f>
        <v>0.10176474204759267</v>
      </c>
      <c r="P1243" s="15">
        <v>3.7335092249731035E-2</v>
      </c>
      <c r="Q1243" s="3">
        <v>0.12254801095692255</v>
      </c>
      <c r="R1243" s="3">
        <v>0.34252489183571022</v>
      </c>
      <c r="S1243" s="3">
        <v>0.39968532555389535</v>
      </c>
      <c r="T1243" s="3">
        <v>0</v>
      </c>
      <c r="U1243" s="3">
        <v>0.13524177165347215</v>
      </c>
      <c r="V1243" s="3"/>
      <c r="W1243" s="4"/>
      <c r="X1243" s="13"/>
      <c r="Z1243"/>
      <c r="AA1243"/>
    </row>
    <row r="1244" spans="1:27" s="1" customFormat="1" ht="24.95" customHeight="1" x14ac:dyDescent="0.2">
      <c r="A1244" s="8">
        <v>45190</v>
      </c>
      <c r="B1244" s="7">
        <v>0.7993055555555556</v>
      </c>
      <c r="C1244" s="9" t="s">
        <v>376</v>
      </c>
      <c r="D1244" s="1" t="s">
        <v>368</v>
      </c>
      <c r="E1244" s="1" t="s">
        <v>369</v>
      </c>
      <c r="F1244" s="1" t="s">
        <v>576</v>
      </c>
      <c r="G1244" s="1" t="s">
        <v>371</v>
      </c>
      <c r="H1244" s="2">
        <v>10000</v>
      </c>
      <c r="I1244" s="16">
        <v>0.90349999999999997</v>
      </c>
      <c r="J1244" s="1" t="s">
        <v>369</v>
      </c>
      <c r="K1244" s="6">
        <f>Registro_Ordini[[#This Row],[Numero]]*Registro_Ordini[[#This Row],[Prezzo]]</f>
        <v>9035</v>
      </c>
      <c r="L1244" s="10">
        <v>1</v>
      </c>
      <c r="M1244" s="6">
        <f>Registro_Ordini[[#This Row],[Importo]]*Registro_Ordini[[#This Row],[Cambio]]</f>
        <v>9035</v>
      </c>
      <c r="N1244" s="1">
        <f ca="1">IFERROR(_xlfn.NUMBERVALUE(OFFSET(Origine,MATCH(Registro_Ordini[[#This Row],[Titolo]],Descrizioni,0),MATCH("Price",Intestazioni,0)-1,1,1)),"")</f>
        <v>0.99544444444000002</v>
      </c>
      <c r="O1244" s="18">
        <f ca="1">IF(OR(Registro_Ordini[[#This Row],[Price]]=0,Registro_Ordini[[#This Row],[Price]]=""),"",IF(Registro_Ordini[[#This Row],[Tipo]]="Sell",Registro_Ordini[[#This Row],[Prezzo]]/Registro_Ordini[[#This Row],[Price]]-1,Registro_Ordini[[#This Row],[Price]]/Registro_Ordini[[#This Row],[Prezzo]]-1))</f>
        <v>0.10176474204759267</v>
      </c>
      <c r="P1244" s="15">
        <v>3.4659086623849179E-2</v>
      </c>
      <c r="Q1244" s="3">
        <v>0.10950700582322727</v>
      </c>
      <c r="R1244" s="3">
        <v>0.36008315150369902</v>
      </c>
      <c r="S1244" s="3">
        <v>0.3755498534963681</v>
      </c>
      <c r="T1244" s="3">
        <v>0</v>
      </c>
      <c r="U1244" s="3">
        <v>0.15485998917670574</v>
      </c>
      <c r="V1244" s="3"/>
      <c r="W1244" s="4"/>
      <c r="X1244" s="13"/>
      <c r="Z1244"/>
      <c r="AA1244"/>
    </row>
    <row r="1245" spans="1:27" s="1" customFormat="1" ht="24.95" customHeight="1" x14ac:dyDescent="0.2">
      <c r="A1245" s="8">
        <v>45183</v>
      </c>
      <c r="B1245" s="7">
        <v>0.67500000000000004</v>
      </c>
      <c r="C1245" s="9" t="s">
        <v>383</v>
      </c>
      <c r="D1245" s="1" t="s">
        <v>388</v>
      </c>
      <c r="E1245" s="1" t="s">
        <v>403</v>
      </c>
      <c r="F1245" s="1" t="s">
        <v>507</v>
      </c>
      <c r="G1245" s="1" t="s">
        <v>371</v>
      </c>
      <c r="H1245" s="2">
        <v>90</v>
      </c>
      <c r="I1245" s="17">
        <v>202.6</v>
      </c>
      <c r="J1245" s="1" t="s">
        <v>381</v>
      </c>
      <c r="K1245" s="6">
        <f>Registro_Ordini[[#This Row],[Numero]]*Registro_Ordini[[#This Row],[Prezzo]]</f>
        <v>18234</v>
      </c>
      <c r="L1245" s="10">
        <v>1</v>
      </c>
      <c r="M1245" s="6">
        <f>Registro_Ordini[[#This Row],[Importo]]*Registro_Ordini[[#This Row],[Cambio]]</f>
        <v>18234</v>
      </c>
      <c r="N1245" s="1">
        <f ca="1">IFERROR(_xlfn.NUMBERVALUE(OFFSET(Origine,MATCH(Registro_Ordini[[#This Row],[Titolo]],Descrizioni,0),MATCH("Price",Intestazioni,0)-1,1,1)),"")</f>
        <v>256.92500000000001</v>
      </c>
      <c r="O1245" s="18">
        <f ca="1">IF(OR(Registro_Ordini[[#This Row],[Price]]=0,Registro_Ordini[[#This Row],[Price]]=""),"",IF(Registro_Ordini[[#This Row],[Tipo]]="Sell",Registro_Ordini[[#This Row],[Prezzo]]/Registro_Ordini[[#This Row],[Price]]-1,Registro_Ordini[[#This Row],[Price]]/Registro_Ordini[[#This Row],[Prezzo]]-1))</f>
        <v>0.26813919052319846</v>
      </c>
      <c r="P1245" s="15">
        <v>3.2993845006754452E-2</v>
      </c>
      <c r="Q1245" s="3">
        <v>0.23814509327202993</v>
      </c>
      <c r="R1245" s="3">
        <v>0.29441654397003097</v>
      </c>
      <c r="S1245" s="3">
        <v>0.32740525417962651</v>
      </c>
      <c r="T1245" s="3">
        <v>0</v>
      </c>
      <c r="U1245" s="3">
        <v>0.14003310857831272</v>
      </c>
      <c r="V1245" s="3"/>
      <c r="W1245" s="4"/>
      <c r="X1245" s="13"/>
      <c r="Z1245"/>
      <c r="AA1245"/>
    </row>
    <row r="1246" spans="1:27" s="1" customFormat="1" ht="24.95" customHeight="1" x14ac:dyDescent="0.2">
      <c r="A1246" s="8">
        <v>45183</v>
      </c>
      <c r="B1246" s="7">
        <v>0.67500000000000004</v>
      </c>
      <c r="C1246" s="9" t="s">
        <v>382</v>
      </c>
      <c r="D1246" s="1" t="s">
        <v>388</v>
      </c>
      <c r="E1246" s="1" t="s">
        <v>403</v>
      </c>
      <c r="F1246" s="1" t="s">
        <v>507</v>
      </c>
      <c r="G1246" s="1" t="s">
        <v>371</v>
      </c>
      <c r="H1246" s="2">
        <v>155</v>
      </c>
      <c r="I1246" s="17">
        <v>202.6</v>
      </c>
      <c r="J1246" s="1" t="s">
        <v>381</v>
      </c>
      <c r="K1246" s="6">
        <f>Registro_Ordini[[#This Row],[Numero]]*Registro_Ordini[[#This Row],[Prezzo]]</f>
        <v>31403</v>
      </c>
      <c r="L1246" s="10">
        <v>1</v>
      </c>
      <c r="M1246" s="6">
        <f>Registro_Ordini[[#This Row],[Importo]]*Registro_Ordini[[#This Row],[Cambio]]</f>
        <v>31403</v>
      </c>
      <c r="N1246" s="1">
        <f ca="1">IFERROR(_xlfn.NUMBERVALUE(OFFSET(Origine,MATCH(Registro_Ordini[[#This Row],[Titolo]],Descrizioni,0),MATCH("Price",Intestazioni,0)-1,1,1)),"")</f>
        <v>256.92500000000001</v>
      </c>
      <c r="O1246" s="18">
        <f ca="1">IF(OR(Registro_Ordini[[#This Row],[Price]]=0,Registro_Ordini[[#This Row],[Price]]=""),"",IF(Registro_Ordini[[#This Row],[Tipo]]="Sell",Registro_Ordini[[#This Row],[Prezzo]]/Registro_Ordini[[#This Row],[Price]]-1,Registro_Ordini[[#This Row],[Price]]/Registro_Ordini[[#This Row],[Prezzo]]-1))</f>
        <v>0.26813919052319846</v>
      </c>
      <c r="P1246" s="15">
        <v>3.3323363055510993E-2</v>
      </c>
      <c r="Q1246" s="3">
        <v>0.20178711309874256</v>
      </c>
      <c r="R1246" s="3">
        <v>0.28394911749248669</v>
      </c>
      <c r="S1246" s="3">
        <v>0.37255779655621074</v>
      </c>
      <c r="T1246" s="3">
        <v>0</v>
      </c>
      <c r="U1246" s="3">
        <v>0.14170597285256006</v>
      </c>
      <c r="V1246" s="3"/>
      <c r="W1246" s="4"/>
      <c r="X1246" s="13"/>
      <c r="Z1246"/>
      <c r="AA1246"/>
    </row>
    <row r="1247" spans="1:27" s="1" customFormat="1" ht="24.95" customHeight="1" x14ac:dyDescent="0.2">
      <c r="A1247" s="8">
        <v>45183</v>
      </c>
      <c r="B1247" s="7">
        <v>0.67500000000000004</v>
      </c>
      <c r="C1247" s="9" t="s">
        <v>106</v>
      </c>
      <c r="D1247" s="1" t="s">
        <v>388</v>
      </c>
      <c r="E1247" s="1" t="s">
        <v>403</v>
      </c>
      <c r="F1247" s="1" t="s">
        <v>507</v>
      </c>
      <c r="G1247" s="1" t="s">
        <v>371</v>
      </c>
      <c r="H1247" s="2">
        <v>35</v>
      </c>
      <c r="I1247" s="17">
        <v>202.6</v>
      </c>
      <c r="J1247" s="1" t="s">
        <v>381</v>
      </c>
      <c r="K1247" s="6">
        <f>Registro_Ordini[[#This Row],[Numero]]*Registro_Ordini[[#This Row],[Prezzo]]</f>
        <v>7091</v>
      </c>
      <c r="L1247" s="10">
        <v>1</v>
      </c>
      <c r="M1247" s="6">
        <f>Registro_Ordini[[#This Row],[Importo]]*Registro_Ordini[[#This Row],[Cambio]]</f>
        <v>7091</v>
      </c>
      <c r="N1247" s="1">
        <f ca="1">IFERROR(_xlfn.NUMBERVALUE(OFFSET(Origine,MATCH(Registro_Ordini[[#This Row],[Titolo]],Descrizioni,0),MATCH("Price",Intestazioni,0)-1,1,1)),"")</f>
        <v>256.92500000000001</v>
      </c>
      <c r="O1247" s="18">
        <f ca="1">IF(OR(Registro_Ordini[[#This Row],[Price]]=0,Registro_Ordini[[#This Row],[Price]]=""),"",IF(Registro_Ordini[[#This Row],[Tipo]]="Sell",Registro_Ordini[[#This Row],[Prezzo]]/Registro_Ordini[[#This Row],[Price]]-1,Registro_Ordini[[#This Row],[Price]]/Registro_Ordini[[#This Row],[Prezzo]]-1))</f>
        <v>0.26813919052319846</v>
      </c>
      <c r="P1247" s="15">
        <v>6.1908308229979121E-2</v>
      </c>
      <c r="Q1247" s="3">
        <v>0.38685438635735453</v>
      </c>
      <c r="R1247" s="3">
        <v>0.27222521180758219</v>
      </c>
      <c r="S1247" s="3">
        <v>0.18265895845676497</v>
      </c>
      <c r="T1247" s="3">
        <v>0</v>
      </c>
      <c r="U1247" s="3">
        <v>0.15826144337829845</v>
      </c>
      <c r="V1247" s="3"/>
      <c r="W1247" s="4"/>
      <c r="X1247" s="13"/>
      <c r="Z1247"/>
      <c r="AA1247"/>
    </row>
    <row r="1248" spans="1:27" s="1" customFormat="1" ht="24.95" customHeight="1" x14ac:dyDescent="0.2">
      <c r="A1248" s="8">
        <v>45183</v>
      </c>
      <c r="B1248" s="7">
        <v>0.67500000000000004</v>
      </c>
      <c r="C1248" s="9" t="s">
        <v>379</v>
      </c>
      <c r="D1248" s="1" t="s">
        <v>388</v>
      </c>
      <c r="E1248" s="1" t="s">
        <v>403</v>
      </c>
      <c r="F1248" s="1" t="s">
        <v>507</v>
      </c>
      <c r="G1248" s="1" t="s">
        <v>371</v>
      </c>
      <c r="H1248" s="2">
        <v>85</v>
      </c>
      <c r="I1248" s="17">
        <v>202.6</v>
      </c>
      <c r="J1248" s="1" t="s">
        <v>381</v>
      </c>
      <c r="K1248" s="6">
        <f>Registro_Ordini[[#This Row],[Numero]]*Registro_Ordini[[#This Row],[Prezzo]]</f>
        <v>17221</v>
      </c>
      <c r="L1248" s="10">
        <v>1</v>
      </c>
      <c r="M1248" s="6">
        <f>Registro_Ordini[[#This Row],[Importo]]*Registro_Ordini[[#This Row],[Cambio]]</f>
        <v>17221</v>
      </c>
      <c r="N1248" s="1">
        <f ca="1">IFERROR(_xlfn.NUMBERVALUE(OFFSET(Origine,MATCH(Registro_Ordini[[#This Row],[Titolo]],Descrizioni,0),MATCH("Price",Intestazioni,0)-1,1,1)),"")</f>
        <v>256.92500000000001</v>
      </c>
      <c r="O1248" s="18">
        <f ca="1">IF(OR(Registro_Ordini[[#This Row],[Price]]=0,Registro_Ordini[[#This Row],[Price]]=""),"",IF(Registro_Ordini[[#This Row],[Tipo]]="Sell",Registro_Ordini[[#This Row],[Prezzo]]/Registro_Ordini[[#This Row],[Price]]-1,Registro_Ordini[[#This Row],[Price]]/Registro_Ordini[[#This Row],[Prezzo]]-1))</f>
        <v>0.26813919052319846</v>
      </c>
      <c r="P1248" s="15">
        <v>3.3660680429874634E-2</v>
      </c>
      <c r="Q1248" s="3">
        <v>0.20209094968024555</v>
      </c>
      <c r="R1248" s="3">
        <v>0.30492954608789757</v>
      </c>
      <c r="S1248" s="3">
        <v>0.35285573084063615</v>
      </c>
      <c r="T1248" s="3">
        <v>0</v>
      </c>
      <c r="U1248" s="3">
        <v>0.14012377339122076</v>
      </c>
      <c r="V1248" s="3"/>
      <c r="W1248" s="4"/>
      <c r="X1248" s="13"/>
      <c r="Z1248"/>
      <c r="AA1248"/>
    </row>
    <row r="1249" spans="1:27" s="1" customFormat="1" ht="24.95" customHeight="1" x14ac:dyDescent="0.2">
      <c r="A1249" s="8">
        <v>45183</v>
      </c>
      <c r="B1249" s="7">
        <v>0.67500000000000004</v>
      </c>
      <c r="C1249" s="9" t="s">
        <v>383</v>
      </c>
      <c r="D1249" s="1" t="s">
        <v>388</v>
      </c>
      <c r="E1249" s="1" t="s">
        <v>403</v>
      </c>
      <c r="F1249" s="1" t="s">
        <v>433</v>
      </c>
      <c r="G1249" s="1" t="s">
        <v>371</v>
      </c>
      <c r="H1249" s="2">
        <v>265</v>
      </c>
      <c r="I1249" s="17">
        <v>69.19</v>
      </c>
      <c r="J1249" s="1" t="s">
        <v>381</v>
      </c>
      <c r="K1249" s="6">
        <f>Registro_Ordini[[#This Row],[Numero]]*Registro_Ordini[[#This Row],[Prezzo]]</f>
        <v>18335.349999999999</v>
      </c>
      <c r="L1249" s="10">
        <v>1</v>
      </c>
      <c r="M1249" s="6">
        <f>Registro_Ordini[[#This Row],[Importo]]*Registro_Ordini[[#This Row],[Cambio]]</f>
        <v>18335.349999999999</v>
      </c>
      <c r="N1249" s="1">
        <f ca="1">IFERROR(_xlfn.NUMBERVALUE(OFFSET(Origine,MATCH(Registro_Ordini[[#This Row],[Titolo]],Descrizioni,0),MATCH("Price",Intestazioni,0)-1,1,1)),"")</f>
        <v>135.26</v>
      </c>
      <c r="O1249" s="18">
        <f ca="1">IF(OR(Registro_Ordini[[#This Row],[Price]]=0,Registro_Ordini[[#This Row],[Price]]=""),"",IF(Registro_Ordini[[#This Row],[Tipo]]="Sell",Registro_Ordini[[#This Row],[Prezzo]]/Registro_Ordini[[#This Row],[Price]]-1,Registro_Ordini[[#This Row],[Price]]/Registro_Ordini[[#This Row],[Prezzo]]-1))</f>
        <v>0.95490677843619021</v>
      </c>
      <c r="P1249" s="15">
        <v>3.3177234619095934E-2</v>
      </c>
      <c r="Q1249" s="3">
        <v>0.20515124826527545</v>
      </c>
      <c r="R1249" s="3">
        <v>0.29441654397003092</v>
      </c>
      <c r="S1249" s="3">
        <v>0.36039909918638091</v>
      </c>
      <c r="T1249" s="3">
        <v>0</v>
      </c>
      <c r="U1249" s="3">
        <v>0.14003310857831269</v>
      </c>
      <c r="V1249" s="3"/>
      <c r="W1249" s="4"/>
      <c r="X1249" s="13"/>
      <c r="Z1249"/>
      <c r="AA1249"/>
    </row>
    <row r="1250" spans="1:27" s="1" customFormat="1" ht="24.95" customHeight="1" x14ac:dyDescent="0.2">
      <c r="A1250" s="8">
        <v>45183</v>
      </c>
      <c r="B1250" s="7">
        <v>0.67500000000000004</v>
      </c>
      <c r="C1250" s="9" t="s">
        <v>382</v>
      </c>
      <c r="D1250" s="1" t="s">
        <v>388</v>
      </c>
      <c r="E1250" s="1" t="s">
        <v>403</v>
      </c>
      <c r="F1250" s="1" t="s">
        <v>433</v>
      </c>
      <c r="G1250" s="1" t="s">
        <v>371</v>
      </c>
      <c r="H1250" s="2">
        <v>450</v>
      </c>
      <c r="I1250" s="17">
        <v>69.19</v>
      </c>
      <c r="J1250" s="1" t="s">
        <v>381</v>
      </c>
      <c r="K1250" s="6">
        <f>Registro_Ordini[[#This Row],[Numero]]*Registro_Ordini[[#This Row],[Prezzo]]</f>
        <v>31135.5</v>
      </c>
      <c r="L1250" s="10">
        <v>1</v>
      </c>
      <c r="M1250" s="6">
        <f>Registro_Ordini[[#This Row],[Importo]]*Registro_Ordini[[#This Row],[Cambio]]</f>
        <v>31135.5</v>
      </c>
      <c r="N1250" s="1">
        <f ca="1">IFERROR(_xlfn.NUMBERVALUE(OFFSET(Origine,MATCH(Registro_Ordini[[#This Row],[Titolo]],Descrizioni,0),MATCH("Price",Intestazioni,0)-1,1,1)),"")</f>
        <v>135.26</v>
      </c>
      <c r="O1250" s="18">
        <f ca="1">IF(OR(Registro_Ordini[[#This Row],[Price]]=0,Registro_Ordini[[#This Row],[Price]]=""),"",IF(Registro_Ordini[[#This Row],[Tipo]]="Sell",Registro_Ordini[[#This Row],[Prezzo]]/Registro_Ordini[[#This Row],[Price]]-1,Registro_Ordini[[#This Row],[Price]]/Registro_Ordini[[#This Row],[Prezzo]]-1))</f>
        <v>0.95490677843619021</v>
      </c>
      <c r="P1250" s="15">
        <v>3.3039504837590751E-2</v>
      </c>
      <c r="Q1250" s="3">
        <v>0.16846375004323155</v>
      </c>
      <c r="R1250" s="3">
        <v>0.28394911749248669</v>
      </c>
      <c r="S1250" s="3">
        <v>0.40588115961172172</v>
      </c>
      <c r="T1250" s="3">
        <v>0</v>
      </c>
      <c r="U1250" s="3">
        <v>0.14170597285256006</v>
      </c>
      <c r="V1250" s="3"/>
      <c r="W1250" s="4"/>
      <c r="X1250" s="13"/>
      <c r="Z1250"/>
      <c r="AA1250"/>
    </row>
    <row r="1251" spans="1:27" s="1" customFormat="1" ht="24.95" customHeight="1" x14ac:dyDescent="0.2">
      <c r="A1251" s="8">
        <v>45183</v>
      </c>
      <c r="B1251" s="7">
        <v>0.67500000000000004</v>
      </c>
      <c r="C1251" s="9" t="s">
        <v>106</v>
      </c>
      <c r="D1251" s="1" t="s">
        <v>388</v>
      </c>
      <c r="E1251" s="1" t="s">
        <v>403</v>
      </c>
      <c r="F1251" s="1" t="s">
        <v>433</v>
      </c>
      <c r="G1251" s="1" t="s">
        <v>371</v>
      </c>
      <c r="H1251" s="2">
        <v>110</v>
      </c>
      <c r="I1251" s="17">
        <v>69.19</v>
      </c>
      <c r="J1251" s="1" t="s">
        <v>381</v>
      </c>
      <c r="K1251" s="6">
        <f>Registro_Ordini[[#This Row],[Numero]]*Registro_Ordini[[#This Row],[Prezzo]]</f>
        <v>7610.9</v>
      </c>
      <c r="L1251" s="10">
        <v>1</v>
      </c>
      <c r="M1251" s="6">
        <f>Registro_Ordini[[#This Row],[Importo]]*Registro_Ordini[[#This Row],[Cambio]]</f>
        <v>7610.9</v>
      </c>
      <c r="N1251" s="1">
        <f ca="1">IFERROR(_xlfn.NUMBERVALUE(OFFSET(Origine,MATCH(Registro_Ordini[[#This Row],[Titolo]],Descrizioni,0),MATCH("Price",Intestazioni,0)-1,1,1)),"")</f>
        <v>135.26</v>
      </c>
      <c r="O1251" s="18">
        <f ca="1">IF(OR(Registro_Ordini[[#This Row],[Price]]=0,Registro_Ordini[[#This Row],[Price]]=""),"",IF(Registro_Ordini[[#This Row],[Tipo]]="Sell",Registro_Ordini[[#This Row],[Prezzo]]/Registro_Ordini[[#This Row],[Price]]-1,Registro_Ordini[[#This Row],[Price]]/Registro_Ordini[[#This Row],[Prezzo]]-1))</f>
        <v>0.95490677843619021</v>
      </c>
      <c r="P1251" s="15">
        <v>6.6447319575172484E-2</v>
      </c>
      <c r="Q1251" s="3">
        <v>0.32494607812737536</v>
      </c>
      <c r="R1251" s="3">
        <v>0.27222521180758219</v>
      </c>
      <c r="S1251" s="3">
        <v>0.24456726668674408</v>
      </c>
      <c r="T1251" s="3">
        <v>0</v>
      </c>
      <c r="U1251" s="3">
        <v>0.15826144337829845</v>
      </c>
      <c r="V1251" s="3"/>
      <c r="W1251" s="4"/>
      <c r="X1251" s="13"/>
      <c r="Z1251"/>
      <c r="AA1251"/>
    </row>
    <row r="1252" spans="1:27" s="1" customFormat="1" ht="24.95" customHeight="1" x14ac:dyDescent="0.2">
      <c r="A1252" s="8">
        <v>45183</v>
      </c>
      <c r="B1252" s="7">
        <v>0.67500000000000004</v>
      </c>
      <c r="C1252" s="9" t="s">
        <v>379</v>
      </c>
      <c r="D1252" s="1" t="s">
        <v>388</v>
      </c>
      <c r="E1252" s="1" t="s">
        <v>403</v>
      </c>
      <c r="F1252" s="1" t="s">
        <v>433</v>
      </c>
      <c r="G1252" s="1" t="s">
        <v>371</v>
      </c>
      <c r="H1252" s="2">
        <v>250</v>
      </c>
      <c r="I1252" s="17">
        <v>69.19</v>
      </c>
      <c r="J1252" s="1" t="s">
        <v>381</v>
      </c>
      <c r="K1252" s="6">
        <f>Registro_Ordini[[#This Row],[Numero]]*Registro_Ordini[[#This Row],[Prezzo]]</f>
        <v>17297.5</v>
      </c>
      <c r="L1252" s="10">
        <v>1</v>
      </c>
      <c r="M1252" s="6">
        <f>Registro_Ordini[[#This Row],[Importo]]*Registro_Ordini[[#This Row],[Cambio]]</f>
        <v>17297.5</v>
      </c>
      <c r="N1252" s="1">
        <f ca="1">IFERROR(_xlfn.NUMBERVALUE(OFFSET(Origine,MATCH(Registro_Ordini[[#This Row],[Titolo]],Descrizioni,0),MATCH("Price",Intestazioni,0)-1,1,1)),"")</f>
        <v>135.26</v>
      </c>
      <c r="O1252" s="18">
        <f ca="1">IF(OR(Registro_Ordini[[#This Row],[Price]]=0,Registro_Ordini[[#This Row],[Price]]=""),"",IF(Registro_Ordini[[#This Row],[Tipo]]="Sell",Registro_Ordini[[#This Row],[Prezzo]]/Registro_Ordini[[#This Row],[Price]]-1,Registro_Ordini[[#This Row],[Price]]/Registro_Ordini[[#This Row],[Prezzo]]-1))</f>
        <v>0.95490677843619021</v>
      </c>
      <c r="P1252" s="15">
        <v>3.3810209612435776E-2</v>
      </c>
      <c r="Q1252" s="3">
        <v>0.16843026925037091</v>
      </c>
      <c r="R1252" s="3">
        <v>0.30492954608789757</v>
      </c>
      <c r="S1252" s="3">
        <v>0.38651641127051078</v>
      </c>
      <c r="T1252" s="3">
        <v>0</v>
      </c>
      <c r="U1252" s="3">
        <v>0.14012377339122076</v>
      </c>
      <c r="V1252" s="3"/>
      <c r="W1252" s="4"/>
      <c r="X1252" s="13"/>
      <c r="Z1252"/>
      <c r="AA1252"/>
    </row>
    <row r="1253" spans="1:27" s="1" customFormat="1" ht="24.95" customHeight="1" x14ac:dyDescent="0.2">
      <c r="A1253" s="8">
        <v>45183</v>
      </c>
      <c r="B1253" s="7">
        <v>0.61111111111111116</v>
      </c>
      <c r="C1253" s="9" t="s">
        <v>385</v>
      </c>
      <c r="D1253" s="1" t="s">
        <v>388</v>
      </c>
      <c r="E1253" s="1" t="s">
        <v>389</v>
      </c>
      <c r="F1253" s="1" t="s">
        <v>439</v>
      </c>
      <c r="G1253" s="1" t="s">
        <v>371</v>
      </c>
      <c r="H1253" s="2">
        <v>50</v>
      </c>
      <c r="I1253" s="17">
        <v>95.022999999999996</v>
      </c>
      <c r="J1253" s="1" t="s">
        <v>381</v>
      </c>
      <c r="K1253" s="6">
        <f>Registro_Ordini[[#This Row],[Numero]]*Registro_Ordini[[#This Row],[Prezzo]]</f>
        <v>4751.1499999999996</v>
      </c>
      <c r="L1253" s="10">
        <v>1</v>
      </c>
      <c r="M1253" s="6">
        <f>Registro_Ordini[[#This Row],[Importo]]*Registro_Ordini[[#This Row],[Cambio]]</f>
        <v>4751.1499999999996</v>
      </c>
      <c r="N1253" s="1">
        <f ca="1">IFERROR(_xlfn.NUMBERVALUE(OFFSET(Origine,MATCH(Registro_Ordini[[#This Row],[Titolo]],Descrizioni,0),MATCH("Price",Intestazioni,0)-1,1,1)),"")</f>
        <v>140.09</v>
      </c>
      <c r="O1253" s="18">
        <f ca="1">IF(OR(Registro_Ordini[[#This Row],[Price]]=0,Registro_Ordini[[#This Row],[Price]]=""),"",IF(Registro_Ordini[[#This Row],[Tipo]]="Sell",Registro_Ordini[[#This Row],[Prezzo]]/Registro_Ordini[[#This Row],[Price]]-1,Registro_Ordini[[#This Row],[Price]]/Registro_Ordini[[#This Row],[Prezzo]]-1))</f>
        <v>0.47427464929543373</v>
      </c>
      <c r="P1253" s="15">
        <v>3.3140894653990498E-2</v>
      </c>
      <c r="Q1253" s="3">
        <v>0.57879529873995816</v>
      </c>
      <c r="R1253" s="3">
        <v>0.33568352451225442</v>
      </c>
      <c r="S1253" s="3">
        <v>3.4447724918963217E-2</v>
      </c>
      <c r="T1253" s="3">
        <v>0</v>
      </c>
      <c r="U1253" s="3">
        <v>5.1073451828824272E-2</v>
      </c>
      <c r="V1253" s="3"/>
      <c r="W1253" s="4"/>
      <c r="X1253" s="13"/>
      <c r="Z1253"/>
      <c r="AA1253"/>
    </row>
    <row r="1254" spans="1:27" s="1" customFormat="1" ht="24.95" customHeight="1" x14ac:dyDescent="0.2">
      <c r="A1254" s="8">
        <v>45183</v>
      </c>
      <c r="B1254" s="7">
        <v>0.60972222222222228</v>
      </c>
      <c r="C1254" s="9" t="s">
        <v>385</v>
      </c>
      <c r="D1254" s="1" t="s">
        <v>388</v>
      </c>
      <c r="E1254" s="1" t="s">
        <v>397</v>
      </c>
      <c r="F1254" s="1" t="s">
        <v>449</v>
      </c>
      <c r="G1254" s="1" t="s">
        <v>371</v>
      </c>
      <c r="H1254" s="2">
        <v>350</v>
      </c>
      <c r="I1254" s="17">
        <v>14.11</v>
      </c>
      <c r="J1254" s="1" t="s">
        <v>381</v>
      </c>
      <c r="K1254" s="6">
        <f>Registro_Ordini[[#This Row],[Numero]]*Registro_Ordini[[#This Row],[Prezzo]]</f>
        <v>4938.5</v>
      </c>
      <c r="L1254" s="10">
        <v>1</v>
      </c>
      <c r="M1254" s="6">
        <f>Registro_Ordini[[#This Row],[Importo]]*Registro_Ordini[[#This Row],[Cambio]]</f>
        <v>4938.5</v>
      </c>
      <c r="N1254" s="1">
        <f ca="1">IFERROR(_xlfn.NUMBERVALUE(OFFSET(Origine,MATCH(Registro_Ordini[[#This Row],[Titolo]],Descrizioni,0),MATCH("Price",Intestazioni,0)-1,1,1)),"")</f>
        <v>18.716000000000001</v>
      </c>
      <c r="O1254" s="18">
        <f ca="1">IF(OR(Registro_Ordini[[#This Row],[Price]]=0,Registro_Ordini[[#This Row],[Price]]=""),"",IF(Registro_Ordini[[#This Row],[Tipo]]="Sell",Registro_Ordini[[#This Row],[Prezzo]]/Registro_Ordini[[#This Row],[Price]]-1,Registro_Ordini[[#This Row],[Price]]/Registro_Ordini[[#This Row],[Prezzo]]-1))</f>
        <v>0.32643515237420284</v>
      </c>
      <c r="P1254" s="15">
        <v>3.4447724918963217E-2</v>
      </c>
      <c r="Q1254" s="3">
        <v>0.61324302365892136</v>
      </c>
      <c r="R1254" s="3">
        <v>0.33568352451225442</v>
      </c>
      <c r="S1254" s="3">
        <v>0</v>
      </c>
      <c r="T1254" s="3">
        <v>0</v>
      </c>
      <c r="U1254" s="3">
        <v>5.1073451828824272E-2</v>
      </c>
      <c r="V1254" s="3"/>
      <c r="W1254" s="4"/>
      <c r="X1254" s="13"/>
      <c r="Z1254"/>
      <c r="AA1254"/>
    </row>
    <row r="1255" spans="1:27" s="1" customFormat="1" ht="24.95" customHeight="1" x14ac:dyDescent="0.2">
      <c r="A1255" s="8">
        <v>45183</v>
      </c>
      <c r="B1255" s="7">
        <v>0.51458333333333328</v>
      </c>
      <c r="C1255" s="9" t="s">
        <v>376</v>
      </c>
      <c r="D1255" s="1" t="s">
        <v>388</v>
      </c>
      <c r="E1255" s="1" t="s">
        <v>463</v>
      </c>
      <c r="F1255" s="1" t="s">
        <v>496</v>
      </c>
      <c r="G1255" s="1" t="s">
        <v>371</v>
      </c>
      <c r="H1255" s="2">
        <v>280</v>
      </c>
      <c r="I1255" s="17">
        <v>23.158000000000001</v>
      </c>
      <c r="J1255" s="1" t="s">
        <v>369</v>
      </c>
      <c r="K1255" s="6">
        <f>Registro_Ordini[[#This Row],[Numero]]*Registro_Ordini[[#This Row],[Prezzo]]</f>
        <v>6484.2400000000007</v>
      </c>
      <c r="L1255" s="10">
        <v>1</v>
      </c>
      <c r="M1255" s="6">
        <f>Registro_Ordini[[#This Row],[Importo]]*Registro_Ordini[[#This Row],[Cambio]]</f>
        <v>6484.2400000000007</v>
      </c>
      <c r="N1255" s="1">
        <f ca="1">IFERROR(_xlfn.NUMBERVALUE(OFFSET(Origine,MATCH(Registro_Ordini[[#This Row],[Titolo]],Descrizioni,0),MATCH("Price",Intestazioni,0)-1,1,1)),"")</f>
        <v>36.805</v>
      </c>
      <c r="O1255" s="18">
        <f ca="1">IF(OR(Registro_Ordini[[#This Row],[Price]]=0,Registro_Ordini[[#This Row],[Price]]=""),"",IF(Registro_Ordini[[#This Row],[Tipo]]="Sell",Registro_Ordini[[#This Row],[Prezzo]]/Registro_Ordini[[#This Row],[Price]]-1,Registro_Ordini[[#This Row],[Price]]/Registro_Ordini[[#This Row],[Prezzo]]-1))</f>
        <v>0.58929959409275412</v>
      </c>
      <c r="P1255" s="15">
        <v>2.506577649395603E-2</v>
      </c>
      <c r="Q1255" s="3">
        <v>0.13443746484351971</v>
      </c>
      <c r="R1255" s="3">
        <v>0.36281923695000656</v>
      </c>
      <c r="S1255" s="3">
        <v>0.3513513191901691</v>
      </c>
      <c r="T1255" s="3">
        <v>0</v>
      </c>
      <c r="U1255" s="3">
        <v>0.15139197901630475</v>
      </c>
      <c r="V1255" s="3"/>
      <c r="W1255" s="4"/>
      <c r="X1255" s="13"/>
      <c r="Z1255"/>
      <c r="AA1255"/>
    </row>
    <row r="1256" spans="1:27" s="1" customFormat="1" ht="24.95" customHeight="1" x14ac:dyDescent="0.2">
      <c r="A1256" s="8">
        <v>45183</v>
      </c>
      <c r="B1256" s="7">
        <v>0.51388888888888884</v>
      </c>
      <c r="C1256" s="9" t="s">
        <v>376</v>
      </c>
      <c r="D1256" s="1" t="s">
        <v>388</v>
      </c>
      <c r="E1256" s="1" t="s">
        <v>423</v>
      </c>
      <c r="F1256" s="1" t="s">
        <v>424</v>
      </c>
      <c r="G1256" s="1" t="s">
        <v>365</v>
      </c>
      <c r="H1256" s="2">
        <v>-340</v>
      </c>
      <c r="I1256" s="17">
        <v>19.989999999999998</v>
      </c>
      <c r="J1256" s="1" t="s">
        <v>366</v>
      </c>
      <c r="K1256" s="6">
        <f>Registro_Ordini[[#This Row],[Numero]]*Registro_Ordini[[#This Row],[Prezzo]]</f>
        <v>-6796.5999999999995</v>
      </c>
      <c r="L1256" s="10">
        <v>0.8931</v>
      </c>
      <c r="M1256" s="6">
        <f>Registro_Ordini[[#This Row],[Importo]]*Registro_Ordini[[#This Row],[Cambio]]</f>
        <v>-6070.0434599999999</v>
      </c>
      <c r="N1256" s="1">
        <f ca="1">IFERROR(_xlfn.NUMBERVALUE(OFFSET(Origine,MATCH(Registro_Ordini[[#This Row],[Titolo]],Descrizioni,0),MATCH("Price",Intestazioni,0)-1,1,1)),"")</f>
        <v>31.73</v>
      </c>
      <c r="O1256" s="18">
        <f ca="1">IF(OR(Registro_Ordini[[#This Row],[Price]]=0,Registro_Ordini[[#This Row],[Price]]=""),"",IF(Registro_Ordini[[#This Row],[Tipo]]="Sell",Registro_Ordini[[#This Row],[Prezzo]]/Registro_Ordini[[#This Row],[Price]]-1,Registro_Ordini[[#This Row],[Price]]/Registro_Ordini[[#This Row],[Prezzo]]-1))</f>
        <v>-0.36999684840844638</v>
      </c>
      <c r="P1256" s="15">
        <v>-2.3464639291105743E-2</v>
      </c>
      <c r="Q1256" s="3">
        <v>0.11097282555241397</v>
      </c>
      <c r="R1256" s="3">
        <v>0.36281923695000656</v>
      </c>
      <c r="S1256" s="3">
        <v>0.37481595848127486</v>
      </c>
      <c r="T1256" s="3">
        <v>0</v>
      </c>
      <c r="U1256" s="3">
        <v>0.15139197901630475</v>
      </c>
      <c r="V1256" s="3"/>
      <c r="W1256" s="4"/>
      <c r="X1256" s="13"/>
      <c r="Z1256"/>
      <c r="AA1256"/>
    </row>
    <row r="1257" spans="1:27" s="1" customFormat="1" ht="24.95" customHeight="1" x14ac:dyDescent="0.2">
      <c r="A1257" s="8">
        <v>45181</v>
      </c>
      <c r="B1257" s="7">
        <v>0.73541666666666672</v>
      </c>
      <c r="C1257" s="9" t="s">
        <v>375</v>
      </c>
      <c r="D1257" s="1" t="s">
        <v>388</v>
      </c>
      <c r="E1257" s="1" t="s">
        <v>397</v>
      </c>
      <c r="F1257" s="1" t="s">
        <v>532</v>
      </c>
      <c r="G1257" s="1" t="s">
        <v>371</v>
      </c>
      <c r="H1257" s="2">
        <v>90</v>
      </c>
      <c r="I1257" s="17">
        <v>133.4</v>
      </c>
      <c r="J1257" s="1" t="s">
        <v>369</v>
      </c>
      <c r="K1257" s="6">
        <f>Registro_Ordini[[#This Row],[Numero]]*Registro_Ordini[[#This Row],[Prezzo]]</f>
        <v>12006</v>
      </c>
      <c r="L1257" s="10">
        <v>1</v>
      </c>
      <c r="M1257" s="6">
        <f>Registro_Ordini[[#This Row],[Importo]]*Registro_Ordini[[#This Row],[Cambio]]</f>
        <v>12006</v>
      </c>
      <c r="N1257" s="1" t="str">
        <f ca="1">IFERROR(_xlfn.NUMBERVALUE(OFFSET(Origine,MATCH(Registro_Ordini[[#This Row],[Titolo]],Descrizioni,0),MATCH("Price",Intestazioni,0)-1,1,1)),"")</f>
        <v/>
      </c>
      <c r="O1257" s="18" t="str">
        <f ca="1">IF(OR(Registro_Ordini[[#This Row],[Price]]=0,Registro_Ordini[[#This Row],[Price]]=""),"",IF(Registro_Ordini[[#This Row],[Tipo]]="Sell",Registro_Ordini[[#This Row],[Prezzo]]/Registro_Ordini[[#This Row],[Price]]-1,Registro_Ordini[[#This Row],[Price]]/Registro_Ordini[[#This Row],[Prezzo]]-1))</f>
        <v/>
      </c>
      <c r="P1257" s="15">
        <v>1.6392222968296039E-2</v>
      </c>
      <c r="Q1257" s="3">
        <v>0.14223874412914941</v>
      </c>
      <c r="R1257" s="3">
        <v>0.38043254552314754</v>
      </c>
      <c r="S1257" s="3">
        <v>0.34597943749693466</v>
      </c>
      <c r="T1257" s="3">
        <v>0</v>
      </c>
      <c r="U1257" s="3">
        <v>0.13134927285076825</v>
      </c>
      <c r="V1257" s="3"/>
      <c r="W1257" s="4"/>
      <c r="X1257" s="13"/>
      <c r="Z1257"/>
      <c r="AA1257"/>
    </row>
    <row r="1258" spans="1:27" s="1" customFormat="1" ht="24.95" customHeight="1" x14ac:dyDescent="0.2">
      <c r="A1258" s="8">
        <v>45181</v>
      </c>
      <c r="B1258" s="7">
        <v>0.73541666666666672</v>
      </c>
      <c r="C1258" s="9" t="s">
        <v>378</v>
      </c>
      <c r="D1258" s="1" t="s">
        <v>388</v>
      </c>
      <c r="E1258" s="1" t="s">
        <v>397</v>
      </c>
      <c r="F1258" s="1" t="s">
        <v>532</v>
      </c>
      <c r="G1258" s="1" t="s">
        <v>371</v>
      </c>
      <c r="H1258" s="2">
        <v>60</v>
      </c>
      <c r="I1258" s="17">
        <v>133.4</v>
      </c>
      <c r="J1258" s="1" t="s">
        <v>369</v>
      </c>
      <c r="K1258" s="6">
        <f>Registro_Ordini[[#This Row],[Numero]]*Registro_Ordini[[#This Row],[Prezzo]]</f>
        <v>8004</v>
      </c>
      <c r="L1258" s="10">
        <v>1</v>
      </c>
      <c r="M1258" s="6">
        <f>Registro_Ordini[[#This Row],[Importo]]*Registro_Ordini[[#This Row],[Cambio]]</f>
        <v>8004</v>
      </c>
      <c r="N1258" s="1" t="str">
        <f ca="1">IFERROR(_xlfn.NUMBERVALUE(OFFSET(Origine,MATCH(Registro_Ordini[[#This Row],[Titolo]],Descrizioni,0),MATCH("Price",Intestazioni,0)-1,1,1)),"")</f>
        <v/>
      </c>
      <c r="O1258" s="18" t="str">
        <f ca="1">IF(OR(Registro_Ordini[[#This Row],[Price]]=0,Registro_Ordini[[#This Row],[Price]]=""),"",IF(Registro_Ordini[[#This Row],[Tipo]]="Sell",Registro_Ordini[[#This Row],[Prezzo]]/Registro_Ordini[[#This Row],[Price]]-1,Registro_Ordini[[#This Row],[Price]]/Registro_Ordini[[#This Row],[Prezzo]]-1))</f>
        <v/>
      </c>
      <c r="P1258" s="15">
        <v>1.6926391147049032E-2</v>
      </c>
      <c r="Q1258" s="3">
        <v>0.21371412826284317</v>
      </c>
      <c r="R1258" s="3">
        <v>0.32954411345378165</v>
      </c>
      <c r="S1258" s="3">
        <v>0.33711341761078384</v>
      </c>
      <c r="T1258" s="3">
        <v>0</v>
      </c>
      <c r="U1258" s="3">
        <v>0.11962834067259129</v>
      </c>
      <c r="V1258" s="3"/>
      <c r="W1258" s="4"/>
      <c r="X1258" s="13"/>
      <c r="Z1258"/>
      <c r="AA1258"/>
    </row>
    <row r="1259" spans="1:27" s="1" customFormat="1" ht="24.95" customHeight="1" x14ac:dyDescent="0.2">
      <c r="A1259" s="8">
        <v>45181</v>
      </c>
      <c r="B1259" s="7">
        <v>0.73541666666666672</v>
      </c>
      <c r="C1259" s="9" t="s">
        <v>377</v>
      </c>
      <c r="D1259" s="1" t="s">
        <v>388</v>
      </c>
      <c r="E1259" s="1" t="s">
        <v>397</v>
      </c>
      <c r="F1259" s="1" t="s">
        <v>532</v>
      </c>
      <c r="G1259" s="1" t="s">
        <v>371</v>
      </c>
      <c r="H1259" s="2">
        <v>180</v>
      </c>
      <c r="I1259" s="17">
        <v>133.4</v>
      </c>
      <c r="J1259" s="1" t="s">
        <v>369</v>
      </c>
      <c r="K1259" s="6">
        <f>Registro_Ordini[[#This Row],[Numero]]*Registro_Ordini[[#This Row],[Prezzo]]</f>
        <v>24012</v>
      </c>
      <c r="L1259" s="10">
        <v>1</v>
      </c>
      <c r="M1259" s="6">
        <f>Registro_Ordini[[#This Row],[Importo]]*Registro_Ordini[[#This Row],[Cambio]]</f>
        <v>24012</v>
      </c>
      <c r="N1259" s="1" t="str">
        <f ca="1">IFERROR(_xlfn.NUMBERVALUE(OFFSET(Origine,MATCH(Registro_Ordini[[#This Row],[Titolo]],Descrizioni,0),MATCH("Price",Intestazioni,0)-1,1,1)),"")</f>
        <v/>
      </c>
      <c r="O1259" s="18" t="str">
        <f ca="1">IF(OR(Registro_Ordini[[#This Row],[Price]]=0,Registro_Ordini[[#This Row],[Price]]=""),"",IF(Registro_Ordini[[#This Row],[Tipo]]="Sell",Registro_Ordini[[#This Row],[Prezzo]]/Registro_Ordini[[#This Row],[Price]]-1,Registro_Ordini[[#This Row],[Price]]/Registro_Ordini[[#This Row],[Prezzo]]-1))</f>
        <v/>
      </c>
      <c r="P1259" s="15">
        <v>1.6655819997196029E-2</v>
      </c>
      <c r="Q1259" s="3">
        <v>0.13917956952684107</v>
      </c>
      <c r="R1259" s="3">
        <v>0.34496772103212087</v>
      </c>
      <c r="S1259" s="3">
        <v>0.38420566291332514</v>
      </c>
      <c r="T1259" s="3">
        <v>0</v>
      </c>
      <c r="U1259" s="3">
        <v>0.13164704652771306</v>
      </c>
      <c r="V1259" s="3"/>
      <c r="W1259" s="4"/>
      <c r="X1259" s="13"/>
      <c r="Z1259"/>
      <c r="AA1259"/>
    </row>
    <row r="1260" spans="1:27" s="1" customFormat="1" ht="24.95" customHeight="1" x14ac:dyDescent="0.2">
      <c r="A1260" s="8">
        <v>45181</v>
      </c>
      <c r="B1260" s="7">
        <v>0.70277777777777772</v>
      </c>
      <c r="C1260" s="9" t="s">
        <v>367</v>
      </c>
      <c r="D1260" s="1" t="s">
        <v>388</v>
      </c>
      <c r="E1260" s="1" t="s">
        <v>397</v>
      </c>
      <c r="F1260" s="1" t="s">
        <v>532</v>
      </c>
      <c r="G1260" s="1" t="s">
        <v>371</v>
      </c>
      <c r="H1260" s="2">
        <v>240</v>
      </c>
      <c r="I1260" s="17">
        <v>133.4</v>
      </c>
      <c r="J1260" s="1" t="s">
        <v>369</v>
      </c>
      <c r="K1260" s="6">
        <f>Registro_Ordini[[#This Row],[Numero]]*Registro_Ordini[[#This Row],[Prezzo]]</f>
        <v>32016</v>
      </c>
      <c r="L1260" s="10">
        <v>1</v>
      </c>
      <c r="M1260" s="6">
        <f>Registro_Ordini[[#This Row],[Importo]]*Registro_Ordini[[#This Row],[Cambio]]</f>
        <v>32016</v>
      </c>
      <c r="N1260" s="1" t="str">
        <f ca="1">IFERROR(_xlfn.NUMBERVALUE(OFFSET(Origine,MATCH(Registro_Ordini[[#This Row],[Titolo]],Descrizioni,0),MATCH("Price",Intestazioni,0)-1,1,1)),"")</f>
        <v/>
      </c>
      <c r="O1260" s="18" t="str">
        <f ca="1">IF(OR(Registro_Ordini[[#This Row],[Price]]=0,Registro_Ordini[[#This Row],[Price]]=""),"",IF(Registro_Ordini[[#This Row],[Tipo]]="Sell",Registro_Ordini[[#This Row],[Prezzo]]/Registro_Ordini[[#This Row],[Price]]-1,Registro_Ordini[[#This Row],[Price]]/Registro_Ordini[[#This Row],[Prezzo]]-1))</f>
        <v/>
      </c>
      <c r="P1260" s="15">
        <v>2.5598182454025925E-2</v>
      </c>
      <c r="Q1260" s="3">
        <v>0.21057460208911127</v>
      </c>
      <c r="R1260" s="3">
        <v>0.3493657323399626</v>
      </c>
      <c r="S1260" s="3">
        <v>0.3786191307635921</v>
      </c>
      <c r="T1260" s="3">
        <v>0</v>
      </c>
      <c r="U1260" s="3">
        <v>6.1440534807334031E-2</v>
      </c>
      <c r="V1260" s="3"/>
      <c r="W1260" s="4"/>
      <c r="X1260" s="13"/>
      <c r="Z1260"/>
      <c r="AA1260"/>
    </row>
    <row r="1261" spans="1:27" s="1" customFormat="1" ht="24.95" customHeight="1" x14ac:dyDescent="0.2">
      <c r="A1261" s="8">
        <v>45181</v>
      </c>
      <c r="B1261" s="7">
        <v>0.70208333333333328</v>
      </c>
      <c r="C1261" s="9" t="s">
        <v>367</v>
      </c>
      <c r="D1261" s="1" t="s">
        <v>388</v>
      </c>
      <c r="E1261" s="1" t="s">
        <v>397</v>
      </c>
      <c r="F1261" s="1" t="s">
        <v>538</v>
      </c>
      <c r="G1261" s="1" t="s">
        <v>371</v>
      </c>
      <c r="H1261" s="2">
        <v>430</v>
      </c>
      <c r="I1261" s="17">
        <v>74.48</v>
      </c>
      <c r="J1261" s="1" t="s">
        <v>369</v>
      </c>
      <c r="K1261" s="6">
        <f>Registro_Ordini[[#This Row],[Numero]]*Registro_Ordini[[#This Row],[Prezzo]]</f>
        <v>32026.400000000001</v>
      </c>
      <c r="L1261" s="10">
        <v>1</v>
      </c>
      <c r="M1261" s="6">
        <f>Registro_Ordini[[#This Row],[Importo]]*Registro_Ordini[[#This Row],[Cambio]]</f>
        <v>32026.400000000001</v>
      </c>
      <c r="N1261" s="1" t="str">
        <f ca="1">IFERROR(_xlfn.NUMBERVALUE(OFFSET(Origine,MATCH(Registro_Ordini[[#This Row],[Titolo]],Descrizioni,0),MATCH("Price",Intestazioni,0)-1,1,1)),"")</f>
        <v/>
      </c>
      <c r="O1261" s="18" t="str">
        <f ca="1">IF(OR(Registro_Ordini[[#This Row],[Price]]=0,Registro_Ordini[[#This Row],[Price]]=""),"",IF(Registro_Ordini[[#This Row],[Tipo]]="Sell",Registro_Ordini[[#This Row],[Prezzo]]/Registro_Ordini[[#This Row],[Price]]-1,Registro_Ordini[[#This Row],[Price]]/Registro_Ordini[[#This Row],[Prezzo]]-1))</f>
        <v/>
      </c>
      <c r="P1261" s="15">
        <v>2.5606497705697652E-2</v>
      </c>
      <c r="Q1261" s="3">
        <v>0.26172153922232211</v>
      </c>
      <c r="R1261" s="3">
        <v>0.34936573233996254</v>
      </c>
      <c r="S1261" s="3">
        <v>0.32747219363038116</v>
      </c>
      <c r="T1261" s="3">
        <v>0</v>
      </c>
      <c r="U1261" s="3">
        <v>6.1440534807334017E-2</v>
      </c>
      <c r="V1261" s="3"/>
      <c r="W1261" s="4"/>
      <c r="X1261" s="13"/>
      <c r="Z1261"/>
      <c r="AA1261"/>
    </row>
    <row r="1262" spans="1:27" s="1" customFormat="1" ht="24.95" customHeight="1" x14ac:dyDescent="0.2">
      <c r="A1262" s="8">
        <v>45181</v>
      </c>
      <c r="B1262" s="7">
        <v>0.70208333333333328</v>
      </c>
      <c r="C1262" s="9" t="s">
        <v>367</v>
      </c>
      <c r="D1262" s="1" t="s">
        <v>388</v>
      </c>
      <c r="E1262" s="1" t="s">
        <v>397</v>
      </c>
      <c r="F1262" s="1" t="s">
        <v>575</v>
      </c>
      <c r="G1262" s="1" t="s">
        <v>371</v>
      </c>
      <c r="H1262" s="2">
        <v>220</v>
      </c>
      <c r="I1262" s="17">
        <v>145.19900000000001</v>
      </c>
      <c r="J1262" s="1" t="s">
        <v>369</v>
      </c>
      <c r="K1262" s="6">
        <f>Registro_Ordini[[#This Row],[Numero]]*Registro_Ordini[[#This Row],[Prezzo]]</f>
        <v>31943.780000000002</v>
      </c>
      <c r="L1262" s="10">
        <v>1</v>
      </c>
      <c r="M1262" s="6">
        <f>Registro_Ordini[[#This Row],[Importo]]*Registro_Ordini[[#This Row],[Cambio]]</f>
        <v>31943.780000000002</v>
      </c>
      <c r="N1262" s="1" t="str">
        <f ca="1">IFERROR(_xlfn.NUMBERVALUE(OFFSET(Origine,MATCH(Registro_Ordini[[#This Row],[Titolo]],Descrizioni,0),MATCH("Price",Intestazioni,0)-1,1,1)),"")</f>
        <v/>
      </c>
      <c r="O1262" s="18" t="str">
        <f ca="1">IF(OR(Registro_Ordini[[#This Row],[Price]]=0,Registro_Ordini[[#This Row],[Price]]=""),"",IF(Registro_Ordini[[#This Row],[Tipo]]="Sell",Registro_Ordini[[#This Row],[Prezzo]]/Registro_Ordini[[#This Row],[Price]]-1,Registro_Ordini[[#This Row],[Price]]/Registro_Ordini[[#This Row],[Prezzo]]-1))</f>
        <v/>
      </c>
      <c r="P1262" s="15">
        <v>2.5540439427513256E-2</v>
      </c>
      <c r="Q1262" s="3">
        <v>0.26172153922232211</v>
      </c>
      <c r="R1262" s="3">
        <v>0.3493657323399626</v>
      </c>
      <c r="S1262" s="3">
        <v>0.32747219363038116</v>
      </c>
      <c r="T1262" s="3">
        <v>0</v>
      </c>
      <c r="U1262" s="3">
        <v>6.1440534807334017E-2</v>
      </c>
      <c r="V1262" s="3"/>
      <c r="W1262" s="4"/>
      <c r="X1262" s="13"/>
      <c r="Z1262"/>
      <c r="AA1262"/>
    </row>
    <row r="1263" spans="1:27" s="1" customFormat="1" ht="24.95" customHeight="1" x14ac:dyDescent="0.2">
      <c r="A1263" s="8">
        <v>45181</v>
      </c>
      <c r="B1263" s="7">
        <v>0.69097222222222221</v>
      </c>
      <c r="C1263" s="9" t="s">
        <v>375</v>
      </c>
      <c r="D1263" s="1" t="s">
        <v>388</v>
      </c>
      <c r="E1263" s="1" t="s">
        <v>397</v>
      </c>
      <c r="F1263" s="1" t="s">
        <v>575</v>
      </c>
      <c r="G1263" s="1" t="s">
        <v>371</v>
      </c>
      <c r="H1263" s="2">
        <v>85</v>
      </c>
      <c r="I1263" s="17">
        <v>145.11199999999999</v>
      </c>
      <c r="J1263" s="1" t="s">
        <v>369</v>
      </c>
      <c r="K1263" s="6">
        <f>Registro_Ordini[[#This Row],[Numero]]*Registro_Ordini[[#This Row],[Prezzo]]</f>
        <v>12334.52</v>
      </c>
      <c r="L1263" s="10">
        <v>1</v>
      </c>
      <c r="M1263" s="6">
        <f>Registro_Ordini[[#This Row],[Importo]]*Registro_Ordini[[#This Row],[Cambio]]</f>
        <v>12334.52</v>
      </c>
      <c r="N1263" s="1" t="str">
        <f ca="1">IFERROR(_xlfn.NUMBERVALUE(OFFSET(Origine,MATCH(Registro_Ordini[[#This Row],[Titolo]],Descrizioni,0),MATCH("Price",Intestazioni,0)-1,1,1)),"")</f>
        <v/>
      </c>
      <c r="O1263" s="18" t="str">
        <f ca="1">IF(OR(Registro_Ordini[[#This Row],[Price]]=0,Registro_Ordini[[#This Row],[Price]]=""),"",IF(Registro_Ordini[[#This Row],[Tipo]]="Sell",Registro_Ordini[[#This Row],[Prezzo]]/Registro_Ordini[[#This Row],[Price]]-1,Registro_Ordini[[#This Row],[Price]]/Registro_Ordini[[#This Row],[Prezzo]]-1))</f>
        <v/>
      </c>
      <c r="P1263" s="15">
        <v>1.6841727705613613E-2</v>
      </c>
      <c r="Q1263" s="3">
        <v>0.15913555040231397</v>
      </c>
      <c r="R1263" s="3">
        <v>0.38044825934950799</v>
      </c>
      <c r="S1263" s="3">
        <v>0.32904453373803944</v>
      </c>
      <c r="T1263" s="3">
        <v>0</v>
      </c>
      <c r="U1263" s="3">
        <v>0.13137165651013855</v>
      </c>
      <c r="V1263" s="3"/>
      <c r="W1263" s="4"/>
      <c r="X1263" s="13"/>
      <c r="Z1263"/>
      <c r="AA1263"/>
    </row>
    <row r="1264" spans="1:27" s="1" customFormat="1" ht="24.95" customHeight="1" x14ac:dyDescent="0.2">
      <c r="A1264" s="8">
        <v>45181</v>
      </c>
      <c r="B1264" s="7">
        <v>0.69097222222222221</v>
      </c>
      <c r="C1264" s="9" t="s">
        <v>378</v>
      </c>
      <c r="D1264" s="1" t="s">
        <v>388</v>
      </c>
      <c r="E1264" s="1" t="s">
        <v>397</v>
      </c>
      <c r="F1264" s="1" t="s">
        <v>575</v>
      </c>
      <c r="G1264" s="1" t="s">
        <v>371</v>
      </c>
      <c r="H1264" s="2">
        <v>55</v>
      </c>
      <c r="I1264" s="17">
        <v>145.11199999999999</v>
      </c>
      <c r="J1264" s="1" t="s">
        <v>369</v>
      </c>
      <c r="K1264" s="6">
        <f>Registro_Ordini[[#This Row],[Numero]]*Registro_Ordini[[#This Row],[Prezzo]]</f>
        <v>7981.16</v>
      </c>
      <c r="L1264" s="10">
        <v>1</v>
      </c>
      <c r="M1264" s="6">
        <f>Registro_Ordini[[#This Row],[Importo]]*Registro_Ordini[[#This Row],[Cambio]]</f>
        <v>7981.16</v>
      </c>
      <c r="N1264" s="1" t="str">
        <f ca="1">IFERROR(_xlfn.NUMBERVALUE(OFFSET(Origine,MATCH(Registro_Ordini[[#This Row],[Titolo]],Descrizioni,0),MATCH("Price",Intestazioni,0)-1,1,1)),"")</f>
        <v/>
      </c>
      <c r="O1264" s="18" t="str">
        <f ca="1">IF(OR(Registro_Ordini[[#This Row],[Price]]=0,Registro_Ordini[[#This Row],[Price]]=""),"",IF(Registro_Ordini[[#This Row],[Tipo]]="Sell",Registro_Ordini[[#This Row],[Prezzo]]/Registro_Ordini[[#This Row],[Price]]-1,Registro_Ordini[[#This Row],[Price]]/Registro_Ordini[[#This Row],[Prezzo]]-1))</f>
        <v/>
      </c>
      <c r="P1264" s="15">
        <v>1.6874642670358913E-2</v>
      </c>
      <c r="Q1264" s="3">
        <v>0.23056308991468957</v>
      </c>
      <c r="R1264" s="3">
        <v>0.32947024130670477</v>
      </c>
      <c r="S1264" s="3">
        <v>0.32019389213866023</v>
      </c>
      <c r="T1264" s="3">
        <v>0</v>
      </c>
      <c r="U1264" s="3">
        <v>0.11977277663994523</v>
      </c>
      <c r="V1264" s="3"/>
      <c r="W1264" s="4"/>
      <c r="X1264" s="13"/>
      <c r="Z1264"/>
      <c r="AA1264"/>
    </row>
    <row r="1265" spans="1:27" s="1" customFormat="1" ht="24.95" customHeight="1" x14ac:dyDescent="0.2">
      <c r="A1265" s="8">
        <v>45181</v>
      </c>
      <c r="B1265" s="7">
        <v>0.69097222222222221</v>
      </c>
      <c r="C1265" s="9" t="s">
        <v>377</v>
      </c>
      <c r="D1265" s="1" t="s">
        <v>388</v>
      </c>
      <c r="E1265" s="1" t="s">
        <v>397</v>
      </c>
      <c r="F1265" s="1" t="s">
        <v>575</v>
      </c>
      <c r="G1265" s="1" t="s">
        <v>371</v>
      </c>
      <c r="H1265" s="2">
        <v>165</v>
      </c>
      <c r="I1265" s="17">
        <v>145.11199999999999</v>
      </c>
      <c r="J1265" s="1" t="s">
        <v>369</v>
      </c>
      <c r="K1265" s="6">
        <f>Registro_Ordini[[#This Row],[Numero]]*Registro_Ordini[[#This Row],[Prezzo]]</f>
        <v>23943.48</v>
      </c>
      <c r="L1265" s="10">
        <v>1</v>
      </c>
      <c r="M1265" s="6">
        <f>Registro_Ordini[[#This Row],[Importo]]*Registro_Ordini[[#This Row],[Cambio]]</f>
        <v>23943.48</v>
      </c>
      <c r="N1265" s="1" t="str">
        <f ca="1">IFERROR(_xlfn.NUMBERVALUE(OFFSET(Origine,MATCH(Registro_Ordini[[#This Row],[Titolo]],Descrizioni,0),MATCH("Price",Intestazioni,0)-1,1,1)),"")</f>
        <v/>
      </c>
      <c r="O1265" s="18" t="str">
        <f ca="1">IF(OR(Registro_Ordini[[#This Row],[Price]]=0,Registro_Ordini[[#This Row],[Price]]=""),"",IF(Registro_Ordini[[#This Row],[Tipo]]="Sell",Registro_Ordini[[#This Row],[Prezzo]]/Registro_Ordini[[#This Row],[Price]]-1,Registro_Ordini[[#This Row],[Price]]/Registro_Ordini[[#This Row],[Prezzo]]-1))</f>
        <v/>
      </c>
      <c r="P1265" s="15">
        <v>1.6601685864519683E-2</v>
      </c>
      <c r="Q1265" s="3">
        <v>0.15576130678681305</v>
      </c>
      <c r="R1265" s="3">
        <v>0.34482339440820525</v>
      </c>
      <c r="S1265" s="3">
        <v>0.3675695221233814</v>
      </c>
      <c r="T1265" s="3">
        <v>0</v>
      </c>
      <c r="U1265" s="3">
        <v>0.13184577668160027</v>
      </c>
      <c r="V1265" s="3"/>
      <c r="W1265" s="4"/>
      <c r="X1265" s="13"/>
      <c r="Z1265"/>
      <c r="AA1265"/>
    </row>
    <row r="1266" spans="1:27" s="1" customFormat="1" ht="24.95" customHeight="1" x14ac:dyDescent="0.2">
      <c r="A1266" s="8">
        <v>45181</v>
      </c>
      <c r="B1266" s="7">
        <v>0.68958333333333333</v>
      </c>
      <c r="C1266" s="9" t="s">
        <v>375</v>
      </c>
      <c r="D1266" s="1" t="s">
        <v>388</v>
      </c>
      <c r="E1266" s="1" t="s">
        <v>397</v>
      </c>
      <c r="F1266" s="1" t="s">
        <v>538</v>
      </c>
      <c r="G1266" s="1" t="s">
        <v>371</v>
      </c>
      <c r="H1266" s="2">
        <v>165</v>
      </c>
      <c r="I1266" s="17">
        <v>74.36</v>
      </c>
      <c r="J1266" s="1" t="s">
        <v>369</v>
      </c>
      <c r="K1266" s="6">
        <f>Registro_Ordini[[#This Row],[Numero]]*Registro_Ordini[[#This Row],[Prezzo]]</f>
        <v>12269.4</v>
      </c>
      <c r="L1266" s="10">
        <v>1</v>
      </c>
      <c r="M1266" s="6">
        <f>Registro_Ordini[[#This Row],[Importo]]*Registro_Ordini[[#This Row],[Cambio]]</f>
        <v>12269.4</v>
      </c>
      <c r="N1266" s="1" t="str">
        <f ca="1">IFERROR(_xlfn.NUMBERVALUE(OFFSET(Origine,MATCH(Registro_Ordini[[#This Row],[Titolo]],Descrizioni,0),MATCH("Price",Intestazioni,0)-1,1,1)),"")</f>
        <v/>
      </c>
      <c r="O1266" s="18" t="str">
        <f ca="1">IF(OR(Registro_Ordini[[#This Row],[Price]]=0,Registro_Ordini[[#This Row],[Price]]=""),"",IF(Registro_Ordini[[#This Row],[Tipo]]="Sell",Registro_Ordini[[#This Row],[Prezzo]]/Registro_Ordini[[#This Row],[Price]]-1,Registro_Ordini[[#This Row],[Price]]/Registro_Ordini[[#This Row],[Prezzo]]-1))</f>
        <v/>
      </c>
      <c r="P1266" s="15">
        <v>1.6752811938466648E-2</v>
      </c>
      <c r="Q1266" s="3">
        <v>0.17588836234078067</v>
      </c>
      <c r="R1266" s="3">
        <v>0.38044825934950799</v>
      </c>
      <c r="S1266" s="3">
        <v>0.31229172179957282</v>
      </c>
      <c r="T1266" s="3">
        <v>0</v>
      </c>
      <c r="U1266" s="3">
        <v>0.13137165651013855</v>
      </c>
      <c r="V1266" s="3"/>
      <c r="W1266" s="4"/>
      <c r="X1266" s="13"/>
      <c r="Z1266"/>
      <c r="AA1266"/>
    </row>
    <row r="1267" spans="1:27" s="1" customFormat="1" ht="24.95" customHeight="1" x14ac:dyDescent="0.2">
      <c r="A1267" s="8">
        <v>45181</v>
      </c>
      <c r="B1267" s="7">
        <v>0.68958333333333333</v>
      </c>
      <c r="C1267" s="9" t="s">
        <v>378</v>
      </c>
      <c r="D1267" s="1" t="s">
        <v>388</v>
      </c>
      <c r="E1267" s="1" t="s">
        <v>397</v>
      </c>
      <c r="F1267" s="1" t="s">
        <v>538</v>
      </c>
      <c r="G1267" s="1" t="s">
        <v>371</v>
      </c>
      <c r="H1267" s="2">
        <v>110</v>
      </c>
      <c r="I1267" s="17">
        <v>74.36</v>
      </c>
      <c r="J1267" s="1" t="s">
        <v>369</v>
      </c>
      <c r="K1267" s="6">
        <f>Registro_Ordini[[#This Row],[Numero]]*Registro_Ordini[[#This Row],[Prezzo]]</f>
        <v>8179.6</v>
      </c>
      <c r="L1267" s="10">
        <v>1</v>
      </c>
      <c r="M1267" s="6">
        <f>Registro_Ordini[[#This Row],[Importo]]*Registro_Ordini[[#This Row],[Cambio]]</f>
        <v>8179.6</v>
      </c>
      <c r="N1267" s="1" t="str">
        <f ca="1">IFERROR(_xlfn.NUMBERVALUE(OFFSET(Origine,MATCH(Registro_Ordini[[#This Row],[Titolo]],Descrizioni,0),MATCH("Price",Intestazioni,0)-1,1,1)),"")</f>
        <v/>
      </c>
      <c r="O1267" s="18" t="str">
        <f ca="1">IF(OR(Registro_Ordini[[#This Row],[Price]]=0,Registro_Ordini[[#This Row],[Price]]=""),"",IF(Registro_Ordini[[#This Row],[Tipo]]="Sell",Registro_Ordini[[#This Row],[Prezzo]]/Registro_Ordini[[#This Row],[Price]]-1,Registro_Ordini[[#This Row],[Price]]/Registro_Ordini[[#This Row],[Prezzo]]-1))</f>
        <v/>
      </c>
      <c r="P1267" s="15">
        <v>1.7294206254036722E-2</v>
      </c>
      <c r="Q1267" s="3">
        <v>0.24785729616872637</v>
      </c>
      <c r="R1267" s="3">
        <v>0.32947024130670488</v>
      </c>
      <c r="S1267" s="3">
        <v>0.30289968588462357</v>
      </c>
      <c r="T1267" s="3">
        <v>0</v>
      </c>
      <c r="U1267" s="3">
        <v>0.11977277663994526</v>
      </c>
      <c r="V1267" s="3"/>
      <c r="W1267" s="4"/>
      <c r="X1267" s="13"/>
      <c r="Z1267"/>
      <c r="AA1267"/>
    </row>
    <row r="1268" spans="1:27" s="1" customFormat="1" ht="24.95" customHeight="1" x14ac:dyDescent="0.2">
      <c r="A1268" s="8">
        <v>45181</v>
      </c>
      <c r="B1268" s="7">
        <v>0.68958333333333333</v>
      </c>
      <c r="C1268" s="9" t="s">
        <v>377</v>
      </c>
      <c r="D1268" s="1" t="s">
        <v>388</v>
      </c>
      <c r="E1268" s="1" t="s">
        <v>397</v>
      </c>
      <c r="F1268" s="1" t="s">
        <v>538</v>
      </c>
      <c r="G1268" s="1" t="s">
        <v>371</v>
      </c>
      <c r="H1268" s="2">
        <v>325</v>
      </c>
      <c r="I1268" s="17">
        <v>74.36</v>
      </c>
      <c r="J1268" s="1" t="s">
        <v>369</v>
      </c>
      <c r="K1268" s="6">
        <f>Registro_Ordini[[#This Row],[Numero]]*Registro_Ordini[[#This Row],[Prezzo]]</f>
        <v>24167</v>
      </c>
      <c r="L1268" s="10">
        <v>1</v>
      </c>
      <c r="M1268" s="6">
        <f>Registro_Ordini[[#This Row],[Importo]]*Registro_Ordini[[#This Row],[Cambio]]</f>
        <v>24167</v>
      </c>
      <c r="N1268" s="1" t="str">
        <f ca="1">IFERROR(_xlfn.NUMBERVALUE(OFFSET(Origine,MATCH(Registro_Ordini[[#This Row],[Titolo]],Descrizioni,0),MATCH("Price",Intestazioni,0)-1,1,1)),"")</f>
        <v/>
      </c>
      <c r="O1268" s="18" t="str">
        <f ca="1">IF(OR(Registro_Ordini[[#This Row],[Price]]=0,Registro_Ordini[[#This Row],[Price]]=""),"",IF(Registro_Ordini[[#This Row],[Tipo]]="Sell",Registro_Ordini[[#This Row],[Prezzo]]/Registro_Ordini[[#This Row],[Price]]-1,Registro_Ordini[[#This Row],[Price]]/Registro_Ordini[[#This Row],[Prezzo]]-1))</f>
        <v/>
      </c>
      <c r="P1268" s="15">
        <v>1.6756667881521282E-2</v>
      </c>
      <c r="Q1268" s="3">
        <v>0.17251797466833435</v>
      </c>
      <c r="R1268" s="3">
        <v>0.34482339440820525</v>
      </c>
      <c r="S1268" s="3">
        <v>0.35081285424186009</v>
      </c>
      <c r="T1268" s="3">
        <v>0</v>
      </c>
      <c r="U1268" s="3">
        <v>0.13184577668160027</v>
      </c>
      <c r="V1268" s="3"/>
      <c r="W1268" s="4"/>
      <c r="X1268" s="13"/>
      <c r="Z1268"/>
      <c r="AA1268"/>
    </row>
    <row r="1269" spans="1:27" s="1" customFormat="1" ht="24.95" customHeight="1" x14ac:dyDescent="0.2">
      <c r="A1269" s="8">
        <v>45181</v>
      </c>
      <c r="B1269" s="7">
        <v>0.68333333333333335</v>
      </c>
      <c r="C1269" s="9" t="s">
        <v>367</v>
      </c>
      <c r="D1269" s="1" t="s">
        <v>577</v>
      </c>
      <c r="E1269" s="1" t="s">
        <v>397</v>
      </c>
      <c r="F1269" s="1" t="s">
        <v>578</v>
      </c>
      <c r="G1269" s="1" t="s">
        <v>365</v>
      </c>
      <c r="H1269" s="2">
        <v>-350</v>
      </c>
      <c r="I1269" s="17">
        <v>78.2</v>
      </c>
      <c r="J1269" s="1" t="s">
        <v>369</v>
      </c>
      <c r="K1269" s="6">
        <f>Registro_Ordini[[#This Row],[Numero]]*Registro_Ordini[[#This Row],[Prezzo]]</f>
        <v>-27370</v>
      </c>
      <c r="L1269" s="10">
        <v>1</v>
      </c>
      <c r="M1269" s="6">
        <f>Registro_Ordini[[#This Row],[Importo]]*Registro_Ordini[[#This Row],[Cambio]]</f>
        <v>-27370</v>
      </c>
      <c r="N1269" s="1">
        <f ca="1">IFERROR(_xlfn.NUMBERVALUE(OFFSET(Origine,MATCH(Registro_Ordini[[#This Row],[Titolo]],Descrizioni,0),MATCH("Price",Intestazioni,0)-1,1,1)),"")</f>
        <v>103.8</v>
      </c>
      <c r="O1269" s="18">
        <f ca="1">IF(OR(Registro_Ordini[[#This Row],[Price]]=0,Registro_Ordini[[#This Row],[Price]]=""),"",IF(Registro_Ordini[[#This Row],[Tipo]]="Sell",Registro_Ordini[[#This Row],[Prezzo]]/Registro_Ordini[[#This Row],[Price]]-1,Registro_Ordini[[#This Row],[Price]]/Registro_Ordini[[#This Row],[Prezzo]]-1))</f>
        <v>-0.24662813102119452</v>
      </c>
      <c r="P1269" s="15">
        <v>-2.1881780938122725E-2</v>
      </c>
      <c r="Q1269" s="3">
        <v>0.23983508351069699</v>
      </c>
      <c r="R1269" s="3">
        <v>0.34933742965811782</v>
      </c>
      <c r="S1269" s="3">
        <v>0.32750851516909846</v>
      </c>
      <c r="T1269" s="3">
        <v>2.1881780938122725E-2</v>
      </c>
      <c r="U1269" s="3">
        <v>6.1437190723964114E-2</v>
      </c>
      <c r="V1269" s="3"/>
      <c r="W1269" s="4"/>
      <c r="X1269" s="13"/>
      <c r="Z1269"/>
      <c r="AA1269"/>
    </row>
    <row r="1270" spans="1:27" s="1" customFormat="1" ht="24.95" customHeight="1" x14ac:dyDescent="0.2">
      <c r="A1270" s="8">
        <v>45181</v>
      </c>
      <c r="B1270" s="7">
        <v>0.68263888888888891</v>
      </c>
      <c r="C1270" s="9" t="s">
        <v>378</v>
      </c>
      <c r="D1270" s="1" t="s">
        <v>577</v>
      </c>
      <c r="E1270" s="1" t="s">
        <v>397</v>
      </c>
      <c r="F1270" s="1" t="s">
        <v>578</v>
      </c>
      <c r="G1270" s="1" t="s">
        <v>365</v>
      </c>
      <c r="H1270" s="2">
        <v>-95</v>
      </c>
      <c r="I1270" s="17">
        <v>78.2</v>
      </c>
      <c r="J1270" s="1" t="s">
        <v>369</v>
      </c>
      <c r="K1270" s="6">
        <f>Registro_Ordini[[#This Row],[Numero]]*Registro_Ordini[[#This Row],[Prezzo]]</f>
        <v>-7429</v>
      </c>
      <c r="L1270" s="10">
        <v>1</v>
      </c>
      <c r="M1270" s="6">
        <f>Registro_Ordini[[#This Row],[Importo]]*Registro_Ordini[[#This Row],[Cambio]]</f>
        <v>-7429</v>
      </c>
      <c r="N1270" s="1">
        <f ca="1">IFERROR(_xlfn.NUMBERVALUE(OFFSET(Origine,MATCH(Registro_Ordini[[#This Row],[Titolo]],Descrizioni,0),MATCH("Price",Intestazioni,0)-1,1,1)),"")</f>
        <v>103.8</v>
      </c>
      <c r="O1270" s="18">
        <f ca="1">IF(OR(Registro_Ordini[[#This Row],[Price]]=0,Registro_Ordini[[#This Row],[Price]]=""),"",IF(Registro_Ordini[[#This Row],[Tipo]]="Sell",Registro_Ordini[[#This Row],[Prezzo]]/Registro_Ordini[[#This Row],[Price]]-1,Registro_Ordini[[#This Row],[Price]]/Registro_Ordini[[#This Row],[Prezzo]]-1))</f>
        <v>-0.24662813102119452</v>
      </c>
      <c r="P1270" s="15">
        <v>-1.5707205518758722E-2</v>
      </c>
      <c r="Q1270" s="3">
        <v>0.23215009064996764</v>
      </c>
      <c r="R1270" s="3">
        <v>0.32947024130670488</v>
      </c>
      <c r="S1270" s="3">
        <v>0.30289968588462357</v>
      </c>
      <c r="T1270" s="3">
        <v>1.5707205518758722E-2</v>
      </c>
      <c r="U1270" s="3">
        <v>0.11977277663994526</v>
      </c>
      <c r="V1270" s="3"/>
      <c r="W1270" s="4"/>
      <c r="X1270" s="13"/>
      <c r="Z1270"/>
      <c r="AA1270"/>
    </row>
    <row r="1271" spans="1:27" s="1" customFormat="1" ht="24.95" customHeight="1" x14ac:dyDescent="0.2">
      <c r="A1271" s="8">
        <v>45181</v>
      </c>
      <c r="B1271" s="7">
        <v>0.68263888888888891</v>
      </c>
      <c r="C1271" s="9" t="s">
        <v>377</v>
      </c>
      <c r="D1271" s="1" t="s">
        <v>577</v>
      </c>
      <c r="E1271" s="1" t="s">
        <v>397</v>
      </c>
      <c r="F1271" s="1" t="s">
        <v>578</v>
      </c>
      <c r="G1271" s="1" t="s">
        <v>365</v>
      </c>
      <c r="H1271" s="2">
        <v>-350</v>
      </c>
      <c r="I1271" s="17">
        <v>78.2</v>
      </c>
      <c r="J1271" s="1" t="s">
        <v>369</v>
      </c>
      <c r="K1271" s="6">
        <f>Registro_Ordini[[#This Row],[Numero]]*Registro_Ordini[[#This Row],[Prezzo]]</f>
        <v>-27370</v>
      </c>
      <c r="L1271" s="10">
        <v>1</v>
      </c>
      <c r="M1271" s="6">
        <f>Registro_Ordini[[#This Row],[Importo]]*Registro_Ordini[[#This Row],[Cambio]]</f>
        <v>-27370</v>
      </c>
      <c r="N1271" s="1">
        <f ca="1">IFERROR(_xlfn.NUMBERVALUE(OFFSET(Origine,MATCH(Registro_Ordini[[#This Row],[Titolo]],Descrizioni,0),MATCH("Price",Intestazioni,0)-1,1,1)),"")</f>
        <v>103.8</v>
      </c>
      <c r="O1271" s="18">
        <f ca="1">IF(OR(Registro_Ordini[[#This Row],[Price]]=0,Registro_Ordini[[#This Row],[Price]]=""),"",IF(Registro_Ordini[[#This Row],[Tipo]]="Sell",Registro_Ordini[[#This Row],[Prezzo]]/Registro_Ordini[[#This Row],[Price]]-1,Registro_Ordini[[#This Row],[Price]]/Registro_Ordini[[#This Row],[Prezzo]]-1))</f>
        <v>-0.24662813102119452</v>
      </c>
      <c r="P1271" s="15">
        <v>-1.8977531340970643E-2</v>
      </c>
      <c r="Q1271" s="3">
        <v>0.15354044332736369</v>
      </c>
      <c r="R1271" s="3">
        <v>0.34482339440820525</v>
      </c>
      <c r="S1271" s="3">
        <v>0.35081285424186009</v>
      </c>
      <c r="T1271" s="3">
        <v>1.8977531340970643E-2</v>
      </c>
      <c r="U1271" s="3">
        <v>0.13184577668160027</v>
      </c>
      <c r="V1271" s="3"/>
      <c r="W1271" s="4"/>
      <c r="X1271" s="13"/>
      <c r="Z1271"/>
      <c r="AA1271"/>
    </row>
    <row r="1272" spans="1:27" s="1" customFormat="1" ht="24.95" customHeight="1" x14ac:dyDescent="0.2">
      <c r="A1272" s="8">
        <v>45181</v>
      </c>
      <c r="B1272" s="7">
        <v>0.68194444444444446</v>
      </c>
      <c r="C1272" s="9" t="s">
        <v>78</v>
      </c>
      <c r="D1272" s="1" t="s">
        <v>577</v>
      </c>
      <c r="E1272" s="1" t="s">
        <v>397</v>
      </c>
      <c r="F1272" s="1" t="s">
        <v>578</v>
      </c>
      <c r="G1272" s="1" t="s">
        <v>365</v>
      </c>
      <c r="H1272" s="2">
        <v>-100</v>
      </c>
      <c r="I1272" s="17">
        <v>78.2</v>
      </c>
      <c r="J1272" s="1" t="s">
        <v>369</v>
      </c>
      <c r="K1272" s="6">
        <f>Registro_Ordini[[#This Row],[Numero]]*Registro_Ordini[[#This Row],[Prezzo]]</f>
        <v>-7820</v>
      </c>
      <c r="L1272" s="10">
        <v>1</v>
      </c>
      <c r="M1272" s="6">
        <f>Registro_Ordini[[#This Row],[Importo]]*Registro_Ordini[[#This Row],[Cambio]]</f>
        <v>-7820</v>
      </c>
      <c r="N1272" s="1">
        <f ca="1">IFERROR(_xlfn.NUMBERVALUE(OFFSET(Origine,MATCH(Registro_Ordini[[#This Row],[Titolo]],Descrizioni,0),MATCH("Price",Intestazioni,0)-1,1,1)),"")</f>
        <v>103.8</v>
      </c>
      <c r="O1272" s="18">
        <f ca="1">IF(OR(Registro_Ordini[[#This Row],[Price]]=0,Registro_Ordini[[#This Row],[Price]]=""),"",IF(Registro_Ordini[[#This Row],[Tipo]]="Sell",Registro_Ordini[[#This Row],[Prezzo]]/Registro_Ordini[[#This Row],[Price]]-1,Registro_Ordini[[#This Row],[Price]]/Registro_Ordini[[#This Row],[Prezzo]]-1))</f>
        <v>-0.24662813102119452</v>
      </c>
      <c r="P1272" s="15">
        <v>-1.9854518257751655E-2</v>
      </c>
      <c r="Q1272" s="3">
        <v>0.38926287027888551</v>
      </c>
      <c r="R1272" s="3">
        <v>0</v>
      </c>
      <c r="S1272" s="3">
        <v>0.47878641922245352</v>
      </c>
      <c r="T1272" s="3">
        <v>1.9854518257751655E-2</v>
      </c>
      <c r="U1272" s="3">
        <v>0.11209619224090937</v>
      </c>
      <c r="V1272" s="3"/>
      <c r="W1272" s="4"/>
      <c r="X1272" s="13"/>
      <c r="Z1272"/>
      <c r="AA1272"/>
    </row>
    <row r="1273" spans="1:27" s="1" customFormat="1" ht="24.95" customHeight="1" x14ac:dyDescent="0.2">
      <c r="A1273" s="8">
        <v>45181</v>
      </c>
      <c r="B1273" s="7">
        <v>0.62986111111111109</v>
      </c>
      <c r="C1273" s="9" t="s">
        <v>375</v>
      </c>
      <c r="D1273" s="1" t="s">
        <v>368</v>
      </c>
      <c r="E1273" s="1" t="s">
        <v>369</v>
      </c>
      <c r="F1273" s="1" t="s">
        <v>534</v>
      </c>
      <c r="G1273" s="1" t="s">
        <v>371</v>
      </c>
      <c r="H1273" s="2">
        <v>30000</v>
      </c>
      <c r="I1273" s="16">
        <v>0.87839374999999997</v>
      </c>
      <c r="J1273" s="1" t="s">
        <v>369</v>
      </c>
      <c r="K1273" s="6">
        <f>Registro_Ordini[[#This Row],[Numero]]*Registro_Ordini[[#This Row],[Prezzo]]</f>
        <v>26351.8125</v>
      </c>
      <c r="L1273" s="10">
        <v>1</v>
      </c>
      <c r="M1273" s="6">
        <f>Registro_Ordini[[#This Row],[Importo]]*Registro_Ordini[[#This Row],[Cambio]]</f>
        <v>26351.8125</v>
      </c>
      <c r="N1273" s="1">
        <f ca="1">IFERROR(_xlfn.NUMBERVALUE(OFFSET(Origine,MATCH(Registro_Ordini[[#This Row],[Titolo]],Descrizioni,0),MATCH("Price",Intestazioni,0)-1,1,1)),"")</f>
        <v>0.99752430556000005</v>
      </c>
      <c r="O1273" s="18">
        <f ca="1">IF(OR(Registro_Ordini[[#This Row],[Price]]=0,Registro_Ordini[[#This Row],[Price]]=""),"",IF(Registro_Ordini[[#This Row],[Tipo]]="Sell",Registro_Ordini[[#This Row],[Prezzo]]/Registro_Ordini[[#This Row],[Price]]-1,Registro_Ordini[[#This Row],[Price]]/Registro_Ordini[[#This Row],[Prezzo]]-1))</f>
        <v>0.13562318215492786</v>
      </c>
      <c r="P1273" s="15">
        <v>3.5866196993639167E-2</v>
      </c>
      <c r="Q1273" s="3">
        <v>0.21114396552297815</v>
      </c>
      <c r="R1273" s="3">
        <v>0.34348224459890037</v>
      </c>
      <c r="S1273" s="3">
        <v>0.31171545823931185</v>
      </c>
      <c r="T1273" s="3">
        <v>0</v>
      </c>
      <c r="U1273" s="3">
        <v>0.13365833163880961</v>
      </c>
      <c r="V1273" s="3"/>
      <c r="W1273" s="4"/>
      <c r="X1273" s="13"/>
      <c r="Z1273"/>
      <c r="AA1273"/>
    </row>
    <row r="1274" spans="1:27" s="1" customFormat="1" ht="24.95" customHeight="1" x14ac:dyDescent="0.2">
      <c r="A1274" s="8">
        <v>45181</v>
      </c>
      <c r="B1274" s="7">
        <v>0.62986111111111109</v>
      </c>
      <c r="C1274" s="9" t="s">
        <v>378</v>
      </c>
      <c r="D1274" s="1" t="s">
        <v>368</v>
      </c>
      <c r="E1274" s="1" t="s">
        <v>369</v>
      </c>
      <c r="F1274" s="1" t="s">
        <v>534</v>
      </c>
      <c r="G1274" s="1" t="s">
        <v>371</v>
      </c>
      <c r="H1274" s="2">
        <v>20000</v>
      </c>
      <c r="I1274" s="16">
        <v>0.87839374999999997</v>
      </c>
      <c r="J1274" s="1" t="s">
        <v>369</v>
      </c>
      <c r="K1274" s="6">
        <f>Registro_Ordini[[#This Row],[Numero]]*Registro_Ordini[[#This Row],[Prezzo]]</f>
        <v>17567.875</v>
      </c>
      <c r="L1274" s="10">
        <v>1</v>
      </c>
      <c r="M1274" s="6">
        <f>Registro_Ordini[[#This Row],[Importo]]*Registro_Ordini[[#This Row],[Cambio]]</f>
        <v>17567.875</v>
      </c>
      <c r="N1274" s="1">
        <f ca="1">IFERROR(_xlfn.NUMBERVALUE(OFFSET(Origine,MATCH(Registro_Ordini[[#This Row],[Titolo]],Descrizioni,0),MATCH("Price",Intestazioni,0)-1,1,1)),"")</f>
        <v>0.99752430556000005</v>
      </c>
      <c r="O1274" s="18">
        <f ca="1">IF(OR(Registro_Ordini[[#This Row],[Price]]=0,Registro_Ordini[[#This Row],[Price]]=""),"",IF(Registro_Ordini[[#This Row],[Tipo]]="Sell",Registro_Ordini[[#This Row],[Prezzo]]/Registro_Ordini[[#This Row],[Price]]-1,Registro_Ordini[[#This Row],[Price]]/Registro_Ordini[[#This Row],[Prezzo]]-1))</f>
        <v>0.13562318215492786</v>
      </c>
      <c r="P1274" s="15">
        <v>3.7039620246456059E-2</v>
      </c>
      <c r="Q1274" s="3">
        <v>0.26854606997133451</v>
      </c>
      <c r="R1274" s="3">
        <v>0.29160485550357329</v>
      </c>
      <c r="S1274" s="3">
        <v>0.3022825195494242</v>
      </c>
      <c r="T1274" s="3">
        <v>1.5663097489646418E-2</v>
      </c>
      <c r="U1274" s="3">
        <v>0.12190345748602152</v>
      </c>
      <c r="V1274" s="3"/>
      <c r="W1274" s="4"/>
      <c r="X1274" s="13"/>
      <c r="Z1274"/>
      <c r="AA1274"/>
    </row>
    <row r="1275" spans="1:27" s="1" customFormat="1" ht="24.95" customHeight="1" x14ac:dyDescent="0.2">
      <c r="A1275" s="8">
        <v>45181</v>
      </c>
      <c r="B1275" s="7">
        <v>0.62986111111111109</v>
      </c>
      <c r="C1275" s="9" t="s">
        <v>377</v>
      </c>
      <c r="D1275" s="1" t="s">
        <v>368</v>
      </c>
      <c r="E1275" s="1" t="s">
        <v>369</v>
      </c>
      <c r="F1275" s="1" t="s">
        <v>534</v>
      </c>
      <c r="G1275" s="1" t="s">
        <v>371</v>
      </c>
      <c r="H1275" s="2">
        <v>65000</v>
      </c>
      <c r="I1275" s="16">
        <v>0.87839374999999997</v>
      </c>
      <c r="J1275" s="1" t="s">
        <v>369</v>
      </c>
      <c r="K1275" s="6">
        <f>Registro_Ordini[[#This Row],[Numero]]*Registro_Ordini[[#This Row],[Prezzo]]</f>
        <v>57095.59375</v>
      </c>
      <c r="L1275" s="10">
        <v>1</v>
      </c>
      <c r="M1275" s="6">
        <f>Registro_Ordini[[#This Row],[Importo]]*Registro_Ordini[[#This Row],[Cambio]]</f>
        <v>57095.59375</v>
      </c>
      <c r="N1275" s="1">
        <f ca="1">IFERROR(_xlfn.NUMBERVALUE(OFFSET(Origine,MATCH(Registro_Ordini[[#This Row],[Titolo]],Descrizioni,0),MATCH("Price",Intestazioni,0)-1,1,1)),"")</f>
        <v>0.99752430556000005</v>
      </c>
      <c r="O1275" s="18">
        <f ca="1">IF(OR(Registro_Ordini[[#This Row],[Price]]=0,Registro_Ordini[[#This Row],[Price]]=""),"",IF(Registro_Ordini[[#This Row],[Tipo]]="Sell",Registro_Ordini[[#This Row],[Prezzo]]/Registro_Ordini[[#This Row],[Price]]-1,Registro_Ordini[[#This Row],[Price]]/Registro_Ordini[[#This Row],[Prezzo]]-1))</f>
        <v>0.13562318215492786</v>
      </c>
      <c r="P1275" s="15">
        <v>3.9479664173231038E-2</v>
      </c>
      <c r="Q1275" s="3">
        <v>0.19257208106269169</v>
      </c>
      <c r="R1275" s="3">
        <v>0.30450070371767224</v>
      </c>
      <c r="S1275" s="3">
        <v>0.34990796856528811</v>
      </c>
      <c r="T1275" s="3">
        <v>1.8925425544266863E-2</v>
      </c>
      <c r="U1275" s="3">
        <v>0.13409382111008106</v>
      </c>
      <c r="V1275" s="3"/>
      <c r="W1275" s="4"/>
      <c r="X1275" s="13"/>
      <c r="Z1275"/>
      <c r="AA1275"/>
    </row>
    <row r="1276" spans="1:27" s="1" customFormat="1" ht="24.95" customHeight="1" x14ac:dyDescent="0.2">
      <c r="A1276" s="8">
        <v>45181</v>
      </c>
      <c r="B1276" s="7">
        <v>0.62986111111111109</v>
      </c>
      <c r="C1276" s="9" t="s">
        <v>376</v>
      </c>
      <c r="D1276" s="1" t="s">
        <v>368</v>
      </c>
      <c r="E1276" s="1" t="s">
        <v>369</v>
      </c>
      <c r="F1276" s="1" t="s">
        <v>534</v>
      </c>
      <c r="G1276" s="1" t="s">
        <v>371</v>
      </c>
      <c r="H1276" s="2">
        <v>10000</v>
      </c>
      <c r="I1276" s="16">
        <v>0.87839374999999997</v>
      </c>
      <c r="J1276" s="1" t="s">
        <v>369</v>
      </c>
      <c r="K1276" s="6">
        <f>Registro_Ordini[[#This Row],[Numero]]*Registro_Ordini[[#This Row],[Prezzo]]</f>
        <v>8783.9375</v>
      </c>
      <c r="L1276" s="10">
        <v>1</v>
      </c>
      <c r="M1276" s="6">
        <f>Registro_Ordini[[#This Row],[Importo]]*Registro_Ordini[[#This Row],[Cambio]]</f>
        <v>8783.9375</v>
      </c>
      <c r="N1276" s="1">
        <f ca="1">IFERROR(_xlfn.NUMBERVALUE(OFFSET(Origine,MATCH(Registro_Ordini[[#This Row],[Titolo]],Descrizioni,0),MATCH("Price",Intestazioni,0)-1,1,1)),"")</f>
        <v>0.99752430556000005</v>
      </c>
      <c r="O1276" s="18">
        <f ca="1">IF(OR(Registro_Ordini[[#This Row],[Price]]=0,Registro_Ordini[[#This Row],[Price]]=""),"",IF(Registro_Ordini[[#This Row],[Tipo]]="Sell",Registro_Ordini[[#This Row],[Prezzo]]/Registro_Ordini[[#This Row],[Price]]-1,Registro_Ordini[[#This Row],[Price]]/Registro_Ordini[[#This Row],[Prezzo]]-1))</f>
        <v>0.13562318215492786</v>
      </c>
      <c r="P1276" s="15">
        <v>3.3837370815691895E-2</v>
      </c>
      <c r="Q1276" s="3">
        <v>0.14433674716547434</v>
      </c>
      <c r="R1276" s="3">
        <v>0.32780588557275708</v>
      </c>
      <c r="S1276" s="3">
        <v>0.37406300631060835</v>
      </c>
      <c r="T1276" s="3">
        <v>0</v>
      </c>
      <c r="U1276" s="3">
        <v>0.15379436095116017</v>
      </c>
      <c r="V1276" s="3"/>
      <c r="W1276" s="4"/>
      <c r="X1276" s="13"/>
      <c r="Z1276"/>
      <c r="AA1276"/>
    </row>
    <row r="1277" spans="1:27" s="1" customFormat="1" ht="24.95" customHeight="1" x14ac:dyDescent="0.2">
      <c r="A1277" s="8">
        <v>45180</v>
      </c>
      <c r="B1277" s="7">
        <v>0.70694444444444449</v>
      </c>
      <c r="C1277" s="9" t="s">
        <v>375</v>
      </c>
      <c r="D1277" s="1" t="s">
        <v>368</v>
      </c>
      <c r="E1277" s="1" t="s">
        <v>568</v>
      </c>
      <c r="F1277" s="1" t="s">
        <v>579</v>
      </c>
      <c r="G1277" s="1" t="s">
        <v>365</v>
      </c>
      <c r="H1277" s="2">
        <v>-450</v>
      </c>
      <c r="I1277" s="16">
        <v>73.954999999999998</v>
      </c>
      <c r="J1277" s="1" t="s">
        <v>369</v>
      </c>
      <c r="K1277" s="6">
        <f>Registro_Ordini[[#This Row],[Numero]]*Registro_Ordini[[#This Row],[Prezzo]]</f>
        <v>-33279.75</v>
      </c>
      <c r="L1277" s="10">
        <v>1</v>
      </c>
      <c r="M1277" s="6">
        <f>Registro_Ordini[[#This Row],[Importo]]*Registro_Ordini[[#This Row],[Cambio]]</f>
        <v>-33279.75</v>
      </c>
      <c r="N1277" s="1">
        <f ca="1">IFERROR(_xlfn.NUMBERVALUE(OFFSET(Origine,MATCH(Registro_Ordini[[#This Row],[Titolo]],Descrizioni,0),MATCH("Price",Intestazioni,0)-1,1,1)),"")</f>
        <v>68.063999999999993</v>
      </c>
      <c r="O1277" s="18">
        <f ca="1">IF(OR(Registro_Ordini[[#This Row],[Price]]=0,Registro_Ordini[[#This Row],[Price]]=""),"",IF(Registro_Ordini[[#This Row],[Tipo]]="Sell",Registro_Ordini[[#This Row],[Prezzo]]/Registro_Ordini[[#This Row],[Price]]-1,Registro_Ordini[[#This Row],[Price]]/Registro_Ordini[[#This Row],[Prezzo]]-1))</f>
        <v>8.6550893276915897E-2</v>
      </c>
      <c r="P1277" s="15">
        <v>-4.5420166020566727E-2</v>
      </c>
      <c r="Q1277" s="3">
        <v>0.16627564833262837</v>
      </c>
      <c r="R1277" s="3">
        <v>0.38984360265600748</v>
      </c>
      <c r="S1277" s="3">
        <v>0.3126723605586279</v>
      </c>
      <c r="T1277" s="3">
        <v>0</v>
      </c>
      <c r="U1277" s="3">
        <v>0.13120838845273644</v>
      </c>
      <c r="V1277" s="3"/>
      <c r="W1277" s="4"/>
      <c r="X1277" s="13"/>
      <c r="Z1277"/>
      <c r="AA1277"/>
    </row>
    <row r="1278" spans="1:27" s="1" customFormat="1" ht="24.95" customHeight="1" x14ac:dyDescent="0.2">
      <c r="A1278" s="8">
        <v>45180</v>
      </c>
      <c r="B1278" s="7">
        <v>0.70694444444444449</v>
      </c>
      <c r="C1278" s="9" t="s">
        <v>378</v>
      </c>
      <c r="D1278" s="1" t="s">
        <v>368</v>
      </c>
      <c r="E1278" s="1" t="s">
        <v>568</v>
      </c>
      <c r="F1278" s="1" t="s">
        <v>579</v>
      </c>
      <c r="G1278" s="1" t="s">
        <v>365</v>
      </c>
      <c r="H1278" s="2">
        <v>-260</v>
      </c>
      <c r="I1278" s="16">
        <v>73.954999999999998</v>
      </c>
      <c r="J1278" s="1" t="s">
        <v>369</v>
      </c>
      <c r="K1278" s="6">
        <f>Registro_Ordini[[#This Row],[Numero]]*Registro_Ordini[[#This Row],[Prezzo]]</f>
        <v>-19228.3</v>
      </c>
      <c r="L1278" s="10">
        <v>1</v>
      </c>
      <c r="M1278" s="6">
        <f>Registro_Ordini[[#This Row],[Importo]]*Registro_Ordini[[#This Row],[Cambio]]</f>
        <v>-19228.3</v>
      </c>
      <c r="N1278" s="1">
        <f ca="1">IFERROR(_xlfn.NUMBERVALUE(OFFSET(Origine,MATCH(Registro_Ordini[[#This Row],[Titolo]],Descrizioni,0),MATCH("Price",Intestazioni,0)-1,1,1)),"")</f>
        <v>68.063999999999993</v>
      </c>
      <c r="O1278" s="18">
        <f ca="1">IF(OR(Registro_Ordini[[#This Row],[Price]]=0,Registro_Ordini[[#This Row],[Price]]=""),"",IF(Registro_Ordini[[#This Row],[Tipo]]="Sell",Registro_Ordini[[#This Row],[Prezzo]]/Registro_Ordini[[#This Row],[Price]]-1,Registro_Ordini[[#This Row],[Price]]/Registro_Ordini[[#This Row],[Prezzo]]-1))</f>
        <v>8.6550893276915897E-2</v>
      </c>
      <c r="P1278" s="15">
        <v>-4.0625572794612055E-2</v>
      </c>
      <c r="Q1278" s="3">
        <v>0.22847027914696208</v>
      </c>
      <c r="R1278" s="3">
        <v>0.33283916574646388</v>
      </c>
      <c r="S1278" s="3">
        <v>0.30297385549009404</v>
      </c>
      <c r="T1278" s="3">
        <v>1.5736142361741322E-2</v>
      </c>
      <c r="U1278" s="3">
        <v>0.11998055725473862</v>
      </c>
      <c r="V1278" s="3"/>
      <c r="W1278" s="4"/>
      <c r="X1278" s="13"/>
      <c r="Z1278"/>
      <c r="AA1278"/>
    </row>
    <row r="1279" spans="1:27" s="1" customFormat="1" ht="24.95" customHeight="1" x14ac:dyDescent="0.2">
      <c r="A1279" s="8">
        <v>45180</v>
      </c>
      <c r="B1279" s="7">
        <v>0.70694444444444449</v>
      </c>
      <c r="C1279" s="9" t="s">
        <v>377</v>
      </c>
      <c r="D1279" s="1" t="s">
        <v>368</v>
      </c>
      <c r="E1279" s="1" t="s">
        <v>568</v>
      </c>
      <c r="F1279" s="1" t="s">
        <v>579</v>
      </c>
      <c r="G1279" s="1" t="s">
        <v>365</v>
      </c>
      <c r="H1279" s="2">
        <v>-850</v>
      </c>
      <c r="I1279" s="16">
        <v>73.954999999999998</v>
      </c>
      <c r="J1279" s="1" t="s">
        <v>369</v>
      </c>
      <c r="K1279" s="6">
        <f>Registro_Ordini[[#This Row],[Numero]]*Registro_Ordini[[#This Row],[Prezzo]]</f>
        <v>-62861.75</v>
      </c>
      <c r="L1279" s="10">
        <v>1</v>
      </c>
      <c r="M1279" s="6">
        <f>Registro_Ordini[[#This Row],[Importo]]*Registro_Ordini[[#This Row],[Cambio]]</f>
        <v>-62861.75</v>
      </c>
      <c r="N1279" s="1">
        <f ca="1">IFERROR(_xlfn.NUMBERVALUE(OFFSET(Origine,MATCH(Registro_Ordini[[#This Row],[Titolo]],Descrizioni,0),MATCH("Price",Intestazioni,0)-1,1,1)),"")</f>
        <v>68.063999999999993</v>
      </c>
      <c r="O1279" s="18">
        <f ca="1">IF(OR(Registro_Ordini[[#This Row],[Price]]=0,Registro_Ordini[[#This Row],[Price]]=""),"",IF(Registro_Ordini[[#This Row],[Tipo]]="Sell",Registro_Ordini[[#This Row],[Prezzo]]/Registro_Ordini[[#This Row],[Price]]-1,Registro_Ordini[[#This Row],[Price]]/Registro_Ordini[[#This Row],[Prezzo]]-1))</f>
        <v>8.6550893276915897E-2</v>
      </c>
      <c r="P1279" s="15">
        <v>-4.3582918826458573E-2</v>
      </c>
      <c r="Q1279" s="3">
        <v>0.14948497945278488</v>
      </c>
      <c r="R1279" s="3">
        <v>0.3488935761363044</v>
      </c>
      <c r="S1279" s="3">
        <v>0.35083320900728499</v>
      </c>
      <c r="T1279" s="3">
        <v>1.9024530697888991E-2</v>
      </c>
      <c r="U1279" s="3">
        <v>0.13176370470573687</v>
      </c>
      <c r="V1279" s="3"/>
      <c r="W1279" s="4"/>
      <c r="X1279" s="13"/>
      <c r="Z1279"/>
      <c r="AA1279"/>
    </row>
    <row r="1280" spans="1:27" s="1" customFormat="1" ht="24.95" customHeight="1" x14ac:dyDescent="0.2">
      <c r="A1280" s="8">
        <v>45180</v>
      </c>
      <c r="B1280" s="7">
        <v>0.70694444444444449</v>
      </c>
      <c r="C1280" s="9" t="s">
        <v>376</v>
      </c>
      <c r="D1280" s="1" t="s">
        <v>368</v>
      </c>
      <c r="E1280" s="1" t="s">
        <v>568</v>
      </c>
      <c r="F1280" s="1" t="s">
        <v>579</v>
      </c>
      <c r="G1280" s="1" t="s">
        <v>365</v>
      </c>
      <c r="H1280" s="2">
        <v>-180</v>
      </c>
      <c r="I1280" s="16">
        <v>73.954999999999998</v>
      </c>
      <c r="J1280" s="1" t="s">
        <v>369</v>
      </c>
      <c r="K1280" s="6">
        <f>Registro_Ordini[[#This Row],[Numero]]*Registro_Ordini[[#This Row],[Prezzo]]</f>
        <v>-13311.9</v>
      </c>
      <c r="L1280" s="10">
        <v>1</v>
      </c>
      <c r="M1280" s="6">
        <f>Registro_Ordini[[#This Row],[Importo]]*Registro_Ordini[[#This Row],[Cambio]]</f>
        <v>-13311.9</v>
      </c>
      <c r="N1280" s="1">
        <f ca="1">IFERROR(_xlfn.NUMBERVALUE(OFFSET(Origine,MATCH(Registro_Ordini[[#This Row],[Titolo]],Descrizioni,0),MATCH("Price",Intestazioni,0)-1,1,1)),"")</f>
        <v>68.063999999999993</v>
      </c>
      <c r="O1280" s="18">
        <f ca="1">IF(OR(Registro_Ordini[[#This Row],[Price]]=0,Registro_Ordini[[#This Row],[Price]]=""),"",IF(Registro_Ordini[[#This Row],[Tipo]]="Sell",Registro_Ordini[[#This Row],[Prezzo]]/Registro_Ordini[[#This Row],[Price]]-1,Registro_Ordini[[#This Row],[Price]]/Registro_Ordini[[#This Row],[Prezzo]]-1))</f>
        <v>8.6550893276915897E-2</v>
      </c>
      <c r="P1280" s="15">
        <v>-5.1396063906571234E-2</v>
      </c>
      <c r="Q1280" s="3">
        <v>9.325286868366682E-2</v>
      </c>
      <c r="R1280" s="3">
        <v>0.37994086083947415</v>
      </c>
      <c r="S1280" s="3">
        <v>0.37559033079846149</v>
      </c>
      <c r="T1280" s="3">
        <v>0</v>
      </c>
      <c r="U1280" s="3">
        <v>0.15121593967839747</v>
      </c>
      <c r="V1280" s="3"/>
      <c r="W1280" s="4"/>
      <c r="X1280" s="13"/>
      <c r="Z1280"/>
      <c r="AA1280"/>
    </row>
    <row r="1281" spans="1:27" s="1" customFormat="1" ht="24.95" customHeight="1" x14ac:dyDescent="0.2">
      <c r="A1281" s="8">
        <v>45180</v>
      </c>
      <c r="B1281" s="7">
        <v>0.70486111111111116</v>
      </c>
      <c r="C1281" s="9" t="s">
        <v>106</v>
      </c>
      <c r="D1281" s="1" t="s">
        <v>368</v>
      </c>
      <c r="E1281" s="1" t="s">
        <v>363</v>
      </c>
      <c r="F1281" s="1" t="s">
        <v>580</v>
      </c>
      <c r="G1281" s="1" t="s">
        <v>365</v>
      </c>
      <c r="H1281" s="2">
        <v>-60</v>
      </c>
      <c r="I1281" s="16">
        <v>77.177099999999996</v>
      </c>
      <c r="J1281" s="1" t="s">
        <v>381</v>
      </c>
      <c r="K1281" s="6">
        <f>Registro_Ordini[[#This Row],[Numero]]*Registro_Ordini[[#This Row],[Prezzo]]</f>
        <v>-4630.6260000000002</v>
      </c>
      <c r="L1281" s="10">
        <v>1</v>
      </c>
      <c r="M1281" s="6">
        <f>Registro_Ordini[[#This Row],[Importo]]*Registro_Ordini[[#This Row],[Cambio]]</f>
        <v>-4630.6260000000002</v>
      </c>
      <c r="N1281" s="1">
        <f ca="1">IFERROR(_xlfn.NUMBERVALUE(OFFSET(Origine,MATCH(Registro_Ordini[[#This Row],[Titolo]],Descrizioni,0),MATCH("Price",Intestazioni,0)-1,1,1)),"")</f>
        <v>74.447999999999993</v>
      </c>
      <c r="O1281" s="18">
        <f ca="1">IF(OR(Registro_Ordini[[#This Row],[Price]]=0,Registro_Ordini[[#This Row],[Price]]=""),"",IF(Registro_Ordini[[#This Row],[Tipo]]="Sell",Registro_Ordini[[#This Row],[Prezzo]]/Registro_Ordini[[#This Row],[Price]]-1,Registro_Ordini[[#This Row],[Price]]/Registro_Ordini[[#This Row],[Prezzo]]-1))</f>
        <v>3.6657801418439773E-2</v>
      </c>
      <c r="P1281" s="15">
        <v>-4.0512655687876903E-2</v>
      </c>
      <c r="Q1281" s="3">
        <v>0.34608844449568982</v>
      </c>
      <c r="R1281" s="3">
        <v>0.31332428343328644</v>
      </c>
      <c r="S1281" s="3">
        <v>0.18215179286543354</v>
      </c>
      <c r="T1281" s="3">
        <v>0</v>
      </c>
      <c r="U1281" s="3">
        <v>0.15843547920559023</v>
      </c>
      <c r="V1281" s="3"/>
      <c r="W1281" s="4"/>
      <c r="X1281" s="13"/>
      <c r="Z1281"/>
      <c r="AA1281"/>
    </row>
    <row r="1282" spans="1:27" s="1" customFormat="1" ht="24.95" customHeight="1" x14ac:dyDescent="0.2">
      <c r="A1282" s="8">
        <v>45180</v>
      </c>
      <c r="B1282" s="7">
        <v>0.70486111111111116</v>
      </c>
      <c r="C1282" s="9" t="s">
        <v>379</v>
      </c>
      <c r="D1282" s="1" t="s">
        <v>368</v>
      </c>
      <c r="E1282" s="1" t="s">
        <v>363</v>
      </c>
      <c r="F1282" s="1" t="s">
        <v>580</v>
      </c>
      <c r="G1282" s="1" t="s">
        <v>365</v>
      </c>
      <c r="H1282" s="2">
        <v>-330</v>
      </c>
      <c r="I1282" s="16">
        <v>77.177099999999996</v>
      </c>
      <c r="J1282" s="1" t="s">
        <v>381</v>
      </c>
      <c r="K1282" s="6">
        <f>Registro_Ordini[[#This Row],[Numero]]*Registro_Ordini[[#This Row],[Prezzo]]</f>
        <v>-25468.442999999999</v>
      </c>
      <c r="L1282" s="10">
        <v>1</v>
      </c>
      <c r="M1282" s="6">
        <f>Registro_Ordini[[#This Row],[Importo]]*Registro_Ordini[[#This Row],[Cambio]]</f>
        <v>-25468.442999999999</v>
      </c>
      <c r="N1282" s="1">
        <f ca="1">IFERROR(_xlfn.NUMBERVALUE(OFFSET(Origine,MATCH(Registro_Ordini[[#This Row],[Titolo]],Descrizioni,0),MATCH("Price",Intestazioni,0)-1,1,1)),"")</f>
        <v>74.447999999999993</v>
      </c>
      <c r="O1282" s="18">
        <f ca="1">IF(OR(Registro_Ordini[[#This Row],[Price]]=0,Registro_Ordini[[#This Row],[Price]]=""),"",IF(Registro_Ordini[[#This Row],[Tipo]]="Sell",Registro_Ordini[[#This Row],[Prezzo]]/Registro_Ordini[[#This Row],[Price]]-1,Registro_Ordini[[#This Row],[Price]]/Registro_Ordini[[#This Row],[Prezzo]]-1))</f>
        <v>3.6657801418439773E-2</v>
      </c>
      <c r="P1282" s="15">
        <v>-4.9973629636141804E-2</v>
      </c>
      <c r="Q1282" s="3">
        <v>0.15237567230867752</v>
      </c>
      <c r="R1282" s="3">
        <v>0.35609436147321905</v>
      </c>
      <c r="S1282" s="3">
        <v>0.35209716384671752</v>
      </c>
      <c r="T1282" s="3">
        <v>0</v>
      </c>
      <c r="U1282" s="3">
        <v>0.13943280237138606</v>
      </c>
      <c r="V1282" s="3"/>
      <c r="W1282" s="4"/>
      <c r="X1282" s="13"/>
      <c r="Z1282"/>
      <c r="AA1282"/>
    </row>
    <row r="1283" spans="1:27" s="1" customFormat="1" ht="24.95" customHeight="1" x14ac:dyDescent="0.2">
      <c r="A1283" s="8">
        <v>45180</v>
      </c>
      <c r="B1283" s="7">
        <v>0.70416666666666672</v>
      </c>
      <c r="C1283" s="9" t="s">
        <v>383</v>
      </c>
      <c r="D1283" s="1" t="s">
        <v>368</v>
      </c>
      <c r="E1283" s="1" t="s">
        <v>363</v>
      </c>
      <c r="F1283" s="1" t="s">
        <v>580</v>
      </c>
      <c r="G1283" s="1" t="s">
        <v>365</v>
      </c>
      <c r="H1283" s="2">
        <v>-340</v>
      </c>
      <c r="I1283" s="16">
        <v>77.177099999999996</v>
      </c>
      <c r="J1283" s="1" t="s">
        <v>381</v>
      </c>
      <c r="K1283" s="6">
        <f>Registro_Ordini[[#This Row],[Numero]]*Registro_Ordini[[#This Row],[Prezzo]]</f>
        <v>-26240.214</v>
      </c>
      <c r="L1283" s="10">
        <v>1</v>
      </c>
      <c r="M1283" s="6">
        <f>Registro_Ordini[[#This Row],[Importo]]*Registro_Ordini[[#This Row],[Cambio]]</f>
        <v>-26240.214</v>
      </c>
      <c r="N1283" s="1">
        <f ca="1">IFERROR(_xlfn.NUMBERVALUE(OFFSET(Origine,MATCH(Registro_Ordini[[#This Row],[Titolo]],Descrizioni,0),MATCH("Price",Intestazioni,0)-1,1,1)),"")</f>
        <v>74.447999999999993</v>
      </c>
      <c r="O1283" s="18">
        <f ca="1">IF(OR(Registro_Ordini[[#This Row],[Price]]=0,Registro_Ordini[[#This Row],[Price]]=""),"",IF(Registro_Ordini[[#This Row],[Tipo]]="Sell",Registro_Ordini[[#This Row],[Prezzo]]/Registro_Ordini[[#This Row],[Price]]-1,Registro_Ordini[[#This Row],[Price]]/Registro_Ordini[[#This Row],[Prezzo]]-1))</f>
        <v>3.6657801418439773E-2</v>
      </c>
      <c r="P1283" s="15">
        <v>-4.7615660795715366E-2</v>
      </c>
      <c r="Q1283" s="3">
        <v>0.19075561311607819</v>
      </c>
      <c r="R1283" s="3">
        <v>0.34288340375726384</v>
      </c>
      <c r="S1283" s="3">
        <v>0.32671150811732308</v>
      </c>
      <c r="T1283" s="3">
        <v>0</v>
      </c>
      <c r="U1283" s="3">
        <v>0.13964947500933483</v>
      </c>
      <c r="V1283" s="3"/>
      <c r="W1283" s="4"/>
      <c r="X1283" s="13"/>
      <c r="Z1283"/>
      <c r="AA1283"/>
    </row>
    <row r="1284" spans="1:27" s="1" customFormat="1" ht="24.95" customHeight="1" x14ac:dyDescent="0.2">
      <c r="A1284" s="8">
        <v>45180</v>
      </c>
      <c r="B1284" s="7">
        <v>0.70416666666666672</v>
      </c>
      <c r="C1284" s="9" t="s">
        <v>382</v>
      </c>
      <c r="D1284" s="1" t="s">
        <v>368</v>
      </c>
      <c r="E1284" s="1" t="s">
        <v>363</v>
      </c>
      <c r="F1284" s="1" t="s">
        <v>580</v>
      </c>
      <c r="G1284" s="1" t="s">
        <v>365</v>
      </c>
      <c r="H1284" s="2">
        <v>-680</v>
      </c>
      <c r="I1284" s="16">
        <v>77.177099999999996</v>
      </c>
      <c r="J1284" s="1" t="s">
        <v>381</v>
      </c>
      <c r="K1284" s="6">
        <f>Registro_Ordini[[#This Row],[Numero]]*Registro_Ordini[[#This Row],[Prezzo]]</f>
        <v>-52480.428</v>
      </c>
      <c r="L1284" s="10">
        <v>1</v>
      </c>
      <c r="M1284" s="6">
        <f>Registro_Ordini[[#This Row],[Importo]]*Registro_Ordini[[#This Row],[Cambio]]</f>
        <v>-52480.428</v>
      </c>
      <c r="N1284" s="1">
        <f ca="1">IFERROR(_xlfn.NUMBERVALUE(OFFSET(Origine,MATCH(Registro_Ordini[[#This Row],[Titolo]],Descrizioni,0),MATCH("Price",Intestazioni,0)-1,1,1)),"")</f>
        <v>74.447999999999993</v>
      </c>
      <c r="O1284" s="18">
        <f ca="1">IF(OR(Registro_Ordini[[#This Row],[Price]]=0,Registro_Ordini[[#This Row],[Price]]=""),"",IF(Registro_Ordini[[#This Row],[Tipo]]="Sell",Registro_Ordini[[#This Row],[Prezzo]]/Registro_Ordini[[#This Row],[Price]]-1,Registro_Ordini[[#This Row],[Price]]/Registro_Ordini[[#This Row],[Prezzo]]-1))</f>
        <v>3.6657801418439773E-2</v>
      </c>
      <c r="P1284" s="15">
        <v>-5.5856831702380351E-2</v>
      </c>
      <c r="Q1284" s="3">
        <v>0.14611267208255735</v>
      </c>
      <c r="R1284" s="3">
        <v>0.34066944204532873</v>
      </c>
      <c r="S1284" s="3">
        <v>0.37199467409609971</v>
      </c>
      <c r="T1284" s="3">
        <v>0</v>
      </c>
      <c r="U1284" s="3">
        <v>0.14122321177601424</v>
      </c>
      <c r="V1284" s="3"/>
      <c r="W1284" s="4"/>
      <c r="X1284" s="13"/>
      <c r="Z1284"/>
      <c r="AA1284"/>
    </row>
    <row r="1285" spans="1:27" s="1" customFormat="1" ht="24.95" customHeight="1" x14ac:dyDescent="0.2">
      <c r="A1285" s="8">
        <v>45180</v>
      </c>
      <c r="B1285" s="7">
        <v>0.63194444444444442</v>
      </c>
      <c r="C1285" s="9" t="s">
        <v>382</v>
      </c>
      <c r="D1285" s="1" t="s">
        <v>368</v>
      </c>
      <c r="E1285" s="1" t="s">
        <v>363</v>
      </c>
      <c r="F1285" s="1" t="s">
        <v>574</v>
      </c>
      <c r="G1285" s="1" t="s">
        <v>365</v>
      </c>
      <c r="H1285" s="2">
        <v>-4915</v>
      </c>
      <c r="I1285" s="16">
        <v>5.3442999999999996</v>
      </c>
      <c r="J1285" s="1" t="s">
        <v>366</v>
      </c>
      <c r="K1285" s="6">
        <f>Registro_Ordini[[#This Row],[Numero]]*Registro_Ordini[[#This Row],[Prezzo]]</f>
        <v>-26267.234499999999</v>
      </c>
      <c r="L1285" s="10">
        <v>0.93213559286584502</v>
      </c>
      <c r="M1285" s="6">
        <f>Registro_Ordini[[#This Row],[Importo]]*Registro_Ordini[[#This Row],[Cambio]]</f>
        <v>-24484.624203603678</v>
      </c>
      <c r="N1285" s="1">
        <f ca="1">IFERROR(_xlfn.NUMBERVALUE(OFFSET(Origine,MATCH(Registro_Ordini[[#This Row],[Titolo]],Descrizioni,0),MATCH("Price",Intestazioni,0)-1,1,1)),"")</f>
        <v>6.2729999999999997</v>
      </c>
      <c r="O1285" s="18">
        <f ca="1">IF(OR(Registro_Ordini[[#This Row],[Price]]=0,Registro_Ordini[[#This Row],[Price]]=""),"",IF(Registro_Ordini[[#This Row],[Tipo]]="Sell",Registro_Ordini[[#This Row],[Prezzo]]/Registro_Ordini[[#This Row],[Price]]-1,Registro_Ordini[[#This Row],[Price]]/Registro_Ordini[[#This Row],[Prezzo]]-1))</f>
        <v>-0.14804718635421654</v>
      </c>
      <c r="P1285" s="15">
        <v>-2.6027131156976458E-2</v>
      </c>
      <c r="Q1285" s="3">
        <v>0.12003464503143123</v>
      </c>
      <c r="R1285" s="3">
        <v>0.36653421022459437</v>
      </c>
      <c r="S1285" s="3">
        <v>0.37201523066208564</v>
      </c>
      <c r="T1285" s="3">
        <v>0</v>
      </c>
      <c r="U1285" s="3">
        <v>0.14141591408188869</v>
      </c>
      <c r="V1285" s="3"/>
      <c r="W1285" s="4"/>
      <c r="X1285" s="13"/>
      <c r="Z1285"/>
      <c r="AA1285"/>
    </row>
    <row r="1286" spans="1:27" s="1" customFormat="1" ht="24.95" customHeight="1" x14ac:dyDescent="0.2">
      <c r="A1286" s="8">
        <v>45180</v>
      </c>
      <c r="B1286" s="7">
        <v>0.63194444444444442</v>
      </c>
      <c r="C1286" s="9" t="s">
        <v>106</v>
      </c>
      <c r="D1286" s="1" t="s">
        <v>368</v>
      </c>
      <c r="E1286" s="1" t="s">
        <v>363</v>
      </c>
      <c r="F1286" s="1" t="s">
        <v>574</v>
      </c>
      <c r="G1286" s="1" t="s">
        <v>365</v>
      </c>
      <c r="H1286" s="2">
        <v>-1000</v>
      </c>
      <c r="I1286" s="16">
        <v>5.3442999999999996</v>
      </c>
      <c r="J1286" s="1" t="s">
        <v>366</v>
      </c>
      <c r="K1286" s="6">
        <f>Registro_Ordini[[#This Row],[Numero]]*Registro_Ordini[[#This Row],[Prezzo]]</f>
        <v>-5344.2999999999993</v>
      </c>
      <c r="L1286" s="10">
        <v>0.93213559286584502</v>
      </c>
      <c r="M1286" s="6">
        <f>Registro_Ordini[[#This Row],[Importo]]*Registro_Ordini[[#This Row],[Cambio]]</f>
        <v>-4981.6122489529353</v>
      </c>
      <c r="N1286" s="1">
        <f ca="1">IFERROR(_xlfn.NUMBERVALUE(OFFSET(Origine,MATCH(Registro_Ordini[[#This Row],[Titolo]],Descrizioni,0),MATCH("Price",Intestazioni,0)-1,1,1)),"")</f>
        <v>6.2729999999999997</v>
      </c>
      <c r="O1286" s="18">
        <f ca="1">IF(OR(Registro_Ordini[[#This Row],[Price]]=0,Registro_Ordini[[#This Row],[Price]]=""),"",IF(Registro_Ordini[[#This Row],[Tipo]]="Sell",Registro_Ordini[[#This Row],[Prezzo]]/Registro_Ordini[[#This Row],[Price]]-1,Registro_Ordini[[#This Row],[Price]]/Registro_Ordini[[#This Row],[Prezzo]]-1))</f>
        <v>-0.14804718635421654</v>
      </c>
      <c r="P1286" s="15">
        <v>-4.3488663568087664E-2</v>
      </c>
      <c r="Q1286" s="3">
        <v>0.30216474521776809</v>
      </c>
      <c r="R1286" s="3">
        <v>0.35633314443020919</v>
      </c>
      <c r="S1286" s="3">
        <v>0.18282928448285651</v>
      </c>
      <c r="T1286" s="3">
        <v>0</v>
      </c>
      <c r="U1286" s="3">
        <v>0.15867282586916631</v>
      </c>
      <c r="V1286" s="3"/>
      <c r="W1286" s="4"/>
      <c r="X1286" s="13"/>
      <c r="Z1286"/>
      <c r="AA1286"/>
    </row>
    <row r="1287" spans="1:27" s="1" customFormat="1" ht="24.95" customHeight="1" x14ac:dyDescent="0.2">
      <c r="A1287" s="8">
        <v>45180</v>
      </c>
      <c r="B1287" s="7">
        <v>0.63194444444444442</v>
      </c>
      <c r="C1287" s="9" t="s">
        <v>379</v>
      </c>
      <c r="D1287" s="1" t="s">
        <v>368</v>
      </c>
      <c r="E1287" s="1" t="s">
        <v>363</v>
      </c>
      <c r="F1287" s="1" t="s">
        <v>574</v>
      </c>
      <c r="G1287" s="1" t="s">
        <v>365</v>
      </c>
      <c r="H1287" s="2">
        <v>-2600</v>
      </c>
      <c r="I1287" s="16">
        <v>5.3442999999999996</v>
      </c>
      <c r="J1287" s="1" t="s">
        <v>366</v>
      </c>
      <c r="K1287" s="6">
        <f>Registro_Ordini[[#This Row],[Numero]]*Registro_Ordini[[#This Row],[Prezzo]]</f>
        <v>-13895.179999999998</v>
      </c>
      <c r="L1287" s="10">
        <v>0.93213559286584502</v>
      </c>
      <c r="M1287" s="6">
        <f>Registro_Ordini[[#This Row],[Importo]]*Registro_Ordini[[#This Row],[Cambio]]</f>
        <v>-12952.191847277631</v>
      </c>
      <c r="N1287" s="1">
        <f ca="1">IFERROR(_xlfn.NUMBERVALUE(OFFSET(Origine,MATCH(Registro_Ordini[[#This Row],[Titolo]],Descrizioni,0),MATCH("Price",Intestazioni,0)-1,1,1)),"")</f>
        <v>6.2729999999999997</v>
      </c>
      <c r="O1287" s="18">
        <f ca="1">IF(OR(Registro_Ordini[[#This Row],[Price]]=0,Registro_Ordini[[#This Row],[Price]]=""),"",IF(Registro_Ordini[[#This Row],[Tipo]]="Sell",Registro_Ordini[[#This Row],[Prezzo]]/Registro_Ordini[[#This Row],[Price]]-1,Registro_Ordini[[#This Row],[Price]]/Registro_Ordini[[#This Row],[Prezzo]]-1))</f>
        <v>-0.14804718635421654</v>
      </c>
      <c r="P1287" s="15">
        <v>-2.5385080004431324E-2</v>
      </c>
      <c r="Q1287" s="3">
        <v>0.12698059272839449</v>
      </c>
      <c r="R1287" s="3">
        <v>0.38131003241111139</v>
      </c>
      <c r="S1287" s="3">
        <v>0.35202494487436814</v>
      </c>
      <c r="T1287" s="3">
        <v>0</v>
      </c>
      <c r="U1287" s="3">
        <v>0.13968442998612604</v>
      </c>
      <c r="V1287" s="3"/>
      <c r="W1287" s="4"/>
      <c r="X1287" s="13"/>
      <c r="Z1287"/>
      <c r="AA1287"/>
    </row>
    <row r="1288" spans="1:27" s="1" customFormat="1" ht="24.95" customHeight="1" x14ac:dyDescent="0.2">
      <c r="A1288" s="8">
        <v>45180</v>
      </c>
      <c r="B1288" s="7">
        <v>0.63124999999999998</v>
      </c>
      <c r="C1288" s="9" t="s">
        <v>383</v>
      </c>
      <c r="D1288" s="1" t="s">
        <v>368</v>
      </c>
      <c r="E1288" s="1" t="s">
        <v>363</v>
      </c>
      <c r="F1288" s="1" t="s">
        <v>574</v>
      </c>
      <c r="G1288" s="1" t="s">
        <v>365</v>
      </c>
      <c r="H1288" s="2">
        <v>-2800</v>
      </c>
      <c r="I1288" s="16">
        <v>5.3442999999999996</v>
      </c>
      <c r="J1288" s="1" t="s">
        <v>366</v>
      </c>
      <c r="K1288" s="6">
        <f>Registro_Ordini[[#This Row],[Numero]]*Registro_Ordini[[#This Row],[Prezzo]]</f>
        <v>-14964.039999999999</v>
      </c>
      <c r="L1288" s="10">
        <v>0.93213559286584502</v>
      </c>
      <c r="M1288" s="6">
        <f>Registro_Ordini[[#This Row],[Importo]]*Registro_Ordini[[#This Row],[Cambio]]</f>
        <v>-13948.514297068219</v>
      </c>
      <c r="N1288" s="1">
        <f ca="1">IFERROR(_xlfn.NUMBERVALUE(OFFSET(Origine,MATCH(Registro_Ordini[[#This Row],[Titolo]],Descrizioni,0),MATCH("Price",Intestazioni,0)-1,1,1)),"")</f>
        <v>6.2729999999999997</v>
      </c>
      <c r="O1288" s="18">
        <f ca="1">IF(OR(Registro_Ordini[[#This Row],[Price]]=0,Registro_Ordini[[#This Row],[Price]]=""),"",IF(Registro_Ordini[[#This Row],[Tipo]]="Sell",Registro_Ordini[[#This Row],[Prezzo]]/Registro_Ordini[[#This Row],[Price]]-1,Registro_Ordini[[#This Row],[Price]]/Registro_Ordini[[#This Row],[Prezzo]]-1))</f>
        <v>-0.14804718635421654</v>
      </c>
      <c r="P1288" s="15">
        <v>-2.5281312075160097E-2</v>
      </c>
      <c r="Q1288" s="3">
        <v>0.16539106925346556</v>
      </c>
      <c r="R1288" s="3">
        <v>0.3679926963764707</v>
      </c>
      <c r="S1288" s="3">
        <v>0.32681230462524397</v>
      </c>
      <c r="T1288" s="3">
        <v>0</v>
      </c>
      <c r="U1288" s="3">
        <v>0.13980392974481973</v>
      </c>
      <c r="V1288" s="3"/>
      <c r="W1288" s="4"/>
      <c r="X1288" s="13"/>
      <c r="Z1288"/>
      <c r="AA1288"/>
    </row>
    <row r="1289" spans="1:27" s="1" customFormat="1" ht="24.95" customHeight="1" x14ac:dyDescent="0.2">
      <c r="A1289" s="8">
        <v>45180</v>
      </c>
      <c r="B1289" s="7">
        <v>0.60347222222222219</v>
      </c>
      <c r="C1289" s="9" t="s">
        <v>375</v>
      </c>
      <c r="D1289" s="1" t="s">
        <v>368</v>
      </c>
      <c r="E1289" s="1" t="s">
        <v>568</v>
      </c>
      <c r="F1289" s="1" t="s">
        <v>574</v>
      </c>
      <c r="G1289" s="1" t="s">
        <v>365</v>
      </c>
      <c r="H1289" s="2">
        <v>-3600</v>
      </c>
      <c r="I1289" s="16">
        <v>5.3442999999999996</v>
      </c>
      <c r="J1289" s="1" t="s">
        <v>366</v>
      </c>
      <c r="K1289" s="6">
        <f>Registro_Ordini[[#This Row],[Numero]]*Registro_Ordini[[#This Row],[Prezzo]]</f>
        <v>-19239.48</v>
      </c>
      <c r="L1289" s="10">
        <v>0.89136000000000004</v>
      </c>
      <c r="M1289" s="6">
        <f>Registro_Ordini[[#This Row],[Importo]]*Registro_Ordini[[#This Row],[Cambio]]</f>
        <v>-17149.302892800002</v>
      </c>
      <c r="N1289" s="1">
        <f ca="1">IFERROR(_xlfn.NUMBERVALUE(OFFSET(Origine,MATCH(Registro_Ordini[[#This Row],[Titolo]],Descrizioni,0),MATCH("Price",Intestazioni,0)-1,1,1)),"")</f>
        <v>6.2729999999999997</v>
      </c>
      <c r="O1289" s="18">
        <f ca="1">IF(OR(Registro_Ordini[[#This Row],[Price]]=0,Registro_Ordini[[#This Row],[Price]]=""),"",IF(Registro_Ordini[[#This Row],[Tipo]]="Sell",Registro_Ordini[[#This Row],[Prezzo]]/Registro_Ordini[[#This Row],[Price]]-1,Registro_Ordini[[#This Row],[Price]]/Registro_Ordini[[#This Row],[Prezzo]]-1))</f>
        <v>-0.14804718635421654</v>
      </c>
      <c r="P1289" s="15">
        <v>-2.3420861754086548E-2</v>
      </c>
      <c r="Q1289" s="3">
        <v>0.14294393668523189</v>
      </c>
      <c r="R1289" s="3">
        <v>0.41358169879380619</v>
      </c>
      <c r="S1289" s="3">
        <v>0.31238359929113046</v>
      </c>
      <c r="T1289" s="3">
        <v>0</v>
      </c>
      <c r="U1289" s="3">
        <v>0.13109076522983137</v>
      </c>
      <c r="V1289" s="3"/>
      <c r="W1289" s="4"/>
      <c r="X1289" s="13"/>
      <c r="Z1289"/>
      <c r="AA1289"/>
    </row>
    <row r="1290" spans="1:27" s="1" customFormat="1" ht="24.95" customHeight="1" x14ac:dyDescent="0.2">
      <c r="A1290" s="8">
        <v>45180</v>
      </c>
      <c r="B1290" s="7">
        <v>0.60347222222222219</v>
      </c>
      <c r="C1290" s="9" t="s">
        <v>378</v>
      </c>
      <c r="D1290" s="1" t="s">
        <v>368</v>
      </c>
      <c r="E1290" s="1" t="s">
        <v>568</v>
      </c>
      <c r="F1290" s="1" t="s">
        <v>574</v>
      </c>
      <c r="G1290" s="1" t="s">
        <v>365</v>
      </c>
      <c r="H1290" s="2">
        <v>-2000</v>
      </c>
      <c r="I1290" s="16">
        <v>5.3442999999999996</v>
      </c>
      <c r="J1290" s="1" t="s">
        <v>366</v>
      </c>
      <c r="K1290" s="6">
        <f>Registro_Ordini[[#This Row],[Numero]]*Registro_Ordini[[#This Row],[Prezzo]]</f>
        <v>-10688.599999999999</v>
      </c>
      <c r="L1290" s="10">
        <v>0.89136000000000004</v>
      </c>
      <c r="M1290" s="6">
        <f>Registro_Ordini[[#This Row],[Importo]]*Registro_Ordini[[#This Row],[Cambio]]</f>
        <v>-9527.390496</v>
      </c>
      <c r="N1290" s="1">
        <f ca="1">IFERROR(_xlfn.NUMBERVALUE(OFFSET(Origine,MATCH(Registro_Ordini[[#This Row],[Titolo]],Descrizioni,0),MATCH("Price",Intestazioni,0)-1,1,1)),"")</f>
        <v>6.2729999999999997</v>
      </c>
      <c r="O1290" s="18">
        <f ca="1">IF(OR(Registro_Ordini[[#This Row],[Price]]=0,Registro_Ordini[[#This Row],[Price]]=""),"",IF(Registro_Ordini[[#This Row],[Tipo]]="Sell",Registro_Ordini[[#This Row],[Prezzo]]/Registro_Ordini[[#This Row],[Price]]-1,Registro_Ordini[[#This Row],[Price]]/Registro_Ordini[[#This Row],[Prezzo]]-1))</f>
        <v>-0.14804718635421654</v>
      </c>
      <c r="P1290" s="15">
        <v>-2.0150192529954869E-2</v>
      </c>
      <c r="Q1290" s="3">
        <v>0.20847947026121752</v>
      </c>
      <c r="R1290" s="3">
        <v>0.35338290111997644</v>
      </c>
      <c r="S1290" s="3">
        <v>0.30281260490665507</v>
      </c>
      <c r="T1290" s="3">
        <v>1.5671964606641598E-2</v>
      </c>
      <c r="U1290" s="3">
        <v>0.11965305910550927</v>
      </c>
      <c r="V1290" s="3"/>
      <c r="W1290" s="4"/>
      <c r="X1290" s="13"/>
      <c r="Z1290"/>
      <c r="AA1290"/>
    </row>
    <row r="1291" spans="1:27" s="1" customFormat="1" ht="24.95" customHeight="1" x14ac:dyDescent="0.2">
      <c r="A1291" s="8">
        <v>45180</v>
      </c>
      <c r="B1291" s="7">
        <v>0.60347222222222219</v>
      </c>
      <c r="C1291" s="9" t="s">
        <v>377</v>
      </c>
      <c r="D1291" s="1" t="s">
        <v>368</v>
      </c>
      <c r="E1291" s="1" t="s">
        <v>568</v>
      </c>
      <c r="F1291" s="1" t="s">
        <v>574</v>
      </c>
      <c r="G1291" s="1" t="s">
        <v>365</v>
      </c>
      <c r="H1291" s="2">
        <v>-7150</v>
      </c>
      <c r="I1291" s="16">
        <v>5.3442999999999996</v>
      </c>
      <c r="J1291" s="1" t="s">
        <v>366</v>
      </c>
      <c r="K1291" s="6">
        <f>Registro_Ordini[[#This Row],[Numero]]*Registro_Ordini[[#This Row],[Prezzo]]</f>
        <v>-38211.744999999995</v>
      </c>
      <c r="L1291" s="10">
        <v>0.89136000000000004</v>
      </c>
      <c r="M1291" s="6">
        <f>Registro_Ordini[[#This Row],[Importo]]*Registro_Ordini[[#This Row],[Cambio]]</f>
        <v>-34060.421023199997</v>
      </c>
      <c r="N1291" s="1">
        <f ca="1">IFERROR(_xlfn.NUMBERVALUE(OFFSET(Origine,MATCH(Registro_Ordini[[#This Row],[Titolo]],Descrizioni,0),MATCH("Price",Intestazioni,0)-1,1,1)),"")</f>
        <v>6.2729999999999997</v>
      </c>
      <c r="O1291" s="18">
        <f ca="1">IF(OR(Registro_Ordini[[#This Row],[Price]]=0,Registro_Ordini[[#This Row],[Price]]=""),"",IF(Registro_Ordini[[#This Row],[Tipo]]="Sell",Registro_Ordini[[#This Row],[Prezzo]]/Registro_Ordini[[#This Row],[Price]]-1,Registro_Ordini[[#This Row],[Price]]/Registro_Ordini[[#This Row],[Prezzo]]-1))</f>
        <v>-0.14804718635421654</v>
      </c>
      <c r="P1291" s="15">
        <v>-2.3630508782595351E-2</v>
      </c>
      <c r="Q1291" s="3">
        <v>0.12591586133810112</v>
      </c>
      <c r="R1291" s="3">
        <v>0.37281484193829256</v>
      </c>
      <c r="S1291" s="3">
        <v>0.35071368411312498</v>
      </c>
      <c r="T1291" s="3">
        <v>1.8940250014098162E-2</v>
      </c>
      <c r="U1291" s="3">
        <v>0.13161536259638321</v>
      </c>
      <c r="V1291" s="3"/>
      <c r="W1291" s="4"/>
      <c r="X1291" s="13"/>
      <c r="Z1291"/>
      <c r="AA1291"/>
    </row>
    <row r="1292" spans="1:27" s="1" customFormat="1" ht="24.95" customHeight="1" x14ac:dyDescent="0.2">
      <c r="A1292" s="8">
        <v>45180</v>
      </c>
      <c r="B1292" s="7">
        <v>0.60347222222222219</v>
      </c>
      <c r="C1292" s="9" t="s">
        <v>376</v>
      </c>
      <c r="D1292" s="1" t="s">
        <v>368</v>
      </c>
      <c r="E1292" s="1" t="s">
        <v>568</v>
      </c>
      <c r="F1292" s="1" t="s">
        <v>574</v>
      </c>
      <c r="G1292" s="1" t="s">
        <v>365</v>
      </c>
      <c r="H1292" s="2">
        <v>-1400</v>
      </c>
      <c r="I1292" s="16">
        <v>5.3442999999999996</v>
      </c>
      <c r="J1292" s="1" t="s">
        <v>366</v>
      </c>
      <c r="K1292" s="6">
        <f>Registro_Ordini[[#This Row],[Numero]]*Registro_Ordini[[#This Row],[Prezzo]]</f>
        <v>-7482.0199999999995</v>
      </c>
      <c r="L1292" s="10">
        <v>0.89136000000000004</v>
      </c>
      <c r="M1292" s="6">
        <f>Registro_Ordini[[#This Row],[Importo]]*Registro_Ordini[[#This Row],[Cambio]]</f>
        <v>-6669.1733471999996</v>
      </c>
      <c r="N1292" s="1">
        <f ca="1">IFERROR(_xlfn.NUMBERVALUE(OFFSET(Origine,MATCH(Registro_Ordini[[#This Row],[Titolo]],Descrizioni,0),MATCH("Price",Intestazioni,0)-1,1,1)),"")</f>
        <v>6.2729999999999997</v>
      </c>
      <c r="O1292" s="18">
        <f ca="1">IF(OR(Registro_Ordini[[#This Row],[Price]]=0,Registro_Ordini[[#This Row],[Price]]=""),"",IF(Registro_Ordini[[#This Row],[Tipo]]="Sell",Registro_Ordini[[#This Row],[Prezzo]]/Registro_Ordini[[#This Row],[Price]]-1,Registro_Ordini[[#This Row],[Price]]/Registro_Ordini[[#This Row],[Prezzo]]-1))</f>
        <v>-0.14804718635421654</v>
      </c>
      <c r="P1292" s="15">
        <v>-2.5779857982111472E-2</v>
      </c>
      <c r="Q1292" s="3">
        <v>6.7522347762962648E-2</v>
      </c>
      <c r="R1292" s="3">
        <v>0.40623874769971341</v>
      </c>
      <c r="S1292" s="3">
        <v>0.37524802951009356</v>
      </c>
      <c r="T1292" s="3">
        <v>0</v>
      </c>
      <c r="U1292" s="3">
        <v>0.15099087502723041</v>
      </c>
      <c r="V1292" s="3"/>
      <c r="W1292" s="4"/>
      <c r="X1292" s="13"/>
      <c r="Z1292"/>
      <c r="AA1292"/>
    </row>
    <row r="1293" spans="1:27" s="1" customFormat="1" ht="24.95" customHeight="1" x14ac:dyDescent="0.2">
      <c r="A1293" s="8">
        <v>45180</v>
      </c>
      <c r="B1293" s="7">
        <v>0.60347222222222219</v>
      </c>
      <c r="C1293" s="9" t="s">
        <v>367</v>
      </c>
      <c r="D1293" s="1" t="s">
        <v>368</v>
      </c>
      <c r="E1293" s="1" t="s">
        <v>568</v>
      </c>
      <c r="F1293" s="1" t="s">
        <v>574</v>
      </c>
      <c r="G1293" s="1" t="s">
        <v>365</v>
      </c>
      <c r="H1293" s="2">
        <v>-6000</v>
      </c>
      <c r="I1293" s="16">
        <v>5.3442999999999996</v>
      </c>
      <c r="J1293" s="1" t="s">
        <v>366</v>
      </c>
      <c r="K1293" s="6">
        <f>Registro_Ordini[[#This Row],[Numero]]*Registro_Ordini[[#This Row],[Prezzo]]</f>
        <v>-32065.8</v>
      </c>
      <c r="L1293" s="10">
        <v>0.89136000000000004</v>
      </c>
      <c r="M1293" s="6">
        <f>Registro_Ordini[[#This Row],[Importo]]*Registro_Ordini[[#This Row],[Cambio]]</f>
        <v>-28582.171488</v>
      </c>
      <c r="N1293" s="1">
        <f ca="1">IFERROR(_xlfn.NUMBERVALUE(OFFSET(Origine,MATCH(Registro_Ordini[[#This Row],[Titolo]],Descrizioni,0),MATCH("Price",Intestazioni,0)-1,1,1)),"")</f>
        <v>6.2729999999999997</v>
      </c>
      <c r="O1293" s="18">
        <f ca="1">IF(OR(Registro_Ordini[[#This Row],[Price]]=0,Registro_Ordini[[#This Row],[Price]]=""),"",IF(Registro_Ordini[[#This Row],[Tipo]]="Sell",Registro_Ordini[[#This Row],[Prezzo]]/Registro_Ordini[[#This Row],[Price]]-1,Registro_Ordini[[#This Row],[Price]]/Registro_Ordini[[#This Row],[Prezzo]]-1))</f>
        <v>-0.14804718635421654</v>
      </c>
      <c r="P1293" s="15">
        <v>-2.2866085207944725E-2</v>
      </c>
      <c r="Q1293" s="3">
        <v>0.21700162130096626</v>
      </c>
      <c r="R1293" s="3">
        <v>0.3725460292713616</v>
      </c>
      <c r="S1293" s="3">
        <v>0.32765832372446968</v>
      </c>
      <c r="T1293" s="3">
        <v>2.184033240577872E-2</v>
      </c>
      <c r="U1293" s="3">
        <v>6.0953693297423818E-2</v>
      </c>
      <c r="V1293" s="3"/>
      <c r="W1293" s="4"/>
      <c r="X1293" s="13"/>
      <c r="Z1293"/>
      <c r="AA1293"/>
    </row>
    <row r="1294" spans="1:27" s="1" customFormat="1" ht="24.95" customHeight="1" x14ac:dyDescent="0.2">
      <c r="A1294" s="8">
        <v>45180</v>
      </c>
      <c r="B1294" s="7">
        <v>0.60138888888888886</v>
      </c>
      <c r="C1294" s="9" t="s">
        <v>367</v>
      </c>
      <c r="D1294" s="1" t="s">
        <v>368</v>
      </c>
      <c r="E1294" s="1" t="s">
        <v>568</v>
      </c>
      <c r="F1294" s="1" t="s">
        <v>581</v>
      </c>
      <c r="G1294" s="1" t="s">
        <v>365</v>
      </c>
      <c r="H1294" s="2">
        <v>-15000</v>
      </c>
      <c r="I1294" s="16">
        <v>6.35</v>
      </c>
      <c r="J1294" s="1" t="s">
        <v>369</v>
      </c>
      <c r="K1294" s="6">
        <f>Registro_Ordini[[#This Row],[Numero]]*Registro_Ordini[[#This Row],[Prezzo]]</f>
        <v>-95250</v>
      </c>
      <c r="L1294" s="10">
        <v>1</v>
      </c>
      <c r="M1294" s="6">
        <f>Registro_Ordini[[#This Row],[Importo]]*Registro_Ordini[[#This Row],[Cambio]]</f>
        <v>-95250</v>
      </c>
      <c r="N1294" s="1">
        <f ca="1">IFERROR(_xlfn.NUMBERVALUE(OFFSET(Origine,MATCH(Registro_Ordini[[#This Row],[Titolo]],Descrizioni,0),MATCH("Price",Intestazioni,0)-1,1,1)),"")</f>
        <v>7.08</v>
      </c>
      <c r="O1294" s="18">
        <f ca="1">IF(OR(Registro_Ordini[[#This Row],[Price]]=0,Registro_Ordini[[#This Row],[Price]]=""),"",IF(Registro_Ordini[[#This Row],[Tipo]]="Sell",Registro_Ordini[[#This Row],[Prezzo]]/Registro_Ordini[[#This Row],[Price]]-1,Registro_Ordini[[#This Row],[Price]]/Registro_Ordini[[#This Row],[Prezzo]]-1))</f>
        <v>-0.10310734463276838</v>
      </c>
      <c r="P1294" s="15">
        <v>-7.6201159767414761E-2</v>
      </c>
      <c r="Q1294" s="3">
        <v>0.1408004615335515</v>
      </c>
      <c r="R1294" s="3">
        <v>0.44874718903877636</v>
      </c>
      <c r="S1294" s="3">
        <v>0.32765832372446968</v>
      </c>
      <c r="T1294" s="3">
        <v>2.184033240577872E-2</v>
      </c>
      <c r="U1294" s="3">
        <v>6.0953693297423818E-2</v>
      </c>
      <c r="V1294" s="3"/>
      <c r="W1294" s="4"/>
      <c r="X1294" s="13"/>
      <c r="Z1294"/>
      <c r="AA1294"/>
    </row>
    <row r="1295" spans="1:27" s="1" customFormat="1" ht="24.95" customHeight="1" x14ac:dyDescent="0.2">
      <c r="A1295" s="8">
        <v>45177</v>
      </c>
      <c r="B1295" s="7">
        <v>0.7055555555555556</v>
      </c>
      <c r="C1295" s="9" t="s">
        <v>413</v>
      </c>
      <c r="D1295" s="1" t="s">
        <v>388</v>
      </c>
      <c r="E1295" s="1" t="s">
        <v>389</v>
      </c>
      <c r="F1295" s="19" t="s">
        <v>462</v>
      </c>
      <c r="G1295" s="1" t="s">
        <v>371</v>
      </c>
      <c r="H1295" s="2">
        <v>2750</v>
      </c>
      <c r="I1295" s="17">
        <v>29.02</v>
      </c>
      <c r="J1295" s="1" t="s">
        <v>366</v>
      </c>
      <c r="K1295" s="6">
        <f>Registro_Ordini[[#This Row],[Numero]]*Registro_Ordini[[#This Row],[Prezzo]]</f>
        <v>79805</v>
      </c>
      <c r="L1295" s="10">
        <v>0.89112499999999994</v>
      </c>
      <c r="M1295" s="6">
        <f>Registro_Ordini[[#This Row],[Importo]]*Registro_Ordini[[#This Row],[Cambio]]</f>
        <v>71116.230624999997</v>
      </c>
      <c r="N1295" s="1">
        <f ca="1">IFERROR(_xlfn.NUMBERVALUE(OFFSET(Origine,MATCH(Registro_Ordini[[#This Row],[Titolo]],Descrizioni,0),MATCH("Price",Intestazioni,0)-1,1,1)),"")</f>
        <v>53.88</v>
      </c>
      <c r="O1295" s="18">
        <f ca="1">IF(OR(Registro_Ordini[[#This Row],[Price]]=0,Registro_Ordini[[#This Row],[Price]]=""),"",IF(Registro_Ordini[[#This Row],[Tipo]]="Sell",Registro_Ordini[[#This Row],[Prezzo]]/Registro_Ordini[[#This Row],[Price]]-1,Registro_Ordini[[#This Row],[Price]]/Registro_Ordini[[#This Row],[Prezzo]]-1))</f>
        <v>0.85665058580289477</v>
      </c>
      <c r="P1295" s="15">
        <v>1.7496446714627193E-2</v>
      </c>
      <c r="Q1295" s="3">
        <v>0.12567541655333817</v>
      </c>
      <c r="R1295" s="3">
        <v>0.23273519516787705</v>
      </c>
      <c r="S1295" s="3">
        <v>0.2900927180961797</v>
      </c>
      <c r="T1295" s="3">
        <v>0</v>
      </c>
      <c r="U1295" s="3">
        <v>0.351496670182605</v>
      </c>
      <c r="V1295" s="3">
        <v>0</v>
      </c>
      <c r="W1295" s="5"/>
      <c r="X1295" s="13"/>
      <c r="Z1295"/>
      <c r="AA1295"/>
    </row>
    <row r="1296" spans="1:27" s="1" customFormat="1" ht="24.95" customHeight="1" x14ac:dyDescent="0.2">
      <c r="A1296" s="8">
        <v>45177</v>
      </c>
      <c r="B1296" s="7">
        <v>0.7055555555555556</v>
      </c>
      <c r="C1296" s="9" t="s">
        <v>413</v>
      </c>
      <c r="D1296" s="1" t="s">
        <v>388</v>
      </c>
      <c r="E1296" s="1" t="s">
        <v>389</v>
      </c>
      <c r="F1296" s="19" t="s">
        <v>511</v>
      </c>
      <c r="G1296" s="1" t="s">
        <v>371</v>
      </c>
      <c r="H1296" s="2">
        <v>900</v>
      </c>
      <c r="I1296" s="17">
        <v>90.25</v>
      </c>
      <c r="J1296" s="1" t="s">
        <v>366</v>
      </c>
      <c r="K1296" s="6">
        <f>Registro_Ordini[[#This Row],[Numero]]*Registro_Ordini[[#This Row],[Prezzo]]</f>
        <v>81225</v>
      </c>
      <c r="L1296" s="10">
        <v>0.89112499999999994</v>
      </c>
      <c r="M1296" s="6">
        <f>Registro_Ordini[[#This Row],[Importo]]*Registro_Ordini[[#This Row],[Cambio]]</f>
        <v>72381.628124999988</v>
      </c>
      <c r="N1296" s="1">
        <f ca="1">IFERROR(_xlfn.NUMBERVALUE(OFFSET(Origine,MATCH(Registro_Ordini[[#This Row],[Titolo]],Descrizioni,0),MATCH("Price",Intestazioni,0)-1,1,1)),"")</f>
        <v>143.58000000000001</v>
      </c>
      <c r="O1296" s="18">
        <f ca="1">IF(OR(Registro_Ordini[[#This Row],[Price]]=0,Registro_Ordini[[#This Row],[Price]]=""),"",IF(Registro_Ordini[[#This Row],[Tipo]]="Sell",Registro_Ordini[[#This Row],[Prezzo]]/Registro_Ordini[[#This Row],[Price]]-1,Registro_Ordini[[#This Row],[Price]]/Registro_Ordini[[#This Row],[Prezzo]]-1))</f>
        <v>0.59091412742382277</v>
      </c>
      <c r="P1296" s="15">
        <v>1.7767897972821824E-2</v>
      </c>
      <c r="Q1296" s="3">
        <v>0.10817896983871096</v>
      </c>
      <c r="R1296" s="3">
        <v>0.23273519516787705</v>
      </c>
      <c r="S1296" s="3">
        <v>0.30758916481080695</v>
      </c>
      <c r="T1296" s="3">
        <v>0</v>
      </c>
      <c r="U1296" s="3">
        <v>0.351496670182605</v>
      </c>
      <c r="V1296" s="3">
        <v>0</v>
      </c>
      <c r="W1296" s="5"/>
      <c r="X1296" s="13"/>
      <c r="Z1296"/>
      <c r="AA1296"/>
    </row>
    <row r="1297" spans="1:27" s="1" customFormat="1" ht="24.95" customHeight="1" x14ac:dyDescent="0.2">
      <c r="A1297" s="8">
        <v>45177</v>
      </c>
      <c r="B1297" s="7">
        <v>0.68402777777777779</v>
      </c>
      <c r="C1297" s="9" t="s">
        <v>383</v>
      </c>
      <c r="D1297" s="1" t="s">
        <v>393</v>
      </c>
      <c r="E1297" s="1" t="s">
        <v>394</v>
      </c>
      <c r="F1297" s="1" t="s">
        <v>582</v>
      </c>
      <c r="G1297" s="1" t="s">
        <v>371</v>
      </c>
      <c r="H1297" s="2">
        <v>120</v>
      </c>
      <c r="I1297" s="17">
        <v>51.62</v>
      </c>
      <c r="J1297" s="1" t="s">
        <v>381</v>
      </c>
      <c r="K1297" s="6">
        <f>Registro_Ordini[[#This Row],[Numero]]*Registro_Ordini[[#This Row],[Prezzo]]</f>
        <v>6194.4</v>
      </c>
      <c r="L1297" s="10">
        <v>1</v>
      </c>
      <c r="M1297" s="6">
        <f>Registro_Ordini[[#This Row],[Importo]]*Registro_Ordini[[#This Row],[Cambio]]</f>
        <v>6194.4</v>
      </c>
      <c r="N1297" s="1">
        <f ca="1">IFERROR(_xlfn.NUMBERVALUE(OFFSET(Origine,MATCH(Registro_Ordini[[#This Row],[Titolo]],Descrizioni,0),MATCH("Price",Intestazioni,0)-1,1,1)),"")</f>
        <v>132.04</v>
      </c>
      <c r="O1297" s="18">
        <f ca="1">IF(OR(Registro_Ordini[[#This Row],[Price]]=0,Registro_Ordini[[#This Row],[Price]]=""),"",IF(Registro_Ordini[[#This Row],[Tipo]]="Sell",Registro_Ordini[[#This Row],[Prezzo]]/Registro_Ordini[[#This Row],[Price]]-1,Registro_Ordini[[#This Row],[Price]]/Registro_Ordini[[#This Row],[Prezzo]]-1))</f>
        <v>1.5579232855482372</v>
      </c>
      <c r="P1297" s="15">
        <v>1.1232499248000185E-2</v>
      </c>
      <c r="Q1297" s="3">
        <v>0.17676626766914508</v>
      </c>
      <c r="R1297" s="3">
        <v>0.36810392850824986</v>
      </c>
      <c r="S1297" s="3">
        <v>0.32770239247317851</v>
      </c>
      <c r="T1297" s="3">
        <v>0</v>
      </c>
      <c r="U1297" s="3">
        <v>0.12742741134942659</v>
      </c>
      <c r="V1297" s="3"/>
      <c r="W1297" s="4"/>
      <c r="X1297" s="13"/>
      <c r="Z1297"/>
      <c r="AA1297"/>
    </row>
    <row r="1298" spans="1:27" s="1" customFormat="1" ht="24.95" customHeight="1" x14ac:dyDescent="0.2">
      <c r="A1298" s="8">
        <v>45177</v>
      </c>
      <c r="B1298" s="7">
        <v>0.68402777777777779</v>
      </c>
      <c r="C1298" s="9" t="s">
        <v>106</v>
      </c>
      <c r="D1298" s="1" t="s">
        <v>393</v>
      </c>
      <c r="E1298" s="1" t="s">
        <v>394</v>
      </c>
      <c r="F1298" s="1" t="s">
        <v>582</v>
      </c>
      <c r="G1298" s="1" t="s">
        <v>371</v>
      </c>
      <c r="H1298" s="2">
        <v>100</v>
      </c>
      <c r="I1298" s="17">
        <v>51.62</v>
      </c>
      <c r="J1298" s="1" t="s">
        <v>381</v>
      </c>
      <c r="K1298" s="6">
        <f>Registro_Ordini[[#This Row],[Numero]]*Registro_Ordini[[#This Row],[Prezzo]]</f>
        <v>5162</v>
      </c>
      <c r="L1298" s="10">
        <v>1</v>
      </c>
      <c r="M1298" s="6">
        <f>Registro_Ordini[[#This Row],[Importo]]*Registro_Ordini[[#This Row],[Cambio]]</f>
        <v>5162</v>
      </c>
      <c r="N1298" s="1">
        <f ca="1">IFERROR(_xlfn.NUMBERVALUE(OFFSET(Origine,MATCH(Registro_Ordini[[#This Row],[Titolo]],Descrizioni,0),MATCH("Price",Intestazioni,0)-1,1,1)),"")</f>
        <v>132.04</v>
      </c>
      <c r="O1298" s="18">
        <f ca="1">IF(OR(Registro_Ordini[[#This Row],[Price]]=0,Registro_Ordini[[#This Row],[Price]]=""),"",IF(Registro_Ordini[[#This Row],[Tipo]]="Sell",Registro_Ordini[[#This Row],[Prezzo]]/Registro_Ordini[[#This Row],[Price]]-1,Registro_Ordini[[#This Row],[Price]]/Registro_Ordini[[#This Row],[Prezzo]]-1))</f>
        <v>1.5579232855482372</v>
      </c>
      <c r="P1298" s="15">
        <v>4.5053166504364348E-2</v>
      </c>
      <c r="Q1298" s="3">
        <v>0.34734829075720791</v>
      </c>
      <c r="R1298" s="3">
        <v>0.35637099564770575</v>
      </c>
      <c r="S1298" s="3">
        <v>0.18385640635972478</v>
      </c>
      <c r="T1298" s="3">
        <v>0</v>
      </c>
      <c r="U1298" s="3">
        <v>0.11242430723536161</v>
      </c>
      <c r="V1298" s="3"/>
      <c r="W1298" s="4"/>
      <c r="X1298" s="13"/>
      <c r="Z1298"/>
      <c r="AA1298"/>
    </row>
    <row r="1299" spans="1:27" s="1" customFormat="1" ht="24.95" customHeight="1" x14ac:dyDescent="0.2">
      <c r="A1299" s="8">
        <v>45177</v>
      </c>
      <c r="B1299" s="7">
        <v>0.68402777777777779</v>
      </c>
      <c r="C1299" s="9" t="s">
        <v>385</v>
      </c>
      <c r="D1299" s="1" t="s">
        <v>393</v>
      </c>
      <c r="E1299" s="1" t="s">
        <v>394</v>
      </c>
      <c r="F1299" s="1" t="s">
        <v>582</v>
      </c>
      <c r="G1299" s="1" t="s">
        <v>371</v>
      </c>
      <c r="H1299" s="2">
        <v>140</v>
      </c>
      <c r="I1299" s="17">
        <v>51.62</v>
      </c>
      <c r="J1299" s="1" t="s">
        <v>381</v>
      </c>
      <c r="K1299" s="6">
        <f>Registro_Ordini[[#This Row],[Numero]]*Registro_Ordini[[#This Row],[Prezzo]]</f>
        <v>7226.7999999999993</v>
      </c>
      <c r="L1299" s="10">
        <v>1</v>
      </c>
      <c r="M1299" s="6">
        <f>Registro_Ordini[[#This Row],[Importo]]*Registro_Ordini[[#This Row],[Cambio]]</f>
        <v>7226.7999999999993</v>
      </c>
      <c r="N1299" s="1">
        <f ca="1">IFERROR(_xlfn.NUMBERVALUE(OFFSET(Origine,MATCH(Registro_Ordini[[#This Row],[Titolo]],Descrizioni,0),MATCH("Price",Intestazioni,0)-1,1,1)),"")</f>
        <v>132.04</v>
      </c>
      <c r="O1299" s="18">
        <f ca="1">IF(OR(Registro_Ordini[[#This Row],[Price]]=0,Registro_Ordini[[#This Row],[Price]]=""),"",IF(Registro_Ordini[[#This Row],[Tipo]]="Sell",Registro_Ordini[[#This Row],[Prezzo]]/Registro_Ordini[[#This Row],[Price]]-1,Registro_Ordini[[#This Row],[Price]]/Registro_Ordini[[#This Row],[Prezzo]]-1))</f>
        <v>1.5579232855482372</v>
      </c>
      <c r="P1299" s="15">
        <v>5.0442486836964728E-2</v>
      </c>
      <c r="Q1299" s="3">
        <v>0.66408802870344741</v>
      </c>
      <c r="R1299" s="3">
        <v>0.33591197129655265</v>
      </c>
      <c r="S1299" s="3">
        <v>0</v>
      </c>
      <c r="T1299" s="3">
        <v>0</v>
      </c>
      <c r="U1299" s="3">
        <v>0</v>
      </c>
      <c r="V1299" s="3"/>
      <c r="W1299" s="4"/>
      <c r="X1299" s="13"/>
      <c r="Z1299"/>
      <c r="AA1299"/>
    </row>
    <row r="1300" spans="1:27" s="1" customFormat="1" ht="24.95" customHeight="1" x14ac:dyDescent="0.2">
      <c r="A1300" s="8">
        <v>45177</v>
      </c>
      <c r="B1300" s="7">
        <v>0.68194444444444446</v>
      </c>
      <c r="C1300" s="9" t="s">
        <v>375</v>
      </c>
      <c r="D1300" s="1" t="s">
        <v>393</v>
      </c>
      <c r="E1300" s="1" t="s">
        <v>394</v>
      </c>
      <c r="F1300" s="1" t="s">
        <v>396</v>
      </c>
      <c r="G1300" s="1" t="s">
        <v>371</v>
      </c>
      <c r="H1300" s="2">
        <v>175</v>
      </c>
      <c r="I1300" s="17">
        <v>71.489999999999995</v>
      </c>
      <c r="J1300" s="1" t="s">
        <v>369</v>
      </c>
      <c r="K1300" s="6">
        <f>Registro_Ordini[[#This Row],[Numero]]*Registro_Ordini[[#This Row],[Prezzo]]</f>
        <v>12510.75</v>
      </c>
      <c r="L1300" s="10">
        <v>1</v>
      </c>
      <c r="M1300" s="6">
        <f>Registro_Ordini[[#This Row],[Importo]]*Registro_Ordini[[#This Row],[Cambio]]</f>
        <v>12510.75</v>
      </c>
      <c r="N1300" s="1">
        <f ca="1">IFERROR(_xlfn.NUMBERVALUE(OFFSET(Origine,MATCH(Registro_Ordini[[#This Row],[Titolo]],Descrizioni,0),MATCH("Price",Intestazioni,0)-1,1,1)),"")</f>
        <v>168.24</v>
      </c>
      <c r="O1300" s="18">
        <f ca="1">IF(OR(Registro_Ordini[[#This Row],[Price]]=0,Registro_Ordini[[#This Row],[Price]]=""),"",IF(Registro_Ordini[[#This Row],[Tipo]]="Sell",Registro_Ordini[[#This Row],[Prezzo]]/Registro_Ordini[[#This Row],[Price]]-1,Registro_Ordini[[#This Row],[Price]]/Registro_Ordini[[#This Row],[Prezzo]]-1))</f>
        <v>1.3533361309274028</v>
      </c>
      <c r="P1300" s="15">
        <v>1.7081441202310123E-2</v>
      </c>
      <c r="Q1300" s="3">
        <v>0.16003281618059717</v>
      </c>
      <c r="R1300" s="3">
        <v>0.41361420262348747</v>
      </c>
      <c r="S1300" s="3">
        <v>0.31255448658312374</v>
      </c>
      <c r="T1300" s="3">
        <v>0</v>
      </c>
      <c r="U1300" s="3">
        <v>0.11379849461279164</v>
      </c>
      <c r="V1300" s="3"/>
      <c r="W1300" s="4"/>
      <c r="X1300" s="13"/>
      <c r="Z1300"/>
      <c r="AA1300"/>
    </row>
    <row r="1301" spans="1:27" s="1" customFormat="1" ht="24.95" customHeight="1" x14ac:dyDescent="0.2">
      <c r="A1301" s="8">
        <v>45177</v>
      </c>
      <c r="B1301" s="7">
        <v>0.68194444444444446</v>
      </c>
      <c r="C1301" s="9" t="s">
        <v>378</v>
      </c>
      <c r="D1301" s="1" t="s">
        <v>393</v>
      </c>
      <c r="E1301" s="1" t="s">
        <v>394</v>
      </c>
      <c r="F1301" s="1" t="s">
        <v>396</v>
      </c>
      <c r="G1301" s="1" t="s">
        <v>371</v>
      </c>
      <c r="H1301" s="2">
        <v>125</v>
      </c>
      <c r="I1301" s="17">
        <v>71.489999999999995</v>
      </c>
      <c r="J1301" s="1" t="s">
        <v>369</v>
      </c>
      <c r="K1301" s="6">
        <f>Registro_Ordini[[#This Row],[Numero]]*Registro_Ordini[[#This Row],[Prezzo]]</f>
        <v>8936.25</v>
      </c>
      <c r="L1301" s="10">
        <v>1</v>
      </c>
      <c r="M1301" s="6">
        <f>Registro_Ordini[[#This Row],[Importo]]*Registro_Ordini[[#This Row],[Cambio]]</f>
        <v>8936.25</v>
      </c>
      <c r="N1301" s="1">
        <f ca="1">IFERROR(_xlfn.NUMBERVALUE(OFFSET(Origine,MATCH(Registro_Ordini[[#This Row],[Titolo]],Descrizioni,0),MATCH("Price",Intestazioni,0)-1,1,1)),"")</f>
        <v>168.24</v>
      </c>
      <c r="O1301" s="18">
        <f ca="1">IF(OR(Registro_Ordini[[#This Row],[Price]]=0,Registro_Ordini[[#This Row],[Price]]=""),"",IF(Registro_Ordini[[#This Row],[Tipo]]="Sell",Registro_Ordini[[#This Row],[Prezzo]]/Registro_Ordini[[#This Row],[Price]]-1,Registro_Ordini[[#This Row],[Price]]/Registro_Ordini[[#This Row],[Prezzo]]-1))</f>
        <v>1.3533361309274028</v>
      </c>
      <c r="P1301" s="15">
        <v>1.8890417552683465E-2</v>
      </c>
      <c r="Q1301" s="3">
        <v>0.22728028301481665</v>
      </c>
      <c r="R1301" s="3">
        <v>0.35332695487680538</v>
      </c>
      <c r="S1301" s="3">
        <v>0.30291029189715052</v>
      </c>
      <c r="T1301" s="3">
        <v>1.5543571438229853E-2</v>
      </c>
      <c r="U1301" s="3">
        <v>0.10093889877299762</v>
      </c>
      <c r="V1301" s="3"/>
      <c r="W1301" s="4"/>
      <c r="X1301" s="13"/>
      <c r="Z1301"/>
      <c r="AA1301"/>
    </row>
    <row r="1302" spans="1:27" s="1" customFormat="1" ht="24.95" customHeight="1" x14ac:dyDescent="0.2">
      <c r="A1302" s="8">
        <v>45176</v>
      </c>
      <c r="B1302" s="7">
        <v>0.70138888888888884</v>
      </c>
      <c r="C1302" s="9" t="s">
        <v>378</v>
      </c>
      <c r="D1302" s="1" t="s">
        <v>388</v>
      </c>
      <c r="E1302" s="1" t="s">
        <v>397</v>
      </c>
      <c r="F1302" s="1" t="s">
        <v>406</v>
      </c>
      <c r="G1302" s="1" t="s">
        <v>371</v>
      </c>
      <c r="H1302" s="2">
        <v>105</v>
      </c>
      <c r="I1302" s="17">
        <v>112.78</v>
      </c>
      <c r="J1302" s="1" t="s">
        <v>369</v>
      </c>
      <c r="K1302" s="6">
        <f>Registro_Ordini[[#This Row],[Numero]]*Registro_Ordini[[#This Row],[Prezzo]]</f>
        <v>11841.9</v>
      </c>
      <c r="L1302" s="10">
        <v>1</v>
      </c>
      <c r="M1302" s="6">
        <f>Registro_Ordini[[#This Row],[Importo]]*Registro_Ordini[[#This Row],[Cambio]]</f>
        <v>11841.9</v>
      </c>
      <c r="N1302" s="1">
        <f ca="1">IFERROR(_xlfn.NUMBERVALUE(OFFSET(Origine,MATCH(Registro_Ordini[[#This Row],[Titolo]],Descrizioni,0),MATCH("Price",Intestazioni,0)-1,1,1)),"")</f>
        <v>136.52000000000001</v>
      </c>
      <c r="O1302" s="18">
        <f ca="1">IF(OR(Registro_Ordini[[#This Row],[Price]]=0,Registro_Ordini[[#This Row],[Price]]=""),"",IF(Registro_Ordini[[#This Row],[Tipo]]="Sell",Registro_Ordini[[#This Row],[Prezzo]]/Registro_Ordini[[#This Row],[Price]]-1,Registro_Ordini[[#This Row],[Price]]/Registro_Ordini[[#This Row],[Prezzo]]-1))</f>
        <v>0.21049831530413199</v>
      </c>
      <c r="P1302" s="15">
        <v>2.5036600165506958E-2</v>
      </c>
      <c r="Q1302" s="3">
        <v>0.25234900882598726</v>
      </c>
      <c r="R1302" s="3">
        <v>0.3533809469800212</v>
      </c>
      <c r="S1302" s="3">
        <v>0.2777620498737281</v>
      </c>
      <c r="T1302" s="3">
        <v>1.5586165769016565E-2</v>
      </c>
      <c r="U1302" s="3">
        <v>0.10092182855124686</v>
      </c>
      <c r="V1302" s="3"/>
      <c r="W1302" s="4"/>
      <c r="X1302" s="13"/>
      <c r="Z1302"/>
      <c r="AA1302"/>
    </row>
    <row r="1303" spans="1:27" s="1" customFormat="1" ht="24.95" customHeight="1" x14ac:dyDescent="0.2">
      <c r="A1303" s="8">
        <v>45176</v>
      </c>
      <c r="B1303" s="7">
        <v>0.70138888888888884</v>
      </c>
      <c r="C1303" s="9" t="s">
        <v>377</v>
      </c>
      <c r="D1303" s="1" t="s">
        <v>388</v>
      </c>
      <c r="E1303" s="1" t="s">
        <v>397</v>
      </c>
      <c r="F1303" s="1" t="s">
        <v>406</v>
      </c>
      <c r="G1303" s="1" t="s">
        <v>371</v>
      </c>
      <c r="H1303" s="2">
        <v>120</v>
      </c>
      <c r="I1303" s="17">
        <v>112.78</v>
      </c>
      <c r="J1303" s="1" t="s">
        <v>369</v>
      </c>
      <c r="K1303" s="6">
        <f>Registro_Ordini[[#This Row],[Numero]]*Registro_Ordini[[#This Row],[Prezzo]]</f>
        <v>13533.6</v>
      </c>
      <c r="L1303" s="10">
        <v>1</v>
      </c>
      <c r="M1303" s="6">
        <f>Registro_Ordini[[#This Row],[Importo]]*Registro_Ordini[[#This Row],[Cambio]]</f>
        <v>13533.6</v>
      </c>
      <c r="N1303" s="1">
        <f ca="1">IFERROR(_xlfn.NUMBERVALUE(OFFSET(Origine,MATCH(Registro_Ordini[[#This Row],[Titolo]],Descrizioni,0),MATCH("Price",Intestazioni,0)-1,1,1)),"")</f>
        <v>136.52000000000001</v>
      </c>
      <c r="O1303" s="18">
        <f ca="1">IF(OR(Registro_Ordini[[#This Row],[Price]]=0,Registro_Ordini[[#This Row],[Price]]=""),"",IF(Registro_Ordini[[#This Row],[Tipo]]="Sell",Registro_Ordini[[#This Row],[Prezzo]]/Registro_Ordini[[#This Row],[Price]]-1,Registro_Ordini[[#This Row],[Price]]/Registro_Ordini[[#This Row],[Prezzo]]-1))</f>
        <v>0.21049831530413199</v>
      </c>
      <c r="P1303" s="15">
        <v>9.3850379220942054E-3</v>
      </c>
      <c r="Q1303" s="3">
        <v>0.13524363286603991</v>
      </c>
      <c r="R1303" s="3">
        <v>0.37279361300641822</v>
      </c>
      <c r="S1303" s="3">
        <v>0.34173618858216781</v>
      </c>
      <c r="T1303" s="3">
        <v>1.8834429121895032E-2</v>
      </c>
      <c r="U1303" s="3">
        <v>0.13139213642347908</v>
      </c>
      <c r="V1303" s="3"/>
      <c r="W1303" s="4"/>
      <c r="X1303" s="13"/>
      <c r="Z1303"/>
      <c r="AA1303"/>
    </row>
    <row r="1304" spans="1:27" s="1" customFormat="1" ht="24.95" customHeight="1" x14ac:dyDescent="0.2">
      <c r="A1304" s="8">
        <v>45176</v>
      </c>
      <c r="B1304" s="7">
        <v>0.7006944444444444</v>
      </c>
      <c r="C1304" s="9" t="s">
        <v>375</v>
      </c>
      <c r="D1304" s="1" t="s">
        <v>388</v>
      </c>
      <c r="E1304" s="1" t="s">
        <v>397</v>
      </c>
      <c r="F1304" s="1" t="s">
        <v>406</v>
      </c>
      <c r="G1304" s="1" t="s">
        <v>371</v>
      </c>
      <c r="H1304" s="2">
        <v>160</v>
      </c>
      <c r="I1304" s="17">
        <v>112.78</v>
      </c>
      <c r="J1304" s="1" t="s">
        <v>369</v>
      </c>
      <c r="K1304" s="6">
        <f>Registro_Ordini[[#This Row],[Numero]]*Registro_Ordini[[#This Row],[Prezzo]]</f>
        <v>18044.8</v>
      </c>
      <c r="L1304" s="10">
        <v>1</v>
      </c>
      <c r="M1304" s="6">
        <f>Registro_Ordini[[#This Row],[Importo]]*Registro_Ordini[[#This Row],[Cambio]]</f>
        <v>18044.8</v>
      </c>
      <c r="N1304" s="1">
        <f ca="1">IFERROR(_xlfn.NUMBERVALUE(OFFSET(Origine,MATCH(Registro_Ordini[[#This Row],[Titolo]],Descrizioni,0),MATCH("Price",Intestazioni,0)-1,1,1)),"")</f>
        <v>136.52000000000001</v>
      </c>
      <c r="O1304" s="18">
        <f ca="1">IF(OR(Registro_Ordini[[#This Row],[Price]]=0,Registro_Ordini[[#This Row],[Price]]=""),"",IF(Registro_Ordini[[#This Row],[Tipo]]="Sell",Registro_Ordini[[#This Row],[Prezzo]]/Registro_Ordini[[#This Row],[Price]]-1,Registro_Ordini[[#This Row],[Price]]/Registro_Ordini[[#This Row],[Prezzo]]-1))</f>
        <v>0.21049831530413199</v>
      </c>
      <c r="P1304" s="15">
        <v>2.4641637841311976E-2</v>
      </c>
      <c r="Q1304" s="3">
        <v>0.18469345225924064</v>
      </c>
      <c r="R1304" s="3">
        <v>0.4136860575488604</v>
      </c>
      <c r="S1304" s="3">
        <v>0.28777388361658407</v>
      </c>
      <c r="T1304" s="3">
        <v>0</v>
      </c>
      <c r="U1304" s="3">
        <v>0.11384660657531484</v>
      </c>
      <c r="V1304" s="3"/>
      <c r="W1304" s="4"/>
      <c r="X1304" s="13"/>
      <c r="Z1304"/>
      <c r="AA1304"/>
    </row>
    <row r="1305" spans="1:27" s="1" customFormat="1" ht="24.95" customHeight="1" x14ac:dyDescent="0.2">
      <c r="A1305" s="8">
        <v>45176</v>
      </c>
      <c r="B1305" s="7">
        <v>0.53125</v>
      </c>
      <c r="C1305" s="9" t="s">
        <v>413</v>
      </c>
      <c r="D1305" s="1" t="s">
        <v>388</v>
      </c>
      <c r="E1305" s="1" t="s">
        <v>423</v>
      </c>
      <c r="F1305" s="19" t="s">
        <v>583</v>
      </c>
      <c r="G1305" s="1" t="s">
        <v>365</v>
      </c>
      <c r="H1305" s="2">
        <v>-5000</v>
      </c>
      <c r="I1305" s="17">
        <v>20.11</v>
      </c>
      <c r="J1305" s="1" t="s">
        <v>366</v>
      </c>
      <c r="K1305" s="6">
        <f>Registro_Ordini[[#This Row],[Numero]]*Registro_Ordini[[#This Row],[Prezzo]]</f>
        <v>-100550</v>
      </c>
      <c r="L1305" s="10">
        <v>0.89268000000000003</v>
      </c>
      <c r="M1305" s="6">
        <f>Registro_Ordini[[#This Row],[Importo]]*Registro_Ordini[[#This Row],[Cambio]]</f>
        <v>-89758.974000000002</v>
      </c>
      <c r="N1305" s="1" t="str">
        <f ca="1">IFERROR(_xlfn.NUMBERVALUE(OFFSET(Origine,MATCH(Registro_Ordini[[#This Row],[Titolo]],Descrizioni,0),MATCH("Price",Intestazioni,0)-1,1,1)),"")</f>
        <v/>
      </c>
      <c r="O1305" s="18" t="str">
        <f ca="1">IF(OR(Registro_Ordini[[#This Row],[Price]]=0,Registro_Ordini[[#This Row],[Price]]=""),"",IF(Registro_Ordini[[#This Row],[Tipo]]="Sell",Registro_Ordini[[#This Row],[Prezzo]]/Registro_Ordini[[#This Row],[Price]]-1,Registro_Ordini[[#This Row],[Price]]/Registro_Ordini[[#This Row],[Prezzo]]-1))</f>
        <v/>
      </c>
      <c r="P1305" s="15">
        <v>-2.1922016819567038E-2</v>
      </c>
      <c r="Q1305" s="3">
        <v>9.0704858833196775E-2</v>
      </c>
      <c r="R1305" s="3">
        <v>0.23217584091697602</v>
      </c>
      <c r="S1305" s="3">
        <v>0.32476449523079765</v>
      </c>
      <c r="T1305" s="3">
        <v>0</v>
      </c>
      <c r="U1305" s="3">
        <v>0.35235480501902955</v>
      </c>
      <c r="V1305" s="3">
        <v>0</v>
      </c>
      <c r="W1305" s="5"/>
      <c r="X1305" s="13"/>
      <c r="Z1305"/>
      <c r="AA1305"/>
    </row>
    <row r="1306" spans="1:27" s="1" customFormat="1" ht="24.95" customHeight="1" x14ac:dyDescent="0.2">
      <c r="A1306" s="8">
        <v>45176</v>
      </c>
      <c r="B1306" s="7">
        <v>0.52986111111111112</v>
      </c>
      <c r="C1306" s="9" t="s">
        <v>413</v>
      </c>
      <c r="D1306" s="1" t="s">
        <v>388</v>
      </c>
      <c r="E1306" s="1" t="s">
        <v>584</v>
      </c>
      <c r="F1306" s="19" t="s">
        <v>585</v>
      </c>
      <c r="G1306" s="1" t="s">
        <v>371</v>
      </c>
      <c r="H1306" s="2">
        <v>1700</v>
      </c>
      <c r="I1306" s="17">
        <v>44.4</v>
      </c>
      <c r="J1306" s="1" t="s">
        <v>478</v>
      </c>
      <c r="K1306" s="6">
        <f>Registro_Ordini[[#This Row],[Numero]]*Registro_Ordini[[#This Row],[Prezzo]]</f>
        <v>75480</v>
      </c>
      <c r="L1306" s="10">
        <v>0.56991499999999995</v>
      </c>
      <c r="M1306" s="6">
        <f>Registro_Ordini[[#This Row],[Importo]]*Registro_Ordini[[#This Row],[Cambio]]</f>
        <v>43017.184199999996</v>
      </c>
      <c r="N1306" s="1">
        <f ca="1">IFERROR(_xlfn.NUMBERVALUE(OFFSET(Origine,MATCH(Registro_Ordini[[#This Row],[Titolo]],Descrizioni,0),MATCH("Price",Intestazioni,0)-1,1,1)),"")</f>
        <v>59.25</v>
      </c>
      <c r="O1306" s="18">
        <f ca="1">IF(OR(Registro_Ordini[[#This Row],[Price]]=0,Registro_Ordini[[#This Row],[Price]]=""),"",IF(Registro_Ordini[[#This Row],[Tipo]]="Sell",Registro_Ordini[[#This Row],[Prezzo]]/Registro_Ordini[[#This Row],[Price]]-1,Registro_Ordini[[#This Row],[Price]]/Registro_Ordini[[#This Row],[Prezzo]]-1))</f>
        <v>0.33445945945945943</v>
      </c>
      <c r="P1306" s="15">
        <v>1.098599281511908E-2</v>
      </c>
      <c r="Q1306" s="3">
        <v>9.9324476808342971E-2</v>
      </c>
      <c r="R1306" s="3">
        <v>0.23278006175080831</v>
      </c>
      <c r="S1306" s="3">
        <v>0.31462367852587364</v>
      </c>
      <c r="T1306" s="3">
        <v>0</v>
      </c>
      <c r="U1306" s="3">
        <v>0.35327178291497502</v>
      </c>
      <c r="V1306" s="3">
        <v>0</v>
      </c>
      <c r="W1306" s="5"/>
      <c r="X1306" s="13"/>
      <c r="Z1306"/>
      <c r="AA1306"/>
    </row>
    <row r="1307" spans="1:27" s="1" customFormat="1" ht="24.95" customHeight="1" x14ac:dyDescent="0.2">
      <c r="A1307" s="8">
        <v>45175</v>
      </c>
      <c r="B1307" s="7">
        <v>0.70138888888888884</v>
      </c>
      <c r="C1307" s="9" t="s">
        <v>413</v>
      </c>
      <c r="D1307" s="1" t="s">
        <v>388</v>
      </c>
      <c r="E1307" s="1" t="s">
        <v>403</v>
      </c>
      <c r="F1307" s="19" t="s">
        <v>429</v>
      </c>
      <c r="G1307" s="1" t="s">
        <v>371</v>
      </c>
      <c r="H1307" s="2">
        <v>1400</v>
      </c>
      <c r="I1307" s="17">
        <v>35.314999999999998</v>
      </c>
      <c r="J1307" s="1" t="s">
        <v>381</v>
      </c>
      <c r="K1307" s="6">
        <f>Registro_Ordini[[#This Row],[Numero]]*Registro_Ordini[[#This Row],[Prezzo]]</f>
        <v>49441</v>
      </c>
      <c r="L1307" s="10">
        <v>0.95659499999999997</v>
      </c>
      <c r="M1307" s="6">
        <f>Registro_Ordini[[#This Row],[Importo]]*Registro_Ordini[[#This Row],[Cambio]]</f>
        <v>47295.013395000002</v>
      </c>
      <c r="N1307" s="1">
        <f ca="1">IFERROR(_xlfn.NUMBERVALUE(OFFSET(Origine,MATCH(Registro_Ordini[[#This Row],[Titolo]],Descrizioni,0),MATCH("Price",Intestazioni,0)-1,1,1)),"")</f>
        <v>51.8</v>
      </c>
      <c r="O1307" s="18">
        <f ca="1">IF(OR(Registro_Ordini[[#This Row],[Price]]=0,Registro_Ordini[[#This Row],[Price]]=""),"",IF(Registro_Ordini[[#This Row],[Tipo]]="Sell",Registro_Ordini[[#This Row],[Prezzo]]/Registro_Ordini[[#This Row],[Price]]-1,Registro_Ordini[[#This Row],[Price]]/Registro_Ordini[[#This Row],[Prezzo]]-1))</f>
        <v>0.46679881070366691</v>
      </c>
      <c r="P1307" s="15">
        <v>1.1593897462578322E-2</v>
      </c>
      <c r="Q1307" s="3">
        <v>0.12544578128714839</v>
      </c>
      <c r="R1307" s="3">
        <v>0.23207141163774653</v>
      </c>
      <c r="S1307" s="3">
        <v>0.29083698662210417</v>
      </c>
      <c r="T1307" s="3">
        <v>0</v>
      </c>
      <c r="U1307" s="3">
        <v>0.35164582045300091</v>
      </c>
      <c r="V1307" s="3">
        <v>0</v>
      </c>
      <c r="W1307" s="5"/>
      <c r="X1307" s="13"/>
      <c r="Z1307"/>
      <c r="AA1307"/>
    </row>
    <row r="1308" spans="1:27" s="1" customFormat="1" ht="24.95" customHeight="1" x14ac:dyDescent="0.2">
      <c r="A1308" s="8">
        <v>45175</v>
      </c>
      <c r="B1308" s="7">
        <v>0.70138888888888884</v>
      </c>
      <c r="C1308" s="9" t="s">
        <v>413</v>
      </c>
      <c r="D1308" s="1" t="s">
        <v>388</v>
      </c>
      <c r="E1308" s="1" t="s">
        <v>403</v>
      </c>
      <c r="F1308" s="19" t="s">
        <v>433</v>
      </c>
      <c r="G1308" s="1" t="s">
        <v>371</v>
      </c>
      <c r="H1308" s="2">
        <v>750</v>
      </c>
      <c r="I1308" s="17">
        <v>67.150000000000006</v>
      </c>
      <c r="J1308" s="1" t="s">
        <v>381</v>
      </c>
      <c r="K1308" s="6">
        <f>Registro_Ordini[[#This Row],[Numero]]*Registro_Ordini[[#This Row],[Prezzo]]</f>
        <v>50362.500000000007</v>
      </c>
      <c r="L1308" s="10">
        <v>0.95659499999999997</v>
      </c>
      <c r="M1308" s="6">
        <f>Registro_Ordini[[#This Row],[Importo]]*Registro_Ordini[[#This Row],[Cambio]]</f>
        <v>48176.515687500003</v>
      </c>
      <c r="N1308" s="1">
        <f ca="1">IFERROR(_xlfn.NUMBERVALUE(OFFSET(Origine,MATCH(Registro_Ordini[[#This Row],[Titolo]],Descrizioni,0),MATCH("Price",Intestazioni,0)-1,1,1)),"")</f>
        <v>135.26</v>
      </c>
      <c r="O1308" s="18">
        <f ca="1">IF(OR(Registro_Ordini[[#This Row],[Price]]=0,Registro_Ordini[[#This Row],[Price]]=""),"",IF(Registro_Ordini[[#This Row],[Tipo]]="Sell",Registro_Ordini[[#This Row],[Prezzo]]/Registro_Ordini[[#This Row],[Price]]-1,Registro_Ordini[[#This Row],[Price]]/Registro_Ordini[[#This Row],[Prezzo]]-1))</f>
        <v>1.0142963514519727</v>
      </c>
      <c r="P1308" s="15">
        <v>1.1809988895028434E-2</v>
      </c>
      <c r="Q1308" s="3">
        <v>0.11385188382457008</v>
      </c>
      <c r="R1308" s="3">
        <v>0.23207141163774653</v>
      </c>
      <c r="S1308" s="3">
        <v>0.30243088408468249</v>
      </c>
      <c r="T1308" s="3">
        <v>0</v>
      </c>
      <c r="U1308" s="3">
        <v>0.35164582045300091</v>
      </c>
      <c r="V1308" s="3">
        <v>0</v>
      </c>
      <c r="W1308" s="5"/>
      <c r="X1308" s="13"/>
      <c r="Z1308"/>
      <c r="AA1308"/>
    </row>
    <row r="1309" spans="1:27" s="1" customFormat="1" ht="24.95" customHeight="1" x14ac:dyDescent="0.2">
      <c r="A1309" s="8">
        <v>45175</v>
      </c>
      <c r="B1309" s="7">
        <v>0.69861111111111107</v>
      </c>
      <c r="C1309" s="9" t="s">
        <v>413</v>
      </c>
      <c r="D1309" s="1" t="s">
        <v>362</v>
      </c>
      <c r="E1309" s="1" t="s">
        <v>363</v>
      </c>
      <c r="F1309" s="19" t="s">
        <v>427</v>
      </c>
      <c r="G1309" s="1" t="s">
        <v>371</v>
      </c>
      <c r="H1309" s="2">
        <v>100000</v>
      </c>
      <c r="I1309" s="17">
        <v>1</v>
      </c>
      <c r="J1309" s="1" t="s">
        <v>381</v>
      </c>
      <c r="K1309" s="6">
        <f>Registro_Ordini[[#This Row],[Numero]]*Registro_Ordini[[#This Row],[Prezzo]]</f>
        <v>100000</v>
      </c>
      <c r="L1309" s="10">
        <v>0.95799999999999996</v>
      </c>
      <c r="M1309" s="6">
        <f>Registro_Ordini[[#This Row],[Importo]]*Registro_Ordini[[#This Row],[Cambio]]</f>
        <v>95800</v>
      </c>
      <c r="N1309" s="1">
        <f ca="1">IFERROR(_xlfn.NUMBERVALUE(OFFSET(Origine,MATCH(Registro_Ordini[[#This Row],[Titolo]],Descrizioni,0),MATCH("Price",Intestazioni,0)-1,1,1)),"")</f>
        <v>1</v>
      </c>
      <c r="O1309" s="18">
        <f ca="1">IF(OR(Registro_Ordini[[#This Row],[Price]]=0,Registro_Ordini[[#This Row],[Price]]=""),"",IF(Registro_Ordini[[#This Row],[Tipo]]="Sell",Registro_Ordini[[#This Row],[Prezzo]]/Registro_Ordini[[#This Row],[Price]]-1,Registro_Ordini[[#This Row],[Price]]/Registro_Ordini[[#This Row],[Prezzo]]-1))</f>
        <v>0</v>
      </c>
      <c r="P1309" s="15">
        <v>2.3449965539892644E-2</v>
      </c>
      <c r="Q1309" s="3">
        <v>0.12533204723897559</v>
      </c>
      <c r="R1309" s="3">
        <v>0.23191240652430606</v>
      </c>
      <c r="S1309" s="3">
        <v>0.29064651740705066</v>
      </c>
      <c r="T1309" s="3">
        <v>0</v>
      </c>
      <c r="U1309" s="3">
        <v>0.35210902882966771</v>
      </c>
      <c r="V1309" s="3">
        <v>0</v>
      </c>
      <c r="W1309" s="5"/>
      <c r="X1309" s="13"/>
      <c r="Z1309"/>
      <c r="AA1309"/>
    </row>
    <row r="1310" spans="1:27" s="1" customFormat="1" ht="24.95" customHeight="1" x14ac:dyDescent="0.2">
      <c r="A1310" s="8">
        <v>45175</v>
      </c>
      <c r="B1310" s="7">
        <v>0.48680555555555555</v>
      </c>
      <c r="C1310" s="9" t="s">
        <v>156</v>
      </c>
      <c r="D1310" s="1" t="s">
        <v>368</v>
      </c>
      <c r="E1310" s="1" t="s">
        <v>363</v>
      </c>
      <c r="F1310" s="1" t="s">
        <v>586</v>
      </c>
      <c r="G1310" s="1" t="s">
        <v>371</v>
      </c>
      <c r="H1310" s="2">
        <v>20000</v>
      </c>
      <c r="I1310" s="16">
        <v>0.89801167000000004</v>
      </c>
      <c r="J1310" s="1" t="s">
        <v>369</v>
      </c>
      <c r="K1310" s="6">
        <f>Registro_Ordini[[#This Row],[Numero]]*Registro_Ordini[[#This Row],[Prezzo]]</f>
        <v>17960.233400000001</v>
      </c>
      <c r="L1310" s="10">
        <v>1</v>
      </c>
      <c r="M1310" s="6">
        <f>Registro_Ordini[[#This Row],[Importo]]*Registro_Ordini[[#This Row],[Cambio]]</f>
        <v>17960.233400000001</v>
      </c>
      <c r="N1310" s="1">
        <f ca="1">IFERROR(_xlfn.NUMBERVALUE(OFFSET(Origine,MATCH(Registro_Ordini[[#This Row],[Titolo]],Descrizioni,0),MATCH("Price",Intestazioni,0)-1,1,1)),"")</f>
        <v>0.99062916667000001</v>
      </c>
      <c r="O1310" s="18">
        <f ca="1">IF(OR(Registro_Ordini[[#This Row],[Price]]=0,Registro_Ordini[[#This Row],[Price]]=""),"",IF(Registro_Ordini[[#This Row],[Tipo]]="Sell",Registro_Ordini[[#This Row],[Prezzo]]/Registro_Ordini[[#This Row],[Price]]-1,Registro_Ordini[[#This Row],[Price]]/Registro_Ordini[[#This Row],[Prezzo]]-1))</f>
        <v>0.10313618382041745</v>
      </c>
      <c r="P1310" s="15">
        <v>2.9280109279333374E-2</v>
      </c>
      <c r="Q1310" s="3">
        <v>0.24963704710627199</v>
      </c>
      <c r="R1310" s="3">
        <v>0.26906668507302511</v>
      </c>
      <c r="S1310" s="3">
        <v>0.36156433019381468</v>
      </c>
      <c r="T1310" s="3">
        <v>0</v>
      </c>
      <c r="U1310" s="3">
        <v>0.11973193762688837</v>
      </c>
      <c r="V1310" s="3"/>
      <c r="W1310" s="4"/>
      <c r="X1310" s="13"/>
      <c r="Z1310"/>
      <c r="AA1310"/>
    </row>
    <row r="1311" spans="1:27" s="1" customFormat="1" ht="24.95" customHeight="1" x14ac:dyDescent="0.2">
      <c r="A1311" s="8">
        <v>45175</v>
      </c>
      <c r="B1311" s="7">
        <v>0.48680555555555555</v>
      </c>
      <c r="C1311" s="9" t="s">
        <v>156</v>
      </c>
      <c r="D1311" s="1" t="s">
        <v>368</v>
      </c>
      <c r="E1311" s="1" t="s">
        <v>363</v>
      </c>
      <c r="F1311" s="1" t="s">
        <v>576</v>
      </c>
      <c r="G1311" s="1" t="s">
        <v>371</v>
      </c>
      <c r="H1311" s="2">
        <v>25000</v>
      </c>
      <c r="I1311" s="16">
        <v>0.90889111</v>
      </c>
      <c r="J1311" s="1" t="s">
        <v>369</v>
      </c>
      <c r="K1311" s="6">
        <f>Registro_Ordini[[#This Row],[Numero]]*Registro_Ordini[[#This Row],[Prezzo]]</f>
        <v>22722.277750000001</v>
      </c>
      <c r="L1311" s="10">
        <v>1</v>
      </c>
      <c r="M1311" s="6">
        <f>Registro_Ordini[[#This Row],[Importo]]*Registro_Ordini[[#This Row],[Cambio]]</f>
        <v>22722.277750000001</v>
      </c>
      <c r="N1311" s="1">
        <f ca="1">IFERROR(_xlfn.NUMBERVALUE(OFFSET(Origine,MATCH(Registro_Ordini[[#This Row],[Titolo]],Descrizioni,0),MATCH("Price",Intestazioni,0)-1,1,1)),"")</f>
        <v>0.99544444444000002</v>
      </c>
      <c r="O1311" s="18">
        <f ca="1">IF(OR(Registro_Ordini[[#This Row],[Price]]=0,Registro_Ordini[[#This Row],[Price]]=""),"",IF(Registro_Ordini[[#This Row],[Tipo]]="Sell",Registro_Ordini[[#This Row],[Prezzo]]/Registro_Ordini[[#This Row],[Price]]-1,Registro_Ordini[[#This Row],[Price]]/Registro_Ordini[[#This Row],[Prezzo]]-1))</f>
        <v>9.5229597349675954E-2</v>
      </c>
      <c r="P1311" s="15">
        <v>3.7043548420443426E-2</v>
      </c>
      <c r="Q1311" s="3">
        <v>0.28668059552671538</v>
      </c>
      <c r="R1311" s="3">
        <v>0.23202313665258167</v>
      </c>
      <c r="S1311" s="3">
        <v>0.36156433019381462</v>
      </c>
      <c r="T1311" s="3">
        <v>0</v>
      </c>
      <c r="U1311" s="3">
        <v>0.11973193762688834</v>
      </c>
      <c r="V1311" s="3"/>
      <c r="W1311" s="4"/>
      <c r="X1311" s="13"/>
      <c r="Z1311"/>
      <c r="AA1311"/>
    </row>
    <row r="1312" spans="1:27" s="1" customFormat="1" ht="24.95" customHeight="1" x14ac:dyDescent="0.2">
      <c r="A1312" s="8">
        <v>45175</v>
      </c>
      <c r="B1312" s="7">
        <v>0.4861111111111111</v>
      </c>
      <c r="C1312" s="9" t="s">
        <v>156</v>
      </c>
      <c r="D1312" s="1" t="s">
        <v>368</v>
      </c>
      <c r="E1312" s="1" t="s">
        <v>363</v>
      </c>
      <c r="F1312" s="1" t="s">
        <v>587</v>
      </c>
      <c r="G1312" s="1" t="s">
        <v>371</v>
      </c>
      <c r="H1312" s="2">
        <v>25000</v>
      </c>
      <c r="I1312" s="16">
        <v>0.93561472000000001</v>
      </c>
      <c r="J1312" s="1" t="s">
        <v>369</v>
      </c>
      <c r="K1312" s="6">
        <f>Registro_Ordini[[#This Row],[Numero]]*Registro_Ordini[[#This Row],[Prezzo]]</f>
        <v>23390.367999999999</v>
      </c>
      <c r="L1312" s="10">
        <v>1</v>
      </c>
      <c r="M1312" s="6">
        <f>Registro_Ordini[[#This Row],[Importo]]*Registro_Ordini[[#This Row],[Cambio]]</f>
        <v>23390.367999999999</v>
      </c>
      <c r="N1312" s="1">
        <f ca="1">IFERROR(_xlfn.NUMBERVALUE(OFFSET(Origine,MATCH(Registro_Ordini[[#This Row],[Titolo]],Descrizioni,0),MATCH("Price",Intestazioni,0)-1,1,1)),"")</f>
        <v>0.99534930556000001</v>
      </c>
      <c r="O1312" s="18">
        <f ca="1">IF(OR(Registro_Ordini[[#This Row],[Price]]=0,Registro_Ordini[[#This Row],[Price]]=""),"",IF(Registro_Ordini[[#This Row],[Tipo]]="Sell",Registro_Ordini[[#This Row],[Prezzo]]/Registro_Ordini[[#This Row],[Price]]-1,Registro_Ordini[[#This Row],[Price]]/Registro_Ordini[[#This Row],[Prezzo]]-1))</f>
        <v>6.3845281912623175E-2</v>
      </c>
      <c r="P1312" s="15">
        <v>3.8132718872340612E-2</v>
      </c>
      <c r="Q1312" s="3">
        <v>0.32481331439905603</v>
      </c>
      <c r="R1312" s="3">
        <v>0.19389041778024108</v>
      </c>
      <c r="S1312" s="3">
        <v>0.36156433019381468</v>
      </c>
      <c r="T1312" s="3">
        <v>0</v>
      </c>
      <c r="U1312" s="3">
        <v>0.11973193762688837</v>
      </c>
      <c r="V1312" s="3"/>
      <c r="W1312" s="4"/>
      <c r="X1312" s="13"/>
      <c r="Z1312"/>
      <c r="AA1312"/>
    </row>
    <row r="1313" spans="1:27" s="1" customFormat="1" ht="24.95" customHeight="1" x14ac:dyDescent="0.2">
      <c r="A1313" s="8">
        <v>45175</v>
      </c>
      <c r="B1313" s="7">
        <v>0.48541666666666666</v>
      </c>
      <c r="C1313" s="9" t="s">
        <v>156</v>
      </c>
      <c r="D1313" s="1" t="s">
        <v>368</v>
      </c>
      <c r="E1313" s="1" t="s">
        <v>363</v>
      </c>
      <c r="F1313" s="1" t="s">
        <v>588</v>
      </c>
      <c r="G1313" s="1" t="s">
        <v>371</v>
      </c>
      <c r="H1313" s="2">
        <v>35000</v>
      </c>
      <c r="I1313" s="16">
        <v>0.98326833000000002</v>
      </c>
      <c r="J1313" s="1" t="s">
        <v>369</v>
      </c>
      <c r="K1313" s="6">
        <f>Registro_Ordini[[#This Row],[Numero]]*Registro_Ordini[[#This Row],[Prezzo]]</f>
        <v>34414.39155</v>
      </c>
      <c r="L1313" s="10">
        <v>1</v>
      </c>
      <c r="M1313" s="6">
        <f>Registro_Ordini[[#This Row],[Importo]]*Registro_Ordini[[#This Row],[Cambio]]</f>
        <v>34414.39155</v>
      </c>
      <c r="N1313" s="1" t="str">
        <f ca="1">IFERROR(_xlfn.NUMBERVALUE(OFFSET(Origine,MATCH(Registro_Ordini[[#This Row],[Titolo]],Descrizioni,0),MATCH("Price",Intestazioni,0)-1,1,1)),"")</f>
        <v/>
      </c>
      <c r="O1313" s="18" t="str">
        <f ca="1">IF(OR(Registro_Ordini[[#This Row],[Price]]=0,Registro_Ordini[[#This Row],[Price]]=""),"",IF(Registro_Ordini[[#This Row],[Tipo]]="Sell",Registro_Ordini[[#This Row],[Prezzo]]/Registro_Ordini[[#This Row],[Price]]-1,Registro_Ordini[[#This Row],[Price]]/Registro_Ordini[[#This Row],[Prezzo]]-1))</f>
        <v/>
      </c>
      <c r="P1313" s="15">
        <v>5.6104902588056955E-2</v>
      </c>
      <c r="Q1313" s="3">
        <v>0.38091821698711298</v>
      </c>
      <c r="R1313" s="3">
        <v>0.1377855151921841</v>
      </c>
      <c r="S1313" s="3">
        <v>0.36156433019381468</v>
      </c>
      <c r="T1313" s="3">
        <v>0</v>
      </c>
      <c r="U1313" s="3">
        <v>0.11973193762688837</v>
      </c>
      <c r="V1313" s="3"/>
      <c r="W1313" s="4"/>
      <c r="X1313" s="13"/>
      <c r="Z1313"/>
      <c r="AA1313"/>
    </row>
    <row r="1314" spans="1:27" s="1" customFormat="1" ht="24.95" customHeight="1" x14ac:dyDescent="0.2">
      <c r="A1314" s="8">
        <v>45174</v>
      </c>
      <c r="B1314" s="7">
        <v>0.80972222222222223</v>
      </c>
      <c r="C1314" s="9" t="s">
        <v>156</v>
      </c>
      <c r="D1314" s="1" t="s">
        <v>388</v>
      </c>
      <c r="E1314" s="1" t="s">
        <v>389</v>
      </c>
      <c r="F1314" s="1" t="s">
        <v>589</v>
      </c>
      <c r="G1314" s="1" t="s">
        <v>371</v>
      </c>
      <c r="H1314" s="2">
        <v>150</v>
      </c>
      <c r="I1314" s="17">
        <v>94.52</v>
      </c>
      <c r="J1314" s="1" t="s">
        <v>366</v>
      </c>
      <c r="K1314" s="6">
        <f>Registro_Ordini[[#This Row],[Numero]]*Registro_Ordini[[#This Row],[Prezzo]]</f>
        <v>14178</v>
      </c>
      <c r="L1314" s="10">
        <v>0.88949999999999996</v>
      </c>
      <c r="M1314" s="6">
        <f>Registro_Ordini[[#This Row],[Importo]]*Registro_Ordini[[#This Row],[Cambio]]</f>
        <v>12611.331</v>
      </c>
      <c r="N1314" s="1">
        <f ca="1">IFERROR(_xlfn.NUMBERVALUE(OFFSET(Origine,MATCH(Registro_Ordini[[#This Row],[Titolo]],Descrizioni,0),MATCH("Price",Intestazioni,0)-1,1,1)),"")</f>
        <v>135.82</v>
      </c>
      <c r="O1314" s="18">
        <f ca="1">IF(OR(Registro_Ordini[[#This Row],[Price]]=0,Registro_Ordini[[#This Row],[Price]]=""),"",IF(Registro_Ordini[[#This Row],[Tipo]]="Sell",Registro_Ordini[[#This Row],[Prezzo]]/Registro_Ordini[[#This Row],[Price]]-1,Registro_Ordini[[#This Row],[Price]]/Registro_Ordini[[#This Row],[Prezzo]]-1))</f>
        <v>0.43694456199746079</v>
      </c>
      <c r="P1314" s="15">
        <v>2.0513424756600541E-2</v>
      </c>
      <c r="Q1314" s="3">
        <v>0.44162070091008215</v>
      </c>
      <c r="R1314" s="3">
        <v>0.13801205179488316</v>
      </c>
      <c r="S1314" s="3">
        <v>0.30104532302068027</v>
      </c>
      <c r="T1314" s="3">
        <v>0</v>
      </c>
      <c r="U1314" s="3">
        <v>0.11932192427435448</v>
      </c>
      <c r="V1314" s="3"/>
      <c r="W1314" s="4"/>
      <c r="X1314" s="13"/>
      <c r="Z1314"/>
      <c r="AA1314"/>
    </row>
    <row r="1315" spans="1:27" s="1" customFormat="1" ht="24.95" customHeight="1" x14ac:dyDescent="0.2">
      <c r="A1315" s="8">
        <v>45174</v>
      </c>
      <c r="B1315" s="7">
        <v>0.80972222222222223</v>
      </c>
      <c r="C1315" s="9" t="s">
        <v>156</v>
      </c>
      <c r="D1315" s="1" t="s">
        <v>388</v>
      </c>
      <c r="E1315" s="1" t="s">
        <v>389</v>
      </c>
      <c r="F1315" s="1" t="s">
        <v>590</v>
      </c>
      <c r="G1315" s="1" t="s">
        <v>371</v>
      </c>
      <c r="H1315" s="2">
        <v>320</v>
      </c>
      <c r="I1315" s="17">
        <v>88.53</v>
      </c>
      <c r="J1315" s="1" t="s">
        <v>366</v>
      </c>
      <c r="K1315" s="6">
        <f>Registro_Ordini[[#This Row],[Numero]]*Registro_Ordini[[#This Row],[Prezzo]]</f>
        <v>28329.599999999999</v>
      </c>
      <c r="L1315" s="10">
        <v>0.88949999999999996</v>
      </c>
      <c r="M1315" s="6">
        <f>Registro_Ordini[[#This Row],[Importo]]*Registro_Ordini[[#This Row],[Cambio]]</f>
        <v>25199.179199999999</v>
      </c>
      <c r="N1315" s="1" t="str">
        <f ca="1">IFERROR(_xlfn.NUMBERVALUE(OFFSET(Origine,MATCH(Registro_Ordini[[#This Row],[Titolo]],Descrizioni,0),MATCH("Price",Intestazioni,0)-1,1,1)),"")</f>
        <v/>
      </c>
      <c r="O1315" s="18" t="str">
        <f ca="1">IF(OR(Registro_Ordini[[#This Row],[Price]]=0,Registro_Ordini[[#This Row],[Price]]=""),"",IF(Registro_Ordini[[#This Row],[Tipo]]="Sell",Registro_Ordini[[#This Row],[Prezzo]]/Registro_Ordini[[#This Row],[Price]]-1,Registro_Ordini[[#This Row],[Price]]/Registro_Ordini[[#This Row],[Prezzo]]-1))</f>
        <v/>
      </c>
      <c r="P1315" s="15">
        <v>4.0988652700281472E-2</v>
      </c>
      <c r="Q1315" s="3">
        <v>0.42110727615348165</v>
      </c>
      <c r="R1315" s="3">
        <v>0.13801205179488316</v>
      </c>
      <c r="S1315" s="3">
        <v>0.32155874777728077</v>
      </c>
      <c r="T1315" s="3">
        <v>0</v>
      </c>
      <c r="U1315" s="3">
        <v>0.11932192427435448</v>
      </c>
      <c r="V1315" s="3"/>
      <c r="W1315" s="4"/>
      <c r="X1315" s="13"/>
      <c r="Z1315"/>
      <c r="AA1315"/>
    </row>
    <row r="1316" spans="1:27" s="1" customFormat="1" ht="24.95" customHeight="1" x14ac:dyDescent="0.2">
      <c r="A1316" s="8">
        <v>45174</v>
      </c>
      <c r="B1316" s="7">
        <v>0.64583333333333337</v>
      </c>
      <c r="C1316" s="9" t="s">
        <v>413</v>
      </c>
      <c r="D1316" s="1" t="s">
        <v>388</v>
      </c>
      <c r="E1316" s="1" t="s">
        <v>420</v>
      </c>
      <c r="F1316" s="19" t="s">
        <v>591</v>
      </c>
      <c r="G1316" s="1" t="s">
        <v>365</v>
      </c>
      <c r="H1316" s="2">
        <v>-5000</v>
      </c>
      <c r="I1316" s="17">
        <v>11.929600000000001</v>
      </c>
      <c r="J1316" s="1" t="s">
        <v>366</v>
      </c>
      <c r="K1316" s="6">
        <f>Registro_Ordini[[#This Row],[Numero]]*Registro_Ordini[[#This Row],[Prezzo]]</f>
        <v>-59648</v>
      </c>
      <c r="L1316" s="10">
        <v>0.89268000000000003</v>
      </c>
      <c r="M1316" s="6">
        <f>Registro_Ordini[[#This Row],[Importo]]*Registro_Ordini[[#This Row],[Cambio]]</f>
        <v>-53246.576639999999</v>
      </c>
      <c r="N1316" s="1">
        <f ca="1">IFERROR(_xlfn.NUMBERVALUE(OFFSET(Origine,MATCH(Registro_Ordini[[#This Row],[Titolo]],Descrizioni,0),MATCH("Price",Intestazioni,0)-1,1,1)),"")</f>
        <v>18.7925</v>
      </c>
      <c r="O1316" s="18">
        <f ca="1">IF(OR(Registro_Ordini[[#This Row],[Price]]=0,Registro_Ordini[[#This Row],[Price]]=""),"",IF(Registro_Ordini[[#This Row],[Tipo]]="Sell",Registro_Ordini[[#This Row],[Prezzo]]/Registro_Ordini[[#This Row],[Price]]-1,Registro_Ordini[[#This Row],[Price]]/Registro_Ordini[[#This Row],[Prezzo]]-1))</f>
        <v>-0.36519356126114144</v>
      </c>
      <c r="P1316" s="15">
        <v>-1.2844418446229841E-2</v>
      </c>
      <c r="Q1316" s="3">
        <v>0.1126268756527638</v>
      </c>
      <c r="R1316" s="3">
        <v>0.23217584091697602</v>
      </c>
      <c r="S1316" s="3">
        <v>0.30284247841123058</v>
      </c>
      <c r="T1316" s="3">
        <v>0</v>
      </c>
      <c r="U1316" s="3">
        <v>0.35235480501902955</v>
      </c>
      <c r="V1316" s="3">
        <v>0</v>
      </c>
      <c r="W1316" s="5"/>
      <c r="X1316" s="13"/>
      <c r="Z1316"/>
      <c r="AA1316"/>
    </row>
    <row r="1317" spans="1:27" s="1" customFormat="1" ht="24.95" customHeight="1" x14ac:dyDescent="0.2">
      <c r="A1317" s="8">
        <v>45173</v>
      </c>
      <c r="B1317" s="7">
        <v>0.67569444444444449</v>
      </c>
      <c r="C1317" s="9" t="s">
        <v>156</v>
      </c>
      <c r="D1317" s="1" t="s">
        <v>388</v>
      </c>
      <c r="E1317" s="1" t="s">
        <v>491</v>
      </c>
      <c r="F1317" s="1" t="s">
        <v>592</v>
      </c>
      <c r="G1317" s="1" t="s">
        <v>371</v>
      </c>
      <c r="H1317" s="2">
        <v>1000</v>
      </c>
      <c r="I1317" s="17">
        <v>6.6820000000000004</v>
      </c>
      <c r="J1317" s="1" t="s">
        <v>381</v>
      </c>
      <c r="K1317" s="6">
        <f>Registro_Ordini[[#This Row],[Numero]]*Registro_Ordini[[#This Row],[Prezzo]]</f>
        <v>6682</v>
      </c>
      <c r="L1317" s="10">
        <v>0.95528000000000002</v>
      </c>
      <c r="M1317" s="6">
        <f>Registro_Ordini[[#This Row],[Importo]]*Registro_Ordini[[#This Row],[Cambio]]</f>
        <v>6383.1809599999997</v>
      </c>
      <c r="N1317" s="1">
        <f ca="1">IFERROR(_xlfn.NUMBERVALUE(OFFSET(Origine,MATCH(Registro_Ordini[[#This Row],[Titolo]],Descrizioni,0),MATCH("Price",Intestazioni,0)-1,1,1)),"")</f>
        <v>6.68</v>
      </c>
      <c r="O1317" s="18">
        <f ca="1">IF(OR(Registro_Ordini[[#This Row],[Price]]=0,Registro_Ordini[[#This Row],[Price]]=""),"",IF(Registro_Ordini[[#This Row],[Tipo]]="Sell",Registro_Ordini[[#This Row],[Prezzo]]/Registro_Ordini[[#This Row],[Price]]-1,Registro_Ordini[[#This Row],[Price]]/Registro_Ordini[[#This Row],[Prezzo]]-1))</f>
        <v>-2.9931158335838592E-4</v>
      </c>
      <c r="P1317" s="15">
        <v>1.0340696069139342E-2</v>
      </c>
      <c r="Q1317" s="3">
        <v>0.44997047955079345</v>
      </c>
      <c r="R1317" s="3">
        <v>0.13781459001595409</v>
      </c>
      <c r="S1317" s="3">
        <v>0.29275963945285127</v>
      </c>
      <c r="T1317" s="3">
        <v>0</v>
      </c>
      <c r="U1317" s="3">
        <v>0.11945529098040117</v>
      </c>
      <c r="V1317" s="3"/>
      <c r="W1317" s="4"/>
      <c r="X1317" s="13"/>
      <c r="Z1317"/>
      <c r="AA1317"/>
    </row>
    <row r="1318" spans="1:27" s="1" customFormat="1" ht="24.95" customHeight="1" x14ac:dyDescent="0.2">
      <c r="A1318" s="8">
        <v>45173</v>
      </c>
      <c r="B1318" s="7">
        <v>0.67361111111111116</v>
      </c>
      <c r="C1318" s="9" t="s">
        <v>156</v>
      </c>
      <c r="D1318" s="1" t="s">
        <v>388</v>
      </c>
      <c r="E1318" s="1" t="s">
        <v>397</v>
      </c>
      <c r="F1318" s="1" t="s">
        <v>593</v>
      </c>
      <c r="G1318" s="1" t="s">
        <v>371</v>
      </c>
      <c r="H1318" s="2">
        <v>350</v>
      </c>
      <c r="I1318" s="17">
        <v>73.819999999999993</v>
      </c>
      <c r="J1318" s="1" t="s">
        <v>369</v>
      </c>
      <c r="K1318" s="6">
        <f>Registro_Ordini[[#This Row],[Numero]]*Registro_Ordini[[#This Row],[Prezzo]]</f>
        <v>25836.999999999996</v>
      </c>
      <c r="L1318" s="10">
        <v>1</v>
      </c>
      <c r="M1318" s="6">
        <f>Registro_Ordini[[#This Row],[Importo]]*Registro_Ordini[[#This Row],[Cambio]]</f>
        <v>25836.999999999996</v>
      </c>
      <c r="N1318" s="1">
        <f ca="1">IFERROR(_xlfn.NUMBERVALUE(OFFSET(Origine,MATCH(Registro_Ordini[[#This Row],[Titolo]],Descrizioni,0),MATCH("Price",Intestazioni,0)-1,1,1)),"")</f>
        <v>85.54</v>
      </c>
      <c r="O1318" s="18">
        <f ca="1">IF(OR(Registro_Ordini[[#This Row],[Price]]=0,Registro_Ordini[[#This Row],[Price]]=""),"",IF(Registro_Ordini[[#This Row],[Tipo]]="Sell",Registro_Ordini[[#This Row],[Prezzo]]/Registro_Ordini[[#This Row],[Price]]-1,Registro_Ordini[[#This Row],[Price]]/Registro_Ordini[[#This Row],[Prezzo]]-1))</f>
        <v>0.1587645624492009</v>
      </c>
      <c r="P1318" s="15">
        <v>4.1855708934554967E-2</v>
      </c>
      <c r="Q1318" s="3">
        <v>0.49182618848534843</v>
      </c>
      <c r="R1318" s="3">
        <v>0.13781459001595409</v>
      </c>
      <c r="S1318" s="3">
        <v>0.25090393051829624</v>
      </c>
      <c r="T1318" s="3">
        <v>0</v>
      </c>
      <c r="U1318" s="3">
        <v>0.11945529098040117</v>
      </c>
      <c r="V1318" s="3"/>
      <c r="W1318" s="4"/>
      <c r="X1318" s="13"/>
      <c r="Z1318"/>
      <c r="AA1318"/>
    </row>
    <row r="1319" spans="1:27" s="1" customFormat="1" ht="24.95" customHeight="1" x14ac:dyDescent="0.2">
      <c r="A1319" s="8">
        <v>45113</v>
      </c>
      <c r="B1319" s="7">
        <v>0.77500000000000002</v>
      </c>
      <c r="C1319" s="9" t="s">
        <v>594</v>
      </c>
      <c r="D1319" s="1" t="s">
        <v>388</v>
      </c>
      <c r="E1319" s="1" t="s">
        <v>403</v>
      </c>
      <c r="F1319" s="1" t="s">
        <v>404</v>
      </c>
      <c r="G1319" s="1" t="s">
        <v>365</v>
      </c>
      <c r="H1319" s="2">
        <v>-135</v>
      </c>
      <c r="I1319" s="17">
        <v>121.42</v>
      </c>
      <c r="J1319" s="1" t="s">
        <v>381</v>
      </c>
      <c r="K1319" s="6">
        <f>Registro_Ordini[[#This Row],[Numero]]*Registro_Ordini[[#This Row],[Prezzo]]</f>
        <v>-16391.7</v>
      </c>
      <c r="L1319" s="10">
        <v>0.975078</v>
      </c>
      <c r="M1319" s="6">
        <f>Registro_Ordini[[#This Row],[Importo]]*Registro_Ordini[[#This Row],[Cambio]]</f>
        <v>-15983.1860526</v>
      </c>
      <c r="N1319" s="1">
        <f ca="1">IFERROR(_xlfn.NUMBERVALUE(OFFSET(Origine,MATCH(Registro_Ordini[[#This Row],[Titolo]],Descrizioni,0),MATCH("Price",Intestazioni,0)-1,1,1)),"")</f>
        <v>165.04</v>
      </c>
      <c r="O1319" s="18">
        <f ca="1">IF(OR(Registro_Ordini[[#This Row],[Price]]=0,Registro_Ordini[[#This Row],[Price]]=""),"",IF(Registro_Ordini[[#This Row],[Tipo]]="Sell",Registro_Ordini[[#This Row],[Prezzo]]/Registro_Ordini[[#This Row],[Price]]-1,Registro_Ordini[[#This Row],[Price]]/Registro_Ordini[[#This Row],[Prezzo]]-1))</f>
        <v>-0.26429956374212304</v>
      </c>
      <c r="P1319" s="15">
        <v>-2.6559294506135527E-2</v>
      </c>
      <c r="Q1319" s="3">
        <v>0.91551759232876906</v>
      </c>
      <c r="R1319" s="3">
        <v>0</v>
      </c>
      <c r="S1319" s="3">
        <v>2.6559294506135527E-2</v>
      </c>
      <c r="T1319" s="3">
        <v>0</v>
      </c>
      <c r="U1319" s="3">
        <v>5.7923113165095227E-2</v>
      </c>
      <c r="V1319" s="3"/>
      <c r="W1319" s="4"/>
      <c r="X1319" s="13"/>
      <c r="Z1319"/>
      <c r="AA1319"/>
    </row>
    <row r="1320" spans="1:27" s="1" customFormat="1" ht="24.95" customHeight="1" x14ac:dyDescent="0.2">
      <c r="A1320" s="8">
        <v>45113</v>
      </c>
      <c r="B1320" s="7">
        <v>0.77430555555555558</v>
      </c>
      <c r="C1320" s="9" t="s">
        <v>594</v>
      </c>
      <c r="D1320" s="1" t="s">
        <v>388</v>
      </c>
      <c r="E1320" s="1" t="s">
        <v>403</v>
      </c>
      <c r="F1320" s="1" t="s">
        <v>548</v>
      </c>
      <c r="G1320" s="1" t="s">
        <v>365</v>
      </c>
      <c r="H1320" s="2">
        <v>-500</v>
      </c>
      <c r="I1320" s="17">
        <v>23.54</v>
      </c>
      <c r="J1320" s="1" t="s">
        <v>381</v>
      </c>
      <c r="K1320" s="6">
        <f>Registro_Ordini[[#This Row],[Numero]]*Registro_Ordini[[#This Row],[Prezzo]]</f>
        <v>-11770</v>
      </c>
      <c r="L1320" s="10">
        <v>0.975078</v>
      </c>
      <c r="M1320" s="6">
        <f>Registro_Ordini[[#This Row],[Importo]]*Registro_Ordini[[#This Row],[Cambio]]</f>
        <v>-11476.66806</v>
      </c>
      <c r="N1320" s="1" t="str">
        <f ca="1">IFERROR(_xlfn.NUMBERVALUE(OFFSET(Origine,MATCH(Registro_Ordini[[#This Row],[Titolo]],Descrizioni,0),MATCH("Price",Intestazioni,0)-1,1,1)),"")</f>
        <v/>
      </c>
      <c r="O1320" s="18" t="str">
        <f ca="1">IF(OR(Registro_Ordini[[#This Row],[Price]]=0,Registro_Ordini[[#This Row],[Price]]=""),"",IF(Registro_Ordini[[#This Row],[Tipo]]="Sell",Registro_Ordini[[#This Row],[Prezzo]]/Registro_Ordini[[#This Row],[Price]]-1,Registro_Ordini[[#This Row],[Price]]/Registro_Ordini[[#This Row],[Prezzo]]-1))</f>
        <v/>
      </c>
      <c r="P1320" s="15">
        <v>-1.9070803903025017E-2</v>
      </c>
      <c r="Q1320" s="3">
        <v>0.87637772434560335</v>
      </c>
      <c r="R1320" s="3">
        <v>0</v>
      </c>
      <c r="S1320" s="3">
        <v>6.5699162489301438E-2</v>
      </c>
      <c r="T1320" s="3">
        <v>0</v>
      </c>
      <c r="U1320" s="3">
        <v>5.7923113165095241E-2</v>
      </c>
      <c r="V1320" s="3"/>
      <c r="W1320" s="4"/>
      <c r="X1320" s="13"/>
      <c r="Z1320"/>
      <c r="AA1320"/>
    </row>
    <row r="1321" spans="1:27" s="1" customFormat="1" ht="24.95" customHeight="1" x14ac:dyDescent="0.2">
      <c r="A1321" s="8">
        <v>45113</v>
      </c>
      <c r="B1321" s="7">
        <v>0.77430555555555558</v>
      </c>
      <c r="C1321" s="9" t="s">
        <v>594</v>
      </c>
      <c r="D1321" s="1" t="s">
        <v>388</v>
      </c>
      <c r="E1321" s="1" t="s">
        <v>403</v>
      </c>
      <c r="F1321" s="1" t="s">
        <v>508</v>
      </c>
      <c r="G1321" s="1" t="s">
        <v>365</v>
      </c>
      <c r="H1321" s="2">
        <v>-950</v>
      </c>
      <c r="I1321" s="17">
        <v>13.038</v>
      </c>
      <c r="J1321" s="1" t="s">
        <v>381</v>
      </c>
      <c r="K1321" s="6">
        <f>Registro_Ordini[[#This Row],[Numero]]*Registro_Ordini[[#This Row],[Prezzo]]</f>
        <v>-12386.1</v>
      </c>
      <c r="L1321" s="10">
        <v>0.975078</v>
      </c>
      <c r="M1321" s="6">
        <f>Registro_Ordini[[#This Row],[Importo]]*Registro_Ordini[[#This Row],[Cambio]]</f>
        <v>-12077.4136158</v>
      </c>
      <c r="N1321" s="1">
        <f ca="1">IFERROR(_xlfn.NUMBERVALUE(OFFSET(Origine,MATCH(Registro_Ordini[[#This Row],[Titolo]],Descrizioni,0),MATCH("Price",Intestazioni,0)-1,1,1)),"")</f>
        <v>20.37</v>
      </c>
      <c r="O1321" s="18">
        <f ca="1">IF(OR(Registro_Ordini[[#This Row],[Price]]=0,Registro_Ordini[[#This Row],[Price]]=""),"",IF(Registro_Ordini[[#This Row],[Tipo]]="Sell",Registro_Ordini[[#This Row],[Prezzo]]/Registro_Ordini[[#This Row],[Price]]-1,Registro_Ordini[[#This Row],[Price]]/Registro_Ordini[[#This Row],[Prezzo]]-1))</f>
        <v>-0.35994108983799711</v>
      </c>
      <c r="P1321" s="15">
        <v>-2.0069064080140878E-2</v>
      </c>
      <c r="Q1321" s="3">
        <v>0.89544852824862831</v>
      </c>
      <c r="R1321" s="3">
        <v>0</v>
      </c>
      <c r="S1321" s="3">
        <v>4.6628358586276404E-2</v>
      </c>
      <c r="T1321" s="3">
        <v>0</v>
      </c>
      <c r="U1321" s="3">
        <v>5.7923113165095227E-2</v>
      </c>
      <c r="V1321" s="3"/>
      <c r="W1321" s="4"/>
      <c r="X1321" s="13"/>
      <c r="Z1321"/>
      <c r="AA1321"/>
    </row>
    <row r="1322" spans="1:27" s="1" customFormat="1" ht="24.95" customHeight="1" x14ac:dyDescent="0.2">
      <c r="A1322" s="8">
        <v>45113</v>
      </c>
      <c r="B1322" s="7">
        <v>0.77361111111111114</v>
      </c>
      <c r="C1322" s="9" t="s">
        <v>594</v>
      </c>
      <c r="D1322" s="1" t="s">
        <v>393</v>
      </c>
      <c r="E1322" s="1" t="s">
        <v>394</v>
      </c>
      <c r="F1322" s="1" t="s">
        <v>595</v>
      </c>
      <c r="G1322" s="1" t="s">
        <v>365</v>
      </c>
      <c r="H1322" s="2">
        <v>-6</v>
      </c>
      <c r="I1322" s="17">
        <v>5500.4</v>
      </c>
      <c r="J1322" s="1" t="s">
        <v>369</v>
      </c>
      <c r="K1322" s="6">
        <f>Registro_Ordini[[#This Row],[Numero]]*Registro_Ordini[[#This Row],[Prezzo]]</f>
        <v>-33002.399999999994</v>
      </c>
      <c r="L1322" s="10">
        <v>1</v>
      </c>
      <c r="M1322" s="6">
        <f>Registro_Ordini[[#This Row],[Importo]]*Registro_Ordini[[#This Row],[Cambio]]</f>
        <v>-33002.399999999994</v>
      </c>
      <c r="N1322" s="1">
        <f ca="1">IFERROR(_xlfn.NUMBERVALUE(OFFSET(Origine,MATCH(Registro_Ordini[[#This Row],[Titolo]],Descrizioni,0),MATCH("Price",Intestazioni,0)-1,1,1)),"")</f>
        <v>12834.3</v>
      </c>
      <c r="O1322" s="18">
        <f ca="1">IF(OR(Registro_Ordini[[#This Row],[Price]]=0,Registro_Ordini[[#This Row],[Price]]=""),"",IF(Registro_Ordini[[#This Row],[Tipo]]="Sell",Registro_Ordini[[#This Row],[Prezzo]]/Registro_Ordini[[#This Row],[Price]]-1,Registro_Ordini[[#This Row],[Price]]/Registro_Ordini[[#This Row],[Prezzo]]-1))</f>
        <v>-0.57142968451727016</v>
      </c>
      <c r="P1322" s="15">
        <v>-5.484015878465625E-2</v>
      </c>
      <c r="Q1322" s="3">
        <v>0.82153756556094715</v>
      </c>
      <c r="R1322" s="3">
        <v>0</v>
      </c>
      <c r="S1322" s="3">
        <v>6.5699162489301424E-2</v>
      </c>
      <c r="T1322" s="3">
        <v>0</v>
      </c>
      <c r="U1322" s="3">
        <v>0.11276327194975146</v>
      </c>
      <c r="V1322" s="3"/>
      <c r="W1322" s="4"/>
      <c r="X1322" s="13"/>
      <c r="Z1322"/>
      <c r="AA1322"/>
    </row>
    <row r="1323" spans="1:27" s="1" customFormat="1" ht="24.95" customHeight="1" x14ac:dyDescent="0.2">
      <c r="A1323" s="8">
        <v>45113</v>
      </c>
      <c r="B1323" s="7">
        <v>0.77361111111111114</v>
      </c>
      <c r="C1323" s="9" t="s">
        <v>594</v>
      </c>
      <c r="D1323" s="1" t="s">
        <v>388</v>
      </c>
      <c r="E1323" s="1" t="s">
        <v>423</v>
      </c>
      <c r="F1323" s="1" t="s">
        <v>583</v>
      </c>
      <c r="G1323" s="1" t="s">
        <v>365</v>
      </c>
      <c r="H1323" s="2">
        <v>-1310</v>
      </c>
      <c r="I1323" s="17">
        <v>19.37</v>
      </c>
      <c r="J1323" s="1" t="s">
        <v>366</v>
      </c>
      <c r="K1323" s="6">
        <f>Registro_Ordini[[#This Row],[Numero]]*Registro_Ordini[[#This Row],[Prezzo]]</f>
        <v>-25374.7</v>
      </c>
      <c r="L1323" s="10">
        <v>0.89634000000000003</v>
      </c>
      <c r="M1323" s="6">
        <f>Registro_Ordini[[#This Row],[Importo]]*Registro_Ordini[[#This Row],[Cambio]]</f>
        <v>-22744.358598000003</v>
      </c>
      <c r="N1323" s="1" t="str">
        <f ca="1">IFERROR(_xlfn.NUMBERVALUE(OFFSET(Origine,MATCH(Registro_Ordini[[#This Row],[Titolo]],Descrizioni,0),MATCH("Price",Intestazioni,0)-1,1,1)),"")</f>
        <v/>
      </c>
      <c r="O1323" s="18" t="str">
        <f ca="1">IF(OR(Registro_Ordini[[#This Row],[Price]]=0,Registro_Ordini[[#This Row],[Price]]=""),"",IF(Registro_Ordini[[#This Row],[Tipo]]="Sell",Registro_Ordini[[#This Row],[Prezzo]]/Registro_Ordini[[#This Row],[Price]]-1,Registro_Ordini[[#This Row],[Price]]/Registro_Ordini[[#This Row],[Prezzo]]-1))</f>
        <v/>
      </c>
      <c r="P1323" s="15">
        <v>-3.7794349410027198E-2</v>
      </c>
      <c r="Q1323" s="3">
        <v>0.73915974767007231</v>
      </c>
      <c r="R1323" s="3">
        <v>0</v>
      </c>
      <c r="S1323" s="3">
        <v>0.10349351189932862</v>
      </c>
      <c r="T1323" s="3">
        <v>2.0791217205828029E-2</v>
      </c>
      <c r="U1323" s="3">
        <v>0.1365555232247711</v>
      </c>
      <c r="V1323" s="3"/>
      <c r="W1323" s="4"/>
      <c r="X1323" s="13"/>
      <c r="Z1323"/>
      <c r="AA1323"/>
    </row>
    <row r="1324" spans="1:27" s="1" customFormat="1" ht="24.95" customHeight="1" x14ac:dyDescent="0.2">
      <c r="A1324" s="8">
        <v>45113</v>
      </c>
      <c r="B1324" s="7">
        <v>0.77361111111111114</v>
      </c>
      <c r="C1324" s="9" t="s">
        <v>594</v>
      </c>
      <c r="D1324" s="1" t="s">
        <v>577</v>
      </c>
      <c r="E1324" s="1" t="s">
        <v>397</v>
      </c>
      <c r="F1324" s="1" t="s">
        <v>578</v>
      </c>
      <c r="G1324" s="1" t="s">
        <v>365</v>
      </c>
      <c r="H1324" s="2">
        <v>-160</v>
      </c>
      <c r="I1324" s="17">
        <v>78.2</v>
      </c>
      <c r="J1324" s="1" t="s">
        <v>369</v>
      </c>
      <c r="K1324" s="6">
        <f>Registro_Ordini[[#This Row],[Numero]]*Registro_Ordini[[#This Row],[Prezzo]]</f>
        <v>-12512</v>
      </c>
      <c r="L1324" s="10">
        <v>1</v>
      </c>
      <c r="M1324" s="6">
        <f>Registro_Ordini[[#This Row],[Importo]]*Registro_Ordini[[#This Row],[Cambio]]</f>
        <v>-12512</v>
      </c>
      <c r="N1324" s="1">
        <f ca="1">IFERROR(_xlfn.NUMBERVALUE(OFFSET(Origine,MATCH(Registro_Ordini[[#This Row],[Titolo]],Descrizioni,0),MATCH("Price",Intestazioni,0)-1,1,1)),"")</f>
        <v>103.8</v>
      </c>
      <c r="O1324" s="18">
        <f ca="1">IF(OR(Registro_Ordini[[#This Row],[Price]]=0,Registro_Ordini[[#This Row],[Price]]=""),"",IF(Registro_Ordini[[#This Row],[Tipo]]="Sell",Registro_Ordini[[#This Row],[Prezzo]]/Registro_Ordini[[#This Row],[Price]]-1,Registro_Ordini[[#This Row],[Price]]/Registro_Ordini[[#This Row],[Prezzo]]-1))</f>
        <v>-0.24662813102119452</v>
      </c>
      <c r="P1324" s="15">
        <v>-2.0791217205828029E-2</v>
      </c>
      <c r="Q1324" s="3">
        <v>0.77695409708009944</v>
      </c>
      <c r="R1324" s="3">
        <v>0</v>
      </c>
      <c r="S1324" s="3">
        <v>6.5699162489301424E-2</v>
      </c>
      <c r="T1324" s="3">
        <v>2.0791217205828029E-2</v>
      </c>
      <c r="U1324" s="3">
        <v>0.1365555232247711</v>
      </c>
      <c r="V1324" s="3"/>
      <c r="W1324" s="4"/>
      <c r="X1324" s="13"/>
      <c r="Z1324"/>
      <c r="AA1324"/>
    </row>
    <row r="1325" spans="1:27" s="1" customFormat="1" ht="24.95" customHeight="1" x14ac:dyDescent="0.2">
      <c r="A1325" s="8">
        <v>45113</v>
      </c>
      <c r="B1325" s="7">
        <v>0.77361111111111114</v>
      </c>
      <c r="C1325" s="9" t="s">
        <v>594</v>
      </c>
      <c r="D1325" s="1" t="s">
        <v>393</v>
      </c>
      <c r="E1325" s="1" t="s">
        <v>394</v>
      </c>
      <c r="F1325" s="1" t="s">
        <v>396</v>
      </c>
      <c r="G1325" s="1" t="s">
        <v>365</v>
      </c>
      <c r="H1325" s="2">
        <v>-200</v>
      </c>
      <c r="I1325" s="17">
        <v>71.59</v>
      </c>
      <c r="J1325" s="1" t="s">
        <v>369</v>
      </c>
      <c r="K1325" s="6">
        <f>Registro_Ordini[[#This Row],[Numero]]*Registro_Ordini[[#This Row],[Prezzo]]</f>
        <v>-14318</v>
      </c>
      <c r="L1325" s="10">
        <v>1</v>
      </c>
      <c r="M1325" s="6">
        <f>Registro_Ordini[[#This Row],[Importo]]*Registro_Ordini[[#This Row],[Cambio]]</f>
        <v>-14318</v>
      </c>
      <c r="N1325" s="1">
        <f ca="1">IFERROR(_xlfn.NUMBERVALUE(OFFSET(Origine,MATCH(Registro_Ordini[[#This Row],[Titolo]],Descrizioni,0),MATCH("Price",Intestazioni,0)-1,1,1)),"")</f>
        <v>168.24</v>
      </c>
      <c r="O1325" s="18">
        <f ca="1">IF(OR(Registro_Ordini[[#This Row],[Price]]=0,Registro_Ordini[[#This Row],[Price]]=""),"",IF(Registro_Ordini[[#This Row],[Tipo]]="Sell",Registro_Ordini[[#This Row],[Prezzo]]/Registro_Ordini[[#This Row],[Price]]-1,Registro_Ordini[[#This Row],[Price]]/Registro_Ordini[[#This Row],[Prezzo]]-1))</f>
        <v>-0.5744769377080361</v>
      </c>
      <c r="P1325" s="15">
        <v>-2.3792251275019639E-2</v>
      </c>
      <c r="Q1325" s="3">
        <v>0.79774531428592754</v>
      </c>
      <c r="R1325" s="3">
        <v>0</v>
      </c>
      <c r="S1325" s="3">
        <v>6.5699162489301424E-2</v>
      </c>
      <c r="T1325" s="3">
        <v>0</v>
      </c>
      <c r="U1325" s="3">
        <v>0.1365555232247711</v>
      </c>
      <c r="V1325" s="3"/>
      <c r="W1325" s="4"/>
      <c r="X1325" s="13"/>
      <c r="Z1325"/>
      <c r="AA1325"/>
    </row>
    <row r="1326" spans="1:27" s="1" customFormat="1" ht="24.95" customHeight="1" x14ac:dyDescent="0.2">
      <c r="A1326" s="8">
        <v>45113</v>
      </c>
      <c r="B1326" s="7">
        <v>0.7729166666666667</v>
      </c>
      <c r="C1326" s="9" t="s">
        <v>594</v>
      </c>
      <c r="D1326" s="1" t="s">
        <v>388</v>
      </c>
      <c r="E1326" s="1" t="s">
        <v>389</v>
      </c>
      <c r="F1326" s="1" t="s">
        <v>531</v>
      </c>
      <c r="G1326" s="1" t="s">
        <v>365</v>
      </c>
      <c r="H1326" s="2">
        <v>-1500</v>
      </c>
      <c r="I1326" s="17">
        <v>7.9362500000000002</v>
      </c>
      <c r="J1326" s="1" t="s">
        <v>366</v>
      </c>
      <c r="K1326" s="6">
        <f>Registro_Ordini[[#This Row],[Numero]]*Registro_Ordini[[#This Row],[Prezzo]]</f>
        <v>-11904.375</v>
      </c>
      <c r="L1326" s="10">
        <v>0.89634000000000003</v>
      </c>
      <c r="M1326" s="6">
        <f>Registro_Ordini[[#This Row],[Importo]]*Registro_Ordini[[#This Row],[Cambio]]</f>
        <v>-10670.3674875</v>
      </c>
      <c r="N1326" s="1">
        <f ca="1">IFERROR(_xlfn.NUMBERVALUE(OFFSET(Origine,MATCH(Registro_Ordini[[#This Row],[Titolo]],Descrizioni,0),MATCH("Price",Intestazioni,0)-1,1,1)),"")</f>
        <v>10.435</v>
      </c>
      <c r="O1326" s="18">
        <f ca="1">IF(OR(Registro_Ordini[[#This Row],[Price]]=0,Registro_Ordini[[#This Row],[Price]]=""),"",IF(Registro_Ordini[[#This Row],[Tipo]]="Sell",Registro_Ordini[[#This Row],[Prezzo]]/Registro_Ordini[[#This Row],[Price]]-1,Registro_Ordini[[#This Row],[Price]]/Registro_Ordini[[#This Row],[Prezzo]]-1))</f>
        <v>-0.23945855294681362</v>
      </c>
      <c r="P1326" s="15">
        <v>-1.7730972514275734E-2</v>
      </c>
      <c r="Q1326" s="3">
        <v>0.65931170564008357</v>
      </c>
      <c r="R1326" s="3">
        <v>0</v>
      </c>
      <c r="S1326" s="3">
        <v>0.18334155392931731</v>
      </c>
      <c r="T1326" s="3">
        <v>2.0791217205828029E-2</v>
      </c>
      <c r="U1326" s="3">
        <v>0.1365555232247711</v>
      </c>
      <c r="V1326" s="3"/>
      <c r="W1326" s="4"/>
      <c r="X1326" s="13"/>
      <c r="Z1326"/>
      <c r="AA1326"/>
    </row>
    <row r="1327" spans="1:27" s="1" customFormat="1" ht="24.95" customHeight="1" x14ac:dyDescent="0.2">
      <c r="A1327" s="8">
        <v>45113</v>
      </c>
      <c r="B1327" s="7">
        <v>0.7729166666666667</v>
      </c>
      <c r="C1327" s="9" t="s">
        <v>594</v>
      </c>
      <c r="D1327" s="1" t="s">
        <v>388</v>
      </c>
      <c r="E1327" s="1" t="s">
        <v>389</v>
      </c>
      <c r="F1327" s="1" t="s">
        <v>509</v>
      </c>
      <c r="G1327" s="1" t="s">
        <v>365</v>
      </c>
      <c r="H1327" s="2">
        <v>-630</v>
      </c>
      <c r="I1327" s="17">
        <v>21.89</v>
      </c>
      <c r="J1327" s="1" t="s">
        <v>366</v>
      </c>
      <c r="K1327" s="6">
        <f>Registro_Ordini[[#This Row],[Numero]]*Registro_Ordini[[#This Row],[Prezzo]]</f>
        <v>-13790.7</v>
      </c>
      <c r="L1327" s="10">
        <v>0.89634000000000003</v>
      </c>
      <c r="M1327" s="6">
        <f>Registro_Ordini[[#This Row],[Importo]]*Registro_Ordini[[#This Row],[Cambio]]</f>
        <v>-12361.156038000001</v>
      </c>
      <c r="N1327" s="1">
        <f ca="1">IFERROR(_xlfn.NUMBERVALUE(OFFSET(Origine,MATCH(Registro_Ordini[[#This Row],[Titolo]],Descrizioni,0),MATCH("Price",Intestazioni,0)-1,1,1)),"")</f>
        <v>39.229999999999997</v>
      </c>
      <c r="O1327" s="18">
        <f ca="1">IF(OR(Registro_Ordini[[#This Row],[Price]]=0,Registro_Ordini[[#This Row],[Price]]=""),"",IF(Registro_Ordini[[#This Row],[Tipo]]="Sell",Registro_Ordini[[#This Row],[Prezzo]]/Registro_Ordini[[#This Row],[Price]]-1,Registro_Ordini[[#This Row],[Price]]/Registro_Ordini[[#This Row],[Prezzo]]-1))</f>
        <v>-0.44200866683660456</v>
      </c>
      <c r="P1327" s="15">
        <v>-2.0540559471003091E-2</v>
      </c>
      <c r="Q1327" s="3">
        <v>0.67704267815435937</v>
      </c>
      <c r="R1327" s="3">
        <v>0</v>
      </c>
      <c r="S1327" s="3">
        <v>0.16561058141504156</v>
      </c>
      <c r="T1327" s="3">
        <v>2.0791217205828029E-2</v>
      </c>
      <c r="U1327" s="3">
        <v>0.1365555232247711</v>
      </c>
      <c r="V1327" s="3"/>
      <c r="W1327" s="4"/>
      <c r="X1327" s="13"/>
      <c r="Z1327"/>
      <c r="AA1327"/>
    </row>
    <row r="1328" spans="1:27" s="1" customFormat="1" ht="24.95" customHeight="1" x14ac:dyDescent="0.2">
      <c r="A1328" s="8">
        <v>45113</v>
      </c>
      <c r="B1328" s="7">
        <v>0.7729166666666667</v>
      </c>
      <c r="C1328" s="9" t="s">
        <v>594</v>
      </c>
      <c r="D1328" s="1" t="s">
        <v>388</v>
      </c>
      <c r="E1328" s="1" t="s">
        <v>463</v>
      </c>
      <c r="F1328" s="1" t="s">
        <v>596</v>
      </c>
      <c r="G1328" s="1" t="s">
        <v>365</v>
      </c>
      <c r="H1328" s="2">
        <v>-90</v>
      </c>
      <c r="I1328" s="17">
        <v>159.85</v>
      </c>
      <c r="J1328" s="1" t="s">
        <v>366</v>
      </c>
      <c r="K1328" s="6">
        <f>Registro_Ordini[[#This Row],[Numero]]*Registro_Ordini[[#This Row],[Prezzo]]</f>
        <v>-14386.5</v>
      </c>
      <c r="L1328" s="10">
        <v>0.89634000000000003</v>
      </c>
      <c r="M1328" s="6">
        <f>Registro_Ordini[[#This Row],[Importo]]*Registro_Ordini[[#This Row],[Cambio]]</f>
        <v>-12895.19541</v>
      </c>
      <c r="N1328" s="1" t="str">
        <f ca="1">IFERROR(_xlfn.NUMBERVALUE(OFFSET(Origine,MATCH(Registro_Ordini[[#This Row],[Titolo]],Descrizioni,0),MATCH("Price",Intestazioni,0)-1,1,1)),"")</f>
        <v/>
      </c>
      <c r="O1328" s="18" t="str">
        <f ca="1">IF(OR(Registro_Ordini[[#This Row],[Price]]=0,Registro_Ordini[[#This Row],[Price]]=""),"",IF(Registro_Ordini[[#This Row],[Tipo]]="Sell",Registro_Ordini[[#This Row],[Prezzo]]/Registro_Ordini[[#This Row],[Price]]-1,Registro_Ordini[[#This Row],[Price]]/Registro_Ordini[[#This Row],[Prezzo]]-1))</f>
        <v/>
      </c>
      <c r="P1328" s="15">
        <v>-2.1427973839586528E-2</v>
      </c>
      <c r="Q1328" s="3">
        <v>0.69758323762536245</v>
      </c>
      <c r="R1328" s="3">
        <v>0</v>
      </c>
      <c r="S1328" s="3">
        <v>0.14507002194403848</v>
      </c>
      <c r="T1328" s="3">
        <v>2.0791217205828029E-2</v>
      </c>
      <c r="U1328" s="3">
        <v>0.1365555232247711</v>
      </c>
      <c r="V1328" s="3"/>
      <c r="W1328" s="4"/>
      <c r="X1328" s="13"/>
      <c r="Z1328"/>
      <c r="AA1328"/>
    </row>
    <row r="1329" spans="1:27" s="1" customFormat="1" ht="24.95" customHeight="1" x14ac:dyDescent="0.2">
      <c r="A1329" s="8">
        <v>45113</v>
      </c>
      <c r="B1329" s="7">
        <v>0.7729166666666667</v>
      </c>
      <c r="C1329" s="9" t="s">
        <v>594</v>
      </c>
      <c r="D1329" s="1" t="s">
        <v>388</v>
      </c>
      <c r="E1329" s="1" t="s">
        <v>420</v>
      </c>
      <c r="F1329" s="1" t="s">
        <v>597</v>
      </c>
      <c r="G1329" s="1" t="s">
        <v>365</v>
      </c>
      <c r="H1329" s="2">
        <v>-250</v>
      </c>
      <c r="I1329" s="17">
        <v>54.11</v>
      </c>
      <c r="J1329" s="1" t="s">
        <v>366</v>
      </c>
      <c r="K1329" s="6">
        <f>Registro_Ordini[[#This Row],[Numero]]*Registro_Ordini[[#This Row],[Prezzo]]</f>
        <v>-13527.5</v>
      </c>
      <c r="L1329" s="10">
        <v>0.89634000000000003</v>
      </c>
      <c r="M1329" s="6">
        <f>Registro_Ordini[[#This Row],[Importo]]*Registro_Ordini[[#This Row],[Cambio]]</f>
        <v>-12125.23935</v>
      </c>
      <c r="N1329" s="1" t="str">
        <f ca="1">IFERROR(_xlfn.NUMBERVALUE(OFFSET(Origine,MATCH(Registro_Ordini[[#This Row],[Titolo]],Descrizioni,0),MATCH("Price",Intestazioni,0)-1,1,1)),"")</f>
        <v/>
      </c>
      <c r="O1329" s="18" t="str">
        <f ca="1">IF(OR(Registro_Ordini[[#This Row],[Price]]=0,Registro_Ordini[[#This Row],[Price]]=""),"",IF(Registro_Ordini[[#This Row],[Tipo]]="Sell",Registro_Ordini[[#This Row],[Prezzo]]/Registro_Ordini[[#This Row],[Price]]-1,Registro_Ordini[[#This Row],[Price]]/Registro_Ordini[[#This Row],[Prezzo]]-1))</f>
        <v/>
      </c>
      <c r="P1329" s="15">
        <v>-2.0148536205123326E-2</v>
      </c>
      <c r="Q1329" s="3">
        <v>0.71901121146494895</v>
      </c>
      <c r="R1329" s="3">
        <v>0</v>
      </c>
      <c r="S1329" s="3">
        <v>0.12364204810445195</v>
      </c>
      <c r="T1329" s="3">
        <v>2.0791217205828029E-2</v>
      </c>
      <c r="U1329" s="3">
        <v>0.1365555232247711</v>
      </c>
      <c r="V1329" s="3"/>
      <c r="W1329" s="4"/>
      <c r="X1329" s="13"/>
      <c r="Z1329"/>
      <c r="AA1329"/>
    </row>
    <row r="1330" spans="1:27" s="1" customFormat="1" ht="24.95" customHeight="1" x14ac:dyDescent="0.2">
      <c r="A1330" s="8">
        <v>45113</v>
      </c>
      <c r="B1330" s="7">
        <v>0.77222222222222225</v>
      </c>
      <c r="C1330" s="9" t="s">
        <v>594</v>
      </c>
      <c r="D1330" s="1" t="s">
        <v>388</v>
      </c>
      <c r="E1330" s="1" t="s">
        <v>397</v>
      </c>
      <c r="F1330" s="1" t="s">
        <v>527</v>
      </c>
      <c r="G1330" s="1" t="s">
        <v>365</v>
      </c>
      <c r="H1330" s="2">
        <v>-1</v>
      </c>
      <c r="I1330" s="17">
        <v>10800</v>
      </c>
      <c r="J1330" s="1" t="s">
        <v>369</v>
      </c>
      <c r="K1330" s="6">
        <f>Registro_Ordini[[#This Row],[Numero]]*Registro_Ordini[[#This Row],[Prezzo]]</f>
        <v>-10800</v>
      </c>
      <c r="L1330" s="10">
        <v>1</v>
      </c>
      <c r="M1330" s="6">
        <f>Registro_Ordini[[#This Row],[Importo]]*Registro_Ordini[[#This Row],[Cambio]]</f>
        <v>-10800</v>
      </c>
      <c r="N1330" s="1">
        <f ca="1">IFERROR(_xlfn.NUMBERVALUE(OFFSET(Origine,MATCH(Registro_Ordini[[#This Row],[Titolo]],Descrizioni,0),MATCH("Price",Intestazioni,0)-1,1,1)),"")</f>
        <v>12240</v>
      </c>
      <c r="O1330" s="18">
        <f ca="1">IF(OR(Registro_Ordini[[#This Row],[Price]]=0,Registro_Ordini[[#This Row],[Price]]=""),"",IF(Registro_Ordini[[#This Row],[Tipo]]="Sell",Registro_Ordini[[#This Row],[Prezzo]]/Registro_Ordini[[#This Row],[Price]]-1,Registro_Ordini[[#This Row],[Price]]/Registro_Ordini[[#This Row],[Prezzo]]-1))</f>
        <v>-0.11764705882352944</v>
      </c>
      <c r="P1330" s="15">
        <v>-1.7946383138022916E-2</v>
      </c>
      <c r="Q1330" s="3">
        <v>0.64136532250206069</v>
      </c>
      <c r="R1330" s="3">
        <v>0</v>
      </c>
      <c r="S1330" s="3">
        <v>0.20128793706734024</v>
      </c>
      <c r="T1330" s="3">
        <v>2.0791217205828029E-2</v>
      </c>
      <c r="U1330" s="3">
        <v>0.1365555232247711</v>
      </c>
      <c r="V1330" s="3"/>
      <c r="W1330" s="4"/>
      <c r="X1330" s="13"/>
      <c r="Z1330"/>
      <c r="AA1330"/>
    </row>
    <row r="1331" spans="1:27" s="1" customFormat="1" ht="24.95" customHeight="1" x14ac:dyDescent="0.2">
      <c r="A1331" s="8">
        <v>45113</v>
      </c>
      <c r="B1331" s="7">
        <v>0.77222222222222225</v>
      </c>
      <c r="C1331" s="9" t="s">
        <v>594</v>
      </c>
      <c r="D1331" s="1" t="s">
        <v>388</v>
      </c>
      <c r="E1331" s="1" t="s">
        <v>397</v>
      </c>
      <c r="F1331" s="1" t="s">
        <v>443</v>
      </c>
      <c r="G1331" s="1" t="s">
        <v>365</v>
      </c>
      <c r="H1331" s="2">
        <v>-260</v>
      </c>
      <c r="I1331" s="17">
        <v>87.858000000000004</v>
      </c>
      <c r="J1331" s="1" t="s">
        <v>369</v>
      </c>
      <c r="K1331" s="6">
        <f>Registro_Ordini[[#This Row],[Numero]]*Registro_Ordini[[#This Row],[Prezzo]]</f>
        <v>-22843.08</v>
      </c>
      <c r="L1331" s="10">
        <v>1</v>
      </c>
      <c r="M1331" s="6">
        <f>Registro_Ordini[[#This Row],[Importo]]*Registro_Ordini[[#This Row],[Cambio]]</f>
        <v>-22843.08</v>
      </c>
      <c r="N1331" s="1">
        <f ca="1">IFERROR(_xlfn.NUMBERVALUE(OFFSET(Origine,MATCH(Registro_Ordini[[#This Row],[Titolo]],Descrizioni,0),MATCH("Price",Intestazioni,0)-1,1,1)),"")</f>
        <v>126.4</v>
      </c>
      <c r="O1331" s="18">
        <f ca="1">IF(OR(Registro_Ordini[[#This Row],[Price]]=0,Registro_Ordini[[#This Row],[Price]]=""),"",IF(Registro_Ordini[[#This Row],[Tipo]]="Sell",Registro_Ordini[[#This Row],[Prezzo]]/Registro_Ordini[[#This Row],[Price]]-1,Registro_Ordini[[#This Row],[Price]]/Registro_Ordini[[#This Row],[Prezzo]]-1))</f>
        <v>-0.30492088607594936</v>
      </c>
      <c r="P1331" s="15">
        <v>-3.7958394975232269E-2</v>
      </c>
      <c r="Q1331" s="3">
        <v>0.55485116007455071</v>
      </c>
      <c r="R1331" s="3">
        <v>0</v>
      </c>
      <c r="S1331" s="3">
        <v>0.28780209949485014</v>
      </c>
      <c r="T1331" s="3">
        <v>2.0791217205828032E-2</v>
      </c>
      <c r="U1331" s="3">
        <v>0.13655552322477113</v>
      </c>
      <c r="V1331" s="3"/>
      <c r="W1331" s="4"/>
      <c r="X1331" s="13"/>
      <c r="Z1331"/>
      <c r="AA1331"/>
    </row>
    <row r="1332" spans="1:27" s="1" customFormat="1" ht="24.95" customHeight="1" x14ac:dyDescent="0.2">
      <c r="A1332" s="8">
        <v>45113</v>
      </c>
      <c r="B1332" s="7">
        <v>0.77222222222222225</v>
      </c>
      <c r="C1332" s="9" t="s">
        <v>594</v>
      </c>
      <c r="D1332" s="1" t="s">
        <v>388</v>
      </c>
      <c r="E1332" s="1" t="s">
        <v>397</v>
      </c>
      <c r="F1332" s="1" t="s">
        <v>573</v>
      </c>
      <c r="G1332" s="1" t="s">
        <v>365</v>
      </c>
      <c r="H1332" s="2">
        <v>-65</v>
      </c>
      <c r="I1332" s="17">
        <v>193.3</v>
      </c>
      <c r="J1332" s="1" t="s">
        <v>369</v>
      </c>
      <c r="K1332" s="6">
        <f>Registro_Ordini[[#This Row],[Numero]]*Registro_Ordini[[#This Row],[Prezzo]]</f>
        <v>-12564.5</v>
      </c>
      <c r="L1332" s="10">
        <v>1</v>
      </c>
      <c r="M1332" s="6">
        <f>Registro_Ordini[[#This Row],[Importo]]*Registro_Ordini[[#This Row],[Cambio]]</f>
        <v>-12564.5</v>
      </c>
      <c r="N1332" s="1">
        <f ca="1">IFERROR(_xlfn.NUMBERVALUE(OFFSET(Origine,MATCH(Registro_Ordini[[#This Row],[Titolo]],Descrizioni,0),MATCH("Price",Intestazioni,0)-1,1,1)),"")</f>
        <v>275.5</v>
      </c>
      <c r="O1332" s="18">
        <f ca="1">IF(OR(Registro_Ordini[[#This Row],[Price]]=0,Registro_Ordini[[#This Row],[Price]]=""),"",IF(Registro_Ordini[[#This Row],[Tipo]]="Sell",Registro_Ordini[[#This Row],[Prezzo]]/Registro_Ordini[[#This Row],[Price]]-1,Registro_Ordini[[#This Row],[Price]]/Registro_Ordini[[#This Row],[Prezzo]]-1))</f>
        <v>-0.29836660617059885</v>
      </c>
      <c r="P1332" s="15">
        <v>-2.0878456568304529E-2</v>
      </c>
      <c r="Q1332" s="3">
        <v>0.59280955504978305</v>
      </c>
      <c r="R1332" s="3">
        <v>0</v>
      </c>
      <c r="S1332" s="3">
        <v>0.24984370451961788</v>
      </c>
      <c r="T1332" s="3">
        <v>2.0791217205828029E-2</v>
      </c>
      <c r="U1332" s="3">
        <v>0.1365555232247711</v>
      </c>
      <c r="V1332" s="3"/>
      <c r="W1332" s="4"/>
      <c r="X1332" s="13"/>
      <c r="Z1332"/>
      <c r="AA1332"/>
    </row>
    <row r="1333" spans="1:27" s="1" customFormat="1" ht="24.95" customHeight="1" x14ac:dyDescent="0.2">
      <c r="A1333" s="8">
        <v>45113</v>
      </c>
      <c r="B1333" s="7">
        <v>0.77222222222222225</v>
      </c>
      <c r="C1333" s="9" t="s">
        <v>594</v>
      </c>
      <c r="D1333" s="1" t="s">
        <v>388</v>
      </c>
      <c r="E1333" s="1" t="s">
        <v>397</v>
      </c>
      <c r="F1333" s="1" t="s">
        <v>435</v>
      </c>
      <c r="G1333" s="1" t="s">
        <v>365</v>
      </c>
      <c r="H1333" s="2">
        <v>-30</v>
      </c>
      <c r="I1333" s="17">
        <v>555.20000000000005</v>
      </c>
      <c r="J1333" s="1" t="s">
        <v>369</v>
      </c>
      <c r="K1333" s="6">
        <f>Registro_Ordini[[#This Row],[Numero]]*Registro_Ordini[[#This Row],[Prezzo]]</f>
        <v>-16656</v>
      </c>
      <c r="L1333" s="10">
        <v>1</v>
      </c>
      <c r="M1333" s="6">
        <f>Registro_Ordini[[#This Row],[Importo]]*Registro_Ordini[[#This Row],[Cambio]]</f>
        <v>-16656</v>
      </c>
      <c r="N1333" s="1">
        <f ca="1">IFERROR(_xlfn.NUMBERVALUE(OFFSET(Origine,MATCH(Registro_Ordini[[#This Row],[Titolo]],Descrizioni,0),MATCH("Price",Intestazioni,0)-1,1,1)),"")</f>
        <v>715.5</v>
      </c>
      <c r="O1333" s="18">
        <f ca="1">IF(OR(Registro_Ordini[[#This Row],[Price]]=0,Registro_Ordini[[#This Row],[Price]]=""),"",IF(Registro_Ordini[[#This Row],[Tipo]]="Sell",Registro_Ordini[[#This Row],[Prezzo]]/Registro_Ordini[[#This Row],[Price]]-1,Registro_Ordini[[#This Row],[Price]]/Registro_Ordini[[#This Row],[Prezzo]]-1))</f>
        <v>-0.22403913347309568</v>
      </c>
      <c r="P1333" s="15">
        <v>-2.7677310883973121E-2</v>
      </c>
      <c r="Q1333" s="3">
        <v>0.6136880116180875</v>
      </c>
      <c r="R1333" s="3">
        <v>0</v>
      </c>
      <c r="S1333" s="3">
        <v>0.22896524795131334</v>
      </c>
      <c r="T1333" s="3">
        <v>2.0791217205828029E-2</v>
      </c>
      <c r="U1333" s="3">
        <v>0.1365555232247711</v>
      </c>
      <c r="V1333" s="3"/>
      <c r="W1333" s="4"/>
      <c r="X1333" s="13"/>
      <c r="Z1333"/>
      <c r="AA1333"/>
    </row>
    <row r="1334" spans="1:27" s="1" customFormat="1" ht="24.95" customHeight="1" x14ac:dyDescent="0.2">
      <c r="A1334" s="8">
        <v>45113</v>
      </c>
      <c r="B1334" s="7">
        <v>0.77152777777777781</v>
      </c>
      <c r="C1334" s="9" t="s">
        <v>594</v>
      </c>
      <c r="D1334" s="1" t="s">
        <v>388</v>
      </c>
      <c r="E1334" s="1" t="s">
        <v>397</v>
      </c>
      <c r="F1334" s="1" t="s">
        <v>485</v>
      </c>
      <c r="G1334" s="1" t="s">
        <v>365</v>
      </c>
      <c r="H1334" s="2">
        <v>-300</v>
      </c>
      <c r="I1334" s="17">
        <v>57.537999999999997</v>
      </c>
      <c r="J1334" s="1" t="s">
        <v>369</v>
      </c>
      <c r="K1334" s="6">
        <f>Registro_Ordini[[#This Row],[Numero]]*Registro_Ordini[[#This Row],[Prezzo]]</f>
        <v>-17261.399999999998</v>
      </c>
      <c r="L1334" s="10">
        <v>1</v>
      </c>
      <c r="M1334" s="6">
        <f>Registro_Ordini[[#This Row],[Importo]]*Registro_Ordini[[#This Row],[Cambio]]</f>
        <v>-17261.399999999998</v>
      </c>
      <c r="N1334" s="1">
        <f ca="1">IFERROR(_xlfn.NUMBERVALUE(OFFSET(Origine,MATCH(Registro_Ordini[[#This Row],[Titolo]],Descrizioni,0),MATCH("Price",Intestazioni,0)-1,1,1)),"")</f>
        <v>66.959999999999994</v>
      </c>
      <c r="O1334" s="18">
        <f ca="1">IF(OR(Registro_Ordini[[#This Row],[Price]]=0,Registro_Ordini[[#This Row],[Price]]=""),"",IF(Registro_Ordini[[#This Row],[Tipo]]="Sell",Registro_Ordini[[#This Row],[Prezzo]]/Registro_Ordini[[#This Row],[Price]]-1,Registro_Ordini[[#This Row],[Price]]/Registro_Ordini[[#This Row],[Prezzo]]-1))</f>
        <v>-0.14071087216248501</v>
      </c>
      <c r="P1334" s="15">
        <v>-2.868330536098785E-2</v>
      </c>
      <c r="Q1334" s="3">
        <v>0.49970516501058404</v>
      </c>
      <c r="R1334" s="3">
        <v>0</v>
      </c>
      <c r="S1334" s="3">
        <v>0.34294809455881686</v>
      </c>
      <c r="T1334" s="3">
        <v>2.0791217205828032E-2</v>
      </c>
      <c r="U1334" s="3">
        <v>0.13655552322477113</v>
      </c>
      <c r="V1334" s="3"/>
      <c r="W1334" s="4"/>
      <c r="X1334" s="13"/>
      <c r="Z1334"/>
      <c r="AA1334"/>
    </row>
    <row r="1335" spans="1:27" s="1" customFormat="1" ht="24.95" customHeight="1" x14ac:dyDescent="0.2">
      <c r="A1335" s="8">
        <v>45113</v>
      </c>
      <c r="B1335" s="7">
        <v>0.77152777777777781</v>
      </c>
      <c r="C1335" s="9" t="s">
        <v>594</v>
      </c>
      <c r="D1335" s="1" t="s">
        <v>388</v>
      </c>
      <c r="E1335" s="1" t="s">
        <v>397</v>
      </c>
      <c r="F1335" s="1" t="s">
        <v>419</v>
      </c>
      <c r="G1335" s="1" t="s">
        <v>365</v>
      </c>
      <c r="H1335" s="2">
        <v>-150</v>
      </c>
      <c r="I1335" s="17">
        <v>106.167</v>
      </c>
      <c r="J1335" s="1" t="s">
        <v>369</v>
      </c>
      <c r="K1335" s="6">
        <f>Registro_Ordini[[#This Row],[Numero]]*Registro_Ordini[[#This Row],[Prezzo]]</f>
        <v>-15925.050000000001</v>
      </c>
      <c r="L1335" s="10">
        <v>1</v>
      </c>
      <c r="M1335" s="6">
        <f>Registro_Ordini[[#This Row],[Importo]]*Registro_Ordini[[#This Row],[Cambio]]</f>
        <v>-15925.050000000001</v>
      </c>
      <c r="N1335" s="1">
        <f ca="1">IFERROR(_xlfn.NUMBERVALUE(OFFSET(Origine,MATCH(Registro_Ordini[[#This Row],[Titolo]],Descrizioni,0),MATCH("Price",Intestazioni,0)-1,1,1)),"")</f>
        <v>81.25</v>
      </c>
      <c r="O1335" s="18">
        <f ca="1">IF(OR(Registro_Ordini[[#This Row],[Price]]=0,Registro_Ordini[[#This Row],[Price]]=""),"",IF(Registro_Ordini[[#This Row],[Tipo]]="Sell",Registro_Ordini[[#This Row],[Prezzo]]/Registro_Ordini[[#This Row],[Price]]-1,Registro_Ordini[[#This Row],[Price]]/Registro_Ordini[[#This Row],[Prezzo]]-1))</f>
        <v>0.3066707692307693</v>
      </c>
      <c r="P1335" s="15">
        <v>-2.6462689702978881E-2</v>
      </c>
      <c r="Q1335" s="3">
        <v>0.52838847037157188</v>
      </c>
      <c r="R1335" s="3">
        <v>0</v>
      </c>
      <c r="S1335" s="3">
        <v>0.31426478919782908</v>
      </c>
      <c r="T1335" s="3">
        <v>2.0791217205828032E-2</v>
      </c>
      <c r="U1335" s="3">
        <v>0.13655552322477113</v>
      </c>
      <c r="V1335" s="3"/>
      <c r="W1335" s="4"/>
      <c r="X1335" s="13"/>
      <c r="Z1335"/>
      <c r="AA1335"/>
    </row>
    <row r="1336" spans="1:27" s="1" customFormat="1" ht="24.95" customHeight="1" x14ac:dyDescent="0.2">
      <c r="A1336" s="8">
        <v>45113</v>
      </c>
      <c r="B1336" s="7">
        <v>0.77083333333333337</v>
      </c>
      <c r="C1336" s="9" t="s">
        <v>594</v>
      </c>
      <c r="D1336" s="1" t="s">
        <v>368</v>
      </c>
      <c r="E1336" s="1" t="s">
        <v>363</v>
      </c>
      <c r="F1336" s="1" t="s">
        <v>574</v>
      </c>
      <c r="G1336" s="1" t="s">
        <v>365</v>
      </c>
      <c r="H1336" s="2">
        <v>-3150</v>
      </c>
      <c r="I1336" s="16">
        <v>5.3914</v>
      </c>
      <c r="J1336" s="1" t="s">
        <v>366</v>
      </c>
      <c r="K1336" s="6">
        <f>Registro_Ordini[[#This Row],[Numero]]*Registro_Ordini[[#This Row],[Prezzo]]</f>
        <v>-16982.91</v>
      </c>
      <c r="L1336" s="10">
        <v>0.89634000000000003</v>
      </c>
      <c r="M1336" s="6">
        <f>Registro_Ordini[[#This Row],[Importo]]*Registro_Ordini[[#This Row],[Cambio]]</f>
        <v>-15222.461549400001</v>
      </c>
      <c r="N1336" s="1">
        <f ca="1">IFERROR(_xlfn.NUMBERVALUE(OFFSET(Origine,MATCH(Registro_Ordini[[#This Row],[Titolo]],Descrizioni,0),MATCH("Price",Intestazioni,0)-1,1,1)),"")</f>
        <v>6.2729999999999997</v>
      </c>
      <c r="O1336" s="18">
        <f ca="1">IF(OR(Registro_Ordini[[#This Row],[Price]]=0,Registro_Ordini[[#This Row],[Price]]=""),"",IF(Registro_Ordini[[#This Row],[Tipo]]="Sell",Registro_Ordini[[#This Row],[Prezzo]]/Registro_Ordini[[#This Row],[Price]]-1,Registro_Ordini[[#This Row],[Price]]/Registro_Ordini[[#This Row],[Prezzo]]-1))</f>
        <v>-0.14053881715287742</v>
      </c>
      <c r="P1336" s="15">
        <v>-2.5295196969384669E-2</v>
      </c>
      <c r="Q1336" s="3">
        <v>0.42356852929203737</v>
      </c>
      <c r="R1336" s="3">
        <v>7.6136635718546619E-2</v>
      </c>
      <c r="S1336" s="3">
        <v>0.34294809455881686</v>
      </c>
      <c r="T1336" s="3">
        <v>2.0791217205828032E-2</v>
      </c>
      <c r="U1336" s="3">
        <v>0.13655552322477113</v>
      </c>
      <c r="V1336" s="3"/>
      <c r="W1336" s="4"/>
      <c r="X1336" s="13"/>
      <c r="Z1336"/>
      <c r="AA1336"/>
    </row>
    <row r="1337" spans="1:27" s="1" customFormat="1" ht="24.95" customHeight="1" x14ac:dyDescent="0.2">
      <c r="A1337" s="8">
        <v>45113</v>
      </c>
      <c r="B1337" s="7">
        <v>0.77083333333333337</v>
      </c>
      <c r="C1337" s="9" t="s">
        <v>594</v>
      </c>
      <c r="D1337" s="1" t="s">
        <v>368</v>
      </c>
      <c r="E1337" s="1" t="s">
        <v>363</v>
      </c>
      <c r="F1337" s="1" t="s">
        <v>579</v>
      </c>
      <c r="G1337" s="1" t="s">
        <v>365</v>
      </c>
      <c r="H1337" s="2">
        <v>-400</v>
      </c>
      <c r="I1337" s="16">
        <v>76.489999999999995</v>
      </c>
      <c r="J1337" s="1" t="s">
        <v>369</v>
      </c>
      <c r="K1337" s="6">
        <f>Registro_Ordini[[#This Row],[Numero]]*Registro_Ordini[[#This Row],[Prezzo]]</f>
        <v>-30595.999999999996</v>
      </c>
      <c r="L1337" s="10">
        <v>1</v>
      </c>
      <c r="M1337" s="6">
        <f>Registro_Ordini[[#This Row],[Importo]]*Registro_Ordini[[#This Row],[Cambio]]</f>
        <v>-30595.999999999996</v>
      </c>
      <c r="N1337" s="1">
        <f ca="1">IFERROR(_xlfn.NUMBERVALUE(OFFSET(Origine,MATCH(Registro_Ordini[[#This Row],[Titolo]],Descrizioni,0),MATCH("Price",Intestazioni,0)-1,1,1)),"")</f>
        <v>68.063999999999993</v>
      </c>
      <c r="O1337" s="18">
        <f ca="1">IF(OR(Registro_Ordini[[#This Row],[Price]]=0,Registro_Ordini[[#This Row],[Price]]=""),"",IF(Registro_Ordini[[#This Row],[Tipo]]="Sell",Registro_Ordini[[#This Row],[Prezzo]]/Registro_Ordini[[#This Row],[Price]]-1,Registro_Ordini[[#This Row],[Price]]/Registro_Ordini[[#This Row],[Prezzo]]-1))</f>
        <v>0.12379525152797366</v>
      </c>
      <c r="P1337" s="15">
        <v>-5.0841438749161957E-2</v>
      </c>
      <c r="Q1337" s="3">
        <v>0.44886372626142212</v>
      </c>
      <c r="R1337" s="3">
        <v>5.0841438749161957E-2</v>
      </c>
      <c r="S1337" s="3">
        <v>0.34294809455881686</v>
      </c>
      <c r="T1337" s="3">
        <v>2.0791217205828032E-2</v>
      </c>
      <c r="U1337" s="3">
        <v>0.13655552322477113</v>
      </c>
      <c r="V1337" s="3"/>
      <c r="W1337" s="4"/>
      <c r="X1337" s="13"/>
      <c r="Z1337"/>
      <c r="AA1337"/>
    </row>
    <row r="1338" spans="1:27" s="1" customFormat="1" ht="24.95" customHeight="1" x14ac:dyDescent="0.2">
      <c r="A1338" s="8">
        <v>45113</v>
      </c>
      <c r="B1338" s="7">
        <v>0.66249999999999998</v>
      </c>
      <c r="C1338" s="9" t="s">
        <v>594</v>
      </c>
      <c r="D1338" s="1" t="s">
        <v>368</v>
      </c>
      <c r="E1338" s="1" t="s">
        <v>363</v>
      </c>
      <c r="F1338" s="1" t="s">
        <v>598</v>
      </c>
      <c r="G1338" s="1" t="s">
        <v>365</v>
      </c>
      <c r="H1338" s="2">
        <v>-25000</v>
      </c>
      <c r="I1338" s="16">
        <v>0.95430000000000004</v>
      </c>
      <c r="J1338" s="1" t="s">
        <v>369</v>
      </c>
      <c r="K1338" s="6">
        <f>Registro_Ordini[[#This Row],[Numero]]*Registro_Ordini[[#This Row],[Prezzo]]</f>
        <v>-23857.5</v>
      </c>
      <c r="L1338" s="10">
        <v>1</v>
      </c>
      <c r="M1338" s="6">
        <f>Registro_Ordini[[#This Row],[Importo]]*Registro_Ordini[[#This Row],[Cambio]]</f>
        <v>-23857.5</v>
      </c>
      <c r="N1338" s="1" t="str">
        <f ca="1">IFERROR(_xlfn.NUMBERVALUE(OFFSET(Origine,MATCH(Registro_Ordini[[#This Row],[Titolo]],Descrizioni,0),MATCH("Price",Intestazioni,0)-1,1,1)),"")</f>
        <v/>
      </c>
      <c r="O1338" s="18" t="str">
        <f ca="1">IF(OR(Registro_Ordini[[#This Row],[Price]]=0,Registro_Ordini[[#This Row],[Price]]=""),"",IF(Registro_Ordini[[#This Row],[Tipo]]="Sell",Registro_Ordini[[#This Row],[Prezzo]]/Registro_Ordini[[#This Row],[Price]]-1,Registro_Ordini[[#This Row],[Price]]/Registro_Ordini[[#This Row],[Prezzo]]-1))</f>
        <v/>
      </c>
      <c r="P1338" s="15">
        <v>-3.9594233924750241E-2</v>
      </c>
      <c r="Q1338" s="3">
        <v>0.27266117998080597</v>
      </c>
      <c r="R1338" s="3">
        <v>0.22662087875888687</v>
      </c>
      <c r="S1338" s="3">
        <v>0.34315215956516898</v>
      </c>
      <c r="T1338" s="3">
        <v>2.0765086654782564E-2</v>
      </c>
      <c r="U1338" s="3">
        <v>0.13680069504035566</v>
      </c>
      <c r="V1338" s="3"/>
      <c r="W1338" s="4"/>
      <c r="X1338" s="13"/>
      <c r="Z1338"/>
      <c r="AA1338"/>
    </row>
    <row r="1339" spans="1:27" s="1" customFormat="1" ht="24.95" customHeight="1" x14ac:dyDescent="0.2">
      <c r="A1339" s="8">
        <v>45113</v>
      </c>
      <c r="B1339" s="7">
        <v>0.66249999999999998</v>
      </c>
      <c r="C1339" s="9" t="s">
        <v>594</v>
      </c>
      <c r="D1339" s="1" t="s">
        <v>368</v>
      </c>
      <c r="E1339" s="1" t="s">
        <v>363</v>
      </c>
      <c r="F1339" s="1" t="s">
        <v>599</v>
      </c>
      <c r="G1339" s="1" t="s">
        <v>365</v>
      </c>
      <c r="H1339" s="2">
        <v>-25000</v>
      </c>
      <c r="I1339" s="16">
        <v>0.95237221999999999</v>
      </c>
      <c r="J1339" s="1" t="s">
        <v>369</v>
      </c>
      <c r="K1339" s="6">
        <f>Registro_Ordini[[#This Row],[Numero]]*Registro_Ordini[[#This Row],[Prezzo]]</f>
        <v>-23809.305499999999</v>
      </c>
      <c r="L1339" s="10">
        <v>1</v>
      </c>
      <c r="M1339" s="6">
        <f>Registro_Ordini[[#This Row],[Importo]]*Registro_Ordini[[#This Row],[Cambio]]</f>
        <v>-23809.305499999999</v>
      </c>
      <c r="N1339" s="1" t="str">
        <f ca="1">IFERROR(_xlfn.NUMBERVALUE(OFFSET(Origine,MATCH(Registro_Ordini[[#This Row],[Titolo]],Descrizioni,0),MATCH("Price",Intestazioni,0)-1,1,1)),"")</f>
        <v/>
      </c>
      <c r="O1339" s="18" t="str">
        <f ca="1">IF(OR(Registro_Ordini[[#This Row],[Price]]=0,Registro_Ordini[[#This Row],[Price]]=""),"",IF(Registro_Ordini[[#This Row],[Tipo]]="Sell",Registro_Ordini[[#This Row],[Prezzo]]/Registro_Ordini[[#This Row],[Price]]-1,Registro_Ordini[[#This Row],[Price]]/Registro_Ordini[[#This Row],[Prezzo]]-1))</f>
        <v/>
      </c>
      <c r="P1339" s="15">
        <v>-3.951424967213004E-2</v>
      </c>
      <c r="Q1339" s="3">
        <v>0.31225541390555622</v>
      </c>
      <c r="R1339" s="3">
        <v>0.18702664483413664</v>
      </c>
      <c r="S1339" s="3">
        <v>0.34315215956516898</v>
      </c>
      <c r="T1339" s="3">
        <v>2.0765086654782564E-2</v>
      </c>
      <c r="U1339" s="3">
        <v>0.13680069504035566</v>
      </c>
      <c r="V1339" s="3"/>
      <c r="W1339" s="4"/>
      <c r="X1339" s="13"/>
      <c r="Z1339"/>
      <c r="AA1339"/>
    </row>
    <row r="1340" spans="1:27" s="1" customFormat="1" ht="24.95" customHeight="1" x14ac:dyDescent="0.2">
      <c r="A1340" s="8">
        <v>45113</v>
      </c>
      <c r="B1340" s="7">
        <v>0.66249999999999998</v>
      </c>
      <c r="C1340" s="9" t="s">
        <v>594</v>
      </c>
      <c r="D1340" s="1" t="s">
        <v>368</v>
      </c>
      <c r="E1340" s="1" t="s">
        <v>363</v>
      </c>
      <c r="F1340" s="1" t="s">
        <v>533</v>
      </c>
      <c r="G1340" s="1" t="s">
        <v>365</v>
      </c>
      <c r="H1340" s="2">
        <v>-25000</v>
      </c>
      <c r="I1340" s="16">
        <v>0.95625556</v>
      </c>
      <c r="J1340" s="1" t="s">
        <v>369</v>
      </c>
      <c r="K1340" s="6">
        <f>Registro_Ordini[[#This Row],[Numero]]*Registro_Ordini[[#This Row],[Prezzo]]</f>
        <v>-23906.388999999999</v>
      </c>
      <c r="L1340" s="10">
        <v>1</v>
      </c>
      <c r="M1340" s="6">
        <f>Registro_Ordini[[#This Row],[Importo]]*Registro_Ordini[[#This Row],[Cambio]]</f>
        <v>-23906.388999999999</v>
      </c>
      <c r="N1340" s="1" t="str">
        <f ca="1">IFERROR(_xlfn.NUMBERVALUE(OFFSET(Origine,MATCH(Registro_Ordini[[#This Row],[Titolo]],Descrizioni,0),MATCH("Price",Intestazioni,0)-1,1,1)),"")</f>
        <v/>
      </c>
      <c r="O1340" s="18" t="str">
        <f ca="1">IF(OR(Registro_Ordini[[#This Row],[Price]]=0,Registro_Ordini[[#This Row],[Price]]=""),"",IF(Registro_Ordini[[#This Row],[Tipo]]="Sell",Registro_Ordini[[#This Row],[Prezzo]]/Registro_Ordini[[#This Row],[Price]]-1,Registro_Ordini[[#This Row],[Price]]/Registro_Ordini[[#This Row],[Prezzo]]-1))</f>
        <v/>
      </c>
      <c r="P1340" s="15">
        <v>-3.9675370779087331E-2</v>
      </c>
      <c r="Q1340" s="3">
        <v>0.3517696635776863</v>
      </c>
      <c r="R1340" s="3">
        <v>0.14751239516200659</v>
      </c>
      <c r="S1340" s="3">
        <v>0.34315215956516898</v>
      </c>
      <c r="T1340" s="3">
        <v>2.0765086654782564E-2</v>
      </c>
      <c r="U1340" s="3">
        <v>0.13680069504035566</v>
      </c>
      <c r="V1340" s="3"/>
      <c r="W1340" s="4"/>
      <c r="X1340" s="13"/>
      <c r="Z1340"/>
      <c r="AA1340"/>
    </row>
    <row r="1341" spans="1:27" s="1" customFormat="1" ht="24.95" customHeight="1" x14ac:dyDescent="0.2">
      <c r="A1341" s="8">
        <v>45113</v>
      </c>
      <c r="B1341" s="7">
        <v>0.66249999999999998</v>
      </c>
      <c r="C1341" s="9" t="s">
        <v>594</v>
      </c>
      <c r="D1341" s="1" t="s">
        <v>368</v>
      </c>
      <c r="E1341" s="1" t="s">
        <v>363</v>
      </c>
      <c r="F1341" s="1" t="s">
        <v>446</v>
      </c>
      <c r="G1341" s="1" t="s">
        <v>365</v>
      </c>
      <c r="H1341" s="2">
        <v>-20000</v>
      </c>
      <c r="I1341" s="16">
        <v>0.95411555999999997</v>
      </c>
      <c r="J1341" s="1" t="s">
        <v>369</v>
      </c>
      <c r="K1341" s="6">
        <f>Registro_Ordini[[#This Row],[Numero]]*Registro_Ordini[[#This Row],[Prezzo]]</f>
        <v>-19082.3112</v>
      </c>
      <c r="L1341" s="10">
        <v>1</v>
      </c>
      <c r="M1341" s="6">
        <f>Registro_Ordini[[#This Row],[Importo]]*Registro_Ordini[[#This Row],[Cambio]]</f>
        <v>-19082.3112</v>
      </c>
      <c r="N1341" s="1">
        <f ca="1">IFERROR(_xlfn.NUMBERVALUE(OFFSET(Origine,MATCH(Registro_Ordini[[#This Row],[Titolo]],Descrizioni,0),MATCH("Price",Intestazioni,0)-1,1,1)),"")</f>
        <v>1.01636388889</v>
      </c>
      <c r="O1341" s="18">
        <f ca="1">IF(OR(Registro_Ordini[[#This Row],[Price]]=0,Registro_Ordini[[#This Row],[Price]]=""),"",IF(Registro_Ordini[[#This Row],[Tipo]]="Sell",Registro_Ordini[[#This Row],[Prezzo]]/Registro_Ordini[[#This Row],[Price]]-1,Registro_Ordini[[#This Row],[Price]]/Registro_Ordini[[#This Row],[Prezzo]]-1))</f>
        <v>-6.124610444196632E-2</v>
      </c>
      <c r="P1341" s="15">
        <v>-3.166926515677173E-2</v>
      </c>
      <c r="Q1341" s="3">
        <v>0.39144503435677358</v>
      </c>
      <c r="R1341" s="3">
        <v>0.10783702438291924</v>
      </c>
      <c r="S1341" s="3">
        <v>0.34315215956516898</v>
      </c>
      <c r="T1341" s="3">
        <v>2.0765086654782564E-2</v>
      </c>
      <c r="U1341" s="3">
        <v>0.13680069504035566</v>
      </c>
      <c r="V1341" s="3"/>
      <c r="W1341" s="4"/>
      <c r="X1341" s="13"/>
      <c r="Z1341"/>
      <c r="AA1341"/>
    </row>
    <row r="1342" spans="1:27" s="1" customFormat="1" ht="24.95" customHeight="1" x14ac:dyDescent="0.2">
      <c r="A1342" s="8">
        <v>45113</v>
      </c>
      <c r="B1342" s="7">
        <v>0.66180555555555554</v>
      </c>
      <c r="C1342" s="9" t="s">
        <v>594</v>
      </c>
      <c r="D1342" s="1" t="s">
        <v>368</v>
      </c>
      <c r="E1342" s="1" t="s">
        <v>363</v>
      </c>
      <c r="F1342" s="1" t="s">
        <v>600</v>
      </c>
      <c r="G1342" s="1" t="s">
        <v>365</v>
      </c>
      <c r="H1342" s="2">
        <v>-25000</v>
      </c>
      <c r="I1342" s="16">
        <v>0.98263332999999997</v>
      </c>
      <c r="J1342" s="1" t="s">
        <v>369</v>
      </c>
      <c r="K1342" s="6">
        <f>Registro_Ordini[[#This Row],[Numero]]*Registro_Ordini[[#This Row],[Prezzo]]</f>
        <v>-24565.83325</v>
      </c>
      <c r="L1342" s="10">
        <v>1</v>
      </c>
      <c r="M1342" s="6">
        <f>Registro_Ordini[[#This Row],[Importo]]*Registro_Ordini[[#This Row],[Cambio]]</f>
        <v>-24565.83325</v>
      </c>
      <c r="N1342" s="1">
        <f ca="1">IFERROR(_xlfn.NUMBERVALUE(OFFSET(Origine,MATCH(Registro_Ordini[[#This Row],[Titolo]],Descrizioni,0),MATCH("Price",Intestazioni,0)-1,1,1)),"")</f>
        <v>0</v>
      </c>
      <c r="O1342" s="18" t="str">
        <f ca="1">IF(OR(Registro_Ordini[[#This Row],[Price]]=0,Registro_Ordini[[#This Row],[Price]]=""),"",IF(Registro_Ordini[[#This Row],[Tipo]]="Sell",Registro_Ordini[[#This Row],[Prezzo]]/Registro_Ordini[[#This Row],[Price]]-1,Registro_Ordini[[#This Row],[Price]]/Registro_Ordini[[#This Row],[Prezzo]]-1))</f>
        <v/>
      </c>
      <c r="P1342" s="15">
        <v>-4.0769793492901919E-2</v>
      </c>
      <c r="Q1342" s="3">
        <v>0.23189138648790406</v>
      </c>
      <c r="R1342" s="3">
        <v>0.26739067225178881</v>
      </c>
      <c r="S1342" s="3">
        <v>0.34315215956516898</v>
      </c>
      <c r="T1342" s="3">
        <v>2.0765086654782564E-2</v>
      </c>
      <c r="U1342" s="3">
        <v>0.13680069504035566</v>
      </c>
      <c r="V1342" s="3"/>
      <c r="W1342" s="4"/>
      <c r="X1342" s="13"/>
      <c r="Z1342"/>
      <c r="AA1342"/>
    </row>
    <row r="1343" spans="1:27" s="1" customFormat="1" ht="24.95" customHeight="1" x14ac:dyDescent="0.2">
      <c r="A1343" s="8">
        <v>45113</v>
      </c>
      <c r="B1343" s="7">
        <v>0.66111111111111109</v>
      </c>
      <c r="C1343" s="9" t="s">
        <v>594</v>
      </c>
      <c r="D1343" s="1" t="s">
        <v>368</v>
      </c>
      <c r="E1343" s="1" t="s">
        <v>363</v>
      </c>
      <c r="F1343" s="1" t="s">
        <v>601</v>
      </c>
      <c r="G1343" s="1" t="s">
        <v>365</v>
      </c>
      <c r="H1343" s="2">
        <v>-25000</v>
      </c>
      <c r="I1343" s="16">
        <v>0.98910083000000004</v>
      </c>
      <c r="J1343" s="1" t="s">
        <v>369</v>
      </c>
      <c r="K1343" s="6">
        <f>Registro_Ordini[[#This Row],[Numero]]*Registro_Ordini[[#This Row],[Prezzo]]</f>
        <v>-24727.52075</v>
      </c>
      <c r="L1343" s="10">
        <v>1</v>
      </c>
      <c r="M1343" s="6">
        <f>Registro_Ordini[[#This Row],[Importo]]*Registro_Ordini[[#This Row],[Cambio]]</f>
        <v>-24727.52075</v>
      </c>
      <c r="N1343" s="1" t="str">
        <f ca="1">IFERROR(_xlfn.NUMBERVALUE(OFFSET(Origine,MATCH(Registro_Ordini[[#This Row],[Titolo]],Descrizioni,0),MATCH("Price",Intestazioni,0)-1,1,1)),"")</f>
        <v/>
      </c>
      <c r="O1343" s="18" t="str">
        <f ca="1">IF(OR(Registro_Ordini[[#This Row],[Price]]=0,Registro_Ordini[[#This Row],[Price]]=""),"",IF(Registro_Ordini[[#This Row],[Tipo]]="Sell",Registro_Ordini[[#This Row],[Prezzo]]/Registro_Ordini[[#This Row],[Price]]-1,Registro_Ordini[[#This Row],[Price]]/Registro_Ordini[[#This Row],[Prezzo]]-1))</f>
        <v/>
      </c>
      <c r="P1343" s="15">
        <v>-4.1040908126799884E-2</v>
      </c>
      <c r="Q1343" s="3">
        <v>0.1908468875229466</v>
      </c>
      <c r="R1343" s="3">
        <v>0.30846366790485746</v>
      </c>
      <c r="S1343" s="3">
        <v>0.34311592551375636</v>
      </c>
      <c r="T1343" s="3">
        <v>2.0766491217382565E-2</v>
      </c>
      <c r="U1343" s="3">
        <v>0.13680702784105692</v>
      </c>
      <c r="V1343" s="3"/>
      <c r="W1343" s="4"/>
      <c r="X1343" s="13"/>
      <c r="Z1343"/>
      <c r="AA1343"/>
    </row>
    <row r="1344" spans="1:27" s="1" customFormat="1" ht="24.95" customHeight="1" x14ac:dyDescent="0.2">
      <c r="A1344" s="8">
        <v>45113</v>
      </c>
      <c r="B1344" s="7">
        <v>0.65625</v>
      </c>
      <c r="C1344" s="9" t="s">
        <v>594</v>
      </c>
      <c r="D1344" s="1" t="s">
        <v>368</v>
      </c>
      <c r="E1344" s="1" t="s">
        <v>363</v>
      </c>
      <c r="F1344" s="1" t="s">
        <v>392</v>
      </c>
      <c r="G1344" s="1" t="s">
        <v>365</v>
      </c>
      <c r="H1344" s="2">
        <v>-500</v>
      </c>
      <c r="I1344" s="16">
        <v>104.67</v>
      </c>
      <c r="J1344" s="1" t="s">
        <v>369</v>
      </c>
      <c r="K1344" s="6">
        <f>Registro_Ordini[[#This Row],[Numero]]*Registro_Ordini[[#This Row],[Prezzo]]</f>
        <v>-52335</v>
      </c>
      <c r="L1344" s="10">
        <v>1</v>
      </c>
      <c r="M1344" s="6">
        <f>Registro_Ordini[[#This Row],[Importo]]*Registro_Ordini[[#This Row],[Cambio]]</f>
        <v>-52335</v>
      </c>
      <c r="N1344" s="1">
        <f ca="1">IFERROR(_xlfn.NUMBERVALUE(OFFSET(Origine,MATCH(Registro_Ordini[[#This Row],[Titolo]],Descrizioni,0),MATCH("Price",Intestazioni,0)-1,1,1)),"")</f>
        <v>111.39</v>
      </c>
      <c r="O1344" s="18">
        <f ca="1">IF(OR(Registro_Ordini[[#This Row],[Price]]=0,Registro_Ordini[[#This Row],[Price]]=""),"",IF(Registro_Ordini[[#This Row],[Tipo]]="Sell",Registro_Ordini[[#This Row],[Prezzo]]/Registro_Ordini[[#This Row],[Price]]-1,Registro_Ordini[[#This Row],[Price]]/Registro_Ordini[[#This Row],[Prezzo]]-1))</f>
        <v>-6.0328575276057061E-2</v>
      </c>
      <c r="P1344" s="15">
        <v>-8.6740182296702606E-2</v>
      </c>
      <c r="Q1344" s="3">
        <v>0.10386107677283106</v>
      </c>
      <c r="R1344" s="3">
        <v>0.39491481311217913</v>
      </c>
      <c r="S1344" s="3">
        <v>0.3436568743668677</v>
      </c>
      <c r="T1344" s="3">
        <v>2.0790462343170679E-2</v>
      </c>
      <c r="U1344" s="3">
        <v>0.13677677340495153</v>
      </c>
      <c r="V1344" s="3"/>
      <c r="W1344" s="4"/>
      <c r="X1344" s="13"/>
      <c r="Z1344"/>
      <c r="AA1344"/>
    </row>
    <row r="1345" spans="1:27" s="1" customFormat="1" ht="24.95" customHeight="1" x14ac:dyDescent="0.2">
      <c r="A1345" s="8">
        <v>45061</v>
      </c>
      <c r="B1345" s="7"/>
      <c r="C1345" s="9" t="s">
        <v>367</v>
      </c>
      <c r="D1345" s="1" t="s">
        <v>388</v>
      </c>
      <c r="E1345" s="1" t="s">
        <v>389</v>
      </c>
      <c r="F1345" s="1" t="s">
        <v>602</v>
      </c>
      <c r="G1345" s="1" t="s">
        <v>365</v>
      </c>
      <c r="H1345" s="2">
        <v>-300</v>
      </c>
      <c r="I1345" s="17">
        <v>94.45</v>
      </c>
      <c r="J1345" s="1" t="s">
        <v>366</v>
      </c>
      <c r="K1345" s="6">
        <f>Registro_Ordini[[#This Row],[Numero]]*Registro_Ordini[[#This Row],[Prezzo]]</f>
        <v>-28335</v>
      </c>
      <c r="L1345" s="10">
        <v>0.91034999999999999</v>
      </c>
      <c r="M1345" s="6">
        <f>Registro_Ordini[[#This Row],[Importo]]*Registro_Ordini[[#This Row],[Cambio]]</f>
        <v>-25794.767250000001</v>
      </c>
      <c r="N1345" s="1" t="str">
        <f ca="1">IFERROR(_xlfn.NUMBERVALUE(OFFSET(Origine,MATCH(Registro_Ordini[[#This Row],[Titolo]],Descrizioni,0),MATCH("Price",Intestazioni,0)-1,1,1)),"")</f>
        <v/>
      </c>
      <c r="O1345" s="18" t="str">
        <f ca="1">IF(OR(Registro_Ordini[[#This Row],[Price]]=0,Registro_Ordini[[#This Row],[Price]]=""),"",IF(Registro_Ordini[[#This Row],[Tipo]]="Sell",Registro_Ordini[[#This Row],[Prezzo]]/Registro_Ordini[[#This Row],[Price]]-1,Registro_Ordini[[#This Row],[Price]]/Registro_Ordini[[#This Row],[Prezzo]]-1))</f>
        <v/>
      </c>
      <c r="P1345" s="15">
        <v>-1.9865561982695377E-2</v>
      </c>
      <c r="Q1345" s="3">
        <v>0.23793152427742278</v>
      </c>
      <c r="R1345" s="3">
        <v>0.33692029276066998</v>
      </c>
      <c r="S1345" s="3">
        <v>0.36396351402843896</v>
      </c>
      <c r="T1345" s="3">
        <v>0</v>
      </c>
      <c r="U1345" s="3">
        <v>6.1184668933468342E-2</v>
      </c>
      <c r="V1345" s="3"/>
      <c r="W1345" s="4"/>
      <c r="X1345" s="13"/>
      <c r="Z1345"/>
      <c r="AA1345"/>
    </row>
    <row r="1346" spans="1:27" s="1" customFormat="1" ht="24.95" customHeight="1" x14ac:dyDescent="0.2">
      <c r="A1346" s="8">
        <v>45041</v>
      </c>
      <c r="B1346" s="7">
        <v>0.71458333333333335</v>
      </c>
      <c r="C1346" s="9" t="s">
        <v>383</v>
      </c>
      <c r="D1346" s="1" t="s">
        <v>388</v>
      </c>
      <c r="E1346" s="1" t="s">
        <v>603</v>
      </c>
      <c r="F1346" s="1" t="s">
        <v>604</v>
      </c>
      <c r="G1346" s="1" t="s">
        <v>365</v>
      </c>
      <c r="H1346" s="2">
        <v>-1150</v>
      </c>
      <c r="I1346" s="17">
        <v>58.34</v>
      </c>
      <c r="J1346" s="1" t="s">
        <v>605</v>
      </c>
      <c r="K1346" s="6">
        <f>Registro_Ordini[[#This Row],[Numero]]*Registro_Ordini[[#This Row],[Prezzo]]</f>
        <v>-67091</v>
      </c>
      <c r="L1346" s="10">
        <v>8.8757908012774861E-2</v>
      </c>
      <c r="M1346" s="6">
        <f>Registro_Ordini[[#This Row],[Importo]]*Registro_Ordini[[#This Row],[Cambio]]</f>
        <v>-5954.8568064850779</v>
      </c>
      <c r="N1346" s="1">
        <f ca="1">IFERROR(_xlfn.NUMBERVALUE(OFFSET(Origine,MATCH(Registro_Ordini[[#This Row],[Titolo]],Descrizioni,0),MATCH("Price",Intestazioni,0)-1,1,1)),"")</f>
        <v>0</v>
      </c>
      <c r="O1346" s="18" t="str">
        <f ca="1">IF(OR(Registro_Ordini[[#This Row],[Price]]=0,Registro_Ordini[[#This Row],[Price]]=""),"",IF(Registro_Ordini[[#This Row],[Tipo]]="Sell",Registro_Ordini[[#This Row],[Prezzo]]/Registro_Ordini[[#This Row],[Price]]-1,Registro_Ordini[[#This Row],[Price]]/Registro_Ordini[[#This Row],[Prezzo]]-1))</f>
        <v/>
      </c>
      <c r="P1346" s="15">
        <v>-1.086946165996136E-2</v>
      </c>
      <c r="Q1346" s="3">
        <v>0.17388357353511616</v>
      </c>
      <c r="R1346" s="3">
        <v>0.37053535929313608</v>
      </c>
      <c r="S1346" s="3">
        <v>0.32215462788259769</v>
      </c>
      <c r="T1346" s="3"/>
      <c r="U1346" s="3">
        <v>0.13342643928914996</v>
      </c>
      <c r="V1346" s="3"/>
      <c r="W1346" s="4"/>
      <c r="X1346" s="13"/>
      <c r="Z1346"/>
      <c r="AA1346"/>
    </row>
    <row r="1347" spans="1:27" s="1" customFormat="1" ht="24.95" customHeight="1" x14ac:dyDescent="0.2">
      <c r="A1347" s="8">
        <v>45041</v>
      </c>
      <c r="B1347" s="7">
        <v>0.71458333333333335</v>
      </c>
      <c r="C1347" s="9" t="s">
        <v>78</v>
      </c>
      <c r="D1347" s="1" t="s">
        <v>388</v>
      </c>
      <c r="E1347" s="1" t="s">
        <v>603</v>
      </c>
      <c r="F1347" s="1" t="s">
        <v>604</v>
      </c>
      <c r="G1347" s="1" t="s">
        <v>365</v>
      </c>
      <c r="H1347" s="2">
        <v>-1200</v>
      </c>
      <c r="I1347" s="17">
        <v>58.34</v>
      </c>
      <c r="J1347" s="1" t="s">
        <v>605</v>
      </c>
      <c r="K1347" s="6">
        <f>Registro_Ordini[[#This Row],[Numero]]*Registro_Ordini[[#This Row],[Prezzo]]</f>
        <v>-70008</v>
      </c>
      <c r="L1347" s="10">
        <v>8.7264999999999995E-2</v>
      </c>
      <c r="M1347" s="6">
        <f>Registro_Ordini[[#This Row],[Importo]]*Registro_Ordini[[#This Row],[Cambio]]</f>
        <v>-6109.2481199999993</v>
      </c>
      <c r="N1347" s="1">
        <f ca="1">IFERROR(_xlfn.NUMBERVALUE(OFFSET(Origine,MATCH(Registro_Ordini[[#This Row],[Titolo]],Descrizioni,0),MATCH("Price",Intestazioni,0)-1,1,1)),"")</f>
        <v>0</v>
      </c>
      <c r="O1347" s="18" t="str">
        <f ca="1">IF(OR(Registro_Ordini[[#This Row],[Price]]=0,Registro_Ordini[[#This Row],[Price]]=""),"",IF(Registro_Ordini[[#This Row],[Tipo]]="Sell",Registro_Ordini[[#This Row],[Prezzo]]/Registro_Ordini[[#This Row],[Price]]-1,Registro_Ordini[[#This Row],[Price]]/Registro_Ordini[[#This Row],[Prezzo]]-1))</f>
        <v/>
      </c>
      <c r="P1347" s="15">
        <v>-1.6418515234614104E-2</v>
      </c>
      <c r="Q1347" s="3">
        <v>0.32761731454774412</v>
      </c>
      <c r="R1347" s="3">
        <v>0</v>
      </c>
      <c r="S1347" s="3">
        <v>0.52584464387401952</v>
      </c>
      <c r="T1347" s="3">
        <v>2.1513320767382077E-2</v>
      </c>
      <c r="U1347" s="3">
        <v>0.12502472081085417</v>
      </c>
      <c r="V1347" s="3"/>
      <c r="W1347" s="4"/>
      <c r="X1347" s="13"/>
      <c r="Z1347"/>
      <c r="AA1347"/>
    </row>
    <row r="1348" spans="1:27" s="1" customFormat="1" ht="24.95" customHeight="1" x14ac:dyDescent="0.2">
      <c r="A1348" s="8">
        <v>45041</v>
      </c>
      <c r="B1348" s="7">
        <v>0.71458333333333335</v>
      </c>
      <c r="C1348" s="9" t="s">
        <v>382</v>
      </c>
      <c r="D1348" s="1" t="s">
        <v>388</v>
      </c>
      <c r="E1348" s="1" t="s">
        <v>603</v>
      </c>
      <c r="F1348" s="1" t="s">
        <v>604</v>
      </c>
      <c r="G1348" s="1" t="s">
        <v>365</v>
      </c>
      <c r="H1348" s="2">
        <v>-2000</v>
      </c>
      <c r="I1348" s="17">
        <v>58.34</v>
      </c>
      <c r="J1348" s="1" t="s">
        <v>605</v>
      </c>
      <c r="K1348" s="6">
        <f>Registro_Ordini[[#This Row],[Numero]]*Registro_Ordini[[#This Row],[Prezzo]]</f>
        <v>-116680</v>
      </c>
      <c r="L1348" s="10">
        <v>8.8757908012774861E-2</v>
      </c>
      <c r="M1348" s="6">
        <f>Registro_Ordini[[#This Row],[Importo]]*Registro_Ordini[[#This Row],[Cambio]]</f>
        <v>-10356.272706930571</v>
      </c>
      <c r="N1348" s="1">
        <f ca="1">IFERROR(_xlfn.NUMBERVALUE(OFFSET(Origine,MATCH(Registro_Ordini[[#This Row],[Titolo]],Descrizioni,0),MATCH("Price",Intestazioni,0)-1,1,1)),"")</f>
        <v>0</v>
      </c>
      <c r="O1348" s="18" t="str">
        <f ca="1">IF(OR(Registro_Ordini[[#This Row],[Price]]=0,Registro_Ordini[[#This Row],[Price]]=""),"",IF(Registro_Ordini[[#This Row],[Tipo]]="Sell",Registro_Ordini[[#This Row],[Prezzo]]/Registro_Ordini[[#This Row],[Price]]-1,Registro_Ordini[[#This Row],[Price]]/Registro_Ordini[[#This Row],[Prezzo]]-1))</f>
        <v/>
      </c>
      <c r="P1348" s="15">
        <v>-1.0845595524125128E-2</v>
      </c>
      <c r="Q1348" s="3">
        <v>0.13322587989607693</v>
      </c>
      <c r="R1348" s="3">
        <v>0.36151633607213396</v>
      </c>
      <c r="S1348" s="3">
        <v>0.3614882906478285</v>
      </c>
      <c r="T1348" s="3"/>
      <c r="U1348" s="3">
        <v>0.14376949338396058</v>
      </c>
      <c r="V1348" s="3"/>
      <c r="W1348" s="4"/>
      <c r="X1348" s="13"/>
      <c r="Z1348"/>
      <c r="AA1348"/>
    </row>
    <row r="1349" spans="1:27" s="1" customFormat="1" ht="24.95" customHeight="1" x14ac:dyDescent="0.2">
      <c r="A1349" s="8">
        <v>45041</v>
      </c>
      <c r="B1349" s="7">
        <v>0.71458333333333335</v>
      </c>
      <c r="C1349" s="9" t="s">
        <v>106</v>
      </c>
      <c r="D1349" s="1" t="s">
        <v>388</v>
      </c>
      <c r="E1349" s="1" t="s">
        <v>603</v>
      </c>
      <c r="F1349" s="1" t="s">
        <v>604</v>
      </c>
      <c r="G1349" s="1" t="s">
        <v>365</v>
      </c>
      <c r="H1349" s="2">
        <v>-500</v>
      </c>
      <c r="I1349" s="17">
        <v>58.34</v>
      </c>
      <c r="J1349" s="1" t="s">
        <v>605</v>
      </c>
      <c r="K1349" s="6">
        <f>Registro_Ordini[[#This Row],[Numero]]*Registro_Ordini[[#This Row],[Prezzo]]</f>
        <v>-29170</v>
      </c>
      <c r="L1349" s="10">
        <v>8.8757908012774861E-2</v>
      </c>
      <c r="M1349" s="6">
        <f>Registro_Ordini[[#This Row],[Importo]]*Registro_Ordini[[#This Row],[Cambio]]</f>
        <v>-2589.0681767326428</v>
      </c>
      <c r="N1349" s="1">
        <f ca="1">IFERROR(_xlfn.NUMBERVALUE(OFFSET(Origine,MATCH(Registro_Ordini[[#This Row],[Titolo]],Descrizioni,0),MATCH("Price",Intestazioni,0)-1,1,1)),"")</f>
        <v>0</v>
      </c>
      <c r="O1349" s="18" t="str">
        <f ca="1">IF(OR(Registro_Ordini[[#This Row],[Price]]=0,Registro_Ordini[[#This Row],[Price]]=""),"",IF(Registro_Ordini[[#This Row],[Tipo]]="Sell",Registro_Ordini[[#This Row],[Prezzo]]/Registro_Ordini[[#This Row],[Price]]-1,Registro_Ordini[[#This Row],[Price]]/Registro_Ordini[[#This Row],[Prezzo]]-1))</f>
        <v/>
      </c>
      <c r="P1349" s="15">
        <v>-2.135748140840011E-2</v>
      </c>
      <c r="Q1349" s="3">
        <v>0.37439399386468014</v>
      </c>
      <c r="R1349" s="3">
        <v>0.33694099435856695</v>
      </c>
      <c r="S1349" s="3">
        <v>0.18235474275381486</v>
      </c>
      <c r="T1349" s="3"/>
      <c r="U1349" s="3">
        <v>0.10631026902293814</v>
      </c>
      <c r="V1349" s="3"/>
      <c r="W1349" s="4"/>
      <c r="X1349" s="13"/>
      <c r="Z1349"/>
      <c r="AA1349"/>
    </row>
    <row r="1350" spans="1:27" s="1" customFormat="1" ht="24.95" customHeight="1" x14ac:dyDescent="0.2">
      <c r="A1350" s="8">
        <v>45041</v>
      </c>
      <c r="B1350" s="7">
        <v>0.71458333333333335</v>
      </c>
      <c r="C1350" s="9" t="s">
        <v>379</v>
      </c>
      <c r="D1350" s="1" t="s">
        <v>388</v>
      </c>
      <c r="E1350" s="1" t="s">
        <v>603</v>
      </c>
      <c r="F1350" s="1" t="s">
        <v>604</v>
      </c>
      <c r="G1350" s="1" t="s">
        <v>365</v>
      </c>
      <c r="H1350" s="2">
        <v>-1150</v>
      </c>
      <c r="I1350" s="17">
        <v>58.34</v>
      </c>
      <c r="J1350" s="1" t="s">
        <v>605</v>
      </c>
      <c r="K1350" s="6">
        <f>Registro_Ordini[[#This Row],[Numero]]*Registro_Ordini[[#This Row],[Prezzo]]</f>
        <v>-67091</v>
      </c>
      <c r="L1350" s="10">
        <v>8.8757908012774861E-2</v>
      </c>
      <c r="M1350" s="6">
        <f>Registro_Ordini[[#This Row],[Importo]]*Registro_Ordini[[#This Row],[Cambio]]</f>
        <v>-5954.8568064850779</v>
      </c>
      <c r="N1350" s="1">
        <f ca="1">IFERROR(_xlfn.NUMBERVALUE(OFFSET(Origine,MATCH(Registro_Ordini[[#This Row],[Titolo]],Descrizioni,0),MATCH("Price",Intestazioni,0)-1,1,1)),"")</f>
        <v>0</v>
      </c>
      <c r="O1350" s="18" t="str">
        <f ca="1">IF(OR(Registro_Ordini[[#This Row],[Price]]=0,Registro_Ordini[[#This Row],[Price]]=""),"",IF(Registro_Ordini[[#This Row],[Tipo]]="Sell",Registro_Ordini[[#This Row],[Prezzo]]/Registro_Ordini[[#This Row],[Price]]-1,Registro_Ordini[[#This Row],[Price]]/Registro_Ordini[[#This Row],[Prezzo]]-1))</f>
        <v/>
      </c>
      <c r="P1350" s="15">
        <v>-1.1689608827465538E-2</v>
      </c>
      <c r="Q1350" s="3">
        <v>0.1245363868035933</v>
      </c>
      <c r="R1350" s="3">
        <v>0.38183186417637732</v>
      </c>
      <c r="S1350" s="3">
        <v>0.35009278940465988</v>
      </c>
      <c r="T1350" s="3"/>
      <c r="U1350" s="3">
        <v>0.14353895961536944</v>
      </c>
      <c r="V1350" s="3"/>
      <c r="W1350" s="4"/>
      <c r="X1350" s="13"/>
      <c r="Z1350"/>
      <c r="AA1350"/>
    </row>
    <row r="1351" spans="1:27" s="1" customFormat="1" ht="24.95" customHeight="1" x14ac:dyDescent="0.2">
      <c r="A1351" s="8">
        <v>45041</v>
      </c>
      <c r="B1351" s="7">
        <v>0.71388888888888891</v>
      </c>
      <c r="C1351" s="9" t="s">
        <v>90</v>
      </c>
      <c r="D1351" s="1" t="s">
        <v>388</v>
      </c>
      <c r="E1351" s="1" t="s">
        <v>603</v>
      </c>
      <c r="F1351" s="1" t="s">
        <v>604</v>
      </c>
      <c r="G1351" s="1" t="s">
        <v>365</v>
      </c>
      <c r="H1351" s="2">
        <v>-1000</v>
      </c>
      <c r="I1351" s="17">
        <v>58.34</v>
      </c>
      <c r="J1351" s="1" t="s">
        <v>605</v>
      </c>
      <c r="K1351" s="6">
        <f>Registro_Ordini[[#This Row],[Numero]]*Registro_Ordini[[#This Row],[Prezzo]]</f>
        <v>-58340</v>
      </c>
      <c r="L1351" s="10">
        <v>8.7264999999999995E-2</v>
      </c>
      <c r="M1351" s="6">
        <f>Registro_Ordini[[#This Row],[Importo]]*Registro_Ordini[[#This Row],[Cambio]]</f>
        <v>-5091.0401000000002</v>
      </c>
      <c r="N1351" s="1">
        <f ca="1">IFERROR(_xlfn.NUMBERVALUE(OFFSET(Origine,MATCH(Registro_Ordini[[#This Row],[Titolo]],Descrizioni,0),MATCH("Price",Intestazioni,0)-1,1,1)),"")</f>
        <v>0</v>
      </c>
      <c r="O1351" s="18" t="str">
        <f ca="1">IF(OR(Registro_Ordini[[#This Row],[Price]]=0,Registro_Ordini[[#This Row],[Price]]=""),"",IF(Registro_Ordini[[#This Row],[Tipo]]="Sell",Registro_Ordini[[#This Row],[Prezzo]]/Registro_Ordini[[#This Row],[Price]]-1,Registro_Ordini[[#This Row],[Price]]/Registro_Ordini[[#This Row],[Prezzo]]-1))</f>
        <v/>
      </c>
      <c r="P1351" s="15">
        <v>-9.1707712415077958E-3</v>
      </c>
      <c r="Q1351" s="3">
        <v>0.1093818913594862</v>
      </c>
      <c r="R1351" s="3">
        <v>0.38804484592450789</v>
      </c>
      <c r="S1351" s="3">
        <v>0.35780742511426056</v>
      </c>
      <c r="T1351" s="3">
        <v>1.8745802242797278E-2</v>
      </c>
      <c r="U1351" s="3">
        <v>0.12602003535894801</v>
      </c>
      <c r="V1351" s="3"/>
      <c r="W1351" s="4"/>
      <c r="X1351" s="13"/>
      <c r="Z1351"/>
      <c r="AA1351"/>
    </row>
    <row r="1352" spans="1:27" s="1" customFormat="1" ht="24.95" customHeight="1" x14ac:dyDescent="0.2">
      <c r="A1352" s="8">
        <v>45041</v>
      </c>
      <c r="B1352" s="7">
        <v>0.71388888888888891</v>
      </c>
      <c r="C1352" s="9" t="s">
        <v>375</v>
      </c>
      <c r="D1352" s="1" t="s">
        <v>388</v>
      </c>
      <c r="E1352" s="1" t="s">
        <v>603</v>
      </c>
      <c r="F1352" s="1" t="s">
        <v>604</v>
      </c>
      <c r="G1352" s="1" t="s">
        <v>365</v>
      </c>
      <c r="H1352" s="2">
        <v>-1300</v>
      </c>
      <c r="I1352" s="17">
        <v>58.34</v>
      </c>
      <c r="J1352" s="1" t="s">
        <v>605</v>
      </c>
      <c r="K1352" s="6">
        <f>Registro_Ordini[[#This Row],[Numero]]*Registro_Ordini[[#This Row],[Prezzo]]</f>
        <v>-75842</v>
      </c>
      <c r="L1352" s="10">
        <v>8.7264999999999995E-2</v>
      </c>
      <c r="M1352" s="6">
        <f>Registro_Ordini[[#This Row],[Importo]]*Registro_Ordini[[#This Row],[Cambio]]</f>
        <v>-6618.3521299999993</v>
      </c>
      <c r="N1352" s="1">
        <f ca="1">IFERROR(_xlfn.NUMBERVALUE(OFFSET(Origine,MATCH(Registro_Ordini[[#This Row],[Titolo]],Descrizioni,0),MATCH("Price",Intestazioni,0)-1,1,1)),"")</f>
        <v>0</v>
      </c>
      <c r="O1352" s="18" t="str">
        <f ca="1">IF(OR(Registro_Ordini[[#This Row],[Price]]=0,Registro_Ordini[[#This Row],[Price]]=""),"",IF(Registro_Ordini[[#This Row],[Tipo]]="Sell",Registro_Ordini[[#This Row],[Prezzo]]/Registro_Ordini[[#This Row],[Price]]-1,Registro_Ordini[[#This Row],[Price]]/Registro_Ordini[[#This Row],[Prezzo]]-1))</f>
        <v/>
      </c>
      <c r="P1352" s="15">
        <v>-8.7734930721441954E-3</v>
      </c>
      <c r="Q1352" s="3">
        <v>0.17237403418608119</v>
      </c>
      <c r="R1352" s="3">
        <v>0.40260507732115891</v>
      </c>
      <c r="S1352" s="3">
        <v>0.30721621873869553</v>
      </c>
      <c r="T1352" s="3">
        <v>0</v>
      </c>
      <c r="U1352" s="3">
        <v>0.11780466975406441</v>
      </c>
      <c r="V1352" s="3"/>
      <c r="W1352" s="4"/>
      <c r="X1352" s="13"/>
      <c r="Z1352"/>
      <c r="AA1352"/>
    </row>
    <row r="1353" spans="1:27" s="1" customFormat="1" ht="24.95" customHeight="1" x14ac:dyDescent="0.2">
      <c r="A1353" s="8">
        <v>45041</v>
      </c>
      <c r="B1353" s="7">
        <v>0.71388888888888891</v>
      </c>
      <c r="C1353" s="9" t="s">
        <v>378</v>
      </c>
      <c r="D1353" s="1" t="s">
        <v>388</v>
      </c>
      <c r="E1353" s="1" t="s">
        <v>603</v>
      </c>
      <c r="F1353" s="1" t="s">
        <v>604</v>
      </c>
      <c r="G1353" s="1" t="s">
        <v>365</v>
      </c>
      <c r="H1353" s="2">
        <v>-900</v>
      </c>
      <c r="I1353" s="17">
        <v>58.34</v>
      </c>
      <c r="J1353" s="1" t="s">
        <v>605</v>
      </c>
      <c r="K1353" s="6">
        <f>Registro_Ordini[[#This Row],[Numero]]*Registro_Ordini[[#This Row],[Prezzo]]</f>
        <v>-52506</v>
      </c>
      <c r="L1353" s="10">
        <v>8.7264999999999995E-2</v>
      </c>
      <c r="M1353" s="6">
        <f>Registro_Ordini[[#This Row],[Importo]]*Registro_Ordini[[#This Row],[Cambio]]</f>
        <v>-4581.9360900000001</v>
      </c>
      <c r="N1353" s="1">
        <f ca="1">IFERROR(_xlfn.NUMBERVALUE(OFFSET(Origine,MATCH(Registro_Ordini[[#This Row],[Titolo]],Descrizioni,0),MATCH("Price",Intestazioni,0)-1,1,1)),"")</f>
        <v>0</v>
      </c>
      <c r="O1353" s="18" t="str">
        <f ca="1">IF(OR(Registro_Ordini[[#This Row],[Price]]=0,Registro_Ordini[[#This Row],[Price]]=""),"",IF(Registro_Ordini[[#This Row],[Tipo]]="Sell",Registro_Ordini[[#This Row],[Prezzo]]/Registro_Ordini[[#This Row],[Price]]-1,Registro_Ordini[[#This Row],[Price]]/Registro_Ordini[[#This Row],[Prezzo]]-1))</f>
        <v/>
      </c>
      <c r="P1353" s="15">
        <v>-1.0868902786397733E-2</v>
      </c>
      <c r="Q1353" s="3">
        <v>0.12582035595495389</v>
      </c>
      <c r="R1353" s="3">
        <v>0.39759048213228138</v>
      </c>
      <c r="S1353" s="3">
        <v>0.33912528438591</v>
      </c>
      <c r="T1353" s="3">
        <v>1.8039380480502982E-2</v>
      </c>
      <c r="U1353" s="3">
        <v>0.11942449704635182</v>
      </c>
      <c r="V1353" s="3"/>
      <c r="W1353" s="4"/>
      <c r="X1353" s="13"/>
      <c r="Z1353"/>
      <c r="AA1353"/>
    </row>
    <row r="1354" spans="1:27" s="1" customFormat="1" ht="24.95" customHeight="1" x14ac:dyDescent="0.2">
      <c r="A1354" s="8">
        <v>45041</v>
      </c>
      <c r="B1354" s="7">
        <v>0.71388888888888891</v>
      </c>
      <c r="C1354" s="9" t="s">
        <v>594</v>
      </c>
      <c r="D1354" s="1" t="s">
        <v>388</v>
      </c>
      <c r="E1354" s="1" t="s">
        <v>603</v>
      </c>
      <c r="F1354" s="1" t="s">
        <v>604</v>
      </c>
      <c r="G1354" s="1" t="s">
        <v>365</v>
      </c>
      <c r="H1354" s="2">
        <v>-1250</v>
      </c>
      <c r="I1354" s="17">
        <v>58.34</v>
      </c>
      <c r="J1354" s="1" t="s">
        <v>605</v>
      </c>
      <c r="K1354" s="6">
        <f>Registro_Ordini[[#This Row],[Numero]]*Registro_Ordini[[#This Row],[Prezzo]]</f>
        <v>-72925</v>
      </c>
      <c r="L1354" s="10">
        <v>8.7264999999999995E-2</v>
      </c>
      <c r="M1354" s="6">
        <f>Registro_Ordini[[#This Row],[Importo]]*Registro_Ordini[[#This Row],[Cambio]]</f>
        <v>-6363.8001249999998</v>
      </c>
      <c r="N1354" s="1">
        <f ca="1">IFERROR(_xlfn.NUMBERVALUE(OFFSET(Origine,MATCH(Registro_Ordini[[#This Row],[Titolo]],Descrizioni,0),MATCH("Price",Intestazioni,0)-1,1,1)),"")</f>
        <v>0</v>
      </c>
      <c r="O1354" s="18" t="str">
        <f ca="1">IF(OR(Registro_Ordini[[#This Row],[Price]]=0,Registro_Ordini[[#This Row],[Price]]=""),"",IF(Registro_Ordini[[#This Row],[Tipo]]="Sell",Registro_Ordini[[#This Row],[Prezzo]]/Registro_Ordini[[#This Row],[Price]]-1,Registro_Ordini[[#This Row],[Price]]/Registro_Ordini[[#This Row],[Prezzo]]-1))</f>
        <v/>
      </c>
      <c r="P1354" s="15">
        <v>-1.0237127618810953E-2</v>
      </c>
      <c r="Q1354" s="3">
        <v>9.0640016082222954E-2</v>
      </c>
      <c r="R1354" s="3">
        <v>0.38422455646022496</v>
      </c>
      <c r="S1354" s="3">
        <v>0.36435166785742024</v>
      </c>
      <c r="T1354" s="3">
        <v>2.060359030237938E-2</v>
      </c>
      <c r="U1354" s="3">
        <v>0.14018016929775251</v>
      </c>
      <c r="V1354" s="3"/>
      <c r="W1354" s="4"/>
      <c r="X1354" s="13"/>
      <c r="Z1354"/>
      <c r="AA1354"/>
    </row>
    <row r="1355" spans="1:27" s="1" customFormat="1" ht="24.95" customHeight="1" x14ac:dyDescent="0.2">
      <c r="A1355" s="8">
        <v>45041</v>
      </c>
      <c r="B1355" s="7">
        <v>0.71388888888888891</v>
      </c>
      <c r="C1355" s="9" t="s">
        <v>606</v>
      </c>
      <c r="D1355" s="1" t="s">
        <v>388</v>
      </c>
      <c r="E1355" s="1" t="s">
        <v>603</v>
      </c>
      <c r="F1355" s="1" t="s">
        <v>604</v>
      </c>
      <c r="G1355" s="1" t="s">
        <v>365</v>
      </c>
      <c r="H1355" s="2">
        <v>-2300</v>
      </c>
      <c r="I1355" s="17">
        <v>58.34</v>
      </c>
      <c r="J1355" s="1" t="s">
        <v>605</v>
      </c>
      <c r="K1355" s="6">
        <f>Registro_Ordini[[#This Row],[Numero]]*Registro_Ordini[[#This Row],[Prezzo]]</f>
        <v>-134182</v>
      </c>
      <c r="L1355" s="10">
        <v>8.7264999999999995E-2</v>
      </c>
      <c r="M1355" s="6">
        <f>Registro_Ordini[[#This Row],[Importo]]*Registro_Ordini[[#This Row],[Cambio]]</f>
        <v>-11709.392229999999</v>
      </c>
      <c r="N1355" s="1">
        <f ca="1">IFERROR(_xlfn.NUMBERVALUE(OFFSET(Origine,MATCH(Registro_Ordini[[#This Row],[Titolo]],Descrizioni,0),MATCH("Price",Intestazioni,0)-1,1,1)),"")</f>
        <v>0</v>
      </c>
      <c r="O1355" s="18" t="str">
        <f ca="1">IF(OR(Registro_Ordini[[#This Row],[Price]]=0,Registro_Ordini[[#This Row],[Price]]=""),"",IF(Registro_Ordini[[#This Row],[Tipo]]="Sell",Registro_Ordini[[#This Row],[Prezzo]]/Registro_Ordini[[#This Row],[Price]]-1,Registro_Ordini[[#This Row],[Price]]/Registro_Ordini[[#This Row],[Prezzo]]-1))</f>
        <v/>
      </c>
      <c r="P1355" s="15">
        <v>-9.191164723668906E-3</v>
      </c>
      <c r="Q1355" s="3">
        <v>0.1305240827624749</v>
      </c>
      <c r="R1355" s="3">
        <v>0.43943418802858653</v>
      </c>
      <c r="S1355" s="3">
        <v>0.34475417560931126</v>
      </c>
      <c r="T1355" s="3">
        <v>2.1992043018734336E-2</v>
      </c>
      <c r="U1355" s="3">
        <v>6.3295510580892986E-2</v>
      </c>
      <c r="V1355" s="3"/>
      <c r="W1355" s="4"/>
      <c r="X1355" s="13"/>
      <c r="Z1355"/>
      <c r="AA1355"/>
    </row>
    <row r="1356" spans="1:27" s="1" customFormat="1" ht="24.95" customHeight="1" x14ac:dyDescent="0.2">
      <c r="A1356" s="8">
        <v>45041</v>
      </c>
      <c r="B1356" s="7">
        <v>0.71388888888888891</v>
      </c>
      <c r="C1356" s="9" t="s">
        <v>377</v>
      </c>
      <c r="D1356" s="1" t="s">
        <v>388</v>
      </c>
      <c r="E1356" s="1" t="s">
        <v>603</v>
      </c>
      <c r="F1356" s="1" t="s">
        <v>604</v>
      </c>
      <c r="G1356" s="1" t="s">
        <v>365</v>
      </c>
      <c r="H1356" s="2">
        <v>-3000</v>
      </c>
      <c r="I1356" s="17">
        <v>58.34</v>
      </c>
      <c r="J1356" s="1" t="s">
        <v>605</v>
      </c>
      <c r="K1356" s="6">
        <f>Registro_Ordini[[#This Row],[Numero]]*Registro_Ordini[[#This Row],[Prezzo]]</f>
        <v>-175020</v>
      </c>
      <c r="L1356" s="10">
        <v>8.7264999999999995E-2</v>
      </c>
      <c r="M1356" s="6">
        <f>Registro_Ordini[[#This Row],[Importo]]*Registro_Ordini[[#This Row],[Cambio]]</f>
        <v>-15273.120299999999</v>
      </c>
      <c r="N1356" s="1">
        <f ca="1">IFERROR(_xlfn.NUMBERVALUE(OFFSET(Origine,MATCH(Registro_Ordini[[#This Row],[Titolo]],Descrizioni,0),MATCH("Price",Intestazioni,0)-1,1,1)),"")</f>
        <v>0</v>
      </c>
      <c r="O1356" s="18" t="str">
        <f ca="1">IF(OR(Registro_Ordini[[#This Row],[Price]]=0,Registro_Ordini[[#This Row],[Price]]=""),"",IF(Registro_Ordini[[#This Row],[Tipo]]="Sell",Registro_Ordini[[#This Row],[Prezzo]]/Registro_Ordini[[#This Row],[Price]]-1,Registro_Ordini[[#This Row],[Price]]/Registro_Ordini[[#This Row],[Prezzo]]-1))</f>
        <v/>
      </c>
      <c r="P1356" s="15">
        <v>-1.0253106523404601E-2</v>
      </c>
      <c r="Q1356" s="3">
        <v>0.12230144885098254</v>
      </c>
      <c r="R1356" s="3">
        <v>0.36207840557166759</v>
      </c>
      <c r="S1356" s="3">
        <v>0.36147255335957079</v>
      </c>
      <c r="T1356" s="3">
        <v>1.8808626290954339E-2</v>
      </c>
      <c r="U1356" s="3">
        <v>0.13533896592682476</v>
      </c>
      <c r="V1356" s="3"/>
      <c r="W1356" s="4"/>
      <c r="X1356" s="13"/>
      <c r="Z1356"/>
      <c r="AA1356"/>
    </row>
    <row r="1357" spans="1:27" s="1" customFormat="1" ht="24.95" customHeight="1" x14ac:dyDescent="0.2">
      <c r="A1357" s="8">
        <v>45041</v>
      </c>
      <c r="B1357" s="7">
        <v>0.71388888888888891</v>
      </c>
      <c r="C1357" s="9" t="s">
        <v>376</v>
      </c>
      <c r="D1357" s="1" t="s">
        <v>388</v>
      </c>
      <c r="E1357" s="1" t="s">
        <v>603</v>
      </c>
      <c r="F1357" s="1" t="s">
        <v>604</v>
      </c>
      <c r="G1357" s="1" t="s">
        <v>365</v>
      </c>
      <c r="H1357" s="2">
        <v>-530</v>
      </c>
      <c r="I1357" s="17">
        <v>58.34</v>
      </c>
      <c r="J1357" s="1" t="s">
        <v>605</v>
      </c>
      <c r="K1357" s="6">
        <f>Registro_Ordini[[#This Row],[Numero]]*Registro_Ordini[[#This Row],[Prezzo]]</f>
        <v>-30920.2</v>
      </c>
      <c r="L1357" s="10">
        <v>8.7264999999999995E-2</v>
      </c>
      <c r="M1357" s="6">
        <f>Registro_Ordini[[#This Row],[Importo]]*Registro_Ordini[[#This Row],[Cambio]]</f>
        <v>-2698.2512529999999</v>
      </c>
      <c r="N1357" s="1">
        <f ca="1">IFERROR(_xlfn.NUMBERVALUE(OFFSET(Origine,MATCH(Registro_Ordini[[#This Row],[Titolo]],Descrizioni,0),MATCH("Price",Intestazioni,0)-1,1,1)),"")</f>
        <v>0</v>
      </c>
      <c r="O1357" s="18" t="str">
        <f ca="1">IF(OR(Registro_Ordini[[#This Row],[Price]]=0,Registro_Ordini[[#This Row],[Price]]=""),"",IF(Registro_Ordini[[#This Row],[Tipo]]="Sell",Registro_Ordini[[#This Row],[Prezzo]]/Registro_Ordini[[#This Row],[Price]]-1,Registro_Ordini[[#This Row],[Price]]/Registro_Ordini[[#This Row],[Prezzo]]-1))</f>
        <v/>
      </c>
      <c r="P1357" s="15">
        <v>-9.9062777286148263E-3</v>
      </c>
      <c r="Q1357" s="3">
        <v>9.2722320812521339E-2</v>
      </c>
      <c r="R1357" s="3">
        <v>0.3874115254655589</v>
      </c>
      <c r="S1357" s="3">
        <v>0.36873467571599616</v>
      </c>
      <c r="T1357" s="3">
        <v>0</v>
      </c>
      <c r="U1357" s="3">
        <v>0.15113147800592361</v>
      </c>
      <c r="V1357" s="3"/>
      <c r="W1357" s="4"/>
      <c r="X1357" s="13"/>
      <c r="Z1357"/>
      <c r="AA1357"/>
    </row>
    <row r="1358" spans="1:27" s="1" customFormat="1" ht="24.95" customHeight="1" x14ac:dyDescent="0.2">
      <c r="A1358" s="8">
        <v>45034</v>
      </c>
      <c r="B1358" s="7">
        <v>0.63958333333333328</v>
      </c>
      <c r="C1358" s="9" t="s">
        <v>456</v>
      </c>
      <c r="D1358" s="1" t="s">
        <v>368</v>
      </c>
      <c r="E1358" s="1" t="s">
        <v>363</v>
      </c>
      <c r="F1358" s="1" t="s">
        <v>607</v>
      </c>
      <c r="G1358" s="1" t="s">
        <v>371</v>
      </c>
      <c r="H1358" s="2">
        <v>30000</v>
      </c>
      <c r="I1358" s="16">
        <v>0.96761666999999996</v>
      </c>
      <c r="J1358" s="1" t="s">
        <v>369</v>
      </c>
      <c r="K1358" s="6">
        <f>Registro_Ordini[[#This Row],[Numero]]*Registro_Ordini[[#This Row],[Prezzo]]</f>
        <v>29028.500099999997</v>
      </c>
      <c r="L1358" s="10">
        <v>1</v>
      </c>
      <c r="M1358" s="6">
        <f>Registro_Ordini[[#This Row],[Importo]]*Registro_Ordini[[#This Row],[Cambio]]</f>
        <v>29028.500099999997</v>
      </c>
      <c r="N1358" s="1">
        <f ca="1">IFERROR(_xlfn.NUMBERVALUE(OFFSET(Origine,MATCH(Registro_Ordini[[#This Row],[Titolo]],Descrizioni,0),MATCH("Price",Intestazioni,0)-1,1,1)),"")</f>
        <v>0</v>
      </c>
      <c r="O1358" s="18" t="str">
        <f ca="1">IF(OR(Registro_Ordini[[#This Row],[Price]]=0,Registro_Ordini[[#This Row],[Price]]=""),"",IF(Registro_Ordini[[#This Row],[Tipo]]="Sell",Registro_Ordini[[#This Row],[Prezzo]]/Registro_Ordini[[#This Row],[Price]]-1,Registro_Ordini[[#This Row],[Price]]/Registro_Ordini[[#This Row],[Prezzo]]-1))</f>
        <v/>
      </c>
      <c r="P1358" s="15">
        <v>3.1275914967557661E-2</v>
      </c>
      <c r="Q1358" s="3">
        <v>0.16698506607120037</v>
      </c>
      <c r="R1358" s="3">
        <v>0.30042220534167507</v>
      </c>
      <c r="S1358" s="3">
        <v>0.49259407985856934</v>
      </c>
      <c r="T1358" s="3">
        <v>0</v>
      </c>
      <c r="U1358" s="3">
        <v>0</v>
      </c>
      <c r="V1358" s="3">
        <v>3.9998648728555311E-2</v>
      </c>
      <c r="W1358" s="4"/>
      <c r="X1358" s="13"/>
      <c r="Z1358"/>
      <c r="AA1358"/>
    </row>
    <row r="1359" spans="1:27" s="1" customFormat="1" ht="24.95" customHeight="1" x14ac:dyDescent="0.2">
      <c r="A1359" s="8">
        <v>45034</v>
      </c>
      <c r="B1359" s="7">
        <v>0.53611111111111109</v>
      </c>
      <c r="C1359" s="9" t="s">
        <v>456</v>
      </c>
      <c r="D1359" s="1" t="s">
        <v>368</v>
      </c>
      <c r="E1359" s="1" t="s">
        <v>363</v>
      </c>
      <c r="F1359" s="1" t="s">
        <v>601</v>
      </c>
      <c r="G1359" s="1" t="s">
        <v>365</v>
      </c>
      <c r="H1359" s="2">
        <v>-30000</v>
      </c>
      <c r="I1359" s="16">
        <v>0.98982221999999997</v>
      </c>
      <c r="J1359" s="1" t="s">
        <v>369</v>
      </c>
      <c r="K1359" s="6">
        <f>Registro_Ordini[[#This Row],[Numero]]*Registro_Ordini[[#This Row],[Prezzo]]</f>
        <v>-29694.6666</v>
      </c>
      <c r="L1359" s="10">
        <v>1</v>
      </c>
      <c r="M1359" s="6">
        <f>Registro_Ordini[[#This Row],[Importo]]*Registro_Ordini[[#This Row],[Cambio]]</f>
        <v>-29694.6666</v>
      </c>
      <c r="N1359" s="1" t="str">
        <f ca="1">IFERROR(_xlfn.NUMBERVALUE(OFFSET(Origine,MATCH(Registro_Ordini[[#This Row],[Titolo]],Descrizioni,0),MATCH("Price",Intestazioni,0)-1,1,1)),"")</f>
        <v/>
      </c>
      <c r="O1359" s="18" t="str">
        <f ca="1">IF(OR(Registro_Ordini[[#This Row],[Price]]=0,Registro_Ordini[[#This Row],[Price]]=""),"",IF(Registro_Ordini[[#This Row],[Tipo]]="Sell",Registro_Ordini[[#This Row],[Prezzo]]/Registro_Ordini[[#This Row],[Price]]-1,Registro_Ordini[[#This Row],[Price]]/Registro_Ordini[[#This Row],[Prezzo]]-1))</f>
        <v/>
      </c>
      <c r="P1359" s="15">
        <v>-3.2048793047943405E-2</v>
      </c>
      <c r="Q1359" s="3">
        <v>0.13491208945659791</v>
      </c>
      <c r="R1359" s="3">
        <v>0.33223473348577764</v>
      </c>
      <c r="S1359" s="3">
        <v>0.49289732515496892</v>
      </c>
      <c r="T1359" s="3">
        <v>0</v>
      </c>
      <c r="U1359" s="3">
        <v>0</v>
      </c>
      <c r="V1359" s="3">
        <v>3.9955851902655527E-2</v>
      </c>
      <c r="W1359" s="4"/>
      <c r="X1359" s="13"/>
      <c r="Z1359"/>
      <c r="AA1359"/>
    </row>
    <row r="1360" spans="1:27" s="1" customFormat="1" ht="24.95" customHeight="1" x14ac:dyDescent="0.2">
      <c r="A1360" s="8">
        <v>45027</v>
      </c>
      <c r="B1360" s="7">
        <v>0.6430555555555556</v>
      </c>
      <c r="C1360" s="9" t="s">
        <v>456</v>
      </c>
      <c r="D1360" s="1" t="s">
        <v>388</v>
      </c>
      <c r="E1360" s="1" t="s">
        <v>397</v>
      </c>
      <c r="F1360" s="1" t="s">
        <v>608</v>
      </c>
      <c r="G1360" s="1" t="s">
        <v>365</v>
      </c>
      <c r="H1360" s="2">
        <v>-300</v>
      </c>
      <c r="I1360" s="17">
        <v>71.134</v>
      </c>
      <c r="J1360" s="1" t="s">
        <v>369</v>
      </c>
      <c r="K1360" s="6">
        <f>Registro_Ordini[[#This Row],[Numero]]*Registro_Ordini[[#This Row],[Prezzo]]</f>
        <v>-21340.2</v>
      </c>
      <c r="L1360" s="10">
        <v>1</v>
      </c>
      <c r="M1360" s="6">
        <f>Registro_Ordini[[#This Row],[Importo]]*Registro_Ordini[[#This Row],[Cambio]]</f>
        <v>-21340.2</v>
      </c>
      <c r="N1360" s="1">
        <f ca="1">IFERROR(_xlfn.NUMBERVALUE(OFFSET(Origine,MATCH(Registro_Ordini[[#This Row],[Titolo]],Descrizioni,0),MATCH("Price",Intestazioni,0)-1,1,1)),"")</f>
        <v>51.4</v>
      </c>
      <c r="O1360" s="18">
        <f ca="1">IF(OR(Registro_Ordini[[#This Row],[Price]]=0,Registro_Ordini[[#This Row],[Price]]=""),"",IF(Registro_Ordini[[#This Row],[Tipo]]="Sell",Registro_Ordini[[#This Row],[Prezzo]]/Registro_Ordini[[#This Row],[Price]]-1,Registro_Ordini[[#This Row],[Price]]/Registro_Ordini[[#This Row],[Prezzo]]-1))</f>
        <v>0.38392996108949418</v>
      </c>
      <c r="P1360" s="15">
        <v>-2.2988347685067887E-2</v>
      </c>
      <c r="Q1360" s="3">
        <v>0.11236504120759133</v>
      </c>
      <c r="R1360" s="3">
        <v>0.33393656088116075</v>
      </c>
      <c r="S1360" s="3">
        <v>0.51399198814891744</v>
      </c>
      <c r="T1360" s="3">
        <v>0</v>
      </c>
      <c r="U1360" s="3">
        <v>0</v>
      </c>
      <c r="V1360" s="3">
        <v>3.9706409762330482E-2</v>
      </c>
      <c r="W1360" s="4"/>
      <c r="X1360" s="13"/>
      <c r="Z1360"/>
      <c r="AA1360"/>
    </row>
    <row r="1361" spans="1:27" s="1" customFormat="1" ht="24.95" customHeight="1" x14ac:dyDescent="0.2">
      <c r="A1361" s="8">
        <v>45027</v>
      </c>
      <c r="B1361" s="7">
        <v>0.64027777777777772</v>
      </c>
      <c r="C1361" s="9" t="s">
        <v>413</v>
      </c>
      <c r="D1361" s="1" t="s">
        <v>368</v>
      </c>
      <c r="E1361" s="1" t="s">
        <v>363</v>
      </c>
      <c r="F1361" s="19" t="s">
        <v>587</v>
      </c>
      <c r="G1361" s="1" t="s">
        <v>371</v>
      </c>
      <c r="H1361" s="2">
        <v>100000</v>
      </c>
      <c r="I1361" s="16">
        <v>0.92228125000000005</v>
      </c>
      <c r="J1361" s="1" t="s">
        <v>369</v>
      </c>
      <c r="K1361" s="6">
        <f>Registro_Ordini[[#This Row],[Numero]]*Registro_Ordini[[#This Row],[Prezzo]]</f>
        <v>92228.125</v>
      </c>
      <c r="L1361" s="10">
        <v>1</v>
      </c>
      <c r="M1361" s="6">
        <f>Registro_Ordini[[#This Row],[Importo]]*Registro_Ordini[[#This Row],[Cambio]]</f>
        <v>92228.125</v>
      </c>
      <c r="N1361" s="1">
        <f ca="1">IFERROR(_xlfn.NUMBERVALUE(OFFSET(Origine,MATCH(Registro_Ordini[[#This Row],[Titolo]],Descrizioni,0),MATCH("Price",Intestazioni,0)-1,1,1)),"")</f>
        <v>0.99534930556000001</v>
      </c>
      <c r="O1361" s="18">
        <f ca="1">IF(OR(Registro_Ordini[[#This Row],[Price]]=0,Registro_Ordini[[#This Row],[Price]]=""),"",IF(Registro_Ordini[[#This Row],[Tipo]]="Sell",Registro_Ordini[[#This Row],[Prezzo]]/Registro_Ordini[[#This Row],[Price]]-1,Registro_Ordini[[#This Row],[Price]]/Registro_Ordini[[#This Row],[Prezzo]]-1))</f>
        <v>7.9225350791854332E-2</v>
      </c>
      <c r="P1361" s="15">
        <v>2.1484085206769126E-2</v>
      </c>
      <c r="Q1361" s="3">
        <v>0.21430903438196555</v>
      </c>
      <c r="R1361" s="3">
        <v>0.17563606783902069</v>
      </c>
      <c r="S1361" s="3">
        <v>0.25432121360431803</v>
      </c>
      <c r="T1361" s="3">
        <v>0</v>
      </c>
      <c r="U1361" s="3">
        <v>0.35573368417469575</v>
      </c>
      <c r="V1361" s="3">
        <v>0</v>
      </c>
      <c r="W1361" s="5"/>
      <c r="X1361" s="13"/>
      <c r="Z1361"/>
      <c r="AA1361"/>
    </row>
    <row r="1362" spans="1:27" s="1" customFormat="1" ht="24.95" customHeight="1" x14ac:dyDescent="0.2">
      <c r="A1362" s="8">
        <v>45027</v>
      </c>
      <c r="B1362" s="7">
        <v>0.63680555555555551</v>
      </c>
      <c r="C1362" s="9" t="s">
        <v>456</v>
      </c>
      <c r="D1362" s="1" t="s">
        <v>368</v>
      </c>
      <c r="E1362" s="1" t="s">
        <v>363</v>
      </c>
      <c r="F1362" s="1" t="s">
        <v>609</v>
      </c>
      <c r="G1362" s="1" t="s">
        <v>371</v>
      </c>
      <c r="H1362" s="2">
        <v>30000</v>
      </c>
      <c r="I1362" s="16">
        <v>0.96766750000000001</v>
      </c>
      <c r="J1362" s="1" t="s">
        <v>366</v>
      </c>
      <c r="K1362" s="6">
        <f>Registro_Ordini[[#This Row],[Numero]]*Registro_Ordini[[#This Row],[Prezzo]]</f>
        <v>29030.025000000001</v>
      </c>
      <c r="L1362" s="10">
        <v>0.90534999999999999</v>
      </c>
      <c r="M1362" s="6">
        <f>Registro_Ordini[[#This Row],[Importo]]*Registro_Ordini[[#This Row],[Cambio]]</f>
        <v>26282.333133750002</v>
      </c>
      <c r="N1362" s="1" t="str">
        <f ca="1">IFERROR(_xlfn.NUMBERVALUE(OFFSET(Origine,MATCH(Registro_Ordini[[#This Row],[Titolo]],Descrizioni,0),MATCH("Price",Intestazioni,0)-1,1,1)),"")</f>
        <v/>
      </c>
      <c r="O1362" s="18" t="str">
        <f ca="1">IF(OR(Registro_Ordini[[#This Row],[Price]]=0,Registro_Ordini[[#This Row],[Price]]=""),"",IF(Registro_Ordini[[#This Row],[Tipo]]="Sell",Registro_Ordini[[#This Row],[Prezzo]]/Registro_Ordini[[#This Row],[Price]]-1,Registro_Ordini[[#This Row],[Price]]/Registro_Ordini[[#This Row],[Prezzo]]-1))</f>
        <v/>
      </c>
      <c r="P1362" s="15">
        <v>2.8302751288887606E-2</v>
      </c>
      <c r="Q1362" s="3">
        <v>0.14064179089888437</v>
      </c>
      <c r="R1362" s="3">
        <v>0.30562984951673045</v>
      </c>
      <c r="S1362" s="3">
        <v>0.51403516184316878</v>
      </c>
      <c r="T1362" s="3">
        <v>0</v>
      </c>
      <c r="U1362" s="3">
        <v>0</v>
      </c>
      <c r="V1362" s="3">
        <v>3.9693197741216366E-2</v>
      </c>
      <c r="W1362" s="4"/>
      <c r="X1362" s="13"/>
      <c r="Z1362"/>
      <c r="AA1362"/>
    </row>
    <row r="1363" spans="1:27" s="1" customFormat="1" ht="24.95" customHeight="1" x14ac:dyDescent="0.2">
      <c r="A1363" s="8">
        <v>45027</v>
      </c>
      <c r="B1363" s="7">
        <v>0.63541666666666663</v>
      </c>
      <c r="C1363" s="9" t="s">
        <v>456</v>
      </c>
      <c r="D1363" s="1" t="s">
        <v>368</v>
      </c>
      <c r="E1363" s="1" t="s">
        <v>363</v>
      </c>
      <c r="F1363" s="1" t="s">
        <v>610</v>
      </c>
      <c r="G1363" s="1" t="s">
        <v>371</v>
      </c>
      <c r="H1363" s="2">
        <v>30000</v>
      </c>
      <c r="I1363" s="16">
        <v>0.99245167000000001</v>
      </c>
      <c r="J1363" s="1" t="s">
        <v>366</v>
      </c>
      <c r="K1363" s="6">
        <f>Registro_Ordini[[#This Row],[Numero]]*Registro_Ordini[[#This Row],[Prezzo]]</f>
        <v>29773.5501</v>
      </c>
      <c r="L1363" s="10">
        <v>0.90534999999999999</v>
      </c>
      <c r="M1363" s="6">
        <f>Registro_Ordini[[#This Row],[Importo]]*Registro_Ordini[[#This Row],[Cambio]]</f>
        <v>26955.483583034998</v>
      </c>
      <c r="N1363" s="1" t="str">
        <f ca="1">IFERROR(_xlfn.NUMBERVALUE(OFFSET(Origine,MATCH(Registro_Ordini[[#This Row],[Titolo]],Descrizioni,0),MATCH("Price",Intestazioni,0)-1,1,1)),"")</f>
        <v/>
      </c>
      <c r="O1363" s="18" t="str">
        <f ca="1">IF(OR(Registro_Ordini[[#This Row],[Price]]=0,Registro_Ordini[[#This Row],[Price]]=""),"",IF(Registro_Ordini[[#This Row],[Tipo]]="Sell",Registro_Ordini[[#This Row],[Prezzo]]/Registro_Ordini[[#This Row],[Price]]-1,Registro_Ordini[[#This Row],[Price]]/Registro_Ordini[[#This Row],[Prezzo]]-1))</f>
        <v/>
      </c>
      <c r="P1363" s="15">
        <v>2.9027649251681133E-2</v>
      </c>
      <c r="Q1363" s="3">
        <v>0.16966944015056551</v>
      </c>
      <c r="R1363" s="3">
        <v>0.27660220026504934</v>
      </c>
      <c r="S1363" s="3">
        <v>0.51403516184316878</v>
      </c>
      <c r="T1363" s="3">
        <v>0</v>
      </c>
      <c r="U1363" s="3">
        <v>0</v>
      </c>
      <c r="V1363" s="3">
        <v>3.9693197741216366E-2</v>
      </c>
      <c r="W1363" s="4"/>
      <c r="X1363" s="13"/>
      <c r="Z1363"/>
      <c r="AA1363"/>
    </row>
    <row r="1364" spans="1:27" s="1" customFormat="1" ht="24.95" customHeight="1" x14ac:dyDescent="0.2">
      <c r="A1364" s="8">
        <v>45027</v>
      </c>
      <c r="B1364" s="7">
        <v>0.63402777777777775</v>
      </c>
      <c r="C1364" s="9" t="s">
        <v>456</v>
      </c>
      <c r="D1364" s="1" t="s">
        <v>368</v>
      </c>
      <c r="E1364" s="1" t="s">
        <v>363</v>
      </c>
      <c r="F1364" s="1" t="s">
        <v>611</v>
      </c>
      <c r="G1364" s="1" t="s">
        <v>371</v>
      </c>
      <c r="H1364" s="2">
        <v>30000</v>
      </c>
      <c r="I1364" s="16">
        <v>0.95475832999999999</v>
      </c>
      <c r="J1364" s="1" t="s">
        <v>366</v>
      </c>
      <c r="K1364" s="6">
        <f>Registro_Ordini[[#This Row],[Numero]]*Registro_Ordini[[#This Row],[Prezzo]]</f>
        <v>28642.749899999999</v>
      </c>
      <c r="L1364" s="10">
        <v>0.90534999999999999</v>
      </c>
      <c r="M1364" s="6">
        <f>Registro_Ordini[[#This Row],[Importo]]*Registro_Ordini[[#This Row],[Cambio]]</f>
        <v>25931.713621964998</v>
      </c>
      <c r="N1364" s="1" t="str">
        <f ca="1">IFERROR(_xlfn.NUMBERVALUE(OFFSET(Origine,MATCH(Registro_Ordini[[#This Row],[Titolo]],Descrizioni,0),MATCH("Price",Intestazioni,0)-1,1,1)),"")</f>
        <v/>
      </c>
      <c r="O1364" s="18" t="str">
        <f ca="1">IF(OR(Registro_Ordini[[#This Row],[Price]]=0,Registro_Ordini[[#This Row],[Price]]=""),"",IF(Registro_Ordini[[#This Row],[Tipo]]="Sell",Registro_Ordini[[#This Row],[Prezzo]]/Registro_Ordini[[#This Row],[Price]]-1,Registro_Ordini[[#This Row],[Price]]/Registro_Ordini[[#This Row],[Prezzo]]-1))</f>
        <v/>
      </c>
      <c r="P1364" s="15">
        <v>2.7925178385120587E-2</v>
      </c>
      <c r="Q1364" s="3">
        <v>0.19759461853568608</v>
      </c>
      <c r="R1364" s="3">
        <v>0.24867702187992877</v>
      </c>
      <c r="S1364" s="3">
        <v>0.51403516184316878</v>
      </c>
      <c r="T1364" s="3">
        <v>0</v>
      </c>
      <c r="U1364" s="3">
        <v>0</v>
      </c>
      <c r="V1364" s="3">
        <v>3.9693197741216366E-2</v>
      </c>
      <c r="W1364" s="4"/>
      <c r="X1364" s="13"/>
      <c r="Z1364"/>
      <c r="AA1364"/>
    </row>
    <row r="1365" spans="1:27" s="1" customFormat="1" ht="24.95" customHeight="1" x14ac:dyDescent="0.2">
      <c r="A1365" s="8">
        <v>45027</v>
      </c>
      <c r="B1365" s="7">
        <v>0.63263888888888886</v>
      </c>
      <c r="C1365" s="9" t="s">
        <v>456</v>
      </c>
      <c r="D1365" s="1" t="s">
        <v>368</v>
      </c>
      <c r="E1365" s="1" t="s">
        <v>363</v>
      </c>
      <c r="F1365" s="1" t="s">
        <v>612</v>
      </c>
      <c r="G1365" s="1" t="s">
        <v>371</v>
      </c>
      <c r="H1365" s="2">
        <v>6000</v>
      </c>
      <c r="I1365" s="16">
        <v>0.99865360999999997</v>
      </c>
      <c r="J1365" s="1" t="s">
        <v>366</v>
      </c>
      <c r="K1365" s="6">
        <f>Registro_Ordini[[#This Row],[Numero]]*Registro_Ordini[[#This Row],[Prezzo]]</f>
        <v>5991.92166</v>
      </c>
      <c r="L1365" s="10">
        <v>0.90534999999999999</v>
      </c>
      <c r="M1365" s="6">
        <f>Registro_Ordini[[#This Row],[Importo]]*Registro_Ordini[[#This Row],[Cambio]]</f>
        <v>5424.7862748810003</v>
      </c>
      <c r="N1365" s="1" t="str">
        <f ca="1">IFERROR(_xlfn.NUMBERVALUE(OFFSET(Origine,MATCH(Registro_Ordini[[#This Row],[Titolo]],Descrizioni,0),MATCH("Price",Intestazioni,0)-1,1,1)),"")</f>
        <v/>
      </c>
      <c r="O1365" s="18" t="str">
        <f ca="1">IF(OR(Registro_Ordini[[#This Row],[Price]]=0,Registro_Ordini[[#This Row],[Price]]=""),"",IF(Registro_Ordini[[#This Row],[Tipo]]="Sell",Registro_Ordini[[#This Row],[Prezzo]]/Registro_Ordini[[#This Row],[Price]]-1,Registro_Ordini[[#This Row],[Price]]/Registro_Ordini[[#This Row],[Prezzo]]-1))</f>
        <v/>
      </c>
      <c r="P1365" s="15">
        <v>5.8418092469943988E-3</v>
      </c>
      <c r="Q1365" s="3">
        <v>0.20336983528557701</v>
      </c>
      <c r="R1365" s="3">
        <v>0.24278417648490916</v>
      </c>
      <c r="S1365" s="3">
        <v>0.51415965269740949</v>
      </c>
      <c r="T1365" s="3">
        <v>0</v>
      </c>
      <c r="U1365" s="3">
        <v>0</v>
      </c>
      <c r="V1365" s="3">
        <v>3.9686335532104239E-2</v>
      </c>
      <c r="W1365" s="4"/>
      <c r="X1365" s="13"/>
      <c r="Z1365"/>
      <c r="AA1365"/>
    </row>
    <row r="1366" spans="1:27" s="1" customFormat="1" ht="24.95" customHeight="1" x14ac:dyDescent="0.2">
      <c r="A1366" s="8">
        <v>45027</v>
      </c>
      <c r="B1366" s="7">
        <v>0.63124999999999998</v>
      </c>
      <c r="C1366" s="9" t="s">
        <v>456</v>
      </c>
      <c r="D1366" s="1" t="s">
        <v>368</v>
      </c>
      <c r="E1366" s="1" t="s">
        <v>363</v>
      </c>
      <c r="F1366" s="1" t="s">
        <v>613</v>
      </c>
      <c r="G1366" s="1" t="s">
        <v>371</v>
      </c>
      <c r="H1366" s="2">
        <v>30000</v>
      </c>
      <c r="I1366" s="16">
        <v>0.99618888999999999</v>
      </c>
      <c r="J1366" s="1" t="s">
        <v>366</v>
      </c>
      <c r="K1366" s="6">
        <f>Registro_Ordini[[#This Row],[Numero]]*Registro_Ordini[[#This Row],[Prezzo]]</f>
        <v>29885.666700000002</v>
      </c>
      <c r="L1366" s="10">
        <v>0.90512999999999999</v>
      </c>
      <c r="M1366" s="6">
        <f>Registro_Ordini[[#This Row],[Importo]]*Registro_Ordini[[#This Row],[Cambio]]</f>
        <v>27050.413500171002</v>
      </c>
      <c r="N1366" s="1" t="str">
        <f ca="1">IFERROR(_xlfn.NUMBERVALUE(OFFSET(Origine,MATCH(Registro_Ordini[[#This Row],[Titolo]],Descrizioni,0),MATCH("Price",Intestazioni,0)-1,1,1)),"")</f>
        <v/>
      </c>
      <c r="O1366" s="18" t="str">
        <f ca="1">IF(OR(Registro_Ordini[[#This Row],[Price]]=0,Registro_Ordini[[#This Row],[Price]]=""),"",IF(Registro_Ordini[[#This Row],[Tipo]]="Sell",Registro_Ordini[[#This Row],[Prezzo]]/Registro_Ordini[[#This Row],[Price]]-1,Registro_Ordini[[#This Row],[Price]]/Registro_Ordini[[#This Row],[Prezzo]]-1))</f>
        <v/>
      </c>
      <c r="P1366" s="15">
        <v>2.9124840766308401E-2</v>
      </c>
      <c r="Q1366" s="3">
        <v>0.23249467605188542</v>
      </c>
      <c r="R1366" s="3">
        <v>0.21365933571860074</v>
      </c>
      <c r="S1366" s="3">
        <v>0.51415965269740949</v>
      </c>
      <c r="T1366" s="3">
        <v>0</v>
      </c>
      <c r="U1366" s="3">
        <v>0</v>
      </c>
      <c r="V1366" s="3">
        <v>3.9686335532104239E-2</v>
      </c>
      <c r="W1366" s="4"/>
      <c r="X1366" s="13"/>
      <c r="Z1366"/>
      <c r="AA1366"/>
    </row>
    <row r="1367" spans="1:27" ht="24.95" customHeight="1" x14ac:dyDescent="0.2">
      <c r="A1367" s="8">
        <v>45027</v>
      </c>
      <c r="B1367" s="7">
        <v>0.62777777777777777</v>
      </c>
      <c r="C1367" s="9" t="s">
        <v>456</v>
      </c>
      <c r="D1367" s="1" t="s">
        <v>368</v>
      </c>
      <c r="E1367" s="1" t="s">
        <v>363</v>
      </c>
      <c r="F1367" s="1" t="s">
        <v>587</v>
      </c>
      <c r="G1367" s="1" t="s">
        <v>371</v>
      </c>
      <c r="H1367" s="2">
        <v>30000</v>
      </c>
      <c r="I1367" s="16">
        <v>0.92228125000000005</v>
      </c>
      <c r="J1367" s="1" t="s">
        <v>369</v>
      </c>
      <c r="K1367" s="6">
        <f>Registro_Ordini[[#This Row],[Numero]]*Registro_Ordini[[#This Row],[Prezzo]]</f>
        <v>27668.4375</v>
      </c>
      <c r="L1367" s="10">
        <v>1</v>
      </c>
      <c r="M1367" s="6">
        <f>Registro_Ordini[[#This Row],[Importo]]*Registro_Ordini[[#This Row],[Cambio]]</f>
        <v>27668.4375</v>
      </c>
      <c r="N1367" s="1">
        <f ca="1">IFERROR(_xlfn.NUMBERVALUE(OFFSET(Origine,MATCH(Registro_Ordini[[#This Row],[Titolo]],Descrizioni,0),MATCH("Price",Intestazioni,0)-1,1,1)),"")</f>
        <v>0.99534930556000001</v>
      </c>
      <c r="O1367" s="18">
        <f ca="1">IF(OR(Registro_Ordini[[#This Row],[Price]]=0,Registro_Ordini[[#This Row],[Price]]=""),"",IF(Registro_Ordini[[#This Row],[Tipo]]="Sell",Registro_Ordini[[#This Row],[Prezzo]]/Registro_Ordini[[#This Row],[Price]]-1,Registro_Ordini[[#This Row],[Price]]/Registro_Ordini[[#This Row],[Prezzo]]-1))</f>
        <v>7.9225350791854332E-2</v>
      </c>
      <c r="P1367" s="15">
        <v>2.9790259451485349E-2</v>
      </c>
      <c r="Q1367" s="3">
        <v>0.26228493550337079</v>
      </c>
      <c r="R1367" s="3">
        <v>0.18386907626711541</v>
      </c>
      <c r="S1367" s="3">
        <v>0.51415965269740949</v>
      </c>
      <c r="T1367" s="3">
        <v>0</v>
      </c>
      <c r="U1367" s="3">
        <v>0</v>
      </c>
      <c r="V1367" s="3">
        <v>3.9686335532104239E-2</v>
      </c>
      <c r="W1367" s="4"/>
    </row>
    <row r="1368" spans="1:27" ht="24.95" customHeight="1" x14ac:dyDescent="0.2">
      <c r="A1368" s="8">
        <v>45027</v>
      </c>
      <c r="B1368" s="7">
        <v>0.62291666666666667</v>
      </c>
      <c r="C1368" s="9" t="s">
        <v>456</v>
      </c>
      <c r="D1368" s="1" t="s">
        <v>368</v>
      </c>
      <c r="E1368" s="1" t="s">
        <v>363</v>
      </c>
      <c r="F1368" s="1" t="s">
        <v>614</v>
      </c>
      <c r="G1368" s="1" t="s">
        <v>371</v>
      </c>
      <c r="H1368" s="2">
        <v>30000</v>
      </c>
      <c r="I1368" s="16">
        <v>0.93764444000000002</v>
      </c>
      <c r="J1368" s="1" t="s">
        <v>369</v>
      </c>
      <c r="K1368" s="6">
        <f>Registro_Ordini[[#This Row],[Numero]]*Registro_Ordini[[#This Row],[Prezzo]]</f>
        <v>28129.333200000001</v>
      </c>
      <c r="L1368" s="10">
        <v>1</v>
      </c>
      <c r="M1368" s="6">
        <f>Registro_Ordini[[#This Row],[Importo]]*Registro_Ordini[[#This Row],[Cambio]]</f>
        <v>28129.333200000001</v>
      </c>
      <c r="N1368" s="1">
        <f ca="1">IFERROR(_xlfn.NUMBERVALUE(OFFSET(Origine,MATCH(Registro_Ordini[[#This Row],[Titolo]],Descrizioni,0),MATCH("Price",Intestazioni,0)-1,1,1)),"")</f>
        <v>1.0004833333300001</v>
      </c>
      <c r="O1368" s="18">
        <f ca="1">IF(OR(Registro_Ordini[[#This Row],[Price]]=0,Registro_Ordini[[#This Row],[Price]]=""),"",IF(Registro_Ordini[[#This Row],[Tipo]]="Sell",Registro_Ordini[[#This Row],[Prezzo]]/Registro_Ordini[[#This Row],[Price]]-1,Registro_Ordini[[#This Row],[Price]]/Registro_Ordini[[#This Row],[Prezzo]]-1))</f>
        <v>6.7017827493329962E-2</v>
      </c>
      <c r="P1368" s="15">
        <v>3.0286500068002778E-2</v>
      </c>
      <c r="Q1368" s="3">
        <v>0.29257143557137355</v>
      </c>
      <c r="R1368" s="3">
        <v>0.15358257619911259</v>
      </c>
      <c r="S1368" s="3">
        <v>0.51415965269740949</v>
      </c>
      <c r="T1368" s="3">
        <v>0</v>
      </c>
      <c r="U1368" s="3">
        <v>0</v>
      </c>
      <c r="V1368" s="3">
        <v>3.9686335532104239E-2</v>
      </c>
      <c r="W1368" s="4"/>
    </row>
    <row r="1369" spans="1:27" ht="24.95" customHeight="1" x14ac:dyDescent="0.2">
      <c r="A1369" s="8">
        <v>45027</v>
      </c>
      <c r="B1369" s="7">
        <v>0.62083333333333335</v>
      </c>
      <c r="C1369" s="9" t="s">
        <v>456</v>
      </c>
      <c r="D1369" s="1" t="s">
        <v>368</v>
      </c>
      <c r="E1369" s="1" t="s">
        <v>363</v>
      </c>
      <c r="F1369" s="1" t="s">
        <v>600</v>
      </c>
      <c r="G1369" s="1" t="s">
        <v>371</v>
      </c>
      <c r="H1369" s="2">
        <v>30000</v>
      </c>
      <c r="I1369" s="16">
        <v>0.97776249999999998</v>
      </c>
      <c r="J1369" s="1" t="s">
        <v>369</v>
      </c>
      <c r="K1369" s="6">
        <f>Registro_Ordini[[#This Row],[Numero]]*Registro_Ordini[[#This Row],[Prezzo]]</f>
        <v>29332.875</v>
      </c>
      <c r="L1369" s="10">
        <v>1</v>
      </c>
      <c r="M1369" s="6">
        <f>Registro_Ordini[[#This Row],[Importo]]*Registro_Ordini[[#This Row],[Cambio]]</f>
        <v>29332.875</v>
      </c>
      <c r="N1369" s="1">
        <f ca="1">IFERROR(_xlfn.NUMBERVALUE(OFFSET(Origine,MATCH(Registro_Ordini[[#This Row],[Titolo]],Descrizioni,0),MATCH("Price",Intestazioni,0)-1,1,1)),"")</f>
        <v>0</v>
      </c>
      <c r="O1369" s="18" t="str">
        <f ca="1">IF(OR(Registro_Ordini[[#This Row],[Price]]=0,Registro_Ordini[[#This Row],[Price]]=""),"",IF(Registro_Ordini[[#This Row],[Tipo]]="Sell",Registro_Ordini[[#This Row],[Prezzo]]/Registro_Ordini[[#This Row],[Price]]-1,Registro_Ordini[[#This Row],[Price]]/Registro_Ordini[[#This Row],[Prezzo]]-1))</f>
        <v/>
      </c>
      <c r="P1369" s="15">
        <v>3.1577846198814243E-2</v>
      </c>
      <c r="Q1369" s="3">
        <v>0.32415478435173756</v>
      </c>
      <c r="R1369" s="3">
        <v>0.12200154763641863</v>
      </c>
      <c r="S1369" s="3">
        <v>0.51416297740186179</v>
      </c>
      <c r="T1369" s="3">
        <v>0</v>
      </c>
      <c r="U1369" s="3">
        <v>0</v>
      </c>
      <c r="V1369" s="3">
        <v>3.9680690609982076E-2</v>
      </c>
      <c r="W1369" s="4"/>
    </row>
    <row r="1370" spans="1:27" ht="24.95" customHeight="1" x14ac:dyDescent="0.2">
      <c r="A1370" s="8">
        <v>45027</v>
      </c>
      <c r="B1370" s="7">
        <v>0.61944444444444446</v>
      </c>
      <c r="C1370" s="9" t="s">
        <v>456</v>
      </c>
      <c r="D1370" s="1" t="s">
        <v>368</v>
      </c>
      <c r="E1370" s="1" t="s">
        <v>363</v>
      </c>
      <c r="F1370" s="1" t="s">
        <v>615</v>
      </c>
      <c r="G1370" s="1" t="s">
        <v>371</v>
      </c>
      <c r="H1370" s="2">
        <v>30000</v>
      </c>
      <c r="I1370" s="16">
        <v>0.99856666999999999</v>
      </c>
      <c r="J1370" s="1" t="s">
        <v>369</v>
      </c>
      <c r="K1370" s="6">
        <f>Registro_Ordini[[#This Row],[Numero]]*Registro_Ordini[[#This Row],[Prezzo]]</f>
        <v>29957.000100000001</v>
      </c>
      <c r="L1370" s="10">
        <v>1</v>
      </c>
      <c r="M1370" s="6">
        <f>Registro_Ordini[[#This Row],[Importo]]*Registro_Ordini[[#This Row],[Cambio]]</f>
        <v>29957.000100000001</v>
      </c>
      <c r="N1370" s="1" t="str">
        <f ca="1">IFERROR(_xlfn.NUMBERVALUE(OFFSET(Origine,MATCH(Registro_Ordini[[#This Row],[Titolo]],Descrizioni,0),MATCH("Price",Intestazioni,0)-1,1,1)),"")</f>
        <v/>
      </c>
      <c r="O1370" s="18" t="str">
        <f ca="1">IF(OR(Registro_Ordini[[#This Row],[Price]]=0,Registro_Ordini[[#This Row],[Price]]=""),"",IF(Registro_Ordini[[#This Row],[Tipo]]="Sell",Registro_Ordini[[#This Row],[Prezzo]]/Registro_Ordini[[#This Row],[Price]]-1,Registro_Ordini[[#This Row],[Price]]/Registro_Ordini[[#This Row],[Prezzo]]-1))</f>
        <v/>
      </c>
      <c r="P1370" s="15">
        <v>3.224973827951276E-2</v>
      </c>
      <c r="Q1370" s="3">
        <v>0.35640452263125028</v>
      </c>
      <c r="R1370" s="3">
        <v>8.9751809356905868E-2</v>
      </c>
      <c r="S1370" s="3">
        <v>0.51416297740186179</v>
      </c>
      <c r="T1370" s="3">
        <v>0</v>
      </c>
      <c r="U1370" s="3">
        <v>0</v>
      </c>
      <c r="V1370" s="3">
        <v>3.9680690609982076E-2</v>
      </c>
      <c r="W1370" s="4"/>
    </row>
    <row r="1371" spans="1:27" ht="24.95" customHeight="1" x14ac:dyDescent="0.2">
      <c r="A1371" s="8">
        <v>45027</v>
      </c>
      <c r="B1371" s="7">
        <v>0.61736111111111114</v>
      </c>
      <c r="C1371" s="9" t="s">
        <v>456</v>
      </c>
      <c r="D1371" s="1" t="s">
        <v>368</v>
      </c>
      <c r="E1371" s="1" t="s">
        <v>363</v>
      </c>
      <c r="F1371" s="1" t="s">
        <v>601</v>
      </c>
      <c r="G1371" s="1" t="s">
        <v>371</v>
      </c>
      <c r="H1371" s="2">
        <v>30000</v>
      </c>
      <c r="I1371" s="16">
        <v>0.99052013999999999</v>
      </c>
      <c r="J1371" s="1" t="s">
        <v>369</v>
      </c>
      <c r="K1371" s="6">
        <f>Registro_Ordini[[#This Row],[Numero]]*Registro_Ordini[[#This Row],[Prezzo]]</f>
        <v>29715.604200000002</v>
      </c>
      <c r="L1371" s="10">
        <v>1</v>
      </c>
      <c r="M1371" s="6">
        <f>Registro_Ordini[[#This Row],[Importo]]*Registro_Ordini[[#This Row],[Cambio]]</f>
        <v>29715.604200000002</v>
      </c>
      <c r="N1371" s="1" t="str">
        <f ca="1">IFERROR(_xlfn.NUMBERVALUE(OFFSET(Origine,MATCH(Registro_Ordini[[#This Row],[Titolo]],Descrizioni,0),MATCH("Price",Intestazioni,0)-1,1,1)),"")</f>
        <v/>
      </c>
      <c r="O1371" s="18" t="str">
        <f ca="1">IF(OR(Registro_Ordini[[#This Row],[Price]]=0,Registro_Ordini[[#This Row],[Price]]=""),"",IF(Registro_Ordini[[#This Row],[Tipo]]="Sell",Registro_Ordini[[#This Row],[Prezzo]]/Registro_Ordini[[#This Row],[Price]]-1,Registro_Ordini[[#This Row],[Price]]/Registro_Ordini[[#This Row],[Prezzo]]-1))</f>
        <v/>
      </c>
      <c r="P1371" s="15">
        <v>3.1989867312100795E-2</v>
      </c>
      <c r="Q1371" s="3">
        <v>0.38839438994335113</v>
      </c>
      <c r="R1371" s="3">
        <v>5.7761942044805073E-2</v>
      </c>
      <c r="S1371" s="3">
        <v>0.51416297740186179</v>
      </c>
      <c r="T1371" s="3">
        <v>0</v>
      </c>
      <c r="U1371" s="3">
        <v>0</v>
      </c>
      <c r="V1371" s="3">
        <v>3.9680690609982076E-2</v>
      </c>
      <c r="W1371" s="4"/>
    </row>
    <row r="1372" spans="1:27" ht="24.95" customHeight="1" x14ac:dyDescent="0.2">
      <c r="A1372" s="8">
        <v>45006</v>
      </c>
      <c r="B1372" s="7">
        <v>0.39583333333333331</v>
      </c>
      <c r="C1372" s="9" t="s">
        <v>456</v>
      </c>
      <c r="D1372" s="1" t="s">
        <v>388</v>
      </c>
      <c r="E1372" s="1" t="s">
        <v>397</v>
      </c>
      <c r="F1372" s="1" t="s">
        <v>419</v>
      </c>
      <c r="G1372" s="1" t="s">
        <v>371</v>
      </c>
      <c r="H1372" s="2">
        <v>175</v>
      </c>
      <c r="I1372" s="17">
        <v>108.765</v>
      </c>
      <c r="J1372" s="1" t="s">
        <v>369</v>
      </c>
      <c r="K1372" s="6">
        <f>Registro_Ordini[[#This Row],[Numero]]*Registro_Ordini[[#This Row],[Prezzo]]</f>
        <v>19033.875</v>
      </c>
      <c r="L1372" s="10">
        <v>1</v>
      </c>
      <c r="M1372" s="6">
        <f>Registro_Ordini[[#This Row],[Importo]]*Registro_Ordini[[#This Row],[Cambio]]</f>
        <v>19033.875</v>
      </c>
      <c r="N1372" s="1">
        <f ca="1">IFERROR(_xlfn.NUMBERVALUE(OFFSET(Origine,MATCH(Registro_Ordini[[#This Row],[Titolo]],Descrizioni,0),MATCH("Price",Intestazioni,0)-1,1,1)),"")</f>
        <v>81.25</v>
      </c>
      <c r="O1372" s="18">
        <f ca="1">IF(OR(Registro_Ordini[[#This Row],[Price]]=0,Registro_Ordini[[#This Row],[Price]]=""),"",IF(Registro_Ordini[[#This Row],[Tipo]]="Sell",Registro_Ordini[[#This Row],[Prezzo]]/Registro_Ordini[[#This Row],[Price]]-1,Registro_Ordini[[#This Row],[Price]]/Registro_Ordini[[#This Row],[Prezzo]]-1))</f>
        <v>-0.25297660092860752</v>
      </c>
      <c r="P1372" s="15">
        <v>2.0649225698851779E-2</v>
      </c>
      <c r="Q1372" s="3">
        <v>0.44542959803413879</v>
      </c>
      <c r="R1372" s="3">
        <v>6.428401122552091E-2</v>
      </c>
      <c r="S1372" s="3">
        <v>0.45149937728335576</v>
      </c>
      <c r="T1372" s="3">
        <v>0</v>
      </c>
      <c r="U1372" s="3">
        <v>0</v>
      </c>
      <c r="V1372" s="3">
        <v>3.8787013456984563E-2</v>
      </c>
      <c r="W1372" s="4"/>
    </row>
    <row r="1373" spans="1:27" ht="24.95" customHeight="1" x14ac:dyDescent="0.2">
      <c r="A1373" s="8">
        <v>45006</v>
      </c>
      <c r="B1373" s="7">
        <v>0.39513888888888887</v>
      </c>
      <c r="C1373" s="9" t="s">
        <v>456</v>
      </c>
      <c r="D1373" s="1" t="s">
        <v>388</v>
      </c>
      <c r="E1373" s="1" t="s">
        <v>397</v>
      </c>
      <c r="F1373" s="1" t="s">
        <v>616</v>
      </c>
      <c r="G1373" s="1" t="s">
        <v>371</v>
      </c>
      <c r="H1373" s="2">
        <v>50</v>
      </c>
      <c r="I1373" s="17">
        <v>394.94900000000001</v>
      </c>
      <c r="J1373" s="1" t="s">
        <v>369</v>
      </c>
      <c r="K1373" s="6">
        <f>Registro_Ordini[[#This Row],[Numero]]*Registro_Ordini[[#This Row],[Prezzo]]</f>
        <v>19747.45</v>
      </c>
      <c r="L1373" s="10">
        <v>1</v>
      </c>
      <c r="M1373" s="6">
        <f>Registro_Ordini[[#This Row],[Importo]]*Registro_Ordini[[#This Row],[Cambio]]</f>
        <v>19747.45</v>
      </c>
      <c r="N1373" s="1">
        <f ca="1">IFERROR(_xlfn.NUMBERVALUE(OFFSET(Origine,MATCH(Registro_Ordini[[#This Row],[Titolo]],Descrizioni,0),MATCH("Price",Intestazioni,0)-1,1,1)),"")</f>
        <v>377</v>
      </c>
      <c r="O1373" s="18">
        <f ca="1">IF(OR(Registro_Ordini[[#This Row],[Price]]=0,Registro_Ordini[[#This Row],[Price]]=""),"",IF(Registro_Ordini[[#This Row],[Tipo]]="Sell",Registro_Ordini[[#This Row],[Prezzo]]/Registro_Ordini[[#This Row],[Price]]-1,Registro_Ordini[[#This Row],[Price]]/Registro_Ordini[[#This Row],[Prezzo]]-1))</f>
        <v>-4.5446374088806474E-2</v>
      </c>
      <c r="P1373" s="15">
        <v>2.1423359774443752E-2</v>
      </c>
      <c r="Q1373" s="3">
        <v>0.4668529578085826</v>
      </c>
      <c r="R1373" s="3">
        <v>6.428401122552091E-2</v>
      </c>
      <c r="S1373" s="3">
        <v>0.430076017508912</v>
      </c>
      <c r="T1373" s="3">
        <v>0</v>
      </c>
      <c r="U1373" s="3">
        <v>0</v>
      </c>
      <c r="V1373" s="3">
        <v>3.878701345698457E-2</v>
      </c>
      <c r="W1373" s="4"/>
    </row>
    <row r="1374" spans="1:27" ht="24.95" customHeight="1" x14ac:dyDescent="0.2">
      <c r="A1374" s="8">
        <v>45005</v>
      </c>
      <c r="B1374" s="7">
        <v>0.40694444444444444</v>
      </c>
      <c r="C1374" s="9" t="s">
        <v>456</v>
      </c>
      <c r="D1374" s="1" t="s">
        <v>388</v>
      </c>
      <c r="E1374" s="1" t="s">
        <v>389</v>
      </c>
      <c r="F1374" s="1" t="s">
        <v>617</v>
      </c>
      <c r="G1374" s="1" t="s">
        <v>365</v>
      </c>
      <c r="H1374" s="2">
        <v>-25</v>
      </c>
      <c r="I1374" s="17">
        <v>75.489999999999995</v>
      </c>
      <c r="J1374" s="1" t="s">
        <v>366</v>
      </c>
      <c r="K1374" s="6">
        <f>Registro_Ordini[[#This Row],[Numero]]*Registro_Ordini[[#This Row],[Prezzo]]</f>
        <v>-1887.2499999999998</v>
      </c>
      <c r="L1374" s="10">
        <v>0.91</v>
      </c>
      <c r="M1374" s="6">
        <f>Registro_Ordini[[#This Row],[Importo]]*Registro_Ordini[[#This Row],[Cambio]]</f>
        <v>-1717.3974999999998</v>
      </c>
      <c r="N1374" s="1" t="str">
        <f ca="1">IFERROR(_xlfn.NUMBERVALUE(OFFSET(Origine,MATCH(Registro_Ordini[[#This Row],[Titolo]],Descrizioni,0),MATCH("Price",Intestazioni,0)-1,1,1)),"")</f>
        <v/>
      </c>
      <c r="O1374" s="18" t="str">
        <f ca="1">IF(OR(Registro_Ordini[[#This Row],[Price]]=0,Registro_Ordini[[#This Row],[Price]]=""),"",IF(Registro_Ordini[[#This Row],[Tipo]]="Sell",Registro_Ordini[[#This Row],[Prezzo]]/Registro_Ordini[[#This Row],[Price]]-1,Registro_Ordini[[#This Row],[Price]]/Registro_Ordini[[#This Row],[Prezzo]]-1))</f>
        <v/>
      </c>
      <c r="P1374" s="15">
        <v>-1.9284133166723564E-3</v>
      </c>
      <c r="Q1374" s="3">
        <v>0.46904052096812604</v>
      </c>
      <c r="R1374" s="3">
        <v>6.4967077708933105E-2</v>
      </c>
      <c r="S1374" s="3">
        <v>0.42681169218839854</v>
      </c>
      <c r="T1374" s="3">
        <v>0</v>
      </c>
      <c r="U1374" s="3">
        <v>0</v>
      </c>
      <c r="V1374" s="3">
        <v>3.9180709134542357E-2</v>
      </c>
      <c r="W1374" s="4"/>
    </row>
    <row r="1375" spans="1:27" ht="24.95" customHeight="1" x14ac:dyDescent="0.2">
      <c r="A1375" s="8">
        <v>45005</v>
      </c>
      <c r="B1375" s="7">
        <v>0.39374999999999999</v>
      </c>
      <c r="C1375" s="9" t="s">
        <v>456</v>
      </c>
      <c r="D1375" s="1" t="s">
        <v>388</v>
      </c>
      <c r="E1375" s="1" t="s">
        <v>389</v>
      </c>
      <c r="F1375" s="1" t="s">
        <v>618</v>
      </c>
      <c r="G1375" s="1" t="s">
        <v>365</v>
      </c>
      <c r="H1375" s="2">
        <v>-160.69399999999999</v>
      </c>
      <c r="I1375" s="17">
        <v>59.04</v>
      </c>
      <c r="J1375" s="1" t="s">
        <v>369</v>
      </c>
      <c r="K1375" s="6">
        <f>Registro_Ordini[[#This Row],[Numero]]*Registro_Ordini[[#This Row],[Prezzo]]</f>
        <v>-9487.3737599999986</v>
      </c>
      <c r="L1375" s="10">
        <v>1</v>
      </c>
      <c r="M1375" s="6">
        <f>Registro_Ordini[[#This Row],[Importo]]*Registro_Ordini[[#This Row],[Cambio]]</f>
        <v>-9487.3737599999986</v>
      </c>
      <c r="N1375" s="1" t="str">
        <f ca="1">IFERROR(_xlfn.NUMBERVALUE(OFFSET(Origine,MATCH(Registro_Ordini[[#This Row],[Titolo]],Descrizioni,0),MATCH("Price",Intestazioni,0)-1,1,1)),"")</f>
        <v/>
      </c>
      <c r="O1375" s="18" t="str">
        <f ca="1">IF(OR(Registro_Ordini[[#This Row],[Price]]=0,Registro_Ordini[[#This Row],[Price]]=""),"",IF(Registro_Ordini[[#This Row],[Tipo]]="Sell",Registro_Ordini[[#This Row],[Prezzo]]/Registro_Ordini[[#This Row],[Price]]-1,Registro_Ordini[[#This Row],[Price]]/Registro_Ordini[[#This Row],[Prezzo]]-1))</f>
        <v/>
      </c>
      <c r="P1375" s="15">
        <v>-1.0372176843533842E-2</v>
      </c>
      <c r="Q1375" s="3">
        <v>0.45866834412459212</v>
      </c>
      <c r="R1375" s="3">
        <v>6.4967077708933091E-2</v>
      </c>
      <c r="S1375" s="3">
        <v>0.4371838690319324</v>
      </c>
      <c r="T1375" s="3">
        <v>0</v>
      </c>
      <c r="U1375" s="3">
        <v>0</v>
      </c>
      <c r="V1375" s="3">
        <v>3.9180709134542351E-2</v>
      </c>
      <c r="W1375" s="4"/>
    </row>
    <row r="1376" spans="1:27" ht="24.95" customHeight="1" x14ac:dyDescent="0.2">
      <c r="A1376" s="8">
        <v>45005</v>
      </c>
      <c r="B1376" s="7">
        <v>0.38819444444444445</v>
      </c>
      <c r="C1376" s="9" t="s">
        <v>456</v>
      </c>
      <c r="D1376" s="1" t="s">
        <v>388</v>
      </c>
      <c r="E1376" s="1" t="s">
        <v>403</v>
      </c>
      <c r="F1376" s="1" t="s">
        <v>619</v>
      </c>
      <c r="G1376" s="1" t="s">
        <v>365</v>
      </c>
      <c r="H1376" s="2">
        <v>-750</v>
      </c>
      <c r="I1376" s="17">
        <v>6.8</v>
      </c>
      <c r="J1376" s="1" t="s">
        <v>369</v>
      </c>
      <c r="K1376" s="6">
        <f>Registro_Ordini[[#This Row],[Numero]]*Registro_Ordini[[#This Row],[Prezzo]]</f>
        <v>-5100</v>
      </c>
      <c r="L1376" s="10">
        <v>1</v>
      </c>
      <c r="M1376" s="6">
        <f>Registro_Ordini[[#This Row],[Importo]]*Registro_Ordini[[#This Row],[Cambio]]</f>
        <v>-5100</v>
      </c>
      <c r="N1376" s="1" t="str">
        <f ca="1">IFERROR(_xlfn.NUMBERVALUE(OFFSET(Origine,MATCH(Registro_Ordini[[#This Row],[Titolo]],Descrizioni,0),MATCH("Price",Intestazioni,0)-1,1,1)),"")</f>
        <v/>
      </c>
      <c r="O1376" s="18" t="str">
        <f ca="1">IF(OR(Registro_Ordini[[#This Row],[Price]]=0,Registro_Ordini[[#This Row],[Price]]=""),"",IF(Registro_Ordini[[#This Row],[Tipo]]="Sell",Registro_Ordini[[#This Row],[Prezzo]]/Registro_Ordini[[#This Row],[Price]]-1,Registro_Ordini[[#This Row],[Price]]/Registro_Ordini[[#This Row],[Prezzo]]-1))</f>
        <v/>
      </c>
      <c r="P1376" s="15">
        <v>-5.5861217468308449E-3</v>
      </c>
      <c r="Q1376" s="3">
        <v>0.45116599065880814</v>
      </c>
      <c r="R1376" s="3">
        <v>6.474012220840189E-2</v>
      </c>
      <c r="S1376" s="3">
        <v>0.44502332452018611</v>
      </c>
      <c r="T1376" s="3">
        <v>0</v>
      </c>
      <c r="U1376" s="3">
        <v>0</v>
      </c>
      <c r="V1376" s="3">
        <v>3.9070562612603915E-2</v>
      </c>
      <c r="W1376" s="4"/>
    </row>
    <row r="1377" spans="1:23" ht="24.95" customHeight="1" x14ac:dyDescent="0.2">
      <c r="A1377" s="8">
        <v>45005</v>
      </c>
      <c r="B1377" s="7">
        <v>0.38611111111111113</v>
      </c>
      <c r="C1377" s="9" t="s">
        <v>456</v>
      </c>
      <c r="D1377" s="1" t="s">
        <v>388</v>
      </c>
      <c r="E1377" s="1" t="s">
        <v>397</v>
      </c>
      <c r="F1377" s="1" t="s">
        <v>620</v>
      </c>
      <c r="G1377" s="1" t="s">
        <v>365</v>
      </c>
      <c r="H1377" s="2">
        <v>-300</v>
      </c>
      <c r="I1377" s="17">
        <v>66.150000000000006</v>
      </c>
      <c r="J1377" s="1" t="s">
        <v>369</v>
      </c>
      <c r="K1377" s="6">
        <f>Registro_Ordini[[#This Row],[Numero]]*Registro_Ordini[[#This Row],[Prezzo]]</f>
        <v>-19845</v>
      </c>
      <c r="L1377" s="10">
        <v>1</v>
      </c>
      <c r="M1377" s="6">
        <f>Registro_Ordini[[#This Row],[Importo]]*Registro_Ordini[[#This Row],[Cambio]]</f>
        <v>-19845</v>
      </c>
      <c r="N1377" s="1" t="str">
        <f ca="1">IFERROR(_xlfn.NUMBERVALUE(OFFSET(Origine,MATCH(Registro_Ordini[[#This Row],[Titolo]],Descrizioni,0),MATCH("Price",Intestazioni,0)-1,1,1)),"")</f>
        <v/>
      </c>
      <c r="O1377" s="18" t="str">
        <f ca="1">IF(OR(Registro_Ordini[[#This Row],[Price]]=0,Registro_Ordini[[#This Row],[Price]]=""),"",IF(Registro_Ordini[[#This Row],[Tipo]]="Sell",Registro_Ordini[[#This Row],[Prezzo]]/Registro_Ordini[[#This Row],[Price]]-1,Registro_Ordini[[#This Row],[Price]]/Registro_Ordini[[#This Row],[Prezzo]]-1))</f>
        <v/>
      </c>
      <c r="P1377" s="15">
        <v>-2.1634774798176836E-2</v>
      </c>
      <c r="Q1377" s="3">
        <v>0.42953121586063131</v>
      </c>
      <c r="R1377" s="3">
        <v>6.474012220840189E-2</v>
      </c>
      <c r="S1377" s="3">
        <v>0.46665809931836294</v>
      </c>
      <c r="T1377" s="3">
        <v>0</v>
      </c>
      <c r="U1377" s="3">
        <v>0</v>
      </c>
      <c r="V1377" s="3">
        <v>3.9070562612603915E-2</v>
      </c>
      <c r="W1377" s="4"/>
    </row>
    <row r="1378" spans="1:23" ht="24.95" customHeight="1" x14ac:dyDescent="0.2">
      <c r="A1378" s="8">
        <v>45005</v>
      </c>
      <c r="B1378" s="7">
        <v>0.37916666666666665</v>
      </c>
      <c r="C1378" s="9" t="s">
        <v>456</v>
      </c>
      <c r="D1378" s="1" t="s">
        <v>388</v>
      </c>
      <c r="E1378" s="1" t="s">
        <v>397</v>
      </c>
      <c r="F1378" s="1" t="s">
        <v>621</v>
      </c>
      <c r="G1378" s="1" t="s">
        <v>365</v>
      </c>
      <c r="H1378" s="2">
        <v>-354.779</v>
      </c>
      <c r="I1378" s="17">
        <v>89.42</v>
      </c>
      <c r="J1378" s="1" t="s">
        <v>369</v>
      </c>
      <c r="K1378" s="6">
        <f>Registro_Ordini[[#This Row],[Numero]]*Registro_Ordini[[#This Row],[Prezzo]]</f>
        <v>-31724.338179999999</v>
      </c>
      <c r="L1378" s="10">
        <v>1</v>
      </c>
      <c r="M1378" s="6">
        <f>Registro_Ordini[[#This Row],[Importo]]*Registro_Ordini[[#This Row],[Cambio]]</f>
        <v>-31724.338179999999</v>
      </c>
      <c r="N1378" s="1">
        <f ca="1">IFERROR(_xlfn.NUMBERVALUE(OFFSET(Origine,MATCH(Registro_Ordini[[#This Row],[Titolo]],Descrizioni,0),MATCH("Price",Intestazioni,0)-1,1,1)),"")</f>
        <v>96.2</v>
      </c>
      <c r="O1378" s="18">
        <f ca="1">IF(OR(Registro_Ordini[[#This Row],[Price]]=0,Registro_Ordini[[#This Row],[Price]]=""),"",IF(Registro_Ordini[[#This Row],[Tipo]]="Sell",Registro_Ordini[[#This Row],[Prezzo]]/Registro_Ordini[[#This Row],[Price]]-1,Registro_Ordini[[#This Row],[Price]]/Registro_Ordini[[#This Row],[Prezzo]]-1))</f>
        <v>-7.047817047817051E-2</v>
      </c>
      <c r="P1378" s="15">
        <v>-3.4558568009073969E-2</v>
      </c>
      <c r="Q1378" s="3">
        <v>0.39464029931210959</v>
      </c>
      <c r="R1378" s="3">
        <v>6.4734471337390825E-2</v>
      </c>
      <c r="S1378" s="3">
        <v>0.50158507220580151</v>
      </c>
      <c r="T1378" s="3">
        <v>0</v>
      </c>
      <c r="U1378" s="3">
        <v>0</v>
      </c>
      <c r="V1378" s="3">
        <v>3.9040157144698093E-2</v>
      </c>
      <c r="W1378" s="4"/>
    </row>
    <row r="1379" spans="1:23" ht="24.95" customHeight="1" x14ac:dyDescent="0.2">
      <c r="A1379" s="8">
        <v>45005</v>
      </c>
      <c r="B1379" s="7">
        <v>0.37847222222222221</v>
      </c>
      <c r="C1379" s="9" t="s">
        <v>456</v>
      </c>
      <c r="D1379" s="1" t="s">
        <v>388</v>
      </c>
      <c r="E1379" s="1" t="s">
        <v>397</v>
      </c>
      <c r="F1379" s="1" t="s">
        <v>622</v>
      </c>
      <c r="G1379" s="1" t="s">
        <v>365</v>
      </c>
      <c r="H1379" s="2">
        <v>-116</v>
      </c>
      <c r="I1379" s="17">
        <v>17.54</v>
      </c>
      <c r="J1379" s="1" t="s">
        <v>369</v>
      </c>
      <c r="K1379" s="6">
        <f>Registro_Ordini[[#This Row],[Numero]]*Registro_Ordini[[#This Row],[Prezzo]]</f>
        <v>-2034.6399999999999</v>
      </c>
      <c r="L1379" s="10">
        <v>1</v>
      </c>
      <c r="M1379" s="6">
        <f>Registro_Ordini[[#This Row],[Importo]]*Registro_Ordini[[#This Row],[Cambio]]</f>
        <v>-2034.6399999999999</v>
      </c>
      <c r="N1379" s="1">
        <f ca="1">IFERROR(_xlfn.NUMBERVALUE(OFFSET(Origine,MATCH(Registro_Ordini[[#This Row],[Titolo]],Descrizioni,0),MATCH("Price",Intestazioni,0)-1,1,1)),"")</f>
        <v>18.776</v>
      </c>
      <c r="O1379" s="18">
        <f ca="1">IF(OR(Registro_Ordini[[#This Row],[Price]]=0,Registro_Ordini[[#This Row],[Price]]=""),"",IF(Registro_Ordini[[#This Row],[Tipo]]="Sell",Registro_Ordini[[#This Row],[Prezzo]]/Registro_Ordini[[#This Row],[Price]]-1,Registro_Ordini[[#This Row],[Price]]/Registro_Ordini[[#This Row],[Prezzo]]-1))</f>
        <v>-6.582871751171715E-2</v>
      </c>
      <c r="P1379" s="15">
        <v>-2.2164132917455322E-3</v>
      </c>
      <c r="Q1379" s="3">
        <v>0.39242388602036404</v>
      </c>
      <c r="R1379" s="3">
        <v>6.4734471337390825E-2</v>
      </c>
      <c r="S1379" s="3">
        <v>0.50380148549754711</v>
      </c>
      <c r="T1379" s="3">
        <v>0</v>
      </c>
      <c r="U1379" s="3">
        <v>0</v>
      </c>
      <c r="V1379" s="3">
        <v>3.9040157144698093E-2</v>
      </c>
      <c r="W1379" s="4"/>
    </row>
    <row r="1380" spans="1:23" ht="24.95" customHeight="1" x14ac:dyDescent="0.2">
      <c r="A1380" s="8">
        <v>45005</v>
      </c>
      <c r="B1380" s="7">
        <v>0.37847222222222221</v>
      </c>
      <c r="C1380" s="9" t="s">
        <v>456</v>
      </c>
      <c r="D1380" s="1" t="s">
        <v>388</v>
      </c>
      <c r="E1380" s="1" t="s">
        <v>397</v>
      </c>
      <c r="F1380" s="1" t="s">
        <v>623</v>
      </c>
      <c r="G1380" s="1" t="s">
        <v>365</v>
      </c>
      <c r="H1380" s="2">
        <v>-410.98700000000002</v>
      </c>
      <c r="I1380" s="17">
        <v>153.43</v>
      </c>
      <c r="J1380" s="1" t="s">
        <v>369</v>
      </c>
      <c r="K1380" s="6">
        <f>Registro_Ordini[[#This Row],[Numero]]*Registro_Ordini[[#This Row],[Prezzo]]</f>
        <v>-63057.735410000008</v>
      </c>
      <c r="L1380" s="10">
        <v>1</v>
      </c>
      <c r="M1380" s="6">
        <f>Registro_Ordini[[#This Row],[Importo]]*Registro_Ordini[[#This Row],[Cambio]]</f>
        <v>-63057.735410000008</v>
      </c>
      <c r="N1380" s="1">
        <f ca="1">IFERROR(_xlfn.NUMBERVALUE(OFFSET(Origine,MATCH(Registro_Ordini[[#This Row],[Titolo]],Descrizioni,0),MATCH("Price",Intestazioni,0)-1,1,1)),"")</f>
        <v>204.71</v>
      </c>
      <c r="O1380" s="18">
        <f ca="1">IF(OR(Registro_Ordini[[#This Row],[Price]]=0,Registro_Ordini[[#This Row],[Price]]=""),"",IF(Registro_Ordini[[#This Row],[Tipo]]="Sell",Registro_Ordini[[#This Row],[Prezzo]]/Registro_Ordini[[#This Row],[Price]]-1,Registro_Ordini[[#This Row],[Price]]/Registro_Ordini[[#This Row],[Prezzo]]-1))</f>
        <v>-0.25050070831908555</v>
      </c>
      <c r="P1380" s="15">
        <v>-6.8691268681485146E-2</v>
      </c>
      <c r="Q1380" s="3">
        <v>0.32373261733887887</v>
      </c>
      <c r="R1380" s="3">
        <v>6.4734471337390825E-2</v>
      </c>
      <c r="S1380" s="3">
        <v>0.57249275417903223</v>
      </c>
      <c r="T1380" s="3">
        <v>0</v>
      </c>
      <c r="U1380" s="3">
        <v>0</v>
      </c>
      <c r="V1380" s="3">
        <v>3.9040157144698093E-2</v>
      </c>
      <c r="W1380" s="4"/>
    </row>
    <row r="1381" spans="1:23" ht="24.95" customHeight="1" x14ac:dyDescent="0.2">
      <c r="A1381" s="8">
        <v>45005</v>
      </c>
      <c r="B1381" s="7">
        <v>0.36736111111111114</v>
      </c>
      <c r="C1381" s="9" t="s">
        <v>456</v>
      </c>
      <c r="D1381" s="1" t="s">
        <v>624</v>
      </c>
      <c r="E1381" s="1" t="s">
        <v>625</v>
      </c>
      <c r="F1381" s="1" t="s">
        <v>626</v>
      </c>
      <c r="G1381" s="1" t="s">
        <v>365</v>
      </c>
      <c r="H1381" s="2">
        <v>-330.52800000000002</v>
      </c>
      <c r="I1381" s="17">
        <v>87.35</v>
      </c>
      <c r="J1381" s="1" t="s">
        <v>369</v>
      </c>
      <c r="K1381" s="6">
        <f>Registro_Ordini[[#This Row],[Numero]]*Registro_Ordini[[#This Row],[Prezzo]]</f>
        <v>-28871.620800000001</v>
      </c>
      <c r="L1381" s="10">
        <v>1</v>
      </c>
      <c r="M1381" s="6">
        <f>Registro_Ordini[[#This Row],[Importo]]*Registro_Ordini[[#This Row],[Cambio]]</f>
        <v>-28871.620800000001</v>
      </c>
      <c r="N1381" s="1" t="str">
        <f ca="1">IFERROR(_xlfn.NUMBERVALUE(OFFSET(Origine,MATCH(Registro_Ordini[[#This Row],[Titolo]],Descrizioni,0),MATCH("Price",Intestazioni,0)-1,1,1)),"")</f>
        <v/>
      </c>
      <c r="O1381" s="18" t="str">
        <f ca="1">IF(OR(Registro_Ordini[[#This Row],[Price]]=0,Registro_Ordini[[#This Row],[Price]]=""),"",IF(Registro_Ordini[[#This Row],[Tipo]]="Sell",Registro_Ordini[[#This Row],[Prezzo]]/Registro_Ordini[[#This Row],[Price]]-1,Registro_Ordini[[#This Row],[Price]]/Registro_Ordini[[#This Row],[Prezzo]]-1))</f>
        <v/>
      </c>
      <c r="P1381" s="15">
        <v>-3.1325142789807386E-2</v>
      </c>
      <c r="Q1381" s="3">
        <v>0.29083341802177204</v>
      </c>
      <c r="R1381" s="3">
        <v>6.4060077519086114E-2</v>
      </c>
      <c r="S1381" s="3">
        <v>0.57489741993456334</v>
      </c>
      <c r="T1381" s="3">
        <v>0</v>
      </c>
      <c r="U1381" s="3">
        <v>0</v>
      </c>
      <c r="V1381" s="3">
        <v>7.0209084524578511E-2</v>
      </c>
      <c r="W1381" s="4"/>
    </row>
    <row r="1382" spans="1:23" ht="24.95" customHeight="1" x14ac:dyDescent="0.2">
      <c r="A1382" s="8">
        <v>45005</v>
      </c>
      <c r="B1382" s="7">
        <v>0.36666666666666664</v>
      </c>
      <c r="C1382" s="9" t="s">
        <v>456</v>
      </c>
      <c r="D1382" s="1" t="s">
        <v>368</v>
      </c>
      <c r="E1382" s="1" t="s">
        <v>363</v>
      </c>
      <c r="F1382" s="1" t="s">
        <v>627</v>
      </c>
      <c r="G1382" s="1" t="s">
        <v>365</v>
      </c>
      <c r="H1382" s="2">
        <v>-376.98500000000001</v>
      </c>
      <c r="I1382" s="16">
        <v>87.95</v>
      </c>
      <c r="J1382" s="1" t="s">
        <v>369</v>
      </c>
      <c r="K1382" s="6">
        <f>Registro_Ordini[[#This Row],[Numero]]*Registro_Ordini[[#This Row],[Prezzo]]</f>
        <v>-33155.830750000001</v>
      </c>
      <c r="L1382" s="10">
        <v>1</v>
      </c>
      <c r="M1382" s="6">
        <f>Registro_Ordini[[#This Row],[Importo]]*Registro_Ordini[[#This Row],[Cambio]]</f>
        <v>-33155.830750000001</v>
      </c>
      <c r="N1382" s="1" t="str">
        <f ca="1">IFERROR(_xlfn.NUMBERVALUE(OFFSET(Origine,MATCH(Registro_Ordini[[#This Row],[Titolo]],Descrizioni,0),MATCH("Price",Intestazioni,0)-1,1,1)),"")</f>
        <v/>
      </c>
      <c r="O1382" s="18" t="str">
        <f ca="1">IF(OR(Registro_Ordini[[#This Row],[Price]]=0,Registro_Ordini[[#This Row],[Price]]=""),"",IF(Registro_Ordini[[#This Row],[Tipo]]="Sell",Registro_Ordini[[#This Row],[Prezzo]]/Registro_Ordini[[#This Row],[Price]]-1,Registro_Ordini[[#This Row],[Price]]/Registro_Ordini[[#This Row],[Prezzo]]-1))</f>
        <v/>
      </c>
      <c r="P1382" s="15">
        <v>-3.5973426630708474E-2</v>
      </c>
      <c r="Q1382" s="3">
        <v>0.25485999139106352</v>
      </c>
      <c r="R1382" s="3">
        <v>0.1000335041497946</v>
      </c>
      <c r="S1382" s="3">
        <v>0.57489741993456334</v>
      </c>
      <c r="T1382" s="3">
        <v>0</v>
      </c>
      <c r="U1382" s="3">
        <v>0</v>
      </c>
      <c r="V1382" s="3">
        <v>7.0209084524578511E-2</v>
      </c>
      <c r="W1382" s="4"/>
    </row>
    <row r="1383" spans="1:23" ht="24.95" customHeight="1" x14ac:dyDescent="0.2">
      <c r="A1383" s="8">
        <v>45005</v>
      </c>
      <c r="B1383" s="7">
        <v>0.36666666666666664</v>
      </c>
      <c r="C1383" s="9" t="s">
        <v>456</v>
      </c>
      <c r="D1383" s="1" t="s">
        <v>368</v>
      </c>
      <c r="E1383" s="1" t="s">
        <v>363</v>
      </c>
      <c r="F1383" s="1" t="s">
        <v>628</v>
      </c>
      <c r="G1383" s="1" t="s">
        <v>365</v>
      </c>
      <c r="H1383" s="2">
        <v>-40.869999999999997</v>
      </c>
      <c r="I1383" s="16">
        <v>1244.3900000000001</v>
      </c>
      <c r="J1383" s="1" t="s">
        <v>369</v>
      </c>
      <c r="K1383" s="6">
        <f>Registro_Ordini[[#This Row],[Numero]]*Registro_Ordini[[#This Row],[Prezzo]]</f>
        <v>-50858.219300000004</v>
      </c>
      <c r="L1383" s="10">
        <v>1</v>
      </c>
      <c r="M1383" s="6">
        <f>Registro_Ordini[[#This Row],[Importo]]*Registro_Ordini[[#This Row],[Cambio]]</f>
        <v>-50858.219300000004</v>
      </c>
      <c r="N1383" s="1" t="str">
        <f ca="1">IFERROR(_xlfn.NUMBERVALUE(OFFSET(Origine,MATCH(Registro_Ordini[[#This Row],[Titolo]],Descrizioni,0),MATCH("Price",Intestazioni,0)-1,1,1)),"")</f>
        <v/>
      </c>
      <c r="O1383" s="18" t="str">
        <f ca="1">IF(OR(Registro_Ordini[[#This Row],[Price]]=0,Registro_Ordini[[#This Row],[Price]]=""),"",IF(Registro_Ordini[[#This Row],[Tipo]]="Sell",Registro_Ordini[[#This Row],[Prezzo]]/Registro_Ordini[[#This Row],[Price]]-1,Registro_Ordini[[#This Row],[Price]]/Registro_Ordini[[#This Row],[Prezzo]]-1))</f>
        <v/>
      </c>
      <c r="P1383" s="15">
        <v>-5.518017130537535E-2</v>
      </c>
      <c r="Q1383" s="3">
        <v>7.0561690726339929E-2</v>
      </c>
      <c r="R1383" s="3">
        <v>0.28433180481451825</v>
      </c>
      <c r="S1383" s="3">
        <v>0.57489741993456334</v>
      </c>
      <c r="T1383" s="3">
        <v>0</v>
      </c>
      <c r="U1383" s="3">
        <v>0</v>
      </c>
      <c r="V1383" s="3">
        <v>7.0209084524578511E-2</v>
      </c>
      <c r="W1383" s="4"/>
    </row>
    <row r="1384" spans="1:23" ht="24.95" customHeight="1" x14ac:dyDescent="0.2">
      <c r="A1384" s="8">
        <v>45005</v>
      </c>
      <c r="B1384" s="7">
        <v>0.36666666666666664</v>
      </c>
      <c r="C1384" s="9" t="s">
        <v>456</v>
      </c>
      <c r="D1384" s="1" t="s">
        <v>368</v>
      </c>
      <c r="E1384" s="1" t="s">
        <v>363</v>
      </c>
      <c r="F1384" s="1" t="s">
        <v>629</v>
      </c>
      <c r="G1384" s="1" t="s">
        <v>365</v>
      </c>
      <c r="H1384" s="2">
        <v>-300</v>
      </c>
      <c r="I1384" s="16">
        <v>101.32</v>
      </c>
      <c r="J1384" s="1" t="s">
        <v>369</v>
      </c>
      <c r="K1384" s="6">
        <f>Registro_Ordini[[#This Row],[Numero]]*Registro_Ordini[[#This Row],[Prezzo]]</f>
        <v>-30395.999999999996</v>
      </c>
      <c r="L1384" s="10">
        <v>1</v>
      </c>
      <c r="M1384" s="6">
        <f>Registro_Ordini[[#This Row],[Importo]]*Registro_Ordini[[#This Row],[Cambio]]</f>
        <v>-30395.999999999996</v>
      </c>
      <c r="N1384" s="1" t="str">
        <f ca="1">IFERROR(_xlfn.NUMBERVALUE(OFFSET(Origine,MATCH(Registro_Ordini[[#This Row],[Titolo]],Descrizioni,0),MATCH("Price",Intestazioni,0)-1,1,1)),"")</f>
        <v/>
      </c>
      <c r="O1384" s="18" t="str">
        <f ca="1">IF(OR(Registro_Ordini[[#This Row],[Price]]=0,Registro_Ordini[[#This Row],[Price]]=""),"",IF(Registro_Ordini[[#This Row],[Tipo]]="Sell",Registro_Ordini[[#This Row],[Prezzo]]/Registro_Ordini[[#This Row],[Price]]-1,Registro_Ordini[[#This Row],[Price]]/Registro_Ordini[[#This Row],[Prezzo]]-1))</f>
        <v/>
      </c>
      <c r="P1384" s="15">
        <v>-3.2979064349549274E-2</v>
      </c>
      <c r="Q1384" s="3">
        <v>0.2218809270415143</v>
      </c>
      <c r="R1384" s="3">
        <v>0.13301256849934384</v>
      </c>
      <c r="S1384" s="3">
        <v>0.57489741993456334</v>
      </c>
      <c r="T1384" s="3">
        <v>0</v>
      </c>
      <c r="U1384" s="3">
        <v>0</v>
      </c>
      <c r="V1384" s="3">
        <v>7.0209084524578511E-2</v>
      </c>
      <c r="W1384" s="4"/>
    </row>
    <row r="1385" spans="1:23" ht="24.95" customHeight="1" x14ac:dyDescent="0.2">
      <c r="A1385" s="8">
        <v>45005</v>
      </c>
      <c r="B1385" s="7">
        <v>0.36666666666666664</v>
      </c>
      <c r="C1385" s="9" t="s">
        <v>456</v>
      </c>
      <c r="D1385" s="1" t="s">
        <v>368</v>
      </c>
      <c r="E1385" s="1" t="s">
        <v>363</v>
      </c>
      <c r="F1385" s="1" t="s">
        <v>630</v>
      </c>
      <c r="G1385" s="1" t="s">
        <v>365</v>
      </c>
      <c r="H1385" s="2">
        <v>-789.67</v>
      </c>
      <c r="I1385" s="16">
        <v>121.25</v>
      </c>
      <c r="J1385" s="1" t="s">
        <v>366</v>
      </c>
      <c r="K1385" s="6">
        <f>Registro_Ordini[[#This Row],[Numero]]*Registro_Ordini[[#This Row],[Prezzo]]</f>
        <v>-95747.487499999988</v>
      </c>
      <c r="L1385" s="10">
        <v>2.9254449999999999</v>
      </c>
      <c r="M1385" s="6">
        <f>Registro_Ordini[[#This Row],[Importo]]*Registro_Ordini[[#This Row],[Cambio]]</f>
        <v>-280104.00856943743</v>
      </c>
      <c r="N1385" s="1" t="str">
        <f ca="1">IFERROR(_xlfn.NUMBERVALUE(OFFSET(Origine,MATCH(Registro_Ordini[[#This Row],[Titolo]],Descrizioni,0),MATCH("Price",Intestazioni,0)-1,1,1)),"")</f>
        <v/>
      </c>
      <c r="O1385" s="18" t="str">
        <f ca="1">IF(OR(Registro_Ordini[[#This Row],[Price]]=0,Registro_Ordini[[#This Row],[Price]]=""),"",IF(Registro_Ordini[[#This Row],[Tipo]]="Sell",Registro_Ordini[[#This Row],[Prezzo]]/Registro_Ordini[[#This Row],[Price]]-1,Registro_Ordini[[#This Row],[Price]]/Registro_Ordini[[#This Row],[Prezzo]]-1))</f>
        <v/>
      </c>
      <c r="P1385" s="15">
        <v>-9.6139065009799018E-2</v>
      </c>
      <c r="Q1385" s="3">
        <v>0.12574186203171528</v>
      </c>
      <c r="R1385" s="3">
        <v>0.22915163350914289</v>
      </c>
      <c r="S1385" s="3">
        <v>0.57489741993456334</v>
      </c>
      <c r="T1385" s="3">
        <v>0</v>
      </c>
      <c r="U1385" s="3">
        <v>0</v>
      </c>
      <c r="V1385" s="3">
        <v>7.0209084524578511E-2</v>
      </c>
      <c r="W1385" s="4"/>
    </row>
    <row r="1386" spans="1:23" ht="24.95" customHeight="1" x14ac:dyDescent="0.2">
      <c r="A1386" s="8">
        <v>45005</v>
      </c>
      <c r="B1386" s="7">
        <v>0.3611111111111111</v>
      </c>
      <c r="C1386" s="9" t="s">
        <v>456</v>
      </c>
      <c r="D1386" s="1" t="s">
        <v>368</v>
      </c>
      <c r="E1386" s="1" t="s">
        <v>363</v>
      </c>
      <c r="F1386" s="1" t="s">
        <v>612</v>
      </c>
      <c r="G1386" s="1" t="s">
        <v>365</v>
      </c>
      <c r="H1386" s="2">
        <v>-50000</v>
      </c>
      <c r="I1386" s="16">
        <v>0.9869</v>
      </c>
      <c r="J1386" s="1" t="s">
        <v>366</v>
      </c>
      <c r="K1386" s="6">
        <f>Registro_Ordini[[#This Row],[Numero]]*Registro_Ordini[[#This Row],[Prezzo]]</f>
        <v>-49345</v>
      </c>
      <c r="L1386" s="10">
        <v>0.92544499999999996</v>
      </c>
      <c r="M1386" s="6">
        <f>Registro_Ordini[[#This Row],[Importo]]*Registro_Ordini[[#This Row],[Cambio]]</f>
        <v>-45666.083524999995</v>
      </c>
      <c r="N1386" s="1" t="str">
        <f ca="1">IFERROR(_xlfn.NUMBERVALUE(OFFSET(Origine,MATCH(Registro_Ordini[[#This Row],[Titolo]],Descrizioni,0),MATCH("Price",Intestazioni,0)-1,1,1)),"")</f>
        <v/>
      </c>
      <c r="O1386" s="18" t="str">
        <f ca="1">IF(OR(Registro_Ordini[[#This Row],[Price]]=0,Registro_Ordini[[#This Row],[Price]]=""),"",IF(Registro_Ordini[[#This Row],[Tipo]]="Sell",Registro_Ordini[[#This Row],[Prezzo]]/Registro_Ordini[[#This Row],[Price]]-1,Registro_Ordini[[#This Row],[Price]]/Registro_Ordini[[#This Row],[Prezzo]]-1))</f>
        <v/>
      </c>
      <c r="P1386" s="15">
        <v>-4.9546805736375411E-2</v>
      </c>
      <c r="Q1386" s="3">
        <v>2.1014884989964514E-2</v>
      </c>
      <c r="R1386" s="3">
        <v>0.33387861055089363</v>
      </c>
      <c r="S1386" s="3">
        <v>0.57489741993456345</v>
      </c>
      <c r="T1386" s="3">
        <v>0</v>
      </c>
      <c r="U1386" s="3">
        <v>0</v>
      </c>
      <c r="V1386" s="3">
        <v>7.0209084524578524E-2</v>
      </c>
      <c r="W1386" s="4"/>
    </row>
    <row r="1387" spans="1:23" ht="24.95" customHeight="1" x14ac:dyDescent="0.2">
      <c r="A1387" s="8">
        <v>44995</v>
      </c>
      <c r="B1387" s="7"/>
      <c r="C1387" s="9" t="s">
        <v>383</v>
      </c>
      <c r="D1387" s="1" t="s">
        <v>368</v>
      </c>
      <c r="E1387" s="1" t="s">
        <v>363</v>
      </c>
      <c r="F1387" s="1" t="s">
        <v>631</v>
      </c>
      <c r="G1387" s="1" t="s">
        <v>365</v>
      </c>
      <c r="H1387" s="2">
        <v>-435</v>
      </c>
      <c r="I1387" s="16">
        <v>100.3</v>
      </c>
      <c r="J1387" s="1" t="s">
        <v>381</v>
      </c>
      <c r="K1387" s="6">
        <f>Registro_Ordini[[#This Row],[Numero]]*Registro_Ordini[[#This Row],[Prezzo]]</f>
        <v>-43630.5</v>
      </c>
      <c r="L1387" s="10">
        <v>1</v>
      </c>
      <c r="M1387" s="6">
        <f>Registro_Ordini[[#This Row],[Importo]]*Registro_Ordini[[#This Row],[Cambio]]</f>
        <v>-43630.5</v>
      </c>
      <c r="N1387" s="1" t="str">
        <f ca="1">IFERROR(_xlfn.NUMBERVALUE(OFFSET(Origine,MATCH(Registro_Ordini[[#This Row],[Titolo]],Descrizioni,0),MATCH("Price",Intestazioni,0)-1,1,1)),"")</f>
        <v/>
      </c>
      <c r="O1387" s="18" t="str">
        <f ca="1">IF(OR(Registro_Ordini[[#This Row],[Price]]=0,Registro_Ordini[[#This Row],[Price]]=""),"",IF(Registro_Ordini[[#This Row],[Tipo]]="Sell",Registro_Ordini[[#This Row],[Prezzo]]/Registro_Ordini[[#This Row],[Price]]-1,Registro_Ordini[[#This Row],[Price]]/Registro_Ordini[[#This Row],[Prezzo]]-1))</f>
        <v/>
      </c>
      <c r="P1387" s="15">
        <v>-8.0899072518951773E-2</v>
      </c>
      <c r="Q1387" s="3">
        <v>9.6081928080081341E-2</v>
      </c>
      <c r="R1387" s="3">
        <v>0.45828689119423949</v>
      </c>
      <c r="S1387" s="3">
        <v>0.31461261430646587</v>
      </c>
      <c r="T1387" s="3">
        <v>0</v>
      </c>
      <c r="U1387" s="3">
        <v>0.13101856641921325</v>
      </c>
      <c r="V1387" s="3"/>
      <c r="W1387" s="4"/>
    </row>
    <row r="1388" spans="1:23" ht="24.95" customHeight="1" x14ac:dyDescent="0.2">
      <c r="A1388" s="8">
        <v>44995</v>
      </c>
      <c r="B1388" s="7"/>
      <c r="C1388" s="9" t="s">
        <v>382</v>
      </c>
      <c r="D1388" s="1" t="s">
        <v>368</v>
      </c>
      <c r="E1388" s="1" t="s">
        <v>363</v>
      </c>
      <c r="F1388" s="1" t="s">
        <v>631</v>
      </c>
      <c r="G1388" s="1" t="s">
        <v>365</v>
      </c>
      <c r="H1388" s="2">
        <v>-810</v>
      </c>
      <c r="I1388" s="16">
        <v>100.3</v>
      </c>
      <c r="J1388" s="1" t="s">
        <v>381</v>
      </c>
      <c r="K1388" s="6">
        <f>Registro_Ordini[[#This Row],[Numero]]*Registro_Ordini[[#This Row],[Prezzo]]</f>
        <v>-81243</v>
      </c>
      <c r="L1388" s="10">
        <v>1</v>
      </c>
      <c r="M1388" s="6">
        <f>Registro_Ordini[[#This Row],[Importo]]*Registro_Ordini[[#This Row],[Cambio]]</f>
        <v>-81243</v>
      </c>
      <c r="N1388" s="1" t="str">
        <f ca="1">IFERROR(_xlfn.NUMBERVALUE(OFFSET(Origine,MATCH(Registro_Ordini[[#This Row],[Titolo]],Descrizioni,0),MATCH("Price",Intestazioni,0)-1,1,1)),"")</f>
        <v/>
      </c>
      <c r="O1388" s="18" t="str">
        <f ca="1">IF(OR(Registro_Ordini[[#This Row],[Price]]=0,Registro_Ordini[[#This Row],[Price]]=""),"",IF(Registro_Ordini[[#This Row],[Tipo]]="Sell",Registro_Ordini[[#This Row],[Prezzo]]/Registro_Ordini[[#This Row],[Price]]-1,Registro_Ordini[[#This Row],[Price]]/Registro_Ordini[[#This Row],[Prezzo]]-1))</f>
        <v/>
      </c>
      <c r="P1388" s="15">
        <v>-8.6575778356793448E-2</v>
      </c>
      <c r="Q1388" s="3">
        <v>4.9301864808200917E-2</v>
      </c>
      <c r="R1388" s="3">
        <v>0.45555926879987485</v>
      </c>
      <c r="S1388" s="3">
        <v>0.35377997975514319</v>
      </c>
      <c r="T1388" s="3">
        <v>0</v>
      </c>
      <c r="U1388" s="3">
        <v>0.14135888663678114</v>
      </c>
      <c r="V1388" s="3"/>
      <c r="W1388" s="4"/>
    </row>
    <row r="1389" spans="1:23" ht="24.95" customHeight="1" x14ac:dyDescent="0.2">
      <c r="A1389" s="8">
        <v>44995</v>
      </c>
      <c r="B1389" s="7"/>
      <c r="C1389" s="9" t="s">
        <v>106</v>
      </c>
      <c r="D1389" s="1" t="s">
        <v>368</v>
      </c>
      <c r="E1389" s="1" t="s">
        <v>363</v>
      </c>
      <c r="F1389" s="1" t="s">
        <v>631</v>
      </c>
      <c r="G1389" s="1" t="s">
        <v>365</v>
      </c>
      <c r="H1389" s="2">
        <v>-75</v>
      </c>
      <c r="I1389" s="16">
        <v>100.3</v>
      </c>
      <c r="J1389" s="1" t="s">
        <v>381</v>
      </c>
      <c r="K1389" s="6">
        <f>Registro_Ordini[[#This Row],[Numero]]*Registro_Ordini[[#This Row],[Prezzo]]</f>
        <v>-7522.5</v>
      </c>
      <c r="L1389" s="10">
        <v>1</v>
      </c>
      <c r="M1389" s="6">
        <f>Registro_Ordini[[#This Row],[Importo]]*Registro_Ordini[[#This Row],[Cambio]]</f>
        <v>-7522.5</v>
      </c>
      <c r="N1389" s="1" t="str">
        <f ca="1">IFERROR(_xlfn.NUMBERVALUE(OFFSET(Origine,MATCH(Registro_Ordini[[#This Row],[Titolo]],Descrizioni,0),MATCH("Price",Intestazioni,0)-1,1,1)),"")</f>
        <v/>
      </c>
      <c r="O1389" s="18" t="str">
        <f ca="1">IF(OR(Registro_Ordini[[#This Row],[Price]]=0,Registro_Ordini[[#This Row],[Price]]=""),"",IF(Registro_Ordini[[#This Row],[Tipo]]="Sell",Registro_Ordini[[#This Row],[Prezzo]]/Registro_Ordini[[#This Row],[Price]]-1,Registro_Ordini[[#This Row],[Price]]/Registro_Ordini[[#This Row],[Prezzo]]-1))</f>
        <v/>
      </c>
      <c r="P1389" s="15">
        <v>-6.2691429402918372E-2</v>
      </c>
      <c r="Q1389" s="3">
        <v>0.31632114350331325</v>
      </c>
      <c r="R1389" s="3">
        <v>0.40416391649031902</v>
      </c>
      <c r="S1389" s="3">
        <v>0.17508858142847042</v>
      </c>
      <c r="T1389" s="3">
        <v>0</v>
      </c>
      <c r="U1389" s="3">
        <v>0.10442635857789724</v>
      </c>
      <c r="V1389" s="3"/>
      <c r="W1389" s="4"/>
    </row>
    <row r="1390" spans="1:23" ht="24.95" customHeight="1" x14ac:dyDescent="0.2">
      <c r="A1390" s="8">
        <v>44994</v>
      </c>
      <c r="B1390" s="7">
        <v>0.61041666666666672</v>
      </c>
      <c r="C1390" s="9" t="s">
        <v>383</v>
      </c>
      <c r="D1390" s="1" t="s">
        <v>368</v>
      </c>
      <c r="E1390" s="1" t="s">
        <v>363</v>
      </c>
      <c r="F1390" s="1" t="s">
        <v>632</v>
      </c>
      <c r="G1390" s="1" t="s">
        <v>371</v>
      </c>
      <c r="H1390" s="2">
        <v>25000</v>
      </c>
      <c r="I1390" s="16">
        <v>0.88519999999999999</v>
      </c>
      <c r="J1390" s="1" t="s">
        <v>381</v>
      </c>
      <c r="K1390" s="6">
        <f>Registro_Ordini[[#This Row],[Numero]]*Registro_Ordini[[#This Row],[Prezzo]]</f>
        <v>22130</v>
      </c>
      <c r="L1390" s="10">
        <v>1</v>
      </c>
      <c r="M1390" s="6">
        <f>Registro_Ordini[[#This Row],[Importo]]*Registro_Ordini[[#This Row],[Cambio]]</f>
        <v>22130</v>
      </c>
      <c r="N1390" s="1">
        <f ca="1">IFERROR(_xlfn.NUMBERVALUE(OFFSET(Origine,MATCH(Registro_Ordini[[#This Row],[Titolo]],Descrizioni,0),MATCH("Price",Intestazioni,0)-1,1,1)),"")</f>
        <v>0.98816246575</v>
      </c>
      <c r="O1390" s="18">
        <f ca="1">IF(OR(Registro_Ordini[[#This Row],[Price]]=0,Registro_Ordini[[#This Row],[Price]]=""),"",IF(Registro_Ordini[[#This Row],[Tipo]]="Sell",Registro_Ordini[[#This Row],[Prezzo]]/Registro_Ordini[[#This Row],[Price]]-1,Registro_Ordini[[#This Row],[Price]]/Registro_Ordini[[#This Row],[Prezzo]]-1))</f>
        <v>0.11631548322413021</v>
      </c>
      <c r="P1390" s="15">
        <v>4.0782857732754793E-2</v>
      </c>
      <c r="Q1390" s="3">
        <v>0.13558285774076678</v>
      </c>
      <c r="R1390" s="3">
        <v>0.4108080387366479</v>
      </c>
      <c r="S1390" s="3">
        <v>0.32254570006570021</v>
      </c>
      <c r="T1390" s="3">
        <v>0</v>
      </c>
      <c r="U1390" s="3">
        <v>0.13106340345688508</v>
      </c>
      <c r="V1390" s="3"/>
      <c r="W1390" s="4"/>
    </row>
    <row r="1391" spans="1:23" ht="24.95" customHeight="1" x14ac:dyDescent="0.2">
      <c r="A1391" s="8">
        <v>44994</v>
      </c>
      <c r="B1391" s="7">
        <v>0.61041666666666672</v>
      </c>
      <c r="C1391" s="9" t="s">
        <v>382</v>
      </c>
      <c r="D1391" s="1" t="s">
        <v>368</v>
      </c>
      <c r="E1391" s="1" t="s">
        <v>363</v>
      </c>
      <c r="F1391" s="1" t="s">
        <v>632</v>
      </c>
      <c r="G1391" s="1" t="s">
        <v>371</v>
      </c>
      <c r="H1391" s="2">
        <v>40000</v>
      </c>
      <c r="I1391" s="16">
        <v>0.88519999999999999</v>
      </c>
      <c r="J1391" s="1" t="s">
        <v>381</v>
      </c>
      <c r="K1391" s="6">
        <f>Registro_Ordini[[#This Row],[Numero]]*Registro_Ordini[[#This Row],[Prezzo]]</f>
        <v>35408</v>
      </c>
      <c r="L1391" s="10">
        <v>1</v>
      </c>
      <c r="M1391" s="6">
        <f>Registro_Ordini[[#This Row],[Importo]]*Registro_Ordini[[#This Row],[Cambio]]</f>
        <v>35408</v>
      </c>
      <c r="N1391" s="1">
        <f ca="1">IFERROR(_xlfn.NUMBERVALUE(OFFSET(Origine,MATCH(Registro_Ordini[[#This Row],[Titolo]],Descrizioni,0),MATCH("Price",Intestazioni,0)-1,1,1)),"")</f>
        <v>0.98816246575</v>
      </c>
      <c r="O1391" s="18">
        <f ca="1">IF(OR(Registro_Ordini[[#This Row],[Price]]=0,Registro_Ordini[[#This Row],[Price]]=""),"",IF(Registro_Ordini[[#This Row],[Tipo]]="Sell",Registro_Ordini[[#This Row],[Prezzo]]/Registro_Ordini[[#This Row],[Price]]-1,Registro_Ordini[[#This Row],[Price]]/Registro_Ordini[[#This Row],[Prezzo]]-1))</f>
        <v>0.11631548322413021</v>
      </c>
      <c r="P1391" s="15">
        <v>3.748364182601073E-2</v>
      </c>
      <c r="Q1391" s="3">
        <v>8.5834412669453769E-2</v>
      </c>
      <c r="R1391" s="3">
        <v>0.41098886508696936</v>
      </c>
      <c r="S1391" s="3">
        <v>0.36218233554151003</v>
      </c>
      <c r="T1391" s="3">
        <v>0</v>
      </c>
      <c r="U1391" s="3">
        <v>0.14099438670206674</v>
      </c>
      <c r="V1391" s="3"/>
      <c r="W1391" s="4"/>
    </row>
    <row r="1392" spans="1:23" ht="24.95" customHeight="1" x14ac:dyDescent="0.2">
      <c r="A1392" s="8">
        <v>44994</v>
      </c>
      <c r="B1392" s="7">
        <v>0.61041666666666672</v>
      </c>
      <c r="C1392" s="9" t="s">
        <v>106</v>
      </c>
      <c r="D1392" s="1" t="s">
        <v>368</v>
      </c>
      <c r="E1392" s="1" t="s">
        <v>363</v>
      </c>
      <c r="F1392" s="1" t="s">
        <v>632</v>
      </c>
      <c r="G1392" s="1" t="s">
        <v>371</v>
      </c>
      <c r="H1392" s="2">
        <v>5000</v>
      </c>
      <c r="I1392" s="16">
        <v>0.88519999999999999</v>
      </c>
      <c r="J1392" s="1" t="s">
        <v>381</v>
      </c>
      <c r="K1392" s="6">
        <f>Registro_Ordini[[#This Row],[Numero]]*Registro_Ordini[[#This Row],[Prezzo]]</f>
        <v>4426</v>
      </c>
      <c r="L1392" s="10">
        <v>1</v>
      </c>
      <c r="M1392" s="6">
        <f>Registro_Ordini[[#This Row],[Importo]]*Registro_Ordini[[#This Row],[Cambio]]</f>
        <v>4426</v>
      </c>
      <c r="N1392" s="1">
        <f ca="1">IFERROR(_xlfn.NUMBERVALUE(OFFSET(Origine,MATCH(Registro_Ordini[[#This Row],[Titolo]],Descrizioni,0),MATCH("Price",Intestazioni,0)-1,1,1)),"")</f>
        <v>0.98816246575</v>
      </c>
      <c r="O1392" s="18">
        <f ca="1">IF(OR(Registro_Ordini[[#This Row],[Price]]=0,Registro_Ordini[[#This Row],[Price]]=""),"",IF(Registro_Ordini[[#This Row],[Tipo]]="Sell",Registro_Ordini[[#This Row],[Prezzo]]/Registro_Ordini[[#This Row],[Price]]-1,Registro_Ordini[[#This Row],[Price]]/Registro_Ordini[[#This Row],[Prezzo]]-1))</f>
        <v>0.11631548322413021</v>
      </c>
      <c r="P1392" s="15">
        <v>3.682259133856023E-2</v>
      </c>
      <c r="Q1392" s="3">
        <v>0.35104669839167024</v>
      </c>
      <c r="R1392" s="3">
        <v>0.36352734577356288</v>
      </c>
      <c r="S1392" s="3">
        <v>0.18131254261716179</v>
      </c>
      <c r="T1392" s="3">
        <v>0</v>
      </c>
      <c r="U1392" s="3">
        <v>0.10411341321760505</v>
      </c>
      <c r="V1392" s="3"/>
      <c r="W1392" s="4"/>
    </row>
    <row r="1393" spans="1:23" ht="24.95" customHeight="1" x14ac:dyDescent="0.2">
      <c r="A1393" s="8">
        <v>44994</v>
      </c>
      <c r="B1393" s="7">
        <v>0.61041666666666672</v>
      </c>
      <c r="C1393" s="9" t="s">
        <v>379</v>
      </c>
      <c r="D1393" s="1" t="s">
        <v>368</v>
      </c>
      <c r="E1393" s="1" t="s">
        <v>363</v>
      </c>
      <c r="F1393" s="1" t="s">
        <v>632</v>
      </c>
      <c r="G1393" s="1" t="s">
        <v>371</v>
      </c>
      <c r="H1393" s="2">
        <v>20000</v>
      </c>
      <c r="I1393" s="16">
        <v>0.88519999999999999</v>
      </c>
      <c r="J1393" s="1" t="s">
        <v>381</v>
      </c>
      <c r="K1393" s="6">
        <f>Registro_Ordini[[#This Row],[Numero]]*Registro_Ordini[[#This Row],[Prezzo]]</f>
        <v>17704</v>
      </c>
      <c r="L1393" s="10">
        <v>1</v>
      </c>
      <c r="M1393" s="6">
        <f>Registro_Ordini[[#This Row],[Importo]]*Registro_Ordini[[#This Row],[Cambio]]</f>
        <v>17704</v>
      </c>
      <c r="N1393" s="1">
        <f ca="1">IFERROR(_xlfn.NUMBERVALUE(OFFSET(Origine,MATCH(Registro_Ordini[[#This Row],[Titolo]],Descrizioni,0),MATCH("Price",Intestazioni,0)-1,1,1)),"")</f>
        <v>0.98816246575</v>
      </c>
      <c r="O1393" s="18">
        <f ca="1">IF(OR(Registro_Ordini[[#This Row],[Price]]=0,Registro_Ordini[[#This Row],[Price]]=""),"",IF(Registro_Ordini[[#This Row],[Tipo]]="Sell",Registro_Ordini[[#This Row],[Prezzo]]/Registro_Ordini[[#This Row],[Price]]-1,Registro_Ordini[[#This Row],[Price]]/Registro_Ordini[[#This Row],[Prezzo]]-1))</f>
        <v>0.11631548322413021</v>
      </c>
      <c r="P1393" s="15">
        <v>3.5176399137511666E-2</v>
      </c>
      <c r="Q1393" s="3">
        <v>7.75752916876222E-2</v>
      </c>
      <c r="R1393" s="3">
        <v>0.43208400400806901</v>
      </c>
      <c r="S1393" s="3">
        <v>0.34772002995862394</v>
      </c>
      <c r="T1393" s="3">
        <v>0</v>
      </c>
      <c r="U1393" s="3">
        <v>0.14262067434568479</v>
      </c>
      <c r="V1393" s="3"/>
      <c r="W1393" s="4"/>
    </row>
    <row r="1394" spans="1:23" ht="24.95" customHeight="1" x14ac:dyDescent="0.2">
      <c r="A1394" s="8">
        <v>44994</v>
      </c>
      <c r="B1394" s="7">
        <v>0.60972222222222228</v>
      </c>
      <c r="C1394" s="9" t="s">
        <v>633</v>
      </c>
      <c r="D1394" s="1" t="s">
        <v>368</v>
      </c>
      <c r="E1394" s="1" t="s">
        <v>363</v>
      </c>
      <c r="F1394" s="1" t="s">
        <v>632</v>
      </c>
      <c r="G1394" s="1" t="s">
        <v>371</v>
      </c>
      <c r="H1394" s="2">
        <v>10000</v>
      </c>
      <c r="I1394" s="16">
        <v>0.88519999999999999</v>
      </c>
      <c r="J1394" s="1" t="s">
        <v>381</v>
      </c>
      <c r="K1394" s="6">
        <f>Registro_Ordini[[#This Row],[Numero]]*Registro_Ordini[[#This Row],[Prezzo]]</f>
        <v>8852</v>
      </c>
      <c r="L1394" s="10">
        <v>1</v>
      </c>
      <c r="M1394" s="6">
        <f>Registro_Ordini[[#This Row],[Importo]]*Registro_Ordini[[#This Row],[Cambio]]</f>
        <v>8852</v>
      </c>
      <c r="N1394" s="1">
        <f ca="1">IFERROR(_xlfn.NUMBERVALUE(OFFSET(Origine,MATCH(Registro_Ordini[[#This Row],[Titolo]],Descrizioni,0),MATCH("Price",Intestazioni,0)-1,1,1)),"")</f>
        <v>0.98816246575</v>
      </c>
      <c r="O1394" s="18">
        <f ca="1">IF(OR(Registro_Ordini[[#This Row],[Price]]=0,Registro_Ordini[[#This Row],[Price]]=""),"",IF(Registro_Ordini[[#This Row],[Tipo]]="Sell",Registro_Ordini[[#This Row],[Prezzo]]/Registro_Ordini[[#This Row],[Price]]-1,Registro_Ordini[[#This Row],[Price]]/Registro_Ordini[[#This Row],[Prezzo]]-1))</f>
        <v>0.11631548322413021</v>
      </c>
      <c r="P1394" s="15">
        <v>8.9056737565598648E-2</v>
      </c>
      <c r="Q1394" s="3">
        <v>0.62050976082618925</v>
      </c>
      <c r="R1394" s="3">
        <v>0.37949023917381075</v>
      </c>
      <c r="S1394" s="3"/>
      <c r="T1394" s="3"/>
      <c r="U1394" s="3">
        <v>0</v>
      </c>
      <c r="V1394" s="3"/>
      <c r="W1394" s="4"/>
    </row>
    <row r="1395" spans="1:23" ht="24.95" customHeight="1" x14ac:dyDescent="0.2">
      <c r="A1395" s="8">
        <v>44994</v>
      </c>
      <c r="B1395" s="7">
        <v>0.60972222222222228</v>
      </c>
      <c r="C1395" s="9" t="s">
        <v>634</v>
      </c>
      <c r="D1395" s="1" t="s">
        <v>368</v>
      </c>
      <c r="E1395" s="1" t="s">
        <v>363</v>
      </c>
      <c r="F1395" s="1" t="s">
        <v>632</v>
      </c>
      <c r="G1395" s="1" t="s">
        <v>371</v>
      </c>
      <c r="H1395" s="2">
        <v>10000</v>
      </c>
      <c r="I1395" s="16">
        <v>0.88519999999999999</v>
      </c>
      <c r="J1395" s="1" t="s">
        <v>381</v>
      </c>
      <c r="K1395" s="6">
        <f>Registro_Ordini[[#This Row],[Numero]]*Registro_Ordini[[#This Row],[Prezzo]]</f>
        <v>8852</v>
      </c>
      <c r="L1395" s="10">
        <v>1</v>
      </c>
      <c r="M1395" s="6">
        <f>Registro_Ordini[[#This Row],[Importo]]*Registro_Ordini[[#This Row],[Cambio]]</f>
        <v>8852</v>
      </c>
      <c r="N1395" s="1">
        <f ca="1">IFERROR(_xlfn.NUMBERVALUE(OFFSET(Origine,MATCH(Registro_Ordini[[#This Row],[Titolo]],Descrizioni,0),MATCH("Price",Intestazioni,0)-1,1,1)),"")</f>
        <v>0.98816246575</v>
      </c>
      <c r="O1395" s="18">
        <f ca="1">IF(OR(Registro_Ordini[[#This Row],[Price]]=0,Registro_Ordini[[#This Row],[Price]]=""),"",IF(Registro_Ordini[[#This Row],[Tipo]]="Sell",Registro_Ordini[[#This Row],[Prezzo]]/Registro_Ordini[[#This Row],[Price]]-1,Registro_Ordini[[#This Row],[Price]]/Registro_Ordini[[#This Row],[Prezzo]]-1))</f>
        <v>0.11631548322413021</v>
      </c>
      <c r="P1395" s="15">
        <v>8.9056737565598648E-2</v>
      </c>
      <c r="Q1395" s="3">
        <v>0.62050976082618925</v>
      </c>
      <c r="R1395" s="3">
        <v>0.37949023917381075</v>
      </c>
      <c r="S1395" s="3"/>
      <c r="T1395" s="3"/>
      <c r="U1395" s="3">
        <v>0</v>
      </c>
      <c r="V1395" s="3"/>
      <c r="W1395" s="4"/>
    </row>
    <row r="1396" spans="1:23" ht="24.95" customHeight="1" x14ac:dyDescent="0.2">
      <c r="A1396" s="8">
        <v>44994</v>
      </c>
      <c r="B1396" s="7">
        <v>0.60902777777777772</v>
      </c>
      <c r="C1396" s="9" t="s">
        <v>633</v>
      </c>
      <c r="D1396" s="1" t="s">
        <v>368</v>
      </c>
      <c r="E1396" s="1" t="s">
        <v>363</v>
      </c>
      <c r="F1396" s="1" t="s">
        <v>635</v>
      </c>
      <c r="G1396" s="1" t="s">
        <v>371</v>
      </c>
      <c r="H1396" s="2">
        <v>10000</v>
      </c>
      <c r="I1396" s="16">
        <v>0.90529999999999999</v>
      </c>
      <c r="J1396" s="1" t="s">
        <v>381</v>
      </c>
      <c r="K1396" s="6">
        <f>Registro_Ordini[[#This Row],[Numero]]*Registro_Ordini[[#This Row],[Prezzo]]</f>
        <v>9053</v>
      </c>
      <c r="L1396" s="10">
        <v>1</v>
      </c>
      <c r="M1396" s="6">
        <f>Registro_Ordini[[#This Row],[Importo]]*Registro_Ordini[[#This Row],[Cambio]]</f>
        <v>9053</v>
      </c>
      <c r="N1396" s="1" t="str">
        <f ca="1">IFERROR(_xlfn.NUMBERVALUE(OFFSET(Origine,MATCH(Registro_Ordini[[#This Row],[Titolo]],Descrizioni,0),MATCH("Price",Intestazioni,0)-1,1,1)),"")</f>
        <v/>
      </c>
      <c r="O1396" s="18" t="str">
        <f ca="1">IF(OR(Registro_Ordini[[#This Row],[Price]]=0,Registro_Ordini[[#This Row],[Price]]=""),"",IF(Registro_Ordini[[#This Row],[Tipo]]="Sell",Registro_Ordini[[#This Row],[Prezzo]]/Registro_Ordini[[#This Row],[Price]]-1,Registro_Ordini[[#This Row],[Price]]/Registro_Ordini[[#This Row],[Prezzo]]-1))</f>
        <v/>
      </c>
      <c r="P1396" s="15">
        <v>9.1067014626691381E-2</v>
      </c>
      <c r="Q1396" s="3">
        <v>0.71149563067998245</v>
      </c>
      <c r="R1396" s="3">
        <v>0.2885043693200175</v>
      </c>
      <c r="S1396" s="3"/>
      <c r="T1396" s="3"/>
      <c r="U1396" s="3">
        <v>0</v>
      </c>
      <c r="V1396" s="3"/>
      <c r="W1396" s="4"/>
    </row>
    <row r="1397" spans="1:23" ht="24.95" customHeight="1" x14ac:dyDescent="0.2">
      <c r="A1397" s="8">
        <v>44994</v>
      </c>
      <c r="B1397" s="7">
        <v>0.60902777777777772</v>
      </c>
      <c r="C1397" s="9" t="s">
        <v>634</v>
      </c>
      <c r="D1397" s="1" t="s">
        <v>368</v>
      </c>
      <c r="E1397" s="1" t="s">
        <v>363</v>
      </c>
      <c r="F1397" s="1" t="s">
        <v>635</v>
      </c>
      <c r="G1397" s="1" t="s">
        <v>371</v>
      </c>
      <c r="H1397" s="2">
        <v>10000</v>
      </c>
      <c r="I1397" s="16">
        <v>0.90529999999999999</v>
      </c>
      <c r="J1397" s="1" t="s">
        <v>381</v>
      </c>
      <c r="K1397" s="6">
        <f>Registro_Ordini[[#This Row],[Numero]]*Registro_Ordini[[#This Row],[Prezzo]]</f>
        <v>9053</v>
      </c>
      <c r="L1397" s="10">
        <v>1</v>
      </c>
      <c r="M1397" s="6">
        <f>Registro_Ordini[[#This Row],[Importo]]*Registro_Ordini[[#This Row],[Cambio]]</f>
        <v>9053</v>
      </c>
      <c r="N1397" s="1" t="str">
        <f ca="1">IFERROR(_xlfn.NUMBERVALUE(OFFSET(Origine,MATCH(Registro_Ordini[[#This Row],[Titolo]],Descrizioni,0),MATCH("Price",Intestazioni,0)-1,1,1)),"")</f>
        <v/>
      </c>
      <c r="O1397" s="18" t="str">
        <f ca="1">IF(OR(Registro_Ordini[[#This Row],[Price]]=0,Registro_Ordini[[#This Row],[Price]]=""),"",IF(Registro_Ordini[[#This Row],[Tipo]]="Sell",Registro_Ordini[[#This Row],[Prezzo]]/Registro_Ordini[[#This Row],[Price]]-1,Registro_Ordini[[#This Row],[Price]]/Registro_Ordini[[#This Row],[Prezzo]]-1))</f>
        <v/>
      </c>
      <c r="P1397" s="15">
        <v>9.1067014626691381E-2</v>
      </c>
      <c r="Q1397" s="3">
        <v>0.71149563067998245</v>
      </c>
      <c r="R1397" s="3">
        <v>0.2885043693200175</v>
      </c>
      <c r="S1397" s="3"/>
      <c r="T1397" s="3"/>
      <c r="U1397" s="3">
        <v>0</v>
      </c>
      <c r="V1397" s="3"/>
      <c r="W1397" s="4"/>
    </row>
    <row r="1398" spans="1:23" ht="24.95" customHeight="1" x14ac:dyDescent="0.2">
      <c r="A1398" s="8">
        <v>44994</v>
      </c>
      <c r="B1398" s="7">
        <v>0.60833333333333328</v>
      </c>
      <c r="C1398" s="9" t="s">
        <v>633</v>
      </c>
      <c r="D1398" s="1" t="s">
        <v>368</v>
      </c>
      <c r="E1398" s="1" t="s">
        <v>363</v>
      </c>
      <c r="F1398" s="1" t="s">
        <v>636</v>
      </c>
      <c r="G1398" s="1" t="s">
        <v>371</v>
      </c>
      <c r="H1398" s="2">
        <v>10000</v>
      </c>
      <c r="I1398" s="16">
        <v>0.93700000000000006</v>
      </c>
      <c r="J1398" s="1" t="s">
        <v>381</v>
      </c>
      <c r="K1398" s="6">
        <f>Registro_Ordini[[#This Row],[Numero]]*Registro_Ordini[[#This Row],[Prezzo]]</f>
        <v>9370</v>
      </c>
      <c r="L1398" s="10">
        <v>1</v>
      </c>
      <c r="M1398" s="6">
        <f>Registro_Ordini[[#This Row],[Importo]]*Registro_Ordini[[#This Row],[Cambio]]</f>
        <v>9370</v>
      </c>
      <c r="N1398" s="1" t="str">
        <f ca="1">IFERROR(_xlfn.NUMBERVALUE(OFFSET(Origine,MATCH(Registro_Ordini[[#This Row],[Titolo]],Descrizioni,0),MATCH("Price",Intestazioni,0)-1,1,1)),"")</f>
        <v/>
      </c>
      <c r="O1398" s="18" t="str">
        <f ca="1">IF(OR(Registro_Ordini[[#This Row],[Price]]=0,Registro_Ordini[[#This Row],[Price]]=""),"",IF(Registro_Ordini[[#This Row],[Tipo]]="Sell",Registro_Ordini[[#This Row],[Prezzo]]/Registro_Ordini[[#This Row],[Price]]-1,Registro_Ordini[[#This Row],[Price]]/Registro_Ordini[[#This Row],[Prezzo]]-1))</f>
        <v/>
      </c>
      <c r="P1398" s="15">
        <v>9.4405793192456885E-2</v>
      </c>
      <c r="Q1398" s="3">
        <v>0.80703351491097086</v>
      </c>
      <c r="R1398" s="3">
        <v>0.19296648508902914</v>
      </c>
      <c r="S1398" s="3"/>
      <c r="T1398" s="3"/>
      <c r="U1398" s="3">
        <v>0</v>
      </c>
      <c r="V1398" s="3"/>
      <c r="W1398" s="4"/>
    </row>
    <row r="1399" spans="1:23" ht="24.95" customHeight="1" x14ac:dyDescent="0.2">
      <c r="A1399" s="8">
        <v>44994</v>
      </c>
      <c r="B1399" s="7">
        <v>0.60833333333333328</v>
      </c>
      <c r="C1399" s="9" t="s">
        <v>385</v>
      </c>
      <c r="D1399" s="1" t="s">
        <v>368</v>
      </c>
      <c r="E1399" s="1" t="s">
        <v>363</v>
      </c>
      <c r="F1399" s="1" t="s">
        <v>636</v>
      </c>
      <c r="G1399" s="1" t="s">
        <v>371</v>
      </c>
      <c r="H1399" s="2">
        <v>10000</v>
      </c>
      <c r="I1399" s="16">
        <v>0.93700000000000006</v>
      </c>
      <c r="J1399" s="1" t="s">
        <v>381</v>
      </c>
      <c r="K1399" s="6">
        <f>Registro_Ordini[[#This Row],[Numero]]*Registro_Ordini[[#This Row],[Prezzo]]</f>
        <v>9370</v>
      </c>
      <c r="L1399" s="10">
        <v>1</v>
      </c>
      <c r="M1399" s="6">
        <f>Registro_Ordini[[#This Row],[Importo]]*Registro_Ordini[[#This Row],[Cambio]]</f>
        <v>9370</v>
      </c>
      <c r="N1399" s="1" t="str">
        <f ca="1">IFERROR(_xlfn.NUMBERVALUE(OFFSET(Origine,MATCH(Registro_Ordini[[#This Row],[Titolo]],Descrizioni,0),MATCH("Price",Intestazioni,0)-1,1,1)),"")</f>
        <v/>
      </c>
      <c r="O1399" s="18" t="str">
        <f ca="1">IF(OR(Registro_Ordini[[#This Row],[Price]]=0,Registro_Ordini[[#This Row],[Price]]=""),"",IF(Registro_Ordini[[#This Row],[Tipo]]="Sell",Registro_Ordini[[#This Row],[Prezzo]]/Registro_Ordini[[#This Row],[Price]]-1,Registro_Ordini[[#This Row],[Price]]/Registro_Ordini[[#This Row],[Prezzo]]-1))</f>
        <v/>
      </c>
      <c r="P1399" s="15">
        <v>7.8199192344386867E-2</v>
      </c>
      <c r="Q1399" s="3">
        <v>0.76241591986535351</v>
      </c>
      <c r="R1399" s="3">
        <v>0.23758408013464657</v>
      </c>
      <c r="S1399" s="3">
        <v>0</v>
      </c>
      <c r="T1399" s="3">
        <v>0</v>
      </c>
      <c r="U1399" s="3">
        <v>0</v>
      </c>
      <c r="V1399" s="3"/>
      <c r="W1399" s="4"/>
    </row>
    <row r="1400" spans="1:23" ht="24.95" customHeight="1" x14ac:dyDescent="0.2">
      <c r="A1400" s="8">
        <v>44994</v>
      </c>
      <c r="B1400" s="7">
        <v>0.60833333333333328</v>
      </c>
      <c r="C1400" s="9" t="s">
        <v>634</v>
      </c>
      <c r="D1400" s="1" t="s">
        <v>368</v>
      </c>
      <c r="E1400" s="1" t="s">
        <v>363</v>
      </c>
      <c r="F1400" s="1" t="s">
        <v>636</v>
      </c>
      <c r="G1400" s="1" t="s">
        <v>371</v>
      </c>
      <c r="H1400" s="2">
        <v>10000</v>
      </c>
      <c r="I1400" s="16">
        <v>0.93700000000000006</v>
      </c>
      <c r="J1400" s="1" t="s">
        <v>381</v>
      </c>
      <c r="K1400" s="6">
        <f>Registro_Ordini[[#This Row],[Numero]]*Registro_Ordini[[#This Row],[Prezzo]]</f>
        <v>9370</v>
      </c>
      <c r="L1400" s="10">
        <v>1</v>
      </c>
      <c r="M1400" s="6">
        <f>Registro_Ordini[[#This Row],[Importo]]*Registro_Ordini[[#This Row],[Cambio]]</f>
        <v>9370</v>
      </c>
      <c r="N1400" s="1" t="str">
        <f ca="1">IFERROR(_xlfn.NUMBERVALUE(OFFSET(Origine,MATCH(Registro_Ordini[[#This Row],[Titolo]],Descrizioni,0),MATCH("Price",Intestazioni,0)-1,1,1)),"")</f>
        <v/>
      </c>
      <c r="O1400" s="18" t="str">
        <f ca="1">IF(OR(Registro_Ordini[[#This Row],[Price]]=0,Registro_Ordini[[#This Row],[Price]]=""),"",IF(Registro_Ordini[[#This Row],[Tipo]]="Sell",Registro_Ordini[[#This Row],[Prezzo]]/Registro_Ordini[[#This Row],[Price]]-1,Registro_Ordini[[#This Row],[Price]]/Registro_Ordini[[#This Row],[Prezzo]]-1))</f>
        <v/>
      </c>
      <c r="P1400" s="15">
        <v>9.4405793192456885E-2</v>
      </c>
      <c r="Q1400" s="3">
        <v>0.80703351491097086</v>
      </c>
      <c r="R1400" s="3">
        <v>0.19296648508902914</v>
      </c>
      <c r="S1400" s="3"/>
      <c r="T1400" s="3"/>
      <c r="U1400" s="3">
        <v>0</v>
      </c>
      <c r="V1400" s="3"/>
      <c r="W1400" s="4"/>
    </row>
    <row r="1401" spans="1:23" ht="24.95" customHeight="1" x14ac:dyDescent="0.2">
      <c r="A1401" s="8">
        <v>44993</v>
      </c>
      <c r="B1401" s="7">
        <v>0.74583333333333335</v>
      </c>
      <c r="C1401" s="9" t="s">
        <v>382</v>
      </c>
      <c r="D1401" s="1" t="s">
        <v>368</v>
      </c>
      <c r="E1401" s="1" t="s">
        <v>363</v>
      </c>
      <c r="F1401" s="1" t="s">
        <v>637</v>
      </c>
      <c r="G1401" s="1" t="s">
        <v>371</v>
      </c>
      <c r="H1401" s="2">
        <v>40000</v>
      </c>
      <c r="I1401" s="16">
        <v>0.95669999999999999</v>
      </c>
      <c r="J1401" s="1" t="s">
        <v>381</v>
      </c>
      <c r="K1401" s="6">
        <f>Registro_Ordini[[#This Row],[Numero]]*Registro_Ordini[[#This Row],[Prezzo]]</f>
        <v>38268</v>
      </c>
      <c r="L1401" s="10">
        <v>1</v>
      </c>
      <c r="M1401" s="6">
        <f>Registro_Ordini[[#This Row],[Importo]]*Registro_Ordini[[#This Row],[Cambio]]</f>
        <v>38268</v>
      </c>
      <c r="N1401" s="1" t="str">
        <f ca="1">IFERROR(_xlfn.NUMBERVALUE(OFFSET(Origine,MATCH(Registro_Ordini[[#This Row],[Titolo]],Descrizioni,0),MATCH("Price",Intestazioni,0)-1,1,1)),"")</f>
        <v/>
      </c>
      <c r="O1401" s="18" t="str">
        <f ca="1">IF(OR(Registro_Ordini[[#This Row],[Price]]=0,Registro_Ordini[[#This Row],[Price]]=""),"",IF(Registro_Ordini[[#This Row],[Tipo]]="Sell",Registro_Ordini[[#This Row],[Prezzo]]/Registro_Ordini[[#This Row],[Price]]-1,Registro_Ordini[[#This Row],[Price]]/Registro_Ordini[[#This Row],[Prezzo]]-1))</f>
        <v/>
      </c>
      <c r="P1401" s="15">
        <v>4.0492902626754972E-2</v>
      </c>
      <c r="Q1401" s="3">
        <v>0.12638610884454846</v>
      </c>
      <c r="R1401" s="3">
        <v>0.3700256126855152</v>
      </c>
      <c r="S1401" s="3">
        <v>0.36275691397354104</v>
      </c>
      <c r="T1401" s="3">
        <v>0</v>
      </c>
      <c r="U1401" s="3">
        <v>0.14083136449639533</v>
      </c>
      <c r="V1401" s="3"/>
      <c r="W1401" s="4"/>
    </row>
    <row r="1402" spans="1:23" ht="24.95" customHeight="1" x14ac:dyDescent="0.2">
      <c r="A1402" s="8">
        <v>44993</v>
      </c>
      <c r="B1402" s="7">
        <v>0.74583333333333335</v>
      </c>
      <c r="C1402" s="9" t="s">
        <v>106</v>
      </c>
      <c r="D1402" s="1" t="s">
        <v>368</v>
      </c>
      <c r="E1402" s="1" t="s">
        <v>363</v>
      </c>
      <c r="F1402" s="1" t="s">
        <v>637</v>
      </c>
      <c r="G1402" s="1" t="s">
        <v>371</v>
      </c>
      <c r="H1402" s="2">
        <v>5000</v>
      </c>
      <c r="I1402" s="16">
        <v>0.95669999999999999</v>
      </c>
      <c r="J1402" s="1" t="s">
        <v>381</v>
      </c>
      <c r="K1402" s="6">
        <f>Registro_Ordini[[#This Row],[Numero]]*Registro_Ordini[[#This Row],[Prezzo]]</f>
        <v>4783.5</v>
      </c>
      <c r="L1402" s="10">
        <v>1</v>
      </c>
      <c r="M1402" s="6">
        <f>Registro_Ordini[[#This Row],[Importo]]*Registro_Ordini[[#This Row],[Cambio]]</f>
        <v>4783.5</v>
      </c>
      <c r="N1402" s="1" t="str">
        <f ca="1">IFERROR(_xlfn.NUMBERVALUE(OFFSET(Origine,MATCH(Registro_Ordini[[#This Row],[Titolo]],Descrizioni,0),MATCH("Price",Intestazioni,0)-1,1,1)),"")</f>
        <v/>
      </c>
      <c r="O1402" s="18" t="str">
        <f ca="1">IF(OR(Registro_Ordini[[#This Row],[Price]]=0,Registro_Ordini[[#This Row],[Price]]=""),"",IF(Registro_Ordini[[#This Row],[Tipo]]="Sell",Registro_Ordini[[#This Row],[Prezzo]]/Registro_Ordini[[#This Row],[Price]]-1,Registro_Ordini[[#This Row],[Price]]/Registro_Ordini[[#This Row],[Prezzo]]-1))</f>
        <v/>
      </c>
      <c r="P1402" s="15">
        <v>3.9810152154926955E-2</v>
      </c>
      <c r="Q1402" s="3">
        <v>0.39113665285281435</v>
      </c>
      <c r="R1402" s="3">
        <v>0.32352082131176618</v>
      </c>
      <c r="S1402" s="3">
        <v>0.18128863414298463</v>
      </c>
      <c r="T1402" s="3">
        <v>0</v>
      </c>
      <c r="U1402" s="3">
        <v>0.10405389169243497</v>
      </c>
      <c r="V1402" s="3"/>
      <c r="W1402" s="4"/>
    </row>
    <row r="1403" spans="1:23" ht="24.95" customHeight="1" x14ac:dyDescent="0.2">
      <c r="A1403" s="8">
        <v>44993</v>
      </c>
      <c r="B1403" s="7">
        <v>0.74583333333333335</v>
      </c>
      <c r="C1403" s="9" t="s">
        <v>379</v>
      </c>
      <c r="D1403" s="1" t="s">
        <v>368</v>
      </c>
      <c r="E1403" s="1" t="s">
        <v>363</v>
      </c>
      <c r="F1403" s="1" t="s">
        <v>637</v>
      </c>
      <c r="G1403" s="1" t="s">
        <v>371</v>
      </c>
      <c r="H1403" s="2">
        <v>25000</v>
      </c>
      <c r="I1403" s="16">
        <v>0.95669999999999999</v>
      </c>
      <c r="J1403" s="1" t="s">
        <v>381</v>
      </c>
      <c r="K1403" s="6">
        <f>Registro_Ordini[[#This Row],[Numero]]*Registro_Ordini[[#This Row],[Prezzo]]</f>
        <v>23917.5</v>
      </c>
      <c r="L1403" s="10">
        <v>1</v>
      </c>
      <c r="M1403" s="6">
        <f>Registro_Ordini[[#This Row],[Importo]]*Registro_Ordini[[#This Row],[Cambio]]</f>
        <v>23917.5</v>
      </c>
      <c r="N1403" s="1" t="str">
        <f ca="1">IFERROR(_xlfn.NUMBERVALUE(OFFSET(Origine,MATCH(Registro_Ordini[[#This Row],[Titolo]],Descrizioni,0),MATCH("Price",Intestazioni,0)-1,1,1)),"")</f>
        <v/>
      </c>
      <c r="O1403" s="18" t="str">
        <f ca="1">IF(OR(Registro_Ordini[[#This Row],[Price]]=0,Registro_Ordini[[#This Row],[Price]]=""),"",IF(Registro_Ordini[[#This Row],[Tipo]]="Sell",Registro_Ordini[[#This Row],[Prezzo]]/Registro_Ordini[[#This Row],[Price]]-1,Registro_Ordini[[#This Row],[Price]]/Registro_Ordini[[#This Row],[Prezzo]]-1))</f>
        <v/>
      </c>
      <c r="P1403" s="15">
        <v>4.7505068675000477E-2</v>
      </c>
      <c r="Q1403" s="3">
        <v>0.12519420000453349</v>
      </c>
      <c r="R1403" s="3">
        <v>0.38407086870166279</v>
      </c>
      <c r="S1403" s="3">
        <v>0.34831029204961927</v>
      </c>
      <c r="T1403" s="3">
        <v>0</v>
      </c>
      <c r="U1403" s="3">
        <v>0.14242463924418439</v>
      </c>
      <c r="V1403" s="3"/>
      <c r="W1403" s="4"/>
    </row>
    <row r="1404" spans="1:23" ht="24.95" customHeight="1" x14ac:dyDescent="0.2">
      <c r="A1404" s="8">
        <v>44993</v>
      </c>
      <c r="B1404" s="7">
        <v>0.74513888888888891</v>
      </c>
      <c r="C1404" s="9" t="s">
        <v>383</v>
      </c>
      <c r="D1404" s="1" t="s">
        <v>368</v>
      </c>
      <c r="E1404" s="1" t="s">
        <v>363</v>
      </c>
      <c r="F1404" s="1" t="s">
        <v>637</v>
      </c>
      <c r="G1404" s="1" t="s">
        <v>371</v>
      </c>
      <c r="H1404" s="2">
        <v>25000</v>
      </c>
      <c r="I1404" s="16">
        <v>0.95669999999999999</v>
      </c>
      <c r="J1404" s="1" t="s">
        <v>381</v>
      </c>
      <c r="K1404" s="6">
        <f>Registro_Ordini[[#This Row],[Numero]]*Registro_Ordini[[#This Row],[Prezzo]]</f>
        <v>23917.5</v>
      </c>
      <c r="L1404" s="10">
        <v>1</v>
      </c>
      <c r="M1404" s="6">
        <f>Registro_Ordini[[#This Row],[Importo]]*Registro_Ordini[[#This Row],[Cambio]]</f>
        <v>23917.5</v>
      </c>
      <c r="N1404" s="1" t="str">
        <f ca="1">IFERROR(_xlfn.NUMBERVALUE(OFFSET(Origine,MATCH(Registro_Ordini[[#This Row],[Titolo]],Descrizioni,0),MATCH("Price",Intestazioni,0)-1,1,1)),"")</f>
        <v/>
      </c>
      <c r="O1404" s="18" t="str">
        <f ca="1">IF(OR(Registro_Ordini[[#This Row],[Price]]=0,Registro_Ordini[[#This Row],[Price]]=""),"",IF(Registro_Ordini[[#This Row],[Tipo]]="Sell",Registro_Ordini[[#This Row],[Prezzo]]/Registro_Ordini[[#This Row],[Price]]-1,Registro_Ordini[[#This Row],[Price]]/Registro_Ordini[[#This Row],[Prezzo]]-1))</f>
        <v/>
      </c>
      <c r="P1404" s="15">
        <v>4.4058454783237042E-2</v>
      </c>
      <c r="Q1404" s="3">
        <v>0.17970921760640896</v>
      </c>
      <c r="R1404" s="3">
        <v>0.36625116747096415</v>
      </c>
      <c r="S1404" s="3">
        <v>0.32312485606561497</v>
      </c>
      <c r="T1404" s="3">
        <v>0</v>
      </c>
      <c r="U1404" s="3">
        <v>0.13091475885701201</v>
      </c>
      <c r="V1404" s="3"/>
      <c r="W1404" s="4"/>
    </row>
    <row r="1405" spans="1:23" ht="24.95" customHeight="1" x14ac:dyDescent="0.2">
      <c r="A1405" s="8">
        <v>44993</v>
      </c>
      <c r="B1405" s="7">
        <v>0.74513888888888891</v>
      </c>
      <c r="C1405" s="9" t="s">
        <v>633</v>
      </c>
      <c r="D1405" s="1" t="s">
        <v>368</v>
      </c>
      <c r="E1405" s="1" t="s">
        <v>363</v>
      </c>
      <c r="F1405" s="1" t="s">
        <v>637</v>
      </c>
      <c r="G1405" s="1" t="s">
        <v>371</v>
      </c>
      <c r="H1405" s="2">
        <v>10000</v>
      </c>
      <c r="I1405" s="16">
        <v>0.95669999999999999</v>
      </c>
      <c r="J1405" s="1" t="s">
        <v>381</v>
      </c>
      <c r="K1405" s="6">
        <f>Registro_Ordini[[#This Row],[Numero]]*Registro_Ordini[[#This Row],[Prezzo]]</f>
        <v>9567</v>
      </c>
      <c r="L1405" s="10">
        <v>1</v>
      </c>
      <c r="M1405" s="6">
        <f>Registro_Ordini[[#This Row],[Importo]]*Registro_Ordini[[#This Row],[Cambio]]</f>
        <v>9567</v>
      </c>
      <c r="N1405" s="1" t="str">
        <f ca="1">IFERROR(_xlfn.NUMBERVALUE(OFFSET(Origine,MATCH(Registro_Ordini[[#This Row],[Titolo]],Descrizioni,0),MATCH("Price",Intestazioni,0)-1,1,1)),"")</f>
        <v/>
      </c>
      <c r="O1405" s="18" t="str">
        <f ca="1">IF(OR(Registro_Ordini[[#This Row],[Price]]=0,Registro_Ordini[[#This Row],[Price]]=""),"",IF(Registro_Ordini[[#This Row],[Tipo]]="Sell",Registro_Ordini[[#This Row],[Prezzo]]/Registro_Ordini[[#This Row],[Price]]-1,Registro_Ordini[[#This Row],[Price]]/Registro_Ordini[[#This Row],[Prezzo]]-1))</f>
        <v/>
      </c>
      <c r="P1405" s="15">
        <v>9.6234421038393123E-2</v>
      </c>
      <c r="Q1405" s="3">
        <v>0.90451614507992706</v>
      </c>
      <c r="R1405" s="3">
        <v>9.5483854920072928E-2</v>
      </c>
      <c r="S1405" s="3"/>
      <c r="T1405" s="3"/>
      <c r="U1405" s="3">
        <v>0</v>
      </c>
      <c r="V1405" s="3"/>
      <c r="W1405" s="4"/>
    </row>
    <row r="1406" spans="1:23" ht="24.95" customHeight="1" x14ac:dyDescent="0.2">
      <c r="A1406" s="8">
        <v>44993</v>
      </c>
      <c r="B1406" s="7">
        <v>0.74513888888888891</v>
      </c>
      <c r="C1406" s="9" t="s">
        <v>385</v>
      </c>
      <c r="D1406" s="1" t="s">
        <v>368</v>
      </c>
      <c r="E1406" s="1" t="s">
        <v>363</v>
      </c>
      <c r="F1406" s="1" t="s">
        <v>637</v>
      </c>
      <c r="G1406" s="1" t="s">
        <v>371</v>
      </c>
      <c r="H1406" s="2">
        <v>10000</v>
      </c>
      <c r="I1406" s="16">
        <v>0.95669999999999999</v>
      </c>
      <c r="J1406" s="1" t="s">
        <v>381</v>
      </c>
      <c r="K1406" s="6">
        <f>Registro_Ordini[[#This Row],[Numero]]*Registro_Ordini[[#This Row],[Prezzo]]</f>
        <v>9567</v>
      </c>
      <c r="L1406" s="10">
        <v>1</v>
      </c>
      <c r="M1406" s="6">
        <f>Registro_Ordini[[#This Row],[Importo]]*Registro_Ordini[[#This Row],[Cambio]]</f>
        <v>9567</v>
      </c>
      <c r="N1406" s="1" t="str">
        <f ca="1">IFERROR(_xlfn.NUMBERVALUE(OFFSET(Origine,MATCH(Registro_Ordini[[#This Row],[Titolo]],Descrizioni,0),MATCH("Price",Intestazioni,0)-1,1,1)),"")</f>
        <v/>
      </c>
      <c r="O1406" s="18" t="str">
        <f ca="1">IF(OR(Registro_Ordini[[#This Row],[Price]]=0,Registro_Ordini[[#This Row],[Price]]=""),"",IF(Registro_Ordini[[#This Row],[Tipo]]="Sell",Registro_Ordini[[#This Row],[Prezzo]]/Registro_Ordini[[#This Row],[Price]]-1,Registro_Ordini[[#This Row],[Price]]/Registro_Ordini[[#This Row],[Prezzo]]-1))</f>
        <v/>
      </c>
      <c r="P1406" s="15">
        <v>7.9731079893497273E-2</v>
      </c>
      <c r="Q1406" s="3">
        <v>0.8432559691505942</v>
      </c>
      <c r="R1406" s="3">
        <v>0.15674403084940575</v>
      </c>
      <c r="S1406" s="3">
        <v>0</v>
      </c>
      <c r="T1406" s="3">
        <v>0</v>
      </c>
      <c r="U1406" s="3">
        <v>0</v>
      </c>
      <c r="V1406" s="3"/>
      <c r="W1406" s="4"/>
    </row>
    <row r="1407" spans="1:23" ht="24.95" customHeight="1" x14ac:dyDescent="0.2">
      <c r="A1407" s="8">
        <v>44993</v>
      </c>
      <c r="B1407" s="7">
        <v>0.74513888888888891</v>
      </c>
      <c r="C1407" s="9" t="s">
        <v>634</v>
      </c>
      <c r="D1407" s="1" t="s">
        <v>368</v>
      </c>
      <c r="E1407" s="1" t="s">
        <v>363</v>
      </c>
      <c r="F1407" s="1" t="s">
        <v>637</v>
      </c>
      <c r="G1407" s="1" t="s">
        <v>371</v>
      </c>
      <c r="H1407" s="2">
        <v>10000</v>
      </c>
      <c r="I1407" s="16">
        <v>0.95669999999999999</v>
      </c>
      <c r="J1407" s="1" t="s">
        <v>381</v>
      </c>
      <c r="K1407" s="6">
        <f>Registro_Ordini[[#This Row],[Numero]]*Registro_Ordini[[#This Row],[Prezzo]]</f>
        <v>9567</v>
      </c>
      <c r="L1407" s="10">
        <v>1</v>
      </c>
      <c r="M1407" s="6">
        <f>Registro_Ordini[[#This Row],[Importo]]*Registro_Ordini[[#This Row],[Cambio]]</f>
        <v>9567</v>
      </c>
      <c r="N1407" s="1" t="str">
        <f ca="1">IFERROR(_xlfn.NUMBERVALUE(OFFSET(Origine,MATCH(Registro_Ordini[[#This Row],[Titolo]],Descrizioni,0),MATCH("Price",Intestazioni,0)-1,1,1)),"")</f>
        <v/>
      </c>
      <c r="O1407" s="18" t="str">
        <f ca="1">IF(OR(Registro_Ordini[[#This Row],[Price]]=0,Registro_Ordini[[#This Row],[Price]]=""),"",IF(Registro_Ordini[[#This Row],[Tipo]]="Sell",Registro_Ordini[[#This Row],[Prezzo]]/Registro_Ordini[[#This Row],[Price]]-1,Registro_Ordini[[#This Row],[Price]]/Registro_Ordini[[#This Row],[Prezzo]]-1))</f>
        <v/>
      </c>
      <c r="P1407" s="15">
        <v>9.6234508160426765E-2</v>
      </c>
      <c r="Q1407" s="3">
        <v>0.90451605863738882</v>
      </c>
      <c r="R1407" s="3">
        <v>9.548394136261118E-2</v>
      </c>
      <c r="S1407" s="3"/>
      <c r="T1407" s="3"/>
      <c r="U1407" s="3">
        <v>0</v>
      </c>
      <c r="V1407" s="3"/>
      <c r="W1407" s="4"/>
    </row>
    <row r="1408" spans="1:23" ht="24.95" customHeight="1" x14ac:dyDescent="0.2">
      <c r="A1408" s="8">
        <v>44993</v>
      </c>
      <c r="B1408" s="7">
        <v>0.74444444444444446</v>
      </c>
      <c r="C1408" s="9" t="s">
        <v>633</v>
      </c>
      <c r="D1408" s="1" t="s">
        <v>368</v>
      </c>
      <c r="E1408" s="1" t="s">
        <v>363</v>
      </c>
      <c r="F1408" s="1" t="s">
        <v>638</v>
      </c>
      <c r="G1408" s="1" t="s">
        <v>371</v>
      </c>
      <c r="H1408" s="2">
        <v>10000</v>
      </c>
      <c r="I1408" s="16">
        <v>0.94989999999999997</v>
      </c>
      <c r="J1408" s="1" t="s">
        <v>381</v>
      </c>
      <c r="K1408" s="6">
        <f>Registro_Ordini[[#This Row],[Numero]]*Registro_Ordini[[#This Row],[Prezzo]]</f>
        <v>9499</v>
      </c>
      <c r="L1408" s="10">
        <v>1</v>
      </c>
      <c r="M1408" s="6">
        <f>Registro_Ordini[[#This Row],[Importo]]*Registro_Ordini[[#This Row],[Cambio]]</f>
        <v>9499</v>
      </c>
      <c r="N1408" s="1" t="str">
        <f ca="1">IFERROR(_xlfn.NUMBERVALUE(OFFSET(Origine,MATCH(Registro_Ordini[[#This Row],[Titolo]],Descrizioni,0),MATCH("Price",Intestazioni,0)-1,1,1)),"")</f>
        <v/>
      </c>
      <c r="O1408" s="18" t="str">
        <f ca="1">IF(OR(Registro_Ordini[[#This Row],[Price]]=0,Registro_Ordini[[#This Row],[Price]]=""),"",IF(Registro_Ordini[[#This Row],[Tipo]]="Sell",Registro_Ordini[[#This Row],[Prezzo]]/Registro_Ordini[[#This Row],[Price]]-1,Registro_Ordini[[#This Row],[Price]]/Registro_Ordini[[#This Row],[Prezzo]]-1))</f>
        <v/>
      </c>
      <c r="P1408" s="15">
        <v>9.5544050393828767E-2</v>
      </c>
      <c r="Q1408" s="3">
        <v>1</v>
      </c>
      <c r="R1408" s="3">
        <v>0</v>
      </c>
      <c r="S1408" s="3"/>
      <c r="T1408" s="3"/>
      <c r="U1408" s="3">
        <v>0</v>
      </c>
      <c r="V1408" s="3"/>
      <c r="W1408" s="4"/>
    </row>
    <row r="1409" spans="1:23" ht="24.95" customHeight="1" x14ac:dyDescent="0.2">
      <c r="A1409" s="8">
        <v>44993</v>
      </c>
      <c r="B1409" s="7">
        <v>0.74444444444444446</v>
      </c>
      <c r="C1409" s="9" t="s">
        <v>634</v>
      </c>
      <c r="D1409" s="1" t="s">
        <v>368</v>
      </c>
      <c r="E1409" s="1" t="s">
        <v>363</v>
      </c>
      <c r="F1409" s="1" t="s">
        <v>638</v>
      </c>
      <c r="G1409" s="1" t="s">
        <v>371</v>
      </c>
      <c r="H1409" s="2">
        <v>10000</v>
      </c>
      <c r="I1409" s="16">
        <v>0.94989999999999997</v>
      </c>
      <c r="J1409" s="1" t="s">
        <v>381</v>
      </c>
      <c r="K1409" s="6">
        <f>Registro_Ordini[[#This Row],[Numero]]*Registro_Ordini[[#This Row],[Prezzo]]</f>
        <v>9499</v>
      </c>
      <c r="L1409" s="10">
        <v>1</v>
      </c>
      <c r="M1409" s="6">
        <f>Registro_Ordini[[#This Row],[Importo]]*Registro_Ordini[[#This Row],[Cambio]]</f>
        <v>9499</v>
      </c>
      <c r="N1409" s="1" t="str">
        <f ca="1">IFERROR(_xlfn.NUMBERVALUE(OFFSET(Origine,MATCH(Registro_Ordini[[#This Row],[Titolo]],Descrizioni,0),MATCH("Price",Intestazioni,0)-1,1,1)),"")</f>
        <v/>
      </c>
      <c r="O1409" s="18" t="str">
        <f ca="1">IF(OR(Registro_Ordini[[#This Row],[Price]]=0,Registro_Ordini[[#This Row],[Price]]=""),"",IF(Registro_Ordini[[#This Row],[Tipo]]="Sell",Registro_Ordini[[#This Row],[Prezzo]]/Registro_Ordini[[#This Row],[Price]]-1,Registro_Ordini[[#This Row],[Price]]/Registro_Ordini[[#This Row],[Prezzo]]-1))</f>
        <v/>
      </c>
      <c r="P1409" s="15">
        <v>9.554413688510624E-2</v>
      </c>
      <c r="Q1409" s="3">
        <v>1</v>
      </c>
      <c r="R1409" s="3">
        <v>0</v>
      </c>
      <c r="S1409" s="3"/>
      <c r="T1409" s="3"/>
      <c r="U1409" s="3">
        <v>0</v>
      </c>
      <c r="V1409" s="3"/>
      <c r="W1409" s="4"/>
    </row>
    <row r="1410" spans="1:23" ht="24.95" customHeight="1" x14ac:dyDescent="0.2">
      <c r="A1410" s="8">
        <v>44993</v>
      </c>
      <c r="B1410" s="7">
        <v>0.74375000000000002</v>
      </c>
      <c r="C1410" s="9" t="s">
        <v>383</v>
      </c>
      <c r="D1410" s="1" t="s">
        <v>368</v>
      </c>
      <c r="E1410" s="1" t="s">
        <v>363</v>
      </c>
      <c r="F1410" s="1" t="s">
        <v>638</v>
      </c>
      <c r="G1410" s="1" t="s">
        <v>371</v>
      </c>
      <c r="H1410" s="2">
        <v>25000</v>
      </c>
      <c r="I1410" s="16">
        <v>0.94989999999999997</v>
      </c>
      <c r="J1410" s="1" t="s">
        <v>381</v>
      </c>
      <c r="K1410" s="6">
        <f>Registro_Ordini[[#This Row],[Numero]]*Registro_Ordini[[#This Row],[Prezzo]]</f>
        <v>23747.5</v>
      </c>
      <c r="L1410" s="10">
        <v>1</v>
      </c>
      <c r="M1410" s="6">
        <f>Registro_Ordini[[#This Row],[Importo]]*Registro_Ordini[[#This Row],[Cambio]]</f>
        <v>23747.5</v>
      </c>
      <c r="N1410" s="1" t="str">
        <f ca="1">IFERROR(_xlfn.NUMBERVALUE(OFFSET(Origine,MATCH(Registro_Ordini[[#This Row],[Titolo]],Descrizioni,0),MATCH("Price",Intestazioni,0)-1,1,1)),"")</f>
        <v/>
      </c>
      <c r="O1410" s="18" t="str">
        <f ca="1">IF(OR(Registro_Ordini[[#This Row],[Price]]=0,Registro_Ordini[[#This Row],[Price]]=""),"",IF(Registro_Ordini[[#This Row],[Tipo]]="Sell",Registro_Ordini[[#This Row],[Prezzo]]/Registro_Ordini[[#This Row],[Price]]-1,Registro_Ordini[[#This Row],[Price]]/Registro_Ordini[[#This Row],[Prezzo]]-1))</f>
        <v/>
      </c>
      <c r="P1410" s="15">
        <v>4.3743964696827647E-2</v>
      </c>
      <c r="Q1410" s="3">
        <v>0.22344770669508812</v>
      </c>
      <c r="R1410" s="3">
        <v>0.32252651263657833</v>
      </c>
      <c r="S1410" s="3">
        <v>0.32311501068807441</v>
      </c>
      <c r="T1410" s="3">
        <v>0</v>
      </c>
      <c r="U1410" s="3">
        <v>0.1309107699802593</v>
      </c>
      <c r="V1410" s="3"/>
      <c r="W1410" s="4"/>
    </row>
    <row r="1411" spans="1:23" ht="24.95" customHeight="1" x14ac:dyDescent="0.2">
      <c r="A1411" s="8">
        <v>44993</v>
      </c>
      <c r="B1411" s="7">
        <v>0.74375000000000002</v>
      </c>
      <c r="C1411" s="9" t="s">
        <v>382</v>
      </c>
      <c r="D1411" s="1" t="s">
        <v>368</v>
      </c>
      <c r="E1411" s="1" t="s">
        <v>363</v>
      </c>
      <c r="F1411" s="1" t="s">
        <v>638</v>
      </c>
      <c r="G1411" s="1" t="s">
        <v>371</v>
      </c>
      <c r="H1411" s="2">
        <v>25000</v>
      </c>
      <c r="I1411" s="16">
        <v>0.94989999999999997</v>
      </c>
      <c r="J1411" s="1" t="s">
        <v>381</v>
      </c>
      <c r="K1411" s="6">
        <f>Registro_Ordini[[#This Row],[Numero]]*Registro_Ordini[[#This Row],[Prezzo]]</f>
        <v>23747.5</v>
      </c>
      <c r="L1411" s="10">
        <v>1</v>
      </c>
      <c r="M1411" s="6">
        <f>Registro_Ordini[[#This Row],[Importo]]*Registro_Ordini[[#This Row],[Cambio]]</f>
        <v>23747.5</v>
      </c>
      <c r="N1411" s="1" t="str">
        <f ca="1">IFERROR(_xlfn.NUMBERVALUE(OFFSET(Origine,MATCH(Registro_Ordini[[#This Row],[Titolo]],Descrizioni,0),MATCH("Price",Intestazioni,0)-1,1,1)),"")</f>
        <v/>
      </c>
      <c r="O1411" s="18" t="str">
        <f ca="1">IF(OR(Registro_Ordini[[#This Row],[Price]]=0,Registro_Ordini[[#This Row],[Price]]=""),"",IF(Registro_Ordini[[#This Row],[Tipo]]="Sell",Registro_Ordini[[#This Row],[Prezzo]]/Registro_Ordini[[#This Row],[Price]]-1,Registro_Ordini[[#This Row],[Price]]/Registro_Ordini[[#This Row],[Prezzo]]-1))</f>
        <v/>
      </c>
      <c r="P1411" s="15">
        <v>2.5127740533646296E-2</v>
      </c>
      <c r="Q1411" s="3">
        <v>0.15151163731949518</v>
      </c>
      <c r="R1411" s="3">
        <v>0.34490889820794979</v>
      </c>
      <c r="S1411" s="3">
        <v>0.36275056486132673</v>
      </c>
      <c r="T1411" s="3">
        <v>0</v>
      </c>
      <c r="U1411" s="3">
        <v>0.14082889961122833</v>
      </c>
      <c r="V1411" s="3"/>
      <c r="W1411" s="4"/>
    </row>
    <row r="1412" spans="1:23" ht="24.95" customHeight="1" x14ac:dyDescent="0.2">
      <c r="A1412" s="8">
        <v>44993</v>
      </c>
      <c r="B1412" s="7">
        <v>0.74375000000000002</v>
      </c>
      <c r="C1412" s="9" t="s">
        <v>106</v>
      </c>
      <c r="D1412" s="1" t="s">
        <v>368</v>
      </c>
      <c r="E1412" s="1" t="s">
        <v>363</v>
      </c>
      <c r="F1412" s="1" t="s">
        <v>638</v>
      </c>
      <c r="G1412" s="1" t="s">
        <v>371</v>
      </c>
      <c r="H1412" s="2">
        <v>5000</v>
      </c>
      <c r="I1412" s="16">
        <v>0.94989999999999997</v>
      </c>
      <c r="J1412" s="1" t="s">
        <v>381</v>
      </c>
      <c r="K1412" s="6">
        <f>Registro_Ordini[[#This Row],[Numero]]*Registro_Ordini[[#This Row],[Prezzo]]</f>
        <v>4749.5</v>
      </c>
      <c r="L1412" s="10">
        <v>1</v>
      </c>
      <c r="M1412" s="6">
        <f>Registro_Ordini[[#This Row],[Importo]]*Registro_Ordini[[#This Row],[Cambio]]</f>
        <v>4749.5</v>
      </c>
      <c r="N1412" s="1" t="str">
        <f ca="1">IFERROR(_xlfn.NUMBERVALUE(OFFSET(Origine,MATCH(Registro_Ordini[[#This Row],[Titolo]],Descrizioni,0),MATCH("Price",Intestazioni,0)-1,1,1)),"")</f>
        <v/>
      </c>
      <c r="O1412" s="18" t="str">
        <f ca="1">IF(OR(Registro_Ordini[[#This Row],[Price]]=0,Registro_Ordini[[#This Row],[Price]]=""),"",IF(Registro_Ordini[[#This Row],[Tipo]]="Sell",Registro_Ordini[[#This Row],[Prezzo]]/Registro_Ordini[[#This Row],[Price]]-1,Registro_Ordini[[#This Row],[Price]]/Registro_Ordini[[#This Row],[Prezzo]]-1))</f>
        <v/>
      </c>
      <c r="P1412" s="15">
        <v>3.9526102660032404E-2</v>
      </c>
      <c r="Q1412" s="3">
        <v>0.43065198698403018</v>
      </c>
      <c r="R1412" s="3">
        <v>0.28401334305186698</v>
      </c>
      <c r="S1412" s="3">
        <v>0.18128364301810118</v>
      </c>
      <c r="T1412" s="3">
        <v>0</v>
      </c>
      <c r="U1412" s="3">
        <v>0.10405102694600174</v>
      </c>
      <c r="V1412" s="3"/>
      <c r="W1412" s="4"/>
    </row>
    <row r="1413" spans="1:23" ht="24.95" customHeight="1" x14ac:dyDescent="0.2">
      <c r="A1413" s="8">
        <v>44993</v>
      </c>
      <c r="B1413" s="7">
        <v>0.74375000000000002</v>
      </c>
      <c r="C1413" s="9" t="s">
        <v>379</v>
      </c>
      <c r="D1413" s="1" t="s">
        <v>368</v>
      </c>
      <c r="E1413" s="1" t="s">
        <v>363</v>
      </c>
      <c r="F1413" s="1" t="s">
        <v>638</v>
      </c>
      <c r="G1413" s="1" t="s">
        <v>371</v>
      </c>
      <c r="H1413" s="2">
        <v>25000</v>
      </c>
      <c r="I1413" s="16">
        <v>0.94989999999999997</v>
      </c>
      <c r="J1413" s="1" t="s">
        <v>381</v>
      </c>
      <c r="K1413" s="6">
        <f>Registro_Ordini[[#This Row],[Numero]]*Registro_Ordini[[#This Row],[Prezzo]]</f>
        <v>23747.5</v>
      </c>
      <c r="L1413" s="10">
        <v>1</v>
      </c>
      <c r="M1413" s="6">
        <f>Registro_Ordini[[#This Row],[Importo]]*Registro_Ordini[[#This Row],[Cambio]]</f>
        <v>23747.5</v>
      </c>
      <c r="N1413" s="1" t="str">
        <f ca="1">IFERROR(_xlfn.NUMBERVALUE(OFFSET(Origine,MATCH(Registro_Ordini[[#This Row],[Titolo]],Descrizioni,0),MATCH("Price",Intestazioni,0)-1,1,1)),"")</f>
        <v/>
      </c>
      <c r="O1413" s="18" t="str">
        <f ca="1">IF(OR(Registro_Ordini[[#This Row],[Price]]=0,Registro_Ordini[[#This Row],[Price]]=""),"",IF(Registro_Ordini[[#This Row],[Tipo]]="Sell",Registro_Ordini[[#This Row],[Prezzo]]/Registro_Ordini[[#This Row],[Price]]-1,Registro_Ordini[[#This Row],[Price]]/Registro_Ordini[[#This Row],[Prezzo]]-1))</f>
        <v/>
      </c>
      <c r="P1413" s="15">
        <v>4.7165864170736017E-2</v>
      </c>
      <c r="Q1413" s="3">
        <v>0.17235595120215519</v>
      </c>
      <c r="R1413" s="3">
        <v>0.33692523949354691</v>
      </c>
      <c r="S1413" s="3">
        <v>0.34829884910045245</v>
      </c>
      <c r="T1413" s="3">
        <v>0</v>
      </c>
      <c r="U1413" s="3">
        <v>0.14241996020384542</v>
      </c>
      <c r="V1413" s="3"/>
      <c r="W1413" s="4"/>
    </row>
    <row r="1414" spans="1:23" ht="24.95" customHeight="1" x14ac:dyDescent="0.2">
      <c r="A1414" s="8">
        <v>44993</v>
      </c>
      <c r="B1414" s="7">
        <v>0.74305555555555558</v>
      </c>
      <c r="C1414" s="9" t="s">
        <v>385</v>
      </c>
      <c r="D1414" s="1" t="s">
        <v>368</v>
      </c>
      <c r="E1414" s="1" t="s">
        <v>363</v>
      </c>
      <c r="F1414" s="1" t="s">
        <v>638</v>
      </c>
      <c r="G1414" s="1" t="s">
        <v>371</v>
      </c>
      <c r="H1414" s="2">
        <v>10000</v>
      </c>
      <c r="I1414" s="16">
        <v>0.94989999999999997</v>
      </c>
      <c r="J1414" s="1" t="s">
        <v>381</v>
      </c>
      <c r="K1414" s="6">
        <f>Registro_Ordini[[#This Row],[Numero]]*Registro_Ordini[[#This Row],[Prezzo]]</f>
        <v>9499</v>
      </c>
      <c r="L1414" s="10">
        <v>1</v>
      </c>
      <c r="M1414" s="6">
        <f>Registro_Ordini[[#This Row],[Importo]]*Registro_Ordini[[#This Row],[Cambio]]</f>
        <v>9499</v>
      </c>
      <c r="N1414" s="1" t="str">
        <f ca="1">IFERROR(_xlfn.NUMBERVALUE(OFFSET(Origine,MATCH(Registro_Ordini[[#This Row],[Titolo]],Descrizioni,0),MATCH("Price",Intestazioni,0)-1,1,1)),"")</f>
        <v/>
      </c>
      <c r="O1414" s="18" t="str">
        <f ca="1">IF(OR(Registro_Ordini[[#This Row],[Price]]=0,Registro_Ordini[[#This Row],[Price]]=""),"",IF(Registro_Ordini[[#This Row],[Tipo]]="Sell",Registro_Ordini[[#This Row],[Prezzo]]/Registro_Ordini[[#This Row],[Price]]-1,Registro_Ordini[[#This Row],[Price]]/Registro_Ordini[[#This Row],[Prezzo]]-1))</f>
        <v/>
      </c>
      <c r="P1414" s="15">
        <v>7.9152353504946621E-2</v>
      </c>
      <c r="Q1414" s="3">
        <v>0.92228032325871168</v>
      </c>
      <c r="R1414" s="3">
        <v>7.7719676741288324E-2</v>
      </c>
      <c r="S1414" s="3">
        <v>0</v>
      </c>
      <c r="T1414" s="3">
        <v>0</v>
      </c>
      <c r="U1414" s="3">
        <v>0</v>
      </c>
      <c r="V1414" s="3"/>
      <c r="W1414" s="4"/>
    </row>
    <row r="1415" spans="1:23" ht="24.95" customHeight="1" x14ac:dyDescent="0.2">
      <c r="A1415" s="8">
        <v>44993</v>
      </c>
      <c r="B1415" s="7">
        <v>0.74097222222222225</v>
      </c>
      <c r="C1415" s="9" t="s">
        <v>383</v>
      </c>
      <c r="D1415" s="1" t="s">
        <v>368</v>
      </c>
      <c r="E1415" s="1" t="s">
        <v>363</v>
      </c>
      <c r="F1415" s="1" t="s">
        <v>466</v>
      </c>
      <c r="G1415" s="1" t="s">
        <v>371</v>
      </c>
      <c r="H1415" s="2">
        <v>25000</v>
      </c>
      <c r="I1415" s="16">
        <v>0.93179999999999996</v>
      </c>
      <c r="J1415" s="1" t="s">
        <v>381</v>
      </c>
      <c r="K1415" s="6">
        <f>Registro_Ordini[[#This Row],[Numero]]*Registro_Ordini[[#This Row],[Prezzo]]</f>
        <v>23295</v>
      </c>
      <c r="L1415" s="10">
        <v>1</v>
      </c>
      <c r="M1415" s="6">
        <f>Registro_Ordini[[#This Row],[Importo]]*Registro_Ordini[[#This Row],[Cambio]]</f>
        <v>23295</v>
      </c>
      <c r="N1415" s="1" t="str">
        <f ca="1">IFERROR(_xlfn.NUMBERVALUE(OFFSET(Origine,MATCH(Registro_Ordini[[#This Row],[Titolo]],Descrizioni,0),MATCH("Price",Intestazioni,0)-1,1,1)),"")</f>
        <v/>
      </c>
      <c r="O1415" s="18" t="str">
        <f ca="1">IF(OR(Registro_Ordini[[#This Row],[Price]]=0,Registro_Ordini[[#This Row],[Price]]=""),"",IF(Registro_Ordini[[#This Row],[Tipo]]="Sell",Registro_Ordini[[#This Row],[Prezzo]]/Registro_Ordini[[#This Row],[Price]]-1,Registro_Ordini[[#This Row],[Price]]/Registro_Ordini[[#This Row],[Prezzo]]-1))</f>
        <v/>
      </c>
      <c r="P1415" s="15">
        <v>4.2921259038688979E-2</v>
      </c>
      <c r="Q1415" s="3">
        <v>0.26641289915160843</v>
      </c>
      <c r="R1415" s="3">
        <v>0.27979754052491146</v>
      </c>
      <c r="S1415" s="3">
        <v>0.32290270878372207</v>
      </c>
      <c r="T1415" s="3">
        <v>0</v>
      </c>
      <c r="U1415" s="3">
        <v>0.13088685153975815</v>
      </c>
      <c r="V1415" s="3"/>
      <c r="W1415" s="4"/>
    </row>
    <row r="1416" spans="1:23" ht="24.95" customHeight="1" x14ac:dyDescent="0.2">
      <c r="A1416" s="8">
        <v>44993</v>
      </c>
      <c r="B1416" s="7">
        <v>0.74097222222222225</v>
      </c>
      <c r="C1416" s="9" t="s">
        <v>382</v>
      </c>
      <c r="D1416" s="1" t="s">
        <v>368</v>
      </c>
      <c r="E1416" s="1" t="s">
        <v>363</v>
      </c>
      <c r="F1416" s="1" t="s">
        <v>466</v>
      </c>
      <c r="G1416" s="1" t="s">
        <v>371</v>
      </c>
      <c r="H1416" s="2">
        <v>40000</v>
      </c>
      <c r="I1416" s="16">
        <v>0.93179999999999996</v>
      </c>
      <c r="J1416" s="1" t="s">
        <v>381</v>
      </c>
      <c r="K1416" s="6">
        <f>Registro_Ordini[[#This Row],[Numero]]*Registro_Ordini[[#This Row],[Prezzo]]</f>
        <v>37272</v>
      </c>
      <c r="L1416" s="10">
        <v>1</v>
      </c>
      <c r="M1416" s="6">
        <f>Registro_Ordini[[#This Row],[Importo]]*Registro_Ordini[[#This Row],[Cambio]]</f>
        <v>37272</v>
      </c>
      <c r="N1416" s="1" t="str">
        <f ca="1">IFERROR(_xlfn.NUMBERVALUE(OFFSET(Origine,MATCH(Registro_Ordini[[#This Row],[Titolo]],Descrizioni,0),MATCH("Price",Intestazioni,0)-1,1,1)),"")</f>
        <v/>
      </c>
      <c r="O1416" s="18" t="str">
        <f ca="1">IF(OR(Registro_Ordini[[#This Row],[Price]]=0,Registro_Ordini[[#This Row],[Price]]=""),"",IF(Registro_Ordini[[#This Row],[Tipo]]="Sell",Registro_Ordini[[#This Row],[Prezzo]]/Registro_Ordini[[#This Row],[Price]]-1,Registro_Ordini[[#This Row],[Price]]/Registro_Ordini[[#This Row],[Prezzo]]-1))</f>
        <v/>
      </c>
      <c r="P1416" s="15">
        <v>3.943259029413667E-2</v>
      </c>
      <c r="Q1416" s="3">
        <v>0.19091110974824727</v>
      </c>
      <c r="R1416" s="3">
        <v>0.30554634619375126</v>
      </c>
      <c r="S1416" s="3">
        <v>0.36278800800862926</v>
      </c>
      <c r="T1416" s="3">
        <v>0</v>
      </c>
      <c r="U1416" s="3">
        <v>0.14075453604937224</v>
      </c>
      <c r="V1416" s="3"/>
      <c r="W1416" s="4"/>
    </row>
    <row r="1417" spans="1:23" ht="24.95" customHeight="1" x14ac:dyDescent="0.2">
      <c r="A1417" s="8">
        <v>44993</v>
      </c>
      <c r="B1417" s="7">
        <v>0.74097222222222225</v>
      </c>
      <c r="C1417" s="9" t="s">
        <v>106</v>
      </c>
      <c r="D1417" s="1" t="s">
        <v>368</v>
      </c>
      <c r="E1417" s="1" t="s">
        <v>363</v>
      </c>
      <c r="F1417" s="1" t="s">
        <v>466</v>
      </c>
      <c r="G1417" s="1" t="s">
        <v>371</v>
      </c>
      <c r="H1417" s="2">
        <v>5000</v>
      </c>
      <c r="I1417" s="16">
        <v>0.93179999999999996</v>
      </c>
      <c r="J1417" s="1" t="s">
        <v>381</v>
      </c>
      <c r="K1417" s="6">
        <f>Registro_Ordini[[#This Row],[Numero]]*Registro_Ordini[[#This Row],[Prezzo]]</f>
        <v>4659</v>
      </c>
      <c r="L1417" s="10">
        <v>1</v>
      </c>
      <c r="M1417" s="6">
        <f>Registro_Ordini[[#This Row],[Importo]]*Registro_Ordini[[#This Row],[Cambio]]</f>
        <v>4659</v>
      </c>
      <c r="N1417" s="1" t="str">
        <f ca="1">IFERROR(_xlfn.NUMBERVALUE(OFFSET(Origine,MATCH(Registro_Ordini[[#This Row],[Titolo]],Descrizioni,0),MATCH("Price",Intestazioni,0)-1,1,1)),"")</f>
        <v/>
      </c>
      <c r="O1417" s="18" t="str">
        <f ca="1">IF(OR(Registro_Ordini[[#This Row],[Price]]=0,Registro_Ordini[[#This Row],[Price]]=""),"",IF(Registro_Ordini[[#This Row],[Tipo]]="Sell",Registro_Ordini[[#This Row],[Prezzo]]/Registro_Ordini[[#This Row],[Price]]-1,Registro_Ordini[[#This Row],[Price]]/Registro_Ordini[[#This Row],[Prezzo]]-1))</f>
        <v/>
      </c>
      <c r="P1417" s="15">
        <v>3.876822989750784E-2</v>
      </c>
      <c r="Q1417" s="3">
        <v>0.4693400614029441</v>
      </c>
      <c r="R1417" s="3">
        <v>0.24531394784855692</v>
      </c>
      <c r="S1417" s="3">
        <v>0.1813380347056919</v>
      </c>
      <c r="T1417" s="3">
        <v>0</v>
      </c>
      <c r="U1417" s="3">
        <v>0.10400795604280716</v>
      </c>
      <c r="V1417" s="3"/>
      <c r="W1417" s="4"/>
    </row>
    <row r="1418" spans="1:23" ht="24.95" customHeight="1" x14ac:dyDescent="0.2">
      <c r="A1418" s="8">
        <v>44993</v>
      </c>
      <c r="B1418" s="7">
        <v>0.74097222222222225</v>
      </c>
      <c r="C1418" s="9" t="s">
        <v>385</v>
      </c>
      <c r="D1418" s="1" t="s">
        <v>368</v>
      </c>
      <c r="E1418" s="1" t="s">
        <v>363</v>
      </c>
      <c r="F1418" s="1" t="s">
        <v>466</v>
      </c>
      <c r="G1418" s="1" t="s">
        <v>371</v>
      </c>
      <c r="H1418" s="2">
        <v>10000</v>
      </c>
      <c r="I1418" s="16">
        <v>0.93179999999999996</v>
      </c>
      <c r="J1418" s="1" t="s">
        <v>381</v>
      </c>
      <c r="K1418" s="6">
        <f>Registro_Ordini[[#This Row],[Numero]]*Registro_Ordini[[#This Row],[Prezzo]]</f>
        <v>9318</v>
      </c>
      <c r="L1418" s="10">
        <v>1</v>
      </c>
      <c r="M1418" s="6">
        <f>Registro_Ordini[[#This Row],[Importo]]*Registro_Ordini[[#This Row],[Cambio]]</f>
        <v>9318</v>
      </c>
      <c r="N1418" s="1" t="str">
        <f ca="1">IFERROR(_xlfn.NUMBERVALUE(OFFSET(Origine,MATCH(Registro_Ordini[[#This Row],[Titolo]],Descrizioni,0),MATCH("Price",Intestazioni,0)-1,1,1)),"")</f>
        <v/>
      </c>
      <c r="O1418" s="18" t="str">
        <f ca="1">IF(OR(Registro_Ordini[[#This Row],[Price]]=0,Registro_Ordini[[#This Row],[Price]]=""),"",IF(Registro_Ordini[[#This Row],[Tipo]]="Sell",Registro_Ordini[[#This Row],[Prezzo]]/Registro_Ordini[[#This Row],[Price]]-1,Registro_Ordini[[#This Row],[Price]]/Registro_Ordini[[#This Row],[Prezzo]]-1))</f>
        <v/>
      </c>
      <c r="P1418" s="15">
        <v>7.7649999999999997E-2</v>
      </c>
      <c r="Q1418" s="3">
        <v>1</v>
      </c>
      <c r="R1418" s="3">
        <v>0</v>
      </c>
      <c r="S1418" s="3">
        <v>0</v>
      </c>
      <c r="T1418" s="3">
        <v>0</v>
      </c>
      <c r="U1418" s="3">
        <v>0</v>
      </c>
      <c r="V1418" s="3"/>
      <c r="W1418" s="4"/>
    </row>
    <row r="1419" spans="1:23" ht="24.95" customHeight="1" x14ac:dyDescent="0.2">
      <c r="A1419" s="8">
        <v>44993</v>
      </c>
      <c r="B1419" s="7">
        <v>0.74097222222222225</v>
      </c>
      <c r="C1419" s="9" t="s">
        <v>379</v>
      </c>
      <c r="D1419" s="1" t="s">
        <v>368</v>
      </c>
      <c r="E1419" s="1" t="s">
        <v>363</v>
      </c>
      <c r="F1419" s="1" t="s">
        <v>466</v>
      </c>
      <c r="G1419" s="1" t="s">
        <v>371</v>
      </c>
      <c r="H1419" s="2">
        <v>25000</v>
      </c>
      <c r="I1419" s="16">
        <v>0.93179999999999996</v>
      </c>
      <c r="J1419" s="1" t="s">
        <v>381</v>
      </c>
      <c r="K1419" s="6">
        <f>Registro_Ordini[[#This Row],[Numero]]*Registro_Ordini[[#This Row],[Prezzo]]</f>
        <v>23295</v>
      </c>
      <c r="L1419" s="10">
        <v>1</v>
      </c>
      <c r="M1419" s="6">
        <f>Registro_Ordini[[#This Row],[Importo]]*Registro_Ordini[[#This Row],[Cambio]]</f>
        <v>23295</v>
      </c>
      <c r="N1419" s="1" t="str">
        <f ca="1">IFERROR(_xlfn.NUMBERVALUE(OFFSET(Origine,MATCH(Registro_Ordini[[#This Row],[Titolo]],Descrizioni,0),MATCH("Price",Intestazioni,0)-1,1,1)),"")</f>
        <v/>
      </c>
      <c r="O1419" s="18" t="str">
        <f ca="1">IF(OR(Registro_Ordini[[#This Row],[Price]]=0,Registro_Ordini[[#This Row],[Price]]=""),"",IF(Registro_Ordini[[#This Row],[Tipo]]="Sell",Registro_Ordini[[#This Row],[Prezzo]]/Registro_Ordini[[#This Row],[Price]]-1,Registro_Ordini[[#This Row],[Price]]/Registro_Ordini[[#This Row],[Prezzo]]-1))</f>
        <v/>
      </c>
      <c r="P1419" s="15">
        <v>4.6251956247585317E-2</v>
      </c>
      <c r="Q1419" s="3">
        <v>0.21853534719211748</v>
      </c>
      <c r="R1419" s="3">
        <v>0.29067892660320183</v>
      </c>
      <c r="S1419" s="3">
        <v>0.34836412398290423</v>
      </c>
      <c r="T1419" s="3">
        <v>0</v>
      </c>
      <c r="U1419" s="3">
        <v>0.14242160222177655</v>
      </c>
      <c r="V1419" s="3"/>
      <c r="W1419" s="4"/>
    </row>
    <row r="1420" spans="1:23" ht="24.95" customHeight="1" x14ac:dyDescent="0.2">
      <c r="A1420" s="8">
        <v>44993</v>
      </c>
      <c r="B1420" s="7">
        <v>0.41180555555555554</v>
      </c>
      <c r="C1420" s="9" t="s">
        <v>639</v>
      </c>
      <c r="D1420" s="1" t="s">
        <v>368</v>
      </c>
      <c r="E1420" s="1" t="s">
        <v>363</v>
      </c>
      <c r="F1420" s="1" t="s">
        <v>392</v>
      </c>
      <c r="G1420" s="1" t="s">
        <v>365</v>
      </c>
      <c r="H1420" s="2">
        <v>-100</v>
      </c>
      <c r="I1420" s="16">
        <v>105.86</v>
      </c>
      <c r="J1420" s="1" t="s">
        <v>369</v>
      </c>
      <c r="K1420" s="6">
        <f>Registro_Ordini[[#This Row],[Numero]]*Registro_Ordini[[#This Row],[Prezzo]]</f>
        <v>-10586</v>
      </c>
      <c r="L1420" s="10">
        <v>1</v>
      </c>
      <c r="M1420" s="6">
        <f>Registro_Ordini[[#This Row],[Importo]]*Registro_Ordini[[#This Row],[Cambio]]</f>
        <v>-10586</v>
      </c>
      <c r="N1420" s="1">
        <f ca="1">IFERROR(_xlfn.NUMBERVALUE(OFFSET(Origine,MATCH(Registro_Ordini[[#This Row],[Titolo]],Descrizioni,0),MATCH("Price",Intestazioni,0)-1,1,1)),"")</f>
        <v>111.39</v>
      </c>
      <c r="O1420" s="18">
        <f ca="1">IF(OR(Registro_Ordini[[#This Row],[Price]]=0,Registro_Ordini[[#This Row],[Price]]=""),"",IF(Registro_Ordini[[#This Row],[Tipo]]="Sell",Registro_Ordini[[#This Row],[Prezzo]]/Registro_Ordini[[#This Row],[Price]]-1,Registro_Ordini[[#This Row],[Price]]/Registro_Ordini[[#This Row],[Prezzo]]-1))</f>
        <v>-4.9645390070921946E-2</v>
      </c>
      <c r="P1420" s="15">
        <v>-0.10819715144248131</v>
      </c>
      <c r="Q1420" s="3">
        <v>6.0989387103717901E-2</v>
      </c>
      <c r="R1420" s="3">
        <v>0.31254389220848128</v>
      </c>
      <c r="S1420" s="3">
        <v>0.42402430623143267</v>
      </c>
      <c r="T1420" s="3">
        <v>4.0091000050362077E-2</v>
      </c>
      <c r="U1420" s="3">
        <v>0.16235141440600606</v>
      </c>
      <c r="V1420" s="3"/>
      <c r="W1420" s="4" t="s">
        <v>640</v>
      </c>
    </row>
    <row r="1421" spans="1:23" ht="24.95" customHeight="1" x14ac:dyDescent="0.2">
      <c r="A1421" s="8">
        <v>44992</v>
      </c>
      <c r="B1421" s="7"/>
      <c r="C1421" s="9" t="s">
        <v>90</v>
      </c>
      <c r="D1421" s="1" t="s">
        <v>368</v>
      </c>
      <c r="E1421" s="1" t="s">
        <v>363</v>
      </c>
      <c r="F1421" s="1" t="s">
        <v>533</v>
      </c>
      <c r="G1421" s="1" t="s">
        <v>371</v>
      </c>
      <c r="H1421" s="2">
        <v>20000</v>
      </c>
      <c r="I1421" s="16">
        <v>0.94499999999999995</v>
      </c>
      <c r="J1421" s="1" t="s">
        <v>369</v>
      </c>
      <c r="K1421" s="6">
        <f>Registro_Ordini[[#This Row],[Numero]]*Registro_Ordini[[#This Row],[Prezzo]]</f>
        <v>18900</v>
      </c>
      <c r="L1421" s="10">
        <v>1</v>
      </c>
      <c r="M1421" s="6">
        <f>Registro_Ordini[[#This Row],[Importo]]*Registro_Ordini[[#This Row],[Cambio]]</f>
        <v>18900</v>
      </c>
      <c r="N1421" s="1" t="str">
        <f ca="1">IFERROR(_xlfn.NUMBERVALUE(OFFSET(Origine,MATCH(Registro_Ordini[[#This Row],[Titolo]],Descrizioni,0),MATCH("Price",Intestazioni,0)-1,1,1)),"")</f>
        <v/>
      </c>
      <c r="O1421" s="18" t="str">
        <f ca="1">IF(OR(Registro_Ordini[[#This Row],[Price]]=0,Registro_Ordini[[#This Row],[Price]]=""),"",IF(Registro_Ordini[[#This Row],[Tipo]]="Sell",Registro_Ordini[[#This Row],[Prezzo]]/Registro_Ordini[[#This Row],[Price]]-1,Registro_Ordini[[#This Row],[Price]]/Registro_Ordini[[#This Row],[Prezzo]]-1))</f>
        <v/>
      </c>
      <c r="P1421" s="15">
        <v>3.5827718516169421E-2</v>
      </c>
      <c r="Q1421" s="3">
        <v>0.12088682229150642</v>
      </c>
      <c r="R1421" s="3">
        <v>0.37269049538205073</v>
      </c>
      <c r="S1421" s="3">
        <v>0.35783501872617074</v>
      </c>
      <c r="T1421" s="3">
        <v>1.929578554370839E-2</v>
      </c>
      <c r="U1421" s="3">
        <v>0.1292918780565637</v>
      </c>
      <c r="V1421" s="3"/>
      <c r="W1421" s="4"/>
    </row>
    <row r="1422" spans="1:23" ht="24.95" customHeight="1" x14ac:dyDescent="0.2">
      <c r="A1422" s="8">
        <v>44992</v>
      </c>
      <c r="B1422" s="7"/>
      <c r="C1422" s="9" t="s">
        <v>375</v>
      </c>
      <c r="D1422" s="1" t="s">
        <v>368</v>
      </c>
      <c r="E1422" s="1" t="s">
        <v>363</v>
      </c>
      <c r="F1422" s="1" t="s">
        <v>533</v>
      </c>
      <c r="G1422" s="1" t="s">
        <v>371</v>
      </c>
      <c r="H1422" s="2">
        <v>30000</v>
      </c>
      <c r="I1422" s="16">
        <v>0.94499999999999995</v>
      </c>
      <c r="J1422" s="1" t="s">
        <v>369</v>
      </c>
      <c r="K1422" s="6">
        <f>Registro_Ordini[[#This Row],[Numero]]*Registro_Ordini[[#This Row],[Prezzo]]</f>
        <v>28350</v>
      </c>
      <c r="L1422" s="10">
        <v>1</v>
      </c>
      <c r="M1422" s="6">
        <f>Registro_Ordini[[#This Row],[Importo]]*Registro_Ordini[[#This Row],[Cambio]]</f>
        <v>28350</v>
      </c>
      <c r="N1422" s="1" t="str">
        <f ca="1">IFERROR(_xlfn.NUMBERVALUE(OFFSET(Origine,MATCH(Registro_Ordini[[#This Row],[Titolo]],Descrizioni,0),MATCH("Price",Intestazioni,0)-1,1,1)),"")</f>
        <v/>
      </c>
      <c r="O1422" s="18" t="str">
        <f ca="1">IF(OR(Registro_Ordini[[#This Row],[Price]]=0,Registro_Ordini[[#This Row],[Price]]=""),"",IF(Registro_Ordini[[#This Row],[Tipo]]="Sell",Registro_Ordini[[#This Row],[Prezzo]]/Registro_Ordini[[#This Row],[Price]]-1,Registro_Ordini[[#This Row],[Price]]/Registro_Ordini[[#This Row],[Prezzo]]-1))</f>
        <v/>
      </c>
      <c r="P1422" s="15">
        <v>3.8297229929053211E-2</v>
      </c>
      <c r="Q1422" s="3">
        <v>0.21904508667572312</v>
      </c>
      <c r="R1422" s="3">
        <v>0.37217051534739976</v>
      </c>
      <c r="S1422" s="3">
        <v>0.29197454123165661</v>
      </c>
      <c r="T1422" s="3">
        <v>0</v>
      </c>
      <c r="U1422" s="3">
        <v>0.11680985674522035</v>
      </c>
      <c r="V1422" s="3"/>
      <c r="W1422" s="4"/>
    </row>
    <row r="1423" spans="1:23" ht="24.95" customHeight="1" x14ac:dyDescent="0.2">
      <c r="A1423" s="8">
        <v>44992</v>
      </c>
      <c r="B1423" s="7"/>
      <c r="C1423" s="9" t="s">
        <v>378</v>
      </c>
      <c r="D1423" s="1" t="s">
        <v>368</v>
      </c>
      <c r="E1423" s="1" t="s">
        <v>363</v>
      </c>
      <c r="F1423" s="1" t="s">
        <v>533</v>
      </c>
      <c r="G1423" s="1" t="s">
        <v>371</v>
      </c>
      <c r="H1423" s="2">
        <v>15000</v>
      </c>
      <c r="I1423" s="16">
        <v>0.94499999999999995</v>
      </c>
      <c r="J1423" s="1" t="s">
        <v>369</v>
      </c>
      <c r="K1423" s="6">
        <f>Registro_Ordini[[#This Row],[Numero]]*Registro_Ordini[[#This Row],[Prezzo]]</f>
        <v>14175</v>
      </c>
      <c r="L1423" s="10">
        <v>1</v>
      </c>
      <c r="M1423" s="6">
        <f>Registro_Ordini[[#This Row],[Importo]]*Registro_Ordini[[#This Row],[Cambio]]</f>
        <v>14175</v>
      </c>
      <c r="N1423" s="1" t="str">
        <f ca="1">IFERROR(_xlfn.NUMBERVALUE(OFFSET(Origine,MATCH(Registro_Ordini[[#This Row],[Titolo]],Descrizioni,0),MATCH("Price",Intestazioni,0)-1,1,1)),"")</f>
        <v/>
      </c>
      <c r="O1423" s="18" t="str">
        <f ca="1">IF(OR(Registro_Ordini[[#This Row],[Price]]=0,Registro_Ordini[[#This Row],[Price]]=""),"",IF(Registro_Ordini[[#This Row],[Tipo]]="Sell",Registro_Ordini[[#This Row],[Prezzo]]/Registro_Ordini[[#This Row],[Price]]-1,Registro_Ordini[[#This Row],[Price]]/Registro_Ordini[[#This Row],[Prezzo]]-1))</f>
        <v/>
      </c>
      <c r="P1423" s="15">
        <v>3.4302941330163782E-2</v>
      </c>
      <c r="Q1423" s="3">
        <v>0.16557532778752601</v>
      </c>
      <c r="R1423" s="3">
        <v>0.37139733391884838</v>
      </c>
      <c r="S1423" s="3">
        <v>0.32532038731321922</v>
      </c>
      <c r="T1423" s="3">
        <v>1.8000876831352618E-2</v>
      </c>
      <c r="U1423" s="3">
        <v>0.11970607414905372</v>
      </c>
      <c r="V1423" s="3"/>
      <c r="W1423" s="4"/>
    </row>
    <row r="1424" spans="1:23" ht="24.95" customHeight="1" x14ac:dyDescent="0.2">
      <c r="A1424" s="8">
        <v>44992</v>
      </c>
      <c r="B1424" s="7"/>
      <c r="C1424" s="9" t="s">
        <v>594</v>
      </c>
      <c r="D1424" s="1" t="s">
        <v>368</v>
      </c>
      <c r="E1424" s="1" t="s">
        <v>363</v>
      </c>
      <c r="F1424" s="1" t="s">
        <v>533</v>
      </c>
      <c r="G1424" s="1" t="s">
        <v>371</v>
      </c>
      <c r="H1424" s="2">
        <v>25000</v>
      </c>
      <c r="I1424" s="16">
        <v>0.94499999999999995</v>
      </c>
      <c r="J1424" s="1" t="s">
        <v>369</v>
      </c>
      <c r="K1424" s="6">
        <f>Registro_Ordini[[#This Row],[Numero]]*Registro_Ordini[[#This Row],[Prezzo]]</f>
        <v>23625</v>
      </c>
      <c r="L1424" s="10">
        <v>1</v>
      </c>
      <c r="M1424" s="6">
        <f>Registro_Ordini[[#This Row],[Importo]]*Registro_Ordini[[#This Row],[Cambio]]</f>
        <v>23625</v>
      </c>
      <c r="N1424" s="1" t="str">
        <f ca="1">IFERROR(_xlfn.NUMBERVALUE(OFFSET(Origine,MATCH(Registro_Ordini[[#This Row],[Titolo]],Descrizioni,0),MATCH("Price",Intestazioni,0)-1,1,1)),"")</f>
        <v/>
      </c>
      <c r="O1424" s="18" t="str">
        <f ca="1">IF(OR(Registro_Ordini[[#This Row],[Price]]=0,Registro_Ordini[[#This Row],[Price]]=""),"",IF(Registro_Ordini[[#This Row],[Tipo]]="Sell",Registro_Ordini[[#This Row],[Prezzo]]/Registro_Ordini[[#This Row],[Price]]-1,Registro_Ordini[[#This Row],[Price]]/Registro_Ordini[[#This Row],[Prezzo]]-1))</f>
        <v/>
      </c>
      <c r="P1424" s="15">
        <v>3.9977158597760049E-2</v>
      </c>
      <c r="Q1424" s="3">
        <v>0.16207710465392181</v>
      </c>
      <c r="R1424" s="3">
        <v>0.36475365576399787</v>
      </c>
      <c r="S1424" s="3">
        <v>0.36132338778380491</v>
      </c>
      <c r="T1424" s="3">
        <v>2.119931610212647E-2</v>
      </c>
      <c r="U1424" s="3">
        <v>9.0646535696148833E-2</v>
      </c>
      <c r="V1424" s="3"/>
      <c r="W1424" s="4"/>
    </row>
    <row r="1425" spans="1:23" ht="24.95" customHeight="1" x14ac:dyDescent="0.2">
      <c r="A1425" s="8">
        <v>44992</v>
      </c>
      <c r="B1425" s="7"/>
      <c r="C1425" s="9" t="s">
        <v>377</v>
      </c>
      <c r="D1425" s="1" t="s">
        <v>368</v>
      </c>
      <c r="E1425" s="1" t="s">
        <v>363</v>
      </c>
      <c r="F1425" s="1" t="s">
        <v>533</v>
      </c>
      <c r="G1425" s="1" t="s">
        <v>371</v>
      </c>
      <c r="H1425" s="2">
        <v>60000</v>
      </c>
      <c r="I1425" s="16">
        <v>0.94499999999999995</v>
      </c>
      <c r="J1425" s="1" t="s">
        <v>369</v>
      </c>
      <c r="K1425" s="6">
        <f>Registro_Ordini[[#This Row],[Numero]]*Registro_Ordini[[#This Row],[Prezzo]]</f>
        <v>56700</v>
      </c>
      <c r="L1425" s="10">
        <v>1</v>
      </c>
      <c r="M1425" s="6">
        <f>Registro_Ordini[[#This Row],[Importo]]*Registro_Ordini[[#This Row],[Cambio]]</f>
        <v>56700</v>
      </c>
      <c r="N1425" s="1" t="str">
        <f ca="1">IFERROR(_xlfn.NUMBERVALUE(OFFSET(Origine,MATCH(Registro_Ordini[[#This Row],[Titolo]],Descrizioni,0),MATCH("Price",Intestazioni,0)-1,1,1)),"")</f>
        <v/>
      </c>
      <c r="O1425" s="18" t="str">
        <f ca="1">IF(OR(Registro_Ordini[[#This Row],[Price]]=0,Registro_Ordini[[#This Row],[Price]]=""),"",IF(Registro_Ordini[[#This Row],[Tipo]]="Sell",Registro_Ordini[[#This Row],[Prezzo]]/Registro_Ordini[[#This Row],[Price]]-1,Registro_Ordini[[#This Row],[Price]]/Registro_Ordini[[#This Row],[Prezzo]]-1))</f>
        <v/>
      </c>
      <c r="P1425" s="15">
        <v>4.1757212264192337E-2</v>
      </c>
      <c r="Q1425" s="3">
        <v>0.17847478191496979</v>
      </c>
      <c r="R1425" s="3">
        <v>0.35580058414537374</v>
      </c>
      <c r="S1425" s="3">
        <v>0.3783540159542752</v>
      </c>
      <c r="T1425" s="3">
        <v>2.018265259435963E-2</v>
      </c>
      <c r="U1425" s="3">
        <v>6.7187965391021703E-2</v>
      </c>
      <c r="V1425" s="3"/>
      <c r="W1425" s="4"/>
    </row>
    <row r="1426" spans="1:23" ht="24.95" customHeight="1" x14ac:dyDescent="0.2">
      <c r="A1426" s="8">
        <v>44992</v>
      </c>
      <c r="B1426" s="7"/>
      <c r="C1426" s="9" t="s">
        <v>376</v>
      </c>
      <c r="D1426" s="1" t="s">
        <v>368</v>
      </c>
      <c r="E1426" s="1" t="s">
        <v>363</v>
      </c>
      <c r="F1426" s="1" t="s">
        <v>533</v>
      </c>
      <c r="G1426" s="1" t="s">
        <v>371</v>
      </c>
      <c r="H1426" s="2">
        <v>15000</v>
      </c>
      <c r="I1426" s="16">
        <v>0.94499999999999995</v>
      </c>
      <c r="J1426" s="1" t="s">
        <v>369</v>
      </c>
      <c r="K1426" s="6">
        <f>Registro_Ordini[[#This Row],[Numero]]*Registro_Ordini[[#This Row],[Prezzo]]</f>
        <v>14175</v>
      </c>
      <c r="L1426" s="10">
        <v>1</v>
      </c>
      <c r="M1426" s="6">
        <f>Registro_Ordini[[#This Row],[Importo]]*Registro_Ordini[[#This Row],[Cambio]]</f>
        <v>14175</v>
      </c>
      <c r="N1426" s="1" t="str">
        <f ca="1">IFERROR(_xlfn.NUMBERVALUE(OFFSET(Origine,MATCH(Registro_Ordini[[#This Row],[Titolo]],Descrizioni,0),MATCH("Price",Intestazioni,0)-1,1,1)),"")</f>
        <v/>
      </c>
      <c r="O1426" s="18" t="str">
        <f ca="1">IF(OR(Registro_Ordini[[#This Row],[Price]]=0,Registro_Ordini[[#This Row],[Price]]=""),"",IF(Registro_Ordini[[#This Row],[Tipo]]="Sell",Registro_Ordini[[#This Row],[Prezzo]]/Registro_Ordini[[#This Row],[Price]]-1,Registro_Ordini[[#This Row],[Price]]/Registro_Ordini[[#This Row],[Prezzo]]-1))</f>
        <v/>
      </c>
      <c r="P1426" s="15">
        <v>5.2072861206651409E-2</v>
      </c>
      <c r="Q1426" s="3">
        <v>0.14908843360872182</v>
      </c>
      <c r="R1426" s="3">
        <v>0.33608438951021241</v>
      </c>
      <c r="S1426" s="3">
        <v>0.36678703963218712</v>
      </c>
      <c r="T1426" s="3">
        <v>0</v>
      </c>
      <c r="U1426" s="3">
        <v>0.1480401372488786</v>
      </c>
      <c r="V1426" s="3"/>
      <c r="W1426" s="4"/>
    </row>
    <row r="1427" spans="1:23" ht="24.95" customHeight="1" x14ac:dyDescent="0.2">
      <c r="A1427" s="8">
        <v>44991</v>
      </c>
      <c r="B1427" s="7">
        <v>0.66249999999999998</v>
      </c>
      <c r="C1427" s="9" t="s">
        <v>606</v>
      </c>
      <c r="D1427" s="1" t="s">
        <v>368</v>
      </c>
      <c r="E1427" s="1" t="s">
        <v>363</v>
      </c>
      <c r="F1427" s="1" t="s">
        <v>641</v>
      </c>
      <c r="G1427" s="1" t="s">
        <v>365</v>
      </c>
      <c r="H1427" s="2">
        <v>-1050</v>
      </c>
      <c r="I1427" s="16">
        <v>97.39</v>
      </c>
      <c r="J1427" s="1" t="s">
        <v>369</v>
      </c>
      <c r="K1427" s="6">
        <f>Registro_Ordini[[#This Row],[Numero]]*Registro_Ordini[[#This Row],[Prezzo]]</f>
        <v>-102259.5</v>
      </c>
      <c r="L1427" s="10">
        <v>1</v>
      </c>
      <c r="M1427" s="6">
        <f>Registro_Ordini[[#This Row],[Importo]]*Registro_Ordini[[#This Row],[Cambio]]</f>
        <v>-102259.5</v>
      </c>
      <c r="N1427" s="1" t="str">
        <f ca="1">IFERROR(_xlfn.NUMBERVALUE(OFFSET(Origine,MATCH(Registro_Ordini[[#This Row],[Titolo]],Descrizioni,0),MATCH("Price",Intestazioni,0)-1,1,1)),"")</f>
        <v/>
      </c>
      <c r="O1427" s="18" t="str">
        <f ca="1">IF(OR(Registro_Ordini[[#This Row],[Price]]=0,Registro_Ordini[[#This Row],[Price]]=""),"",IF(Registro_Ordini[[#This Row],[Tipo]]="Sell",Registro_Ordini[[#This Row],[Prezzo]]/Registro_Ordini[[#This Row],[Price]]-1,Registro_Ordini[[#This Row],[Price]]/Registro_Ordini[[#This Row],[Prezzo]]-1))</f>
        <v/>
      </c>
      <c r="P1427" s="15">
        <v>-8.8429585619344178E-2</v>
      </c>
      <c r="Q1427" s="3">
        <v>6.023323401671251E-2</v>
      </c>
      <c r="R1427" s="3">
        <v>0.47968834244256808</v>
      </c>
      <c r="S1427" s="3">
        <v>0.36427915234772157</v>
      </c>
      <c r="T1427" s="3">
        <v>2.3428051018218234E-2</v>
      </c>
      <c r="U1427" s="3">
        <v>7.2371220174779718E-2</v>
      </c>
      <c r="V1427" s="3"/>
      <c r="W1427" s="4"/>
    </row>
    <row r="1428" spans="1:23" ht="24.95" customHeight="1" x14ac:dyDescent="0.2">
      <c r="A1428" s="8">
        <v>44991</v>
      </c>
      <c r="B1428" s="7">
        <v>0.65555555555555556</v>
      </c>
      <c r="C1428" s="9" t="s">
        <v>375</v>
      </c>
      <c r="D1428" s="1" t="s">
        <v>368</v>
      </c>
      <c r="E1428" s="1" t="s">
        <v>363</v>
      </c>
      <c r="F1428" s="1" t="s">
        <v>598</v>
      </c>
      <c r="G1428" s="1" t="s">
        <v>371</v>
      </c>
      <c r="H1428" s="2">
        <v>35000</v>
      </c>
      <c r="I1428" s="16">
        <v>0.94599999999999995</v>
      </c>
      <c r="J1428" s="1" t="s">
        <v>369</v>
      </c>
      <c r="K1428" s="6">
        <f>Registro_Ordini[[#This Row],[Numero]]*Registro_Ordini[[#This Row],[Prezzo]]</f>
        <v>33110</v>
      </c>
      <c r="L1428" s="10">
        <v>1</v>
      </c>
      <c r="M1428" s="6">
        <f>Registro_Ordini[[#This Row],[Importo]]*Registro_Ordini[[#This Row],[Cambio]]</f>
        <v>33110</v>
      </c>
      <c r="N1428" s="1" t="str">
        <f ca="1">IFERROR(_xlfn.NUMBERVALUE(OFFSET(Origine,MATCH(Registro_Ordini[[#This Row],[Titolo]],Descrizioni,0),MATCH("Price",Intestazioni,0)-1,1,1)),"")</f>
        <v/>
      </c>
      <c r="O1428" s="18" t="str">
        <f ca="1">IF(OR(Registro_Ordini[[#This Row],[Price]]=0,Registro_Ordini[[#This Row],[Price]]=""),"",IF(Registro_Ordini[[#This Row],[Tipo]]="Sell",Registro_Ordini[[#This Row],[Prezzo]]/Registro_Ordini[[#This Row],[Price]]-1,Registro_Ordini[[#This Row],[Price]]/Registro_Ordini[[#This Row],[Prezzo]]-1))</f>
        <v/>
      </c>
      <c r="P1428" s="15">
        <v>4.4426899423347731E-2</v>
      </c>
      <c r="Q1428" s="3">
        <v>0.26278770495431664</v>
      </c>
      <c r="R1428" s="3">
        <v>0.32703809405093676</v>
      </c>
      <c r="S1428" s="3">
        <v>0.29243917844150707</v>
      </c>
      <c r="T1428" s="3">
        <v>0</v>
      </c>
      <c r="U1428" s="3">
        <v>0.11773502255323959</v>
      </c>
      <c r="V1428" s="3"/>
      <c r="W1428" s="4"/>
    </row>
    <row r="1429" spans="1:23" ht="24.95" customHeight="1" x14ac:dyDescent="0.2">
      <c r="A1429" s="8">
        <v>44991</v>
      </c>
      <c r="B1429" s="7">
        <v>0.65555555555555556</v>
      </c>
      <c r="C1429" s="9" t="s">
        <v>376</v>
      </c>
      <c r="D1429" s="1" t="s">
        <v>368</v>
      </c>
      <c r="E1429" s="1" t="s">
        <v>363</v>
      </c>
      <c r="F1429" s="1" t="s">
        <v>598</v>
      </c>
      <c r="G1429" s="1" t="s">
        <v>371</v>
      </c>
      <c r="H1429" s="2">
        <v>10000</v>
      </c>
      <c r="I1429" s="16">
        <v>0.94599999999999995</v>
      </c>
      <c r="J1429" s="1" t="s">
        <v>369</v>
      </c>
      <c r="K1429" s="6">
        <f>Registro_Ordini[[#This Row],[Numero]]*Registro_Ordini[[#This Row],[Prezzo]]</f>
        <v>9460</v>
      </c>
      <c r="L1429" s="10">
        <v>1</v>
      </c>
      <c r="M1429" s="6">
        <f>Registro_Ordini[[#This Row],[Importo]]*Registro_Ordini[[#This Row],[Cambio]]</f>
        <v>9460</v>
      </c>
      <c r="N1429" s="1" t="str">
        <f ca="1">IFERROR(_xlfn.NUMBERVALUE(OFFSET(Origine,MATCH(Registro_Ordini[[#This Row],[Titolo]],Descrizioni,0),MATCH("Price",Intestazioni,0)-1,1,1)),"")</f>
        <v/>
      </c>
      <c r="O1429" s="18" t="str">
        <f ca="1">IF(OR(Registro_Ordini[[#This Row],[Price]]=0,Registro_Ordini[[#This Row],[Price]]=""),"",IF(Registro_Ordini[[#This Row],[Tipo]]="Sell",Registro_Ordini[[#This Row],[Prezzo]]/Registro_Ordini[[#This Row],[Price]]-1,Registro_Ordini[[#This Row],[Price]]/Registro_Ordini[[#This Row],[Prezzo]]-1))</f>
        <v/>
      </c>
      <c r="P1429" s="15">
        <v>3.4573431240306311E-2</v>
      </c>
      <c r="Q1429" s="3">
        <v>0.18357771698476763</v>
      </c>
      <c r="R1429" s="3">
        <v>0.30140478899782386</v>
      </c>
      <c r="S1429" s="3">
        <v>0.36584567933560225</v>
      </c>
      <c r="T1429" s="3">
        <v>0</v>
      </c>
      <c r="U1429" s="3">
        <v>0.14917181468180629</v>
      </c>
      <c r="V1429" s="3"/>
      <c r="W1429" s="4"/>
    </row>
    <row r="1430" spans="1:23" ht="24.95" customHeight="1" x14ac:dyDescent="0.2">
      <c r="A1430" s="8">
        <v>44991</v>
      </c>
      <c r="B1430" s="7">
        <v>0.65486111111111112</v>
      </c>
      <c r="C1430" s="9" t="s">
        <v>90</v>
      </c>
      <c r="D1430" s="1" t="s">
        <v>368</v>
      </c>
      <c r="E1430" s="1" t="s">
        <v>363</v>
      </c>
      <c r="F1430" s="1" t="s">
        <v>598</v>
      </c>
      <c r="G1430" s="1" t="s">
        <v>371</v>
      </c>
      <c r="H1430" s="2">
        <v>25000</v>
      </c>
      <c r="I1430" s="16">
        <v>0.94599999999999995</v>
      </c>
      <c r="J1430" s="1" t="s">
        <v>369</v>
      </c>
      <c r="K1430" s="6">
        <f>Registro_Ordini[[#This Row],[Numero]]*Registro_Ordini[[#This Row],[Prezzo]]</f>
        <v>23650</v>
      </c>
      <c r="L1430" s="10">
        <v>1</v>
      </c>
      <c r="M1430" s="6">
        <f>Registro_Ordini[[#This Row],[Importo]]*Registro_Ordini[[#This Row],[Cambio]]</f>
        <v>23650</v>
      </c>
      <c r="N1430" s="1" t="str">
        <f ca="1">IFERROR(_xlfn.NUMBERVALUE(OFFSET(Origine,MATCH(Registro_Ordini[[#This Row],[Titolo]],Descrizioni,0),MATCH("Price",Intestazioni,0)-1,1,1)),"")</f>
        <v/>
      </c>
      <c r="O1430" s="18" t="str">
        <f ca="1">IF(OR(Registro_Ordini[[#This Row],[Price]]=0,Registro_Ordini[[#This Row],[Price]]=""),"",IF(Registro_Ordini[[#This Row],[Tipo]]="Sell",Registro_Ordini[[#This Row],[Prezzo]]/Registro_Ordini[[#This Row],[Price]]-1,Registro_Ordini[[#This Row],[Price]]/Registro_Ordini[[#This Row],[Prezzo]]-1))</f>
        <v/>
      </c>
      <c r="P1430" s="15">
        <v>4.4827406393096084E-2</v>
      </c>
      <c r="Q1430" s="3">
        <v>0.16592809658020657</v>
      </c>
      <c r="R1430" s="3">
        <v>0.32963808826416274</v>
      </c>
      <c r="S1430" s="3">
        <v>0.3541796062331149</v>
      </c>
      <c r="T1430" s="3">
        <v>1.9218064914920202E-2</v>
      </c>
      <c r="U1430" s="3">
        <v>0.13103614400759567</v>
      </c>
      <c r="V1430" s="3"/>
      <c r="W1430" s="4"/>
    </row>
    <row r="1431" spans="1:23" ht="24.95" customHeight="1" x14ac:dyDescent="0.2">
      <c r="A1431" s="8">
        <v>44991</v>
      </c>
      <c r="B1431" s="7">
        <v>0.65486111111111112</v>
      </c>
      <c r="C1431" s="9" t="s">
        <v>378</v>
      </c>
      <c r="D1431" s="1" t="s">
        <v>368</v>
      </c>
      <c r="E1431" s="1" t="s">
        <v>363</v>
      </c>
      <c r="F1431" s="1" t="s">
        <v>598</v>
      </c>
      <c r="G1431" s="1" t="s">
        <v>371</v>
      </c>
      <c r="H1431" s="2">
        <v>20000</v>
      </c>
      <c r="I1431" s="16">
        <v>0.94599999999999995</v>
      </c>
      <c r="J1431" s="1" t="s">
        <v>369</v>
      </c>
      <c r="K1431" s="6">
        <f>Registro_Ordini[[#This Row],[Numero]]*Registro_Ordini[[#This Row],[Prezzo]]</f>
        <v>18920</v>
      </c>
      <c r="L1431" s="10">
        <v>1</v>
      </c>
      <c r="M1431" s="6">
        <f>Registro_Ordini[[#This Row],[Importo]]*Registro_Ordini[[#This Row],[Cambio]]</f>
        <v>18920</v>
      </c>
      <c r="N1431" s="1" t="str">
        <f ca="1">IFERROR(_xlfn.NUMBERVALUE(OFFSET(Origine,MATCH(Registro_Ordini[[#This Row],[Titolo]],Descrizioni,0),MATCH("Price",Intestazioni,0)-1,1,1)),"")</f>
        <v/>
      </c>
      <c r="O1431" s="18" t="str">
        <f ca="1">IF(OR(Registro_Ordini[[#This Row],[Price]]=0,Registro_Ordini[[#This Row],[Price]]=""),"",IF(Registro_Ordini[[#This Row],[Tipo]]="Sell",Registro_Ordini[[#This Row],[Prezzo]]/Registro_Ordini[[#This Row],[Price]]-1,Registro_Ordini[[#This Row],[Price]]/Registro_Ordini[[#This Row],[Prezzo]]-1))</f>
        <v/>
      </c>
      <c r="P1431" s="15">
        <v>4.5650740196694309E-2</v>
      </c>
      <c r="Q1431" s="3">
        <v>0.2115105686900553</v>
      </c>
      <c r="R1431" s="3">
        <v>0.32646405863991723</v>
      </c>
      <c r="S1431" s="3">
        <v>0.3233282830458436</v>
      </c>
      <c r="T1431" s="3">
        <v>1.7877390777330311E-2</v>
      </c>
      <c r="U1431" s="3">
        <v>0.12081969884685365</v>
      </c>
      <c r="V1431" s="3"/>
      <c r="W1431" s="4"/>
    </row>
    <row r="1432" spans="1:23" ht="24.95" customHeight="1" x14ac:dyDescent="0.2">
      <c r="A1432" s="8">
        <v>44991</v>
      </c>
      <c r="B1432" s="7">
        <v>0.65486111111111112</v>
      </c>
      <c r="C1432" s="9" t="s">
        <v>594</v>
      </c>
      <c r="D1432" s="1" t="s">
        <v>368</v>
      </c>
      <c r="E1432" s="1" t="s">
        <v>363</v>
      </c>
      <c r="F1432" s="1" t="s">
        <v>598</v>
      </c>
      <c r="G1432" s="1" t="s">
        <v>371</v>
      </c>
      <c r="H1432" s="2">
        <v>25000</v>
      </c>
      <c r="I1432" s="16">
        <v>0.94599999999999995</v>
      </c>
      <c r="J1432" s="1" t="s">
        <v>369</v>
      </c>
      <c r="K1432" s="6">
        <f>Registro_Ordini[[#This Row],[Numero]]*Registro_Ordini[[#This Row],[Prezzo]]</f>
        <v>23650</v>
      </c>
      <c r="L1432" s="10">
        <v>1</v>
      </c>
      <c r="M1432" s="6">
        <f>Registro_Ordini[[#This Row],[Importo]]*Registro_Ordini[[#This Row],[Cambio]]</f>
        <v>23650</v>
      </c>
      <c r="N1432" s="1" t="str">
        <f ca="1">IFERROR(_xlfn.NUMBERVALUE(OFFSET(Origine,MATCH(Registro_Ordini[[#This Row],[Titolo]],Descrizioni,0),MATCH("Price",Intestazioni,0)-1,1,1)),"")</f>
        <v/>
      </c>
      <c r="O1432" s="18" t="str">
        <f ca="1">IF(OR(Registro_Ordini[[#This Row],[Price]]=0,Registro_Ordini[[#This Row],[Price]]=""),"",IF(Registro_Ordini[[#This Row],[Tipo]]="Sell",Registro_Ordini[[#This Row],[Prezzo]]/Registro_Ordini[[#This Row],[Price]]-1,Registro_Ordini[[#This Row],[Price]]/Registro_Ordini[[#This Row],[Prezzo]]-1))</f>
        <v/>
      </c>
      <c r="P1432" s="15">
        <v>3.9957986260851758E-2</v>
      </c>
      <c r="Q1432" s="3">
        <v>0.20255181243053988</v>
      </c>
      <c r="R1432" s="3">
        <v>0.3259974335688407</v>
      </c>
      <c r="S1432" s="3">
        <v>0.35902099982303548</v>
      </c>
      <c r="T1432" s="3">
        <v>2.1083672776058528E-2</v>
      </c>
      <c r="U1432" s="3">
        <v>9.1346081401525489E-2</v>
      </c>
      <c r="V1432" s="3"/>
      <c r="W1432" s="4"/>
    </row>
    <row r="1433" spans="1:23" ht="24.95" customHeight="1" x14ac:dyDescent="0.2">
      <c r="A1433" s="8">
        <v>44991</v>
      </c>
      <c r="B1433" s="7">
        <v>0.65486111111111112</v>
      </c>
      <c r="C1433" s="9" t="s">
        <v>377</v>
      </c>
      <c r="D1433" s="1" t="s">
        <v>368</v>
      </c>
      <c r="E1433" s="1" t="s">
        <v>363</v>
      </c>
      <c r="F1433" s="1" t="s">
        <v>598</v>
      </c>
      <c r="G1433" s="1" t="s">
        <v>371</v>
      </c>
      <c r="H1433" s="2">
        <v>60000</v>
      </c>
      <c r="I1433" s="16">
        <v>0.94599999999999995</v>
      </c>
      <c r="J1433" s="1" t="s">
        <v>369</v>
      </c>
      <c r="K1433" s="6">
        <f>Registro_Ordini[[#This Row],[Numero]]*Registro_Ordini[[#This Row],[Prezzo]]</f>
        <v>56760</v>
      </c>
      <c r="L1433" s="10">
        <v>1</v>
      </c>
      <c r="M1433" s="6">
        <f>Registro_Ordini[[#This Row],[Importo]]*Registro_Ordini[[#This Row],[Cambio]]</f>
        <v>56760</v>
      </c>
      <c r="N1433" s="1" t="str">
        <f ca="1">IFERROR(_xlfn.NUMBERVALUE(OFFSET(Origine,MATCH(Registro_Ordini[[#This Row],[Titolo]],Descrizioni,0),MATCH("Price",Intestazioni,0)-1,1,1)),"")</f>
        <v/>
      </c>
      <c r="O1433" s="18" t="str">
        <f ca="1">IF(OR(Registro_Ordini[[#This Row],[Price]]=0,Registro_Ordini[[#This Row],[Price]]=""),"",IF(Registro_Ordini[[#This Row],[Tipo]]="Sell",Registro_Ordini[[#This Row],[Prezzo]]/Registro_Ordini[[#This Row],[Price]]-1,Registro_Ordini[[#This Row],[Price]]/Registro_Ordini[[#This Row],[Prezzo]]-1))</f>
        <v/>
      </c>
      <c r="P1433" s="15">
        <v>4.1732789603975085E-2</v>
      </c>
      <c r="Q1433" s="3">
        <v>0.22066188469987055</v>
      </c>
      <c r="R1433" s="3">
        <v>0.31521567312142695</v>
      </c>
      <c r="S1433" s="3">
        <v>0.37661147994013255</v>
      </c>
      <c r="T1433" s="3">
        <v>2.0070440753357427E-2</v>
      </c>
      <c r="U1433" s="3">
        <v>6.7440521485212596E-2</v>
      </c>
      <c r="V1433" s="3"/>
      <c r="W1433" s="4"/>
    </row>
    <row r="1434" spans="1:23" ht="24.95" customHeight="1" x14ac:dyDescent="0.2">
      <c r="A1434" s="8">
        <v>44986</v>
      </c>
      <c r="B1434" s="7">
        <v>0.4513888888888889</v>
      </c>
      <c r="C1434" s="9" t="s">
        <v>606</v>
      </c>
      <c r="D1434" s="1" t="s">
        <v>368</v>
      </c>
      <c r="E1434" s="1" t="s">
        <v>363</v>
      </c>
      <c r="F1434" s="1" t="s">
        <v>523</v>
      </c>
      <c r="G1434" s="1" t="s">
        <v>371</v>
      </c>
      <c r="H1434" s="2">
        <v>50000</v>
      </c>
      <c r="I1434" s="16">
        <v>0.93500000000000005</v>
      </c>
      <c r="J1434" s="1" t="s">
        <v>369</v>
      </c>
      <c r="K1434" s="6">
        <f>Registro_Ordini[[#This Row],[Numero]]*Registro_Ordini[[#This Row],[Prezzo]]</f>
        <v>46750</v>
      </c>
      <c r="L1434" s="10">
        <v>1</v>
      </c>
      <c r="M1434" s="6">
        <f>Registro_Ordini[[#This Row],[Importo]]*Registro_Ordini[[#This Row],[Cambio]]</f>
        <v>46750</v>
      </c>
      <c r="N1434" s="1">
        <f ca="1">IFERROR(_xlfn.NUMBERVALUE(OFFSET(Origine,MATCH(Registro_Ordini[[#This Row],[Titolo]],Descrizioni,0),MATCH("Price",Intestazioni,0)-1,1,1)),"")</f>
        <v>1.00125</v>
      </c>
      <c r="O1434" s="18">
        <f ca="1">IF(OR(Registro_Ordini[[#This Row],[Price]]=0,Registro_Ordini[[#This Row],[Price]]=""),"",IF(Registro_Ordini[[#This Row],[Tipo]]="Sell",Registro_Ordini[[#This Row],[Prezzo]]/Registro_Ordini[[#This Row],[Price]]-1,Registro_Ordini[[#This Row],[Price]]/Registro_Ordini[[#This Row],[Prezzo]]-1))</f>
        <v>7.0855614973261982E-2</v>
      </c>
      <c r="P1434" s="15">
        <v>4.0423761711521962E-2</v>
      </c>
      <c r="Q1434" s="3">
        <v>0.26686990877498046</v>
      </c>
      <c r="R1434" s="3">
        <v>0.27516658250647485</v>
      </c>
      <c r="S1434" s="3">
        <v>0.36080953222918316</v>
      </c>
      <c r="T1434" s="3">
        <v>2.3227450245470776E-2</v>
      </c>
      <c r="U1434" s="3">
        <v>7.3926526243890789E-2</v>
      </c>
      <c r="V1434" s="3"/>
      <c r="W1434" s="4"/>
    </row>
    <row r="1435" spans="1:23" ht="24.95" customHeight="1" x14ac:dyDescent="0.2">
      <c r="A1435" s="8">
        <v>44986</v>
      </c>
      <c r="B1435" s="7">
        <v>0.4513888888888889</v>
      </c>
      <c r="C1435" s="9" t="s">
        <v>606</v>
      </c>
      <c r="D1435" s="1" t="s">
        <v>368</v>
      </c>
      <c r="E1435" s="1" t="s">
        <v>363</v>
      </c>
      <c r="F1435" s="1" t="s">
        <v>599</v>
      </c>
      <c r="G1435" s="1" t="s">
        <v>371</v>
      </c>
      <c r="H1435" s="2">
        <v>50000</v>
      </c>
      <c r="I1435" s="16">
        <v>0.94399999999999995</v>
      </c>
      <c r="J1435" s="1" t="s">
        <v>369</v>
      </c>
      <c r="K1435" s="6">
        <f>Registro_Ordini[[#This Row],[Numero]]*Registro_Ordini[[#This Row],[Prezzo]]</f>
        <v>47200</v>
      </c>
      <c r="L1435" s="10">
        <v>1</v>
      </c>
      <c r="M1435" s="6">
        <f>Registro_Ordini[[#This Row],[Importo]]*Registro_Ordini[[#This Row],[Cambio]]</f>
        <v>47200</v>
      </c>
      <c r="N1435" s="1" t="str">
        <f ca="1">IFERROR(_xlfn.NUMBERVALUE(OFFSET(Origine,MATCH(Registro_Ordini[[#This Row],[Titolo]],Descrizioni,0),MATCH("Price",Intestazioni,0)-1,1,1)),"")</f>
        <v/>
      </c>
      <c r="O1435" s="18" t="str">
        <f ca="1">IF(OR(Registro_Ordini[[#This Row],[Price]]=0,Registro_Ordini[[#This Row],[Price]]=""),"",IF(Registro_Ordini[[#This Row],[Tipo]]="Sell",Registro_Ordini[[#This Row],[Prezzo]]/Registro_Ordini[[#This Row],[Price]]-1,Registro_Ordini[[#This Row],[Price]]/Registro_Ordini[[#This Row],[Prezzo]]-1))</f>
        <v/>
      </c>
      <c r="P1435" s="15">
        <v>4.0813318380410517E-2</v>
      </c>
      <c r="Q1435" s="3">
        <v>0.22644864906589279</v>
      </c>
      <c r="R1435" s="3">
        <v>0.31558278217886732</v>
      </c>
      <c r="S1435" s="3">
        <v>0.36081351881204032</v>
      </c>
      <c r="T1435" s="3">
        <v>2.3227706885461389E-2</v>
      </c>
      <c r="U1435" s="3">
        <v>7.3927343057738223E-2</v>
      </c>
      <c r="V1435" s="3"/>
      <c r="W1435" s="4"/>
    </row>
    <row r="1436" spans="1:23" ht="24.95" customHeight="1" x14ac:dyDescent="0.2">
      <c r="A1436" s="8">
        <v>44986</v>
      </c>
      <c r="B1436" s="7">
        <v>0.4513888888888889</v>
      </c>
      <c r="C1436" s="9" t="s">
        <v>606</v>
      </c>
      <c r="D1436" s="1" t="s">
        <v>368</v>
      </c>
      <c r="E1436" s="1" t="s">
        <v>363</v>
      </c>
      <c r="F1436" s="1" t="s">
        <v>642</v>
      </c>
      <c r="G1436" s="1" t="s">
        <v>371</v>
      </c>
      <c r="H1436" s="2">
        <v>50000</v>
      </c>
      <c r="I1436" s="16">
        <v>0.95150000000000001</v>
      </c>
      <c r="J1436" s="1" t="s">
        <v>369</v>
      </c>
      <c r="K1436" s="6">
        <f>Registro_Ordini[[#This Row],[Numero]]*Registro_Ordini[[#This Row],[Prezzo]]</f>
        <v>47575</v>
      </c>
      <c r="L1436" s="10">
        <v>1</v>
      </c>
      <c r="M1436" s="6">
        <f>Registro_Ordini[[#This Row],[Importo]]*Registro_Ordini[[#This Row],[Cambio]]</f>
        <v>47575</v>
      </c>
      <c r="N1436" s="1" t="str">
        <f ca="1">IFERROR(_xlfn.NUMBERVALUE(OFFSET(Origine,MATCH(Registro_Ordini[[#This Row],[Titolo]],Descrizioni,0),MATCH("Price",Intestazioni,0)-1,1,1)),"")</f>
        <v/>
      </c>
      <c r="O1436" s="18" t="str">
        <f ca="1">IF(OR(Registro_Ordini[[#This Row],[Price]]=0,Registro_Ordini[[#This Row],[Price]]=""),"",IF(Registro_Ordini[[#This Row],[Tipo]]="Sell",Registro_Ordini[[#This Row],[Prezzo]]/Registro_Ordini[[#This Row],[Price]]-1,Registro_Ordini[[#This Row],[Price]]/Registro_Ordini[[#This Row],[Prezzo]]-1))</f>
        <v/>
      </c>
      <c r="P1436" s="15">
        <v>4.1139709144993819E-2</v>
      </c>
      <c r="Q1436" s="3">
        <v>0.18564495328470668</v>
      </c>
      <c r="R1436" s="3">
        <v>0.35636273868597107</v>
      </c>
      <c r="S1436" s="3">
        <v>0.36083222195369691</v>
      </c>
      <c r="T1436" s="3">
        <v>2.3228910917654156E-2</v>
      </c>
      <c r="U1436" s="3">
        <v>7.3931175157971207E-2</v>
      </c>
      <c r="V1436" s="3"/>
      <c r="W1436" s="4"/>
    </row>
    <row r="1437" spans="1:23" ht="24.95" customHeight="1" x14ac:dyDescent="0.2">
      <c r="A1437" s="8">
        <v>44986</v>
      </c>
      <c r="B1437" s="7">
        <v>0.4513888888888889</v>
      </c>
      <c r="C1437" s="9" t="s">
        <v>606</v>
      </c>
      <c r="D1437" s="1" t="s">
        <v>368</v>
      </c>
      <c r="E1437" s="1" t="s">
        <v>363</v>
      </c>
      <c r="F1437" s="1" t="s">
        <v>533</v>
      </c>
      <c r="G1437" s="1" t="s">
        <v>371</v>
      </c>
      <c r="H1437" s="2">
        <v>50000</v>
      </c>
      <c r="I1437" s="16">
        <v>0.95</v>
      </c>
      <c r="J1437" s="1" t="s">
        <v>369</v>
      </c>
      <c r="K1437" s="6">
        <f>Registro_Ordini[[#This Row],[Numero]]*Registro_Ordini[[#This Row],[Prezzo]]</f>
        <v>47500</v>
      </c>
      <c r="L1437" s="10">
        <v>1</v>
      </c>
      <c r="M1437" s="6">
        <f>Registro_Ordini[[#This Row],[Importo]]*Registro_Ordini[[#This Row],[Cambio]]</f>
        <v>47500</v>
      </c>
      <c r="N1437" s="1" t="str">
        <f ca="1">IFERROR(_xlfn.NUMBERVALUE(OFFSET(Origine,MATCH(Registro_Ordini[[#This Row],[Titolo]],Descrizioni,0),MATCH("Price",Intestazioni,0)-1,1,1)),"")</f>
        <v/>
      </c>
      <c r="O1437" s="18" t="str">
        <f ca="1">IF(OR(Registro_Ordini[[#This Row],[Price]]=0,Registro_Ordini[[#This Row],[Price]]=""),"",IF(Registro_Ordini[[#This Row],[Tipo]]="Sell",Registro_Ordini[[#This Row],[Prezzo]]/Registro_Ordini[[#This Row],[Price]]-1,Registro_Ordini[[#This Row],[Price]]/Registro_Ordini[[#This Row],[Prezzo]]-1))</f>
        <v/>
      </c>
      <c r="P1437" s="15">
        <v>4.1077743184795096E-2</v>
      </c>
      <c r="Q1437" s="3">
        <v>0.14451540817198677</v>
      </c>
      <c r="R1437" s="3">
        <v>0.39746007009857409</v>
      </c>
      <c r="S1437" s="3">
        <v>0.36085760172708331</v>
      </c>
      <c r="T1437" s="3">
        <v>2.3230544764243331E-2</v>
      </c>
      <c r="U1437" s="3">
        <v>7.3936375238112445E-2</v>
      </c>
      <c r="V1437" s="3"/>
      <c r="W1437" s="4"/>
    </row>
    <row r="1438" spans="1:23" ht="24.95" customHeight="1" x14ac:dyDescent="0.2">
      <c r="A1438" s="8">
        <v>44986</v>
      </c>
      <c r="B1438" s="7">
        <v>0.4513888888888889</v>
      </c>
      <c r="C1438" s="9" t="s">
        <v>606</v>
      </c>
      <c r="D1438" s="1" t="s">
        <v>368</v>
      </c>
      <c r="E1438" s="1" t="s">
        <v>363</v>
      </c>
      <c r="F1438" s="1" t="s">
        <v>601</v>
      </c>
      <c r="G1438" s="1" t="s">
        <v>371</v>
      </c>
      <c r="H1438" s="2">
        <v>50000</v>
      </c>
      <c r="I1438" s="16">
        <v>0.97955000000000003</v>
      </c>
      <c r="J1438" s="1" t="s">
        <v>369</v>
      </c>
      <c r="K1438" s="6">
        <f>Registro_Ordini[[#This Row],[Numero]]*Registro_Ordini[[#This Row],[Prezzo]]</f>
        <v>48977.5</v>
      </c>
      <c r="L1438" s="10">
        <v>1</v>
      </c>
      <c r="M1438" s="6">
        <f>Registro_Ordini[[#This Row],[Importo]]*Registro_Ordini[[#This Row],[Cambio]]</f>
        <v>48977.5</v>
      </c>
      <c r="N1438" s="1" t="str">
        <f ca="1">IFERROR(_xlfn.NUMBERVALUE(OFFSET(Origine,MATCH(Registro_Ordini[[#This Row],[Titolo]],Descrizioni,0),MATCH("Price",Intestazioni,0)-1,1,1)),"")</f>
        <v/>
      </c>
      <c r="O1438" s="18" t="str">
        <f ca="1">IF(OR(Registro_Ordini[[#This Row],[Price]]=0,Registro_Ordini[[#This Row],[Price]]=""),"",IF(Registro_Ordini[[#This Row],[Tipo]]="Sell",Registro_Ordini[[#This Row],[Prezzo]]/Registro_Ordini[[#This Row],[Price]]-1,Registro_Ordini[[#This Row],[Price]]/Registro_Ordini[[#This Row],[Prezzo]]-1))</f>
        <v/>
      </c>
      <c r="P1438" s="15">
        <v>4.2363659212098531E-2</v>
      </c>
      <c r="Q1438" s="3">
        <v>0.10345764654909102</v>
      </c>
      <c r="R1438" s="3">
        <v>0.43842935287449025</v>
      </c>
      <c r="S1438" s="3">
        <v>0.36092731036277848</v>
      </c>
      <c r="T1438" s="3">
        <v>2.3235032322699134E-2</v>
      </c>
      <c r="U1438" s="3">
        <v>7.3950657890941227E-2</v>
      </c>
      <c r="V1438" s="3"/>
      <c r="W1438" s="4"/>
    </row>
    <row r="1439" spans="1:23" ht="24.95" customHeight="1" x14ac:dyDescent="0.2">
      <c r="A1439" s="8">
        <v>44986</v>
      </c>
      <c r="B1439" s="7">
        <v>0.44861111111111113</v>
      </c>
      <c r="C1439" s="9" t="s">
        <v>606</v>
      </c>
      <c r="D1439" s="1" t="s">
        <v>368</v>
      </c>
      <c r="E1439" s="1" t="s">
        <v>363</v>
      </c>
      <c r="F1439" s="1" t="s">
        <v>643</v>
      </c>
      <c r="G1439" s="1" t="s">
        <v>371</v>
      </c>
      <c r="H1439" s="2">
        <v>50000</v>
      </c>
      <c r="I1439" s="16">
        <v>0.94550000000000001</v>
      </c>
      <c r="J1439" s="1" t="s">
        <v>369</v>
      </c>
      <c r="K1439" s="6">
        <f>Registro_Ordini[[#This Row],[Numero]]*Registro_Ordini[[#This Row],[Prezzo]]</f>
        <v>47275</v>
      </c>
      <c r="L1439" s="10">
        <v>1</v>
      </c>
      <c r="M1439" s="6">
        <f>Registro_Ordini[[#This Row],[Importo]]*Registro_Ordini[[#This Row],[Cambio]]</f>
        <v>47275</v>
      </c>
      <c r="N1439" s="1" t="str">
        <f ca="1">IFERROR(_xlfn.NUMBERVALUE(OFFSET(Origine,MATCH(Registro_Ordini[[#This Row],[Titolo]],Descrizioni,0),MATCH("Price",Intestazioni,0)-1,1,1)),"")</f>
        <v/>
      </c>
      <c r="O1439" s="18" t="str">
        <f ca="1">IF(OR(Registro_Ordini[[#This Row],[Price]]=0,Registro_Ordini[[#This Row],[Price]]=""),"",IF(Registro_Ordini[[#This Row],[Tipo]]="Sell",Registro_Ordini[[#This Row],[Prezzo]]/Registro_Ordini[[#This Row],[Price]]-1,Registro_Ordini[[#This Row],[Price]]/Registro_Ordini[[#This Row],[Prezzo]]-1))</f>
        <v/>
      </c>
      <c r="P1439" s="15">
        <v>4.0674518736042636E-2</v>
      </c>
      <c r="Q1439" s="3">
        <v>0.30754442751102312</v>
      </c>
      <c r="R1439" s="3">
        <v>0.23449206377043222</v>
      </c>
      <c r="S1439" s="3">
        <v>0.36080953222918316</v>
      </c>
      <c r="T1439" s="3">
        <v>2.3227450245470776E-2</v>
      </c>
      <c r="U1439" s="3">
        <v>7.3926526243890789E-2</v>
      </c>
      <c r="V1439" s="3"/>
      <c r="W1439" s="4"/>
    </row>
    <row r="1440" spans="1:23" ht="24.95" customHeight="1" x14ac:dyDescent="0.2">
      <c r="A1440" s="8">
        <v>44986</v>
      </c>
      <c r="B1440" s="7">
        <v>0.41597222222222224</v>
      </c>
      <c r="C1440" s="9" t="s">
        <v>606</v>
      </c>
      <c r="D1440" s="1" t="s">
        <v>368</v>
      </c>
      <c r="E1440" s="1" t="s">
        <v>363</v>
      </c>
      <c r="F1440" s="1" t="s">
        <v>446</v>
      </c>
      <c r="G1440" s="1" t="s">
        <v>371</v>
      </c>
      <c r="H1440" s="2">
        <v>50000</v>
      </c>
      <c r="I1440" s="16">
        <v>0.94899999999999995</v>
      </c>
      <c r="J1440" s="1" t="s">
        <v>369</v>
      </c>
      <c r="K1440" s="6">
        <f>Registro_Ordini[[#This Row],[Numero]]*Registro_Ordini[[#This Row],[Prezzo]]</f>
        <v>47450</v>
      </c>
      <c r="L1440" s="10">
        <v>1</v>
      </c>
      <c r="M1440" s="6">
        <f>Registro_Ordini[[#This Row],[Importo]]*Registro_Ordini[[#This Row],[Cambio]]</f>
        <v>47450</v>
      </c>
      <c r="N1440" s="1">
        <f ca="1">IFERROR(_xlfn.NUMBERVALUE(OFFSET(Origine,MATCH(Registro_Ordini[[#This Row],[Titolo]],Descrizioni,0),MATCH("Price",Intestazioni,0)-1,1,1)),"")</f>
        <v>1.01636388889</v>
      </c>
      <c r="O1440" s="18">
        <f ca="1">IF(OR(Registro_Ordini[[#This Row],[Price]]=0,Registro_Ordini[[#This Row],[Price]]=""),"",IF(Registro_Ordini[[#This Row],[Tipo]]="Sell",Registro_Ordini[[#This Row],[Prezzo]]/Registro_Ordini[[#This Row],[Price]]-1,Registro_Ordini[[#This Row],[Price]]/Registro_Ordini[[#This Row],[Prezzo]]-1))</f>
        <v>7.0984076807165453E-2</v>
      </c>
      <c r="P1440" s="15">
        <v>4.0942260048545766E-2</v>
      </c>
      <c r="Q1440" s="3">
        <v>0.34799205126325233</v>
      </c>
      <c r="R1440" s="3">
        <v>0.19494338778237516</v>
      </c>
      <c r="S1440" s="3">
        <v>0.36026854220952015</v>
      </c>
      <c r="T1440" s="3">
        <v>2.3175434285781994E-2</v>
      </c>
      <c r="U1440" s="3">
        <v>7.3620584459070298E-2</v>
      </c>
      <c r="V1440" s="3"/>
      <c r="W1440" s="4"/>
    </row>
    <row r="1441" spans="1:23" ht="24.95" customHeight="1" x14ac:dyDescent="0.2">
      <c r="A1441" s="8">
        <v>44986</v>
      </c>
      <c r="B1441" s="7"/>
      <c r="C1441" s="9" t="s">
        <v>90</v>
      </c>
      <c r="D1441" s="1" t="s">
        <v>368</v>
      </c>
      <c r="E1441" s="1" t="s">
        <v>363</v>
      </c>
      <c r="F1441" s="1" t="s">
        <v>644</v>
      </c>
      <c r="G1441" s="1" t="s">
        <v>365</v>
      </c>
      <c r="H1441" s="2">
        <v>-440</v>
      </c>
      <c r="I1441" s="16">
        <v>99.81</v>
      </c>
      <c r="J1441" s="1" t="s">
        <v>369</v>
      </c>
      <c r="K1441" s="6">
        <f>Registro_Ordini[[#This Row],[Numero]]*Registro_Ordini[[#This Row],[Prezzo]]</f>
        <v>-43916.4</v>
      </c>
      <c r="L1441" s="10">
        <v>1</v>
      </c>
      <c r="M1441" s="6">
        <f>Registro_Ordini[[#This Row],[Importo]]*Registro_Ordini[[#This Row],[Cambio]]</f>
        <v>-43916.4</v>
      </c>
      <c r="N1441" s="1" t="str">
        <f ca="1">IFERROR(_xlfn.NUMBERVALUE(OFFSET(Origine,MATCH(Registro_Ordini[[#This Row],[Titolo]],Descrizioni,0),MATCH("Price",Intestazioni,0)-1,1,1)),"")</f>
        <v/>
      </c>
      <c r="O1441" s="18" t="str">
        <f ca="1">IF(OR(Registro_Ordini[[#This Row],[Price]]=0,Registro_Ordini[[#This Row],[Price]]=""),"",IF(Registro_Ordini[[#This Row],[Tipo]]="Sell",Registro_Ordini[[#This Row],[Prezzo]]/Registro_Ordini[[#This Row],[Price]]-1,Registro_Ordini[[#This Row],[Price]]/Registro_Ordini[[#This Row],[Prezzo]]-1))</f>
        <v/>
      </c>
      <c r="P1441" s="15">
        <v>-8.3203580893329535E-2</v>
      </c>
      <c r="Q1441" s="3">
        <v>8.2599667186138703E-2</v>
      </c>
      <c r="R1441" s="3">
        <v>0.41260661387672165</v>
      </c>
      <c r="S1441" s="3">
        <v>0.35518174751641646</v>
      </c>
      <c r="T1441" s="3">
        <v>1.8841699501420017E-2</v>
      </c>
      <c r="U1441" s="3">
        <v>0.13077027191930313</v>
      </c>
      <c r="V1441" s="3"/>
      <c r="W1441" s="4"/>
    </row>
    <row r="1442" spans="1:23" ht="24.95" customHeight="1" x14ac:dyDescent="0.2">
      <c r="A1442" s="8">
        <v>44986</v>
      </c>
      <c r="B1442" s="7"/>
      <c r="C1442" s="9" t="s">
        <v>375</v>
      </c>
      <c r="D1442" s="1" t="s">
        <v>368</v>
      </c>
      <c r="E1442" s="1" t="s">
        <v>363</v>
      </c>
      <c r="F1442" s="1" t="s">
        <v>644</v>
      </c>
      <c r="G1442" s="1" t="s">
        <v>365</v>
      </c>
      <c r="H1442" s="2">
        <v>-540</v>
      </c>
      <c r="I1442" s="16">
        <v>99.81</v>
      </c>
      <c r="J1442" s="1" t="s">
        <v>369</v>
      </c>
      <c r="K1442" s="6">
        <f>Registro_Ordini[[#This Row],[Numero]]*Registro_Ordini[[#This Row],[Prezzo]]</f>
        <v>-53897.4</v>
      </c>
      <c r="L1442" s="10">
        <v>1</v>
      </c>
      <c r="M1442" s="6">
        <f>Registro_Ordini[[#This Row],[Importo]]*Registro_Ordini[[#This Row],[Cambio]]</f>
        <v>-53897.4</v>
      </c>
      <c r="N1442" s="1" t="str">
        <f ca="1">IFERROR(_xlfn.NUMBERVALUE(OFFSET(Origine,MATCH(Registro_Ordini[[#This Row],[Titolo]],Descrizioni,0),MATCH("Price",Intestazioni,0)-1,1,1)),"")</f>
        <v/>
      </c>
      <c r="O1442" s="18" t="str">
        <f ca="1">IF(OR(Registro_Ordini[[#This Row],[Price]]=0,Registro_Ordini[[#This Row],[Price]]=""),"",IF(Registro_Ordini[[#This Row],[Tipo]]="Sell",Registro_Ordini[[#This Row],[Prezzo]]/Registro_Ordini[[#This Row],[Price]]-1,Registro_Ordini[[#This Row],[Price]]/Registro_Ordini[[#This Row],[Prezzo]]-1))</f>
        <v/>
      </c>
      <c r="P1442" s="15">
        <v>-7.2674763468930301E-2</v>
      </c>
      <c r="Q1442" s="3">
        <v>0.19063889748584556</v>
      </c>
      <c r="R1442" s="3">
        <v>0.40121006261196429</v>
      </c>
      <c r="S1442" s="3">
        <v>0.29003208153164239</v>
      </c>
      <c r="T1442" s="3">
        <v>0</v>
      </c>
      <c r="U1442" s="3">
        <v>0.11811895837054787</v>
      </c>
      <c r="V1442" s="3"/>
      <c r="W1442" s="4"/>
    </row>
    <row r="1443" spans="1:23" ht="24.95" customHeight="1" x14ac:dyDescent="0.2">
      <c r="A1443" s="8">
        <v>44986</v>
      </c>
      <c r="B1443" s="7"/>
      <c r="C1443" s="9" t="s">
        <v>378</v>
      </c>
      <c r="D1443" s="1" t="s">
        <v>368</v>
      </c>
      <c r="E1443" s="1" t="s">
        <v>363</v>
      </c>
      <c r="F1443" s="1" t="s">
        <v>644</v>
      </c>
      <c r="G1443" s="1" t="s">
        <v>365</v>
      </c>
      <c r="H1443" s="2">
        <v>-340</v>
      </c>
      <c r="I1443" s="16">
        <v>99.81</v>
      </c>
      <c r="J1443" s="1" t="s">
        <v>369</v>
      </c>
      <c r="K1443" s="6">
        <f>Registro_Ordini[[#This Row],[Numero]]*Registro_Ordini[[#This Row],[Prezzo]]</f>
        <v>-33935.4</v>
      </c>
      <c r="L1443" s="10">
        <v>1</v>
      </c>
      <c r="M1443" s="6">
        <f>Registro_Ordini[[#This Row],[Importo]]*Registro_Ordini[[#This Row],[Cambio]]</f>
        <v>-33935.4</v>
      </c>
      <c r="N1443" s="1" t="str">
        <f ca="1">IFERROR(_xlfn.NUMBERVALUE(OFFSET(Origine,MATCH(Registro_Ordini[[#This Row],[Titolo]],Descrizioni,0),MATCH("Price",Intestazioni,0)-1,1,1)),"")</f>
        <v/>
      </c>
      <c r="O1443" s="18" t="str">
        <f ca="1">IF(OR(Registro_Ordini[[#This Row],[Price]]=0,Registro_Ordini[[#This Row],[Price]]=""),"",IF(Registro_Ordini[[#This Row],[Tipo]]="Sell",Registro_Ordini[[#This Row],[Prezzo]]/Registro_Ordini[[#This Row],[Price]]-1,Registro_Ordini[[#This Row],[Price]]/Registro_Ordini[[#This Row],[Prezzo]]-1))</f>
        <v/>
      </c>
      <c r="P1443" s="15">
        <v>-8.2050911604030496E-2</v>
      </c>
      <c r="Q1443" s="3">
        <v>0.1293719969083543</v>
      </c>
      <c r="R1443" s="3">
        <v>0.40911402927724111</v>
      </c>
      <c r="S1443" s="3">
        <v>0.322923417584216</v>
      </c>
      <c r="T1443" s="3">
        <v>1.7571768715921771E-2</v>
      </c>
      <c r="U1443" s="3">
        <v>0.12101878751426694</v>
      </c>
      <c r="V1443" s="3"/>
      <c r="W1443" s="4"/>
    </row>
    <row r="1444" spans="1:23" ht="24.95" customHeight="1" x14ac:dyDescent="0.2">
      <c r="A1444" s="8">
        <v>44986</v>
      </c>
      <c r="B1444" s="7"/>
      <c r="C1444" s="9" t="s">
        <v>594</v>
      </c>
      <c r="D1444" s="1" t="s">
        <v>368</v>
      </c>
      <c r="E1444" s="1" t="s">
        <v>363</v>
      </c>
      <c r="F1444" s="1" t="s">
        <v>644</v>
      </c>
      <c r="G1444" s="1" t="s">
        <v>365</v>
      </c>
      <c r="H1444" s="2">
        <v>-595</v>
      </c>
      <c r="I1444" s="16">
        <v>99.81</v>
      </c>
      <c r="J1444" s="1" t="s">
        <v>369</v>
      </c>
      <c r="K1444" s="6">
        <f>Registro_Ordini[[#This Row],[Numero]]*Registro_Ordini[[#This Row],[Prezzo]]</f>
        <v>-59386.950000000004</v>
      </c>
      <c r="L1444" s="10">
        <v>1</v>
      </c>
      <c r="M1444" s="6">
        <f>Registro_Ordini[[#This Row],[Importo]]*Registro_Ordini[[#This Row],[Cambio]]</f>
        <v>-59386.950000000004</v>
      </c>
      <c r="N1444" s="1" t="str">
        <f ca="1">IFERROR(_xlfn.NUMBERVALUE(OFFSET(Origine,MATCH(Registro_Ordini[[#This Row],[Titolo]],Descrizioni,0),MATCH("Price",Intestazioni,0)-1,1,1)),"")</f>
        <v/>
      </c>
      <c r="O1444" s="18" t="str">
        <f ca="1">IF(OR(Registro_Ordini[[#This Row],[Price]]=0,Registro_Ordini[[#This Row],[Price]]=""),"",IF(Registro_Ordini[[#This Row],[Tipo]]="Sell",Registro_Ordini[[#This Row],[Prezzo]]/Registro_Ordini[[#This Row],[Price]]-1,Registro_Ordini[[#This Row],[Price]]/Registro_Ordini[[#This Row],[Prezzo]]-1))</f>
        <v/>
      </c>
      <c r="P1444" s="15">
        <v>-0.10038461011905181</v>
      </c>
      <c r="Q1444" s="3">
        <v>0.10178619014079916</v>
      </c>
      <c r="R1444" s="3">
        <v>0.4264194902635815</v>
      </c>
      <c r="S1444" s="3">
        <v>0.35934727847231956</v>
      </c>
      <c r="T1444" s="3">
        <v>2.0689859099637109E-2</v>
      </c>
      <c r="U1444" s="3">
        <v>9.1757182023662717E-2</v>
      </c>
      <c r="V1444" s="3"/>
      <c r="W1444" s="4"/>
    </row>
    <row r="1445" spans="1:23" ht="24.95" customHeight="1" x14ac:dyDescent="0.2">
      <c r="A1445" s="8">
        <v>44986</v>
      </c>
      <c r="B1445" s="7"/>
      <c r="C1445" s="9" t="s">
        <v>377</v>
      </c>
      <c r="D1445" s="1" t="s">
        <v>368</v>
      </c>
      <c r="E1445" s="1" t="s">
        <v>363</v>
      </c>
      <c r="F1445" s="1" t="s">
        <v>644</v>
      </c>
      <c r="G1445" s="1" t="s">
        <v>365</v>
      </c>
      <c r="H1445" s="2">
        <v>-1150</v>
      </c>
      <c r="I1445" s="16">
        <v>99.81</v>
      </c>
      <c r="J1445" s="1" t="s">
        <v>369</v>
      </c>
      <c r="K1445" s="6">
        <f>Registro_Ordini[[#This Row],[Numero]]*Registro_Ordini[[#This Row],[Prezzo]]</f>
        <v>-114781.5</v>
      </c>
      <c r="L1445" s="10">
        <v>1</v>
      </c>
      <c r="M1445" s="6">
        <f>Registro_Ordini[[#This Row],[Importo]]*Registro_Ordini[[#This Row],[Cambio]]</f>
        <v>-114781.5</v>
      </c>
      <c r="N1445" s="1" t="str">
        <f ca="1">IFERROR(_xlfn.NUMBERVALUE(OFFSET(Origine,MATCH(Registro_Ordini[[#This Row],[Titolo]],Descrizioni,0),MATCH("Price",Intestazioni,0)-1,1,1)),"")</f>
        <v/>
      </c>
      <c r="O1445" s="18" t="str">
        <f ca="1">IF(OR(Registro_Ordini[[#This Row],[Price]]=0,Registro_Ordini[[#This Row],[Price]]=""),"",IF(Registro_Ordini[[#This Row],[Tipo]]="Sell",Registro_Ordini[[#This Row],[Prezzo]]/Registro_Ordini[[#This Row],[Price]]-1,Registro_Ordini[[#This Row],[Price]]/Registro_Ordini[[#This Row],[Prezzo]]-1))</f>
        <v/>
      </c>
      <c r="P1445" s="15">
        <v>-8.4502535030388404E-2</v>
      </c>
      <c r="Q1445" s="3">
        <v>0.13584803719106975</v>
      </c>
      <c r="R1445" s="3">
        <v>0.40004178087872422</v>
      </c>
      <c r="S1445" s="3">
        <v>0.37619017461294846</v>
      </c>
      <c r="T1445" s="3">
        <v>1.9711847078480848E-2</v>
      </c>
      <c r="U1445" s="3">
        <v>6.8208160238776669E-2</v>
      </c>
      <c r="V1445" s="3"/>
      <c r="W1445" s="4"/>
    </row>
    <row r="1446" spans="1:23" ht="24.95" customHeight="1" x14ac:dyDescent="0.2">
      <c r="A1446" s="8">
        <v>44986</v>
      </c>
      <c r="B1446" s="7"/>
      <c r="C1446" s="9" t="s">
        <v>376</v>
      </c>
      <c r="D1446" s="1" t="s">
        <v>368</v>
      </c>
      <c r="E1446" s="1" t="s">
        <v>363</v>
      </c>
      <c r="F1446" s="1" t="s">
        <v>644</v>
      </c>
      <c r="G1446" s="1" t="s">
        <v>365</v>
      </c>
      <c r="H1446" s="2">
        <v>-230</v>
      </c>
      <c r="I1446" s="16">
        <v>99.81</v>
      </c>
      <c r="J1446" s="1" t="s">
        <v>369</v>
      </c>
      <c r="K1446" s="6">
        <f>Registro_Ordini[[#This Row],[Numero]]*Registro_Ordini[[#This Row],[Prezzo]]</f>
        <v>-22956.3</v>
      </c>
      <c r="L1446" s="10">
        <v>1</v>
      </c>
      <c r="M1446" s="6">
        <f>Registro_Ordini[[#This Row],[Importo]]*Registro_Ordini[[#This Row],[Cambio]]</f>
        <v>-22956.3</v>
      </c>
      <c r="N1446" s="1" t="str">
        <f ca="1">IFERROR(_xlfn.NUMBERVALUE(OFFSET(Origine,MATCH(Registro_Ordini[[#This Row],[Titolo]],Descrizioni,0),MATCH("Price",Intestazioni,0)-1,1,1)),"")</f>
        <v/>
      </c>
      <c r="O1446" s="18" t="str">
        <f ca="1">IF(OR(Registro_Ordini[[#This Row],[Price]]=0,Registro_Ordini[[#This Row],[Price]]=""),"",IF(Registro_Ordini[[#This Row],[Tipo]]="Sell",Registro_Ordini[[#This Row],[Prezzo]]/Registro_Ordini[[#This Row],[Price]]-1,Registro_Ordini[[#This Row],[Price]]/Registro_Ordini[[#This Row],[Prezzo]]-1))</f>
        <v/>
      </c>
      <c r="P1446" s="15">
        <v>-8.4104985126479126E-2</v>
      </c>
      <c r="Q1446" s="3">
        <v>9.9379394242436719E-2</v>
      </c>
      <c r="R1446" s="3">
        <v>0.38615245176967034</v>
      </c>
      <c r="S1446" s="3">
        <v>0.3651653369258151</v>
      </c>
      <c r="T1446" s="3">
        <v>0</v>
      </c>
      <c r="U1446" s="3">
        <v>0.14930281706207774</v>
      </c>
      <c r="V1446" s="3"/>
      <c r="W1446" s="4"/>
    </row>
    <row r="1447" spans="1:23" ht="24.95" customHeight="1" x14ac:dyDescent="0.2">
      <c r="A1447" s="8">
        <v>44985</v>
      </c>
      <c r="B1447" s="7">
        <v>0.69097222222222221</v>
      </c>
      <c r="C1447" s="9" t="s">
        <v>90</v>
      </c>
      <c r="D1447" s="1" t="s">
        <v>368</v>
      </c>
      <c r="E1447" s="1" t="s">
        <v>363</v>
      </c>
      <c r="F1447" s="1" t="s">
        <v>446</v>
      </c>
      <c r="G1447" s="1" t="s">
        <v>371</v>
      </c>
      <c r="H1447" s="2">
        <v>20000</v>
      </c>
      <c r="I1447" s="16">
        <v>0.94850000000000001</v>
      </c>
      <c r="J1447" s="1" t="s">
        <v>369</v>
      </c>
      <c r="K1447" s="6">
        <f>Registro_Ordini[[#This Row],[Numero]]*Registro_Ordini[[#This Row],[Prezzo]]</f>
        <v>18970</v>
      </c>
      <c r="L1447" s="10">
        <v>1</v>
      </c>
      <c r="M1447" s="6">
        <f>Registro_Ordini[[#This Row],[Importo]]*Registro_Ordini[[#This Row],[Cambio]]</f>
        <v>18970</v>
      </c>
      <c r="N1447" s="1">
        <f ca="1">IFERROR(_xlfn.NUMBERVALUE(OFFSET(Origine,MATCH(Registro_Ordini[[#This Row],[Titolo]],Descrizioni,0),MATCH("Price",Intestazioni,0)-1,1,1)),"")</f>
        <v>1.01636388889</v>
      </c>
      <c r="O1447" s="18">
        <f ca="1">IF(OR(Registro_Ordini[[#This Row],[Price]]=0,Registro_Ordini[[#This Row],[Price]]=""),"",IF(Registro_Ordini[[#This Row],[Tipo]]="Sell",Registro_Ordini[[#This Row],[Prezzo]]/Registro_Ordini[[#This Row],[Price]]-1,Registro_Ordini[[#This Row],[Price]]/Registro_Ordini[[#This Row],[Prezzo]]-1))</f>
        <v>7.1548644059040489E-2</v>
      </c>
      <c r="P1447" s="15">
        <v>3.597086133119539E-2</v>
      </c>
      <c r="Q1447" s="3">
        <v>0.11852921885062088</v>
      </c>
      <c r="R1447" s="3">
        <v>0.37603465544477527</v>
      </c>
      <c r="S1447" s="3">
        <v>0.35479658651429608</v>
      </c>
      <c r="T1447" s="3">
        <v>1.9215114565085317E-2</v>
      </c>
      <c r="U1447" s="3">
        <v>0.13142442462522261</v>
      </c>
      <c r="V1447" s="3"/>
      <c r="W1447" s="4"/>
    </row>
    <row r="1448" spans="1:23" ht="24.95" customHeight="1" x14ac:dyDescent="0.2">
      <c r="A1448" s="8">
        <v>44985</v>
      </c>
      <c r="B1448" s="7">
        <v>0.69097222222222221</v>
      </c>
      <c r="C1448" s="9" t="s">
        <v>375</v>
      </c>
      <c r="D1448" s="1" t="s">
        <v>368</v>
      </c>
      <c r="E1448" s="1" t="s">
        <v>363</v>
      </c>
      <c r="F1448" s="1" t="s">
        <v>446</v>
      </c>
      <c r="G1448" s="1" t="s">
        <v>371</v>
      </c>
      <c r="H1448" s="2">
        <v>30000</v>
      </c>
      <c r="I1448" s="16">
        <v>0.94850000000000001</v>
      </c>
      <c r="J1448" s="1" t="s">
        <v>369</v>
      </c>
      <c r="K1448" s="6">
        <f>Registro_Ordini[[#This Row],[Numero]]*Registro_Ordini[[#This Row],[Prezzo]]</f>
        <v>28455</v>
      </c>
      <c r="L1448" s="10">
        <v>1</v>
      </c>
      <c r="M1448" s="6">
        <f>Registro_Ordini[[#This Row],[Importo]]*Registro_Ordini[[#This Row],[Cambio]]</f>
        <v>28455</v>
      </c>
      <c r="N1448" s="1">
        <f ca="1">IFERROR(_xlfn.NUMBERVALUE(OFFSET(Origine,MATCH(Registro_Ordini[[#This Row],[Titolo]],Descrizioni,0),MATCH("Price",Intestazioni,0)-1,1,1)),"")</f>
        <v>1.01636388889</v>
      </c>
      <c r="O1448" s="18">
        <f ca="1">IF(OR(Registro_Ordini[[#This Row],[Price]]=0,Registro_Ordini[[#This Row],[Price]]=""),"",IF(Registro_Ordini[[#This Row],[Tipo]]="Sell",Registro_Ordini[[#This Row],[Prezzo]]/Registro_Ordini[[#This Row],[Price]]-1,Registro_Ordini[[#This Row],[Price]]/Registro_Ordini[[#This Row],[Prezzo]]-1))</f>
        <v>7.1548644059040489E-2</v>
      </c>
      <c r="P1448" s="15">
        <v>3.8454426293870268E-2</v>
      </c>
      <c r="Q1448" s="3">
        <v>0.27544322092377277</v>
      </c>
      <c r="R1448" s="3">
        <v>0.31662472786870477</v>
      </c>
      <c r="S1448" s="3">
        <v>0.29078019402491284</v>
      </c>
      <c r="T1448" s="3">
        <v>0</v>
      </c>
      <c r="U1448" s="3">
        <v>0.11715185718260952</v>
      </c>
      <c r="V1448" s="3"/>
      <c r="W1448" s="4"/>
    </row>
    <row r="1449" spans="1:23" ht="24.95" customHeight="1" x14ac:dyDescent="0.2">
      <c r="A1449" s="8">
        <v>44985</v>
      </c>
      <c r="B1449" s="7">
        <v>0.69097222222222221</v>
      </c>
      <c r="C1449" s="9" t="s">
        <v>378</v>
      </c>
      <c r="D1449" s="1" t="s">
        <v>368</v>
      </c>
      <c r="E1449" s="1" t="s">
        <v>363</v>
      </c>
      <c r="F1449" s="1" t="s">
        <v>446</v>
      </c>
      <c r="G1449" s="1" t="s">
        <v>371</v>
      </c>
      <c r="H1449" s="2">
        <v>15000</v>
      </c>
      <c r="I1449" s="16">
        <v>0.94850000000000001</v>
      </c>
      <c r="J1449" s="1" t="s">
        <v>369</v>
      </c>
      <c r="K1449" s="6">
        <f>Registro_Ordini[[#This Row],[Numero]]*Registro_Ordini[[#This Row],[Prezzo]]</f>
        <v>14227.5</v>
      </c>
      <c r="L1449" s="10">
        <v>1</v>
      </c>
      <c r="M1449" s="6">
        <f>Registro_Ordini[[#This Row],[Importo]]*Registro_Ordini[[#This Row],[Cambio]]</f>
        <v>14227.5</v>
      </c>
      <c r="N1449" s="1">
        <f ca="1">IFERROR(_xlfn.NUMBERVALUE(OFFSET(Origine,MATCH(Registro_Ordini[[#This Row],[Titolo]],Descrizioni,0),MATCH("Price",Intestazioni,0)-1,1,1)),"")</f>
        <v>1.01636388889</v>
      </c>
      <c r="O1449" s="18">
        <f ca="1">IF(OR(Registro_Ordini[[#This Row],[Price]]=0,Registro_Ordini[[#This Row],[Price]]=""),"",IF(Registro_Ordini[[#This Row],[Tipo]]="Sell",Registro_Ordini[[#This Row],[Prezzo]]/Registro_Ordini[[#This Row],[Price]]-1,Registro_Ordini[[#This Row],[Price]]/Registro_Ordini[[#This Row],[Prezzo]]-1))</f>
        <v>7.1548644059040489E-2</v>
      </c>
      <c r="P1449" s="15">
        <v>3.4436444553282874E-2</v>
      </c>
      <c r="Q1449" s="3">
        <v>0.21082774168710533</v>
      </c>
      <c r="R1449" s="3">
        <v>0.32698803626589212</v>
      </c>
      <c r="S1449" s="3">
        <v>0.32303324136277606</v>
      </c>
      <c r="T1449" s="3">
        <v>1.7923773047140958E-2</v>
      </c>
      <c r="U1449" s="3">
        <v>0.12122720763708555</v>
      </c>
      <c r="V1449" s="3"/>
      <c r="W1449" s="4"/>
    </row>
    <row r="1450" spans="1:23" ht="24.95" customHeight="1" x14ac:dyDescent="0.2">
      <c r="A1450" s="8">
        <v>44985</v>
      </c>
      <c r="B1450" s="7">
        <v>0.69097222222222221</v>
      </c>
      <c r="C1450" s="9" t="s">
        <v>594</v>
      </c>
      <c r="D1450" s="1" t="s">
        <v>368</v>
      </c>
      <c r="E1450" s="1" t="s">
        <v>363</v>
      </c>
      <c r="F1450" s="1" t="s">
        <v>446</v>
      </c>
      <c r="G1450" s="1" t="s">
        <v>371</v>
      </c>
      <c r="H1450" s="2">
        <v>20000</v>
      </c>
      <c r="I1450" s="16">
        <v>0.94850000000000001</v>
      </c>
      <c r="J1450" s="1" t="s">
        <v>369</v>
      </c>
      <c r="K1450" s="6">
        <f>Registro_Ordini[[#This Row],[Numero]]*Registro_Ordini[[#This Row],[Prezzo]]</f>
        <v>18970</v>
      </c>
      <c r="L1450" s="10">
        <v>1</v>
      </c>
      <c r="M1450" s="6">
        <f>Registro_Ordini[[#This Row],[Importo]]*Registro_Ordini[[#This Row],[Cambio]]</f>
        <v>18970</v>
      </c>
      <c r="N1450" s="1">
        <f ca="1">IFERROR(_xlfn.NUMBERVALUE(OFFSET(Origine,MATCH(Registro_Ordini[[#This Row],[Titolo]],Descrizioni,0),MATCH("Price",Intestazioni,0)-1,1,1)),"")</f>
        <v>1.01636388889</v>
      </c>
      <c r="O1450" s="18">
        <f ca="1">IF(OR(Registro_Ordini[[#This Row],[Price]]=0,Registro_Ordini[[#This Row],[Price]]=""),"",IF(Registro_Ordini[[#This Row],[Tipo]]="Sell",Registro_Ordini[[#This Row],[Prezzo]]/Registro_Ordini[[#This Row],[Price]]-1,Registro_Ordini[[#This Row],[Price]]/Registro_Ordini[[#This Row],[Prezzo]]-1))</f>
        <v>7.1548644059040489E-2</v>
      </c>
      <c r="P1450" s="15">
        <v>3.211440188097188E-2</v>
      </c>
      <c r="Q1450" s="3">
        <v>0.17500839457586342</v>
      </c>
      <c r="R1450" s="3">
        <v>0.35271836968233694</v>
      </c>
      <c r="S1450" s="3">
        <v>0.35939916461354049</v>
      </c>
      <c r="T1450" s="3">
        <v>2.1113907235607871E-2</v>
      </c>
      <c r="U1450" s="3">
        <v>9.1760163892651223E-2</v>
      </c>
      <c r="V1450" s="3"/>
      <c r="W1450" s="4"/>
    </row>
    <row r="1451" spans="1:23" ht="24.95" customHeight="1" x14ac:dyDescent="0.2">
      <c r="A1451" s="8">
        <v>44985</v>
      </c>
      <c r="B1451" s="7">
        <v>0.69097222222222221</v>
      </c>
      <c r="C1451" s="9" t="s">
        <v>377</v>
      </c>
      <c r="D1451" s="1" t="s">
        <v>368</v>
      </c>
      <c r="E1451" s="1" t="s">
        <v>363</v>
      </c>
      <c r="F1451" s="1" t="s">
        <v>446</v>
      </c>
      <c r="G1451" s="1" t="s">
        <v>371</v>
      </c>
      <c r="H1451" s="2">
        <v>50000</v>
      </c>
      <c r="I1451" s="16">
        <v>0.94850000000000001</v>
      </c>
      <c r="J1451" s="1" t="s">
        <v>369</v>
      </c>
      <c r="K1451" s="6">
        <f>Registro_Ordini[[#This Row],[Numero]]*Registro_Ordini[[#This Row],[Prezzo]]</f>
        <v>47425</v>
      </c>
      <c r="L1451" s="10">
        <v>1</v>
      </c>
      <c r="M1451" s="6">
        <f>Registro_Ordini[[#This Row],[Importo]]*Registro_Ordini[[#This Row],[Cambio]]</f>
        <v>47425</v>
      </c>
      <c r="N1451" s="1">
        <f ca="1">IFERROR(_xlfn.NUMBERVALUE(OFFSET(Origine,MATCH(Registro_Ordini[[#This Row],[Titolo]],Descrizioni,0),MATCH("Price",Intestazioni,0)-1,1,1)),"")</f>
        <v>1.01636388889</v>
      </c>
      <c r="O1451" s="18">
        <f ca="1">IF(OR(Registro_Ordini[[#This Row],[Price]]=0,Registro_Ordini[[#This Row],[Price]]=""),"",IF(Registro_Ordini[[#This Row],[Tipo]]="Sell",Registro_Ordini[[#This Row],[Prezzo]]/Registro_Ordini[[#This Row],[Price]]-1,Registro_Ordini[[#This Row],[Price]]/Registro_Ordini[[#This Row],[Prezzo]]-1))</f>
        <v>7.1548644059040489E-2</v>
      </c>
      <c r="P1451" s="15">
        <v>3.4997661577936101E-2</v>
      </c>
      <c r="Q1451" s="3">
        <v>0.21412097500262106</v>
      </c>
      <c r="R1451" s="3">
        <v>0.32188652794830125</v>
      </c>
      <c r="S1451" s="3">
        <v>0.37604826755577975</v>
      </c>
      <c r="T1451" s="3">
        <v>2.013334110701195E-2</v>
      </c>
      <c r="U1451" s="3">
        <v>6.7810888386285975E-2</v>
      </c>
      <c r="V1451" s="3"/>
      <c r="W1451" s="4"/>
    </row>
    <row r="1452" spans="1:23" ht="24.95" customHeight="1" x14ac:dyDescent="0.2">
      <c r="A1452" s="8">
        <v>44985</v>
      </c>
      <c r="B1452" s="7">
        <v>0.69097222222222221</v>
      </c>
      <c r="C1452" s="9" t="s">
        <v>376</v>
      </c>
      <c r="D1452" s="1" t="s">
        <v>368</v>
      </c>
      <c r="E1452" s="1" t="s">
        <v>363</v>
      </c>
      <c r="F1452" s="1" t="s">
        <v>446</v>
      </c>
      <c r="G1452" s="1" t="s">
        <v>371</v>
      </c>
      <c r="H1452" s="2">
        <v>10000</v>
      </c>
      <c r="I1452" s="16">
        <v>0.94850000000000001</v>
      </c>
      <c r="J1452" s="1" t="s">
        <v>369</v>
      </c>
      <c r="K1452" s="6">
        <f>Registro_Ordini[[#This Row],[Numero]]*Registro_Ordini[[#This Row],[Prezzo]]</f>
        <v>9485</v>
      </c>
      <c r="L1452" s="10">
        <v>1</v>
      </c>
      <c r="M1452" s="6">
        <f>Registro_Ordini[[#This Row],[Importo]]*Registro_Ordini[[#This Row],[Cambio]]</f>
        <v>9485</v>
      </c>
      <c r="N1452" s="1">
        <f ca="1">IFERROR(_xlfn.NUMBERVALUE(OFFSET(Origine,MATCH(Registro_Ordini[[#This Row],[Titolo]],Descrizioni,0),MATCH("Price",Intestazioni,0)-1,1,1)),"")</f>
        <v>1.01636388889</v>
      </c>
      <c r="O1452" s="18">
        <f ca="1">IF(OR(Registro_Ordini[[#This Row],[Price]]=0,Registro_Ordini[[#This Row],[Price]]=""),"",IF(Registro_Ordini[[#This Row],[Tipo]]="Sell",Registro_Ordini[[#This Row],[Prezzo]]/Registro_Ordini[[#This Row],[Price]]-1,Registro_Ordini[[#This Row],[Price]]/Registro_Ordini[[#This Row],[Prezzo]]-1))</f>
        <v>7.1548644059040489E-2</v>
      </c>
      <c r="P1452" s="15">
        <v>3.4788648465110393E-2</v>
      </c>
      <c r="Q1452" s="3">
        <v>0.16981823804080515</v>
      </c>
      <c r="R1452" s="3">
        <v>0.31509396924078165</v>
      </c>
      <c r="S1452" s="3">
        <v>0.36562673924496963</v>
      </c>
      <c r="T1452" s="3">
        <v>0</v>
      </c>
      <c r="U1452" s="3">
        <v>0.1494610534734436</v>
      </c>
      <c r="V1452" s="3"/>
      <c r="W1452" s="4"/>
    </row>
    <row r="1453" spans="1:23" ht="24.95" customHeight="1" x14ac:dyDescent="0.2">
      <c r="A1453" s="8">
        <v>44985</v>
      </c>
      <c r="B1453" s="7">
        <v>0.64583333333333337</v>
      </c>
      <c r="C1453" s="9" t="s">
        <v>90</v>
      </c>
      <c r="D1453" s="1" t="s">
        <v>368</v>
      </c>
      <c r="E1453" s="1" t="s">
        <v>363</v>
      </c>
      <c r="F1453" s="1" t="s">
        <v>600</v>
      </c>
      <c r="G1453" s="1" t="s">
        <v>371</v>
      </c>
      <c r="H1453" s="2">
        <v>25000</v>
      </c>
      <c r="I1453" s="16">
        <v>0.97299999999999998</v>
      </c>
      <c r="J1453" s="1" t="s">
        <v>369</v>
      </c>
      <c r="K1453" s="6">
        <f>Registro_Ordini[[#This Row],[Numero]]*Registro_Ordini[[#This Row],[Prezzo]]</f>
        <v>24325</v>
      </c>
      <c r="L1453" s="10">
        <v>1</v>
      </c>
      <c r="M1453" s="6">
        <f>Registro_Ordini[[#This Row],[Importo]]*Registro_Ordini[[#This Row],[Cambio]]</f>
        <v>24325</v>
      </c>
      <c r="N1453" s="1">
        <f ca="1">IFERROR(_xlfn.NUMBERVALUE(OFFSET(Origine,MATCH(Registro_Ordini[[#This Row],[Titolo]],Descrizioni,0),MATCH("Price",Intestazioni,0)-1,1,1)),"")</f>
        <v>0</v>
      </c>
      <c r="O1453" s="18" t="str">
        <f ca="1">IF(OR(Registro_Ordini[[#This Row],[Price]]=0,Registro_Ordini[[#This Row],[Price]]=""),"",IF(Registro_Ordini[[#This Row],[Tipo]]="Sell",Registro_Ordini[[#This Row],[Prezzo]]/Registro_Ordini[[#This Row],[Price]]-1,Registro_Ordini[[#This Row],[Price]]/Registro_Ordini[[#This Row],[Prezzo]]-1))</f>
        <v/>
      </c>
      <c r="P1453" s="15">
        <v>4.4711286525606637E-2</v>
      </c>
      <c r="Q1453" s="3">
        <v>0.15910901203357705</v>
      </c>
      <c r="R1453" s="3">
        <v>0.35439980208837141</v>
      </c>
      <c r="S1453" s="3">
        <v>0.34274288223486771</v>
      </c>
      <c r="T1453" s="3">
        <v>1.8573299281175182E-2</v>
      </c>
      <c r="U1453" s="3">
        <v>0.12517500436200871</v>
      </c>
      <c r="V1453" s="3"/>
      <c r="W1453" s="4"/>
    </row>
    <row r="1454" spans="1:23" ht="24.95" customHeight="1" x14ac:dyDescent="0.2">
      <c r="A1454" s="8">
        <v>44985</v>
      </c>
      <c r="B1454" s="7">
        <v>0.64583333333333337</v>
      </c>
      <c r="C1454" s="9" t="s">
        <v>375</v>
      </c>
      <c r="D1454" s="1" t="s">
        <v>368</v>
      </c>
      <c r="E1454" s="1" t="s">
        <v>363</v>
      </c>
      <c r="F1454" s="1" t="s">
        <v>600</v>
      </c>
      <c r="G1454" s="1" t="s">
        <v>371</v>
      </c>
      <c r="H1454" s="2">
        <v>35000</v>
      </c>
      <c r="I1454" s="16">
        <v>0.97250000000000003</v>
      </c>
      <c r="J1454" s="1" t="s">
        <v>369</v>
      </c>
      <c r="K1454" s="6">
        <f>Registro_Ordini[[#This Row],[Numero]]*Registro_Ordini[[#This Row],[Prezzo]]</f>
        <v>34037.5</v>
      </c>
      <c r="L1454" s="10">
        <v>1</v>
      </c>
      <c r="M1454" s="6">
        <f>Registro_Ordini[[#This Row],[Importo]]*Registro_Ordini[[#This Row],[Cambio]]</f>
        <v>34037.5</v>
      </c>
      <c r="N1454" s="1">
        <f ca="1">IFERROR(_xlfn.NUMBERVALUE(OFFSET(Origine,MATCH(Registro_Ordini[[#This Row],[Titolo]],Descrizioni,0),MATCH("Price",Intestazioni,0)-1,1,1)),"")</f>
        <v>0</v>
      </c>
      <c r="O1454" s="18" t="str">
        <f ca="1">IF(OR(Registro_Ordini[[#This Row],[Price]]=0,Registro_Ordini[[#This Row],[Price]]=""),"",IF(Registro_Ordini[[#This Row],[Tipo]]="Sell",Registro_Ordini[[#This Row],[Prezzo]]/Registro_Ordini[[#This Row],[Price]]-1,Registro_Ordini[[#This Row],[Price]]/Registro_Ordini[[#This Row],[Prezzo]]-1))</f>
        <v/>
      </c>
      <c r="P1454" s="15">
        <v>4.598547748406652E-2</v>
      </c>
      <c r="Q1454" s="3">
        <v>0.23692075693553383</v>
      </c>
      <c r="R1454" s="3">
        <v>0.35526430607015619</v>
      </c>
      <c r="S1454" s="3">
        <v>0.29069671322574497</v>
      </c>
      <c r="T1454" s="3">
        <v>0</v>
      </c>
      <c r="U1454" s="3">
        <v>0.11711822376856494</v>
      </c>
      <c r="V1454" s="3"/>
      <c r="W1454" s="4"/>
    </row>
    <row r="1455" spans="1:23" ht="24.95" customHeight="1" x14ac:dyDescent="0.2">
      <c r="A1455" s="8">
        <v>44985</v>
      </c>
      <c r="B1455" s="7">
        <v>0.64583333333333337</v>
      </c>
      <c r="C1455" s="9" t="s">
        <v>378</v>
      </c>
      <c r="D1455" s="1" t="s">
        <v>368</v>
      </c>
      <c r="E1455" s="1" t="s">
        <v>363</v>
      </c>
      <c r="F1455" s="1" t="s">
        <v>600</v>
      </c>
      <c r="G1455" s="1" t="s">
        <v>371</v>
      </c>
      <c r="H1455" s="2">
        <v>20000</v>
      </c>
      <c r="I1455" s="16">
        <v>0.97250000000000003</v>
      </c>
      <c r="J1455" s="1" t="s">
        <v>369</v>
      </c>
      <c r="K1455" s="6">
        <f>Registro_Ordini[[#This Row],[Numero]]*Registro_Ordini[[#This Row],[Prezzo]]</f>
        <v>19450</v>
      </c>
      <c r="L1455" s="10">
        <v>1</v>
      </c>
      <c r="M1455" s="6">
        <f>Registro_Ordini[[#This Row],[Importo]]*Registro_Ordini[[#This Row],[Cambio]]</f>
        <v>19450</v>
      </c>
      <c r="N1455" s="1">
        <f ca="1">IFERROR(_xlfn.NUMBERVALUE(OFFSET(Origine,MATCH(Registro_Ordini[[#This Row],[Titolo]],Descrizioni,0),MATCH("Price",Intestazioni,0)-1,1,1)),"")</f>
        <v>0</v>
      </c>
      <c r="O1455" s="18" t="str">
        <f ca="1">IF(OR(Registro_Ordini[[#This Row],[Price]]=0,Registro_Ordini[[#This Row],[Price]]=""),"",IF(Registro_Ordini[[#This Row],[Tipo]]="Sell",Registro_Ordini[[#This Row],[Prezzo]]/Registro_Ordini[[#This Row],[Price]]-1,Registro_Ordini[[#This Row],[Price]]/Registro_Ordini[[#This Row],[Prezzo]]-1))</f>
        <v/>
      </c>
      <c r="P1455" s="15">
        <v>4.7064954629183788E-2</v>
      </c>
      <c r="Q1455" s="3">
        <v>0.17634594644091528</v>
      </c>
      <c r="R1455" s="3">
        <v>0.36158866036056392</v>
      </c>
      <c r="S1455" s="3">
        <v>0.32295018861830455</v>
      </c>
      <c r="T1455" s="3">
        <v>1.791916479525775E-2</v>
      </c>
      <c r="U1455" s="3">
        <v>0.12119603978495862</v>
      </c>
      <c r="V1455" s="3"/>
      <c r="W1455" s="4"/>
    </row>
    <row r="1456" spans="1:23" ht="24.95" customHeight="1" x14ac:dyDescent="0.2">
      <c r="A1456" s="8">
        <v>44985</v>
      </c>
      <c r="B1456" s="7">
        <v>0.64583333333333337</v>
      </c>
      <c r="C1456" s="9" t="s">
        <v>594</v>
      </c>
      <c r="D1456" s="1" t="s">
        <v>368</v>
      </c>
      <c r="E1456" s="1" t="s">
        <v>363</v>
      </c>
      <c r="F1456" s="1" t="s">
        <v>600</v>
      </c>
      <c r="G1456" s="1" t="s">
        <v>371</v>
      </c>
      <c r="H1456" s="2">
        <v>25000</v>
      </c>
      <c r="I1456" s="16">
        <v>0.97250000000000003</v>
      </c>
      <c r="J1456" s="1" t="s">
        <v>369</v>
      </c>
      <c r="K1456" s="6">
        <f>Registro_Ordini[[#This Row],[Numero]]*Registro_Ordini[[#This Row],[Prezzo]]</f>
        <v>24312.5</v>
      </c>
      <c r="L1456" s="10">
        <v>1</v>
      </c>
      <c r="M1456" s="6">
        <f>Registro_Ordini[[#This Row],[Importo]]*Registro_Ordini[[#This Row],[Cambio]]</f>
        <v>24312.5</v>
      </c>
      <c r="N1456" s="1">
        <f ca="1">IFERROR(_xlfn.NUMBERVALUE(OFFSET(Origine,MATCH(Registro_Ordini[[#This Row],[Titolo]],Descrizioni,0),MATCH("Price",Intestazioni,0)-1,1,1)),"")</f>
        <v>0</v>
      </c>
      <c r="O1456" s="18" t="str">
        <f ca="1">IF(OR(Registro_Ordini[[#This Row],[Price]]=0,Registro_Ordini[[#This Row],[Price]]=""),"",IF(Registro_Ordini[[#This Row],[Tipo]]="Sell",Registro_Ordini[[#This Row],[Prezzo]]/Registro_Ordini[[#This Row],[Price]]-1,Registro_Ordini[[#This Row],[Price]]/Registro_Ordini[[#This Row],[Prezzo]]-1))</f>
        <v/>
      </c>
      <c r="P1456" s="15">
        <v>4.1148876507571729E-2</v>
      </c>
      <c r="Q1456" s="3">
        <v>0.14285973092407239</v>
      </c>
      <c r="R1456" s="3">
        <v>0.3849802705462867</v>
      </c>
      <c r="S1456" s="3">
        <v>0.35931299127918015</v>
      </c>
      <c r="T1456" s="3">
        <v>2.1108844742516591E-2</v>
      </c>
      <c r="U1456" s="3">
        <v>9.1738162507944088E-2</v>
      </c>
      <c r="V1456" s="3"/>
      <c r="W1456" s="4"/>
    </row>
    <row r="1457" spans="1:23" ht="24.95" customHeight="1" x14ac:dyDescent="0.2">
      <c r="A1457" s="8">
        <v>44985</v>
      </c>
      <c r="B1457" s="7">
        <v>0.64583333333333337</v>
      </c>
      <c r="C1457" s="9" t="s">
        <v>377</v>
      </c>
      <c r="D1457" s="1" t="s">
        <v>368</v>
      </c>
      <c r="E1457" s="1" t="s">
        <v>363</v>
      </c>
      <c r="F1457" s="1" t="s">
        <v>600</v>
      </c>
      <c r="G1457" s="1" t="s">
        <v>371</v>
      </c>
      <c r="H1457" s="2">
        <v>60000</v>
      </c>
      <c r="I1457" s="16">
        <v>0.97250000000000003</v>
      </c>
      <c r="J1457" s="1" t="s">
        <v>369</v>
      </c>
      <c r="K1457" s="6">
        <f>Registro_Ordini[[#This Row],[Numero]]*Registro_Ordini[[#This Row],[Prezzo]]</f>
        <v>58350</v>
      </c>
      <c r="L1457" s="10">
        <v>1</v>
      </c>
      <c r="M1457" s="6">
        <f>Registro_Ordini[[#This Row],[Importo]]*Registro_Ordini[[#This Row],[Cambio]]</f>
        <v>58350</v>
      </c>
      <c r="N1457" s="1">
        <f ca="1">IFERROR(_xlfn.NUMBERVALUE(OFFSET(Origine,MATCH(Registro_Ordini[[#This Row],[Titolo]],Descrizioni,0),MATCH("Price",Intestazioni,0)-1,1,1)),"")</f>
        <v>0</v>
      </c>
      <c r="O1457" s="18" t="str">
        <f ca="1">IF(OR(Registro_Ordini[[#This Row],[Price]]=0,Registro_Ordini[[#This Row],[Price]]=""),"",IF(Registro_Ordini[[#This Row],[Tipo]]="Sell",Registro_Ordini[[#This Row],[Prezzo]]/Registro_Ordini[[#This Row],[Price]]-1,Registro_Ordini[[#This Row],[Price]]/Registro_Ordini[[#This Row],[Prezzo]]-1))</f>
        <v/>
      </c>
      <c r="P1457" s="15">
        <v>4.3048602333713888E-2</v>
      </c>
      <c r="Q1457" s="3">
        <v>0.17907650998309213</v>
      </c>
      <c r="R1457" s="3">
        <v>0.35705223037305656</v>
      </c>
      <c r="S1457" s="3">
        <v>0.37595000925098321</v>
      </c>
      <c r="T1457" s="3">
        <v>2.0128080431354743E-2</v>
      </c>
      <c r="U1457" s="3">
        <v>6.7793169961513286E-2</v>
      </c>
      <c r="V1457" s="3"/>
      <c r="W1457" s="4"/>
    </row>
    <row r="1458" spans="1:23" ht="24.95" customHeight="1" x14ac:dyDescent="0.2">
      <c r="A1458" s="8">
        <v>44985</v>
      </c>
      <c r="B1458" s="7">
        <v>0.64583333333333337</v>
      </c>
      <c r="C1458" s="9" t="s">
        <v>376</v>
      </c>
      <c r="D1458" s="1" t="s">
        <v>368</v>
      </c>
      <c r="E1458" s="1" t="s">
        <v>363</v>
      </c>
      <c r="F1458" s="1" t="s">
        <v>600</v>
      </c>
      <c r="G1458" s="1" t="s">
        <v>371</v>
      </c>
      <c r="H1458" s="2">
        <v>10000</v>
      </c>
      <c r="I1458" s="16">
        <v>0.97250000000000003</v>
      </c>
      <c r="J1458" s="1" t="s">
        <v>369</v>
      </c>
      <c r="K1458" s="6">
        <f>Registro_Ordini[[#This Row],[Numero]]*Registro_Ordini[[#This Row],[Prezzo]]</f>
        <v>9725</v>
      </c>
      <c r="L1458" s="10">
        <v>1</v>
      </c>
      <c r="M1458" s="6">
        <f>Registro_Ordini[[#This Row],[Importo]]*Registro_Ordini[[#This Row],[Cambio]]</f>
        <v>9725</v>
      </c>
      <c r="N1458" s="1">
        <f ca="1">IFERROR(_xlfn.NUMBERVALUE(OFFSET(Origine,MATCH(Registro_Ordini[[#This Row],[Titolo]],Descrizioni,0),MATCH("Price",Intestazioni,0)-1,1,1)),"")</f>
        <v>0</v>
      </c>
      <c r="O1458" s="18" t="str">
        <f ca="1">IF(OR(Registro_Ordini[[#This Row],[Price]]=0,Registro_Ordini[[#This Row],[Price]]=""),"",IF(Registro_Ordini[[#This Row],[Tipo]]="Sell",Registro_Ordini[[#This Row],[Prezzo]]/Registro_Ordini[[#This Row],[Price]]-1,Registro_Ordini[[#This Row],[Price]]/Registro_Ordini[[#This Row],[Prezzo]]-1))</f>
        <v/>
      </c>
      <c r="P1458" s="15">
        <v>3.5659645125151566E-2</v>
      </c>
      <c r="Q1458" s="3">
        <v>0.13499451811697349</v>
      </c>
      <c r="R1458" s="3">
        <v>0.35005147376928342</v>
      </c>
      <c r="S1458" s="3">
        <v>0.36553177440701734</v>
      </c>
      <c r="T1458" s="3">
        <v>0</v>
      </c>
      <c r="U1458" s="3">
        <v>0.14942223370672578</v>
      </c>
      <c r="V1458" s="3"/>
      <c r="W1458" s="4"/>
    </row>
    <row r="1459" spans="1:23" ht="24.95" customHeight="1" x14ac:dyDescent="0.2">
      <c r="A1459" s="8">
        <v>44985</v>
      </c>
      <c r="B1459" s="7"/>
      <c r="C1459" s="9" t="s">
        <v>645</v>
      </c>
      <c r="D1459" s="1" t="s">
        <v>368</v>
      </c>
      <c r="E1459" s="1" t="s">
        <v>363</v>
      </c>
      <c r="F1459" s="1" t="s">
        <v>646</v>
      </c>
      <c r="G1459" s="1" t="s">
        <v>365</v>
      </c>
      <c r="H1459" s="2">
        <v>-100</v>
      </c>
      <c r="I1459" s="16">
        <v>207.2501</v>
      </c>
      <c r="J1459" s="1" t="s">
        <v>381</v>
      </c>
      <c r="K1459" s="6">
        <f>Registro_Ordini[[#This Row],[Numero]]*Registro_Ordini[[#This Row],[Prezzo]]</f>
        <v>-20725.010000000002</v>
      </c>
      <c r="L1459" s="10">
        <v>1</v>
      </c>
      <c r="M1459" s="6">
        <f>Registro_Ordini[[#This Row],[Importo]]*Registro_Ordini[[#This Row],[Cambio]]</f>
        <v>-20725.010000000002</v>
      </c>
      <c r="N1459" s="1" t="str">
        <f ca="1">IFERROR(_xlfn.NUMBERVALUE(OFFSET(Origine,MATCH(Registro_Ordini[[#This Row],[Titolo]],Descrizioni,0),MATCH("Price",Intestazioni,0)-1,1,1)),"")</f>
        <v/>
      </c>
      <c r="O1459" s="18" t="str">
        <f ca="1">IF(OR(Registro_Ordini[[#This Row],[Price]]=0,Registro_Ordini[[#This Row],[Price]]=""),"",IF(Registro_Ordini[[#This Row],[Tipo]]="Sell",Registro_Ordini[[#This Row],[Prezzo]]/Registro_Ordini[[#This Row],[Price]]-1,Registro_Ordini[[#This Row],[Price]]/Registro_Ordini[[#This Row],[Prezzo]]-1))</f>
        <v/>
      </c>
      <c r="P1459" s="15">
        <v>-4.521035105406826E-2</v>
      </c>
      <c r="Q1459" s="3">
        <v>0.58400214106546611</v>
      </c>
      <c r="R1459" s="3">
        <v>0.198507438419115</v>
      </c>
      <c r="S1459" s="3">
        <v>0.12272015099154239</v>
      </c>
      <c r="T1459" s="3">
        <v>0</v>
      </c>
      <c r="U1459" s="3">
        <v>9.477026952387653E-2</v>
      </c>
      <c r="V1459" s="3"/>
      <c r="W1459" s="4"/>
    </row>
    <row r="1460" spans="1:23" ht="24.95" customHeight="1" x14ac:dyDescent="0.2">
      <c r="A1460" s="8">
        <v>44985</v>
      </c>
      <c r="B1460" s="7"/>
      <c r="C1460" s="9" t="s">
        <v>645</v>
      </c>
      <c r="D1460" s="1" t="s">
        <v>388</v>
      </c>
      <c r="E1460" s="1" t="s">
        <v>403</v>
      </c>
      <c r="F1460" s="1" t="s">
        <v>548</v>
      </c>
      <c r="G1460" s="1" t="s">
        <v>365</v>
      </c>
      <c r="H1460" s="2">
        <v>-370</v>
      </c>
      <c r="I1460" s="17">
        <v>28.355</v>
      </c>
      <c r="J1460" s="1" t="s">
        <v>381</v>
      </c>
      <c r="K1460" s="6">
        <f>Registro_Ordini[[#This Row],[Numero]]*Registro_Ordini[[#This Row],[Prezzo]]</f>
        <v>-10491.35</v>
      </c>
      <c r="L1460" s="10">
        <v>1</v>
      </c>
      <c r="M1460" s="6">
        <f>Registro_Ordini[[#This Row],[Importo]]*Registro_Ordini[[#This Row],[Cambio]]</f>
        <v>-10491.35</v>
      </c>
      <c r="N1460" s="1" t="str">
        <f ca="1">IFERROR(_xlfn.NUMBERVALUE(OFFSET(Origine,MATCH(Registro_Ordini[[#This Row],[Titolo]],Descrizioni,0),MATCH("Price",Intestazioni,0)-1,1,1)),"")</f>
        <v/>
      </c>
      <c r="O1460" s="18" t="str">
        <f ca="1">IF(OR(Registro_Ordini[[#This Row],[Price]]=0,Registro_Ordini[[#This Row],[Price]]=""),"",IF(Registro_Ordini[[#This Row],[Tipo]]="Sell",Registro_Ordini[[#This Row],[Prezzo]]/Registro_Ordini[[#This Row],[Price]]-1,Registro_Ordini[[#This Row],[Price]]/Registro_Ordini[[#This Row],[Prezzo]]-1))</f>
        <v/>
      </c>
      <c r="P1460" s="15">
        <v>-2.2886243072070853E-2</v>
      </c>
      <c r="Q1460" s="3">
        <v>0.82303243261871384</v>
      </c>
      <c r="R1460" s="3">
        <v>0</v>
      </c>
      <c r="S1460" s="3">
        <v>8.2197297857409729E-2</v>
      </c>
      <c r="T1460" s="3">
        <v>0</v>
      </c>
      <c r="U1460" s="3">
        <v>9.4770269523876544E-2</v>
      </c>
      <c r="V1460" s="3"/>
      <c r="W1460" s="4"/>
    </row>
    <row r="1461" spans="1:23" ht="24.95" customHeight="1" x14ac:dyDescent="0.2">
      <c r="A1461" s="8">
        <v>44985</v>
      </c>
      <c r="B1461" s="7"/>
      <c r="C1461" s="9" t="s">
        <v>645</v>
      </c>
      <c r="D1461" s="1" t="s">
        <v>368</v>
      </c>
      <c r="E1461" s="1" t="s">
        <v>363</v>
      </c>
      <c r="F1461" s="1" t="s">
        <v>631</v>
      </c>
      <c r="G1461" s="1" t="s">
        <v>365</v>
      </c>
      <c r="H1461" s="2">
        <v>-100</v>
      </c>
      <c r="I1461" s="16">
        <v>99.96</v>
      </c>
      <c r="J1461" s="1" t="s">
        <v>381</v>
      </c>
      <c r="K1461" s="6">
        <f>Registro_Ordini[[#This Row],[Numero]]*Registro_Ordini[[#This Row],[Prezzo]]</f>
        <v>-9996</v>
      </c>
      <c r="L1461" s="10">
        <v>1</v>
      </c>
      <c r="M1461" s="6">
        <f>Registro_Ordini[[#This Row],[Importo]]*Registro_Ordini[[#This Row],[Cambio]]</f>
        <v>-9996</v>
      </c>
      <c r="N1461" s="1" t="str">
        <f ca="1">IFERROR(_xlfn.NUMBERVALUE(OFFSET(Origine,MATCH(Registro_Ordini[[#This Row],[Titolo]],Descrizioni,0),MATCH("Price",Intestazioni,0)-1,1,1)),"")</f>
        <v/>
      </c>
      <c r="O1461" s="18" t="str">
        <f ca="1">IF(OR(Registro_Ordini[[#This Row],[Price]]=0,Registro_Ordini[[#This Row],[Price]]=""),"",IF(Registro_Ordini[[#This Row],[Tipo]]="Sell",Registro_Ordini[[#This Row],[Prezzo]]/Registro_Ordini[[#This Row],[Price]]-1,Registro_Ordini[[#This Row],[Price]]/Registro_Ordini[[#This Row],[Prezzo]]-1))</f>
        <v/>
      </c>
      <c r="P1461" s="15">
        <v>-2.1805667120858633E-2</v>
      </c>
      <c r="Q1461" s="3">
        <v>0.41668898058415516</v>
      </c>
      <c r="R1461" s="3">
        <v>0.3658205989004259</v>
      </c>
      <c r="S1461" s="3">
        <v>0.12272015099154239</v>
      </c>
      <c r="T1461" s="3">
        <v>0</v>
      </c>
      <c r="U1461" s="3">
        <v>9.477026952387653E-2</v>
      </c>
      <c r="V1461" s="3"/>
      <c r="W1461" s="4"/>
    </row>
    <row r="1462" spans="1:23" ht="24.95" customHeight="1" x14ac:dyDescent="0.2">
      <c r="A1462" s="8">
        <v>44985</v>
      </c>
      <c r="B1462" s="7"/>
      <c r="C1462" s="9" t="s">
        <v>645</v>
      </c>
      <c r="D1462" s="1" t="s">
        <v>362</v>
      </c>
      <c r="E1462" s="1" t="s">
        <v>363</v>
      </c>
      <c r="F1462" s="1" t="s">
        <v>391</v>
      </c>
      <c r="G1462" s="1" t="s">
        <v>365</v>
      </c>
      <c r="H1462" s="2">
        <v>-43000</v>
      </c>
      <c r="I1462" s="17">
        <v>1</v>
      </c>
      <c r="J1462" s="1" t="s">
        <v>369</v>
      </c>
      <c r="K1462" s="6">
        <f>Registro_Ordini[[#This Row],[Numero]]*Registro_Ordini[[#This Row],[Prezzo]]</f>
        <v>-43000</v>
      </c>
      <c r="L1462" s="10">
        <v>1.005479865265698</v>
      </c>
      <c r="M1462" s="6">
        <f>Registro_Ordini[[#This Row],[Importo]]*Registro_Ordini[[#This Row],[Cambio]]</f>
        <v>-43235.634206425013</v>
      </c>
      <c r="N1462" s="1">
        <f ca="1">IFERROR(_xlfn.NUMBERVALUE(OFFSET(Origine,MATCH(Registro_Ordini[[#This Row],[Titolo]],Descrizioni,0),MATCH("Price",Intestazioni,0)-1,1,1)),"")</f>
        <v>1.0000001300000001</v>
      </c>
      <c r="O1462" s="18">
        <f ca="1">IF(OR(Registro_Ordini[[#This Row],[Price]]=0,Registro_Ordini[[#This Row],[Price]]=""),"",IF(Registro_Ordini[[#This Row],[Tipo]]="Sell",Registro_Ordini[[#This Row],[Prezzo]]/Registro_Ordini[[#This Row],[Price]]-1,Registro_Ordini[[#This Row],[Price]]/Registro_Ordini[[#This Row],[Prezzo]]-1))</f>
        <v>-1.2999998322271722E-7</v>
      </c>
      <c r="P1462" s="15">
        <v>-9.4087926605651961E-2</v>
      </c>
      <c r="Q1462" s="3">
        <v>1</v>
      </c>
      <c r="R1462" s="3">
        <v>0</v>
      </c>
      <c r="S1462" s="3">
        <v>0</v>
      </c>
      <c r="T1462" s="3">
        <v>0</v>
      </c>
      <c r="U1462" s="3">
        <v>0</v>
      </c>
      <c r="V1462" s="3"/>
      <c r="W1462" s="4"/>
    </row>
    <row r="1463" spans="1:23" ht="24.95" customHeight="1" x14ac:dyDescent="0.2">
      <c r="A1463" s="8">
        <v>44985</v>
      </c>
      <c r="B1463" s="7"/>
      <c r="C1463" s="9" t="s">
        <v>645</v>
      </c>
      <c r="D1463" s="1" t="s">
        <v>362</v>
      </c>
      <c r="E1463" s="1" t="s">
        <v>363</v>
      </c>
      <c r="F1463" s="1" t="s">
        <v>364</v>
      </c>
      <c r="G1463" s="1" t="s">
        <v>365</v>
      </c>
      <c r="H1463" s="2">
        <v>-100000</v>
      </c>
      <c r="I1463" s="17">
        <v>1</v>
      </c>
      <c r="J1463" s="1" t="s">
        <v>366</v>
      </c>
      <c r="K1463" s="6">
        <f>Registro_Ordini[[#This Row],[Numero]]*Registro_Ordini[[#This Row],[Prezzo]]</f>
        <v>-100000</v>
      </c>
      <c r="L1463" s="10">
        <v>0.94069679754662905</v>
      </c>
      <c r="M1463" s="6">
        <f>Registro_Ordini[[#This Row],[Importo]]*Registro_Ordini[[#This Row],[Cambio]]</f>
        <v>-94069.67975466291</v>
      </c>
      <c r="N1463" s="1">
        <f ca="1">IFERROR(_xlfn.NUMBERVALUE(OFFSET(Origine,MATCH(Registro_Ordini[[#This Row],[Titolo]],Descrizioni,0),MATCH("Price",Intestazioni,0)-1,1,1)),"")</f>
        <v>0.78225</v>
      </c>
      <c r="O1463" s="18">
        <f ca="1">IF(OR(Registro_Ordini[[#This Row],[Price]]=0,Registro_Ordini[[#This Row],[Price]]=""),"",IF(Registro_Ordini[[#This Row],[Tipo]]="Sell",Registro_Ordini[[#This Row],[Prezzo]]/Registro_Ordini[[#This Row],[Price]]-1,Registro_Ordini[[#This Row],[Price]]/Registro_Ordini[[#This Row],[Prezzo]]-1))</f>
        <v>0.27836369447107701</v>
      </c>
      <c r="P1463" s="15">
        <v>-0.20471125928941816</v>
      </c>
      <c r="Q1463" s="3">
        <v>1</v>
      </c>
      <c r="R1463" s="3">
        <v>0</v>
      </c>
      <c r="S1463" s="3">
        <v>0</v>
      </c>
      <c r="T1463" s="3">
        <v>0</v>
      </c>
      <c r="U1463" s="3">
        <v>0</v>
      </c>
      <c r="V1463" s="3"/>
      <c r="W1463" s="4"/>
    </row>
    <row r="1464" spans="1:23" ht="24.95" customHeight="1" x14ac:dyDescent="0.2">
      <c r="A1464" s="8">
        <v>44985</v>
      </c>
      <c r="B1464" s="7"/>
      <c r="C1464" s="9" t="s">
        <v>645</v>
      </c>
      <c r="D1464" s="1" t="s">
        <v>388</v>
      </c>
      <c r="E1464" s="1" t="s">
        <v>603</v>
      </c>
      <c r="F1464" s="1" t="s">
        <v>604</v>
      </c>
      <c r="G1464" s="1" t="s">
        <v>365</v>
      </c>
      <c r="H1464" s="2">
        <v>-1000</v>
      </c>
      <c r="I1464" s="17">
        <v>58.07</v>
      </c>
      <c r="J1464" s="1" t="s">
        <v>605</v>
      </c>
      <c r="K1464" s="6">
        <f>Registro_Ordini[[#This Row],[Numero]]*Registro_Ordini[[#This Row],[Prezzo]]</f>
        <v>-58070</v>
      </c>
      <c r="L1464" s="10">
        <v>9.0251872706249056E-2</v>
      </c>
      <c r="M1464" s="6">
        <f>Registro_Ordini[[#This Row],[Importo]]*Registro_Ordini[[#This Row],[Cambio]]</f>
        <v>-5240.9262480518828</v>
      </c>
      <c r="N1464" s="1">
        <f ca="1">IFERROR(_xlfn.NUMBERVALUE(OFFSET(Origine,MATCH(Registro_Ordini[[#This Row],[Titolo]],Descrizioni,0),MATCH("Price",Intestazioni,0)-1,1,1)),"")</f>
        <v>0</v>
      </c>
      <c r="O1464" s="18" t="str">
        <f ca="1">IF(OR(Registro_Ordini[[#This Row],[Price]]=0,Registro_Ordini[[#This Row],[Price]]=""),"",IF(Registro_Ordini[[#This Row],[Tipo]]="Sell",Registro_Ordini[[#This Row],[Prezzo]]/Registro_Ordini[[#This Row],[Price]]-1,Registro_Ordini[[#This Row],[Price]]/Registro_Ordini[[#This Row],[Prezzo]]-1))</f>
        <v/>
      </c>
      <c r="P1464" s="15">
        <v>-1.1243551273499693E-2</v>
      </c>
      <c r="Q1464" s="3">
        <v>0.8550326580504013</v>
      </c>
      <c r="R1464" s="3">
        <v>0</v>
      </c>
      <c r="S1464" s="3">
        <v>5.1765511519915902E-2</v>
      </c>
      <c r="T1464" s="3">
        <v>0</v>
      </c>
      <c r="U1464" s="3">
        <v>9.3201830429682844E-2</v>
      </c>
      <c r="V1464" s="3"/>
      <c r="W1464" s="4"/>
    </row>
    <row r="1465" spans="1:23" ht="24.95" customHeight="1" x14ac:dyDescent="0.2">
      <c r="A1465" s="8">
        <v>44985</v>
      </c>
      <c r="B1465" s="7"/>
      <c r="C1465" s="9" t="s">
        <v>645</v>
      </c>
      <c r="D1465" s="1" t="s">
        <v>368</v>
      </c>
      <c r="E1465" s="1" t="s">
        <v>363</v>
      </c>
      <c r="F1465" s="1" t="s">
        <v>574</v>
      </c>
      <c r="G1465" s="1" t="s">
        <v>365</v>
      </c>
      <c r="H1465" s="2">
        <v>-4675</v>
      </c>
      <c r="I1465" s="16">
        <v>5.4855999999999998</v>
      </c>
      <c r="J1465" s="1" t="s">
        <v>366</v>
      </c>
      <c r="K1465" s="6">
        <f>Registro_Ordini[[#This Row],[Numero]]*Registro_Ordini[[#This Row],[Prezzo]]</f>
        <v>-25645.18</v>
      </c>
      <c r="L1465" s="10">
        <v>0.94069679754662905</v>
      </c>
      <c r="M1465" s="6">
        <f>Registro_Ordini[[#This Row],[Importo]]*Registro_Ordini[[#This Row],[Cambio]]</f>
        <v>-24124.338698506861</v>
      </c>
      <c r="N1465" s="1">
        <f ca="1">IFERROR(_xlfn.NUMBERVALUE(OFFSET(Origine,MATCH(Registro_Ordini[[#This Row],[Titolo]],Descrizioni,0),MATCH("Price",Intestazioni,0)-1,1,1)),"")</f>
        <v>6.2729999999999997</v>
      </c>
      <c r="O1465" s="18">
        <f ca="1">IF(OR(Registro_Ordini[[#This Row],[Price]]=0,Registro_Ordini[[#This Row],[Price]]=""),"",IF(Registro_Ordini[[#This Row],[Tipo]]="Sell",Registro_Ordini[[#This Row],[Prezzo]]/Registro_Ordini[[#This Row],[Price]]-1,Registro_Ordini[[#This Row],[Price]]/Registro_Ordini[[#This Row],[Prezzo]]-1))</f>
        <v>-0.12552207875019927</v>
      </c>
      <c r="P1465" s="15">
        <v>-5.2625780229140516E-2</v>
      </c>
      <c r="Q1465" s="3">
        <v>0.67786295111607187</v>
      </c>
      <c r="R1465" s="3">
        <v>0.10464662836850921</v>
      </c>
      <c r="S1465" s="3">
        <v>0.12272015099154239</v>
      </c>
      <c r="T1465" s="3">
        <v>0</v>
      </c>
      <c r="U1465" s="3">
        <v>9.477026952387653E-2</v>
      </c>
      <c r="V1465" s="3"/>
      <c r="W1465" s="4"/>
    </row>
    <row r="1466" spans="1:23" ht="24.95" customHeight="1" x14ac:dyDescent="0.2">
      <c r="A1466" s="8">
        <v>44985</v>
      </c>
      <c r="B1466" s="7"/>
      <c r="C1466" s="9" t="s">
        <v>645</v>
      </c>
      <c r="D1466" s="1" t="s">
        <v>368</v>
      </c>
      <c r="E1466" s="1" t="s">
        <v>363</v>
      </c>
      <c r="F1466" s="1" t="s">
        <v>580</v>
      </c>
      <c r="G1466" s="1" t="s">
        <v>365</v>
      </c>
      <c r="H1466" s="2">
        <v>-300</v>
      </c>
      <c r="I1466" s="16">
        <v>79.490099999999998</v>
      </c>
      <c r="J1466" s="1" t="s">
        <v>381</v>
      </c>
      <c r="K1466" s="6">
        <f>Registro_Ordini[[#This Row],[Numero]]*Registro_Ordini[[#This Row],[Prezzo]]</f>
        <v>-23847.03</v>
      </c>
      <c r="L1466" s="10">
        <v>1</v>
      </c>
      <c r="M1466" s="6">
        <f>Registro_Ordini[[#This Row],[Importo]]*Registro_Ordini[[#This Row],[Cambio]]</f>
        <v>-23847.03</v>
      </c>
      <c r="N1466" s="1">
        <f ca="1">IFERROR(_xlfn.NUMBERVALUE(OFFSET(Origine,MATCH(Registro_Ordini[[#This Row],[Titolo]],Descrizioni,0),MATCH("Price",Intestazioni,0)-1,1,1)),"")</f>
        <v>74.447999999999993</v>
      </c>
      <c r="O1466" s="18">
        <f ca="1">IF(OR(Registro_Ordini[[#This Row],[Price]]=0,Registro_Ordini[[#This Row],[Price]]=""),"",IF(Registro_Ordini[[#This Row],[Tipo]]="Sell",Registro_Ordini[[#This Row],[Prezzo]]/Registro_Ordini[[#This Row],[Price]]-1,Registro_Ordini[[#This Row],[Price]]/Registro_Ordini[[#This Row],[Prezzo]]-1))</f>
        <v>6.7726466795615892E-2</v>
      </c>
      <c r="P1466" s="15">
        <v>-5.2020848139368685E-2</v>
      </c>
      <c r="Q1466" s="3">
        <v>0.73048873134521231</v>
      </c>
      <c r="R1466" s="3">
        <v>5.2020848139368685E-2</v>
      </c>
      <c r="S1466" s="3">
        <v>0.12272015099154239</v>
      </c>
      <c r="T1466" s="3">
        <v>0</v>
      </c>
      <c r="U1466" s="3">
        <v>9.477026952387653E-2</v>
      </c>
      <c r="V1466" s="3"/>
      <c r="W1466" s="4"/>
    </row>
    <row r="1467" spans="1:23" ht="24.95" customHeight="1" x14ac:dyDescent="0.2">
      <c r="A1467" s="8">
        <v>44985</v>
      </c>
      <c r="B1467" s="7"/>
      <c r="C1467" s="9" t="s">
        <v>645</v>
      </c>
      <c r="D1467" s="1" t="s">
        <v>368</v>
      </c>
      <c r="E1467" s="1" t="s">
        <v>363</v>
      </c>
      <c r="F1467" s="1" t="s">
        <v>647</v>
      </c>
      <c r="G1467" s="1" t="s">
        <v>365</v>
      </c>
      <c r="H1467" s="2">
        <v>-215</v>
      </c>
      <c r="I1467" s="16">
        <v>215.89</v>
      </c>
      <c r="J1467" s="1" t="s">
        <v>381</v>
      </c>
      <c r="K1467" s="6">
        <f>Registro_Ordini[[#This Row],[Numero]]*Registro_Ordini[[#This Row],[Prezzo]]</f>
        <v>-46416.35</v>
      </c>
      <c r="L1467" s="10">
        <v>1</v>
      </c>
      <c r="M1467" s="6">
        <f>Registro_Ordini[[#This Row],[Importo]]*Registro_Ordini[[#This Row],[Cambio]]</f>
        <v>-46416.35</v>
      </c>
      <c r="N1467" s="1">
        <f ca="1">IFERROR(_xlfn.NUMBERVALUE(OFFSET(Origine,MATCH(Registro_Ordini[[#This Row],[Titolo]],Descrizioni,0),MATCH("Price",Intestazioni,0)-1,1,1)),"")</f>
        <v>236.08</v>
      </c>
      <c r="O1467" s="18">
        <f ca="1">IF(OR(Registro_Ordini[[#This Row],[Price]]=0,Registro_Ordini[[#This Row],[Price]]=""),"",IF(Registro_Ordini[[#This Row],[Tipo]]="Sell",Registro_Ordini[[#This Row],[Prezzo]]/Registro_Ordini[[#This Row],[Price]]-1,Registro_Ordini[[#This Row],[Price]]/Registro_Ordini[[#This Row],[Prezzo]]-1))</f>
        <v>-8.5521856997628043E-2</v>
      </c>
      <c r="P1467" s="15">
        <v>-0.10125444948632119</v>
      </c>
      <c r="Q1467" s="3">
        <v>0.43849464770501378</v>
      </c>
      <c r="R1467" s="3">
        <v>0.34401493177956727</v>
      </c>
      <c r="S1467" s="3">
        <v>0.12272015099154239</v>
      </c>
      <c r="T1467" s="3">
        <v>0</v>
      </c>
      <c r="U1467" s="3">
        <v>9.477026952387653E-2</v>
      </c>
      <c r="V1467" s="3"/>
      <c r="W1467" s="4"/>
    </row>
    <row r="1468" spans="1:23" ht="24.95" customHeight="1" x14ac:dyDescent="0.2">
      <c r="A1468" s="8">
        <v>44985</v>
      </c>
      <c r="B1468" s="7"/>
      <c r="C1468" s="9" t="s">
        <v>645</v>
      </c>
      <c r="D1468" s="1" t="s">
        <v>388</v>
      </c>
      <c r="E1468" s="1" t="s">
        <v>389</v>
      </c>
      <c r="F1468" s="1" t="s">
        <v>531</v>
      </c>
      <c r="G1468" s="1" t="s">
        <v>365</v>
      </c>
      <c r="H1468" s="2">
        <v>-900</v>
      </c>
      <c r="I1468" s="17">
        <v>7.5839999999999996</v>
      </c>
      <c r="J1468" s="1" t="s">
        <v>366</v>
      </c>
      <c r="K1468" s="6">
        <f>Registro_Ordini[[#This Row],[Numero]]*Registro_Ordini[[#This Row],[Prezzo]]</f>
        <v>-6825.5999999999995</v>
      </c>
      <c r="L1468" s="10">
        <v>0.94069679754662905</v>
      </c>
      <c r="M1468" s="6">
        <f>Registro_Ordini[[#This Row],[Importo]]*Registro_Ordini[[#This Row],[Cambio]]</f>
        <v>-6420.8200613342706</v>
      </c>
      <c r="N1468" s="1">
        <f ca="1">IFERROR(_xlfn.NUMBERVALUE(OFFSET(Origine,MATCH(Registro_Ordini[[#This Row],[Titolo]],Descrizioni,0),MATCH("Price",Intestazioni,0)-1,1,1)),"")</f>
        <v>10.435</v>
      </c>
      <c r="O1468" s="18">
        <f ca="1">IF(OR(Registro_Ordini[[#This Row],[Price]]=0,Registro_Ordini[[#This Row],[Price]]=""),"",IF(Registro_Ordini[[#This Row],[Tipo]]="Sell",Registro_Ordini[[#This Row],[Prezzo]]/Registro_Ordini[[#This Row],[Price]]-1,Registro_Ordini[[#This Row],[Price]]/Registro_Ordini[[#This Row],[Prezzo]]-1))</f>
        <v>-0.27321514135122194</v>
      </c>
      <c r="P1468" s="15">
        <v>-1.3774820739819086E-2</v>
      </c>
      <c r="Q1468" s="3">
        <v>0.86627620932390104</v>
      </c>
      <c r="R1468" s="3">
        <v>0</v>
      </c>
      <c r="S1468" s="3">
        <v>4.052196024641621E-2</v>
      </c>
      <c r="T1468" s="3">
        <v>0</v>
      </c>
      <c r="U1468" s="3">
        <v>9.320183042968283E-2</v>
      </c>
      <c r="V1468" s="3"/>
      <c r="W1468" s="4"/>
    </row>
    <row r="1469" spans="1:23" ht="24.95" customHeight="1" x14ac:dyDescent="0.2">
      <c r="A1469" s="8">
        <v>44985</v>
      </c>
      <c r="B1469" s="7"/>
      <c r="C1469" s="9" t="s">
        <v>645</v>
      </c>
      <c r="D1469" s="1" t="s">
        <v>368</v>
      </c>
      <c r="E1469" s="1" t="s">
        <v>363</v>
      </c>
      <c r="F1469" s="1" t="s">
        <v>648</v>
      </c>
      <c r="G1469" s="1" t="s">
        <v>365</v>
      </c>
      <c r="H1469" s="2">
        <v>-170</v>
      </c>
      <c r="I1469" s="16">
        <v>119.3304</v>
      </c>
      <c r="J1469" s="1" t="s">
        <v>381</v>
      </c>
      <c r="K1469" s="6">
        <f>Registro_Ordini[[#This Row],[Numero]]*Registro_Ordini[[#This Row],[Prezzo]]</f>
        <v>-20286.167999999998</v>
      </c>
      <c r="L1469" s="10">
        <v>1</v>
      </c>
      <c r="M1469" s="6">
        <f>Registro_Ordini[[#This Row],[Importo]]*Registro_Ordini[[#This Row],[Cambio]]</f>
        <v>-20286.167999999998</v>
      </c>
      <c r="N1469" s="1" t="str">
        <f ca="1">IFERROR(_xlfn.NUMBERVALUE(OFFSET(Origine,MATCH(Registro_Ordini[[#This Row],[Titolo]],Descrizioni,0),MATCH("Price",Intestazioni,0)-1,1,1)),"")</f>
        <v/>
      </c>
      <c r="O1469" s="18" t="str">
        <f ca="1">IF(OR(Registro_Ordini[[#This Row],[Price]]=0,Registro_Ordini[[#This Row],[Price]]=""),"",IF(Registro_Ordini[[#This Row],[Tipo]]="Sell",Registro_Ordini[[#This Row],[Prezzo]]/Registro_Ordini[[#This Row],[Price]]-1,Registro_Ordini[[#This Row],[Price]]/Registro_Ordini[[#This Row],[Prezzo]]-1))</f>
        <v/>
      </c>
      <c r="P1469" s="15">
        <v>-4.42530438741311E-2</v>
      </c>
      <c r="Q1469" s="3">
        <v>0.53974909719133501</v>
      </c>
      <c r="R1469" s="3">
        <v>0.24276048229324612</v>
      </c>
      <c r="S1469" s="3">
        <v>0.12272015099154239</v>
      </c>
      <c r="T1469" s="3">
        <v>0</v>
      </c>
      <c r="U1469" s="3">
        <v>9.477026952387653E-2</v>
      </c>
      <c r="V1469" s="3"/>
      <c r="W1469" s="4"/>
    </row>
    <row r="1470" spans="1:23" ht="24.95" customHeight="1" x14ac:dyDescent="0.2">
      <c r="A1470" s="8">
        <v>44985</v>
      </c>
      <c r="B1470" s="7"/>
      <c r="C1470" s="9" t="s">
        <v>645</v>
      </c>
      <c r="D1470" s="1" t="s">
        <v>368</v>
      </c>
      <c r="E1470" s="1" t="s">
        <v>363</v>
      </c>
      <c r="F1470" s="1" t="s">
        <v>649</v>
      </c>
      <c r="G1470" s="1" t="s">
        <v>365</v>
      </c>
      <c r="H1470" s="2">
        <v>-2100</v>
      </c>
      <c r="I1470" s="16">
        <v>10.62</v>
      </c>
      <c r="J1470" s="1" t="s">
        <v>381</v>
      </c>
      <c r="K1470" s="6">
        <f>Registro_Ordini[[#This Row],[Numero]]*Registro_Ordini[[#This Row],[Prezzo]]</f>
        <v>-22302</v>
      </c>
      <c r="L1470" s="10">
        <v>1</v>
      </c>
      <c r="M1470" s="6">
        <f>Registro_Ordini[[#This Row],[Importo]]*Registro_Ordini[[#This Row],[Cambio]]</f>
        <v>-22302</v>
      </c>
      <c r="N1470" s="1">
        <f ca="1">IFERROR(_xlfn.NUMBERVALUE(OFFSET(Origine,MATCH(Registro_Ordini[[#This Row],[Titolo]],Descrizioni,0),MATCH("Price",Intestazioni,0)-1,1,1)),"")</f>
        <v>11.94</v>
      </c>
      <c r="O1470" s="18">
        <f ca="1">IF(OR(Registro_Ordini[[#This Row],[Price]]=0,Registro_Ordini[[#This Row],[Price]]=""),"",IF(Registro_Ordini[[#This Row],[Tipo]]="Sell",Registro_Ordini[[#This Row],[Prezzo]]/Registro_Ordini[[#This Row],[Price]]-1,Registro_Ordini[[#This Row],[Price]]/Registro_Ordini[[#This Row],[Prezzo]]-1))</f>
        <v>-0.11055276381909551</v>
      </c>
      <c r="P1470" s="15">
        <v>-4.8650458996537534E-2</v>
      </c>
      <c r="Q1470" s="3">
        <v>0.62921249211953445</v>
      </c>
      <c r="R1470" s="3">
        <v>0.15329708736504674</v>
      </c>
      <c r="S1470" s="3">
        <v>0.12272015099154238</v>
      </c>
      <c r="T1470" s="3">
        <v>0</v>
      </c>
      <c r="U1470" s="3">
        <v>9.4770269523876516E-2</v>
      </c>
      <c r="V1470" s="3"/>
      <c r="W1470" s="4"/>
    </row>
    <row r="1471" spans="1:23" ht="24.95" customHeight="1" x14ac:dyDescent="0.2">
      <c r="A1471" s="8">
        <v>44985</v>
      </c>
      <c r="B1471" s="7"/>
      <c r="C1471" s="9" t="s">
        <v>645</v>
      </c>
      <c r="D1471" s="1" t="s">
        <v>388</v>
      </c>
      <c r="E1471" s="1" t="s">
        <v>403</v>
      </c>
      <c r="F1471" s="1" t="s">
        <v>404</v>
      </c>
      <c r="G1471" s="1" t="s">
        <v>365</v>
      </c>
      <c r="H1471" s="2">
        <v>-100</v>
      </c>
      <c r="I1471" s="17">
        <v>107.74</v>
      </c>
      <c r="J1471" s="1" t="s">
        <v>381</v>
      </c>
      <c r="K1471" s="6">
        <f>Registro_Ordini[[#This Row],[Numero]]*Registro_Ordini[[#This Row],[Prezzo]]</f>
        <v>-10774</v>
      </c>
      <c r="L1471" s="10">
        <v>1</v>
      </c>
      <c r="M1471" s="6">
        <f>Registro_Ordini[[#This Row],[Importo]]*Registro_Ordini[[#This Row],[Cambio]]</f>
        <v>-10774</v>
      </c>
      <c r="N1471" s="1">
        <f ca="1">IFERROR(_xlfn.NUMBERVALUE(OFFSET(Origine,MATCH(Registro_Ordini[[#This Row],[Titolo]],Descrizioni,0),MATCH("Price",Intestazioni,0)-1,1,1)),"")</f>
        <v>165.04</v>
      </c>
      <c r="O1471" s="18">
        <f ca="1">IF(OR(Registro_Ordini[[#This Row],[Price]]=0,Registro_Ordini[[#This Row],[Price]]=""),"",IF(Registro_Ordini[[#This Row],[Tipo]]="Sell",Registro_Ordini[[#This Row],[Prezzo]]/Registro_Ordini[[#This Row],[Price]]-1,Registro_Ordini[[#This Row],[Price]]/Registro_Ordini[[#This Row],[Prezzo]]-1))</f>
        <v>-0.34718856034900625</v>
      </c>
      <c r="P1471" s="15">
        <v>-2.3113857300646846E-2</v>
      </c>
      <c r="Q1471" s="3">
        <v>0.83191880074975444</v>
      </c>
      <c r="R1471" s="3">
        <v>0</v>
      </c>
      <c r="S1471" s="3">
        <v>7.4879368820562744E-2</v>
      </c>
      <c r="T1471" s="3">
        <v>0</v>
      </c>
      <c r="U1471" s="3">
        <v>9.3201830429682844E-2</v>
      </c>
      <c r="V1471" s="3"/>
      <c r="W1471" s="4"/>
    </row>
    <row r="1472" spans="1:23" ht="24.95" customHeight="1" x14ac:dyDescent="0.2">
      <c r="A1472" s="8">
        <v>44985</v>
      </c>
      <c r="B1472" s="7"/>
      <c r="C1472" s="9" t="s">
        <v>645</v>
      </c>
      <c r="D1472" s="1" t="s">
        <v>388</v>
      </c>
      <c r="E1472" s="1" t="s">
        <v>423</v>
      </c>
      <c r="F1472" s="1" t="s">
        <v>583</v>
      </c>
      <c r="G1472" s="1" t="s">
        <v>365</v>
      </c>
      <c r="H1472" s="2">
        <v>-745</v>
      </c>
      <c r="I1472" s="17">
        <v>17.79</v>
      </c>
      <c r="J1472" s="1" t="s">
        <v>366</v>
      </c>
      <c r="K1472" s="6">
        <f>Registro_Ordini[[#This Row],[Numero]]*Registro_Ordini[[#This Row],[Prezzo]]</f>
        <v>-13253.55</v>
      </c>
      <c r="L1472" s="10">
        <v>0.94069679754662905</v>
      </c>
      <c r="M1472" s="6">
        <f>Registro_Ordini[[#This Row],[Importo]]*Registro_Ordini[[#This Row],[Cambio]]</f>
        <v>-12467.572041124125</v>
      </c>
      <c r="N1472" s="1" t="str">
        <f ca="1">IFERROR(_xlfn.NUMBERVALUE(OFFSET(Origine,MATCH(Registro_Ordini[[#This Row],[Titolo]],Descrizioni,0),MATCH("Price",Intestazioni,0)-1,1,1)),"")</f>
        <v/>
      </c>
      <c r="O1472" s="18" t="str">
        <f ca="1">IF(OR(Registro_Ordini[[#This Row],[Price]]=0,Registro_Ordini[[#This Row],[Price]]=""),"",IF(Registro_Ordini[[#This Row],[Tipo]]="Sell",Registro_Ordini[[#This Row],[Prezzo]]/Registro_Ordini[[#This Row],[Price]]-1,Registro_Ordini[[#This Row],[Price]]/Registro_Ordini[[#This Row],[Prezzo]]-1))</f>
        <v/>
      </c>
      <c r="P1472" s="15">
        <v>-2.6747139506597118E-2</v>
      </c>
      <c r="Q1472" s="3">
        <v>0.8800510300637201</v>
      </c>
      <c r="R1472" s="3">
        <v>0</v>
      </c>
      <c r="S1472" s="3">
        <v>2.6747139506597118E-2</v>
      </c>
      <c r="T1472" s="3">
        <v>0</v>
      </c>
      <c r="U1472" s="3">
        <v>9.320183042968283E-2</v>
      </c>
      <c r="V1472" s="3"/>
      <c r="W1472" s="4"/>
    </row>
    <row r="1473" spans="1:23" ht="24.95" customHeight="1" x14ac:dyDescent="0.2">
      <c r="A1473" s="8">
        <v>44985</v>
      </c>
      <c r="B1473" s="7"/>
      <c r="C1473" s="9" t="s">
        <v>645</v>
      </c>
      <c r="D1473" s="1" t="s">
        <v>393</v>
      </c>
      <c r="E1473" s="1" t="s">
        <v>394</v>
      </c>
      <c r="F1473" s="1" t="s">
        <v>650</v>
      </c>
      <c r="G1473" s="1" t="s">
        <v>365</v>
      </c>
      <c r="H1473" s="2">
        <v>-260</v>
      </c>
      <c r="I1473" s="17">
        <v>58.14</v>
      </c>
      <c r="J1473" s="1" t="s">
        <v>366</v>
      </c>
      <c r="K1473" s="6">
        <f>Registro_Ordini[[#This Row],[Numero]]*Registro_Ordini[[#This Row],[Prezzo]]</f>
        <v>-15116.4</v>
      </c>
      <c r="L1473" s="10">
        <v>0.94069679754662905</v>
      </c>
      <c r="M1473" s="6">
        <f>Registro_Ordini[[#This Row],[Importo]]*Registro_Ordini[[#This Row],[Cambio]]</f>
        <v>-14219.949070433862</v>
      </c>
      <c r="N1473" s="1">
        <f ca="1">IFERROR(_xlfn.NUMBERVALUE(OFFSET(Origine,MATCH(Registro_Ordini[[#This Row],[Titolo]],Descrizioni,0),MATCH("Price",Intestazioni,0)-1,1,1)),"")</f>
        <v>163.58000000000001</v>
      </c>
      <c r="O1473" s="18">
        <f ca="1">IF(OR(Registro_Ordini[[#This Row],[Price]]=0,Registro_Ordini[[#This Row],[Price]]=""),"",IF(Registro_Ordini[[#This Row],[Tipo]]="Sell",Registro_Ordini[[#This Row],[Prezzo]]/Registro_Ordini[[#This Row],[Price]]-1,Registro_Ordini[[#This Row],[Price]]/Registro_Ordini[[#This Row],[Prezzo]]-1))</f>
        <v>-0.64457757672087057</v>
      </c>
      <c r="P1473" s="15">
        <v>-3.0506578210179509E-2</v>
      </c>
      <c r="Q1473" s="3">
        <v>0.90679816957031723</v>
      </c>
      <c r="R1473" s="3">
        <v>0</v>
      </c>
      <c r="S1473" s="3">
        <v>0</v>
      </c>
      <c r="T1473" s="3">
        <v>0</v>
      </c>
      <c r="U1473" s="3">
        <v>9.320183042968283E-2</v>
      </c>
      <c r="V1473" s="3"/>
      <c r="W1473" s="4"/>
    </row>
    <row r="1474" spans="1:23" ht="24.95" customHeight="1" x14ac:dyDescent="0.2">
      <c r="A1474" s="8">
        <v>44985</v>
      </c>
      <c r="B1474" s="7"/>
      <c r="C1474" s="9" t="s">
        <v>645</v>
      </c>
      <c r="D1474" s="1" t="s">
        <v>388</v>
      </c>
      <c r="E1474" s="1" t="s">
        <v>397</v>
      </c>
      <c r="F1474" s="1" t="s">
        <v>406</v>
      </c>
      <c r="G1474" s="1" t="s">
        <v>365</v>
      </c>
      <c r="H1474" s="2">
        <v>-95</v>
      </c>
      <c r="I1474" s="17">
        <v>113.712</v>
      </c>
      <c r="J1474" s="1" t="s">
        <v>369</v>
      </c>
      <c r="K1474" s="6">
        <f>Registro_Ordini[[#This Row],[Numero]]*Registro_Ordini[[#This Row],[Prezzo]]</f>
        <v>-10802.64</v>
      </c>
      <c r="L1474" s="10">
        <v>1.005479865265698</v>
      </c>
      <c r="M1474" s="6">
        <f>Registro_Ordini[[#This Row],[Importo]]*Registro_Ordini[[#This Row],[Cambio]]</f>
        <v>-10861.837011713838</v>
      </c>
      <c r="N1474" s="1">
        <f ca="1">IFERROR(_xlfn.NUMBERVALUE(OFFSET(Origine,MATCH(Registro_Ordini[[#This Row],[Titolo]],Descrizioni,0),MATCH("Price",Intestazioni,0)-1,1,1)),"")</f>
        <v>136.52000000000001</v>
      </c>
      <c r="O1474" s="18">
        <f ca="1">IF(OR(Registro_Ordini[[#This Row],[Price]]=0,Registro_Ordini[[#This Row],[Price]]=""),"",IF(Registro_Ordini[[#This Row],[Tipo]]="Sell",Registro_Ordini[[#This Row],[Prezzo]]/Registro_Ordini[[#This Row],[Price]]-1,Registro_Ordini[[#This Row],[Price]]/Registro_Ordini[[#This Row],[Prezzo]]-1))</f>
        <v>-0.16706709639613249</v>
      </c>
      <c r="P1474" s="15">
        <v>-2.3694437995043404E-2</v>
      </c>
      <c r="Q1474" s="3">
        <v>0.79933799462367039</v>
      </c>
      <c r="R1474" s="3">
        <v>0</v>
      </c>
      <c r="S1474" s="3">
        <v>0.10589173585245312</v>
      </c>
      <c r="T1474" s="3">
        <v>0</v>
      </c>
      <c r="U1474" s="3">
        <v>9.477026952387653E-2</v>
      </c>
      <c r="V1474" s="3"/>
      <c r="W1474" s="4"/>
    </row>
    <row r="1475" spans="1:23" ht="24.95" customHeight="1" x14ac:dyDescent="0.2">
      <c r="A1475" s="8">
        <v>44985</v>
      </c>
      <c r="B1475" s="7"/>
      <c r="C1475" s="9" t="s">
        <v>645</v>
      </c>
      <c r="D1475" s="1" t="s">
        <v>393</v>
      </c>
      <c r="E1475" s="1" t="s">
        <v>514</v>
      </c>
      <c r="F1475" s="1" t="s">
        <v>515</v>
      </c>
      <c r="G1475" s="1" t="s">
        <v>365</v>
      </c>
      <c r="H1475" s="2">
        <v>-1450</v>
      </c>
      <c r="I1475" s="17">
        <v>6.5774999999999997</v>
      </c>
      <c r="J1475" s="1" t="s">
        <v>366</v>
      </c>
      <c r="K1475" s="6">
        <f>Registro_Ordini[[#This Row],[Numero]]*Registro_Ordini[[#This Row],[Prezzo]]</f>
        <v>-9537.375</v>
      </c>
      <c r="L1475" s="10">
        <v>0.94069679754662905</v>
      </c>
      <c r="M1475" s="6">
        <f>Registro_Ordini[[#This Row],[Importo]]*Registro_Ordini[[#This Row],[Cambio]]</f>
        <v>-8971.7781195012813</v>
      </c>
      <c r="N1475" s="1">
        <f ca="1">IFERROR(_xlfn.NUMBERVALUE(OFFSET(Origine,MATCH(Registro_Ordini[[#This Row],[Titolo]],Descrizioni,0),MATCH("Price",Intestazioni,0)-1,1,1)),"")</f>
        <v>5.9637500000000001</v>
      </c>
      <c r="O1475" s="18">
        <f ca="1">IF(OR(Registro_Ordini[[#This Row],[Price]]=0,Registro_Ordini[[#This Row],[Price]]=""),"",IF(Registro_Ordini[[#This Row],[Tipo]]="Sell",Registro_Ordini[[#This Row],[Prezzo]]/Registro_Ordini[[#This Row],[Price]]-1,Registro_Ordini[[#This Row],[Price]]/Registro_Ordini[[#This Row],[Prezzo]]-1))</f>
        <v>0.10291343533850328</v>
      </c>
      <c r="P1475" s="15">
        <v>-1.9247484609914451E-2</v>
      </c>
      <c r="Q1475" s="3">
        <v>0.93730474778049666</v>
      </c>
      <c r="R1475" s="3">
        <v>0</v>
      </c>
      <c r="S1475" s="3">
        <v>0</v>
      </c>
      <c r="T1475" s="3">
        <v>0</v>
      </c>
      <c r="U1475" s="3">
        <v>6.2695252219503311E-2</v>
      </c>
      <c r="V1475" s="3"/>
      <c r="W1475" s="4"/>
    </row>
    <row r="1476" spans="1:23" ht="24.95" customHeight="1" x14ac:dyDescent="0.2">
      <c r="A1476" s="8">
        <v>44985</v>
      </c>
      <c r="B1476" s="7"/>
      <c r="C1476" s="9" t="s">
        <v>645</v>
      </c>
      <c r="D1476" s="1" t="s">
        <v>393</v>
      </c>
      <c r="E1476" s="1" t="s">
        <v>481</v>
      </c>
      <c r="F1476" s="1" t="s">
        <v>541</v>
      </c>
      <c r="G1476" s="1" t="s">
        <v>365</v>
      </c>
      <c r="H1476" s="2">
        <v>-2800</v>
      </c>
      <c r="I1476" s="17">
        <v>3.8860000000000001</v>
      </c>
      <c r="J1476" s="1" t="s">
        <v>366</v>
      </c>
      <c r="K1476" s="6">
        <f>Registro_Ordini[[#This Row],[Numero]]*Registro_Ordini[[#This Row],[Prezzo]]</f>
        <v>-10880.800000000001</v>
      </c>
      <c r="L1476" s="10">
        <v>0.94069679754662905</v>
      </c>
      <c r="M1476" s="6">
        <f>Registro_Ordini[[#This Row],[Importo]]*Registro_Ordini[[#This Row],[Cambio]]</f>
        <v>-10235.533714745363</v>
      </c>
      <c r="N1476" s="1">
        <f ca="1">IFERROR(_xlfn.NUMBERVALUE(OFFSET(Origine,MATCH(Registro_Ordini[[#This Row],[Titolo]],Descrizioni,0),MATCH("Price",Intestazioni,0)-1,1,1)),"")</f>
        <v>4.1529999999999996</v>
      </c>
      <c r="O1476" s="18">
        <f ca="1">IF(OR(Registro_Ordini[[#This Row],[Price]]=0,Registro_Ordini[[#This Row],[Price]]=""),"",IF(Registro_Ordini[[#This Row],[Tipo]]="Sell",Registro_Ordini[[#This Row],[Prezzo]]/Registro_Ordini[[#This Row],[Price]]-1,Registro_Ordini[[#This Row],[Price]]/Registro_Ordini[[#This Row],[Prezzo]]-1))</f>
        <v>-6.4290874066939452E-2</v>
      </c>
      <c r="P1476" s="15">
        <v>-2.1958665832428437E-2</v>
      </c>
      <c r="Q1476" s="3">
        <v>0.95655223239041121</v>
      </c>
      <c r="R1476" s="3">
        <v>0</v>
      </c>
      <c r="S1476" s="3">
        <v>0</v>
      </c>
      <c r="T1476" s="3">
        <v>0</v>
      </c>
      <c r="U1476" s="3">
        <v>4.3447767609588857E-2</v>
      </c>
      <c r="V1476" s="3"/>
      <c r="W1476" s="4"/>
    </row>
    <row r="1477" spans="1:23" ht="24.95" customHeight="1" x14ac:dyDescent="0.2">
      <c r="A1477" s="8">
        <v>44985</v>
      </c>
      <c r="B1477" s="7"/>
      <c r="C1477" s="9" t="s">
        <v>645</v>
      </c>
      <c r="D1477" s="1" t="s">
        <v>393</v>
      </c>
      <c r="E1477" s="1" t="s">
        <v>542</v>
      </c>
      <c r="F1477" s="1" t="s">
        <v>543</v>
      </c>
      <c r="G1477" s="1" t="s">
        <v>365</v>
      </c>
      <c r="H1477" s="2">
        <v>-675</v>
      </c>
      <c r="I1477" s="17">
        <v>15.775</v>
      </c>
      <c r="J1477" s="1" t="s">
        <v>366</v>
      </c>
      <c r="K1477" s="6">
        <f>Registro_Ordini[[#This Row],[Numero]]*Registro_Ordini[[#This Row],[Prezzo]]</f>
        <v>-10648.125</v>
      </c>
      <c r="L1477" s="10">
        <v>0.94069679754662905</v>
      </c>
      <c r="M1477" s="6">
        <f>Registro_Ordini[[#This Row],[Importo]]*Registro_Ordini[[#This Row],[Cambio]]</f>
        <v>-10016.657087376199</v>
      </c>
      <c r="N1477" s="1">
        <f ca="1">IFERROR(_xlfn.NUMBERVALUE(OFFSET(Origine,MATCH(Registro_Ordini[[#This Row],[Titolo]],Descrizioni,0),MATCH("Price",Intestazioni,0)-1,1,1)),"")</f>
        <v>18.46</v>
      </c>
      <c r="O1477" s="18">
        <f ca="1">IF(OR(Registro_Ordini[[#This Row],[Price]]=0,Registro_Ordini[[#This Row],[Price]]=""),"",IF(Registro_Ordini[[#This Row],[Tipo]]="Sell",Registro_Ordini[[#This Row],[Prezzo]]/Registro_Ordini[[#This Row],[Price]]-1,Registro_Ordini[[#This Row],[Price]]/Registro_Ordini[[#This Row],[Prezzo]]-1))</f>
        <v>-0.14544962080173351</v>
      </c>
      <c r="P1477" s="15">
        <v>-2.1489101777160416E-2</v>
      </c>
      <c r="Q1477" s="3">
        <v>0.97851089822283954</v>
      </c>
      <c r="R1477" s="3">
        <v>0</v>
      </c>
      <c r="S1477" s="3">
        <v>0</v>
      </c>
      <c r="T1477" s="3">
        <v>0</v>
      </c>
      <c r="U1477" s="3">
        <v>2.1489101777160412E-2</v>
      </c>
      <c r="V1477" s="3"/>
      <c r="W1477" s="4"/>
    </row>
    <row r="1478" spans="1:23" ht="24.95" customHeight="1" x14ac:dyDescent="0.2">
      <c r="A1478" s="8">
        <v>44984</v>
      </c>
      <c r="B1478" s="7">
        <v>0.72083333333333333</v>
      </c>
      <c r="C1478" s="9" t="s">
        <v>90</v>
      </c>
      <c r="D1478" s="1" t="s">
        <v>368</v>
      </c>
      <c r="E1478" s="1" t="s">
        <v>363</v>
      </c>
      <c r="F1478" s="1" t="s">
        <v>599</v>
      </c>
      <c r="G1478" s="1" t="s">
        <v>371</v>
      </c>
      <c r="H1478" s="2">
        <v>25000</v>
      </c>
      <c r="I1478" s="16">
        <v>0.94499999999999995</v>
      </c>
      <c r="J1478" s="1" t="s">
        <v>369</v>
      </c>
      <c r="K1478" s="6">
        <f>Registro_Ordini[[#This Row],[Numero]]*Registro_Ordini[[#This Row],[Prezzo]]</f>
        <v>23625</v>
      </c>
      <c r="L1478" s="10">
        <v>1</v>
      </c>
      <c r="M1478" s="6">
        <f>Registro_Ordini[[#This Row],[Importo]]*Registro_Ordini[[#This Row],[Cambio]]</f>
        <v>23625</v>
      </c>
      <c r="N1478" s="1" t="str">
        <f ca="1">IFERROR(_xlfn.NUMBERVALUE(OFFSET(Origine,MATCH(Registro_Ordini[[#This Row],[Titolo]],Descrizioni,0),MATCH("Price",Intestazioni,0)-1,1,1)),"")</f>
        <v/>
      </c>
      <c r="O1478" s="18" t="str">
        <f ca="1">IF(OR(Registro_Ordini[[#This Row],[Price]]=0,Registro_Ordini[[#This Row],[Price]]=""),"",IF(Registro_Ordini[[#This Row],[Tipo]]="Sell",Registro_Ordini[[#This Row],[Prezzo]]/Registro_Ordini[[#This Row],[Price]]-1,Registro_Ordini[[#This Row],[Price]]/Registro_Ordini[[#This Row],[Prezzo]]-1))</f>
        <v/>
      </c>
      <c r="P1478" s="15">
        <v>4.3278512909719805E-2</v>
      </c>
      <c r="Q1478" s="3">
        <v>0.23745153726537496</v>
      </c>
      <c r="R1478" s="3">
        <v>0.27605727685657355</v>
      </c>
      <c r="S1478" s="3">
        <v>0.34274288223486771</v>
      </c>
      <c r="T1478" s="3">
        <v>1.8573299281175182E-2</v>
      </c>
      <c r="U1478" s="3">
        <v>0.12517500436200871</v>
      </c>
      <c r="V1478" s="3"/>
      <c r="W1478" s="4"/>
    </row>
    <row r="1479" spans="1:23" ht="24.95" customHeight="1" x14ac:dyDescent="0.2">
      <c r="A1479" s="8">
        <v>44984</v>
      </c>
      <c r="B1479" s="7">
        <v>0.72083333333333333</v>
      </c>
      <c r="C1479" s="9" t="s">
        <v>375</v>
      </c>
      <c r="D1479" s="1" t="s">
        <v>368</v>
      </c>
      <c r="E1479" s="1" t="s">
        <v>363</v>
      </c>
      <c r="F1479" s="1" t="s">
        <v>599</v>
      </c>
      <c r="G1479" s="1" t="s">
        <v>371</v>
      </c>
      <c r="H1479" s="2">
        <v>30000</v>
      </c>
      <c r="I1479" s="16">
        <v>0.94499999999999995</v>
      </c>
      <c r="J1479" s="1" t="s">
        <v>369</v>
      </c>
      <c r="K1479" s="6">
        <f>Registro_Ordini[[#This Row],[Numero]]*Registro_Ordini[[#This Row],[Prezzo]]</f>
        <v>28350</v>
      </c>
      <c r="L1479" s="10">
        <v>1</v>
      </c>
      <c r="M1479" s="6">
        <f>Registro_Ordini[[#This Row],[Importo]]*Registro_Ordini[[#This Row],[Cambio]]</f>
        <v>28350</v>
      </c>
      <c r="N1479" s="1" t="str">
        <f ca="1">IFERROR(_xlfn.NUMBERVALUE(OFFSET(Origine,MATCH(Registro_Ordini[[#This Row],[Titolo]],Descrizioni,0),MATCH("Price",Intestazioni,0)-1,1,1)),"")</f>
        <v/>
      </c>
      <c r="O1479" s="18" t="str">
        <f ca="1">IF(OR(Registro_Ordini[[#This Row],[Price]]=0,Registro_Ordini[[#This Row],[Price]]=""),"",IF(Registro_Ordini[[#This Row],[Tipo]]="Sell",Registro_Ordini[[#This Row],[Prezzo]]/Registro_Ordini[[#This Row],[Price]]-1,Registro_Ordini[[#This Row],[Price]]/Registro_Ordini[[#This Row],[Prezzo]]-1))</f>
        <v/>
      </c>
      <c r="P1479" s="15">
        <v>3.8372420353587816E-2</v>
      </c>
      <c r="Q1479" s="3">
        <v>0.31406847231092638</v>
      </c>
      <c r="R1479" s="3">
        <v>0.27857288636059457</v>
      </c>
      <c r="S1479" s="3">
        <v>0.29053944804857279</v>
      </c>
      <c r="T1479" s="3">
        <v>0</v>
      </c>
      <c r="U1479" s="3">
        <v>0.11681919327990609</v>
      </c>
      <c r="V1479" s="3"/>
      <c r="W1479" s="4"/>
    </row>
    <row r="1480" spans="1:23" ht="24.95" customHeight="1" x14ac:dyDescent="0.2">
      <c r="A1480" s="8">
        <v>44984</v>
      </c>
      <c r="B1480" s="7">
        <v>0.72083333333333333</v>
      </c>
      <c r="C1480" s="9" t="s">
        <v>378</v>
      </c>
      <c r="D1480" s="1" t="s">
        <v>368</v>
      </c>
      <c r="E1480" s="1" t="s">
        <v>363</v>
      </c>
      <c r="F1480" s="1" t="s">
        <v>599</v>
      </c>
      <c r="G1480" s="1" t="s">
        <v>371</v>
      </c>
      <c r="H1480" s="2">
        <v>20000</v>
      </c>
      <c r="I1480" s="16">
        <v>0.94499999999999995</v>
      </c>
      <c r="J1480" s="1" t="s">
        <v>369</v>
      </c>
      <c r="K1480" s="6">
        <f>Registro_Ordini[[#This Row],[Numero]]*Registro_Ordini[[#This Row],[Prezzo]]</f>
        <v>18900</v>
      </c>
      <c r="L1480" s="10">
        <v>1</v>
      </c>
      <c r="M1480" s="6">
        <f>Registro_Ordini[[#This Row],[Importo]]*Registro_Ordini[[#This Row],[Cambio]]</f>
        <v>18900</v>
      </c>
      <c r="N1480" s="1" t="str">
        <f ca="1">IFERROR(_xlfn.NUMBERVALUE(OFFSET(Origine,MATCH(Registro_Ordini[[#This Row],[Titolo]],Descrizioni,0),MATCH("Price",Intestazioni,0)-1,1,1)),"")</f>
        <v/>
      </c>
      <c r="O1480" s="18" t="str">
        <f ca="1">IF(OR(Registro_Ordini[[#This Row],[Price]]=0,Registro_Ordini[[#This Row],[Price]]=""),"",IF(Registro_Ordini[[#This Row],[Tipo]]="Sell",Registro_Ordini[[#This Row],[Prezzo]]/Registro_Ordini[[#This Row],[Price]]-1,Registro_Ordini[[#This Row],[Price]]/Registro_Ordini[[#This Row],[Prezzo]]-1))</f>
        <v/>
      </c>
      <c r="P1480" s="15">
        <v>4.5887891451748798E-2</v>
      </c>
      <c r="Q1480" s="3">
        <v>0.25720113563630542</v>
      </c>
      <c r="R1480" s="3">
        <v>0.28195235347684156</v>
      </c>
      <c r="S1480" s="3">
        <v>0.3231058802062215</v>
      </c>
      <c r="T1480" s="3">
        <v>1.7933303610342833E-2</v>
      </c>
      <c r="U1480" s="3">
        <v>0.11980732707028866</v>
      </c>
      <c r="V1480" s="3"/>
      <c r="W1480" s="4"/>
    </row>
    <row r="1481" spans="1:23" ht="24.95" customHeight="1" x14ac:dyDescent="0.2">
      <c r="A1481" s="8">
        <v>44984</v>
      </c>
      <c r="B1481" s="7">
        <v>0.72083333333333333</v>
      </c>
      <c r="C1481" s="9" t="s">
        <v>594</v>
      </c>
      <c r="D1481" s="1" t="s">
        <v>368</v>
      </c>
      <c r="E1481" s="1" t="s">
        <v>363</v>
      </c>
      <c r="F1481" s="1" t="s">
        <v>599</v>
      </c>
      <c r="G1481" s="1" t="s">
        <v>371</v>
      </c>
      <c r="H1481" s="2">
        <v>25000</v>
      </c>
      <c r="I1481" s="16">
        <v>0.94499999999999995</v>
      </c>
      <c r="J1481" s="1" t="s">
        <v>369</v>
      </c>
      <c r="K1481" s="6">
        <f>Registro_Ordini[[#This Row],[Numero]]*Registro_Ordini[[#This Row],[Prezzo]]</f>
        <v>23625</v>
      </c>
      <c r="L1481" s="10">
        <v>1</v>
      </c>
      <c r="M1481" s="6">
        <f>Registro_Ordini[[#This Row],[Importo]]*Registro_Ordini[[#This Row],[Cambio]]</f>
        <v>23625</v>
      </c>
      <c r="N1481" s="1" t="str">
        <f ca="1">IFERROR(_xlfn.NUMBERVALUE(OFFSET(Origine,MATCH(Registro_Ordini[[#This Row],[Titolo]],Descrizioni,0),MATCH("Price",Intestazioni,0)-1,1,1)),"")</f>
        <v/>
      </c>
      <c r="O1481" s="18" t="str">
        <f ca="1">IF(OR(Registro_Ordini[[#This Row],[Price]]=0,Registro_Ordini[[#This Row],[Price]]=""),"",IF(Registro_Ordini[[#This Row],[Tipo]]="Sell",Registro_Ordini[[#This Row],[Prezzo]]/Registro_Ordini[[#This Row],[Price]]-1,Registro_Ordini[[#This Row],[Price]]/Registro_Ordini[[#This Row],[Prezzo]]-1))</f>
        <v/>
      </c>
      <c r="P1481" s="15">
        <v>4.0108209768983466E-2</v>
      </c>
      <c r="Q1481" s="3">
        <v>0.21543135060371846</v>
      </c>
      <c r="R1481" s="3">
        <v>0.31341564008481493</v>
      </c>
      <c r="S1481" s="3">
        <v>0.35922808483435742</v>
      </c>
      <c r="T1481" s="3">
        <v>2.1119412889995949E-2</v>
      </c>
      <c r="U1481" s="3">
        <v>9.0805511587113238E-2</v>
      </c>
      <c r="V1481" s="3"/>
      <c r="W1481" s="4"/>
    </row>
    <row r="1482" spans="1:23" ht="24.95" customHeight="1" x14ac:dyDescent="0.2">
      <c r="A1482" s="8">
        <v>44984</v>
      </c>
      <c r="B1482" s="7">
        <v>0.72083333333333333</v>
      </c>
      <c r="C1482" s="9" t="s">
        <v>377</v>
      </c>
      <c r="D1482" s="1" t="s">
        <v>368</v>
      </c>
      <c r="E1482" s="1" t="s">
        <v>363</v>
      </c>
      <c r="F1482" s="1" t="s">
        <v>599</v>
      </c>
      <c r="G1482" s="1" t="s">
        <v>371</v>
      </c>
      <c r="H1482" s="2">
        <v>50000</v>
      </c>
      <c r="I1482" s="16">
        <v>0.94499999999999995</v>
      </c>
      <c r="J1482" s="1" t="s">
        <v>369</v>
      </c>
      <c r="K1482" s="6">
        <f>Registro_Ordini[[#This Row],[Numero]]*Registro_Ordini[[#This Row],[Prezzo]]</f>
        <v>47250</v>
      </c>
      <c r="L1482" s="10">
        <v>1</v>
      </c>
      <c r="M1482" s="6">
        <f>Registro_Ordini[[#This Row],[Importo]]*Registro_Ordini[[#This Row],[Cambio]]</f>
        <v>47250</v>
      </c>
      <c r="N1482" s="1" t="str">
        <f ca="1">IFERROR(_xlfn.NUMBERVALUE(OFFSET(Origine,MATCH(Registro_Ordini[[#This Row],[Titolo]],Descrizioni,0),MATCH("Price",Intestazioni,0)-1,1,1)),"")</f>
        <v/>
      </c>
      <c r="O1482" s="18" t="str">
        <f ca="1">IF(OR(Registro_Ordini[[#This Row],[Price]]=0,Registro_Ordini[[#This Row],[Price]]=""),"",IF(Registro_Ordini[[#This Row],[Tipo]]="Sell",Registro_Ordini[[#This Row],[Prezzo]]/Registro_Ordini[[#This Row],[Price]]-1,Registro_Ordini[[#This Row],[Price]]/Registro_Ordini[[#This Row],[Prezzo]]-1))</f>
        <v/>
      </c>
      <c r="P1482" s="15">
        <v>3.4956364919246724E-2</v>
      </c>
      <c r="Q1482" s="3">
        <v>0.24944543317052351</v>
      </c>
      <c r="R1482" s="3">
        <v>0.28754604230542424</v>
      </c>
      <c r="S1482" s="3">
        <v>0.37546564983830794</v>
      </c>
      <c r="T1482" s="3">
        <v>2.0132276833121722E-2</v>
      </c>
      <c r="U1482" s="3">
        <v>6.7410597852622753E-2</v>
      </c>
      <c r="V1482" s="3"/>
      <c r="W1482" s="4"/>
    </row>
    <row r="1483" spans="1:23" ht="24.95" customHeight="1" x14ac:dyDescent="0.2">
      <c r="A1483" s="8">
        <v>44984</v>
      </c>
      <c r="B1483" s="7">
        <v>0.72083333333333333</v>
      </c>
      <c r="C1483" s="9" t="s">
        <v>376</v>
      </c>
      <c r="D1483" s="1" t="s">
        <v>368</v>
      </c>
      <c r="E1483" s="1" t="s">
        <v>363</v>
      </c>
      <c r="F1483" s="1" t="s">
        <v>599</v>
      </c>
      <c r="G1483" s="1" t="s">
        <v>371</v>
      </c>
      <c r="H1483" s="2">
        <v>10000</v>
      </c>
      <c r="I1483" s="16">
        <v>0.94499999999999995</v>
      </c>
      <c r="J1483" s="1" t="s">
        <v>369</v>
      </c>
      <c r="K1483" s="6">
        <f>Registro_Ordini[[#This Row],[Numero]]*Registro_Ordini[[#This Row],[Prezzo]]</f>
        <v>9450</v>
      </c>
      <c r="L1483" s="10">
        <v>1</v>
      </c>
      <c r="M1483" s="6">
        <f>Registro_Ordini[[#This Row],[Importo]]*Registro_Ordini[[#This Row],[Cambio]]</f>
        <v>9450</v>
      </c>
      <c r="N1483" s="1" t="str">
        <f ca="1">IFERROR(_xlfn.NUMBERVALUE(OFFSET(Origine,MATCH(Registro_Ordini[[#This Row],[Titolo]],Descrizioni,0),MATCH("Price",Intestazioni,0)-1,1,1)),"")</f>
        <v/>
      </c>
      <c r="O1483" s="18" t="str">
        <f ca="1">IF(OR(Registro_Ordini[[#This Row],[Price]]=0,Registro_Ordini[[#This Row],[Price]]=""),"",IF(Registro_Ordini[[#This Row],[Tipo]]="Sell",Registro_Ordini[[#This Row],[Prezzo]]/Registro_Ordini[[#This Row],[Price]]-1,Registro_Ordini[[#This Row],[Price]]/Registro_Ordini[[#This Row],[Prezzo]]-1))</f>
        <v/>
      </c>
      <c r="P1483" s="15">
        <v>3.4760150974287765E-2</v>
      </c>
      <c r="Q1483" s="3">
        <v>0.20498492768194984</v>
      </c>
      <c r="R1483" s="3">
        <v>0.28104741336772959</v>
      </c>
      <c r="S1483" s="3">
        <v>0.36621647969997639</v>
      </c>
      <c r="T1483" s="3">
        <v>0</v>
      </c>
      <c r="U1483" s="3">
        <v>0.14775117925034423</v>
      </c>
      <c r="V1483" s="3"/>
      <c r="W1483" s="4"/>
    </row>
    <row r="1484" spans="1:23" ht="24.95" customHeight="1" x14ac:dyDescent="0.2">
      <c r="A1484" s="8">
        <v>44984</v>
      </c>
      <c r="B1484" s="7">
        <v>0.64930555555555558</v>
      </c>
      <c r="C1484" s="9" t="s">
        <v>645</v>
      </c>
      <c r="D1484" s="1" t="s">
        <v>388</v>
      </c>
      <c r="E1484" s="1" t="s">
        <v>397</v>
      </c>
      <c r="F1484" s="1" t="s">
        <v>419</v>
      </c>
      <c r="G1484" s="1" t="s">
        <v>365</v>
      </c>
      <c r="H1484" s="2">
        <v>-180</v>
      </c>
      <c r="I1484" s="17">
        <v>109.08</v>
      </c>
      <c r="J1484" s="1" t="s">
        <v>369</v>
      </c>
      <c r="K1484" s="6">
        <f>Registro_Ordini[[#This Row],[Numero]]*Registro_Ordini[[#This Row],[Prezzo]]</f>
        <v>-19634.400000000001</v>
      </c>
      <c r="L1484" s="10">
        <v>1.0083287958537521</v>
      </c>
      <c r="M1484" s="6">
        <f>Registro_Ordini[[#This Row],[Importo]]*Registro_Ordini[[#This Row],[Cambio]]</f>
        <v>-19797.930909310911</v>
      </c>
      <c r="N1484" s="1">
        <f ca="1">IFERROR(_xlfn.NUMBERVALUE(OFFSET(Origine,MATCH(Registro_Ordini[[#This Row],[Titolo]],Descrizioni,0),MATCH("Price",Intestazioni,0)-1,1,1)),"")</f>
        <v>81.25</v>
      </c>
      <c r="O1484" s="18">
        <f ca="1">IF(OR(Registro_Ordini[[#This Row],[Price]]=0,Registro_Ordini[[#This Row],[Price]]=""),"",IF(Registro_Ordini[[#This Row],[Tipo]]="Sell",Registro_Ordini[[#This Row],[Prezzo]]/Registro_Ordini[[#This Row],[Price]]-1,Registro_Ordini[[#This Row],[Price]]/Registro_Ordini[[#This Row],[Prezzo]]-1))</f>
        <v>0.34252307692307693</v>
      </c>
      <c r="P1484" s="15">
        <v>-4.2964891037922712E-2</v>
      </c>
      <c r="Q1484" s="3">
        <v>0.34003896315781795</v>
      </c>
      <c r="R1484" s="3">
        <v>0.36700850232734344</v>
      </c>
      <c r="S1484" s="3">
        <v>0.19777894540440208</v>
      </c>
      <c r="T1484" s="3">
        <v>0</v>
      </c>
      <c r="U1484" s="3">
        <v>9.5173589110436566E-2</v>
      </c>
      <c r="V1484" s="3"/>
      <c r="W1484" s="4"/>
    </row>
    <row r="1485" spans="1:23" ht="24.95" customHeight="1" x14ac:dyDescent="0.2">
      <c r="A1485" s="8">
        <v>44984</v>
      </c>
      <c r="B1485" s="7">
        <v>0.64930555555555558</v>
      </c>
      <c r="C1485" s="9" t="s">
        <v>645</v>
      </c>
      <c r="D1485" s="1" t="s">
        <v>388</v>
      </c>
      <c r="E1485" s="1" t="s">
        <v>397</v>
      </c>
      <c r="F1485" s="1" t="s">
        <v>443</v>
      </c>
      <c r="G1485" s="1" t="s">
        <v>365</v>
      </c>
      <c r="H1485" s="2">
        <v>-180</v>
      </c>
      <c r="I1485" s="17">
        <v>80.81</v>
      </c>
      <c r="J1485" s="1" t="s">
        <v>369</v>
      </c>
      <c r="K1485" s="6">
        <f>Registro_Ordini[[#This Row],[Numero]]*Registro_Ordini[[#This Row],[Prezzo]]</f>
        <v>-14545.800000000001</v>
      </c>
      <c r="L1485" s="10">
        <v>1.0083287958537521</v>
      </c>
      <c r="M1485" s="6">
        <f>Registro_Ordini[[#This Row],[Importo]]*Registro_Ordini[[#This Row],[Cambio]]</f>
        <v>-14666.948998729509</v>
      </c>
      <c r="N1485" s="1">
        <f ca="1">IFERROR(_xlfn.NUMBERVALUE(OFFSET(Origine,MATCH(Registro_Ordini[[#This Row],[Titolo]],Descrizioni,0),MATCH("Price",Intestazioni,0)-1,1,1)),"")</f>
        <v>126.4</v>
      </c>
      <c r="O1485" s="18">
        <f ca="1">IF(OR(Registro_Ordini[[#This Row],[Price]]=0,Registro_Ordini[[#This Row],[Price]]=""),"",IF(Registro_Ordini[[#This Row],[Tipo]]="Sell",Registro_Ordini[[#This Row],[Prezzo]]/Registro_Ordini[[#This Row],[Price]]-1,Registro_Ordini[[#This Row],[Price]]/Registro_Ordini[[#This Row],[Prezzo]]-1))</f>
        <v>-0.36068037974683542</v>
      </c>
      <c r="P1485" s="15">
        <v>-3.1829784055505454E-2</v>
      </c>
      <c r="Q1485" s="3">
        <v>0.38300385419574057</v>
      </c>
      <c r="R1485" s="3">
        <v>0.36700850232734339</v>
      </c>
      <c r="S1485" s="3">
        <v>0.15481405436647933</v>
      </c>
      <c r="T1485" s="3">
        <v>0</v>
      </c>
      <c r="U1485" s="3">
        <v>9.5173589110436552E-2</v>
      </c>
      <c r="V1485" s="3"/>
      <c r="W1485" s="4"/>
    </row>
    <row r="1486" spans="1:23" ht="24.95" customHeight="1" x14ac:dyDescent="0.2">
      <c r="A1486" s="8">
        <v>44984</v>
      </c>
      <c r="B1486" s="7"/>
      <c r="C1486" s="9" t="s">
        <v>90</v>
      </c>
      <c r="D1486" s="1" t="s">
        <v>368</v>
      </c>
      <c r="E1486" s="1" t="s">
        <v>363</v>
      </c>
      <c r="F1486" s="1" t="s">
        <v>601</v>
      </c>
      <c r="G1486" s="1" t="s">
        <v>371</v>
      </c>
      <c r="H1486" s="2">
        <v>25000</v>
      </c>
      <c r="I1486" s="16">
        <v>0.98300624999999997</v>
      </c>
      <c r="J1486" s="1" t="s">
        <v>369</v>
      </c>
      <c r="K1486" s="6">
        <f>Registro_Ordini[[#This Row],[Numero]]*Registro_Ordini[[#This Row],[Prezzo]]</f>
        <v>24575.15625</v>
      </c>
      <c r="L1486" s="10">
        <v>1</v>
      </c>
      <c r="M1486" s="6">
        <f>Registro_Ordini[[#This Row],[Importo]]*Registro_Ordini[[#This Row],[Cambio]]</f>
        <v>24575.15625</v>
      </c>
      <c r="N1486" s="1" t="str">
        <f ca="1">IFERROR(_xlfn.NUMBERVALUE(OFFSET(Origine,MATCH(Registro_Ordini[[#This Row],[Titolo]],Descrizioni,0),MATCH("Price",Intestazioni,0)-1,1,1)),"")</f>
        <v/>
      </c>
      <c r="O1486" s="18" t="str">
        <f ca="1">IF(OR(Registro_Ordini[[#This Row],[Price]]=0,Registro_Ordini[[#This Row],[Price]]=""),"",IF(Registro_Ordini[[#This Row],[Tipo]]="Sell",Registro_Ordini[[#This Row],[Prezzo]]/Registro_Ordini[[#This Row],[Price]]-1,Registro_Ordini[[#This Row],[Price]]/Registro_Ordini[[#This Row],[Prezzo]]-1))</f>
        <v/>
      </c>
      <c r="P1486" s="15">
        <v>4.4995286571029088E-2</v>
      </c>
      <c r="Q1486" s="3">
        <v>0.28161882790122827</v>
      </c>
      <c r="R1486" s="3">
        <v>0.23033451897249316</v>
      </c>
      <c r="S1486" s="3">
        <v>0.34351158283335781</v>
      </c>
      <c r="T1486" s="3">
        <v>1.8684597354588613E-2</v>
      </c>
      <c r="U1486" s="3">
        <v>0.12585047293833215</v>
      </c>
      <c r="V1486" s="3"/>
      <c r="W1486" s="4"/>
    </row>
    <row r="1487" spans="1:23" ht="24.95" customHeight="1" x14ac:dyDescent="0.2">
      <c r="A1487" s="8">
        <v>44984</v>
      </c>
      <c r="B1487" s="7"/>
      <c r="C1487" s="9" t="s">
        <v>375</v>
      </c>
      <c r="D1487" s="1" t="s">
        <v>368</v>
      </c>
      <c r="E1487" s="1" t="s">
        <v>363</v>
      </c>
      <c r="F1487" s="1" t="s">
        <v>601</v>
      </c>
      <c r="G1487" s="1" t="s">
        <v>371</v>
      </c>
      <c r="H1487" s="2">
        <v>35000</v>
      </c>
      <c r="I1487" s="16">
        <v>0.98300624999999997</v>
      </c>
      <c r="J1487" s="1" t="s">
        <v>369</v>
      </c>
      <c r="K1487" s="6">
        <f>Registro_Ordini[[#This Row],[Numero]]*Registro_Ordini[[#This Row],[Prezzo]]</f>
        <v>34405.21875</v>
      </c>
      <c r="L1487" s="10">
        <v>1</v>
      </c>
      <c r="M1487" s="6">
        <f>Registro_Ordini[[#This Row],[Importo]]*Registro_Ordini[[#This Row],[Cambio]]</f>
        <v>34405.21875</v>
      </c>
      <c r="N1487" s="1" t="str">
        <f ca="1">IFERROR(_xlfn.NUMBERVALUE(OFFSET(Origine,MATCH(Registro_Ordini[[#This Row],[Titolo]],Descrizioni,0),MATCH("Price",Intestazioni,0)-1,1,1)),"")</f>
        <v/>
      </c>
      <c r="O1487" s="18" t="str">
        <f ca="1">IF(OR(Registro_Ordini[[#This Row],[Price]]=0,Registro_Ordini[[#This Row],[Price]]=""),"",IF(Registro_Ordini[[#This Row],[Tipo]]="Sell",Registro_Ordini[[#This Row],[Prezzo]]/Registro_Ordini[[#This Row],[Price]]-1,Registro_Ordini[[#This Row],[Price]]/Registro_Ordini[[#This Row],[Prezzo]]-1))</f>
        <v/>
      </c>
      <c r="P1487" s="15">
        <v>4.6472355457656066E-2</v>
      </c>
      <c r="Q1487" s="3">
        <v>0.35989254224605682</v>
      </c>
      <c r="R1487" s="3">
        <v>0.23180983092620716</v>
      </c>
      <c r="S1487" s="3">
        <v>0.29142414434407971</v>
      </c>
      <c r="T1487" s="3">
        <v>0</v>
      </c>
      <c r="U1487" s="3">
        <v>0.11687348248365635</v>
      </c>
      <c r="V1487" s="3"/>
      <c r="W1487" s="4"/>
    </row>
    <row r="1488" spans="1:23" ht="24.95" customHeight="1" x14ac:dyDescent="0.2">
      <c r="A1488" s="8">
        <v>44984</v>
      </c>
      <c r="B1488" s="7"/>
      <c r="C1488" s="9" t="s">
        <v>378</v>
      </c>
      <c r="D1488" s="1" t="s">
        <v>368</v>
      </c>
      <c r="E1488" s="1" t="s">
        <v>363</v>
      </c>
      <c r="F1488" s="1" t="s">
        <v>601</v>
      </c>
      <c r="G1488" s="1" t="s">
        <v>371</v>
      </c>
      <c r="H1488" s="2">
        <v>20000</v>
      </c>
      <c r="I1488" s="16">
        <v>0.98300624999999997</v>
      </c>
      <c r="J1488" s="1" t="s">
        <v>369</v>
      </c>
      <c r="K1488" s="6">
        <f>Registro_Ordini[[#This Row],[Numero]]*Registro_Ordini[[#This Row],[Prezzo]]</f>
        <v>19660.125</v>
      </c>
      <c r="L1488" s="10">
        <v>1</v>
      </c>
      <c r="M1488" s="6">
        <f>Registro_Ordini[[#This Row],[Importo]]*Registro_Ordini[[#This Row],[Cambio]]</f>
        <v>19660.125</v>
      </c>
      <c r="N1488" s="1" t="str">
        <f ca="1">IFERROR(_xlfn.NUMBERVALUE(OFFSET(Origine,MATCH(Registro_Ordini[[#This Row],[Titolo]],Descrizioni,0),MATCH("Price",Intestazioni,0)-1,1,1)),"")</f>
        <v/>
      </c>
      <c r="O1488" s="18" t="str">
        <f ca="1">IF(OR(Registro_Ordini[[#This Row],[Price]]=0,Registro_Ordini[[#This Row],[Price]]=""),"",IF(Registro_Ordini[[#This Row],[Tipo]]="Sell",Registro_Ordini[[#This Row],[Prezzo]]/Registro_Ordini[[#This Row],[Price]]-1,Registro_Ordini[[#This Row],[Price]]/Registro_Ordini[[#This Row],[Prezzo]]-1))</f>
        <v/>
      </c>
      <c r="P1488" s="15">
        <v>4.7589434589612074E-2</v>
      </c>
      <c r="Q1488" s="3">
        <v>0.30396758822066955</v>
      </c>
      <c r="R1488" s="3">
        <v>0.23380291405768058</v>
      </c>
      <c r="S1488" s="3">
        <v>0.3240637090930531</v>
      </c>
      <c r="T1488" s="3">
        <v>1.8051676093210598E-2</v>
      </c>
      <c r="U1488" s="3">
        <v>0.12011411253538613</v>
      </c>
      <c r="V1488" s="3"/>
      <c r="W1488" s="4"/>
    </row>
    <row r="1489" spans="1:23" ht="24.95" customHeight="1" x14ac:dyDescent="0.2">
      <c r="A1489" s="8">
        <v>44984</v>
      </c>
      <c r="B1489" s="7"/>
      <c r="C1489" s="9" t="s">
        <v>594</v>
      </c>
      <c r="D1489" s="1" t="s">
        <v>368</v>
      </c>
      <c r="E1489" s="1" t="s">
        <v>363</v>
      </c>
      <c r="F1489" s="1" t="s">
        <v>601</v>
      </c>
      <c r="G1489" s="1" t="s">
        <v>371</v>
      </c>
      <c r="H1489" s="2">
        <v>25000</v>
      </c>
      <c r="I1489" s="16">
        <v>0.98300624999999997</v>
      </c>
      <c r="J1489" s="1" t="s">
        <v>369</v>
      </c>
      <c r="K1489" s="6">
        <f>Registro_Ordini[[#This Row],[Numero]]*Registro_Ordini[[#This Row],[Prezzo]]</f>
        <v>24575.15625</v>
      </c>
      <c r="L1489" s="10">
        <v>1</v>
      </c>
      <c r="M1489" s="6">
        <f>Registro_Ordini[[#This Row],[Importo]]*Registro_Ordini[[#This Row],[Cambio]]</f>
        <v>24575.15625</v>
      </c>
      <c r="N1489" s="1" t="str">
        <f ca="1">IFERROR(_xlfn.NUMBERVALUE(OFFSET(Origine,MATCH(Registro_Ordini[[#This Row],[Titolo]],Descrizioni,0),MATCH("Price",Intestazioni,0)-1,1,1)),"")</f>
        <v/>
      </c>
      <c r="O1489" s="18" t="str">
        <f ca="1">IF(OR(Registro_Ordini[[#This Row],[Price]]=0,Registro_Ordini[[#This Row],[Price]]=""),"",IF(Registro_Ordini[[#This Row],[Tipo]]="Sell",Registro_Ordini[[#This Row],[Prezzo]]/Registro_Ordini[[#This Row],[Price]]-1,Registro_Ordini[[#This Row],[Price]]/Registro_Ordini[[#This Row],[Prezzo]]-1))</f>
        <v/>
      </c>
      <c r="P1489" s="15">
        <v>4.1594789487697827E-2</v>
      </c>
      <c r="Q1489" s="3">
        <v>0.25632380767371199</v>
      </c>
      <c r="R1489" s="3">
        <v>0.27116451929235369</v>
      </c>
      <c r="S1489" s="3">
        <v>0.36024042955529384</v>
      </c>
      <c r="T1489" s="3">
        <v>2.1258483594198289E-2</v>
      </c>
      <c r="U1489" s="3">
        <v>9.1012759884442032E-2</v>
      </c>
      <c r="V1489" s="3"/>
      <c r="W1489" s="4"/>
    </row>
    <row r="1490" spans="1:23" ht="24.95" customHeight="1" x14ac:dyDescent="0.2">
      <c r="A1490" s="8">
        <v>44984</v>
      </c>
      <c r="B1490" s="7"/>
      <c r="C1490" s="9" t="s">
        <v>377</v>
      </c>
      <c r="D1490" s="1" t="s">
        <v>368</v>
      </c>
      <c r="E1490" s="1" t="s">
        <v>363</v>
      </c>
      <c r="F1490" s="1" t="s">
        <v>601</v>
      </c>
      <c r="G1490" s="1" t="s">
        <v>371</v>
      </c>
      <c r="H1490" s="2">
        <v>60000</v>
      </c>
      <c r="I1490" s="16">
        <v>0.98300624999999997</v>
      </c>
      <c r="J1490" s="1" t="s">
        <v>369</v>
      </c>
      <c r="K1490" s="6">
        <f>Registro_Ordini[[#This Row],[Numero]]*Registro_Ordini[[#This Row],[Prezzo]]</f>
        <v>58980.375</v>
      </c>
      <c r="L1490" s="10">
        <v>1</v>
      </c>
      <c r="M1490" s="6">
        <f>Registro_Ordini[[#This Row],[Importo]]*Registro_Ordini[[#This Row],[Cambio]]</f>
        <v>58980.375</v>
      </c>
      <c r="N1490" s="1" t="str">
        <f ca="1">IFERROR(_xlfn.NUMBERVALUE(OFFSET(Origine,MATCH(Registro_Ordini[[#This Row],[Titolo]],Descrizioni,0),MATCH("Price",Intestazioni,0)-1,1,1)),"")</f>
        <v/>
      </c>
      <c r="O1490" s="18" t="str">
        <f ca="1">IF(OR(Registro_Ordini[[#This Row],[Price]]=0,Registro_Ordini[[#This Row],[Price]]=""),"",IF(Registro_Ordini[[#This Row],[Tipo]]="Sell",Registro_Ordini[[#This Row],[Prezzo]]/Registro_Ordini[[#This Row],[Price]]-1,Registro_Ordini[[#This Row],[Price]]/Registro_Ordini[[#This Row],[Prezzo]]-1))</f>
        <v/>
      </c>
      <c r="P1490" s="15">
        <v>4.3488091832872541E-2</v>
      </c>
      <c r="Q1490" s="3">
        <v>0.29208272643159577</v>
      </c>
      <c r="R1490" s="3">
        <v>0.2433742812549621</v>
      </c>
      <c r="S1490" s="3">
        <v>0.3770692454919844</v>
      </c>
      <c r="T1490" s="3">
        <v>2.025818457594027E-2</v>
      </c>
      <c r="U1490" s="3">
        <v>6.7215562245517446E-2</v>
      </c>
      <c r="V1490" s="3"/>
      <c r="W1490" s="4"/>
    </row>
    <row r="1491" spans="1:23" ht="24.95" customHeight="1" x14ac:dyDescent="0.2">
      <c r="A1491" s="8">
        <v>44984</v>
      </c>
      <c r="B1491" s="7"/>
      <c r="C1491" s="9" t="s">
        <v>376</v>
      </c>
      <c r="D1491" s="1" t="s">
        <v>368</v>
      </c>
      <c r="E1491" s="1" t="s">
        <v>363</v>
      </c>
      <c r="F1491" s="1" t="s">
        <v>601</v>
      </c>
      <c r="G1491" s="1" t="s">
        <v>371</v>
      </c>
      <c r="H1491" s="2">
        <v>10000</v>
      </c>
      <c r="I1491" s="16">
        <v>0.98300624999999997</v>
      </c>
      <c r="J1491" s="1" t="s">
        <v>369</v>
      </c>
      <c r="K1491" s="6">
        <f>Registro_Ordini[[#This Row],[Numero]]*Registro_Ordini[[#This Row],[Prezzo]]</f>
        <v>9830.0625</v>
      </c>
      <c r="L1491" s="10">
        <v>1</v>
      </c>
      <c r="M1491" s="6">
        <f>Registro_Ordini[[#This Row],[Importo]]*Registro_Ordini[[#This Row],[Cambio]]</f>
        <v>9830.0625</v>
      </c>
      <c r="N1491" s="1" t="str">
        <f ca="1">IFERROR(_xlfn.NUMBERVALUE(OFFSET(Origine,MATCH(Registro_Ordini[[#This Row],[Titolo]],Descrizioni,0),MATCH("Price",Intestazioni,0)-1,1,1)),"")</f>
        <v/>
      </c>
      <c r="O1491" s="18" t="str">
        <f ca="1">IF(OR(Registro_Ordini[[#This Row],[Price]]=0,Registro_Ordini[[#This Row],[Price]]=""),"",IF(Registro_Ordini[[#This Row],[Tipo]]="Sell",Registro_Ordini[[#This Row],[Prezzo]]/Registro_Ordini[[#This Row],[Price]]-1,Registro_Ordini[[#This Row],[Price]]/Registro_Ordini[[#This Row],[Prezzo]]-1))</f>
        <v/>
      </c>
      <c r="P1491" s="15">
        <v>3.6068426510732422E-2</v>
      </c>
      <c r="Q1491" s="3">
        <v>0.24050909209126828</v>
      </c>
      <c r="R1491" s="3">
        <v>0.2445752143594466</v>
      </c>
      <c r="S1491" s="3">
        <v>0.36690841476713287</v>
      </c>
      <c r="T1491" s="3">
        <v>0</v>
      </c>
      <c r="U1491" s="3">
        <v>0.14800727878215239</v>
      </c>
      <c r="V1491" s="3"/>
      <c r="W1491" s="4"/>
    </row>
  </sheetData>
  <phoneticPr fontId="14" type="noConversion"/>
  <printOptions horizontalCentered="1"/>
  <pageMargins left="0.25" right="0.25" top="0.75" bottom="0.75" header="0.3" footer="0.3"/>
  <pageSetup paperSize="9" scale="54" fitToHeight="0" orientation="landscape"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C7F8C-62EB-44F5-B727-6ADB9E622494}">
  <sheetPr codeName="CHFM">
    <tabColor theme="4" tint="0.79998168889431442"/>
    <outlinePr summaryBelow="0" summaryRight="0"/>
    <pageSetUpPr fitToPage="1"/>
  </sheetPr>
  <dimension ref="A1:FU206"/>
  <sheetViews>
    <sheetView showGridLines="0" zoomScaleNormal="100" workbookViewId="0">
      <pane xSplit="26" ySplit="27" topLeftCell="AA57" activePane="bottomRight" state="frozen"/>
      <selection pane="topRight" activeCell="AA1" sqref="AA1"/>
      <selection pane="bottomLeft" activeCell="A29" sqref="A29"/>
      <selection pane="bottomRight" activeCell="AD68" sqref="AD68"/>
    </sheetView>
  </sheetViews>
  <sheetFormatPr defaultColWidth="9.140625" defaultRowHeight="12" outlineLevelRow="2" outlineLevelCol="2" x14ac:dyDescent="0.2"/>
  <cols>
    <col min="1" max="1" width="1" style="35" customWidth="1"/>
    <col min="2" max="2" width="2.7109375" style="35" customWidth="1" collapsed="1"/>
    <col min="3" max="3" width="14.7109375" style="142" hidden="1" customWidth="1" outlineLevel="1"/>
    <col min="4" max="4" width="13.7109375" style="95" hidden="1" customWidth="1" outlineLevel="1"/>
    <col min="5" max="5" width="8.7109375" style="610" hidden="1" customWidth="1" outlineLevel="1"/>
    <col min="6" max="6" width="47.42578125" style="142" customWidth="1" collapsed="1"/>
    <col min="7" max="7" width="9.42578125" style="611" hidden="1" customWidth="1" outlineLevel="2"/>
    <col min="8" max="10" width="2.28515625" style="1694" hidden="1" customWidth="1" outlineLevel="2"/>
    <col min="11" max="12" width="2.5703125" style="1694" hidden="1" customWidth="1" outlineLevel="2"/>
    <col min="13" max="13" width="3.7109375" style="35" hidden="1" customWidth="1" outlineLevel="2"/>
    <col min="14" max="14" width="6.7109375" style="613" hidden="1" customWidth="1" outlineLevel="2"/>
    <col min="15" max="15" width="6.42578125" style="613" hidden="1" customWidth="1" outlineLevel="2"/>
    <col min="16" max="16" width="6.7109375" style="614" hidden="1" customWidth="1" outlineLevel="2"/>
    <col min="17" max="17" width="9.5703125" style="615" hidden="1" customWidth="1" outlineLevel="2"/>
    <col min="18" max="18" width="8.7109375" style="615" hidden="1" customWidth="1" outlineLevel="2"/>
    <col min="19" max="19" width="2.7109375" style="142" customWidth="1" collapsed="1"/>
    <col min="20" max="20" width="8.7109375" style="615" hidden="1" customWidth="1" outlineLevel="1"/>
    <col min="21" max="21" width="6.7109375" style="616" hidden="1" customWidth="1" outlineLevel="1"/>
    <col min="22" max="22" width="8.28515625" style="617" hidden="1" customWidth="1" outlineLevel="1"/>
    <col min="23" max="23" width="3.7109375" style="142" customWidth="1"/>
    <col min="24" max="24" width="9" style="142" customWidth="1"/>
    <col min="25" max="25" width="5.7109375" style="142" customWidth="1"/>
    <col min="26" max="26" width="6.42578125" style="618" customWidth="1"/>
    <col min="27" max="27" width="8.85546875" style="142" customWidth="1" collapsed="1"/>
    <col min="28" max="28" width="7.28515625" style="701" hidden="1" customWidth="1" outlineLevel="1"/>
    <col min="29" max="29" width="8.85546875" style="701" hidden="1" customWidth="1" outlineLevel="1"/>
    <col min="30" max="31" width="8.85546875" style="142" customWidth="1"/>
    <col min="32" max="32" width="7.28515625" style="613" customWidth="1"/>
    <col min="33" max="35" width="8.85546875" style="142" hidden="1" customWidth="1"/>
    <col min="36" max="36" width="7.28515625" style="613" hidden="1" customWidth="1"/>
    <col min="37" max="39" width="8.85546875" style="142" hidden="1" customWidth="1"/>
    <col min="40" max="40" width="7.28515625" style="613" hidden="1" customWidth="1"/>
    <col min="41" max="43" width="8.85546875" style="142" hidden="1" customWidth="1"/>
    <col min="44" max="44" width="7.28515625" style="613" hidden="1" customWidth="1"/>
    <col min="45" max="45" width="8.85546875" style="702" hidden="1" customWidth="1"/>
    <col min="46" max="46" width="8.85546875" style="142" customWidth="1" collapsed="1"/>
    <col min="47" max="47" width="7.28515625" style="701" hidden="1" customWidth="1" outlineLevel="1"/>
    <col min="48" max="48" width="8.85546875" style="701" hidden="1" customWidth="1" outlineLevel="1"/>
    <col min="49" max="50" width="8.85546875" style="142" customWidth="1"/>
    <col min="51" max="51" width="7.28515625" style="613" customWidth="1" collapsed="1"/>
    <col min="52" max="54" width="8.85546875" style="142" hidden="1" customWidth="1"/>
    <col min="55" max="55" width="7.28515625" style="613" hidden="1" customWidth="1"/>
    <col min="56" max="58" width="8.85546875" style="142" hidden="1" customWidth="1"/>
    <col min="59" max="59" width="7.28515625" style="613" hidden="1" customWidth="1"/>
    <col min="60" max="62" width="8.85546875" style="142" hidden="1" customWidth="1"/>
    <col min="63" max="63" width="7.28515625" style="613" hidden="1" customWidth="1"/>
    <col min="64" max="64" width="8.85546875" style="703" hidden="1" customWidth="1"/>
    <col min="65" max="65" width="8.85546875" style="142" customWidth="1" collapsed="1"/>
    <col min="66" max="66" width="7.28515625" style="701" hidden="1" customWidth="1" outlineLevel="1"/>
    <col min="67" max="67" width="8.85546875" style="701" hidden="1" customWidth="1" outlineLevel="1"/>
    <col min="68" max="69" width="8.85546875" style="142" customWidth="1"/>
    <col min="70" max="70" width="7.28515625" style="613" customWidth="1" collapsed="1"/>
    <col min="71" max="73" width="8.85546875" style="142" hidden="1" customWidth="1"/>
    <col min="74" max="74" width="7.28515625" style="613" hidden="1" customWidth="1"/>
    <col min="75" max="77" width="8.85546875" style="142" hidden="1" customWidth="1"/>
    <col min="78" max="78" width="7.28515625" style="613" hidden="1" customWidth="1"/>
    <col min="79" max="81" width="8.85546875" style="142" hidden="1" customWidth="1"/>
    <col min="82" max="82" width="7.28515625" style="613" hidden="1" customWidth="1"/>
    <col min="83" max="83" width="8.85546875" style="612" hidden="1" customWidth="1"/>
    <col min="84" max="84" width="8.85546875" style="142" customWidth="1" collapsed="1"/>
    <col min="85" max="85" width="7.28515625" style="701" hidden="1" customWidth="1" outlineLevel="1"/>
    <col min="86" max="86" width="8.85546875" style="701" hidden="1" customWidth="1" outlineLevel="1"/>
    <col min="87" max="88" width="8.85546875" style="142" customWidth="1"/>
    <col min="89" max="89" width="7.28515625" style="613" customWidth="1"/>
    <col min="90" max="92" width="8.85546875" style="142" hidden="1" customWidth="1"/>
    <col min="93" max="93" width="7.28515625" style="613" hidden="1" customWidth="1"/>
    <col min="94" max="96" width="8.85546875" style="142" hidden="1" customWidth="1"/>
    <col min="97" max="97" width="7.28515625" style="613" hidden="1" customWidth="1"/>
    <col min="98" max="100" width="8.85546875" style="142" hidden="1" customWidth="1"/>
    <col min="101" max="101" width="7.28515625" style="613" hidden="1" customWidth="1"/>
    <col min="102" max="102" width="8.85546875" style="703" hidden="1" customWidth="1"/>
    <col min="103" max="103" width="8.85546875" style="413" customWidth="1" collapsed="1"/>
    <col min="104" max="104" width="7.28515625" style="701" hidden="1" customWidth="1" outlineLevel="1"/>
    <col min="105" max="105" width="8.85546875" style="142" hidden="1" customWidth="1" outlineLevel="1"/>
    <col min="106" max="106" width="8.85546875" style="704" customWidth="1"/>
    <col min="107" max="107" width="8.85546875" style="142" customWidth="1"/>
    <col min="108" max="108" width="7.28515625" style="613" customWidth="1" collapsed="1"/>
    <col min="109" max="111" width="8.85546875" style="142" hidden="1" customWidth="1"/>
    <col min="112" max="112" width="7.28515625" style="613" hidden="1" customWidth="1"/>
    <col min="113" max="115" width="8.85546875" style="142" hidden="1" customWidth="1"/>
    <col min="116" max="116" width="7.28515625" style="613" hidden="1" customWidth="1"/>
    <col min="117" max="119" width="8.85546875" style="142" hidden="1" customWidth="1"/>
    <col min="120" max="120" width="7.28515625" style="613" hidden="1" customWidth="1"/>
    <col min="121" max="121" width="8.85546875" style="702" hidden="1" customWidth="1"/>
    <col min="122" max="122" width="8.85546875" style="413" customWidth="1" collapsed="1"/>
    <col min="123" max="123" width="7.28515625" style="701" hidden="1" customWidth="1" outlineLevel="1"/>
    <col min="124" max="124" width="8.85546875" style="142" hidden="1" customWidth="1" outlineLevel="1"/>
    <col min="125" max="125" width="8.85546875" style="704" customWidth="1"/>
    <col min="126" max="126" width="8.85546875" style="142" customWidth="1"/>
    <col min="127" max="127" width="7.28515625" style="613" customWidth="1" collapsed="1"/>
    <col min="128" max="130" width="8.85546875" style="142" hidden="1" customWidth="1"/>
    <col min="131" max="131" width="7.28515625" style="613" hidden="1" customWidth="1"/>
    <col min="132" max="134" width="8.85546875" style="142" hidden="1" customWidth="1"/>
    <col min="135" max="135" width="7.28515625" style="613" hidden="1" customWidth="1"/>
    <col min="136" max="138" width="8.85546875" style="142" hidden="1" customWidth="1"/>
    <col min="139" max="139" width="7.28515625" style="613" hidden="1" customWidth="1"/>
    <col min="140" max="140" width="8.85546875" style="142" customWidth="1" collapsed="1"/>
    <col min="141" max="141" width="7.28515625" style="701" hidden="1" customWidth="1" outlineLevel="1"/>
    <col min="142" max="142" width="8.85546875" style="705" hidden="1" customWidth="1" outlineLevel="1"/>
    <col min="143" max="144" width="8.85546875" style="142" customWidth="1"/>
    <col min="145" max="145" width="7.28515625" style="613" customWidth="1" collapsed="1"/>
    <col min="146" max="148" width="8.85546875" style="142" hidden="1" customWidth="1"/>
    <col min="149" max="149" width="7.28515625" style="613" hidden="1" customWidth="1"/>
    <col min="150" max="152" width="8.85546875" style="142" hidden="1" customWidth="1"/>
    <col min="153" max="153" width="7.28515625" style="613" hidden="1" customWidth="1"/>
    <col min="154" max="156" width="8.85546875" style="142" hidden="1" customWidth="1"/>
    <col min="157" max="157" width="7.28515625" style="613" hidden="1" customWidth="1"/>
    <col min="158" max="158" width="8.85546875" style="612" hidden="1" customWidth="1"/>
    <col min="159" max="159" width="8.85546875" style="142" customWidth="1" collapsed="1"/>
    <col min="160" max="160" width="7.28515625" style="701" hidden="1" customWidth="1" outlineLevel="1"/>
    <col min="161" max="161" width="8.85546875" style="701" hidden="1" customWidth="1" outlineLevel="1"/>
    <col min="162" max="163" width="8.85546875" style="142" customWidth="1"/>
    <col min="164" max="164" width="7.28515625" style="613" customWidth="1" collapsed="1"/>
    <col min="165" max="167" width="8.85546875" style="142" hidden="1" customWidth="1"/>
    <col min="168" max="168" width="7.28515625" style="613" hidden="1" customWidth="1"/>
    <col min="169" max="171" width="8.85546875" style="142" hidden="1" customWidth="1"/>
    <col min="172" max="172" width="7.28515625" style="613" hidden="1" customWidth="1"/>
    <col min="173" max="175" width="8.85546875" style="142" hidden="1" customWidth="1"/>
    <col min="176" max="176" width="7.28515625" style="613" hidden="1" customWidth="1"/>
    <col min="177" max="177" width="2.42578125" style="702" hidden="1" customWidth="1"/>
    <col min="178" max="178" width="9.140625" style="142" customWidth="1"/>
    <col min="179" max="16384" width="9.140625" style="142"/>
  </cols>
  <sheetData>
    <row r="1" spans="1:177" s="34" customFormat="1" x14ac:dyDescent="0.2">
      <c r="A1" s="20" t="s">
        <v>651</v>
      </c>
      <c r="B1" s="20"/>
      <c r="C1" s="21"/>
      <c r="D1" s="22"/>
      <c r="E1" s="22"/>
      <c r="F1" s="21"/>
      <c r="G1" s="23"/>
      <c r="H1" s="1700"/>
      <c r="I1" s="1670"/>
      <c r="J1" s="1700"/>
      <c r="K1" s="1670"/>
      <c r="L1" s="1670"/>
      <c r="M1" s="22"/>
      <c r="N1" s="25"/>
      <c r="O1" s="25"/>
      <c r="P1" s="22"/>
      <c r="Q1" s="21"/>
      <c r="R1" s="26" t="s">
        <v>369</v>
      </c>
      <c r="S1" s="21"/>
      <c r="T1" s="26"/>
      <c r="U1" s="27"/>
      <c r="V1" s="28" t="s">
        <v>652</v>
      </c>
      <c r="W1" s="22"/>
      <c r="X1" s="21"/>
      <c r="Y1" s="21"/>
      <c r="Z1" s="21"/>
      <c r="AA1" s="1975" t="s">
        <v>378</v>
      </c>
      <c r="AB1" s="1971"/>
      <c r="AC1" s="1971"/>
      <c r="AD1" s="1971"/>
      <c r="AE1" s="1971"/>
      <c r="AF1" s="1971"/>
      <c r="AG1" s="1971"/>
      <c r="AH1" s="1971"/>
      <c r="AI1" s="1971"/>
      <c r="AJ1" s="1971"/>
      <c r="AK1" s="1971"/>
      <c r="AL1" s="1971"/>
      <c r="AM1" s="1971"/>
      <c r="AN1" s="1971"/>
      <c r="AO1" s="1971"/>
      <c r="AP1" s="1971"/>
      <c r="AQ1" s="1971"/>
      <c r="AR1" s="1971"/>
      <c r="AS1" s="30"/>
      <c r="AT1" s="1970" t="s">
        <v>377</v>
      </c>
      <c r="AU1" s="1971"/>
      <c r="AV1" s="1971"/>
      <c r="AW1" s="1972"/>
      <c r="AX1" s="1972"/>
      <c r="AY1" s="1972"/>
      <c r="AZ1" s="1973"/>
      <c r="BA1" s="1973"/>
      <c r="BB1" s="1973"/>
      <c r="BC1" s="1973"/>
      <c r="BD1" s="1971"/>
      <c r="BE1" s="1971"/>
      <c r="BF1" s="1971"/>
      <c r="BG1" s="1971"/>
      <c r="BH1" s="1971"/>
      <c r="BI1" s="1971"/>
      <c r="BJ1" s="1971"/>
      <c r="BK1" s="1974"/>
      <c r="BL1" s="32"/>
      <c r="BM1" s="1975" t="s">
        <v>376</v>
      </c>
      <c r="BN1" s="1971"/>
      <c r="BO1" s="1971"/>
      <c r="BP1" s="1971"/>
      <c r="BQ1" s="1971"/>
      <c r="BR1" s="1971"/>
      <c r="BS1" s="1971"/>
      <c r="BT1" s="1971"/>
      <c r="BU1" s="1971"/>
      <c r="BV1" s="1971"/>
      <c r="BW1" s="1971"/>
      <c r="BX1" s="1971"/>
      <c r="BY1" s="1971"/>
      <c r="BZ1" s="1971"/>
      <c r="CA1" s="1971"/>
      <c r="CB1" s="1971"/>
      <c r="CC1" s="1971"/>
      <c r="CD1" s="1974"/>
      <c r="CE1" s="33"/>
      <c r="CF1" s="1976" t="s">
        <v>375</v>
      </c>
      <c r="CG1" s="1977"/>
      <c r="CH1" s="1977"/>
      <c r="CI1" s="1977"/>
      <c r="CJ1" s="1977"/>
      <c r="CK1" s="1977"/>
      <c r="CL1" s="1978"/>
      <c r="CM1" s="1978"/>
      <c r="CN1" s="1978"/>
      <c r="CO1" s="1978"/>
      <c r="CP1" s="1977"/>
      <c r="CQ1" s="1977"/>
      <c r="CR1" s="1977"/>
      <c r="CS1" s="1977"/>
      <c r="CT1" s="1977"/>
      <c r="CU1" s="1977"/>
      <c r="CV1" s="1977"/>
      <c r="CW1" s="1979"/>
      <c r="CX1" s="32"/>
      <c r="CY1" s="1952" t="s">
        <v>367</v>
      </c>
      <c r="CZ1" s="1953"/>
      <c r="DA1" s="1953"/>
      <c r="DB1" s="1953"/>
      <c r="DC1" s="1953"/>
      <c r="DD1" s="1953"/>
      <c r="DE1" s="1955"/>
      <c r="DF1" s="1955"/>
      <c r="DG1" s="1955"/>
      <c r="DH1" s="1955"/>
      <c r="DI1" s="1953"/>
      <c r="DJ1" s="1953"/>
      <c r="DK1" s="1953"/>
      <c r="DL1" s="1953"/>
      <c r="DM1" s="1953"/>
      <c r="DN1" s="1953"/>
      <c r="DO1" s="1953"/>
      <c r="DP1" s="1954"/>
      <c r="DQ1" s="30"/>
      <c r="DR1" s="1952" t="s">
        <v>373</v>
      </c>
      <c r="DS1" s="1953"/>
      <c r="DT1" s="1953"/>
      <c r="DU1" s="1953"/>
      <c r="DV1" s="1953"/>
      <c r="DW1" s="1953"/>
      <c r="DX1" s="1955"/>
      <c r="DY1" s="1955"/>
      <c r="DZ1" s="1955"/>
      <c r="EA1" s="1955"/>
      <c r="EB1" s="1953"/>
      <c r="EC1" s="1953"/>
      <c r="ED1" s="1953"/>
      <c r="EE1" s="1953"/>
      <c r="EF1" s="1953"/>
      <c r="EG1" s="1953"/>
      <c r="EH1" s="1953"/>
      <c r="EI1" s="1954"/>
      <c r="EJ1" s="1952" t="s">
        <v>156</v>
      </c>
      <c r="EK1" s="1953"/>
      <c r="EL1" s="1953"/>
      <c r="EM1" s="1953"/>
      <c r="EN1" s="1953"/>
      <c r="EO1" s="1953"/>
      <c r="EP1" s="1953"/>
      <c r="EQ1" s="1953"/>
      <c r="ER1" s="1953"/>
      <c r="ES1" s="1953"/>
      <c r="ET1" s="1953"/>
      <c r="EU1" s="1953"/>
      <c r="EV1" s="1953"/>
      <c r="EW1" s="1953"/>
      <c r="EX1" s="1953"/>
      <c r="EY1" s="1953"/>
      <c r="EZ1" s="1953"/>
      <c r="FA1" s="1954"/>
      <c r="FB1" s="33"/>
      <c r="FC1" s="1952" t="s">
        <v>18</v>
      </c>
      <c r="FD1" s="1953"/>
      <c r="FE1" s="1953"/>
      <c r="FF1" s="1953"/>
      <c r="FG1" s="1953"/>
      <c r="FH1" s="1953"/>
      <c r="FI1" s="1955"/>
      <c r="FJ1" s="1955"/>
      <c r="FK1" s="1955"/>
      <c r="FL1" s="1955"/>
      <c r="FM1" s="1953"/>
      <c r="FN1" s="1953"/>
      <c r="FO1" s="1953"/>
      <c r="FP1" s="1953"/>
      <c r="FQ1" s="1955"/>
      <c r="FR1" s="1955"/>
      <c r="FS1" s="1955"/>
      <c r="FT1" s="1956"/>
      <c r="FU1" s="30"/>
    </row>
    <row r="2" spans="1:177" s="34" customFormat="1" x14ac:dyDescent="0.2">
      <c r="A2" s="20" t="s">
        <v>653</v>
      </c>
      <c r="B2" s="35"/>
      <c r="C2" s="36"/>
      <c r="D2" s="22"/>
      <c r="E2" s="22"/>
      <c r="F2" s="36"/>
      <c r="G2" s="37"/>
      <c r="H2" s="1671"/>
      <c r="I2" s="1671"/>
      <c r="J2" s="1671"/>
      <c r="K2" s="1671"/>
      <c r="L2" s="1671"/>
      <c r="N2" s="39" t="s">
        <v>654</v>
      </c>
      <c r="O2" s="39"/>
      <c r="Q2" s="1966">
        <f ca="1">SUM($AA$4:$CD$4)</f>
        <v>2578310.2908286811</v>
      </c>
      <c r="R2" s="1966"/>
      <c r="S2" s="36"/>
      <c r="T2" s="40"/>
      <c r="U2" s="41"/>
      <c r="V2" s="42">
        <f ca="1">Q2/$Q$5</f>
        <v>0.29531726116674217</v>
      </c>
      <c r="W2" s="36"/>
      <c r="X2" s="36"/>
      <c r="Y2" s="36"/>
      <c r="Z2" s="36"/>
      <c r="AA2" s="1957" t="s">
        <v>655</v>
      </c>
      <c r="AB2" s="1958"/>
      <c r="AC2" s="1958"/>
      <c r="AD2" s="1958"/>
      <c r="AE2" s="1958"/>
      <c r="AF2" s="1958"/>
      <c r="AG2" s="1958"/>
      <c r="AH2" s="1958"/>
      <c r="AI2" s="1958"/>
      <c r="AJ2" s="1958"/>
      <c r="AK2" s="1958"/>
      <c r="AL2" s="1958"/>
      <c r="AM2" s="1958"/>
      <c r="AN2" s="1958"/>
      <c r="AO2" s="1958"/>
      <c r="AP2" s="1958"/>
      <c r="AQ2" s="1958"/>
      <c r="AR2" s="1958"/>
      <c r="AS2" s="43"/>
      <c r="AT2" s="1968" t="s">
        <v>656</v>
      </c>
      <c r="AU2" s="1958"/>
      <c r="AV2" s="1958"/>
      <c r="AW2" s="1969"/>
      <c r="AX2" s="1969"/>
      <c r="AY2" s="1969"/>
      <c r="AZ2" s="1958"/>
      <c r="BA2" s="1958"/>
      <c r="BB2" s="1958"/>
      <c r="BC2" s="1958"/>
      <c r="BD2" s="1958"/>
      <c r="BE2" s="1958"/>
      <c r="BF2" s="1958"/>
      <c r="BG2" s="1958"/>
      <c r="BH2" s="1958"/>
      <c r="BI2" s="1958"/>
      <c r="BJ2" s="1958"/>
      <c r="BK2" s="1959"/>
      <c r="BL2" s="44"/>
      <c r="BM2" s="1957" t="s">
        <v>657</v>
      </c>
      <c r="BN2" s="1958"/>
      <c r="BO2" s="1958"/>
      <c r="BP2" s="1958"/>
      <c r="BQ2" s="1958"/>
      <c r="BR2" s="1958"/>
      <c r="BS2" s="1958"/>
      <c r="BT2" s="1958"/>
      <c r="BU2" s="1958"/>
      <c r="BV2" s="1958"/>
      <c r="BW2" s="1958"/>
      <c r="BX2" s="1958"/>
      <c r="BY2" s="1958"/>
      <c r="BZ2" s="1958"/>
      <c r="CA2" s="1958"/>
      <c r="CB2" s="1958"/>
      <c r="CC2" s="1958"/>
      <c r="CD2" s="1959"/>
      <c r="CE2" s="45"/>
      <c r="CF2" s="1960" t="s">
        <v>658</v>
      </c>
      <c r="CG2" s="1961"/>
      <c r="CH2" s="1961"/>
      <c r="CI2" s="1961"/>
      <c r="CJ2" s="1961"/>
      <c r="CK2" s="1961"/>
      <c r="CL2" s="1961"/>
      <c r="CM2" s="1961"/>
      <c r="CN2" s="1961"/>
      <c r="CO2" s="1961"/>
      <c r="CP2" s="1961"/>
      <c r="CQ2" s="1961"/>
      <c r="CR2" s="1961"/>
      <c r="CS2" s="1961"/>
      <c r="CT2" s="1961"/>
      <c r="CU2" s="1961"/>
      <c r="CV2" s="1961"/>
      <c r="CW2" s="1962"/>
      <c r="CX2" s="44"/>
      <c r="CY2" s="1963" t="s">
        <v>367</v>
      </c>
      <c r="CZ2" s="1964"/>
      <c r="DA2" s="1964"/>
      <c r="DB2" s="1964"/>
      <c r="DC2" s="1964"/>
      <c r="DD2" s="1964"/>
      <c r="DE2" s="1964"/>
      <c r="DF2" s="1964"/>
      <c r="DG2" s="1964"/>
      <c r="DH2" s="1964"/>
      <c r="DI2" s="1964"/>
      <c r="DJ2" s="1964"/>
      <c r="DK2" s="1964"/>
      <c r="DL2" s="1964"/>
      <c r="DM2" s="1964"/>
      <c r="DN2" s="1964"/>
      <c r="DO2" s="1964"/>
      <c r="DP2" s="1965"/>
      <c r="DQ2" s="43"/>
      <c r="DR2" s="1963" t="s">
        <v>373</v>
      </c>
      <c r="DS2" s="1964"/>
      <c r="DT2" s="1964"/>
      <c r="DU2" s="1964"/>
      <c r="DV2" s="1964"/>
      <c r="DW2" s="1964"/>
      <c r="DX2" s="1964"/>
      <c r="DY2" s="1964"/>
      <c r="DZ2" s="1964"/>
      <c r="EA2" s="1964"/>
      <c r="EB2" s="1964"/>
      <c r="EC2" s="1964"/>
      <c r="ED2" s="1964"/>
      <c r="EE2" s="1964"/>
      <c r="EF2" s="1964"/>
      <c r="EG2" s="1964"/>
      <c r="EH2" s="1964"/>
      <c r="EI2" s="1965"/>
      <c r="EJ2" s="1963" t="s">
        <v>659</v>
      </c>
      <c r="EK2" s="1964"/>
      <c r="EL2" s="1964"/>
      <c r="EM2" s="1964"/>
      <c r="EN2" s="1964"/>
      <c r="EO2" s="1964"/>
      <c r="EP2" s="1964"/>
      <c r="EQ2" s="1964"/>
      <c r="ER2" s="1964"/>
      <c r="ES2" s="1964"/>
      <c r="ET2" s="1964"/>
      <c r="EU2" s="1964"/>
      <c r="EV2" s="1964"/>
      <c r="EW2" s="1964"/>
      <c r="EX2" s="1964"/>
      <c r="EY2" s="1964"/>
      <c r="EZ2" s="1964"/>
      <c r="FA2" s="1965"/>
      <c r="FB2" s="45"/>
      <c r="FC2" s="1963" t="s">
        <v>660</v>
      </c>
      <c r="FD2" s="1964"/>
      <c r="FE2" s="1964"/>
      <c r="FF2" s="1964"/>
      <c r="FG2" s="1964"/>
      <c r="FH2" s="1964"/>
      <c r="FI2" s="1964"/>
      <c r="FJ2" s="1964"/>
      <c r="FK2" s="1964"/>
      <c r="FL2" s="1964"/>
      <c r="FM2" s="1964"/>
      <c r="FN2" s="1964"/>
      <c r="FO2" s="1964"/>
      <c r="FP2" s="1964"/>
      <c r="FQ2" s="1964"/>
      <c r="FR2" s="1964"/>
      <c r="FS2" s="1964"/>
      <c r="FT2" s="1965"/>
      <c r="FU2" s="43"/>
    </row>
    <row r="3" spans="1:177" s="34" customFormat="1" x14ac:dyDescent="0.2">
      <c r="A3" s="20" t="s">
        <v>661</v>
      </c>
      <c r="B3" s="35"/>
      <c r="C3" s="36"/>
      <c r="D3" s="22"/>
      <c r="E3" s="22"/>
      <c r="F3" s="36"/>
      <c r="G3" s="37"/>
      <c r="H3" s="1671"/>
      <c r="I3" s="1671"/>
      <c r="J3" s="1671"/>
      <c r="K3" s="1671"/>
      <c r="L3" s="1671"/>
      <c r="M3" s="46"/>
      <c r="N3" s="39" t="s">
        <v>662</v>
      </c>
      <c r="O3" s="39"/>
      <c r="P3" s="47"/>
      <c r="Q3" s="1966">
        <f ca="1">SUM($CF$4:$CW$4)</f>
        <v>884959.57127590722</v>
      </c>
      <c r="R3" s="1966"/>
      <c r="S3" s="36"/>
      <c r="T3" s="40"/>
      <c r="U3" s="48"/>
      <c r="V3" s="42">
        <f t="shared" ref="V3:V4" ca="1" si="0">Q3/$Q$5</f>
        <v>0.10136244569248418</v>
      </c>
      <c r="W3" s="36"/>
      <c r="X3" s="36"/>
      <c r="Y3" s="36"/>
      <c r="Z3" s="49"/>
      <c r="AA3" s="1930" t="str">
        <f>$R1</f>
        <v>CHF</v>
      </c>
      <c r="AB3" s="1931"/>
      <c r="AC3" s="1931"/>
      <c r="AD3" s="1931"/>
      <c r="AE3" s="1931"/>
      <c r="AF3" s="1931"/>
      <c r="AG3" s="1931"/>
      <c r="AH3" s="1931"/>
      <c r="AI3" s="1931"/>
      <c r="AJ3" s="1931"/>
      <c r="AK3" s="1931"/>
      <c r="AL3" s="1931"/>
      <c r="AM3" s="1931"/>
      <c r="AN3" s="1931"/>
      <c r="AO3" s="1931"/>
      <c r="AP3" s="1931"/>
      <c r="AQ3" s="1931"/>
      <c r="AR3" s="1931"/>
      <c r="AS3" s="52"/>
      <c r="AT3" s="1930" t="str">
        <f>$R1</f>
        <v>CHF</v>
      </c>
      <c r="AU3" s="1931"/>
      <c r="AV3" s="1931"/>
      <c r="AW3" s="1931"/>
      <c r="AX3" s="1931"/>
      <c r="AY3" s="1931"/>
      <c r="AZ3" s="1931"/>
      <c r="BA3" s="1931"/>
      <c r="BB3" s="1931"/>
      <c r="BC3" s="1931"/>
      <c r="BD3" s="1931"/>
      <c r="BE3" s="1931"/>
      <c r="BF3" s="1931"/>
      <c r="BG3" s="1931"/>
      <c r="BH3" s="1931"/>
      <c r="BI3" s="1931"/>
      <c r="BJ3" s="1931"/>
      <c r="BK3" s="1932"/>
      <c r="BL3" s="53"/>
      <c r="BM3" s="1930" t="str">
        <f>$R1</f>
        <v>CHF</v>
      </c>
      <c r="BN3" s="1931"/>
      <c r="BO3" s="1931"/>
      <c r="BP3" s="1931"/>
      <c r="BQ3" s="1931"/>
      <c r="BR3" s="1931"/>
      <c r="BS3" s="1931"/>
      <c r="BT3" s="1931"/>
      <c r="BU3" s="1931"/>
      <c r="BV3" s="1931"/>
      <c r="BW3" s="1931"/>
      <c r="BX3" s="1931"/>
      <c r="BY3" s="1931"/>
      <c r="BZ3" s="1931"/>
      <c r="CA3" s="1931"/>
      <c r="CB3" s="1931"/>
      <c r="CC3" s="1931"/>
      <c r="CD3" s="1932"/>
      <c r="CE3" s="54"/>
      <c r="CF3" s="1939" t="str">
        <f>$R1</f>
        <v>CHF</v>
      </c>
      <c r="CG3" s="1940"/>
      <c r="CH3" s="1940"/>
      <c r="CI3" s="1940"/>
      <c r="CJ3" s="1940"/>
      <c r="CK3" s="1940"/>
      <c r="CL3" s="1940"/>
      <c r="CM3" s="1940"/>
      <c r="CN3" s="1940"/>
      <c r="CO3" s="1940"/>
      <c r="CP3" s="1940"/>
      <c r="CQ3" s="1940"/>
      <c r="CR3" s="1940"/>
      <c r="CS3" s="1940"/>
      <c r="CT3" s="1940"/>
      <c r="CU3" s="1940"/>
      <c r="CV3" s="1940"/>
      <c r="CW3" s="1941"/>
      <c r="CX3" s="53"/>
      <c r="CY3" s="1915" t="str">
        <f>$R1</f>
        <v>CHF</v>
      </c>
      <c r="CZ3" s="1916"/>
      <c r="DA3" s="1916"/>
      <c r="DB3" s="1916"/>
      <c r="DC3" s="1916"/>
      <c r="DD3" s="1916"/>
      <c r="DE3" s="1916"/>
      <c r="DF3" s="1916"/>
      <c r="DG3" s="1916"/>
      <c r="DH3" s="1916"/>
      <c r="DI3" s="1916"/>
      <c r="DJ3" s="1916"/>
      <c r="DK3" s="1916"/>
      <c r="DL3" s="1916"/>
      <c r="DM3" s="1916"/>
      <c r="DN3" s="1916"/>
      <c r="DO3" s="1916"/>
      <c r="DP3" s="1917"/>
      <c r="DQ3" s="52"/>
      <c r="DR3" s="1915" t="str">
        <f>$R1</f>
        <v>CHF</v>
      </c>
      <c r="DS3" s="1916"/>
      <c r="DT3" s="1916"/>
      <c r="DU3" s="1916"/>
      <c r="DV3" s="1916"/>
      <c r="DW3" s="1916"/>
      <c r="DX3" s="1916"/>
      <c r="DY3" s="1916"/>
      <c r="DZ3" s="1916"/>
      <c r="EA3" s="1916"/>
      <c r="EB3" s="1916"/>
      <c r="EC3" s="1916"/>
      <c r="ED3" s="1916"/>
      <c r="EE3" s="1916"/>
      <c r="EF3" s="1916"/>
      <c r="EG3" s="1916"/>
      <c r="EH3" s="1916"/>
      <c r="EI3" s="1917"/>
      <c r="EJ3" s="1915" t="str">
        <f>$R1</f>
        <v>CHF</v>
      </c>
      <c r="EK3" s="1916"/>
      <c r="EL3" s="1916"/>
      <c r="EM3" s="1916"/>
      <c r="EN3" s="1916"/>
      <c r="EO3" s="1916"/>
      <c r="EP3" s="1916"/>
      <c r="EQ3" s="1916"/>
      <c r="ER3" s="1916"/>
      <c r="ES3" s="1916"/>
      <c r="ET3" s="1916"/>
      <c r="EU3" s="1916"/>
      <c r="EV3" s="1916"/>
      <c r="EW3" s="1916"/>
      <c r="EX3" s="1916"/>
      <c r="EY3" s="1916"/>
      <c r="EZ3" s="1916"/>
      <c r="FA3" s="1917"/>
      <c r="FB3" s="54"/>
      <c r="FC3" s="1915" t="str">
        <f>$R1</f>
        <v>CHF</v>
      </c>
      <c r="FD3" s="1916"/>
      <c r="FE3" s="1916"/>
      <c r="FF3" s="1916"/>
      <c r="FG3" s="1916"/>
      <c r="FH3" s="1916"/>
      <c r="FI3" s="1916"/>
      <c r="FJ3" s="1916"/>
      <c r="FK3" s="1916"/>
      <c r="FL3" s="1916"/>
      <c r="FM3" s="1916"/>
      <c r="FN3" s="1916"/>
      <c r="FO3" s="1916"/>
      <c r="FP3" s="1916"/>
      <c r="FQ3" s="1916"/>
      <c r="FR3" s="1916"/>
      <c r="FS3" s="1916"/>
      <c r="FT3" s="1917"/>
      <c r="FU3" s="52"/>
    </row>
    <row r="4" spans="1:177" s="34" customFormat="1" x14ac:dyDescent="0.2">
      <c r="A4" s="20" t="s">
        <v>5</v>
      </c>
      <c r="B4" s="35"/>
      <c r="C4" s="36"/>
      <c r="D4" s="22"/>
      <c r="E4" s="22"/>
      <c r="F4" s="36"/>
      <c r="G4" s="37"/>
      <c r="H4" s="1671"/>
      <c r="I4" s="1671"/>
      <c r="J4" s="1671"/>
      <c r="K4" s="1671"/>
      <c r="L4" s="1671"/>
      <c r="M4" s="46"/>
      <c r="N4" s="39" t="s">
        <v>663</v>
      </c>
      <c r="O4" s="39"/>
      <c r="P4" s="58"/>
      <c r="Q4" s="1966">
        <f ca="1">SUM($EJ$4:$FT$4)</f>
        <v>5267375.5483338963</v>
      </c>
      <c r="R4" s="1966"/>
      <c r="S4" s="36"/>
      <c r="T4" s="40"/>
      <c r="U4" s="48"/>
      <c r="V4" s="42">
        <f t="shared" ca="1" si="0"/>
        <v>0.60332029314077351</v>
      </c>
      <c r="W4" s="36"/>
      <c r="X4" s="36"/>
      <c r="Y4" s="36"/>
      <c r="Z4" s="36"/>
      <c r="AA4" s="1936">
        <f ca="1">SUMIF($A$16:$A$200,"&lt;&gt;",AE$16:AE$200)</f>
        <v>561496.01591498265</v>
      </c>
      <c r="AB4" s="1937"/>
      <c r="AC4" s="1937"/>
      <c r="AD4" s="1937"/>
      <c r="AE4" s="1937"/>
      <c r="AF4" s="1937"/>
      <c r="AG4" s="1937"/>
      <c r="AH4" s="1937"/>
      <c r="AI4" s="1937"/>
      <c r="AJ4" s="1937"/>
      <c r="AK4" s="1937"/>
      <c r="AL4" s="1937"/>
      <c r="AM4" s="1937"/>
      <c r="AN4" s="1937"/>
      <c r="AO4" s="1937"/>
      <c r="AP4" s="1937"/>
      <c r="AQ4" s="1937"/>
      <c r="AR4" s="1937"/>
      <c r="AS4" s="61"/>
      <c r="AT4" s="1936">
        <f ca="1">SUMIF($A$16:$A$200,"&lt;&gt;",AX$16:AX$200)</f>
        <v>1731842.031921725</v>
      </c>
      <c r="AU4" s="1937"/>
      <c r="AV4" s="1937"/>
      <c r="AW4" s="1937"/>
      <c r="AX4" s="1937"/>
      <c r="AY4" s="1937"/>
      <c r="AZ4" s="1937"/>
      <c r="BA4" s="1937"/>
      <c r="BB4" s="1937"/>
      <c r="BC4" s="1937"/>
      <c r="BD4" s="1937"/>
      <c r="BE4" s="1937"/>
      <c r="BF4" s="1937"/>
      <c r="BG4" s="1937"/>
      <c r="BH4" s="1937"/>
      <c r="BI4" s="1937"/>
      <c r="BJ4" s="1937"/>
      <c r="BK4" s="1938"/>
      <c r="BL4" s="62"/>
      <c r="BM4" s="1936">
        <f ca="1">SUMIF($A$16:$A$200,"&lt;&gt;",BQ$16:BQ$200)</f>
        <v>284972.24299197312</v>
      </c>
      <c r="BN4" s="1937"/>
      <c r="BO4" s="1937"/>
      <c r="BP4" s="1937"/>
      <c r="BQ4" s="1937"/>
      <c r="BR4" s="1937"/>
      <c r="BS4" s="1937"/>
      <c r="BT4" s="1937"/>
      <c r="BU4" s="1937"/>
      <c r="BV4" s="1937"/>
      <c r="BW4" s="1937"/>
      <c r="BX4" s="1937"/>
      <c r="BY4" s="1937"/>
      <c r="BZ4" s="1937"/>
      <c r="CA4" s="1937"/>
      <c r="CB4" s="1937"/>
      <c r="CC4" s="1937"/>
      <c r="CD4" s="1938"/>
      <c r="CE4" s="63"/>
      <c r="CF4" s="1933">
        <f ca="1">SUMIF($A$16:$A$200,"&lt;&gt;",CJ$16:CJ$200)</f>
        <v>884959.57127590722</v>
      </c>
      <c r="CG4" s="1934"/>
      <c r="CH4" s="1934"/>
      <c r="CI4" s="1934"/>
      <c r="CJ4" s="1934"/>
      <c r="CK4" s="1934"/>
      <c r="CL4" s="1934"/>
      <c r="CM4" s="1934"/>
      <c r="CN4" s="1934"/>
      <c r="CO4" s="1934"/>
      <c r="CP4" s="1934"/>
      <c r="CQ4" s="1934"/>
      <c r="CR4" s="1934"/>
      <c r="CS4" s="1934"/>
      <c r="CT4" s="1934"/>
      <c r="CU4" s="1934"/>
      <c r="CV4" s="1934"/>
      <c r="CW4" s="1935"/>
      <c r="CX4" s="62"/>
      <c r="CY4" s="1906">
        <f ca="1">SUMIF($A$16:$A$200,"&lt;&gt;",DC$16:DC$200)</f>
        <v>3585419.1083959332</v>
      </c>
      <c r="CZ4" s="1907"/>
      <c r="DA4" s="1907"/>
      <c r="DB4" s="1907"/>
      <c r="DC4" s="1907"/>
      <c r="DD4" s="1907"/>
      <c r="DE4" s="1907"/>
      <c r="DF4" s="1907"/>
      <c r="DG4" s="1907"/>
      <c r="DH4" s="1907"/>
      <c r="DI4" s="1907"/>
      <c r="DJ4" s="1907"/>
      <c r="DK4" s="1907"/>
      <c r="DL4" s="1907"/>
      <c r="DM4" s="1907"/>
      <c r="DN4" s="1907"/>
      <c r="DO4" s="1907"/>
      <c r="DP4" s="1908"/>
      <c r="DQ4" s="61"/>
      <c r="DR4" s="1906">
        <f ca="1">SUMIF($A$16:$A$200,"&lt;&gt;",DV$16:DV$200)</f>
        <v>701759.81945435656</v>
      </c>
      <c r="DS4" s="1907"/>
      <c r="DT4" s="1907"/>
      <c r="DU4" s="1907"/>
      <c r="DV4" s="1907"/>
      <c r="DW4" s="1907"/>
      <c r="DX4" s="1907"/>
      <c r="DY4" s="1907"/>
      <c r="DZ4" s="1907"/>
      <c r="EA4" s="1907"/>
      <c r="EB4" s="1907"/>
      <c r="EC4" s="1907"/>
      <c r="ED4" s="1907"/>
      <c r="EE4" s="1907"/>
      <c r="EF4" s="1907"/>
      <c r="EG4" s="1907"/>
      <c r="EH4" s="1907"/>
      <c r="EI4" s="1908"/>
      <c r="EJ4" s="1906">
        <f ca="1">SUMIF($A$16:$A$200,"&lt;&gt;",EN$16:EN$200)</f>
        <v>709748.20871286537</v>
      </c>
      <c r="EK4" s="1907"/>
      <c r="EL4" s="1907"/>
      <c r="EM4" s="1907"/>
      <c r="EN4" s="1907"/>
      <c r="EO4" s="1907"/>
      <c r="EP4" s="1907"/>
      <c r="EQ4" s="1907"/>
      <c r="ER4" s="1907"/>
      <c r="ES4" s="1907"/>
      <c r="ET4" s="1907"/>
      <c r="EU4" s="1907"/>
      <c r="EV4" s="1907"/>
      <c r="EW4" s="1907"/>
      <c r="EX4" s="1907"/>
      <c r="EY4" s="1907"/>
      <c r="EZ4" s="1907"/>
      <c r="FA4" s="1908"/>
      <c r="FB4" s="63"/>
      <c r="FC4" s="1906">
        <f ca="1">SUMIF($A$16:$A$200,"&lt;&gt;",FG$16:FG$200)</f>
        <v>4557627.3396210307</v>
      </c>
      <c r="FD4" s="1907"/>
      <c r="FE4" s="1907"/>
      <c r="FF4" s="1907"/>
      <c r="FG4" s="1907"/>
      <c r="FH4" s="1907"/>
      <c r="FI4" s="1907"/>
      <c r="FJ4" s="1907"/>
      <c r="FK4" s="1907"/>
      <c r="FL4" s="1907"/>
      <c r="FM4" s="1907"/>
      <c r="FN4" s="1907"/>
      <c r="FO4" s="1907"/>
      <c r="FP4" s="1907"/>
      <c r="FQ4" s="1907"/>
      <c r="FR4" s="1907"/>
      <c r="FS4" s="1907"/>
      <c r="FT4" s="1908"/>
      <c r="FU4" s="61"/>
    </row>
    <row r="5" spans="1:177" s="34" customFormat="1" outlineLevel="2" x14ac:dyDescent="0.2">
      <c r="A5" s="20" t="s">
        <v>664</v>
      </c>
      <c r="B5" s="35"/>
      <c r="C5" s="36"/>
      <c r="D5" s="64"/>
      <c r="E5" s="65"/>
      <c r="F5" s="36"/>
      <c r="G5" s="37"/>
      <c r="H5" s="1671"/>
      <c r="I5" s="1671"/>
      <c r="J5" s="1671"/>
      <c r="K5" s="1671"/>
      <c r="L5" s="1671"/>
      <c r="M5" s="46"/>
      <c r="N5" s="66" t="s">
        <v>665</v>
      </c>
      <c r="O5" s="66"/>
      <c r="P5" s="67"/>
      <c r="Q5" s="1967">
        <f ca="1">SUM(Q2:R4)</f>
        <v>8730645.4104384854</v>
      </c>
      <c r="R5" s="1967"/>
      <c r="S5" s="36"/>
      <c r="T5" s="68"/>
      <c r="U5" s="48"/>
      <c r="V5" s="69"/>
      <c r="W5" s="36"/>
      <c r="X5" s="36"/>
      <c r="Y5" s="36"/>
      <c r="Z5" s="36"/>
      <c r="AA5" s="70">
        <v>548223.11</v>
      </c>
      <c r="AB5" s="71"/>
      <c r="AC5" s="71"/>
      <c r="AD5" s="72"/>
      <c r="AE5" s="72"/>
      <c r="AF5" s="73"/>
      <c r="AG5" s="72"/>
      <c r="AH5" s="72"/>
      <c r="AI5" s="72"/>
      <c r="AJ5" s="73"/>
      <c r="AK5" s="72"/>
      <c r="AL5" s="72"/>
      <c r="AM5" s="72"/>
      <c r="AN5" s="73"/>
      <c r="AO5" s="72"/>
      <c r="AP5" s="72"/>
      <c r="AQ5" s="72"/>
      <c r="AR5" s="73"/>
      <c r="AS5" s="74"/>
      <c r="AT5" s="1943">
        <v>1684974.8</v>
      </c>
      <c r="AU5" s="1944"/>
      <c r="AV5" s="1944"/>
      <c r="AW5" s="1944"/>
      <c r="AX5" s="1944"/>
      <c r="AY5" s="1944"/>
      <c r="AZ5" s="1944"/>
      <c r="BA5" s="1944"/>
      <c r="BB5" s="1944"/>
      <c r="BC5" s="1944"/>
      <c r="BD5" s="1944"/>
      <c r="BE5" s="1944"/>
      <c r="BF5" s="1944"/>
      <c r="BG5" s="1944"/>
      <c r="BH5" s="1944"/>
      <c r="BI5" s="1944"/>
      <c r="BJ5" s="1944"/>
      <c r="BK5" s="1945"/>
      <c r="BL5" s="76"/>
      <c r="BM5" s="1943">
        <v>277006.38</v>
      </c>
      <c r="BN5" s="1944"/>
      <c r="BO5" s="1944"/>
      <c r="BP5" s="1944"/>
      <c r="BQ5" s="1944"/>
      <c r="BR5" s="1944"/>
      <c r="BS5" s="1944"/>
      <c r="BT5" s="1944"/>
      <c r="BU5" s="1944"/>
      <c r="BV5" s="1944"/>
      <c r="BW5" s="1944"/>
      <c r="BX5" s="1944"/>
      <c r="BY5" s="1944"/>
      <c r="BZ5" s="1944"/>
      <c r="CA5" s="1944"/>
      <c r="CB5" s="1944"/>
      <c r="CC5" s="1944"/>
      <c r="CD5" s="1945"/>
      <c r="CE5" s="77"/>
      <c r="CF5" s="1946">
        <v>864215.9</v>
      </c>
      <c r="CG5" s="1947"/>
      <c r="CH5" s="1947"/>
      <c r="CI5" s="1947"/>
      <c r="CJ5" s="1947"/>
      <c r="CK5" s="1947"/>
      <c r="CL5" s="1947"/>
      <c r="CM5" s="1947"/>
      <c r="CN5" s="1947"/>
      <c r="CO5" s="1947"/>
      <c r="CP5" s="1947"/>
      <c r="CQ5" s="1947"/>
      <c r="CR5" s="1947"/>
      <c r="CS5" s="1947"/>
      <c r="CT5" s="1947"/>
      <c r="CU5" s="1947"/>
      <c r="CV5" s="1947"/>
      <c r="CW5" s="1948"/>
      <c r="CX5" s="76"/>
      <c r="CY5" s="1949">
        <v>3517725</v>
      </c>
      <c r="CZ5" s="1950"/>
      <c r="DA5" s="1950"/>
      <c r="DB5" s="1950"/>
      <c r="DC5" s="1950"/>
      <c r="DD5" s="1950"/>
      <c r="DE5" s="1950"/>
      <c r="DF5" s="1950"/>
      <c r="DG5" s="1950"/>
      <c r="DH5" s="1950"/>
      <c r="DI5" s="1950"/>
      <c r="DJ5" s="1950"/>
      <c r="DK5" s="1950"/>
      <c r="DL5" s="1950"/>
      <c r="DM5" s="1950"/>
      <c r="DN5" s="1950"/>
      <c r="DO5" s="1950"/>
      <c r="DP5" s="1951"/>
      <c r="DQ5" s="74"/>
      <c r="DR5" s="1949">
        <f>113333.93+583038</f>
        <v>696371.92999999993</v>
      </c>
      <c r="DS5" s="1950"/>
      <c r="DT5" s="1950"/>
      <c r="DU5" s="1950"/>
      <c r="DV5" s="1950"/>
      <c r="DW5" s="1950"/>
      <c r="DX5" s="1950"/>
      <c r="DY5" s="1950"/>
      <c r="DZ5" s="1950"/>
      <c r="EA5" s="1950"/>
      <c r="EB5" s="1950"/>
      <c r="EC5" s="1950"/>
      <c r="ED5" s="1950"/>
      <c r="EE5" s="1950"/>
      <c r="EF5" s="1950"/>
      <c r="EG5" s="1950"/>
      <c r="EH5" s="1950"/>
      <c r="EI5" s="1951"/>
      <c r="EJ5" s="1949">
        <v>703940.77</v>
      </c>
      <c r="EK5" s="1950"/>
      <c r="EL5" s="1950"/>
      <c r="EM5" s="1950"/>
      <c r="EN5" s="1950"/>
      <c r="EO5" s="1950"/>
      <c r="EP5" s="1950"/>
      <c r="EQ5" s="1950"/>
      <c r="ER5" s="1950"/>
      <c r="ES5" s="1950"/>
      <c r="ET5" s="1950"/>
      <c r="EU5" s="1950"/>
      <c r="EV5" s="1950"/>
      <c r="EW5" s="1950"/>
      <c r="EX5" s="1950"/>
      <c r="EY5" s="1950"/>
      <c r="EZ5" s="1950"/>
      <c r="FA5" s="1951"/>
      <c r="FB5" s="77"/>
      <c r="FC5" s="1949">
        <v>4420243.8899999997</v>
      </c>
      <c r="FD5" s="1950"/>
      <c r="FE5" s="1950"/>
      <c r="FF5" s="1950"/>
      <c r="FG5" s="1950"/>
      <c r="FH5" s="1950"/>
      <c r="FI5" s="1950"/>
      <c r="FJ5" s="1950"/>
      <c r="FK5" s="1950"/>
      <c r="FL5" s="1950"/>
      <c r="FM5" s="1950"/>
      <c r="FN5" s="1950"/>
      <c r="FO5" s="1950"/>
      <c r="FP5" s="1950"/>
      <c r="FQ5" s="1950"/>
      <c r="FR5" s="1950"/>
      <c r="FS5" s="1950"/>
      <c r="FT5" s="1951"/>
      <c r="FU5" s="74"/>
    </row>
    <row r="6" spans="1:177" s="34" customFormat="1" outlineLevel="2" x14ac:dyDescent="0.2">
      <c r="A6" s="20" t="s">
        <v>4407</v>
      </c>
      <c r="B6" s="35"/>
      <c r="C6" s="36"/>
      <c r="D6" s="64"/>
      <c r="E6" s="65"/>
      <c r="F6" s="36"/>
      <c r="G6" s="37"/>
      <c r="H6" s="1671"/>
      <c r="I6" s="1671"/>
      <c r="J6" s="1671"/>
      <c r="K6" s="1671"/>
      <c r="L6" s="1671"/>
      <c r="M6" s="46"/>
      <c r="N6" s="66"/>
      <c r="O6" s="66"/>
      <c r="P6" s="67"/>
      <c r="Q6" s="68"/>
      <c r="R6" s="68"/>
      <c r="S6" s="36"/>
      <c r="T6" s="68"/>
      <c r="U6" s="48"/>
      <c r="V6" s="69"/>
      <c r="W6" s="36"/>
      <c r="X6" s="36"/>
      <c r="Y6" s="36"/>
      <c r="Z6" s="36"/>
      <c r="AA6" s="70"/>
      <c r="AB6" s="71"/>
      <c r="AC6" s="71"/>
      <c r="AD6" s="72"/>
      <c r="AE6" s="72"/>
      <c r="AF6" s="73"/>
      <c r="AG6" s="72"/>
      <c r="AH6" s="72"/>
      <c r="AI6" s="72"/>
      <c r="AJ6" s="73"/>
      <c r="AK6" s="72"/>
      <c r="AL6" s="72"/>
      <c r="AM6" s="72"/>
      <c r="AN6" s="73"/>
      <c r="AO6" s="72"/>
      <c r="AP6" s="72"/>
      <c r="AQ6" s="72"/>
      <c r="AR6" s="73"/>
      <c r="AS6" s="74"/>
      <c r="AT6" s="70"/>
      <c r="AU6" s="75"/>
      <c r="AV6" s="75"/>
      <c r="AW6" s="75"/>
      <c r="AX6" s="75"/>
      <c r="AY6" s="75"/>
      <c r="AZ6" s="75"/>
      <c r="BA6" s="75"/>
      <c r="BB6" s="75"/>
      <c r="BC6" s="75"/>
      <c r="BD6" s="75"/>
      <c r="BE6" s="75"/>
      <c r="BF6" s="75"/>
      <c r="BG6" s="75"/>
      <c r="BH6" s="75"/>
      <c r="BI6" s="75"/>
      <c r="BJ6" s="75"/>
      <c r="BK6" s="75"/>
      <c r="BL6" s="76"/>
      <c r="BM6" s="70"/>
      <c r="BN6" s="75"/>
      <c r="BO6" s="75"/>
      <c r="BP6" s="75"/>
      <c r="BQ6" s="75"/>
      <c r="BR6" s="75"/>
      <c r="BS6" s="75"/>
      <c r="BT6" s="75"/>
      <c r="BU6" s="75"/>
      <c r="BV6" s="75"/>
      <c r="BW6" s="75"/>
      <c r="BX6" s="75"/>
      <c r="BY6" s="75"/>
      <c r="BZ6" s="75"/>
      <c r="CA6" s="75"/>
      <c r="CB6" s="75"/>
      <c r="CC6" s="75"/>
      <c r="CD6" s="75"/>
      <c r="CE6" s="77"/>
      <c r="CF6" s="78"/>
      <c r="CG6" s="79"/>
      <c r="CH6" s="79"/>
      <c r="CI6" s="79"/>
      <c r="CJ6" s="79"/>
      <c r="CK6" s="79"/>
      <c r="CL6" s="79"/>
      <c r="CM6" s="79"/>
      <c r="CN6" s="79"/>
      <c r="CO6" s="79"/>
      <c r="CP6" s="79"/>
      <c r="CQ6" s="79"/>
      <c r="CR6" s="79"/>
      <c r="CS6" s="79"/>
      <c r="CT6" s="79"/>
      <c r="CU6" s="79"/>
      <c r="CV6" s="79"/>
      <c r="CW6" s="79"/>
      <c r="CX6" s="76"/>
      <c r="CY6" s="80"/>
      <c r="CZ6" s="81"/>
      <c r="DA6" s="81"/>
      <c r="DB6" s="81"/>
      <c r="DC6" s="81"/>
      <c r="DD6" s="81"/>
      <c r="DE6" s="81"/>
      <c r="DF6" s="81"/>
      <c r="DG6" s="81"/>
      <c r="DH6" s="81"/>
      <c r="DI6" s="81"/>
      <c r="DJ6" s="81"/>
      <c r="DK6" s="81"/>
      <c r="DL6" s="81"/>
      <c r="DM6" s="81"/>
      <c r="DN6" s="81"/>
      <c r="DO6" s="81"/>
      <c r="DP6" s="81"/>
      <c r="DQ6" s="74"/>
      <c r="DR6" s="80"/>
      <c r="DS6" s="81"/>
      <c r="DT6" s="81"/>
      <c r="DU6" s="81"/>
      <c r="DV6" s="81"/>
      <c r="DW6" s="81"/>
      <c r="DX6" s="81"/>
      <c r="DY6" s="81"/>
      <c r="DZ6" s="81"/>
      <c r="EA6" s="81"/>
      <c r="EB6" s="81"/>
      <c r="EC6" s="81"/>
      <c r="ED6" s="81"/>
      <c r="EE6" s="81"/>
      <c r="EF6" s="81"/>
      <c r="EG6" s="81"/>
      <c r="EH6" s="81"/>
      <c r="EI6" s="81"/>
      <c r="EJ6" s="80"/>
      <c r="EK6" s="81"/>
      <c r="EL6" s="81"/>
      <c r="EM6" s="81"/>
      <c r="EN6" s="81"/>
      <c r="EO6" s="81"/>
      <c r="EP6" s="81"/>
      <c r="EQ6" s="81"/>
      <c r="ER6" s="81"/>
      <c r="ES6" s="81"/>
      <c r="ET6" s="81"/>
      <c r="EU6" s="81"/>
      <c r="EV6" s="81"/>
      <c r="EW6" s="81"/>
      <c r="EX6" s="81"/>
      <c r="EY6" s="81"/>
      <c r="EZ6" s="81"/>
      <c r="FA6" s="81"/>
      <c r="FB6" s="77"/>
      <c r="FC6" s="80"/>
      <c r="FD6" s="81"/>
      <c r="FE6" s="81"/>
      <c r="FF6" s="81"/>
      <c r="FG6" s="81"/>
      <c r="FH6" s="81"/>
      <c r="FI6" s="81"/>
      <c r="FJ6" s="81"/>
      <c r="FK6" s="81"/>
      <c r="FL6" s="81"/>
      <c r="FM6" s="81"/>
      <c r="FN6" s="81"/>
      <c r="FO6" s="81"/>
      <c r="FP6" s="81"/>
      <c r="FQ6" s="81"/>
      <c r="FR6" s="81"/>
      <c r="FS6" s="81"/>
      <c r="FT6" s="81"/>
      <c r="FU6" s="74"/>
    </row>
    <row r="7" spans="1:177" s="34" customFormat="1" outlineLevel="2" x14ac:dyDescent="0.2">
      <c r="A7" s="20" t="s">
        <v>666</v>
      </c>
      <c r="B7" s="35"/>
      <c r="C7" s="36"/>
      <c r="D7" s="31"/>
      <c r="E7" s="65"/>
      <c r="F7" s="36"/>
      <c r="G7" s="37"/>
      <c r="H7" s="1671"/>
      <c r="I7" s="1671"/>
      <c r="J7" s="1671"/>
      <c r="K7" s="1671"/>
      <c r="L7" s="1671"/>
      <c r="M7" s="46"/>
      <c r="N7" s="82"/>
      <c r="O7" s="82"/>
      <c r="P7" s="67"/>
      <c r="Q7" s="83"/>
      <c r="R7" s="83"/>
      <c r="S7" s="36"/>
      <c r="T7" s="83"/>
      <c r="U7" s="48"/>
      <c r="V7" s="69"/>
      <c r="W7" s="36"/>
      <c r="X7" s="36"/>
      <c r="Y7" s="36"/>
      <c r="Z7" s="36"/>
      <c r="AA7" s="70">
        <f>1486.95</f>
        <v>1486.95</v>
      </c>
      <c r="AB7" s="71"/>
      <c r="AC7" s="71"/>
      <c r="AD7" s="75"/>
      <c r="AE7" s="75"/>
      <c r="AF7" s="84"/>
      <c r="AG7" s="75"/>
      <c r="AH7" s="75"/>
      <c r="AI7" s="75"/>
      <c r="AJ7" s="84"/>
      <c r="AK7" s="75"/>
      <c r="AL7" s="75"/>
      <c r="AM7" s="75"/>
      <c r="AN7" s="84"/>
      <c r="AO7" s="75"/>
      <c r="AP7" s="75"/>
      <c r="AQ7" s="75"/>
      <c r="AR7" s="84"/>
      <c r="AS7" s="74"/>
      <c r="AT7" s="70">
        <f>4557</f>
        <v>4557</v>
      </c>
      <c r="AU7" s="71"/>
      <c r="AV7" s="85"/>
      <c r="AW7" s="75"/>
      <c r="AX7" s="75"/>
      <c r="AY7" s="84"/>
      <c r="AZ7" s="75"/>
      <c r="BA7" s="75"/>
      <c r="BB7" s="75"/>
      <c r="BC7" s="86"/>
      <c r="BD7" s="75"/>
      <c r="BE7" s="75"/>
      <c r="BF7" s="75"/>
      <c r="BG7" s="84"/>
      <c r="BH7" s="75"/>
      <c r="BI7" s="75"/>
      <c r="BJ7" s="75"/>
      <c r="BK7" s="84"/>
      <c r="BL7" s="76"/>
      <c r="BM7" s="70">
        <f>745.9</f>
        <v>745.9</v>
      </c>
      <c r="BN7" s="71"/>
      <c r="BO7" s="85"/>
      <c r="BP7" s="75"/>
      <c r="BQ7" s="75"/>
      <c r="BR7" s="84"/>
      <c r="BS7" s="75"/>
      <c r="BT7" s="75"/>
      <c r="BU7" s="75"/>
      <c r="BV7" s="86"/>
      <c r="BW7" s="75"/>
      <c r="BX7" s="75"/>
      <c r="BY7" s="75"/>
      <c r="BZ7" s="84"/>
      <c r="CA7" s="75"/>
      <c r="CB7" s="75"/>
      <c r="CC7" s="75"/>
      <c r="CD7" s="84"/>
      <c r="CE7" s="77"/>
      <c r="CF7" s="78">
        <f>1870.15</f>
        <v>1870.15</v>
      </c>
      <c r="CG7" s="79"/>
      <c r="CH7" s="79"/>
      <c r="CI7" s="79"/>
      <c r="CJ7" s="79"/>
      <c r="CK7" s="87"/>
      <c r="CL7" s="79"/>
      <c r="CM7" s="79"/>
      <c r="CN7" s="79"/>
      <c r="CO7" s="79"/>
      <c r="CP7" s="79"/>
      <c r="CQ7" s="79"/>
      <c r="CR7" s="79"/>
      <c r="CS7" s="87"/>
      <c r="CT7" s="79"/>
      <c r="CU7" s="79"/>
      <c r="CV7" s="79"/>
      <c r="CW7" s="87"/>
      <c r="CX7" s="76"/>
      <c r="CY7" s="88"/>
      <c r="CZ7" s="89"/>
      <c r="DA7" s="81"/>
      <c r="DB7" s="90"/>
      <c r="DC7" s="81"/>
      <c r="DD7" s="91"/>
      <c r="DE7" s="81"/>
      <c r="DF7" s="81"/>
      <c r="DG7" s="81"/>
      <c r="DH7" s="91"/>
      <c r="DI7" s="81"/>
      <c r="DJ7" s="81"/>
      <c r="DK7" s="81"/>
      <c r="DL7" s="91"/>
      <c r="DM7" s="81"/>
      <c r="DN7" s="81"/>
      <c r="DO7" s="81"/>
      <c r="DP7" s="91"/>
      <c r="DQ7" s="74"/>
      <c r="DR7" s="88"/>
      <c r="DS7" s="89"/>
      <c r="DT7" s="81"/>
      <c r="DU7" s="90"/>
      <c r="DV7" s="81"/>
      <c r="DW7" s="91"/>
      <c r="DX7" s="81"/>
      <c r="DY7" s="81"/>
      <c r="DZ7" s="81"/>
      <c r="EA7" s="91"/>
      <c r="EB7" s="81"/>
      <c r="EC7" s="81"/>
      <c r="ED7" s="81"/>
      <c r="EE7" s="91"/>
      <c r="EF7" s="81"/>
      <c r="EG7" s="81"/>
      <c r="EH7" s="81"/>
      <c r="EI7" s="91"/>
      <c r="EJ7" s="88">
        <f>951.3</f>
        <v>951.3</v>
      </c>
      <c r="EK7" s="92"/>
      <c r="EL7" s="92"/>
      <c r="EM7" s="81"/>
      <c r="EN7" s="81"/>
      <c r="EO7" s="91"/>
      <c r="EP7" s="81"/>
      <c r="EQ7" s="81"/>
      <c r="ER7" s="81"/>
      <c r="ES7" s="81"/>
      <c r="ET7" s="81"/>
      <c r="EU7" s="81"/>
      <c r="EV7" s="81"/>
      <c r="EW7" s="91"/>
      <c r="EX7" s="81"/>
      <c r="EY7" s="81"/>
      <c r="EZ7" s="81"/>
      <c r="FA7" s="91"/>
      <c r="FB7" s="77"/>
      <c r="FC7" s="80">
        <f>2389</f>
        <v>2389</v>
      </c>
      <c r="FD7" s="81"/>
      <c r="FE7" s="81"/>
      <c r="FF7" s="81"/>
      <c r="FG7" s="81"/>
      <c r="FH7" s="91"/>
      <c r="FI7" s="81"/>
      <c r="FJ7" s="81"/>
      <c r="FK7" s="81"/>
      <c r="FL7" s="81"/>
      <c r="FM7" s="81"/>
      <c r="FN7" s="81"/>
      <c r="FO7" s="81"/>
      <c r="FP7" s="91"/>
      <c r="FQ7" s="81"/>
      <c r="FR7" s="81"/>
      <c r="FS7" s="81"/>
      <c r="FT7" s="91"/>
      <c r="FU7" s="74"/>
    </row>
    <row r="8" spans="1:177" s="34" customFormat="1" outlineLevel="2" x14ac:dyDescent="0.2">
      <c r="A8" s="20" t="s">
        <v>667</v>
      </c>
      <c r="B8" s="35"/>
      <c r="C8" s="36"/>
      <c r="D8" s="31"/>
      <c r="E8" s="65"/>
      <c r="F8" s="36"/>
      <c r="G8" s="37"/>
      <c r="H8" s="1671"/>
      <c r="I8" s="1671"/>
      <c r="J8" s="1671"/>
      <c r="K8" s="1671"/>
      <c r="L8" s="1671"/>
      <c r="M8" s="46"/>
      <c r="N8" s="82"/>
      <c r="O8" s="82"/>
      <c r="P8" s="67"/>
      <c r="Q8" s="83"/>
      <c r="R8" s="83"/>
      <c r="S8" s="36"/>
      <c r="T8" s="83"/>
      <c r="U8" s="48"/>
      <c r="V8" s="69"/>
      <c r="W8" s="36"/>
      <c r="X8" s="36"/>
      <c r="Y8" s="36"/>
      <c r="Z8" s="36"/>
      <c r="AA8" s="70">
        <f>AA7-AA9-1486.95</f>
        <v>0</v>
      </c>
      <c r="AB8" s="71"/>
      <c r="AC8" s="71"/>
      <c r="AD8" s="75"/>
      <c r="AE8" s="75"/>
      <c r="AF8" s="84"/>
      <c r="AG8" s="75"/>
      <c r="AH8" s="75"/>
      <c r="AI8" s="75"/>
      <c r="AJ8" s="84"/>
      <c r="AK8" s="75"/>
      <c r="AL8" s="75"/>
      <c r="AM8" s="75"/>
      <c r="AN8" s="84"/>
      <c r="AO8" s="75"/>
      <c r="AP8" s="75"/>
      <c r="AQ8" s="75"/>
      <c r="AR8" s="84"/>
      <c r="AS8" s="74"/>
      <c r="AT8" s="70">
        <f>AT7-AT9-4557</f>
        <v>0</v>
      </c>
      <c r="AU8" s="71"/>
      <c r="AV8" s="85"/>
      <c r="AW8" s="93"/>
      <c r="AX8" s="75"/>
      <c r="AY8" s="84"/>
      <c r="AZ8" s="75"/>
      <c r="BA8" s="75"/>
      <c r="BB8" s="75"/>
      <c r="BC8" s="86"/>
      <c r="BD8" s="75"/>
      <c r="BE8" s="75"/>
      <c r="BF8" s="75"/>
      <c r="BG8" s="84"/>
      <c r="BH8" s="75"/>
      <c r="BI8" s="75"/>
      <c r="BJ8" s="75"/>
      <c r="BK8" s="84"/>
      <c r="BL8" s="76"/>
      <c r="BM8" s="70">
        <f>BM7-BM9-745.9</f>
        <v>0</v>
      </c>
      <c r="BN8" s="71"/>
      <c r="BO8" s="85"/>
      <c r="BP8" s="75"/>
      <c r="BQ8" s="75"/>
      <c r="BR8" s="84"/>
      <c r="BS8" s="75"/>
      <c r="BT8" s="75"/>
      <c r="BU8" s="75"/>
      <c r="BV8" s="86"/>
      <c r="BW8" s="75"/>
      <c r="BX8" s="75"/>
      <c r="BY8" s="75"/>
      <c r="BZ8" s="84"/>
      <c r="CA8" s="75"/>
      <c r="CB8" s="75"/>
      <c r="CC8" s="75"/>
      <c r="CD8" s="84"/>
      <c r="CE8" s="77"/>
      <c r="CF8" s="78">
        <f>CF7-CF9-1870.15</f>
        <v>0</v>
      </c>
      <c r="CG8" s="79"/>
      <c r="CH8" s="79"/>
      <c r="CI8" s="79"/>
      <c r="CJ8" s="79"/>
      <c r="CK8" s="87"/>
      <c r="CL8" s="79"/>
      <c r="CM8" s="79"/>
      <c r="CN8" s="79"/>
      <c r="CO8" s="79"/>
      <c r="CP8" s="79"/>
      <c r="CQ8" s="79"/>
      <c r="CR8" s="79"/>
      <c r="CS8" s="87"/>
      <c r="CT8" s="79"/>
      <c r="CU8" s="79"/>
      <c r="CV8" s="79"/>
      <c r="CW8" s="87"/>
      <c r="CX8" s="76"/>
      <c r="CY8" s="88"/>
      <c r="CZ8" s="89"/>
      <c r="DA8" s="81"/>
      <c r="DB8" s="90"/>
      <c r="DC8" s="81"/>
      <c r="DD8" s="91"/>
      <c r="DE8" s="81"/>
      <c r="DF8" s="81"/>
      <c r="DG8" s="81"/>
      <c r="DH8" s="91"/>
      <c r="DI8" s="81"/>
      <c r="DJ8" s="81"/>
      <c r="DK8" s="81"/>
      <c r="DL8" s="91"/>
      <c r="DM8" s="81"/>
      <c r="DN8" s="81"/>
      <c r="DO8" s="81"/>
      <c r="DP8" s="91"/>
      <c r="DQ8" s="74"/>
      <c r="DR8" s="88">
        <v>-25000</v>
      </c>
      <c r="DS8" s="89"/>
      <c r="DT8" s="81"/>
      <c r="DU8" s="90"/>
      <c r="DV8" s="81"/>
      <c r="DW8" s="91"/>
      <c r="DX8" s="81"/>
      <c r="DY8" s="81"/>
      <c r="DZ8" s="81"/>
      <c r="EA8" s="91"/>
      <c r="EB8" s="81"/>
      <c r="EC8" s="81"/>
      <c r="ED8" s="81"/>
      <c r="EE8" s="91"/>
      <c r="EF8" s="81"/>
      <c r="EG8" s="81"/>
      <c r="EH8" s="81"/>
      <c r="EI8" s="91"/>
      <c r="EJ8" s="80">
        <f>EJ7-EJ9-(10000+951.3)</f>
        <v>-10000</v>
      </c>
      <c r="EK8" s="92"/>
      <c r="EL8" s="92"/>
      <c r="EM8" s="81"/>
      <c r="EN8" s="81"/>
      <c r="EO8" s="91"/>
      <c r="EP8" s="81"/>
      <c r="EQ8" s="81"/>
      <c r="ER8" s="81"/>
      <c r="ES8" s="81"/>
      <c r="ET8" s="81"/>
      <c r="EU8" s="81"/>
      <c r="EV8" s="81"/>
      <c r="EW8" s="91"/>
      <c r="EX8" s="81"/>
      <c r="EY8" s="81"/>
      <c r="EZ8" s="81"/>
      <c r="FA8" s="91"/>
      <c r="FB8" s="77"/>
      <c r="FC8" s="80">
        <f>FC7-FC9-2389</f>
        <v>0</v>
      </c>
      <c r="FD8" s="81"/>
      <c r="FE8" s="81"/>
      <c r="FF8" s="81"/>
      <c r="FG8" s="81"/>
      <c r="FH8" s="91"/>
      <c r="FI8" s="81"/>
      <c r="FJ8" s="81"/>
      <c r="FK8" s="81"/>
      <c r="FL8" s="81"/>
      <c r="FM8" s="81"/>
      <c r="FN8" s="81"/>
      <c r="FO8" s="81"/>
      <c r="FP8" s="91"/>
      <c r="FQ8" s="81"/>
      <c r="FR8" s="81"/>
      <c r="FS8" s="81"/>
      <c r="FT8" s="91"/>
      <c r="FU8" s="74"/>
    </row>
    <row r="9" spans="1:177" s="95" customFormat="1" outlineLevel="2" x14ac:dyDescent="0.2">
      <c r="A9" s="20" t="s">
        <v>668</v>
      </c>
      <c r="B9" s="35"/>
      <c r="C9" s="36"/>
      <c r="D9" s="94"/>
      <c r="E9" s="58"/>
      <c r="F9" s="36"/>
      <c r="G9" s="37"/>
      <c r="H9" s="1671"/>
      <c r="I9" s="1671"/>
      <c r="J9" s="1671"/>
      <c r="K9" s="1671"/>
      <c r="L9" s="1671"/>
      <c r="M9" s="46"/>
      <c r="N9" s="82"/>
      <c r="O9" s="82"/>
      <c r="P9" s="67"/>
      <c r="Q9" s="83"/>
      <c r="R9" s="83"/>
      <c r="S9" s="36"/>
      <c r="T9" s="83"/>
      <c r="U9" s="48"/>
      <c r="V9" s="69"/>
      <c r="W9" s="36"/>
      <c r="X9" s="36"/>
      <c r="Y9" s="36"/>
      <c r="Z9" s="36"/>
      <c r="AA9" s="70"/>
      <c r="AB9" s="71"/>
      <c r="AC9" s="71"/>
      <c r="AD9" s="75"/>
      <c r="AE9" s="75"/>
      <c r="AF9" s="84"/>
      <c r="AG9" s="75"/>
      <c r="AH9" s="75"/>
      <c r="AI9" s="75"/>
      <c r="AJ9" s="84"/>
      <c r="AK9" s="75"/>
      <c r="AL9" s="75"/>
      <c r="AM9" s="75"/>
      <c r="AN9" s="84"/>
      <c r="AO9" s="75"/>
      <c r="AP9" s="75"/>
      <c r="AQ9" s="75"/>
      <c r="AR9" s="84"/>
      <c r="AS9" s="74"/>
      <c r="AT9" s="70"/>
      <c r="AU9" s="71"/>
      <c r="AV9" s="85"/>
      <c r="AW9" s="75"/>
      <c r="AX9" s="75"/>
      <c r="AY9" s="84"/>
      <c r="AZ9" s="75"/>
      <c r="BA9" s="75"/>
      <c r="BB9" s="75"/>
      <c r="BC9" s="86"/>
      <c r="BD9" s="75"/>
      <c r="BE9" s="75"/>
      <c r="BF9" s="75"/>
      <c r="BG9" s="84"/>
      <c r="BH9" s="75"/>
      <c r="BI9" s="75"/>
      <c r="BJ9" s="75"/>
      <c r="BK9" s="84"/>
      <c r="BL9" s="76"/>
      <c r="BM9" s="70">
        <v>0</v>
      </c>
      <c r="BN9" s="71"/>
      <c r="BO9" s="85"/>
      <c r="BP9" s="75"/>
      <c r="BQ9" s="75"/>
      <c r="BR9" s="84"/>
      <c r="BS9" s="75"/>
      <c r="BT9" s="75"/>
      <c r="BU9" s="75"/>
      <c r="BV9" s="86"/>
      <c r="BW9" s="75"/>
      <c r="BX9" s="75"/>
      <c r="BY9" s="75"/>
      <c r="BZ9" s="84"/>
      <c r="CA9" s="75"/>
      <c r="CB9" s="75"/>
      <c r="CC9" s="75"/>
      <c r="CD9" s="84"/>
      <c r="CE9" s="77"/>
      <c r="CF9" s="78"/>
      <c r="CG9" s="79"/>
      <c r="CH9" s="79"/>
      <c r="CI9" s="79"/>
      <c r="CJ9" s="79"/>
      <c r="CK9" s="87"/>
      <c r="CL9" s="79"/>
      <c r="CM9" s="79"/>
      <c r="CN9" s="79"/>
      <c r="CO9" s="79"/>
      <c r="CP9" s="79"/>
      <c r="CQ9" s="79"/>
      <c r="CR9" s="79"/>
      <c r="CS9" s="87"/>
      <c r="CT9" s="79"/>
      <c r="CU9" s="79"/>
      <c r="CV9" s="79"/>
      <c r="CW9" s="87"/>
      <c r="CX9" s="76"/>
      <c r="CY9" s="88"/>
      <c r="CZ9" s="89"/>
      <c r="DA9" s="81"/>
      <c r="DB9" s="90"/>
      <c r="DC9" s="81"/>
      <c r="DD9" s="91"/>
      <c r="DE9" s="81"/>
      <c r="DF9" s="81"/>
      <c r="DG9" s="81"/>
      <c r="DH9" s="91"/>
      <c r="DI9" s="81"/>
      <c r="DJ9" s="81"/>
      <c r="DK9" s="81"/>
      <c r="DL9" s="91"/>
      <c r="DM9" s="81"/>
      <c r="DN9" s="81"/>
      <c r="DO9" s="81"/>
      <c r="DP9" s="91"/>
      <c r="DQ9" s="74"/>
      <c r="DR9" s="88"/>
      <c r="DS9" s="89"/>
      <c r="DT9" s="81"/>
      <c r="DU9" s="90"/>
      <c r="DV9" s="81"/>
      <c r="DW9" s="91"/>
      <c r="DX9" s="81"/>
      <c r="DY9" s="81"/>
      <c r="DZ9" s="81"/>
      <c r="EA9" s="91"/>
      <c r="EB9" s="81"/>
      <c r="EC9" s="81"/>
      <c r="ED9" s="81"/>
      <c r="EE9" s="91"/>
      <c r="EF9" s="81"/>
      <c r="EG9" s="81"/>
      <c r="EH9" s="81"/>
      <c r="EI9" s="91"/>
      <c r="EJ9" s="80"/>
      <c r="EK9" s="92"/>
      <c r="EL9" s="92"/>
      <c r="EM9" s="81"/>
      <c r="EN9" s="81"/>
      <c r="EO9" s="91"/>
      <c r="EP9" s="81"/>
      <c r="EQ9" s="81"/>
      <c r="ER9" s="81"/>
      <c r="ES9" s="81"/>
      <c r="ET9" s="81"/>
      <c r="EU9" s="81"/>
      <c r="EV9" s="81"/>
      <c r="EW9" s="91"/>
      <c r="EX9" s="81"/>
      <c r="EY9" s="81"/>
      <c r="EZ9" s="81"/>
      <c r="FA9" s="91"/>
      <c r="FB9" s="77"/>
      <c r="FC9" s="80"/>
      <c r="FD9" s="81"/>
      <c r="FE9" s="81"/>
      <c r="FF9" s="81"/>
      <c r="FG9" s="81"/>
      <c r="FH9" s="91"/>
      <c r="FI9" s="81"/>
      <c r="FJ9" s="81"/>
      <c r="FK9" s="81"/>
      <c r="FL9" s="81"/>
      <c r="FM9" s="81"/>
      <c r="FN9" s="81"/>
      <c r="FO9" s="81"/>
      <c r="FP9" s="91"/>
      <c r="FQ9" s="81"/>
      <c r="FR9" s="81"/>
      <c r="FS9" s="81"/>
      <c r="FT9" s="91"/>
      <c r="FU9" s="74"/>
    </row>
    <row r="10" spans="1:177" s="34" customFormat="1" outlineLevel="2" x14ac:dyDescent="0.2">
      <c r="A10" s="20" t="s">
        <v>669</v>
      </c>
      <c r="B10" s="35"/>
      <c r="C10" s="36"/>
      <c r="D10" s="94"/>
      <c r="E10" s="58"/>
      <c r="F10" s="36"/>
      <c r="G10" s="37"/>
      <c r="H10" s="1671"/>
      <c r="I10" s="1671"/>
      <c r="J10" s="1671"/>
      <c r="K10" s="1671"/>
      <c r="L10" s="1671"/>
      <c r="M10" s="46"/>
      <c r="N10" s="82"/>
      <c r="O10" s="82"/>
      <c r="P10" s="67"/>
      <c r="Q10" s="83"/>
      <c r="R10" s="83"/>
      <c r="S10" s="36"/>
      <c r="T10" s="83"/>
      <c r="U10" s="48"/>
      <c r="V10" s="69"/>
      <c r="W10" s="36"/>
      <c r="X10" s="36"/>
      <c r="Y10" s="36"/>
      <c r="Z10" s="36"/>
      <c r="AA10" s="70">
        <f ca="1">(AA4-AA5)+(AA7-AA8-AA9)</f>
        <v>14759.855914982665</v>
      </c>
      <c r="AB10" s="71"/>
      <c r="AC10" s="71"/>
      <c r="AD10" s="75"/>
      <c r="AE10" s="75"/>
      <c r="AF10" s="84"/>
      <c r="AG10" s="75"/>
      <c r="AH10" s="75"/>
      <c r="AI10" s="75"/>
      <c r="AJ10" s="84"/>
      <c r="AK10" s="75"/>
      <c r="AL10" s="75"/>
      <c r="AM10" s="75"/>
      <c r="AN10" s="84"/>
      <c r="AO10" s="75"/>
      <c r="AP10" s="75"/>
      <c r="AQ10" s="75"/>
      <c r="AR10" s="84"/>
      <c r="AS10" s="74"/>
      <c r="AT10" s="70">
        <f ca="1">(AT4-AT5)+(AT7-AT8-AT9)</f>
        <v>51424.231921724975</v>
      </c>
      <c r="AU10" s="71"/>
      <c r="AV10" s="85"/>
      <c r="AW10" s="75"/>
      <c r="AX10" s="75"/>
      <c r="AY10" s="84"/>
      <c r="AZ10" s="75"/>
      <c r="BA10" s="75"/>
      <c r="BB10" s="75"/>
      <c r="BC10" s="86"/>
      <c r="BD10" s="75"/>
      <c r="BE10" s="75"/>
      <c r="BF10" s="75"/>
      <c r="BG10" s="84"/>
      <c r="BH10" s="75"/>
      <c r="BI10" s="75"/>
      <c r="BJ10" s="75"/>
      <c r="BK10" s="84"/>
      <c r="BL10" s="76"/>
      <c r="BM10" s="70">
        <f ca="1">(BM4-BM5)+(BM7-BM8-BM9)</f>
        <v>8711.7629919731171</v>
      </c>
      <c r="BN10" s="71"/>
      <c r="BO10" s="85"/>
      <c r="BP10" s="75"/>
      <c r="BQ10" s="75"/>
      <c r="BR10" s="84"/>
      <c r="BS10" s="75"/>
      <c r="BT10" s="75"/>
      <c r="BU10" s="75"/>
      <c r="BV10" s="86"/>
      <c r="BW10" s="75"/>
      <c r="BX10" s="75"/>
      <c r="BY10" s="75"/>
      <c r="BZ10" s="84"/>
      <c r="CA10" s="75"/>
      <c r="CB10" s="75"/>
      <c r="CC10" s="75"/>
      <c r="CD10" s="84"/>
      <c r="CE10" s="77"/>
      <c r="CF10" s="78">
        <f ca="1">(CF4-CF5)+(CF7-CF8-CF9)</f>
        <v>22613.821275907198</v>
      </c>
      <c r="CG10" s="79"/>
      <c r="CH10" s="79"/>
      <c r="CI10" s="79"/>
      <c r="CJ10" s="79"/>
      <c r="CK10" s="87"/>
      <c r="CL10" s="79"/>
      <c r="CM10" s="79"/>
      <c r="CN10" s="79"/>
      <c r="CO10" s="79"/>
      <c r="CP10" s="79"/>
      <c r="CQ10" s="79"/>
      <c r="CR10" s="79"/>
      <c r="CS10" s="87"/>
      <c r="CT10" s="79"/>
      <c r="CU10" s="79"/>
      <c r="CV10" s="79"/>
      <c r="CW10" s="87"/>
      <c r="CX10" s="76"/>
      <c r="CY10" s="88">
        <f ca="1">(CY4-CY5)+(CY7-CY8-CY9)</f>
        <v>67694.108395933174</v>
      </c>
      <c r="CZ10" s="89"/>
      <c r="DA10" s="81"/>
      <c r="DB10" s="90"/>
      <c r="DC10" s="81"/>
      <c r="DD10" s="91"/>
      <c r="DE10" s="81"/>
      <c r="DF10" s="81"/>
      <c r="DG10" s="81"/>
      <c r="DH10" s="91"/>
      <c r="DI10" s="81"/>
      <c r="DJ10" s="81"/>
      <c r="DK10" s="81"/>
      <c r="DL10" s="91"/>
      <c r="DM10" s="81"/>
      <c r="DN10" s="81"/>
      <c r="DO10" s="81"/>
      <c r="DP10" s="91"/>
      <c r="DQ10" s="74"/>
      <c r="DR10" s="88">
        <f ca="1">(DR4-DR5)+(DR7-DR8-DR9)</f>
        <v>30387.889454356628</v>
      </c>
      <c r="DS10" s="89"/>
      <c r="DT10" s="81"/>
      <c r="DU10" s="90"/>
      <c r="DV10" s="81"/>
      <c r="DW10" s="91"/>
      <c r="DX10" s="81"/>
      <c r="DY10" s="81"/>
      <c r="DZ10" s="81"/>
      <c r="EA10" s="91"/>
      <c r="EB10" s="81"/>
      <c r="EC10" s="81"/>
      <c r="ED10" s="81"/>
      <c r="EE10" s="91"/>
      <c r="EF10" s="81"/>
      <c r="EG10" s="81"/>
      <c r="EH10" s="81"/>
      <c r="EI10" s="91"/>
      <c r="EJ10" s="80">
        <f ca="1">(EJ4-EJ5)+(EJ7-EJ8-EJ9)</f>
        <v>16758.738712865346</v>
      </c>
      <c r="EK10" s="92"/>
      <c r="EL10" s="92"/>
      <c r="EM10" s="81"/>
      <c r="EN10" s="81"/>
      <c r="EO10" s="91"/>
      <c r="EP10" s="81"/>
      <c r="EQ10" s="81"/>
      <c r="ER10" s="81"/>
      <c r="ES10" s="81"/>
      <c r="ET10" s="81"/>
      <c r="EU10" s="81"/>
      <c r="EV10" s="81"/>
      <c r="EW10" s="91"/>
      <c r="EX10" s="81"/>
      <c r="EY10" s="81"/>
      <c r="EZ10" s="81"/>
      <c r="FA10" s="91"/>
      <c r="FB10" s="77"/>
      <c r="FC10" s="80">
        <f ca="1">(FC4-FC5)+(FC7-FC8-FC9)</f>
        <v>139772.44962103106</v>
      </c>
      <c r="FD10" s="81"/>
      <c r="FE10" s="81"/>
      <c r="FF10" s="81"/>
      <c r="FG10" s="81"/>
      <c r="FH10" s="91"/>
      <c r="FI10" s="81"/>
      <c r="FJ10" s="81"/>
      <c r="FK10" s="81"/>
      <c r="FL10" s="81"/>
      <c r="FM10" s="81"/>
      <c r="FN10" s="81"/>
      <c r="FO10" s="81"/>
      <c r="FP10" s="91"/>
      <c r="FQ10" s="81"/>
      <c r="FR10" s="81"/>
      <c r="FS10" s="81"/>
      <c r="FT10" s="91"/>
      <c r="FU10" s="74"/>
    </row>
    <row r="11" spans="1:177" s="34" customFormat="1" outlineLevel="2" x14ac:dyDescent="0.2">
      <c r="A11" s="96" t="s">
        <v>670</v>
      </c>
      <c r="B11" s="97"/>
      <c r="C11" s="98"/>
      <c r="D11" s="94"/>
      <c r="E11" s="58"/>
      <c r="F11" s="36"/>
      <c r="G11" s="37"/>
      <c r="H11" s="1671"/>
      <c r="I11" s="1671"/>
      <c r="J11" s="1671"/>
      <c r="K11" s="1671"/>
      <c r="L11" s="1671"/>
      <c r="M11" s="46"/>
      <c r="N11" s="82"/>
      <c r="O11" s="82"/>
      <c r="P11" s="67"/>
      <c r="Q11" s="83"/>
      <c r="R11" s="83"/>
      <c r="S11" s="36"/>
      <c r="T11" s="83"/>
      <c r="U11" s="48"/>
      <c r="V11" s="69"/>
      <c r="W11" s="36"/>
      <c r="X11" s="36"/>
      <c r="Y11" s="36"/>
      <c r="Z11" s="36"/>
      <c r="AA11" s="50">
        <f ca="1">AA10/(AA5+(AA9+AA8+AA7)/2)</f>
        <v>2.6886619911451744E-2</v>
      </c>
      <c r="AB11" s="99"/>
      <c r="AC11" s="99"/>
      <c r="AD11" s="75"/>
      <c r="AE11" s="75"/>
      <c r="AF11" s="84"/>
      <c r="AG11" s="75"/>
      <c r="AH11" s="75"/>
      <c r="AI11" s="75"/>
      <c r="AJ11" s="84"/>
      <c r="AK11" s="75"/>
      <c r="AL11" s="75"/>
      <c r="AM11" s="75"/>
      <c r="AN11" s="84"/>
      <c r="AO11" s="75"/>
      <c r="AP11" s="75"/>
      <c r="AQ11" s="75"/>
      <c r="AR11" s="84"/>
      <c r="AS11" s="74"/>
      <c r="AT11" s="50">
        <f ca="1">AT10/(AT5+(AT9+AT8+AT7)/2)</f>
        <v>3.0478074585318621E-2</v>
      </c>
      <c r="AU11" s="99"/>
      <c r="AV11" s="100"/>
      <c r="AW11" s="75"/>
      <c r="AX11" s="75"/>
      <c r="AY11" s="84"/>
      <c r="AZ11" s="75"/>
      <c r="BA11" s="75"/>
      <c r="BB11" s="75"/>
      <c r="BC11" s="86"/>
      <c r="BD11" s="75"/>
      <c r="BE11" s="75"/>
      <c r="BF11" s="75"/>
      <c r="BG11" s="84"/>
      <c r="BH11" s="75"/>
      <c r="BI11" s="75"/>
      <c r="BJ11" s="75"/>
      <c r="BK11" s="84"/>
      <c r="BL11" s="76"/>
      <c r="BM11" s="50">
        <f ca="1">BM10/(BM5+(BM9+BM8+BM7)/2)</f>
        <v>3.1407397919567821E-2</v>
      </c>
      <c r="BN11" s="99"/>
      <c r="BO11" s="100"/>
      <c r="BP11" s="75"/>
      <c r="BQ11" s="75"/>
      <c r="BR11" s="84"/>
      <c r="BS11" s="75"/>
      <c r="BT11" s="75"/>
      <c r="BU11" s="75"/>
      <c r="BV11" s="86"/>
      <c r="BW11" s="75"/>
      <c r="BX11" s="75"/>
      <c r="BY11" s="75"/>
      <c r="BZ11" s="84"/>
      <c r="CA11" s="75"/>
      <c r="CB11" s="75"/>
      <c r="CC11" s="75"/>
      <c r="CD11" s="84"/>
      <c r="CE11" s="77"/>
      <c r="CF11" s="55">
        <f ca="1">CF10/(CF5+(CF9+CF8+CF7)/2)</f>
        <v>2.6138583818745852E-2</v>
      </c>
      <c r="CG11" s="79"/>
      <c r="CH11" s="79"/>
      <c r="CI11" s="79"/>
      <c r="CJ11" s="79"/>
      <c r="CK11" s="87"/>
      <c r="CL11" s="79"/>
      <c r="CM11" s="79"/>
      <c r="CN11" s="79"/>
      <c r="CO11" s="79"/>
      <c r="CP11" s="79"/>
      <c r="CQ11" s="79"/>
      <c r="CR11" s="79"/>
      <c r="CS11" s="87"/>
      <c r="CT11" s="79"/>
      <c r="CU11" s="79"/>
      <c r="CV11" s="79"/>
      <c r="CW11" s="87"/>
      <c r="CX11" s="76"/>
      <c r="CY11" s="101">
        <f ca="1">CY10/(CY5+(CY9+CY8+CY7)/2)</f>
        <v>1.9243718140540596E-2</v>
      </c>
      <c r="CZ11" s="102"/>
      <c r="DA11" s="57"/>
      <c r="DB11" s="90"/>
      <c r="DC11" s="81"/>
      <c r="DD11" s="91"/>
      <c r="DE11" s="81"/>
      <c r="DF11" s="81"/>
      <c r="DG11" s="81"/>
      <c r="DH11" s="91"/>
      <c r="DI11" s="81"/>
      <c r="DJ11" s="81"/>
      <c r="DK11" s="81"/>
      <c r="DL11" s="91"/>
      <c r="DM11" s="81"/>
      <c r="DN11" s="81"/>
      <c r="DO11" s="81"/>
      <c r="DP11" s="91"/>
      <c r="DQ11" s="74"/>
      <c r="DR11" s="101">
        <f ca="1">DR10/(DR5+(DR9+DR8+DR7)/2)</f>
        <v>4.4435058848455194E-2</v>
      </c>
      <c r="DS11" s="102"/>
      <c r="DT11" s="57"/>
      <c r="DU11" s="90"/>
      <c r="DV11" s="81"/>
      <c r="DW11" s="91"/>
      <c r="DX11" s="81"/>
      <c r="DY11" s="81"/>
      <c r="DZ11" s="81"/>
      <c r="EA11" s="91"/>
      <c r="EB11" s="81"/>
      <c r="EC11" s="81"/>
      <c r="ED11" s="81"/>
      <c r="EE11" s="91"/>
      <c r="EF11" s="81"/>
      <c r="EG11" s="81"/>
      <c r="EH11" s="81"/>
      <c r="EI11" s="91"/>
      <c r="EJ11" s="56">
        <f ca="1">EJ10/(EJ5+(EJ9+EJ8+EJ7)/2)</f>
        <v>2.3961031273565674E-2</v>
      </c>
      <c r="EK11" s="103"/>
      <c r="EL11" s="103"/>
      <c r="EM11" s="81"/>
      <c r="EN11" s="81"/>
      <c r="EO11" s="91"/>
      <c r="EP11" s="81"/>
      <c r="EQ11" s="81"/>
      <c r="ER11" s="81"/>
      <c r="ES11" s="81"/>
      <c r="ET11" s="81"/>
      <c r="EU11" s="81"/>
      <c r="EV11" s="81"/>
      <c r="EW11" s="91"/>
      <c r="EX11" s="81"/>
      <c r="EY11" s="81"/>
      <c r="EZ11" s="81"/>
      <c r="FA11" s="91"/>
      <c r="FB11" s="77"/>
      <c r="FC11" s="56">
        <f ca="1">FC10/(FC5+(FC9+FC8+FC7)/2)</f>
        <v>3.1612438598523834E-2</v>
      </c>
      <c r="FD11" s="81"/>
      <c r="FE11" s="81"/>
      <c r="FF11" s="81"/>
      <c r="FG11" s="81"/>
      <c r="FH11" s="91"/>
      <c r="FI11" s="81"/>
      <c r="FJ11" s="81"/>
      <c r="FK11" s="81"/>
      <c r="FL11" s="81"/>
      <c r="FM11" s="81"/>
      <c r="FN11" s="81"/>
      <c r="FO11" s="81"/>
      <c r="FP11" s="91"/>
      <c r="FQ11" s="81"/>
      <c r="FR11" s="81"/>
      <c r="FS11" s="81"/>
      <c r="FT11" s="91"/>
      <c r="FU11" s="74"/>
    </row>
    <row r="12" spans="1:177" s="34" customFormat="1" outlineLevel="2" x14ac:dyDescent="0.2">
      <c r="A12" s="20" t="s">
        <v>671</v>
      </c>
      <c r="B12" s="35"/>
      <c r="C12" s="36"/>
      <c r="D12" s="94"/>
      <c r="E12" s="58"/>
      <c r="F12" s="36"/>
      <c r="G12" s="37"/>
      <c r="H12" s="1671"/>
      <c r="I12" s="1671"/>
      <c r="J12" s="1671"/>
      <c r="K12" s="1671"/>
      <c r="L12" s="1671"/>
      <c r="M12" s="46"/>
      <c r="N12" s="82"/>
      <c r="O12" s="82"/>
      <c r="P12" s="67"/>
      <c r="Q12" s="83"/>
      <c r="R12" s="83"/>
      <c r="S12" s="36"/>
      <c r="T12" s="83"/>
      <c r="U12" s="48"/>
      <c r="V12" s="69"/>
      <c r="W12" s="36"/>
      <c r="X12" s="36"/>
      <c r="Y12" s="36"/>
      <c r="Z12" s="36"/>
      <c r="AA12" s="59">
        <f ca="1">AA10-AA7</f>
        <v>13272.905914982664</v>
      </c>
      <c r="AB12" s="104"/>
      <c r="AC12" s="104"/>
      <c r="AD12" s="105"/>
      <c r="AE12" s="105"/>
      <c r="AF12" s="66"/>
      <c r="AG12" s="105"/>
      <c r="AH12" s="105"/>
      <c r="AI12" s="105"/>
      <c r="AJ12" s="66"/>
      <c r="AK12" s="105"/>
      <c r="AL12" s="105"/>
      <c r="AM12" s="105"/>
      <c r="AN12" s="66"/>
      <c r="AO12" s="105"/>
      <c r="AP12" s="105"/>
      <c r="AQ12" s="105"/>
      <c r="AR12" s="66"/>
      <c r="AS12" s="61"/>
      <c r="AT12" s="1936">
        <f ca="1">AT10-AT7</f>
        <v>46867.231921724975</v>
      </c>
      <c r="AU12" s="1937"/>
      <c r="AV12" s="1937"/>
      <c r="AW12" s="1937"/>
      <c r="AX12" s="1937"/>
      <c r="AY12" s="1937"/>
      <c r="AZ12" s="1937"/>
      <c r="BA12" s="1937"/>
      <c r="BB12" s="1937"/>
      <c r="BC12" s="1937"/>
      <c r="BD12" s="1937"/>
      <c r="BE12" s="1937"/>
      <c r="BF12" s="1937"/>
      <c r="BG12" s="1937"/>
      <c r="BH12" s="1937"/>
      <c r="BI12" s="1937"/>
      <c r="BJ12" s="1937"/>
      <c r="BK12" s="1938"/>
      <c r="BL12" s="62"/>
      <c r="BM12" s="1936">
        <f ca="1">BM10-BM7</f>
        <v>7965.8629919731175</v>
      </c>
      <c r="BN12" s="1937"/>
      <c r="BO12" s="1937"/>
      <c r="BP12" s="1937"/>
      <c r="BQ12" s="1937"/>
      <c r="BR12" s="1937"/>
      <c r="BS12" s="1937"/>
      <c r="BT12" s="1937"/>
      <c r="BU12" s="1937"/>
      <c r="BV12" s="1937"/>
      <c r="BW12" s="1937"/>
      <c r="BX12" s="1937"/>
      <c r="BY12" s="1937"/>
      <c r="BZ12" s="1937"/>
      <c r="CA12" s="1937"/>
      <c r="CB12" s="1937"/>
      <c r="CC12" s="1937"/>
      <c r="CD12" s="1938"/>
      <c r="CE12" s="63"/>
      <c r="CF12" s="1933">
        <f ca="1">CF10-CF7</f>
        <v>20743.671275907196</v>
      </c>
      <c r="CG12" s="1934"/>
      <c r="CH12" s="1934"/>
      <c r="CI12" s="1934"/>
      <c r="CJ12" s="1934"/>
      <c r="CK12" s="1934"/>
      <c r="CL12" s="1934"/>
      <c r="CM12" s="1934"/>
      <c r="CN12" s="1934"/>
      <c r="CO12" s="1934"/>
      <c r="CP12" s="1934"/>
      <c r="CQ12" s="1934"/>
      <c r="CR12" s="1934"/>
      <c r="CS12" s="1934"/>
      <c r="CT12" s="1934"/>
      <c r="CU12" s="1934"/>
      <c r="CV12" s="1934"/>
      <c r="CW12" s="1935"/>
      <c r="CX12" s="62"/>
      <c r="CY12" s="1906">
        <f ca="1">CY10-CY7</f>
        <v>67694.108395933174</v>
      </c>
      <c r="CZ12" s="1907"/>
      <c r="DA12" s="1907"/>
      <c r="DB12" s="1907"/>
      <c r="DC12" s="1907"/>
      <c r="DD12" s="1907"/>
      <c r="DE12" s="1907"/>
      <c r="DF12" s="1907"/>
      <c r="DG12" s="1907"/>
      <c r="DH12" s="1907"/>
      <c r="DI12" s="1907"/>
      <c r="DJ12" s="1907"/>
      <c r="DK12" s="1907"/>
      <c r="DL12" s="1907"/>
      <c r="DM12" s="1907"/>
      <c r="DN12" s="1907"/>
      <c r="DO12" s="1907"/>
      <c r="DP12" s="1908"/>
      <c r="DQ12" s="61"/>
      <c r="DR12" s="1906">
        <f ca="1">DR10-DR7</f>
        <v>30387.889454356628</v>
      </c>
      <c r="DS12" s="1907"/>
      <c r="DT12" s="1907"/>
      <c r="DU12" s="1907"/>
      <c r="DV12" s="1907"/>
      <c r="DW12" s="1907"/>
      <c r="DX12" s="1907"/>
      <c r="DY12" s="1907"/>
      <c r="DZ12" s="1907"/>
      <c r="EA12" s="1907"/>
      <c r="EB12" s="1907"/>
      <c r="EC12" s="1907"/>
      <c r="ED12" s="1907"/>
      <c r="EE12" s="1907"/>
      <c r="EF12" s="1907"/>
      <c r="EG12" s="1907"/>
      <c r="EH12" s="1907"/>
      <c r="EI12" s="1908"/>
      <c r="EJ12" s="1906">
        <f ca="1">EJ10-EJ7</f>
        <v>15807.438712865347</v>
      </c>
      <c r="EK12" s="1907"/>
      <c r="EL12" s="1907"/>
      <c r="EM12" s="1907"/>
      <c r="EN12" s="1907"/>
      <c r="EO12" s="1907"/>
      <c r="EP12" s="1907"/>
      <c r="EQ12" s="1907"/>
      <c r="ER12" s="1907"/>
      <c r="ES12" s="1907"/>
      <c r="ET12" s="1907"/>
      <c r="EU12" s="1907"/>
      <c r="EV12" s="1907"/>
      <c r="EW12" s="1907"/>
      <c r="EX12" s="1907"/>
      <c r="EY12" s="1907"/>
      <c r="EZ12" s="1907"/>
      <c r="FA12" s="1908"/>
      <c r="FB12" s="63"/>
      <c r="FC12" s="1906">
        <f ca="1">FC10-FC7</f>
        <v>137383.44962103106</v>
      </c>
      <c r="FD12" s="1907"/>
      <c r="FE12" s="1907"/>
      <c r="FF12" s="1907"/>
      <c r="FG12" s="1907"/>
      <c r="FH12" s="1907"/>
      <c r="FI12" s="1907"/>
      <c r="FJ12" s="1907"/>
      <c r="FK12" s="1907"/>
      <c r="FL12" s="1907"/>
      <c r="FM12" s="1907"/>
      <c r="FN12" s="1907"/>
      <c r="FO12" s="1907"/>
      <c r="FP12" s="1907"/>
      <c r="FQ12" s="1907"/>
      <c r="FR12" s="1907"/>
      <c r="FS12" s="1907"/>
      <c r="FT12" s="1908"/>
      <c r="FU12" s="61"/>
    </row>
    <row r="13" spans="1:177" s="117" customFormat="1" ht="12.75" outlineLevel="2" thickBot="1" x14ac:dyDescent="0.25">
      <c r="A13" s="96" t="s">
        <v>672</v>
      </c>
      <c r="B13" s="97"/>
      <c r="C13" s="98"/>
      <c r="D13" s="106"/>
      <c r="E13" s="107"/>
      <c r="F13" s="98"/>
      <c r="G13" s="108"/>
      <c r="H13" s="1672"/>
      <c r="I13" s="1672"/>
      <c r="J13" s="1672"/>
      <c r="K13" s="1672"/>
      <c r="L13" s="1672"/>
      <c r="M13" s="98"/>
      <c r="N13" s="110"/>
      <c r="O13" s="110"/>
      <c r="P13" s="111"/>
      <c r="Q13" s="98"/>
      <c r="R13" s="98"/>
      <c r="S13" s="98"/>
      <c r="T13" s="98"/>
      <c r="U13" s="112"/>
      <c r="V13" s="113"/>
      <c r="W13" s="98"/>
      <c r="X13" s="114"/>
      <c r="Y13" s="114"/>
      <c r="Z13" s="114"/>
      <c r="AA13" s="50">
        <f ca="1">IFERROR(AA12/(AA5+(AA9+AA8+AA7)/2),"")</f>
        <v>2.4177985104471642E-2</v>
      </c>
      <c r="AB13" s="99"/>
      <c r="AC13" s="99"/>
      <c r="AD13" s="115"/>
      <c r="AE13" s="115"/>
      <c r="AF13" s="116"/>
      <c r="AG13" s="115"/>
      <c r="AH13" s="115"/>
      <c r="AI13" s="115"/>
      <c r="AJ13" s="116"/>
      <c r="AK13" s="115"/>
      <c r="AL13" s="115"/>
      <c r="AM13" s="115"/>
      <c r="AN13" s="116"/>
      <c r="AO13" s="115"/>
      <c r="AP13" s="115"/>
      <c r="AQ13" s="115"/>
      <c r="AR13" s="116"/>
      <c r="AS13" s="52"/>
      <c r="AT13" s="1930">
        <f ca="1">IFERROR(AT12/(AT5+(AT9+AT8+AT7)/2),"")</f>
        <v>2.7777235298176613E-2</v>
      </c>
      <c r="AU13" s="1931"/>
      <c r="AV13" s="1931"/>
      <c r="AW13" s="1931"/>
      <c r="AX13" s="1931"/>
      <c r="AY13" s="1931"/>
      <c r="AZ13" s="1931"/>
      <c r="BA13" s="1931"/>
      <c r="BB13" s="1931"/>
      <c r="BC13" s="1931"/>
      <c r="BD13" s="1931"/>
      <c r="BE13" s="1931"/>
      <c r="BF13" s="1931"/>
      <c r="BG13" s="1931"/>
      <c r="BH13" s="1931"/>
      <c r="BI13" s="1931"/>
      <c r="BJ13" s="1931"/>
      <c r="BK13" s="1932"/>
      <c r="BL13" s="53"/>
      <c r="BM13" s="1930">
        <f ca="1">IFERROR(BM12/(BM5+(BM9+BM8+BM7)/2),"")</f>
        <v>2.8718300646169696E-2</v>
      </c>
      <c r="BN13" s="1931"/>
      <c r="BO13" s="1931"/>
      <c r="BP13" s="1931"/>
      <c r="BQ13" s="1931"/>
      <c r="BR13" s="1931"/>
      <c r="BS13" s="1931"/>
      <c r="BT13" s="1931"/>
      <c r="BU13" s="1931"/>
      <c r="BV13" s="1931"/>
      <c r="BW13" s="1931"/>
      <c r="BX13" s="1931"/>
      <c r="BY13" s="1931"/>
      <c r="BZ13" s="1931"/>
      <c r="CA13" s="1931"/>
      <c r="CB13" s="1931"/>
      <c r="CC13" s="1931"/>
      <c r="CD13" s="1932"/>
      <c r="CE13" s="54"/>
      <c r="CF13" s="1939">
        <f ca="1">IFERROR(CF12/(CF5+(CF9+CF8+CF7)/2),"")</f>
        <v>2.397693798577433E-2</v>
      </c>
      <c r="CG13" s="1940"/>
      <c r="CH13" s="1940"/>
      <c r="CI13" s="1940"/>
      <c r="CJ13" s="1940"/>
      <c r="CK13" s="1940"/>
      <c r="CL13" s="1940"/>
      <c r="CM13" s="1940"/>
      <c r="CN13" s="1940"/>
      <c r="CO13" s="1940"/>
      <c r="CP13" s="1940"/>
      <c r="CQ13" s="1940"/>
      <c r="CR13" s="1940"/>
      <c r="CS13" s="1940"/>
      <c r="CT13" s="1940"/>
      <c r="CU13" s="1940"/>
      <c r="CV13" s="1940"/>
      <c r="CW13" s="1941"/>
      <c r="CX13" s="53"/>
      <c r="CY13" s="1915">
        <f ca="1">IFERROR(CY12/(CY5+(CY9+CY8+CY7)/2),"")</f>
        <v>1.9243718140540596E-2</v>
      </c>
      <c r="CZ13" s="1916"/>
      <c r="DA13" s="1916"/>
      <c r="DB13" s="1916"/>
      <c r="DC13" s="1916"/>
      <c r="DD13" s="1916"/>
      <c r="DE13" s="1916"/>
      <c r="DF13" s="1916"/>
      <c r="DG13" s="1916"/>
      <c r="DH13" s="1916"/>
      <c r="DI13" s="1916"/>
      <c r="DJ13" s="1916"/>
      <c r="DK13" s="1916"/>
      <c r="DL13" s="1916"/>
      <c r="DM13" s="1916"/>
      <c r="DN13" s="1916"/>
      <c r="DO13" s="1916"/>
      <c r="DP13" s="1917"/>
      <c r="DQ13" s="52"/>
      <c r="DR13" s="1915">
        <f ca="1">IFERROR(DR12/(DR5+(DR9+DR8+DR7)/2),"")</f>
        <v>4.4435058848455194E-2</v>
      </c>
      <c r="DS13" s="1916"/>
      <c r="DT13" s="1916"/>
      <c r="DU13" s="1916"/>
      <c r="DV13" s="1916"/>
      <c r="DW13" s="1916"/>
      <c r="DX13" s="1916"/>
      <c r="DY13" s="1916"/>
      <c r="DZ13" s="1916"/>
      <c r="EA13" s="1916"/>
      <c r="EB13" s="1916"/>
      <c r="EC13" s="1916"/>
      <c r="ED13" s="1916"/>
      <c r="EE13" s="1916"/>
      <c r="EF13" s="1916"/>
      <c r="EG13" s="1916"/>
      <c r="EH13" s="1916"/>
      <c r="EI13" s="1917"/>
      <c r="EJ13" s="1915">
        <f ca="1">IFERROR(EJ12/(EJ5+(EJ9+EJ8+EJ7)/2),"")</f>
        <v>2.2600897349343538E-2</v>
      </c>
      <c r="EK13" s="1916"/>
      <c r="EL13" s="1916"/>
      <c r="EM13" s="1916"/>
      <c r="EN13" s="1916"/>
      <c r="EO13" s="1916"/>
      <c r="EP13" s="1916"/>
      <c r="EQ13" s="1916"/>
      <c r="ER13" s="1916"/>
      <c r="ES13" s="1916"/>
      <c r="ET13" s="1916"/>
      <c r="EU13" s="1916"/>
      <c r="EV13" s="1916"/>
      <c r="EW13" s="1916"/>
      <c r="EX13" s="1916"/>
      <c r="EY13" s="1916"/>
      <c r="EZ13" s="1916"/>
      <c r="FA13" s="1917"/>
      <c r="FB13" s="54"/>
      <c r="FC13" s="1915">
        <f ca="1">IFERROR(FC12/(FC5+(FC9+FC8+FC7)/2),"")</f>
        <v>3.1072116696628013E-2</v>
      </c>
      <c r="FD13" s="1916"/>
      <c r="FE13" s="1916"/>
      <c r="FF13" s="1916"/>
      <c r="FG13" s="1916"/>
      <c r="FH13" s="1916"/>
      <c r="FI13" s="1916"/>
      <c r="FJ13" s="1916"/>
      <c r="FK13" s="1916"/>
      <c r="FL13" s="1916"/>
      <c r="FM13" s="1916"/>
      <c r="FN13" s="1916"/>
      <c r="FO13" s="1916"/>
      <c r="FP13" s="1916"/>
      <c r="FQ13" s="1916"/>
      <c r="FR13" s="1916"/>
      <c r="FS13" s="1916"/>
      <c r="FT13" s="1917"/>
      <c r="FU13" s="52"/>
    </row>
    <row r="14" spans="1:177" x14ac:dyDescent="0.2">
      <c r="A14" s="118"/>
      <c r="B14" s="118"/>
      <c r="C14" s="119"/>
      <c r="D14" s="120"/>
      <c r="E14" s="121"/>
      <c r="F14" s="119"/>
      <c r="G14" s="122"/>
      <c r="H14" s="1673"/>
      <c r="I14" s="1673"/>
      <c r="J14" s="1673"/>
      <c r="K14" s="1673"/>
      <c r="L14" s="1673"/>
      <c r="M14" s="118"/>
      <c r="N14" s="123"/>
      <c r="O14" s="123"/>
      <c r="P14" s="124"/>
      <c r="Q14" s="125"/>
      <c r="R14" s="125"/>
      <c r="S14" s="119"/>
      <c r="T14" s="125"/>
      <c r="U14" s="126"/>
      <c r="V14" s="127"/>
      <c r="W14" s="119"/>
      <c r="X14" s="119"/>
      <c r="Y14" s="119"/>
      <c r="Z14" s="128"/>
      <c r="AA14" s="129" t="s">
        <v>673</v>
      </c>
      <c r="AB14" s="130"/>
      <c r="AC14" s="130"/>
      <c r="AD14" s="131"/>
      <c r="AE14" s="131"/>
      <c r="AF14" s="132"/>
      <c r="AG14" s="133" t="s">
        <v>674</v>
      </c>
      <c r="AH14" s="134"/>
      <c r="AI14" s="134"/>
      <c r="AJ14" s="135"/>
      <c r="AK14" s="1912" t="s">
        <v>675</v>
      </c>
      <c r="AL14" s="1913"/>
      <c r="AM14" s="1913"/>
      <c r="AN14" s="1914"/>
      <c r="AO14" s="136" t="s">
        <v>676</v>
      </c>
      <c r="AP14" s="136"/>
      <c r="AQ14" s="136"/>
      <c r="AR14" s="137"/>
      <c r="AS14" s="138"/>
      <c r="AT14" s="1926" t="s">
        <v>673</v>
      </c>
      <c r="AU14" s="1927"/>
      <c r="AV14" s="1927"/>
      <c r="AW14" s="1927"/>
      <c r="AX14" s="1927"/>
      <c r="AY14" s="1927"/>
      <c r="AZ14" s="1909" t="s">
        <v>674</v>
      </c>
      <c r="BA14" s="1910"/>
      <c r="BB14" s="1910"/>
      <c r="BC14" s="1911"/>
      <c r="BD14" s="1912" t="s">
        <v>675</v>
      </c>
      <c r="BE14" s="1913"/>
      <c r="BF14" s="1913"/>
      <c r="BG14" s="1914"/>
      <c r="BH14" s="1928" t="s">
        <v>676</v>
      </c>
      <c r="BI14" s="1928"/>
      <c r="BJ14" s="1928"/>
      <c r="BK14" s="1929"/>
      <c r="BL14" s="139"/>
      <c r="BM14" s="1926" t="s">
        <v>673</v>
      </c>
      <c r="BN14" s="1927"/>
      <c r="BO14" s="1927"/>
      <c r="BP14" s="1927"/>
      <c r="BQ14" s="1927"/>
      <c r="BR14" s="1942"/>
      <c r="BS14" s="1909" t="s">
        <v>674</v>
      </c>
      <c r="BT14" s="1910"/>
      <c r="BU14" s="1910"/>
      <c r="BV14" s="1911"/>
      <c r="BW14" s="1912" t="s">
        <v>675</v>
      </c>
      <c r="BX14" s="1913"/>
      <c r="BY14" s="1913"/>
      <c r="BZ14" s="1914"/>
      <c r="CA14" s="1928" t="s">
        <v>676</v>
      </c>
      <c r="CB14" s="1928"/>
      <c r="CC14" s="1928"/>
      <c r="CD14" s="1929"/>
      <c r="CE14" s="140"/>
      <c r="CF14" s="1926" t="s">
        <v>673</v>
      </c>
      <c r="CG14" s="1927"/>
      <c r="CH14" s="1927"/>
      <c r="CI14" s="1927"/>
      <c r="CJ14" s="1927"/>
      <c r="CK14" s="1927"/>
      <c r="CL14" s="1909" t="s">
        <v>674</v>
      </c>
      <c r="CM14" s="1910"/>
      <c r="CN14" s="1910"/>
      <c r="CO14" s="1911"/>
      <c r="CP14" s="1912" t="s">
        <v>675</v>
      </c>
      <c r="CQ14" s="1913"/>
      <c r="CR14" s="1913"/>
      <c r="CS14" s="1914"/>
      <c r="CT14" s="1928" t="s">
        <v>676</v>
      </c>
      <c r="CU14" s="1928"/>
      <c r="CV14" s="1928"/>
      <c r="CW14" s="1929"/>
      <c r="CX14" s="139"/>
      <c r="CY14" s="1926" t="s">
        <v>673</v>
      </c>
      <c r="CZ14" s="1927"/>
      <c r="DA14" s="1927"/>
      <c r="DB14" s="1927"/>
      <c r="DC14" s="1927"/>
      <c r="DD14" s="1927"/>
      <c r="DE14" s="1909" t="s">
        <v>674</v>
      </c>
      <c r="DF14" s="1910"/>
      <c r="DG14" s="1910"/>
      <c r="DH14" s="1911"/>
      <c r="DI14" s="1912" t="s">
        <v>675</v>
      </c>
      <c r="DJ14" s="1913"/>
      <c r="DK14" s="1913"/>
      <c r="DL14" s="1914"/>
      <c r="DM14" s="1928" t="s">
        <v>676</v>
      </c>
      <c r="DN14" s="1928"/>
      <c r="DO14" s="1928"/>
      <c r="DP14" s="1929"/>
      <c r="DQ14" s="138"/>
      <c r="DR14" s="1926" t="s">
        <v>673</v>
      </c>
      <c r="DS14" s="1927"/>
      <c r="DT14" s="1927"/>
      <c r="DU14" s="1927"/>
      <c r="DV14" s="1927"/>
      <c r="DW14" s="1927"/>
      <c r="DX14" s="1909" t="s">
        <v>674</v>
      </c>
      <c r="DY14" s="1910"/>
      <c r="DZ14" s="1910"/>
      <c r="EA14" s="1911"/>
      <c r="EB14" s="1912" t="s">
        <v>675</v>
      </c>
      <c r="EC14" s="1913"/>
      <c r="ED14" s="1913"/>
      <c r="EE14" s="1914"/>
      <c r="EF14" s="1928" t="s">
        <v>676</v>
      </c>
      <c r="EG14" s="1928"/>
      <c r="EH14" s="1928"/>
      <c r="EI14" s="1929"/>
      <c r="EJ14" s="1926" t="s">
        <v>673</v>
      </c>
      <c r="EK14" s="1927"/>
      <c r="EL14" s="1927"/>
      <c r="EM14" s="1927"/>
      <c r="EN14" s="1927"/>
      <c r="EO14" s="1927"/>
      <c r="EP14" s="1909" t="s">
        <v>674</v>
      </c>
      <c r="EQ14" s="1910"/>
      <c r="ER14" s="1910"/>
      <c r="ES14" s="1911"/>
      <c r="ET14" s="1912" t="s">
        <v>675</v>
      </c>
      <c r="EU14" s="1913"/>
      <c r="EV14" s="1913"/>
      <c r="EW14" s="1914"/>
      <c r="EX14" s="1928" t="s">
        <v>676</v>
      </c>
      <c r="EY14" s="1928"/>
      <c r="EZ14" s="1928"/>
      <c r="FA14" s="1929"/>
      <c r="FB14" s="140"/>
      <c r="FC14" s="1926" t="s">
        <v>673</v>
      </c>
      <c r="FD14" s="1927"/>
      <c r="FE14" s="1927"/>
      <c r="FF14" s="1927"/>
      <c r="FG14" s="1927"/>
      <c r="FH14" s="1927"/>
      <c r="FI14" s="1909" t="s">
        <v>674</v>
      </c>
      <c r="FJ14" s="1910"/>
      <c r="FK14" s="1910"/>
      <c r="FL14" s="1911"/>
      <c r="FM14" s="1912" t="s">
        <v>675</v>
      </c>
      <c r="FN14" s="1913"/>
      <c r="FO14" s="1913"/>
      <c r="FP14" s="1914"/>
      <c r="FQ14" s="1928" t="s">
        <v>676</v>
      </c>
      <c r="FR14" s="1928"/>
      <c r="FS14" s="1928"/>
      <c r="FT14" s="1929"/>
      <c r="FU14" s="141"/>
    </row>
    <row r="15" spans="1:177" s="35" customFormat="1" x14ac:dyDescent="0.2">
      <c r="A15" s="143" t="s">
        <v>677</v>
      </c>
      <c r="B15" s="143" t="s">
        <v>363</v>
      </c>
      <c r="C15" s="144" t="s">
        <v>678</v>
      </c>
      <c r="D15" s="145" t="s">
        <v>679</v>
      </c>
      <c r="E15" s="145" t="s">
        <v>680</v>
      </c>
      <c r="F15" s="144" t="s">
        <v>9</v>
      </c>
      <c r="G15" s="146" t="s">
        <v>681</v>
      </c>
      <c r="H15" s="1701" t="s">
        <v>682</v>
      </c>
      <c r="I15" s="1674" t="s">
        <v>683</v>
      </c>
      <c r="J15" s="1701" t="s">
        <v>684</v>
      </c>
      <c r="K15" s="1674" t="s">
        <v>685</v>
      </c>
      <c r="L15" s="1674" t="s">
        <v>686</v>
      </c>
      <c r="M15" s="144" t="s">
        <v>687</v>
      </c>
      <c r="N15" s="144" t="s">
        <v>688</v>
      </c>
      <c r="O15" s="144" t="s">
        <v>689</v>
      </c>
      <c r="P15" s="144" t="s">
        <v>690</v>
      </c>
      <c r="Q15" s="144" t="s">
        <v>691</v>
      </c>
      <c r="R15" s="144" t="s">
        <v>674</v>
      </c>
      <c r="S15" s="144"/>
      <c r="T15" s="144" t="s">
        <v>692</v>
      </c>
      <c r="U15" s="148" t="s">
        <v>693</v>
      </c>
      <c r="V15" s="144" t="s">
        <v>694</v>
      </c>
      <c r="W15" s="144" t="s">
        <v>695</v>
      </c>
      <c r="X15" s="144" t="s">
        <v>696</v>
      </c>
      <c r="Y15" s="144" t="s">
        <v>697</v>
      </c>
      <c r="Z15" s="149" t="s">
        <v>698</v>
      </c>
      <c r="AA15" s="150" t="s">
        <v>699</v>
      </c>
      <c r="AB15" s="151" t="s">
        <v>700</v>
      </c>
      <c r="AC15" s="151" t="s">
        <v>701</v>
      </c>
      <c r="AD15" s="151" t="s">
        <v>702</v>
      </c>
      <c r="AE15" s="151" t="s">
        <v>703</v>
      </c>
      <c r="AF15" s="151" t="s">
        <v>704</v>
      </c>
      <c r="AG15" s="152" t="s">
        <v>705</v>
      </c>
      <c r="AH15" s="153" t="s">
        <v>706</v>
      </c>
      <c r="AI15" s="153" t="s">
        <v>707</v>
      </c>
      <c r="AJ15" s="154" t="s">
        <v>708</v>
      </c>
      <c r="AK15" s="155" t="s">
        <v>709</v>
      </c>
      <c r="AL15" s="156" t="s">
        <v>710</v>
      </c>
      <c r="AM15" s="156" t="s">
        <v>711</v>
      </c>
      <c r="AN15" s="157" t="s">
        <v>712</v>
      </c>
      <c r="AO15" s="158" t="s">
        <v>713</v>
      </c>
      <c r="AP15" s="158" t="s">
        <v>714</v>
      </c>
      <c r="AQ15" s="158" t="s">
        <v>715</v>
      </c>
      <c r="AR15" s="158" t="s">
        <v>716</v>
      </c>
      <c r="AS15" s="159" t="s">
        <v>717</v>
      </c>
      <c r="AT15" s="150" t="s">
        <v>699</v>
      </c>
      <c r="AU15" s="151" t="s">
        <v>700</v>
      </c>
      <c r="AV15" s="151" t="s">
        <v>701</v>
      </c>
      <c r="AW15" s="151" t="s">
        <v>702</v>
      </c>
      <c r="AX15" s="151" t="s">
        <v>703</v>
      </c>
      <c r="AY15" s="151" t="s">
        <v>704</v>
      </c>
      <c r="AZ15" s="152" t="s">
        <v>705</v>
      </c>
      <c r="BA15" s="153" t="s">
        <v>706</v>
      </c>
      <c r="BB15" s="153" t="s">
        <v>707</v>
      </c>
      <c r="BC15" s="154" t="s">
        <v>708</v>
      </c>
      <c r="BD15" s="155" t="s">
        <v>709</v>
      </c>
      <c r="BE15" s="156" t="s">
        <v>710</v>
      </c>
      <c r="BF15" s="156" t="s">
        <v>711</v>
      </c>
      <c r="BG15" s="157" t="s">
        <v>712</v>
      </c>
      <c r="BH15" s="158" t="s">
        <v>713</v>
      </c>
      <c r="BI15" s="158" t="s">
        <v>714</v>
      </c>
      <c r="BJ15" s="158" t="s">
        <v>715</v>
      </c>
      <c r="BK15" s="158" t="s">
        <v>716</v>
      </c>
      <c r="BL15" s="160" t="s">
        <v>717</v>
      </c>
      <c r="BM15" s="150" t="s">
        <v>699</v>
      </c>
      <c r="BN15" s="151" t="s">
        <v>700</v>
      </c>
      <c r="BO15" s="151" t="s">
        <v>701</v>
      </c>
      <c r="BP15" s="151" t="s">
        <v>702</v>
      </c>
      <c r="BQ15" s="151" t="s">
        <v>703</v>
      </c>
      <c r="BR15" s="151" t="s">
        <v>704</v>
      </c>
      <c r="BS15" s="152" t="s">
        <v>705</v>
      </c>
      <c r="BT15" s="153" t="s">
        <v>706</v>
      </c>
      <c r="BU15" s="153" t="s">
        <v>707</v>
      </c>
      <c r="BV15" s="154" t="s">
        <v>708</v>
      </c>
      <c r="BW15" s="155" t="s">
        <v>709</v>
      </c>
      <c r="BX15" s="156" t="s">
        <v>710</v>
      </c>
      <c r="BY15" s="156" t="s">
        <v>711</v>
      </c>
      <c r="BZ15" s="157" t="s">
        <v>712</v>
      </c>
      <c r="CA15" s="158" t="s">
        <v>713</v>
      </c>
      <c r="CB15" s="158" t="s">
        <v>714</v>
      </c>
      <c r="CC15" s="158" t="s">
        <v>715</v>
      </c>
      <c r="CD15" s="158" t="s">
        <v>716</v>
      </c>
      <c r="CE15" s="161" t="s">
        <v>717</v>
      </c>
      <c r="CF15" s="150" t="s">
        <v>699</v>
      </c>
      <c r="CG15" s="151" t="s">
        <v>700</v>
      </c>
      <c r="CH15" s="151" t="s">
        <v>701</v>
      </c>
      <c r="CI15" s="151" t="s">
        <v>702</v>
      </c>
      <c r="CJ15" s="151" t="s">
        <v>703</v>
      </c>
      <c r="CK15" s="151" t="s">
        <v>704</v>
      </c>
      <c r="CL15" s="152" t="s">
        <v>705</v>
      </c>
      <c r="CM15" s="153" t="s">
        <v>706</v>
      </c>
      <c r="CN15" s="153" t="s">
        <v>707</v>
      </c>
      <c r="CO15" s="154" t="s">
        <v>708</v>
      </c>
      <c r="CP15" s="155" t="s">
        <v>709</v>
      </c>
      <c r="CQ15" s="156" t="s">
        <v>710</v>
      </c>
      <c r="CR15" s="156" t="s">
        <v>711</v>
      </c>
      <c r="CS15" s="157" t="s">
        <v>712</v>
      </c>
      <c r="CT15" s="158" t="s">
        <v>713</v>
      </c>
      <c r="CU15" s="158" t="s">
        <v>714</v>
      </c>
      <c r="CV15" s="158" t="s">
        <v>715</v>
      </c>
      <c r="CW15" s="158" t="s">
        <v>716</v>
      </c>
      <c r="CX15" s="160" t="s">
        <v>717</v>
      </c>
      <c r="CY15" s="162" t="s">
        <v>699</v>
      </c>
      <c r="CZ15" s="151" t="s">
        <v>700</v>
      </c>
      <c r="DA15" s="151" t="s">
        <v>701</v>
      </c>
      <c r="DB15" s="151" t="s">
        <v>702</v>
      </c>
      <c r="DC15" s="151" t="s">
        <v>703</v>
      </c>
      <c r="DD15" s="151" t="s">
        <v>704</v>
      </c>
      <c r="DE15" s="152" t="s">
        <v>705</v>
      </c>
      <c r="DF15" s="153" t="s">
        <v>706</v>
      </c>
      <c r="DG15" s="153" t="s">
        <v>707</v>
      </c>
      <c r="DH15" s="154" t="s">
        <v>708</v>
      </c>
      <c r="DI15" s="155" t="s">
        <v>709</v>
      </c>
      <c r="DJ15" s="156" t="s">
        <v>710</v>
      </c>
      <c r="DK15" s="156" t="s">
        <v>711</v>
      </c>
      <c r="DL15" s="157" t="s">
        <v>712</v>
      </c>
      <c r="DM15" s="158" t="s">
        <v>713</v>
      </c>
      <c r="DN15" s="158" t="s">
        <v>714</v>
      </c>
      <c r="DO15" s="158" t="s">
        <v>715</v>
      </c>
      <c r="DP15" s="158" t="s">
        <v>716</v>
      </c>
      <c r="DQ15" s="159" t="s">
        <v>717</v>
      </c>
      <c r="DR15" s="162" t="s">
        <v>699</v>
      </c>
      <c r="DS15" s="151" t="s">
        <v>700</v>
      </c>
      <c r="DT15" s="151" t="s">
        <v>701</v>
      </c>
      <c r="DU15" s="151" t="s">
        <v>702</v>
      </c>
      <c r="DV15" s="151" t="s">
        <v>703</v>
      </c>
      <c r="DW15" s="151" t="s">
        <v>704</v>
      </c>
      <c r="DX15" s="152" t="s">
        <v>705</v>
      </c>
      <c r="DY15" s="153" t="s">
        <v>706</v>
      </c>
      <c r="DZ15" s="153" t="s">
        <v>707</v>
      </c>
      <c r="EA15" s="154" t="s">
        <v>708</v>
      </c>
      <c r="EB15" s="155" t="s">
        <v>709</v>
      </c>
      <c r="EC15" s="156" t="s">
        <v>710</v>
      </c>
      <c r="ED15" s="156" t="s">
        <v>711</v>
      </c>
      <c r="EE15" s="157" t="s">
        <v>712</v>
      </c>
      <c r="EF15" s="158" t="s">
        <v>713</v>
      </c>
      <c r="EG15" s="158" t="s">
        <v>714</v>
      </c>
      <c r="EH15" s="158" t="s">
        <v>715</v>
      </c>
      <c r="EI15" s="158" t="s">
        <v>716</v>
      </c>
      <c r="EJ15" s="150" t="s">
        <v>699</v>
      </c>
      <c r="EK15" s="151" t="s">
        <v>700</v>
      </c>
      <c r="EL15" s="151" t="s">
        <v>701</v>
      </c>
      <c r="EM15" s="151" t="s">
        <v>702</v>
      </c>
      <c r="EN15" s="151" t="s">
        <v>703</v>
      </c>
      <c r="EO15" s="151" t="s">
        <v>704</v>
      </c>
      <c r="EP15" s="152" t="s">
        <v>705</v>
      </c>
      <c r="EQ15" s="153" t="s">
        <v>706</v>
      </c>
      <c r="ER15" s="153" t="s">
        <v>707</v>
      </c>
      <c r="ES15" s="154" t="s">
        <v>708</v>
      </c>
      <c r="ET15" s="155" t="s">
        <v>709</v>
      </c>
      <c r="EU15" s="156" t="s">
        <v>710</v>
      </c>
      <c r="EV15" s="156" t="s">
        <v>711</v>
      </c>
      <c r="EW15" s="157" t="s">
        <v>712</v>
      </c>
      <c r="EX15" s="158" t="s">
        <v>713</v>
      </c>
      <c r="EY15" s="158" t="s">
        <v>714</v>
      </c>
      <c r="EZ15" s="158" t="s">
        <v>715</v>
      </c>
      <c r="FA15" s="158" t="s">
        <v>716</v>
      </c>
      <c r="FB15" s="161" t="s">
        <v>717</v>
      </c>
      <c r="FC15" s="150" t="s">
        <v>699</v>
      </c>
      <c r="FD15" s="151" t="s">
        <v>700</v>
      </c>
      <c r="FE15" s="151" t="s">
        <v>701</v>
      </c>
      <c r="FF15" s="151" t="s">
        <v>702</v>
      </c>
      <c r="FG15" s="151" t="s">
        <v>703</v>
      </c>
      <c r="FH15" s="151" t="s">
        <v>704</v>
      </c>
      <c r="FI15" s="152" t="s">
        <v>705</v>
      </c>
      <c r="FJ15" s="153" t="s">
        <v>706</v>
      </c>
      <c r="FK15" s="153" t="s">
        <v>707</v>
      </c>
      <c r="FL15" s="154" t="s">
        <v>708</v>
      </c>
      <c r="FM15" s="155" t="s">
        <v>709</v>
      </c>
      <c r="FN15" s="156" t="s">
        <v>710</v>
      </c>
      <c r="FO15" s="156" t="s">
        <v>711</v>
      </c>
      <c r="FP15" s="157" t="s">
        <v>712</v>
      </c>
      <c r="FQ15" s="158" t="s">
        <v>713</v>
      </c>
      <c r="FR15" s="158" t="s">
        <v>714</v>
      </c>
      <c r="FS15" s="158" t="s">
        <v>715</v>
      </c>
      <c r="FT15" s="158" t="s">
        <v>716</v>
      </c>
      <c r="FU15" s="159" t="s">
        <v>717</v>
      </c>
    </row>
    <row r="16" spans="1:177" ht="12" customHeight="1" x14ac:dyDescent="0.2">
      <c r="A16" s="163" t="s">
        <v>362</v>
      </c>
      <c r="B16" s="163"/>
      <c r="C16" s="164"/>
      <c r="D16" s="165"/>
      <c r="E16" s="166"/>
      <c r="F16" s="164"/>
      <c r="G16" s="167"/>
      <c r="H16" s="1702"/>
      <c r="I16" s="1675"/>
      <c r="J16" s="1702"/>
      <c r="K16" s="1703"/>
      <c r="L16" s="1703"/>
      <c r="M16" s="163"/>
      <c r="N16" s="170">
        <f>1-SUM($N$28,$N$77,$N$165,$N$160)</f>
        <v>2.4999999999999911E-2</v>
      </c>
      <c r="O16" s="170">
        <v>1.3399999999999967E-2</v>
      </c>
      <c r="P16" s="171">
        <f t="shared" ref="P16:P46" ca="1" si="1">SUMIF($AA$15:$CD$15,"I_Ctrlv",$AA16:$CD16)/$Q$2</f>
        <v>0.1204262841903815</v>
      </c>
      <c r="Q16" s="172"/>
      <c r="R16" s="172"/>
      <c r="S16" s="164" t="s">
        <v>718</v>
      </c>
      <c r="T16" s="172"/>
      <c r="U16" s="173"/>
      <c r="V16" s="172"/>
      <c r="W16" s="164"/>
      <c r="X16" s="174"/>
      <c r="Y16" s="174"/>
      <c r="Z16" s="175"/>
      <c r="AA16" s="176"/>
      <c r="AB16" s="177"/>
      <c r="AC16" s="177"/>
      <c r="AD16" s="164"/>
      <c r="AE16" s="178">
        <f ca="1">SUM(AE$17:AE$27)</f>
        <v>68266.687665742269</v>
      </c>
      <c r="AF16" s="179">
        <f t="shared" ref="AF16:AF18" ca="1" si="2">IFERROR(AE16/AA$4,0)</f>
        <v>0.12158000365238331</v>
      </c>
      <c r="AG16" s="180"/>
      <c r="AH16" s="181"/>
      <c r="AI16" s="178">
        <f ca="1">SUM(AI$17:AI$27)</f>
        <v>-68266.687665742269</v>
      </c>
      <c r="AJ16" s="182">
        <f ca="1">IFERROR(AI16/AA$4,0)</f>
        <v>-0.12158000365238331</v>
      </c>
      <c r="AK16" s="180"/>
      <c r="AL16" s="181"/>
      <c r="AM16" s="178">
        <f ca="1">SUM(AM$17:AM$27)</f>
        <v>0</v>
      </c>
      <c r="AN16" s="182">
        <f t="shared" ref="AN16:AN18" ca="1" si="3">IFERROR(AM16/AA$4,0)</f>
        <v>0</v>
      </c>
      <c r="AO16" s="181"/>
      <c r="AP16" s="181"/>
      <c r="AQ16" s="178">
        <f ca="1">SUM(AQ$17:AQ$27)</f>
        <v>68266.687665742269</v>
      </c>
      <c r="AR16" s="179">
        <f ca="1">IFERROR(AQ16/AA$4,0)</f>
        <v>0.12158000365238331</v>
      </c>
      <c r="AS16" s="183" t="str">
        <f ca="1">IF(SUM(AF16,AN16,AR16)&lt;&gt;0,"V","")</f>
        <v>V</v>
      </c>
      <c r="AT16" s="176"/>
      <c r="AU16" s="177"/>
      <c r="AV16" s="177"/>
      <c r="AW16" s="164"/>
      <c r="AX16" s="178">
        <f ca="1">SUM(AX$17:AX$27)</f>
        <v>204971.47166870732</v>
      </c>
      <c r="AY16" s="179">
        <f t="shared" ref="AY16:AY18" ca="1" si="4">IFERROR(AX16/AT$4,0)</f>
        <v>0.11835460041425507</v>
      </c>
      <c r="AZ16" s="180"/>
      <c r="BA16" s="181"/>
      <c r="BB16" s="178">
        <f ca="1">SUM(BB$17:BB$27)</f>
        <v>-204971.47166870732</v>
      </c>
      <c r="BC16" s="182">
        <f ca="1">IFERROR(BB16/AT$4,0)</f>
        <v>-0.11835460041425507</v>
      </c>
      <c r="BD16" s="180"/>
      <c r="BE16" s="181"/>
      <c r="BF16" s="178">
        <f ca="1">SUM(BF$17:BF$27)</f>
        <v>0</v>
      </c>
      <c r="BG16" s="182">
        <f t="shared" ref="BG16:BG18" ca="1" si="5">IFERROR(BF16/AT$4,0)</f>
        <v>0</v>
      </c>
      <c r="BH16" s="181"/>
      <c r="BI16" s="181"/>
      <c r="BJ16" s="178">
        <f ca="1">SUM(BJ$17:BJ$27)</f>
        <v>204971.47166870732</v>
      </c>
      <c r="BK16" s="179">
        <f ca="1">IFERROR(BJ16/AT$4,0)</f>
        <v>0.11835460041425507</v>
      </c>
      <c r="BL16" s="53" t="str">
        <f ca="1">IF(SUM(AY16,BG16,BK16)&lt;&gt;0,"V","")</f>
        <v>V</v>
      </c>
      <c r="BM16" s="176"/>
      <c r="BN16" s="177"/>
      <c r="BO16" s="177"/>
      <c r="BP16" s="164"/>
      <c r="BQ16" s="178">
        <f ca="1">SUM(BQ$17:BQ$27)</f>
        <v>37258.168479870365</v>
      </c>
      <c r="BR16" s="179">
        <f t="shared" ref="BR16:BR18" ca="1" si="6">IFERROR(BQ16/BM$4,0)</f>
        <v>0.13074314918776081</v>
      </c>
      <c r="BS16" s="180"/>
      <c r="BT16" s="181"/>
      <c r="BU16" s="178">
        <f ca="1">SUM(BU$17:BU$27)</f>
        <v>-37258.168479870365</v>
      </c>
      <c r="BV16" s="182">
        <f ca="1">IFERROR(BU16/BM$4,0)</f>
        <v>-0.13074314918776081</v>
      </c>
      <c r="BW16" s="180"/>
      <c r="BX16" s="181"/>
      <c r="BY16" s="178">
        <f ca="1">SUM(BY$17:BY$27)</f>
        <v>0</v>
      </c>
      <c r="BZ16" s="182">
        <f t="shared" ref="BZ16:BZ18" ca="1" si="7">IFERROR(BY16/BM$4,0)</f>
        <v>0</v>
      </c>
      <c r="CA16" s="181"/>
      <c r="CB16" s="181"/>
      <c r="CC16" s="178">
        <f ca="1">SUM(CC$17:CC$27)</f>
        <v>37824.392319870363</v>
      </c>
      <c r="CD16" s="179">
        <f ca="1">IFERROR(CC16/BM$4,0)</f>
        <v>0.13273009301799182</v>
      </c>
      <c r="CE16" s="184" t="str">
        <f ca="1">IF(SUM(BR16,BZ16,CD16)&lt;&gt;0,"V","")</f>
        <v>V</v>
      </c>
      <c r="CF16" s="176"/>
      <c r="CG16" s="177"/>
      <c r="CH16" s="177"/>
      <c r="CI16" s="164"/>
      <c r="CJ16" s="178">
        <f ca="1">SUM(CJ$17:CJ$27)</f>
        <v>106067.71066742815</v>
      </c>
      <c r="CK16" s="179">
        <f t="shared" ref="CK16:CK98" ca="1" si="8">IFERROR(CJ16/CF$4,0)</f>
        <v>0.11985599581063688</v>
      </c>
      <c r="CL16" s="180"/>
      <c r="CM16" s="181"/>
      <c r="CN16" s="178">
        <f ca="1">SUM(CN$17:CN$27)</f>
        <v>-106067.71066742815</v>
      </c>
      <c r="CO16" s="182">
        <f ca="1">IFERROR(CN16/CF$4,0)</f>
        <v>-0.11985599581063688</v>
      </c>
      <c r="CP16" s="180"/>
      <c r="CQ16" s="181"/>
      <c r="CR16" s="178">
        <f ca="1">SUM(CR$17:CR$27)</f>
        <v>0</v>
      </c>
      <c r="CS16" s="182">
        <f t="shared" ref="CS16:CS98" ca="1" si="9">IFERROR(CR16/CF$4,0)</f>
        <v>0</v>
      </c>
      <c r="CT16" s="181"/>
      <c r="CU16" s="181"/>
      <c r="CV16" s="178">
        <f ca="1">SUM(CV$17:CV$27)</f>
        <v>106067.71066742815</v>
      </c>
      <c r="CW16" s="179">
        <f ca="1">IFERROR(CV16/CF$4,0)</f>
        <v>0.11985599581063688</v>
      </c>
      <c r="CX16" s="53" t="str">
        <f ca="1">IF(SUM(CK16,CS16,CW16)&lt;&gt;0,"V","")</f>
        <v>V</v>
      </c>
      <c r="CY16" s="185"/>
      <c r="CZ16" s="177"/>
      <c r="DA16" s="164"/>
      <c r="DB16" s="178"/>
      <c r="DC16" s="178">
        <f ca="1">SUM(DC$17:DC$27)</f>
        <v>348947.27746161516</v>
      </c>
      <c r="DD16" s="179">
        <f t="shared" ref="DD16:DD78" ca="1" si="10">IFERROR(DC16/CY$4,0)</f>
        <v>9.7323985540348545E-2</v>
      </c>
      <c r="DE16" s="180"/>
      <c r="DF16" s="181"/>
      <c r="DG16" s="178">
        <f ca="1">SUM(DG$17:DG$27)</f>
        <v>-348947.27746161516</v>
      </c>
      <c r="DH16" s="182">
        <f ca="1">IFERROR(DG16/CY$4,0)</f>
        <v>-9.7323985540348545E-2</v>
      </c>
      <c r="DI16" s="180"/>
      <c r="DJ16" s="181"/>
      <c r="DK16" s="178">
        <f ca="1">SUM(DK$17:DK$27)</f>
        <v>-55680.014476800956</v>
      </c>
      <c r="DL16" s="182">
        <f t="shared" ref="DL16:DL78" ca="1" si="11">IFERROR(DK16/CY$4,0)</f>
        <v>-1.5529569289798153E-2</v>
      </c>
      <c r="DM16" s="181"/>
      <c r="DN16" s="181"/>
      <c r="DO16" s="178">
        <f ca="1">SUM(DO$17:DO$27)</f>
        <v>293267.26298481412</v>
      </c>
      <c r="DP16" s="179">
        <f ca="1">IFERROR(DO16/CY$4,0)</f>
        <v>8.1794416250550367E-2</v>
      </c>
      <c r="DQ16" s="183" t="str">
        <f ca="1">IF(SUM(DD16,DL16,DP16)&lt;&gt;0,"V","")</f>
        <v>V</v>
      </c>
      <c r="DR16" s="185"/>
      <c r="DS16" s="177"/>
      <c r="DT16" s="164"/>
      <c r="DU16" s="178"/>
      <c r="DV16" s="178">
        <f ca="1">SUM(DV$17:DV$27)</f>
        <v>255486.210708859</v>
      </c>
      <c r="DW16" s="179">
        <f t="shared" ref="DW16:DW19" ca="1" si="12">IFERROR(DV16/DR$4,0)</f>
        <v>0.36406503140562918</v>
      </c>
      <c r="DX16" s="180"/>
      <c r="DY16" s="181"/>
      <c r="DZ16" s="178">
        <f ca="1">SUM(DZ$17:DZ$27)</f>
        <v>-255486.210708859</v>
      </c>
      <c r="EA16" s="182">
        <f ca="1">IFERROR(DZ16/DR$4,0)</f>
        <v>-0.36406503140562918</v>
      </c>
      <c r="EB16" s="180"/>
      <c r="EC16" s="181"/>
      <c r="ED16" s="178">
        <f ca="1">SUM(ED$17:ED$27)</f>
        <v>-4580.8011910080786</v>
      </c>
      <c r="EE16" s="182">
        <f t="shared" ref="EE16:EE18" ca="1" si="13">IFERROR(ED16/DR$4,0)</f>
        <v>-6.527591155859872E-3</v>
      </c>
      <c r="EF16" s="181"/>
      <c r="EG16" s="181"/>
      <c r="EH16" s="178">
        <f ca="1">SUM(EH$17:EH$27)</f>
        <v>250905.40951785093</v>
      </c>
      <c r="EI16" s="179">
        <f ca="1">IFERROR(EH16/DR$4,0)</f>
        <v>0.35753744024976936</v>
      </c>
      <c r="EJ16" s="176"/>
      <c r="EK16" s="177"/>
      <c r="EL16" s="186"/>
      <c r="EM16" s="164"/>
      <c r="EN16" s="178">
        <f ca="1">SUM(EN$17:EN$27)</f>
        <v>251872.66622965748</v>
      </c>
      <c r="EO16" s="179">
        <f t="shared" ref="EO16:EO18" ca="1" si="14">IFERROR(EN16/EJ$4,0)</f>
        <v>0.35487608582546587</v>
      </c>
      <c r="EP16" s="180"/>
      <c r="EQ16" s="181"/>
      <c r="ER16" s="178">
        <f ca="1">SUM(ER$17:ER$27)</f>
        <v>-251872.66622965748</v>
      </c>
      <c r="ES16" s="182">
        <f ca="1">IFERROR(ER16/EJ$4,0)</f>
        <v>-0.35487608582546587</v>
      </c>
      <c r="ET16" s="180"/>
      <c r="EU16" s="181"/>
      <c r="EV16" s="178">
        <f ca="1">SUM(EV$17:EV$27)</f>
        <v>0</v>
      </c>
      <c r="EW16" s="182">
        <f t="shared" ref="EW16:EW18" ca="1" si="15">IFERROR(EV16/EJ$4,0)</f>
        <v>0</v>
      </c>
      <c r="EX16" s="181"/>
      <c r="EY16" s="181"/>
      <c r="EZ16" s="178">
        <f ca="1">SUM(EZ$17:EZ$27)</f>
        <v>251872.66622965748</v>
      </c>
      <c r="FA16" s="179">
        <f ca="1">IFERROR(EZ16/EJ$4,0)</f>
        <v>0.35487608582546587</v>
      </c>
      <c r="FB16" s="184" t="str">
        <f ca="1">IF(SUM(EO16,EW16,FA16)&lt;&gt;0,"V","")</f>
        <v>V</v>
      </c>
      <c r="FC16" s="176"/>
      <c r="FD16" s="177"/>
      <c r="FE16" s="177"/>
      <c r="FF16" s="164"/>
      <c r="FG16" s="178">
        <f ca="1">SUM(FG$17:FG$27)</f>
        <v>2718660.1571899191</v>
      </c>
      <c r="FH16" s="179">
        <f t="shared" ref="FH16:FH18" ca="1" si="16">IFERROR(FG16/FC$4,0)</f>
        <v>0.59650777797378607</v>
      </c>
      <c r="FI16" s="180"/>
      <c r="FJ16" s="181"/>
      <c r="FK16" s="178">
        <f ca="1">SUM(FK$17:FK$27)</f>
        <v>-2718660.1571899191</v>
      </c>
      <c r="FL16" s="182">
        <f ca="1">IFERROR(FK16/FC$4,0)</f>
        <v>-0.59650777797378607</v>
      </c>
      <c r="FM16" s="180"/>
      <c r="FN16" s="181"/>
      <c r="FO16" s="178">
        <f ca="1">SUM(FO$17:FO$27)</f>
        <v>0</v>
      </c>
      <c r="FP16" s="182">
        <f t="shared" ref="FP16:FP18" ca="1" si="17">IFERROR(FO16/FC$4,0)</f>
        <v>0</v>
      </c>
      <c r="FQ16" s="181"/>
      <c r="FR16" s="181"/>
      <c r="FS16" s="178">
        <f ca="1">SUM(FS$17:FS$27)</f>
        <v>2722565.6352559193</v>
      </c>
      <c r="FT16" s="179">
        <f ca="1">IFERROR(FS16/FC$4,0)</f>
        <v>0.59736468832976197</v>
      </c>
      <c r="FU16" s="183" t="str">
        <f ca="1">IF(SUM(FH16,FP16,FT16)&lt;&gt;0,"V","")</f>
        <v>V</v>
      </c>
    </row>
    <row r="17" spans="1:177" ht="15.75" customHeight="1" outlineLevel="1" x14ac:dyDescent="0.2">
      <c r="A17" s="187"/>
      <c r="B17" s="187"/>
      <c r="C17" s="188" t="s">
        <v>719</v>
      </c>
      <c r="D17" s="189">
        <f t="shared" ref="D17:E21" ca="1" si="18">OFFSET(Origine,MATCH($C17,smo_ids,0),MATCH(D$15,Intestazioni,0)-1,1,1)</f>
        <v>0</v>
      </c>
      <c r="E17" s="189" t="str">
        <f t="shared" ca="1" si="18"/>
        <v>35487400</v>
      </c>
      <c r="F17" s="188" t="s">
        <v>391</v>
      </c>
      <c r="G17" s="190"/>
      <c r="H17" s="1676" t="str">
        <f ca="1">IF(OFFSET(Origine,MATCH($C17,smo_ids,0),MATCH(H$15,Intestazioni,0)-1,1,1)&lt;&gt;"",HYPERLINK(OFFSET(Origine,MATCH($C17,smo_ids,0),MATCH(H$15,Intestazioni,0)-1,1,1),""),"")</f>
        <v></v>
      </c>
      <c r="I17" s="1676" t="str">
        <f t="shared" ref="I17:I21" ca="1" si="19">IF(OFFSET(Origine,MATCH($C17,smo_ids,0),MATCH(I$15,Intestazioni,0)-1,1,1)&lt;&gt;"",HYPERLINK(OFFSET(Origine,MATCH($C17,smo_ids,0),MATCH(I$15,Intestazioni,0)-1,1,1),"i"),"")</f>
        <v/>
      </c>
      <c r="J17" s="1676" t="str">
        <f t="shared" ref="J17:K21" ca="1" si="20">IF(OFFSET(Origine,MATCH($C17,smo_ids,0),MATCH(J$15,Intestazioni,0)-1,1,1)&lt;&gt;"",HYPERLINK(OFFSET(Origine,MATCH($C17,smo_ids,0),MATCH(J$15,Intestazioni,0)-1,1,1),""),"")</f>
        <v/>
      </c>
      <c r="K17" s="1704" t="str">
        <f t="shared" ca="1" si="20"/>
        <v/>
      </c>
      <c r="L17" s="1704" t="str">
        <f t="shared" ref="L17:L21" ca="1" si="21">IF(OFFSET(Origine,MATCH($C17,smo_ids,0),MATCH(L$15,Intestazioni,0)-1,1,1)&lt;&gt;"",HYPERLINK("https://www.zonebourse.com/mods_a/charts/TV/inc_dyna_graph.php?c="&amp;OFFSET(Origine,MATCH($C17,smo_ids,0),MATCH(L$15,Intestazioni,0)-1,1,1)&amp;"&amp;style=TradingView.CANDLES&amp;showAT=1",""),"")</f>
        <v/>
      </c>
      <c r="M17" s="187"/>
      <c r="N17" s="191"/>
      <c r="O17" s="191"/>
      <c r="P17" s="192">
        <f t="shared" ca="1" si="1"/>
        <v>0.10876182318020809</v>
      </c>
      <c r="Q17" s="193">
        <f t="array" aca="1" ref="Q17" ca="1">SUM(IF($AA$15:$FT$15="I_pos",AA17:FT17))</f>
        <v>3724403.5745000001</v>
      </c>
      <c r="R17" s="193"/>
      <c r="S17" s="188"/>
      <c r="T17" s="193"/>
      <c r="U17" s="194">
        <f t="shared" ref="U17:U21" ca="1" si="22">OFFSET(Origine,MATCH($C17,smo_ids,0),MATCH(U$15,Intestazioni,0)-1,1,1)</f>
        <v>0</v>
      </c>
      <c r="V17" s="193"/>
      <c r="W17" s="188" t="str">
        <f t="shared" ref="W17:W21" si="23">RIGHT(F17,3)</f>
        <v>CHF</v>
      </c>
      <c r="X17" s="195">
        <v>1</v>
      </c>
      <c r="Y17" s="195"/>
      <c r="Z17" s="196">
        <f t="shared" ref="Z17:Z27" ca="1" si="24">_xlfn.NUMBERVALUE(OFFSET(Origine,MATCH(W17&amp;"/"&amp;MRif,LUKB_Name,0),MATCH("Price",Intestazioni,0)-1,1,1))</f>
        <v>1.0000001300000001</v>
      </c>
      <c r="AA17" s="197">
        <v>62124.940499999997</v>
      </c>
      <c r="AB17" s="198"/>
      <c r="AC17" s="198"/>
      <c r="AD17" s="199">
        <f t="shared" ref="AD17:AD18" si="25">AA17*$X17</f>
        <v>62124.940499999997</v>
      </c>
      <c r="AE17" s="200">
        <f ca="1">AD17*$Z17</f>
        <v>62124.94857624227</v>
      </c>
      <c r="AF17" s="201">
        <f t="shared" ca="1" si="2"/>
        <v>0.11064183327286288</v>
      </c>
      <c r="AG17" s="202">
        <f ca="1">AH17/$X17</f>
        <v>-62124.940499999997</v>
      </c>
      <c r="AH17" s="203">
        <f ca="1">AI17/$Z17</f>
        <v>-62124.940499999997</v>
      </c>
      <c r="AI17" s="203">
        <f t="shared" ref="AI17:AI18" ca="1" si="26">AJ17*AA$4</f>
        <v>-62124.94857624227</v>
      </c>
      <c r="AJ17" s="204">
        <f ca="1">$N17-AF17</f>
        <v>-0.11064183327286288</v>
      </c>
      <c r="AK17" s="205"/>
      <c r="AL17" s="206" cm="1">
        <f t="array" aca="1" ref="AL17" ca="1">AK17-SUM(IF($W$18:$W$193=$W17,IF($T$18:$T$193="",AM$18:AM$193)))-SUMPRODUCT($Z18:$Z21,AK18:AK21)</f>
        <v>0</v>
      </c>
      <c r="AM17" s="206">
        <f t="shared" ref="AM17:AM18" ca="1" si="27">AL17*$Z17</f>
        <v>0</v>
      </c>
      <c r="AN17" s="207">
        <f t="shared" ca="1" si="3"/>
        <v>0</v>
      </c>
      <c r="AO17" s="193">
        <f ca="1">AD17+AL17</f>
        <v>62124.940499999997</v>
      </c>
      <c r="AP17" s="193">
        <f ca="1">AO17</f>
        <v>62124.940499999997</v>
      </c>
      <c r="AQ17" s="193">
        <f ca="1">AP17*$Z17</f>
        <v>62124.94857624227</v>
      </c>
      <c r="AR17" s="208">
        <f t="shared" ref="AR17" ca="1" si="28">AQ17/AA$4</f>
        <v>0.11064183327286288</v>
      </c>
      <c r="AS17" s="209" t="str">
        <f t="shared" ref="AS17:AS83" ca="1" si="29">IF(SUM(AF17,AN17,AR17)&lt;&gt;0,"V","")</f>
        <v>V</v>
      </c>
      <c r="AT17" s="210">
        <v>186378.51750000002</v>
      </c>
      <c r="AU17" s="198"/>
      <c r="AV17" s="198"/>
      <c r="AW17" s="199">
        <f t="shared" ref="AW17:AW18" si="30">AT17*$X17</f>
        <v>186378.51750000002</v>
      </c>
      <c r="AX17" s="200">
        <f ca="1">AW17*$Z17</f>
        <v>186378.5417292073</v>
      </c>
      <c r="AY17" s="201">
        <f t="shared" ca="1" si="4"/>
        <v>0.10761867323568408</v>
      </c>
      <c r="AZ17" s="202">
        <f ca="1">BA17/$X17</f>
        <v>-186378.51750000002</v>
      </c>
      <c r="BA17" s="203">
        <f ca="1">BB17/$Z17</f>
        <v>-186378.51750000002</v>
      </c>
      <c r="BB17" s="203">
        <f t="shared" ref="BB17:BB18" ca="1" si="31">BC17*AT$4</f>
        <v>-186378.5417292073</v>
      </c>
      <c r="BC17" s="204">
        <f ca="1">$N17-AY17</f>
        <v>-0.10761867323568408</v>
      </c>
      <c r="BD17" s="205"/>
      <c r="BE17" s="206" cm="1">
        <f t="array" aca="1" ref="BE17" ca="1">BD17-SUM(IF($W$18:$W$193=$W17,IF($T$18:$T$193="",BF$18:BF$193)))-SUMPRODUCT($Z18:$Z21,BD18:BD21)</f>
        <v>0</v>
      </c>
      <c r="BF17" s="206">
        <f t="shared" ref="BF17:BF18" ca="1" si="32">BE17*$Z17</f>
        <v>0</v>
      </c>
      <c r="BG17" s="207">
        <f t="shared" ca="1" si="5"/>
        <v>0</v>
      </c>
      <c r="BH17" s="193">
        <f ca="1">AW17+BE17</f>
        <v>186378.51750000002</v>
      </c>
      <c r="BI17" s="193">
        <f ca="1">BH17</f>
        <v>186378.51750000002</v>
      </c>
      <c r="BJ17" s="193">
        <f ca="1">BI17*$Z17</f>
        <v>186378.5417292073</v>
      </c>
      <c r="BK17" s="208">
        <f t="shared" ref="BK17:BK19" ca="1" si="33">BJ17/AT$4</f>
        <v>0.10761867323568408</v>
      </c>
      <c r="BL17" s="211" t="str">
        <f t="shared" ref="BL17:BL83" ca="1" si="34">IF(SUM(AY17,BG17,BK17)&lt;&gt;0,"V","")</f>
        <v>V</v>
      </c>
      <c r="BM17" s="210">
        <v>31918.233500000002</v>
      </c>
      <c r="BN17" s="198"/>
      <c r="BO17" s="198"/>
      <c r="BP17" s="199">
        <f t="shared" ref="BP17:BP18" si="35">BM17*$X17</f>
        <v>31918.233500000002</v>
      </c>
      <c r="BQ17" s="200">
        <f ca="1">BP17*$Z17</f>
        <v>31918.23764937036</v>
      </c>
      <c r="BR17" s="201">
        <f t="shared" ca="1" si="6"/>
        <v>0.11200472479093133</v>
      </c>
      <c r="BS17" s="202">
        <f ca="1">BT17/$X17</f>
        <v>-31918.233500000002</v>
      </c>
      <c r="BT17" s="203">
        <f ca="1">BU17/$Z17</f>
        <v>-31918.233500000002</v>
      </c>
      <c r="BU17" s="203">
        <f t="shared" ref="BU17:BU18" ca="1" si="36">BV17*BM$4</f>
        <v>-31918.23764937036</v>
      </c>
      <c r="BV17" s="204">
        <f ca="1">$N17-BR17</f>
        <v>-0.11200472479093133</v>
      </c>
      <c r="BW17" s="205"/>
      <c r="BX17" s="206" cm="1">
        <f t="array" aca="1" ref="BX17" ca="1">BW17-SUM(IF($W$18:$W$193=$W17,IF($T$18:$T$193="",BY$18:BY$193)))-SUMPRODUCT($Z18:$Z21,BW18:BW21)</f>
        <v>0</v>
      </c>
      <c r="BY17" s="206">
        <f t="shared" ref="BY17:BY18" ca="1" si="37">BX17*$Z17</f>
        <v>0</v>
      </c>
      <c r="BZ17" s="207">
        <f t="shared" ca="1" si="7"/>
        <v>0</v>
      </c>
      <c r="CA17" s="193">
        <f ca="1">BP17+BX17</f>
        <v>31918.233500000002</v>
      </c>
      <c r="CB17" s="193">
        <f ca="1">CA17</f>
        <v>31918.233500000002</v>
      </c>
      <c r="CC17" s="193">
        <f ca="1">CB17*$Z17</f>
        <v>31918.23764937036</v>
      </c>
      <c r="CD17" s="208">
        <f t="shared" ref="CD17:CD19" ca="1" si="38">CC17/BM$4</f>
        <v>0.11200472479093133</v>
      </c>
      <c r="CE17" s="212" t="str">
        <f t="shared" ref="CE17:CE83" ca="1" si="39">IF(SUM(BR17,BZ17,CD17)&lt;&gt;0,"V","")</f>
        <v>V</v>
      </c>
      <c r="CF17" s="210">
        <v>103468.678</v>
      </c>
      <c r="CG17" s="198"/>
      <c r="CH17" s="198"/>
      <c r="CI17" s="199">
        <f t="shared" ref="CI17:CI19" si="40">CF17*$X17</f>
        <v>103468.678</v>
      </c>
      <c r="CJ17" s="200">
        <f t="shared" ref="CJ17:CJ19" ca="1" si="41">CI17*$Z17</f>
        <v>103468.69145092815</v>
      </c>
      <c r="CK17" s="201">
        <f t="shared" ca="1" si="8"/>
        <v>0.11691911677021607</v>
      </c>
      <c r="CL17" s="202">
        <f t="shared" ref="CL17:CL19" ca="1" si="42">CM17/$X17</f>
        <v>-103468.678</v>
      </c>
      <c r="CM17" s="203">
        <f t="shared" ref="CM17:CM19" ca="1" si="43">CN17/$Z17</f>
        <v>-103468.678</v>
      </c>
      <c r="CN17" s="203">
        <f t="shared" ref="CN17:CN19" ca="1" si="44">CO17*CF$4</f>
        <v>-103468.69145092815</v>
      </c>
      <c r="CO17" s="204">
        <f ca="1">$N17-CK17</f>
        <v>-0.11691911677021607</v>
      </c>
      <c r="CP17" s="205"/>
      <c r="CQ17" s="206" cm="1">
        <f t="array" aca="1" ref="CQ17" ca="1">CP17-SUM(IF($W$18:$W$193=$W17,IF($T$18:$T$193="",CR$18:CR$193)))-SUMPRODUCT($Z18:$Z21,CP18:CP21)</f>
        <v>0</v>
      </c>
      <c r="CR17" s="206">
        <f t="shared" ref="CR17:CR18" ca="1" si="45">CQ17*$Z17</f>
        <v>0</v>
      </c>
      <c r="CS17" s="207">
        <f t="shared" ca="1" si="9"/>
        <v>0</v>
      </c>
      <c r="CT17" s="193">
        <f ca="1">CI17+CQ17</f>
        <v>103468.678</v>
      </c>
      <c r="CU17" s="193">
        <f ca="1">CT17</f>
        <v>103468.678</v>
      </c>
      <c r="CV17" s="193">
        <f ca="1">CU17*$Z17</f>
        <v>103468.69145092815</v>
      </c>
      <c r="CW17" s="208">
        <f t="shared" ref="CW17:CW19" ca="1" si="46">CV17/CF$4</f>
        <v>0.11691911677021607</v>
      </c>
      <c r="CX17" s="211" t="str">
        <f t="shared" ref="CX17:CX83" ca="1" si="47">IF(SUM(CK17,CS17,CW17)&lt;&gt;0,"V","")</f>
        <v>V</v>
      </c>
      <c r="CY17" s="197">
        <v>273602.16499999998</v>
      </c>
      <c r="CZ17" s="198"/>
      <c r="DA17" s="200"/>
      <c r="DB17" s="199">
        <f t="shared" ref="DB17:DB19" si="48">CY17*$X17</f>
        <v>273602.16499999998</v>
      </c>
      <c r="DC17" s="200">
        <f t="shared" ref="DC17:DC19" ca="1" si="49">DB17*$Z17</f>
        <v>273602.20056828146</v>
      </c>
      <c r="DD17" s="201">
        <f t="shared" ca="1" si="10"/>
        <v>7.6309684390198751E-2</v>
      </c>
      <c r="DE17" s="202">
        <f t="shared" ref="DE17:DE19" ca="1" si="50">DF17/$X17</f>
        <v>-273602.16499999998</v>
      </c>
      <c r="DF17" s="203">
        <f t="shared" ref="DF17:DF19" ca="1" si="51">DG17/$Z17</f>
        <v>-273602.16499999998</v>
      </c>
      <c r="DG17" s="203">
        <f t="shared" ref="DG17:DG19" ca="1" si="52">DH17*CY$4</f>
        <v>-273602.20056828146</v>
      </c>
      <c r="DH17" s="204">
        <f ca="1">$N17-DD17</f>
        <v>-7.6309684390198751E-2</v>
      </c>
      <c r="DI17" s="205"/>
      <c r="DJ17" s="206" cm="1">
        <f t="array" aca="1" ref="DJ17" ca="1">DI17-SUM(IF($W$18:$W$193=$W17,IF($T$18:$T$193="",DK$18:DK$193)))-SUMPRODUCT($Z18:$Z21,DI18:DI21)</f>
        <v>-55680.007238400009</v>
      </c>
      <c r="DK17" s="206">
        <f t="shared" ref="DK17" ca="1" si="53">DJ17*$Z17</f>
        <v>-55680.014476800956</v>
      </c>
      <c r="DL17" s="207">
        <f t="shared" ca="1" si="11"/>
        <v>-1.5529569289798153E-2</v>
      </c>
      <c r="DM17" s="193">
        <f ca="1">DB17+DJ17</f>
        <v>217922.15776159998</v>
      </c>
      <c r="DN17" s="193">
        <f ca="1">DM17</f>
        <v>217922.15776159998</v>
      </c>
      <c r="DO17" s="193">
        <f ca="1">DN17*$Z17</f>
        <v>217922.18609148051</v>
      </c>
      <c r="DP17" s="208">
        <f t="shared" ref="DP17:DP19" ca="1" si="54">DO17/CY$4</f>
        <v>6.07801151004006E-2</v>
      </c>
      <c r="DQ17" s="209" t="str">
        <f t="shared" ref="DQ17:DQ83" ca="1" si="55">IF(SUM(DD17,DL17,DP17)&lt;&gt;0,"V","")</f>
        <v>V</v>
      </c>
      <c r="DR17" s="197">
        <v>223914.3</v>
      </c>
      <c r="DS17" s="198"/>
      <c r="DT17" s="200"/>
      <c r="DU17" s="199">
        <f t="shared" ref="DU17:DU19" si="56">DR17*$X17</f>
        <v>223914.3</v>
      </c>
      <c r="DV17" s="200">
        <f t="shared" ref="DV17:DV19" ca="1" si="57">DU17*$Z17</f>
        <v>223914.329108859</v>
      </c>
      <c r="DW17" s="201">
        <f t="shared" ca="1" si="12"/>
        <v>0.31907544846748342</v>
      </c>
      <c r="DX17" s="202">
        <f t="shared" ref="DX17:DX19" ca="1" si="58">DY17/$X17</f>
        <v>-223914.3</v>
      </c>
      <c r="DY17" s="203">
        <f t="shared" ref="DY17:DY19" ca="1" si="59">DZ17/$Z17</f>
        <v>-223914.3</v>
      </c>
      <c r="DZ17" s="203">
        <f t="shared" ref="DZ17:DZ19" ca="1" si="60">EA17*DR$4</f>
        <v>-223914.329108859</v>
      </c>
      <c r="EA17" s="204">
        <f ca="1">$N17-DW17</f>
        <v>-0.31907544846748342</v>
      </c>
      <c r="EB17" s="205"/>
      <c r="EC17" s="206" cm="1">
        <f t="array" aca="1" ref="EC17" ca="1">EB17-SUM(IF($W$18:$W$193=$W17,IF($T$18:$T$193="",ED$18:ED$193)))-SUMPRODUCT($Z18:$Z21,EB18:EB21)</f>
        <v>-4580.8005955040007</v>
      </c>
      <c r="ED17" s="206">
        <f ca="1">EC17*$Z17</f>
        <v>-4580.8011910080786</v>
      </c>
      <c r="EE17" s="207">
        <f t="shared" ca="1" si="13"/>
        <v>-6.527591155859872E-3</v>
      </c>
      <c r="EF17" s="193">
        <f ca="1">DU17+EC17</f>
        <v>219333.49940449599</v>
      </c>
      <c r="EG17" s="193">
        <f ca="1">EF17</f>
        <v>219333.49940449599</v>
      </c>
      <c r="EH17" s="193">
        <f ca="1">EG17*$Z17</f>
        <v>219333.52791785094</v>
      </c>
      <c r="EI17" s="208">
        <f t="shared" ref="EI17:EI19" ca="1" si="61">EH17/DR$4</f>
        <v>0.31254785731162354</v>
      </c>
      <c r="EJ17" s="210">
        <v>127112.75</v>
      </c>
      <c r="EK17" s="198"/>
      <c r="EL17" s="213"/>
      <c r="EM17" s="199">
        <f t="shared" ref="EM17:EM18" si="62">EJ17*$X17</f>
        <v>127112.75</v>
      </c>
      <c r="EN17" s="200">
        <f ca="1">EM17*$Z17</f>
        <v>127112.76652465751</v>
      </c>
      <c r="EO17" s="201">
        <f t="shared" ca="1" si="14"/>
        <v>0.17909557919868177</v>
      </c>
      <c r="EP17" s="202">
        <f ca="1">EQ17/$X17</f>
        <v>-127112.74999999999</v>
      </c>
      <c r="EQ17" s="203">
        <f ca="1">ER17/$Z17</f>
        <v>-127112.74999999999</v>
      </c>
      <c r="ER17" s="203">
        <f t="shared" ref="ER17:ER18" ca="1" si="63">ES17*EJ$4</f>
        <v>-127112.76652465749</v>
      </c>
      <c r="ES17" s="204">
        <f ca="1">$N17-EO17</f>
        <v>-0.17909557919868177</v>
      </c>
      <c r="ET17" s="205"/>
      <c r="EU17" s="206" cm="1">
        <f t="array" aca="1" ref="EU17" ca="1">ET17-SUM(IF($W$18:$W$193=$W17,IF($T$18:$T$193="",EV$18:EV$193)))-SUMPRODUCT($Z18:$Z21,ET18:ET21)</f>
        <v>0</v>
      </c>
      <c r="EV17" s="206">
        <f t="shared" ref="EV17:EV18" ca="1" si="64">EU17*$Z17</f>
        <v>0</v>
      </c>
      <c r="EW17" s="207">
        <f t="shared" ca="1" si="15"/>
        <v>0</v>
      </c>
      <c r="EX17" s="193">
        <f ca="1">EM17+EU17</f>
        <v>127112.75</v>
      </c>
      <c r="EY17" s="193">
        <f ca="1">EX17</f>
        <v>127112.75</v>
      </c>
      <c r="EZ17" s="193">
        <f ca="1">EY17*$Z17</f>
        <v>127112.76652465751</v>
      </c>
      <c r="FA17" s="208">
        <f t="shared" ref="FA17:FA19" ca="1" si="65">EZ17/EJ$4</f>
        <v>0.17909557919868177</v>
      </c>
      <c r="FB17" s="212" t="str">
        <f t="shared" ref="FB17:FB83" ca="1" si="66">IF(SUM(EO17,EW17,FA17)&lt;&gt;0,"V","")</f>
        <v>V</v>
      </c>
      <c r="FC17" s="210">
        <v>2715883.99</v>
      </c>
      <c r="FD17" s="198"/>
      <c r="FE17" s="198"/>
      <c r="FF17" s="199">
        <f t="shared" ref="FF17" si="67">FC17*$X17</f>
        <v>2715883.99</v>
      </c>
      <c r="FG17" s="200">
        <f ca="1">FF17*$Z17</f>
        <v>2715884.3430649191</v>
      </c>
      <c r="FH17" s="201">
        <f t="shared" ca="1" si="16"/>
        <v>0.59589872990597481</v>
      </c>
      <c r="FI17" s="202">
        <f ca="1">FJ17/$X17</f>
        <v>-2715883.99</v>
      </c>
      <c r="FJ17" s="203">
        <f ca="1">FK17/$Z17</f>
        <v>-2715883.99</v>
      </c>
      <c r="FK17" s="203">
        <f t="shared" ref="FK17:FK18" ca="1" si="68">FL17*FC$4</f>
        <v>-2715884.3430649191</v>
      </c>
      <c r="FL17" s="204">
        <f ca="1">$N17-FH17</f>
        <v>-0.59589872990597481</v>
      </c>
      <c r="FM17" s="205"/>
      <c r="FN17" s="206" cm="1">
        <f t="array" aca="1" ref="FN17" ca="1">FM17-SUM(IF($W$18:$W$193=$W17,IF($T$18:$T$193="",FO$18:FO$193)))-SUMPRODUCT($Z18:$Z21,FM18:FM21)</f>
        <v>0</v>
      </c>
      <c r="FO17" s="206">
        <f t="shared" ref="FO17:FO18" ca="1" si="69">FN17*$Z17</f>
        <v>0</v>
      </c>
      <c r="FP17" s="207">
        <f t="shared" ca="1" si="17"/>
        <v>0</v>
      </c>
      <c r="FQ17" s="193">
        <f ca="1">FF17+FN17</f>
        <v>2715883.99</v>
      </c>
      <c r="FR17" s="193">
        <f ca="1">FQ17</f>
        <v>2715883.99</v>
      </c>
      <c r="FS17" s="193">
        <f ca="1">FR17*$Z17</f>
        <v>2715884.3430649191</v>
      </c>
      <c r="FT17" s="208">
        <f t="shared" ref="FT17:FT19" ca="1" si="70">FS17/FC$4</f>
        <v>0.59589872990597481</v>
      </c>
      <c r="FU17" s="209" t="str">
        <f t="shared" ref="FU17:FU83" ca="1" si="71">IF(SUM(FH17,FP17,FT17)&lt;&gt;0,"V","")</f>
        <v>V</v>
      </c>
    </row>
    <row r="18" spans="1:177" ht="15.75" customHeight="1" outlineLevel="1" x14ac:dyDescent="0.2">
      <c r="A18" s="187"/>
      <c r="B18" s="187"/>
      <c r="C18" s="188" t="s">
        <v>720</v>
      </c>
      <c r="D18" s="189" t="str">
        <f t="shared" ca="1" si="18"/>
        <v>EU0009654078</v>
      </c>
      <c r="E18" s="189" t="str">
        <f t="shared" ca="1" si="18"/>
        <v>897789</v>
      </c>
      <c r="F18" s="188" t="s">
        <v>427</v>
      </c>
      <c r="G18" s="190"/>
      <c r="H18" s="1676" t="str">
        <f ca="1">IF(OFFSET(Origine,MATCH($C18,smo_ids,0),MATCH(H$15,Intestazioni,0)-1,1,1)&lt;&gt;"",HYPERLINK(OFFSET(Origine,MATCH($C18,smo_ids,0),MATCH(H$15,Intestazioni,0)-1,1,1),""),"")</f>
        <v></v>
      </c>
      <c r="I18" s="1676" t="str">
        <f t="shared" ca="1" si="19"/>
        <v>i</v>
      </c>
      <c r="J18" s="1676" t="str">
        <f t="shared" ca="1" si="20"/>
        <v></v>
      </c>
      <c r="K18" s="1704" t="str">
        <f t="shared" ca="1" si="20"/>
        <v/>
      </c>
      <c r="L18" s="1704" t="str">
        <f t="shared" ca="1" si="21"/>
        <v/>
      </c>
      <c r="M18" s="187"/>
      <c r="N18" s="191"/>
      <c r="O18" s="191"/>
      <c r="P18" s="192">
        <f t="shared" ca="1" si="1"/>
        <v>6.9179793244618371E-3</v>
      </c>
      <c r="Q18" s="193">
        <f t="array" aca="1" ref="Q18" ca="1">SUM(IF($AA$15:$FT$15="I_pos",AA18:FT18))</f>
        <v>194532.44666666701</v>
      </c>
      <c r="R18" s="193"/>
      <c r="S18" s="188"/>
      <c r="T18" s="193"/>
      <c r="U18" s="194">
        <f t="shared" ca="1" si="22"/>
        <v>-3.4041599999999998E-3</v>
      </c>
      <c r="V18" s="193"/>
      <c r="W18" s="188" t="str">
        <f t="shared" si="23"/>
        <v>EUR</v>
      </c>
      <c r="X18" s="195">
        <v>1</v>
      </c>
      <c r="Y18" s="195"/>
      <c r="Z18" s="196">
        <f t="shared" ca="1" si="24"/>
        <v>0.90754999999999997</v>
      </c>
      <c r="AA18" s="214">
        <v>5430.34</v>
      </c>
      <c r="AB18" s="215"/>
      <c r="AC18" s="215"/>
      <c r="AD18" s="199">
        <f t="shared" si="25"/>
        <v>5430.34</v>
      </c>
      <c r="AE18" s="199">
        <f t="shared" ref="AE18" ca="1" si="72">AD18*$Z18</f>
        <v>4928.3050670000002</v>
      </c>
      <c r="AF18" s="216">
        <f t="shared" ca="1" si="2"/>
        <v>8.7770971250243131E-3</v>
      </c>
      <c r="AG18" s="202">
        <f t="shared" ref="AG18" ca="1" si="73">AH18/$X18</f>
        <v>-5430.34</v>
      </c>
      <c r="AH18" s="203">
        <f t="shared" ref="AH18" ca="1" si="74">AI18/$Z18</f>
        <v>-5430.34</v>
      </c>
      <c r="AI18" s="203">
        <f t="shared" ca="1" si="26"/>
        <v>-4928.3050670000002</v>
      </c>
      <c r="AJ18" s="204">
        <f t="shared" ref="AJ18" ca="1" si="75">$N18-AF18</f>
        <v>-8.7770971250243131E-3</v>
      </c>
      <c r="AK18" s="205"/>
      <c r="AL18" s="206" cm="1">
        <f t="array" aca="1" ref="AL18" ca="1">AK18-SUM(IF($W$22:$W$193=$W18,IF($T$22:$T$193="",AL$22:AL$193)))</f>
        <v>0</v>
      </c>
      <c r="AM18" s="206">
        <f t="shared" ca="1" si="27"/>
        <v>0</v>
      </c>
      <c r="AN18" s="207">
        <f t="shared" ca="1" si="3"/>
        <v>0</v>
      </c>
      <c r="AO18" s="193">
        <f t="shared" ref="AO18:AO21" ca="1" si="76">AD18+AL18</f>
        <v>5430.34</v>
      </c>
      <c r="AP18" s="193">
        <f t="shared" ref="AP18:AP19" ca="1" si="77">AO18</f>
        <v>5430.34</v>
      </c>
      <c r="AQ18" s="193">
        <f t="shared" ref="AQ18:AQ19" ca="1" si="78">AP18*$Z18</f>
        <v>4928.3050670000002</v>
      </c>
      <c r="AR18" s="208">
        <f t="shared" ref="AR18:AR19" ca="1" si="79">AQ18/AA$4</f>
        <v>8.7770971250243131E-3</v>
      </c>
      <c r="AS18" s="217" t="str">
        <f t="shared" ca="1" si="29"/>
        <v>V</v>
      </c>
      <c r="AT18" s="218">
        <v>8646.43</v>
      </c>
      <c r="AU18" s="215"/>
      <c r="AV18" s="215"/>
      <c r="AW18" s="199">
        <f t="shared" si="30"/>
        <v>8646.43</v>
      </c>
      <c r="AX18" s="199">
        <f t="shared" ref="AX18" ca="1" si="80">AW18*$Z18</f>
        <v>7847.0675465000004</v>
      </c>
      <c r="AY18" s="216">
        <f t="shared" ca="1" si="4"/>
        <v>4.5310527183547817E-3</v>
      </c>
      <c r="AZ18" s="202">
        <f t="shared" ref="AZ18" ca="1" si="81">BA18/$X18</f>
        <v>-8646.43</v>
      </c>
      <c r="BA18" s="203">
        <f t="shared" ref="BA18" ca="1" si="82">BB18/$Z18</f>
        <v>-8646.43</v>
      </c>
      <c r="BB18" s="203">
        <f t="shared" ca="1" si="31"/>
        <v>-7847.0675465000004</v>
      </c>
      <c r="BC18" s="204">
        <f t="shared" ref="BC18" ca="1" si="83">$N18-AY18</f>
        <v>-4.5310527183547817E-3</v>
      </c>
      <c r="BD18" s="205"/>
      <c r="BE18" s="206" cm="1">
        <f t="array" aca="1" ref="BE18" ca="1">BD18-SUM(IF($W$22:$W$193=$W18,IF($T$22:$T$193="",BE$22:BE$193)))</f>
        <v>0</v>
      </c>
      <c r="BF18" s="206">
        <f t="shared" ca="1" si="32"/>
        <v>0</v>
      </c>
      <c r="BG18" s="207">
        <f t="shared" ca="1" si="5"/>
        <v>0</v>
      </c>
      <c r="BH18" s="193">
        <f t="shared" ref="BH18:BH21" ca="1" si="84">AW18+BE18</f>
        <v>8646.43</v>
      </c>
      <c r="BI18" s="193">
        <f t="shared" ref="BI18:BI20" ca="1" si="85">BH18</f>
        <v>8646.43</v>
      </c>
      <c r="BJ18" s="193">
        <f t="shared" ref="BJ18:BJ19" ca="1" si="86">BI18*$Z18</f>
        <v>7847.0675465000004</v>
      </c>
      <c r="BK18" s="208">
        <f t="shared" ca="1" si="33"/>
        <v>4.5310527183547817E-3</v>
      </c>
      <c r="BL18" s="219" t="str">
        <f t="shared" ca="1" si="34"/>
        <v>V</v>
      </c>
      <c r="BM18" s="218">
        <v>5576.91</v>
      </c>
      <c r="BN18" s="215"/>
      <c r="BO18" s="215"/>
      <c r="BP18" s="199">
        <f t="shared" si="35"/>
        <v>5576.91</v>
      </c>
      <c r="BQ18" s="199">
        <f t="shared" ref="BQ18" ca="1" si="87">BP18*$Z18</f>
        <v>5061.3246705000001</v>
      </c>
      <c r="BR18" s="216">
        <f t="shared" ca="1" si="6"/>
        <v>1.776076370582718E-2</v>
      </c>
      <c r="BS18" s="202">
        <f t="shared" ref="BS18" ca="1" si="88">BT18/$X18</f>
        <v>-5576.9100000000008</v>
      </c>
      <c r="BT18" s="203">
        <f t="shared" ref="BT18" ca="1" si="89">BU18/$Z18</f>
        <v>-5576.9100000000008</v>
      </c>
      <c r="BU18" s="203">
        <f t="shared" ca="1" si="36"/>
        <v>-5061.3246705000001</v>
      </c>
      <c r="BV18" s="204">
        <f t="shared" ref="BV18" ca="1" si="90">$N18-BR18</f>
        <v>-1.776076370582718E-2</v>
      </c>
      <c r="BW18" s="205"/>
      <c r="BX18" s="206" cm="1">
        <f t="array" aca="1" ref="BX18" ca="1">BW18-SUM(IF($W$22:$W$193=$W18,IF($T$22:$T$193="",BX$22:BX$193)))</f>
        <v>0</v>
      </c>
      <c r="BY18" s="206">
        <f t="shared" ca="1" si="37"/>
        <v>0</v>
      </c>
      <c r="BZ18" s="207">
        <f t="shared" ca="1" si="7"/>
        <v>0</v>
      </c>
      <c r="CA18" s="193">
        <f t="shared" ref="CA18:CA21" ca="1" si="91">BP18+BX18</f>
        <v>5576.91</v>
      </c>
      <c r="CB18" s="193">
        <f t="shared" ref="CB18:CB20" ca="1" si="92">CA18</f>
        <v>5576.91</v>
      </c>
      <c r="CC18" s="193">
        <f t="shared" ref="CC18:CC19" ca="1" si="93">CB18*$Z18</f>
        <v>5061.3246705000001</v>
      </c>
      <c r="CD18" s="208">
        <f t="shared" ca="1" si="38"/>
        <v>1.776076370582718E-2</v>
      </c>
      <c r="CE18" s="220" t="str">
        <f t="shared" ca="1" si="39"/>
        <v>V</v>
      </c>
      <c r="CF18" s="218">
        <v>720.83</v>
      </c>
      <c r="CG18" s="215"/>
      <c r="CH18" s="215"/>
      <c r="CI18" s="199">
        <f t="shared" si="40"/>
        <v>720.83</v>
      </c>
      <c r="CJ18" s="200">
        <f t="shared" ca="1" si="41"/>
        <v>654.18926650000003</v>
      </c>
      <c r="CK18" s="216">
        <f t="shared" ca="1" si="8"/>
        <v>7.3923068096411486E-4</v>
      </c>
      <c r="CL18" s="202">
        <f t="shared" ca="1" si="42"/>
        <v>-720.83</v>
      </c>
      <c r="CM18" s="203">
        <f t="shared" ca="1" si="43"/>
        <v>-720.83</v>
      </c>
      <c r="CN18" s="203">
        <f t="shared" ca="1" si="44"/>
        <v>-654.18926650000003</v>
      </c>
      <c r="CO18" s="204">
        <f t="shared" ref="CO18" ca="1" si="94">$N18-CK18</f>
        <v>-7.3923068096411486E-4</v>
      </c>
      <c r="CP18" s="205"/>
      <c r="CQ18" s="206" cm="1">
        <f t="array" aca="1" ref="CQ18" ca="1">CP18-SUM(IF($W$22:$W$193=$W18,IF($T$22:$T$193="",CQ$22:CQ$193)))</f>
        <v>0</v>
      </c>
      <c r="CR18" s="206">
        <f t="shared" ca="1" si="45"/>
        <v>0</v>
      </c>
      <c r="CS18" s="207">
        <f t="shared" ca="1" si="9"/>
        <v>0</v>
      </c>
      <c r="CT18" s="193">
        <f t="shared" ref="CT18:CT21" ca="1" si="95">CI18+CQ18</f>
        <v>720.83</v>
      </c>
      <c r="CU18" s="193">
        <f t="shared" ref="CU18:CU20" ca="1" si="96">CT18</f>
        <v>720.83</v>
      </c>
      <c r="CV18" s="193">
        <f t="shared" ref="CV18:CV19" ca="1" si="97">CU18*$Z18</f>
        <v>654.18926650000003</v>
      </c>
      <c r="CW18" s="208">
        <f t="shared" ca="1" si="46"/>
        <v>7.3923068096411486E-4</v>
      </c>
      <c r="CX18" s="219" t="str">
        <f t="shared" ca="1" si="47"/>
        <v>V</v>
      </c>
      <c r="CY18" s="197">
        <f>203961.416666667+-150000</f>
        <v>53961.416666667006</v>
      </c>
      <c r="CZ18" s="215"/>
      <c r="DA18" s="199"/>
      <c r="DB18" s="199">
        <f t="shared" si="48"/>
        <v>53961.416666667006</v>
      </c>
      <c r="DC18" s="199">
        <f t="shared" ca="1" si="49"/>
        <v>48972.683695833643</v>
      </c>
      <c r="DD18" s="216">
        <f t="shared" ca="1" si="10"/>
        <v>1.3658844953761443E-2</v>
      </c>
      <c r="DE18" s="202">
        <f t="shared" ca="1" si="50"/>
        <v>-53961.416666667006</v>
      </c>
      <c r="DF18" s="203">
        <f t="shared" ca="1" si="51"/>
        <v>-53961.416666667006</v>
      </c>
      <c r="DG18" s="203">
        <f t="shared" ca="1" si="52"/>
        <v>-48972.683695833643</v>
      </c>
      <c r="DH18" s="204">
        <f t="shared" ref="DH18" ca="1" si="98">$N18-DD18</f>
        <v>-1.3658844953761443E-2</v>
      </c>
      <c r="DI18" s="205"/>
      <c r="DJ18" s="206" cm="1">
        <f t="array" aca="1" ref="DJ18" ca="1">DI18-SUM(IF($W$22:$W$193=$W18,IF($T$22:$T$193="",DJ$22:DJ$193)))</f>
        <v>0</v>
      </c>
      <c r="DK18" s="206">
        <f ca="1">DJ18*$Z18</f>
        <v>0</v>
      </c>
      <c r="DL18" s="207">
        <f ca="1">IFERROR(DK18/CY$4,0)</f>
        <v>0</v>
      </c>
      <c r="DM18" s="193">
        <f t="shared" ref="DM18:DM21" ca="1" si="99">DB18+DJ18</f>
        <v>53961.416666667006</v>
      </c>
      <c r="DN18" s="193">
        <f t="shared" ref="DN18:DN20" ca="1" si="100">DM18</f>
        <v>53961.416666667006</v>
      </c>
      <c r="DO18" s="193">
        <f t="shared" ref="DO18:DO19" ca="1" si="101">DN18*$Z18</f>
        <v>48972.683695833643</v>
      </c>
      <c r="DP18" s="208">
        <f t="shared" ca="1" si="54"/>
        <v>1.3658844953761443E-2</v>
      </c>
      <c r="DQ18" s="217" t="str">
        <f t="shared" ca="1" si="55"/>
        <v>V</v>
      </c>
      <c r="DR18" s="197">
        <v>33677</v>
      </c>
      <c r="DS18" s="215"/>
      <c r="DT18" s="199"/>
      <c r="DU18" s="199">
        <f t="shared" si="56"/>
        <v>33677</v>
      </c>
      <c r="DV18" s="199">
        <f t="shared" ca="1" si="57"/>
        <v>30563.56135</v>
      </c>
      <c r="DW18" s="216">
        <f t="shared" ca="1" si="12"/>
        <v>4.3552737706989642E-2</v>
      </c>
      <c r="DX18" s="202">
        <f t="shared" ca="1" si="58"/>
        <v>-33677</v>
      </c>
      <c r="DY18" s="203">
        <f t="shared" ca="1" si="59"/>
        <v>-33677</v>
      </c>
      <c r="DZ18" s="203">
        <f t="shared" ca="1" si="60"/>
        <v>-30563.561349999996</v>
      </c>
      <c r="EA18" s="204">
        <f t="shared" ref="EA18" ca="1" si="102">$N18-DW18</f>
        <v>-4.3552737706989642E-2</v>
      </c>
      <c r="EB18" s="205"/>
      <c r="EC18" s="206" cm="1">
        <f t="array" aca="1" ref="EC18" ca="1">EB18-SUM(IF($W$22:$W$193=$W18,IF($T$22:$T$193="",EC$22:EC$193)))</f>
        <v>0</v>
      </c>
      <c r="ED18" s="206">
        <f t="shared" ref="ED18" ca="1" si="103">EC18*$Z18</f>
        <v>0</v>
      </c>
      <c r="EE18" s="207">
        <f t="shared" ca="1" si="13"/>
        <v>0</v>
      </c>
      <c r="EF18" s="193">
        <f t="shared" ref="EF18:EF21" ca="1" si="104">DU18+EC18</f>
        <v>33677</v>
      </c>
      <c r="EG18" s="193">
        <f t="shared" ref="EG18:EG21" ca="1" si="105">EF18</f>
        <v>33677</v>
      </c>
      <c r="EH18" s="193">
        <f t="shared" ref="EH18:EH19" ca="1" si="106">EG18*$Z18</f>
        <v>30563.56135</v>
      </c>
      <c r="EI18" s="208">
        <f t="shared" ca="1" si="61"/>
        <v>4.3552737706989642E-2</v>
      </c>
      <c r="EJ18" s="218">
        <v>82216.2</v>
      </c>
      <c r="EK18" s="215"/>
      <c r="EL18" s="221"/>
      <c r="EM18" s="199">
        <f t="shared" si="62"/>
        <v>82216.2</v>
      </c>
      <c r="EN18" s="199">
        <f t="shared" ref="EN18" ca="1" si="107">EM18*$Z18</f>
        <v>74615.312309999994</v>
      </c>
      <c r="EO18" s="216">
        <f t="shared" ca="1" si="14"/>
        <v>0.10512927175302847</v>
      </c>
      <c r="EP18" s="202">
        <f t="shared" ref="EP18" ca="1" si="108">EQ18/$X18</f>
        <v>-82216.2</v>
      </c>
      <c r="EQ18" s="203">
        <f t="shared" ref="EQ18" ca="1" si="109">ER18/$Z18</f>
        <v>-82216.2</v>
      </c>
      <c r="ER18" s="203">
        <f t="shared" ca="1" si="63"/>
        <v>-74615.312309999994</v>
      </c>
      <c r="ES18" s="204">
        <f t="shared" ref="ES18" ca="1" si="110">$N18-EO18</f>
        <v>-0.10512927175302847</v>
      </c>
      <c r="ET18" s="205"/>
      <c r="EU18" s="206" cm="1">
        <f t="array" aca="1" ref="EU18" ca="1">ET18-SUM(IF($W$22:$W$193=$W18,IF($T$22:$T$193="",EU$22:EU$193)))</f>
        <v>0</v>
      </c>
      <c r="EV18" s="206">
        <f t="shared" ca="1" si="64"/>
        <v>0</v>
      </c>
      <c r="EW18" s="207">
        <f t="shared" ca="1" si="15"/>
        <v>0</v>
      </c>
      <c r="EX18" s="193">
        <f t="shared" ref="EX18:EX21" ca="1" si="111">EM18+EU18</f>
        <v>82216.2</v>
      </c>
      <c r="EY18" s="193">
        <f t="shared" ref="EY18:EY20" ca="1" si="112">EX18</f>
        <v>82216.2</v>
      </c>
      <c r="EZ18" s="193">
        <f t="shared" ref="EZ18:EZ19" ca="1" si="113">EY18*$Z18</f>
        <v>74615.312309999994</v>
      </c>
      <c r="FA18" s="208">
        <f t="shared" ca="1" si="65"/>
        <v>0.10512927175302847</v>
      </c>
      <c r="FB18" s="220" t="str">
        <f t="shared" ca="1" si="66"/>
        <v>V</v>
      </c>
      <c r="FC18" s="218">
        <v>4303.32</v>
      </c>
      <c r="FD18" s="215"/>
      <c r="FE18" s="215"/>
      <c r="FF18" s="199">
        <f t="shared" ref="FF18" si="114">FC18*$X18</f>
        <v>4303.32</v>
      </c>
      <c r="FG18" s="199" t="s">
        <v>856</v>
      </c>
      <c r="FH18" s="216">
        <f t="shared" ca="1" si="16"/>
        <v>0</v>
      </c>
      <c r="FI18" s="202">
        <f t="shared" ref="FI18" ca="1" si="115">FJ18/$X18</f>
        <v>0</v>
      </c>
      <c r="FJ18" s="203">
        <f t="shared" ref="FJ18" ca="1" si="116">FK18/$Z18</f>
        <v>0</v>
      </c>
      <c r="FK18" s="203">
        <f t="shared" ca="1" si="68"/>
        <v>0</v>
      </c>
      <c r="FL18" s="204">
        <f t="shared" ref="FL18" ca="1" si="117">$N18-FH18</f>
        <v>0</v>
      </c>
      <c r="FM18" s="205"/>
      <c r="FN18" s="206" cm="1">
        <f t="array" aca="1" ref="FN18" ca="1">FM18-SUM(IF($W$22:$W$193=$W18,IF($T$22:$T$193="",FN$22:FN$193)))</f>
        <v>0</v>
      </c>
      <c r="FO18" s="206">
        <f t="shared" ca="1" si="69"/>
        <v>0</v>
      </c>
      <c r="FP18" s="207">
        <f t="shared" ca="1" si="17"/>
        <v>0</v>
      </c>
      <c r="FQ18" s="193">
        <f t="shared" ref="FQ18:FQ21" ca="1" si="118">FF18+FN18</f>
        <v>4303.32</v>
      </c>
      <c r="FR18" s="193">
        <f t="shared" ref="FR18:FR20" ca="1" si="119">FQ18</f>
        <v>4303.32</v>
      </c>
      <c r="FS18" s="193">
        <f t="shared" ref="FS18:FS19" ca="1" si="120">FR18*$Z18</f>
        <v>3905.4780659999997</v>
      </c>
      <c r="FT18" s="208">
        <f t="shared" ca="1" si="70"/>
        <v>8.5691035597586663E-4</v>
      </c>
      <c r="FU18" s="217" t="str">
        <f t="shared" ca="1" si="71"/>
        <v>V</v>
      </c>
    </row>
    <row r="19" spans="1:177" ht="15.75" customHeight="1" outlineLevel="1" x14ac:dyDescent="0.2">
      <c r="A19" s="187"/>
      <c r="B19" s="187"/>
      <c r="C19" s="188" t="s">
        <v>721</v>
      </c>
      <c r="D19" s="189" t="str">
        <f t="shared" ca="1" si="18"/>
        <v>XC0009652816</v>
      </c>
      <c r="E19" s="189" t="str">
        <f t="shared" ca="1" si="18"/>
        <v>275000</v>
      </c>
      <c r="F19" s="188" t="s">
        <v>364</v>
      </c>
      <c r="G19" s="190"/>
      <c r="H19" s="1676" t="str">
        <f ca="1">IF(OFFSET(Origine,MATCH($C19,smo_ids,0),MATCH(H$15,Intestazioni,0)-1,1,1)&lt;&gt;"",HYPERLINK(OFFSET(Origine,MATCH($C19,smo_ids,0),MATCH(H$15,Intestazioni,0)-1,1,1),""),"")</f>
        <v></v>
      </c>
      <c r="I19" s="1676" t="str">
        <f t="shared" ca="1" si="19"/>
        <v>i</v>
      </c>
      <c r="J19" s="1676" t="str">
        <f t="shared" ca="1" si="20"/>
        <v/>
      </c>
      <c r="K19" s="1704" t="str">
        <f t="shared" ca="1" si="20"/>
        <v/>
      </c>
      <c r="L19" s="1704" t="str">
        <f t="shared" ca="1" si="21"/>
        <v/>
      </c>
      <c r="M19" s="187"/>
      <c r="N19" s="191"/>
      <c r="O19" s="191"/>
      <c r="P19" s="192">
        <f t="shared" ca="1" si="1"/>
        <v>1.8853050842215287E-3</v>
      </c>
      <c r="Q19" s="193">
        <f t="array" aca="1" ref="Q19" ca="1">SUM(IF($AA$15:$FT$15="I_pos",AA19:FT19))</f>
        <v>111354.23000000001</v>
      </c>
      <c r="R19" s="193"/>
      <c r="S19" s="188"/>
      <c r="T19" s="193"/>
      <c r="U19" s="194">
        <f t="shared" ca="1" si="22"/>
        <v>3.97869E-3</v>
      </c>
      <c r="V19" s="193"/>
      <c r="W19" s="188" t="str">
        <f t="shared" si="23"/>
        <v>USD</v>
      </c>
      <c r="X19" s="195">
        <v>1</v>
      </c>
      <c r="Y19" s="195"/>
      <c r="Z19" s="196">
        <f t="shared" ca="1" si="24"/>
        <v>0.78225</v>
      </c>
      <c r="AA19" s="214">
        <v>1551.21</v>
      </c>
      <c r="AB19" s="215"/>
      <c r="AC19" s="215"/>
      <c r="AD19" s="199">
        <f>AA19*$X19</f>
        <v>1551.21</v>
      </c>
      <c r="AE19" s="199">
        <f ca="1">AD19*$Z19</f>
        <v>1213.4340225000001</v>
      </c>
      <c r="AF19" s="216">
        <f ca="1">IFERROR(AE19/AA$4,0)</f>
        <v>2.1610732544961259E-3</v>
      </c>
      <c r="AG19" s="202">
        <f ca="1">AH19/$X19</f>
        <v>-1551.21</v>
      </c>
      <c r="AH19" s="203">
        <f ca="1">AI19/$Z19</f>
        <v>-1551.21</v>
      </c>
      <c r="AI19" s="203">
        <f ca="1">AJ19*AA$4</f>
        <v>-1213.4340225000001</v>
      </c>
      <c r="AJ19" s="204">
        <f ca="1">$N19-AF19</f>
        <v>-2.1610732544961259E-3</v>
      </c>
      <c r="AK19" s="205"/>
      <c r="AL19" s="206" cm="1">
        <f t="array" aca="1" ref="AL19" ca="1">AK19-SUM(IF($W$22:$W$193=$W19,IF($T$22:$T$193="",AL$22:AL$193)))</f>
        <v>0</v>
      </c>
      <c r="AM19" s="206">
        <f ca="1">AL19*$Z19</f>
        <v>0</v>
      </c>
      <c r="AN19" s="207">
        <f ca="1">IFERROR(AM19/AA$4,0)</f>
        <v>0</v>
      </c>
      <c r="AO19" s="193">
        <f t="shared" ca="1" si="76"/>
        <v>1551.21</v>
      </c>
      <c r="AP19" s="193">
        <f t="shared" ca="1" si="77"/>
        <v>1551.21</v>
      </c>
      <c r="AQ19" s="193">
        <f t="shared" ca="1" si="78"/>
        <v>1213.4340225000001</v>
      </c>
      <c r="AR19" s="208">
        <f t="shared" ca="1" si="79"/>
        <v>2.1610732544961259E-3</v>
      </c>
      <c r="AS19" s="209" t="str">
        <f t="shared" ca="1" si="29"/>
        <v>V</v>
      </c>
      <c r="AT19" s="218">
        <v>4306.63</v>
      </c>
      <c r="AU19" s="215"/>
      <c r="AV19" s="215"/>
      <c r="AW19" s="199">
        <f>AT19*$X19</f>
        <v>4306.63</v>
      </c>
      <c r="AX19" s="199">
        <f ca="1">AW19*$Z19</f>
        <v>3368.8613175</v>
      </c>
      <c r="AY19" s="216">
        <f ca="1">IFERROR(AX19/AT$4,0)</f>
        <v>1.945247462184394E-3</v>
      </c>
      <c r="AZ19" s="202">
        <f ca="1">BA19/$X19</f>
        <v>-4306.63</v>
      </c>
      <c r="BA19" s="203">
        <f ca="1">BB19/$Z19</f>
        <v>-4306.63</v>
      </c>
      <c r="BB19" s="203">
        <f ca="1">BC19*AT$4</f>
        <v>-3368.8613175</v>
      </c>
      <c r="BC19" s="204">
        <f ca="1">$N19-AY19</f>
        <v>-1.945247462184394E-3</v>
      </c>
      <c r="BD19" s="205"/>
      <c r="BE19" s="206" cm="1">
        <f t="array" aca="1" ref="BE19" ca="1">BD19-SUM(IF($W$22:$W$193=$W19,IF($T$22:$T$193="",BE$22:BE$193)))</f>
        <v>0</v>
      </c>
      <c r="BF19" s="206">
        <f ca="1">BE19*$Z19</f>
        <v>0</v>
      </c>
      <c r="BG19" s="207">
        <f ca="1">IFERROR(BF19/AT$4,0)</f>
        <v>0</v>
      </c>
      <c r="BH19" s="193">
        <f t="shared" ca="1" si="84"/>
        <v>4306.63</v>
      </c>
      <c r="BI19" s="193">
        <f t="shared" ca="1" si="85"/>
        <v>4306.63</v>
      </c>
      <c r="BJ19" s="193">
        <f t="shared" ca="1" si="86"/>
        <v>3368.8613175</v>
      </c>
      <c r="BK19" s="208">
        <f t="shared" ca="1" si="33"/>
        <v>1.945247462184394E-3</v>
      </c>
      <c r="BL19" s="211" t="str">
        <f t="shared" ca="1" si="34"/>
        <v>V</v>
      </c>
      <c r="BM19" s="218">
        <v>356.16</v>
      </c>
      <c r="BN19" s="215"/>
      <c r="BO19" s="215"/>
      <c r="BP19" s="199">
        <f>BM19*$X19</f>
        <v>356.16</v>
      </c>
      <c r="BQ19" s="199">
        <f ca="1">BP19*$Z19</f>
        <v>278.60616000000005</v>
      </c>
      <c r="BR19" s="216">
        <f ca="1">IFERROR(BQ19/BM$4,0)</f>
        <v>9.7766069100227275E-4</v>
      </c>
      <c r="BS19" s="202">
        <f ca="1">BT19/$X19</f>
        <v>-356.16000000000008</v>
      </c>
      <c r="BT19" s="203">
        <f ca="1">BU19/$Z19</f>
        <v>-356.16000000000008</v>
      </c>
      <c r="BU19" s="203">
        <f ca="1">BV19*BM$4</f>
        <v>-278.60616000000005</v>
      </c>
      <c r="BV19" s="204">
        <f ca="1">$N19-BR19</f>
        <v>-9.7766069100227275E-4</v>
      </c>
      <c r="BW19" s="205"/>
      <c r="BX19" s="206" cm="1">
        <f t="array" aca="1" ref="BX19" ca="1">BW19-SUM(IF($W$22:$W$193=$W19,IF($T$22:$T$193="",BX$22:BX$193)))</f>
        <v>0</v>
      </c>
      <c r="BY19" s="206">
        <f ca="1">BX19*$Z19</f>
        <v>0</v>
      </c>
      <c r="BZ19" s="207">
        <f ca="1">IFERROR(BY19/BM$4,0)</f>
        <v>0</v>
      </c>
      <c r="CA19" s="193">
        <v>1080</v>
      </c>
      <c r="CB19" s="193">
        <f t="shared" si="92"/>
        <v>1080</v>
      </c>
      <c r="CC19" s="193">
        <f t="shared" ca="1" si="93"/>
        <v>844.83</v>
      </c>
      <c r="CD19" s="208">
        <f t="shared" ca="1" si="38"/>
        <v>2.964604521233307E-3</v>
      </c>
      <c r="CE19" s="212" t="str">
        <f t="shared" ca="1" si="39"/>
        <v>V</v>
      </c>
      <c r="CF19" s="218">
        <v>2486.1999999999998</v>
      </c>
      <c r="CG19" s="215"/>
      <c r="CH19" s="215"/>
      <c r="CI19" s="199">
        <f t="shared" si="40"/>
        <v>2486.1999999999998</v>
      </c>
      <c r="CJ19" s="200">
        <f t="shared" ca="1" si="41"/>
        <v>1944.8299499999998</v>
      </c>
      <c r="CK19" s="216">
        <f t="shared" ca="1" si="8"/>
        <v>2.1976483594566974E-3</v>
      </c>
      <c r="CL19" s="202">
        <f t="shared" ca="1" si="42"/>
        <v>-2486.1999999999998</v>
      </c>
      <c r="CM19" s="203">
        <f t="shared" ca="1" si="43"/>
        <v>-2486.1999999999998</v>
      </c>
      <c r="CN19" s="203">
        <f t="shared" ca="1" si="44"/>
        <v>-1944.8299499999998</v>
      </c>
      <c r="CO19" s="204">
        <f ca="1">$N19-CK19</f>
        <v>-2.1976483594566974E-3</v>
      </c>
      <c r="CP19" s="205"/>
      <c r="CQ19" s="206" cm="1">
        <f t="array" aca="1" ref="CQ19" ca="1">CP19-SUM(IF($W$22:$W$193=$W19,IF($T$22:$T$193="",CQ$22:CQ$193)))</f>
        <v>0</v>
      </c>
      <c r="CR19" s="206">
        <f ca="1">CQ19*$Z19</f>
        <v>0</v>
      </c>
      <c r="CS19" s="207">
        <f ca="1">IFERROR(CR19/CF$4,0)</f>
        <v>0</v>
      </c>
      <c r="CT19" s="193">
        <f t="shared" ca="1" si="95"/>
        <v>2486.1999999999998</v>
      </c>
      <c r="CU19" s="193">
        <f t="shared" ca="1" si="96"/>
        <v>2486.1999999999998</v>
      </c>
      <c r="CV19" s="193">
        <f t="shared" ca="1" si="97"/>
        <v>1944.8299499999998</v>
      </c>
      <c r="CW19" s="208">
        <f t="shared" ca="1" si="46"/>
        <v>2.1976483594566974E-3</v>
      </c>
      <c r="CX19" s="211" t="str">
        <f t="shared" ca="1" si="47"/>
        <v>V</v>
      </c>
      <c r="CY19" s="197">
        <v>33713.51</v>
      </c>
      <c r="CZ19" s="215"/>
      <c r="DA19" s="199"/>
      <c r="DB19" s="199">
        <f t="shared" si="48"/>
        <v>33713.51</v>
      </c>
      <c r="DC19" s="199">
        <f t="shared" ca="1" si="49"/>
        <v>26372.393197500001</v>
      </c>
      <c r="DD19" s="216">
        <f t="shared" ca="1" si="10"/>
        <v>7.3554561963883333E-3</v>
      </c>
      <c r="DE19" s="202">
        <f t="shared" ca="1" si="50"/>
        <v>-33713.51</v>
      </c>
      <c r="DF19" s="203">
        <f t="shared" ca="1" si="51"/>
        <v>-33713.51</v>
      </c>
      <c r="DG19" s="203">
        <f t="shared" ca="1" si="52"/>
        <v>-26372.393197500001</v>
      </c>
      <c r="DH19" s="204">
        <f ca="1">$N19-DD19</f>
        <v>-7.3554561963883333E-3</v>
      </c>
      <c r="DI19" s="205"/>
      <c r="DJ19" s="206" cm="1">
        <f t="array" aca="1" ref="DJ19" ca="1">DI19-SUM(IF($W$22:$W$193=$W19,IF($T$22:$T$193="",DJ$22:DJ$193)))</f>
        <v>0</v>
      </c>
      <c r="DK19" s="206">
        <f ca="1">DJ19*$Z19</f>
        <v>0</v>
      </c>
      <c r="DL19" s="207">
        <f ca="1">IFERROR(DK19/CY$4,0)</f>
        <v>0</v>
      </c>
      <c r="DM19" s="193">
        <f t="shared" ca="1" si="99"/>
        <v>33713.51</v>
      </c>
      <c r="DN19" s="193">
        <f t="shared" ca="1" si="100"/>
        <v>33713.51</v>
      </c>
      <c r="DO19" s="193">
        <f t="shared" ca="1" si="101"/>
        <v>26372.393197500001</v>
      </c>
      <c r="DP19" s="208">
        <f t="shared" ca="1" si="54"/>
        <v>7.3554561963883333E-3</v>
      </c>
      <c r="DQ19" s="209" t="str">
        <f t="shared" ca="1" si="55"/>
        <v>V</v>
      </c>
      <c r="DR19" s="197">
        <v>1289</v>
      </c>
      <c r="DS19" s="215"/>
      <c r="DT19" s="199"/>
      <c r="DU19" s="199">
        <f t="shared" si="56"/>
        <v>1289</v>
      </c>
      <c r="DV19" s="199">
        <f t="shared" ca="1" si="57"/>
        <v>1008.32025</v>
      </c>
      <c r="DW19" s="216">
        <f t="shared" ca="1" si="12"/>
        <v>1.4368452311561599E-3</v>
      </c>
      <c r="DX19" s="202">
        <f t="shared" ca="1" si="58"/>
        <v>-1289</v>
      </c>
      <c r="DY19" s="203">
        <f t="shared" ca="1" si="59"/>
        <v>-1289</v>
      </c>
      <c r="DZ19" s="203">
        <f t="shared" ca="1" si="60"/>
        <v>-1008.32025</v>
      </c>
      <c r="EA19" s="204">
        <f ca="1">$N19-DW19</f>
        <v>-1.4368452311561599E-3</v>
      </c>
      <c r="EB19" s="205"/>
      <c r="EC19" s="206" cm="1">
        <f t="array" aca="1" ref="EC19" ca="1">EB19-SUM(IF($W$22:$W$193=$W19,IF($T$22:$T$193="",EC$22:EC$193)))</f>
        <v>0</v>
      </c>
      <c r="ED19" s="206">
        <f ca="1">EC19*$Z19</f>
        <v>0</v>
      </c>
      <c r="EE19" s="207">
        <f ca="1">IFERROR(ED19/DR$4,0)</f>
        <v>0</v>
      </c>
      <c r="EF19" s="193">
        <f t="shared" ca="1" si="104"/>
        <v>1289</v>
      </c>
      <c r="EG19" s="193">
        <f t="shared" ca="1" si="105"/>
        <v>1289</v>
      </c>
      <c r="EH19" s="193">
        <f t="shared" ca="1" si="106"/>
        <v>1008.32025</v>
      </c>
      <c r="EI19" s="208">
        <f t="shared" ca="1" si="61"/>
        <v>1.4368452311561599E-3</v>
      </c>
      <c r="EJ19" s="218">
        <v>64103.02</v>
      </c>
      <c r="EK19" s="215"/>
      <c r="EL19" s="221"/>
      <c r="EM19" s="199">
        <f>EJ19*$X19</f>
        <v>64103.02</v>
      </c>
      <c r="EN19" s="199">
        <f ca="1">EM19*$Z19</f>
        <v>50144.587394999995</v>
      </c>
      <c r="EO19" s="216">
        <f ca="1">IFERROR(EN19/EJ$4,0)</f>
        <v>7.0651234873755644E-2</v>
      </c>
      <c r="EP19" s="202">
        <f ca="1">EQ19/$X19</f>
        <v>-64103.02</v>
      </c>
      <c r="EQ19" s="203">
        <f ca="1">ER19/$Z19</f>
        <v>-64103.02</v>
      </c>
      <c r="ER19" s="203">
        <f ca="1">ES19*EJ$4</f>
        <v>-50144.587394999995</v>
      </c>
      <c r="ES19" s="204">
        <f ca="1">$N19-EO19</f>
        <v>-7.0651234873755644E-2</v>
      </c>
      <c r="ET19" s="205"/>
      <c r="EU19" s="206" cm="1">
        <f t="array" aca="1" ref="EU19" ca="1">ET19-SUM(IF($W$22:$W$193=$W19,IF($T$22:$T$193="",EU$22:EU$193)))</f>
        <v>0</v>
      </c>
      <c r="EV19" s="206">
        <f ca="1">EU19*$Z19</f>
        <v>0</v>
      </c>
      <c r="EW19" s="207">
        <f ca="1">IFERROR(EV19/EJ$4,0)</f>
        <v>0</v>
      </c>
      <c r="EX19" s="193">
        <f t="shared" ca="1" si="111"/>
        <v>64103.02</v>
      </c>
      <c r="EY19" s="193">
        <f t="shared" ca="1" si="112"/>
        <v>64103.02</v>
      </c>
      <c r="EZ19" s="193">
        <f t="shared" ca="1" si="113"/>
        <v>50144.587394999995</v>
      </c>
      <c r="FA19" s="208">
        <f t="shared" ca="1" si="65"/>
        <v>7.0651234873755644E-2</v>
      </c>
      <c r="FB19" s="212" t="str">
        <f t="shared" ca="1" si="66"/>
        <v>V</v>
      </c>
      <c r="FC19" s="218">
        <v>3548.5</v>
      </c>
      <c r="FD19" s="215"/>
      <c r="FE19" s="215"/>
      <c r="FF19" s="199">
        <f>FC19*$X19</f>
        <v>3548.5</v>
      </c>
      <c r="FG19" s="199">
        <f ca="1">FF19*$Z19</f>
        <v>2775.8141249999999</v>
      </c>
      <c r="FH19" s="216">
        <f ca="1">IFERROR(FG19/FC$4,0)</f>
        <v>6.0904806781126827E-4</v>
      </c>
      <c r="FI19" s="202">
        <f ca="1">FJ19/$X19</f>
        <v>-3548.5</v>
      </c>
      <c r="FJ19" s="203">
        <f ca="1">FK19/$Z19</f>
        <v>-3548.5</v>
      </c>
      <c r="FK19" s="203">
        <f ca="1">FL19*FC$4</f>
        <v>-2775.8141249999999</v>
      </c>
      <c r="FL19" s="204">
        <f ca="1">$N19-FH19</f>
        <v>-6.0904806781126827E-4</v>
      </c>
      <c r="FM19" s="205"/>
      <c r="FN19" s="206" cm="1">
        <f t="array" aca="1" ref="FN19" ca="1">FM19-SUM(IF($W$22:$W$193=$W19,IF($T$22:$T$193="",FN$22:FN$193)))</f>
        <v>0</v>
      </c>
      <c r="FO19" s="206">
        <f ca="1">FN19*$Z19</f>
        <v>0</v>
      </c>
      <c r="FP19" s="207">
        <f ca="1">IFERROR(FO19/FC$4,0)</f>
        <v>0</v>
      </c>
      <c r="FQ19" s="193">
        <f t="shared" ca="1" si="118"/>
        <v>3548.5</v>
      </c>
      <c r="FR19" s="193">
        <f t="shared" ca="1" si="119"/>
        <v>3548.5</v>
      </c>
      <c r="FS19" s="193">
        <f t="shared" ca="1" si="120"/>
        <v>2775.8141249999999</v>
      </c>
      <c r="FT19" s="208">
        <f t="shared" ca="1" si="70"/>
        <v>6.0904806781126827E-4</v>
      </c>
      <c r="FU19" s="209" t="str">
        <f t="shared" ca="1" si="71"/>
        <v>V</v>
      </c>
    </row>
    <row r="20" spans="1:177" ht="15.75" customHeight="1" outlineLevel="2" x14ac:dyDescent="0.2">
      <c r="A20" s="187"/>
      <c r="B20" s="187"/>
      <c r="C20" s="188" t="s">
        <v>722</v>
      </c>
      <c r="D20" s="189" t="str">
        <f ca="1">OFFSET(Origine,MATCH($C20,smo_ids,0),MATCH(D$15,Intestazioni,0)-1,1,1)</f>
        <v>GB0009534727</v>
      </c>
      <c r="E20" s="189" t="str">
        <f ca="1">OFFSET(Origine,MATCH($C20,smo_ids,0),MATCH(E$15,Intestazioni,0)-1,1,1)</f>
        <v>275001</v>
      </c>
      <c r="F20" s="188" t="s">
        <v>723</v>
      </c>
      <c r="G20" s="190"/>
      <c r="H20" s="1676" t="str">
        <f ca="1">IF(OFFSET(Origine,MATCH($C20,smo_ids,0),MATCH(H$15,Intestazioni,0)-1,1,1)&lt;&gt;"",HYPERLINK(OFFSET(Origine,MATCH($C20,smo_ids,0),MATCH(H$15,Intestazioni,0)-1,1,1),""),"")</f>
        <v></v>
      </c>
      <c r="I20" s="1676" t="str">
        <f t="shared" ca="1" si="19"/>
        <v>i</v>
      </c>
      <c r="J20" s="1676" t="str">
        <f t="shared" ca="1" si="20"/>
        <v/>
      </c>
      <c r="K20" s="1704" t="str">
        <f t="shared" ca="1" si="20"/>
        <v/>
      </c>
      <c r="L20" s="1704" t="str">
        <f t="shared" ca="1" si="21"/>
        <v/>
      </c>
      <c r="M20" s="187"/>
      <c r="N20" s="191"/>
      <c r="O20" s="191"/>
      <c r="P20" s="192">
        <f t="shared" ca="1" si="1"/>
        <v>0</v>
      </c>
      <c r="Q20" s="193">
        <f t="array" aca="1" ref="Q20" ca="1">SUM(IF($AA$15:$FT$15="I_pos",AA20:FT20))</f>
        <v>0</v>
      </c>
      <c r="R20" s="193"/>
      <c r="S20" s="188"/>
      <c r="T20" s="193"/>
      <c r="U20" s="194">
        <f t="shared" ca="1" si="22"/>
        <v>-1.2447300000000001E-3</v>
      </c>
      <c r="V20" s="193"/>
      <c r="W20" s="188" t="str">
        <f t="shared" si="23"/>
        <v>GBP</v>
      </c>
      <c r="X20" s="195">
        <v>1</v>
      </c>
      <c r="Y20" s="195"/>
      <c r="Z20" s="196">
        <f t="shared" ca="1" si="24"/>
        <v>1.0430999999999999</v>
      </c>
      <c r="AA20" s="214"/>
      <c r="AB20" s="215"/>
      <c r="AC20" s="215"/>
      <c r="AD20" s="199">
        <f>AA20*$X20</f>
        <v>0</v>
      </c>
      <c r="AE20" s="199">
        <f ca="1">AD20*$Z20</f>
        <v>0</v>
      </c>
      <c r="AF20" s="216">
        <f ca="1">IFERROR(AE20/AA$4,0)</f>
        <v>0</v>
      </c>
      <c r="AG20" s="202">
        <f ca="1">AH20/$X20</f>
        <v>0</v>
      </c>
      <c r="AH20" s="203">
        <f ca="1">AI20/$Z20</f>
        <v>0</v>
      </c>
      <c r="AI20" s="203">
        <f ca="1">AJ20*AA$4</f>
        <v>0</v>
      </c>
      <c r="AJ20" s="204">
        <f ca="1">$N20-AF20</f>
        <v>0</v>
      </c>
      <c r="AK20" s="205"/>
      <c r="AL20" s="206" cm="1">
        <f t="array" aca="1" ref="AL20" ca="1">AK20-SUM(IF($W$22:$W$200=$W20,IF($T$22:$T$200="",AL$22:AL$200)))</f>
        <v>0</v>
      </c>
      <c r="AM20" s="206">
        <f ca="1">AL20*$Z20</f>
        <v>0</v>
      </c>
      <c r="AN20" s="207">
        <f ca="1">IFERROR(AM20/AA$4,0)</f>
        <v>0</v>
      </c>
      <c r="AO20" s="193">
        <f t="shared" ca="1" si="76"/>
        <v>0</v>
      </c>
      <c r="AP20" s="193">
        <f t="shared" ref="AP20" ca="1" si="121">AO20</f>
        <v>0</v>
      </c>
      <c r="AQ20" s="193">
        <f ca="1">AP20*$Z20</f>
        <v>0</v>
      </c>
      <c r="AR20" s="208">
        <f ca="1">AQ20/AA$4</f>
        <v>0</v>
      </c>
      <c r="AS20" s="209" t="str">
        <f ca="1">IF(SUM(AF20,AN20,AR20)&lt;&gt;0,"V","")</f>
        <v/>
      </c>
      <c r="AT20" s="214">
        <v>0</v>
      </c>
      <c r="AU20" s="215"/>
      <c r="AV20" s="215"/>
      <c r="AW20" s="199">
        <f>AT20*$X20</f>
        <v>0</v>
      </c>
      <c r="AX20" s="199">
        <f ca="1">AW20*$Z20</f>
        <v>0</v>
      </c>
      <c r="AY20" s="216">
        <f ca="1">IFERROR(AX20/AT$4,0)</f>
        <v>0</v>
      </c>
      <c r="AZ20" s="202">
        <f ca="1">BA20/$X20</f>
        <v>0</v>
      </c>
      <c r="BA20" s="203">
        <f ca="1">BB20/$Z20</f>
        <v>0</v>
      </c>
      <c r="BB20" s="203">
        <f ca="1">BC20*AT$4</f>
        <v>0</v>
      </c>
      <c r="BC20" s="204">
        <f ca="1">$N20-AY20</f>
        <v>0</v>
      </c>
      <c r="BD20" s="205"/>
      <c r="BE20" s="206" cm="1">
        <f t="array" aca="1" ref="BE20" ca="1">BD20-SUM(IF($W$22:$W$200=$W20,IF($T$22:$T$200="",BE$22:BE$200)))</f>
        <v>0</v>
      </c>
      <c r="BF20" s="206">
        <f ca="1">BE20*$Z20</f>
        <v>0</v>
      </c>
      <c r="BG20" s="207">
        <f ca="1">IFERROR(BF20/AT$4,0)</f>
        <v>0</v>
      </c>
      <c r="BH20" s="193">
        <f t="shared" ca="1" si="84"/>
        <v>0</v>
      </c>
      <c r="BI20" s="193">
        <f t="shared" ca="1" si="85"/>
        <v>0</v>
      </c>
      <c r="BJ20" s="193">
        <f ca="1">BI20*$Z20</f>
        <v>0</v>
      </c>
      <c r="BK20" s="208">
        <f ca="1">BJ20/AT$4</f>
        <v>0</v>
      </c>
      <c r="BL20" s="211" t="str">
        <f ca="1">IF(SUM(AY20,BG20,BK20)&lt;&gt;0,"V","")</f>
        <v/>
      </c>
      <c r="BM20" s="214"/>
      <c r="BN20" s="215"/>
      <c r="BO20" s="215"/>
      <c r="BP20" s="199">
        <f>BM20*$X20</f>
        <v>0</v>
      </c>
      <c r="BQ20" s="199">
        <f ca="1">BP20*$Z20</f>
        <v>0</v>
      </c>
      <c r="BR20" s="216">
        <f ca="1">IFERROR(BQ20/BM$4,0)</f>
        <v>0</v>
      </c>
      <c r="BS20" s="202">
        <f ca="1">BT20/$X20</f>
        <v>0</v>
      </c>
      <c r="BT20" s="203">
        <f ca="1">BU20/$Z20</f>
        <v>0</v>
      </c>
      <c r="BU20" s="203">
        <f ca="1">BV20*BM$4</f>
        <v>0</v>
      </c>
      <c r="BV20" s="204">
        <f ca="1">$N20-BR20</f>
        <v>0</v>
      </c>
      <c r="BW20" s="205"/>
      <c r="BX20" s="206" cm="1">
        <f t="array" aca="1" ref="BX20" ca="1">BW20-SUM(IF($W$22:$W$200=$W20,IF($T$22:$T$200="",BX$22:BX$200)))</f>
        <v>0</v>
      </c>
      <c r="BY20" s="206">
        <f ca="1">BX20*$Z20</f>
        <v>0</v>
      </c>
      <c r="BZ20" s="207">
        <f ca="1">IFERROR(BY20/BM$4,0)</f>
        <v>0</v>
      </c>
      <c r="CA20" s="193">
        <f t="shared" ca="1" si="91"/>
        <v>0</v>
      </c>
      <c r="CB20" s="193">
        <f t="shared" ca="1" si="92"/>
        <v>0</v>
      </c>
      <c r="CC20" s="193">
        <f ca="1">CB20*$Z20</f>
        <v>0</v>
      </c>
      <c r="CD20" s="208">
        <f ca="1">CC20/BM$4</f>
        <v>0</v>
      </c>
      <c r="CE20" s="212" t="str">
        <f ca="1">IF(SUM(BR20,BZ20,CD20)&lt;&gt;0,"V","")</f>
        <v/>
      </c>
      <c r="CF20" s="214"/>
      <c r="CG20" s="215"/>
      <c r="CH20" s="215"/>
      <c r="CI20" s="199">
        <f>CF20*$X20</f>
        <v>0</v>
      </c>
      <c r="CJ20" s="200">
        <f ca="1">CI20*$Z20</f>
        <v>0</v>
      </c>
      <c r="CK20" s="216">
        <f ca="1">IFERROR(CJ20/CF$4,0)</f>
        <v>0</v>
      </c>
      <c r="CL20" s="202">
        <f ca="1">CM20/$X20</f>
        <v>0</v>
      </c>
      <c r="CM20" s="203">
        <f ca="1">CN20/$Z20</f>
        <v>0</v>
      </c>
      <c r="CN20" s="203">
        <f ca="1">CO20*CF$4</f>
        <v>0</v>
      </c>
      <c r="CO20" s="204">
        <f ca="1">$N20-CK20</f>
        <v>0</v>
      </c>
      <c r="CP20" s="205"/>
      <c r="CQ20" s="206" cm="1">
        <f t="array" aca="1" ref="CQ20" ca="1">CP20-SUM(IF($W$22:$W$200=$W20,IF($T$22:$T$200="",CQ$22:CQ$200)))</f>
        <v>0</v>
      </c>
      <c r="CR20" s="206">
        <f ca="1">CQ20*$Z20</f>
        <v>0</v>
      </c>
      <c r="CS20" s="207">
        <f ca="1">IFERROR(CR20/CF$4,0)</f>
        <v>0</v>
      </c>
      <c r="CT20" s="193">
        <f t="shared" ca="1" si="95"/>
        <v>0</v>
      </c>
      <c r="CU20" s="193">
        <f t="shared" ca="1" si="96"/>
        <v>0</v>
      </c>
      <c r="CV20" s="193">
        <f ca="1">CU20*$Z20</f>
        <v>0</v>
      </c>
      <c r="CW20" s="208">
        <f ca="1">CV20/CF$4</f>
        <v>0</v>
      </c>
      <c r="CX20" s="211" t="str">
        <f ca="1">IF(SUM(CK20,CS20,CW20)&lt;&gt;0,"V","")</f>
        <v/>
      </c>
      <c r="CY20" s="197"/>
      <c r="CZ20" s="215"/>
      <c r="DA20" s="199"/>
      <c r="DB20" s="199">
        <f>CY20*$X20</f>
        <v>0</v>
      </c>
      <c r="DC20" s="199">
        <f ca="1">DB20*$Z20</f>
        <v>0</v>
      </c>
      <c r="DD20" s="216">
        <f ca="1">IFERROR(DC20/CY$4,0)</f>
        <v>0</v>
      </c>
      <c r="DE20" s="202">
        <f ca="1">DF20/$X20</f>
        <v>0</v>
      </c>
      <c r="DF20" s="203">
        <f ca="1">DG20/$Z20</f>
        <v>0</v>
      </c>
      <c r="DG20" s="203">
        <f ca="1">DH20*CY$4</f>
        <v>0</v>
      </c>
      <c r="DH20" s="204">
        <f ca="1">$N20-DD20</f>
        <v>0</v>
      </c>
      <c r="DI20" s="205"/>
      <c r="DJ20" s="206" cm="1">
        <f t="array" aca="1" ref="DJ20" ca="1">DI20-SUM(IF($W$22:$W$200=$W20,IF($T$22:$T$200="",DJ$22:DJ$200)))</f>
        <v>0</v>
      </c>
      <c r="DK20" s="206">
        <f ca="1">DJ20*$Z20</f>
        <v>0</v>
      </c>
      <c r="DL20" s="207">
        <f ca="1">IFERROR(DK20/CY$4,0)</f>
        <v>0</v>
      </c>
      <c r="DM20" s="193">
        <f t="shared" ca="1" si="99"/>
        <v>0</v>
      </c>
      <c r="DN20" s="193">
        <f t="shared" ca="1" si="100"/>
        <v>0</v>
      </c>
      <c r="DO20" s="193">
        <f ca="1">DN20*$Z20</f>
        <v>0</v>
      </c>
      <c r="DP20" s="208">
        <f ca="1">DO20/CY$4</f>
        <v>0</v>
      </c>
      <c r="DQ20" s="209" t="str">
        <f ca="1">IF(SUM(DD20,DL20,DP20)&lt;&gt;0,"V","")</f>
        <v/>
      </c>
      <c r="DR20" s="197"/>
      <c r="DS20" s="215"/>
      <c r="DT20" s="199"/>
      <c r="DU20" s="199">
        <f>DR20*$X20</f>
        <v>0</v>
      </c>
      <c r="DV20" s="199">
        <f ca="1">DU20*$Z20</f>
        <v>0</v>
      </c>
      <c r="DW20" s="216">
        <f ca="1">IFERROR(DV20/DR$4,0)</f>
        <v>0</v>
      </c>
      <c r="DX20" s="202">
        <f ca="1">DY20/$X20</f>
        <v>0</v>
      </c>
      <c r="DY20" s="203">
        <f ca="1">DZ20/$Z20</f>
        <v>0</v>
      </c>
      <c r="DZ20" s="203">
        <f ca="1">EA20*DR$4</f>
        <v>0</v>
      </c>
      <c r="EA20" s="204">
        <f ca="1">$N20-DW20</f>
        <v>0</v>
      </c>
      <c r="EB20" s="205"/>
      <c r="EC20" s="206" cm="1">
        <f t="array" aca="1" ref="EC20" ca="1">EB20-SUM(IF($W$22:$W$200=$W20,IF($T$22:$T$200="",EC$22:EC$200)))</f>
        <v>0</v>
      </c>
      <c r="ED20" s="206">
        <f ca="1">EC20*$Z20</f>
        <v>0</v>
      </c>
      <c r="EE20" s="207">
        <f ca="1">IFERROR(ED20/DR$4,0)</f>
        <v>0</v>
      </c>
      <c r="EF20" s="193">
        <f t="shared" ca="1" si="104"/>
        <v>0</v>
      </c>
      <c r="EG20" s="193">
        <f t="shared" ca="1" si="105"/>
        <v>0</v>
      </c>
      <c r="EH20" s="193">
        <f ca="1">EG20*$Z20</f>
        <v>0</v>
      </c>
      <c r="EI20" s="208">
        <f ca="1">EH20/DR$4</f>
        <v>0</v>
      </c>
      <c r="EJ20" s="214"/>
      <c r="EK20" s="215"/>
      <c r="EL20" s="222"/>
      <c r="EM20" s="199">
        <f>EJ20*$X20</f>
        <v>0</v>
      </c>
      <c r="EN20" s="199">
        <f ca="1">EM20*$Z20</f>
        <v>0</v>
      </c>
      <c r="EO20" s="216">
        <f ca="1">IFERROR(EN20/EJ$4,0)</f>
        <v>0</v>
      </c>
      <c r="EP20" s="202">
        <f ca="1">EQ20/$X20</f>
        <v>0</v>
      </c>
      <c r="EQ20" s="203">
        <f ca="1">ER20/$Z20</f>
        <v>0</v>
      </c>
      <c r="ER20" s="203">
        <f ca="1">ES20*EJ$4</f>
        <v>0</v>
      </c>
      <c r="ES20" s="204">
        <f ca="1">$N20-EO20</f>
        <v>0</v>
      </c>
      <c r="ET20" s="205"/>
      <c r="EU20" s="206" cm="1">
        <f t="array" aca="1" ref="EU20" ca="1">ET20-SUM(IF($W$22:$W$200=$W20,IF($T$22:$T$200="",EU$22:EU$200)))</f>
        <v>0</v>
      </c>
      <c r="EV20" s="206">
        <f ca="1">EU20*$Z20</f>
        <v>0</v>
      </c>
      <c r="EW20" s="207">
        <f ca="1">IFERROR(EV20/EJ$4,0)</f>
        <v>0</v>
      </c>
      <c r="EX20" s="193">
        <f t="shared" ca="1" si="111"/>
        <v>0</v>
      </c>
      <c r="EY20" s="193">
        <f t="shared" ca="1" si="112"/>
        <v>0</v>
      </c>
      <c r="EZ20" s="193">
        <f ca="1">EY20*$Z20</f>
        <v>0</v>
      </c>
      <c r="FA20" s="208">
        <f ca="1">EZ20/EJ$4</f>
        <v>0</v>
      </c>
      <c r="FB20" s="212" t="str">
        <f ca="1">IF(SUM(EO20,EW20,FA20)&lt;&gt;0,"V","")</f>
        <v/>
      </c>
      <c r="FC20" s="218"/>
      <c r="FD20" s="215"/>
      <c r="FE20" s="215"/>
      <c r="FF20" s="199">
        <f>FC20*$X20</f>
        <v>0</v>
      </c>
      <c r="FG20" s="199">
        <f ca="1">FF20*$Z20</f>
        <v>0</v>
      </c>
      <c r="FH20" s="216">
        <f ca="1">IFERROR(FG20/FC$4,0)</f>
        <v>0</v>
      </c>
      <c r="FI20" s="202">
        <f ca="1">FJ20/$X20</f>
        <v>0</v>
      </c>
      <c r="FJ20" s="203">
        <f ca="1">FK20/$Z20</f>
        <v>0</v>
      </c>
      <c r="FK20" s="203">
        <f ca="1">FL20*FC$4</f>
        <v>0</v>
      </c>
      <c r="FL20" s="204">
        <f ca="1">$N20-FH20</f>
        <v>0</v>
      </c>
      <c r="FM20" s="205"/>
      <c r="FN20" s="206" cm="1">
        <f t="array" aca="1" ref="FN20" ca="1">FM20-SUM(IF($W$22:$W$200=$W20,IF($T$22:$T$200="",FN$22:FN$200)))</f>
        <v>0</v>
      </c>
      <c r="FO20" s="206">
        <f ca="1">FN20*$Z20</f>
        <v>0</v>
      </c>
      <c r="FP20" s="207">
        <f ca="1">IFERROR(FO20/FC$4,0)</f>
        <v>0</v>
      </c>
      <c r="FQ20" s="193">
        <f t="shared" ca="1" si="118"/>
        <v>0</v>
      </c>
      <c r="FR20" s="193">
        <f t="shared" ca="1" si="119"/>
        <v>0</v>
      </c>
      <c r="FS20" s="193">
        <f ca="1">FR20*$Z20</f>
        <v>0</v>
      </c>
      <c r="FT20" s="208">
        <f ca="1">FS20/FC$4</f>
        <v>0</v>
      </c>
      <c r="FU20" s="209" t="str">
        <f ca="1">IF(SUM(FH20,FP20,FT20)&lt;&gt;0,"V","")</f>
        <v/>
      </c>
    </row>
    <row r="21" spans="1:177" ht="15.75" customHeight="1" outlineLevel="2" thickBot="1" x14ac:dyDescent="0.25">
      <c r="A21" s="187"/>
      <c r="B21" s="187"/>
      <c r="C21" s="188" t="s">
        <v>724</v>
      </c>
      <c r="D21" s="189" t="str">
        <f t="shared" ca="1" si="18"/>
        <v>XC0001458410</v>
      </c>
      <c r="E21" s="189" t="str">
        <f t="shared" ca="1" si="18"/>
        <v>499048</v>
      </c>
      <c r="F21" s="188" t="s">
        <v>477</v>
      </c>
      <c r="G21" s="190"/>
      <c r="H21" s="1676" t="str">
        <f ca="1">IF(OFFSET(Origine,MATCH($C21,smo_ids,0),MATCH(H$15,Intestazioni,0)-1,1,1)&lt;&gt;"",HYPERLINK(OFFSET(Origine,MATCH($C21,smo_ids,0),MATCH(H$15,Intestazioni,0)-1,1,1),""),"")</f>
        <v></v>
      </c>
      <c r="I21" s="1676" t="str">
        <f t="shared" ca="1" si="19"/>
        <v>i</v>
      </c>
      <c r="J21" s="1676" t="str">
        <f t="shared" ca="1" si="20"/>
        <v/>
      </c>
      <c r="K21" s="1704" t="str">
        <f t="shared" ca="1" si="20"/>
        <v/>
      </c>
      <c r="L21" s="1704" t="str">
        <f t="shared" ca="1" si="21"/>
        <v/>
      </c>
      <c r="M21" s="187"/>
      <c r="N21" s="191"/>
      <c r="O21" s="191"/>
      <c r="P21" s="192">
        <f t="shared" ca="1" si="1"/>
        <v>2.8611766014900392E-3</v>
      </c>
      <c r="Q21" s="193">
        <f t="array" aca="1" ref="Q21" ca="1">SUM(IF($AA$15:$FT$15="I_pos",AA21:FT21))</f>
        <v>13411.51</v>
      </c>
      <c r="R21" s="193"/>
      <c r="S21" s="188"/>
      <c r="T21" s="193"/>
      <c r="U21" s="194">
        <f t="shared" ca="1" si="22"/>
        <v>-5.7840000000000001E-3</v>
      </c>
      <c r="V21" s="193"/>
      <c r="W21" s="188" t="str">
        <f t="shared" si="23"/>
        <v>AUD</v>
      </c>
      <c r="X21" s="195">
        <v>1</v>
      </c>
      <c r="Y21" s="195"/>
      <c r="Z21" s="196">
        <f t="shared" ca="1" si="24"/>
        <v>0.55005000000000004</v>
      </c>
      <c r="AA21" s="214"/>
      <c r="AB21" s="215"/>
      <c r="AC21" s="215"/>
      <c r="AD21" s="199">
        <f t="shared" ref="AD21" si="122">AA21*$X21</f>
        <v>0</v>
      </c>
      <c r="AE21" s="199">
        <f t="shared" ref="AE21" ca="1" si="123">AD21*$Z21</f>
        <v>0</v>
      </c>
      <c r="AF21" s="216">
        <f t="shared" ref="AF21" ca="1" si="124">IFERROR(AE21/AA$4,0)</f>
        <v>0</v>
      </c>
      <c r="AG21" s="202">
        <f t="shared" ref="AG21" ca="1" si="125">AH21/$X21</f>
        <v>0</v>
      </c>
      <c r="AH21" s="203">
        <f t="shared" ref="AH21" ca="1" si="126">AI21/$Z21</f>
        <v>0</v>
      </c>
      <c r="AI21" s="203">
        <f t="shared" ref="AI21" ca="1" si="127">AJ21*AA$4</f>
        <v>0</v>
      </c>
      <c r="AJ21" s="204">
        <f t="shared" ref="AJ21" ca="1" si="128">$N21-AF21</f>
        <v>0</v>
      </c>
      <c r="AK21" s="205"/>
      <c r="AL21" s="206" cm="1">
        <f t="array" aca="1" ref="AL21" ca="1">AK21-SUM(IF($W$22:$W$200=$W21,IF($T$22:$T$200="",AL$22:AL$200)))</f>
        <v>0</v>
      </c>
      <c r="AM21" s="206">
        <f t="shared" ref="AM21" ca="1" si="129">AL21*$Z21</f>
        <v>0</v>
      </c>
      <c r="AN21" s="207">
        <f t="shared" ref="AN21" ca="1" si="130">IFERROR(AM21/AA$4,0)</f>
        <v>0</v>
      </c>
      <c r="AO21" s="193">
        <f t="shared" ca="1" si="76"/>
        <v>0</v>
      </c>
      <c r="AP21" s="193">
        <f t="shared" ref="AP21" ca="1" si="131">AO21</f>
        <v>0</v>
      </c>
      <c r="AQ21" s="193">
        <f t="shared" ref="AQ21:AQ22" ca="1" si="132">AP21*$Z21</f>
        <v>0</v>
      </c>
      <c r="AR21" s="208">
        <f t="shared" ref="AR21" ca="1" si="133">AQ21/AA$4</f>
        <v>0</v>
      </c>
      <c r="AS21" s="209" t="str">
        <f t="shared" ref="AS21" ca="1" si="134">IF(SUM(AF21,AN21,AR21)&lt;&gt;0,"V","")</f>
        <v/>
      </c>
      <c r="AT21" s="214">
        <v>13411.51</v>
      </c>
      <c r="AU21" s="215"/>
      <c r="AV21" s="215"/>
      <c r="AW21" s="199">
        <f t="shared" ref="AW21" si="135">AT21*$X21</f>
        <v>13411.51</v>
      </c>
      <c r="AX21" s="199">
        <f t="shared" ref="AX21" ca="1" si="136">AW21*$Z21</f>
        <v>7377.0010755000003</v>
      </c>
      <c r="AY21" s="216">
        <f t="shared" ref="AY21" ca="1" si="137">IFERROR(AX21/AT$4,0)</f>
        <v>4.2596269980317829E-3</v>
      </c>
      <c r="AZ21" s="202">
        <f t="shared" ref="AZ21" ca="1" si="138">BA21/$X21</f>
        <v>-13411.510000000002</v>
      </c>
      <c r="BA21" s="203">
        <f t="shared" ref="BA21" ca="1" si="139">BB21/$Z21</f>
        <v>-13411.510000000002</v>
      </c>
      <c r="BB21" s="203">
        <f t="shared" ref="BB21" ca="1" si="140">BC21*AT$4</f>
        <v>-7377.0010755000012</v>
      </c>
      <c r="BC21" s="204">
        <f t="shared" ref="BC21" ca="1" si="141">$N21-AY21</f>
        <v>-4.2596269980317829E-3</v>
      </c>
      <c r="BD21" s="205"/>
      <c r="BE21" s="206" cm="1">
        <f t="array" aca="1" ref="BE21" ca="1">BD21-SUM(IF($W$22:$W$200=$W21,IF($T$22:$T$200="",BE$22:BE$200)))</f>
        <v>0</v>
      </c>
      <c r="BF21" s="206">
        <f t="shared" ref="BF21" ca="1" si="142">BE21*$Z21</f>
        <v>0</v>
      </c>
      <c r="BG21" s="207">
        <f t="shared" ref="BG21" ca="1" si="143">IFERROR(BF21/AT$4,0)</f>
        <v>0</v>
      </c>
      <c r="BH21" s="193">
        <f t="shared" ca="1" si="84"/>
        <v>13411.51</v>
      </c>
      <c r="BI21" s="193">
        <f t="shared" ref="BI21" ca="1" si="144">BH21</f>
        <v>13411.51</v>
      </c>
      <c r="BJ21" s="193">
        <f t="shared" ref="BJ21" ca="1" si="145">BI21*$Z21</f>
        <v>7377.0010755000003</v>
      </c>
      <c r="BK21" s="208">
        <f t="shared" ref="BK21" ca="1" si="146">BJ21/AT$4</f>
        <v>4.2596269980317829E-3</v>
      </c>
      <c r="BL21" s="211" t="str">
        <f t="shared" ref="BL21" ca="1" si="147">IF(SUM(AY21,BG21,BK21)&lt;&gt;0,"V","")</f>
        <v>V</v>
      </c>
      <c r="BM21" s="214"/>
      <c r="BN21" s="215"/>
      <c r="BO21" s="215"/>
      <c r="BP21" s="199">
        <f t="shared" ref="BP21" si="148">BM21*$X21</f>
        <v>0</v>
      </c>
      <c r="BQ21" s="199">
        <f t="shared" ref="BQ21" ca="1" si="149">BP21*$Z21</f>
        <v>0</v>
      </c>
      <c r="BR21" s="216">
        <f t="shared" ref="BR21" ca="1" si="150">IFERROR(BQ21/BM$4,0)</f>
        <v>0</v>
      </c>
      <c r="BS21" s="202">
        <f t="shared" ref="BS21" ca="1" si="151">BT21/$X21</f>
        <v>0</v>
      </c>
      <c r="BT21" s="203">
        <f t="shared" ref="BT21" ca="1" si="152">BU21/$Z21</f>
        <v>0</v>
      </c>
      <c r="BU21" s="203">
        <f t="shared" ref="BU21" ca="1" si="153">BV21*BM$4</f>
        <v>0</v>
      </c>
      <c r="BV21" s="204">
        <f t="shared" ref="BV21" ca="1" si="154">$N21-BR21</f>
        <v>0</v>
      </c>
      <c r="BW21" s="205"/>
      <c r="BX21" s="206" cm="1">
        <f t="array" aca="1" ref="BX21" ca="1">BW21-SUM(IF($W$22:$W$200=$W21,IF($T$22:$T$200="",BX$22:BX$200)))</f>
        <v>0</v>
      </c>
      <c r="BY21" s="206">
        <f t="shared" ref="BY21" ca="1" si="155">BX21*$Z21</f>
        <v>0</v>
      </c>
      <c r="BZ21" s="207">
        <f t="shared" ref="BZ21" ca="1" si="156">IFERROR(BY21/BM$4,0)</f>
        <v>0</v>
      </c>
      <c r="CA21" s="193">
        <f t="shared" ca="1" si="91"/>
        <v>0</v>
      </c>
      <c r="CB21" s="193">
        <f t="shared" ref="CB21" ca="1" si="157">CA21</f>
        <v>0</v>
      </c>
      <c r="CC21" s="193">
        <f t="shared" ref="CC21:CC27" ca="1" si="158">CB21*$Z21</f>
        <v>0</v>
      </c>
      <c r="CD21" s="208">
        <f t="shared" ref="CD21" ca="1" si="159">CC21/BM$4</f>
        <v>0</v>
      </c>
      <c r="CE21" s="212" t="str">
        <f t="shared" ref="CE21" ca="1" si="160">IF(SUM(BR21,BZ21,CD21)&lt;&gt;0,"V","")</f>
        <v/>
      </c>
      <c r="CF21" s="214"/>
      <c r="CG21" s="215"/>
      <c r="CH21" s="215"/>
      <c r="CI21" s="199">
        <f t="shared" ref="CI21" si="161">CF21*$X21</f>
        <v>0</v>
      </c>
      <c r="CJ21" s="200">
        <f t="shared" ref="CJ21" ca="1" si="162">CI21*$Z21</f>
        <v>0</v>
      </c>
      <c r="CK21" s="216">
        <f t="shared" ref="CK21" ca="1" si="163">IFERROR(CJ21/CF$4,0)</f>
        <v>0</v>
      </c>
      <c r="CL21" s="202">
        <f t="shared" ref="CL21" ca="1" si="164">CM21/$X21</f>
        <v>0</v>
      </c>
      <c r="CM21" s="203">
        <f t="shared" ref="CM21" ca="1" si="165">CN21/$Z21</f>
        <v>0</v>
      </c>
      <c r="CN21" s="203">
        <f t="shared" ref="CN21" ca="1" si="166">CO21*CF$4</f>
        <v>0</v>
      </c>
      <c r="CO21" s="204">
        <f t="shared" ref="CO21" ca="1" si="167">$N21-CK21</f>
        <v>0</v>
      </c>
      <c r="CP21" s="205"/>
      <c r="CQ21" s="206" cm="1">
        <f t="array" aca="1" ref="CQ21" ca="1">CP21-SUM(IF($W$22:$W$200=$W21,IF($T$22:$T$200="",CQ$22:CQ$200)))</f>
        <v>0</v>
      </c>
      <c r="CR21" s="206">
        <f t="shared" ref="CR21" ca="1" si="168">CQ21*$Z21</f>
        <v>0</v>
      </c>
      <c r="CS21" s="207">
        <f t="shared" ref="CS21" ca="1" si="169">IFERROR(CR21/CF$4,0)</f>
        <v>0</v>
      </c>
      <c r="CT21" s="193">
        <f t="shared" ca="1" si="95"/>
        <v>0</v>
      </c>
      <c r="CU21" s="193">
        <f t="shared" ref="CU21" ca="1" si="170">CT21</f>
        <v>0</v>
      </c>
      <c r="CV21" s="193">
        <f t="shared" ref="CV21:CV27" ca="1" si="171">CU21*$Z21</f>
        <v>0</v>
      </c>
      <c r="CW21" s="208">
        <f t="shared" ref="CW21" ca="1" si="172">CV21/CF$4</f>
        <v>0</v>
      </c>
      <c r="CX21" s="211" t="str">
        <f t="shared" ref="CX21" ca="1" si="173">IF(SUM(CK21,CS21,CW21)&lt;&gt;0,"V","")</f>
        <v/>
      </c>
      <c r="CY21" s="197"/>
      <c r="CZ21" s="215"/>
      <c r="DA21" s="199"/>
      <c r="DB21" s="199">
        <f t="shared" ref="DB21" si="174">CY21*$X21</f>
        <v>0</v>
      </c>
      <c r="DC21" s="199">
        <f t="shared" ref="DC21" ca="1" si="175">DB21*$Z21</f>
        <v>0</v>
      </c>
      <c r="DD21" s="216">
        <f t="shared" ref="DD21" ca="1" si="176">IFERROR(DC21/CY$4,0)</f>
        <v>0</v>
      </c>
      <c r="DE21" s="202">
        <f t="shared" ref="DE21" ca="1" si="177">DF21/$X21</f>
        <v>0</v>
      </c>
      <c r="DF21" s="203">
        <f t="shared" ref="DF21" ca="1" si="178">DG21/$Z21</f>
        <v>0</v>
      </c>
      <c r="DG21" s="203">
        <f t="shared" ref="DG21" ca="1" si="179">DH21*CY$4</f>
        <v>0</v>
      </c>
      <c r="DH21" s="204">
        <f t="shared" ref="DH21" ca="1" si="180">$N21-DD21</f>
        <v>0</v>
      </c>
      <c r="DI21" s="205"/>
      <c r="DJ21" s="206" cm="1">
        <f t="array" aca="1" ref="DJ21" ca="1">DI21-SUM(IF($W$22:$W$200=$W21,IF($T$22:$T$200="",DJ$22:DJ$200)))</f>
        <v>0</v>
      </c>
      <c r="DK21" s="206">
        <f t="shared" ref="DK21" ca="1" si="181">DJ21*$Z21</f>
        <v>0</v>
      </c>
      <c r="DL21" s="207">
        <f t="shared" ref="DL21" ca="1" si="182">IFERROR(DK21/CY$4,0)</f>
        <v>0</v>
      </c>
      <c r="DM21" s="193">
        <f t="shared" ca="1" si="99"/>
        <v>0</v>
      </c>
      <c r="DN21" s="193">
        <f t="shared" ref="DN21" ca="1" si="183">DM21</f>
        <v>0</v>
      </c>
      <c r="DO21" s="193">
        <f t="shared" ref="DO21:DO27" ca="1" si="184">DN21*$Z21</f>
        <v>0</v>
      </c>
      <c r="DP21" s="208">
        <f t="shared" ref="DP21" ca="1" si="185">DO21/CY$4</f>
        <v>0</v>
      </c>
      <c r="DQ21" s="209" t="str">
        <f t="shared" ref="DQ21" ca="1" si="186">IF(SUM(DD21,DL21,DP21)&lt;&gt;0,"V","")</f>
        <v/>
      </c>
      <c r="DR21" s="197"/>
      <c r="DS21" s="215"/>
      <c r="DT21" s="199"/>
      <c r="DU21" s="199">
        <f t="shared" ref="DU21:DU27" si="187">DR21*$X21</f>
        <v>0</v>
      </c>
      <c r="DV21" s="199">
        <f t="shared" ref="DV21:DV27" ca="1" si="188">DU21*$Z21</f>
        <v>0</v>
      </c>
      <c r="DW21" s="216">
        <f t="shared" ref="DW21:DW27" ca="1" si="189">IFERROR(DV21/DR$4,0)</f>
        <v>0</v>
      </c>
      <c r="DX21" s="202">
        <f t="shared" ref="DX21:DX27" ca="1" si="190">DY21/$X21</f>
        <v>0</v>
      </c>
      <c r="DY21" s="203">
        <f t="shared" ref="DY21:DY27" ca="1" si="191">DZ21/$Z21</f>
        <v>0</v>
      </c>
      <c r="DZ21" s="203">
        <f t="shared" ref="DZ21:DZ27" ca="1" si="192">EA21*DR$4</f>
        <v>0</v>
      </c>
      <c r="EA21" s="204">
        <f t="shared" ref="EA21:EA27" ca="1" si="193">$N21-DW21</f>
        <v>0</v>
      </c>
      <c r="EB21" s="205"/>
      <c r="EC21" s="206" cm="1">
        <f t="array" aca="1" ref="EC21" ca="1">EB21-SUM(IF($W$22:$W$200=$W21,IF($T$22:$T$200="",EC$22:EC$200)))</f>
        <v>0</v>
      </c>
      <c r="ED21" s="206">
        <f t="shared" ref="ED21:ED27" ca="1" si="194">EC21*$Z21</f>
        <v>0</v>
      </c>
      <c r="EE21" s="207">
        <f t="shared" ref="EE21" ca="1" si="195">IFERROR(ED21/DR$4,0)</f>
        <v>0</v>
      </c>
      <c r="EF21" s="193">
        <f t="shared" ca="1" si="104"/>
        <v>0</v>
      </c>
      <c r="EG21" s="193">
        <f t="shared" ca="1" si="105"/>
        <v>0</v>
      </c>
      <c r="EH21" s="193">
        <f t="shared" ref="EH21:EH27" ca="1" si="196">EG21*$Z21</f>
        <v>0</v>
      </c>
      <c r="EI21" s="208">
        <f t="shared" ref="EI21" ca="1" si="197">EH21/DR$4</f>
        <v>0</v>
      </c>
      <c r="EJ21" s="214"/>
      <c r="EK21" s="215"/>
      <c r="EL21" s="222"/>
      <c r="EM21" s="199">
        <f t="shared" ref="EM21" si="198">EJ21*$X21</f>
        <v>0</v>
      </c>
      <c r="EN21" s="199">
        <f t="shared" ref="EN21" ca="1" si="199">EM21*$Z21</f>
        <v>0</v>
      </c>
      <c r="EO21" s="216">
        <f t="shared" ref="EO21" ca="1" si="200">IFERROR(EN21/EJ$4,0)</f>
        <v>0</v>
      </c>
      <c r="EP21" s="202">
        <f t="shared" ref="EP21" ca="1" si="201">EQ21/$X21</f>
        <v>0</v>
      </c>
      <c r="EQ21" s="203">
        <f t="shared" ref="EQ21" ca="1" si="202">ER21/$Z21</f>
        <v>0</v>
      </c>
      <c r="ER21" s="203">
        <f t="shared" ref="ER21" ca="1" si="203">ES21*EJ$4</f>
        <v>0</v>
      </c>
      <c r="ES21" s="204">
        <f t="shared" ref="ES21" ca="1" si="204">$N21-EO21</f>
        <v>0</v>
      </c>
      <c r="ET21" s="205"/>
      <c r="EU21" s="206" cm="1">
        <f t="array" aca="1" ref="EU21" ca="1">ET21-SUM(IF($W$22:$W$200=$W21,IF($T$22:$T$200="",EU$22:EU$200)))</f>
        <v>0</v>
      </c>
      <c r="EV21" s="206">
        <f t="shared" ref="EV21" ca="1" si="205">EU21*$Z21</f>
        <v>0</v>
      </c>
      <c r="EW21" s="207">
        <f t="shared" ref="EW21" ca="1" si="206">IFERROR(EV21/EJ$4,0)</f>
        <v>0</v>
      </c>
      <c r="EX21" s="193">
        <f t="shared" ca="1" si="111"/>
        <v>0</v>
      </c>
      <c r="EY21" s="193">
        <f t="shared" ref="EY21" ca="1" si="207">EX21</f>
        <v>0</v>
      </c>
      <c r="EZ21" s="193">
        <f t="shared" ref="EZ21:EZ27" ca="1" si="208">EY21*$Z21</f>
        <v>0</v>
      </c>
      <c r="FA21" s="208">
        <f t="shared" ref="FA21" ca="1" si="209">EZ21/EJ$4</f>
        <v>0</v>
      </c>
      <c r="FB21" s="212" t="str">
        <f t="shared" ref="FB21" ca="1" si="210">IF(SUM(EO21,EW21,FA21)&lt;&gt;0,"V","")</f>
        <v/>
      </c>
      <c r="FC21" s="218"/>
      <c r="FD21" s="215"/>
      <c r="FE21" s="215"/>
      <c r="FF21" s="199">
        <f t="shared" ref="FF21" si="211">FC21*$X21</f>
        <v>0</v>
      </c>
      <c r="FG21" s="199">
        <f t="shared" ref="FG21" ca="1" si="212">FF21*$Z21</f>
        <v>0</v>
      </c>
      <c r="FH21" s="216">
        <f t="shared" ref="FH21" ca="1" si="213">IFERROR(FG21/FC$4,0)</f>
        <v>0</v>
      </c>
      <c r="FI21" s="202">
        <f t="shared" ref="FI21" ca="1" si="214">FJ21/$X21</f>
        <v>0</v>
      </c>
      <c r="FJ21" s="203">
        <f t="shared" ref="FJ21" ca="1" si="215">FK21/$Z21</f>
        <v>0</v>
      </c>
      <c r="FK21" s="203">
        <f t="shared" ref="FK21" ca="1" si="216">FL21*FC$4</f>
        <v>0</v>
      </c>
      <c r="FL21" s="204">
        <f t="shared" ref="FL21" ca="1" si="217">$N21-FH21</f>
        <v>0</v>
      </c>
      <c r="FM21" s="205"/>
      <c r="FN21" s="206" cm="1">
        <f t="array" aca="1" ref="FN21" ca="1">FM21-SUM(IF($W$22:$W$200=$W21,IF($T$22:$T$200="",FN$22:FN$200)))</f>
        <v>0</v>
      </c>
      <c r="FO21" s="206">
        <f t="shared" ref="FO21" ca="1" si="218">FN21*$Z21</f>
        <v>0</v>
      </c>
      <c r="FP21" s="207">
        <f t="shared" ref="FP21" ca="1" si="219">IFERROR(FO21/FC$4,0)</f>
        <v>0</v>
      </c>
      <c r="FQ21" s="193">
        <f t="shared" ca="1" si="118"/>
        <v>0</v>
      </c>
      <c r="FR21" s="193">
        <f t="shared" ref="FR21" ca="1" si="220">FQ21</f>
        <v>0</v>
      </c>
      <c r="FS21" s="193">
        <f t="shared" ref="FS21:FS27" ca="1" si="221">FR21*$Z21</f>
        <v>0</v>
      </c>
      <c r="FT21" s="208">
        <f t="shared" ref="FT21" ca="1" si="222">FS21/FC$4</f>
        <v>0</v>
      </c>
      <c r="FU21" s="209" t="str">
        <f t="shared" ref="FU21" ca="1" si="223">IF(SUM(FH21,FP21,FT21)&lt;&gt;0,"V","")</f>
        <v/>
      </c>
    </row>
    <row r="22" spans="1:177" ht="15.75" customHeight="1" outlineLevel="2" x14ac:dyDescent="0.2">
      <c r="A22" s="223"/>
      <c r="B22" s="223"/>
      <c r="C22" s="224"/>
      <c r="D22" s="225"/>
      <c r="E22" s="225"/>
      <c r="F22" s="224" t="str">
        <f t="shared" ref="F22" ca="1" si="224">"CD 06.05.25 - "&amp; TEXT(TODAY(),"gg.mm.aa")</f>
        <v>CD 06.05.25 - 03.03.26</v>
      </c>
      <c r="G22" s="226"/>
      <c r="H22" s="1677"/>
      <c r="I22" s="1677"/>
      <c r="J22" s="1677"/>
      <c r="K22" s="1705"/>
      <c r="L22" s="1705"/>
      <c r="M22" s="223"/>
      <c r="N22" s="227"/>
      <c r="O22" s="227"/>
      <c r="P22" s="228">
        <f t="shared" ca="1" si="1"/>
        <v>0</v>
      </c>
      <c r="Q22" s="229">
        <f t="array" aca="1" ref="Q22" ca="1">SUM(IF($AA$15:$FT$15="I_pos",AA22:FT22))</f>
        <v>0</v>
      </c>
      <c r="R22" s="229"/>
      <c r="S22" s="224"/>
      <c r="T22" s="229"/>
      <c r="U22" s="230"/>
      <c r="V22" s="229"/>
      <c r="W22" s="224" t="s">
        <v>369</v>
      </c>
      <c r="X22" s="231">
        <f ca="1">IFERROR(1+ ((MIN(TODAY(),MID(F22,FIND("-",F22)+2,8))-MID(F22,FIND(" ",F22)+1,8))/360*Y22),"")</f>
        <v>1</v>
      </c>
      <c r="Y22" s="231">
        <v>0</v>
      </c>
      <c r="Z22" s="232">
        <f t="shared" ca="1" si="24"/>
        <v>1.0000001300000001</v>
      </c>
      <c r="AA22" s="233"/>
      <c r="AB22" s="234"/>
      <c r="AC22" s="234"/>
      <c r="AD22" s="235">
        <f t="shared" ref="AD22:AD27" ca="1" si="225">AA22*$X22</f>
        <v>0</v>
      </c>
      <c r="AE22" s="235">
        <f t="shared" ref="AE22:AE27" ca="1" si="226">AD22*$Z22</f>
        <v>0</v>
      </c>
      <c r="AF22" s="236">
        <f t="shared" ref="AF22:AF27" ca="1" si="227">IFERROR(AE22/AA$4,0)</f>
        <v>0</v>
      </c>
      <c r="AG22" s="237">
        <f t="shared" ref="AG22:AG27" ca="1" si="228">AH22/$X22</f>
        <v>0</v>
      </c>
      <c r="AH22" s="238">
        <f t="shared" ref="AH22:AH27" ca="1" si="229">AI22/$Z22</f>
        <v>0</v>
      </c>
      <c r="AI22" s="238">
        <f t="shared" ref="AI22:AI27" ca="1" si="230">AJ22*AA$4</f>
        <v>0</v>
      </c>
      <c r="AJ22" s="239">
        <f t="shared" ref="AJ22:AJ27" ca="1" si="231">$N22-AF22</f>
        <v>0</v>
      </c>
      <c r="AK22" s="240"/>
      <c r="AL22" s="241">
        <f t="shared" ref="AL22" ca="1" si="232">AK22*$X22</f>
        <v>0</v>
      </c>
      <c r="AM22" s="241">
        <f t="shared" ref="AM22" ca="1" si="233">AL22*$Z22</f>
        <v>0</v>
      </c>
      <c r="AN22" s="242">
        <f ca="1">IFERROR(AM22/AA$4,0)</f>
        <v>0</v>
      </c>
      <c r="AO22" s="229">
        <f>AA22+AK22</f>
        <v>0</v>
      </c>
      <c r="AP22" s="229">
        <f t="shared" ref="AP22" ca="1" si="234">AD22+AL22</f>
        <v>0</v>
      </c>
      <c r="AQ22" s="229">
        <f t="shared" ca="1" si="132"/>
        <v>0</v>
      </c>
      <c r="AR22" s="243">
        <f ca="1">IFERROR(AQ22/AA$4,0)</f>
        <v>0</v>
      </c>
      <c r="AS22" s="244" t="str">
        <f t="shared" ref="AS22:AS27" ca="1" si="235">IF(SUM(AF22,AN22,AR22)&lt;&gt;0,"V","")</f>
        <v/>
      </c>
      <c r="AT22" s="233"/>
      <c r="AU22" s="234"/>
      <c r="AV22" s="234"/>
      <c r="AW22" s="235">
        <f t="shared" ref="AW22:AW27" ca="1" si="236">AT22*$X22</f>
        <v>0</v>
      </c>
      <c r="AX22" s="235">
        <f t="shared" ref="AX22:AX27" ca="1" si="237">AW22*$Z22</f>
        <v>0</v>
      </c>
      <c r="AY22" s="236">
        <f t="shared" ref="AY22:AY27" ca="1" si="238">IFERROR(AX22/AT$4,0)</f>
        <v>0</v>
      </c>
      <c r="AZ22" s="237">
        <f t="shared" ref="AZ22:AZ27" ca="1" si="239">BA22/$X22</f>
        <v>0</v>
      </c>
      <c r="BA22" s="238">
        <f t="shared" ref="BA22:BA27" ca="1" si="240">BB22/$Z22</f>
        <v>0</v>
      </c>
      <c r="BB22" s="238">
        <f t="shared" ref="BB22:BB27" ca="1" si="241">BC22*AT$4</f>
        <v>0</v>
      </c>
      <c r="BC22" s="239">
        <f t="shared" ref="BC22:BC27" ca="1" si="242">$N22-AY22</f>
        <v>0</v>
      </c>
      <c r="BD22" s="240"/>
      <c r="BE22" s="241">
        <f t="shared" ref="BE22:BE27" ca="1" si="243">BD22*$X22</f>
        <v>0</v>
      </c>
      <c r="BF22" s="241">
        <f t="shared" ref="BF22:BF27" ca="1" si="244">BE22*$Z22</f>
        <v>0</v>
      </c>
      <c r="BG22" s="242">
        <f ca="1">IFERROR(BF22/AT$4,0)</f>
        <v>0</v>
      </c>
      <c r="BH22" s="229">
        <f>AT22+BD22</f>
        <v>0</v>
      </c>
      <c r="BI22" s="229">
        <f t="shared" ref="BI22:BI27" ca="1" si="245">AW22+BE22</f>
        <v>0</v>
      </c>
      <c r="BJ22" s="229">
        <f t="shared" ref="BJ22:BJ27" ca="1" si="246">BI22*$Z22</f>
        <v>0</v>
      </c>
      <c r="BK22" s="243">
        <f ca="1">IFERROR(BJ22/AT$4,0)</f>
        <v>0</v>
      </c>
      <c r="BL22" s="245" t="str">
        <f t="shared" ref="BL22:BL27" ca="1" si="247">IF(SUM(AY22,BG22,BK22)&lt;&gt;0,"V","")</f>
        <v/>
      </c>
      <c r="BM22" s="233"/>
      <c r="BN22" s="234"/>
      <c r="BO22" s="234"/>
      <c r="BP22" s="235">
        <f t="shared" ref="BP22:BP27" ca="1" si="248">BM22*$X22</f>
        <v>0</v>
      </c>
      <c r="BQ22" s="235">
        <f t="shared" ref="BQ22:BQ27" ca="1" si="249">BP22*$Z22</f>
        <v>0</v>
      </c>
      <c r="BR22" s="236">
        <f t="shared" ref="BR22:BR27" ca="1" si="250">IFERROR(BQ22/BM$4,0)</f>
        <v>0</v>
      </c>
      <c r="BS22" s="237">
        <f t="shared" ref="BS22:BS27" ca="1" si="251">BT22/$X22</f>
        <v>0</v>
      </c>
      <c r="BT22" s="238">
        <f t="shared" ref="BT22:BT27" ca="1" si="252">BU22/$Z22</f>
        <v>0</v>
      </c>
      <c r="BU22" s="238">
        <f t="shared" ref="BU22:BU27" ca="1" si="253">BV22*BM$4</f>
        <v>0</v>
      </c>
      <c r="BV22" s="239">
        <f t="shared" ref="BV22:BV27" ca="1" si="254">$N22-BR22</f>
        <v>0</v>
      </c>
      <c r="BW22" s="240"/>
      <c r="BX22" s="241">
        <f t="shared" ref="BX22:BX27" ca="1" si="255">BW22*$X22</f>
        <v>0</v>
      </c>
      <c r="BY22" s="241">
        <f t="shared" ref="BY22:BY27" ca="1" si="256">BX22*$Z22</f>
        <v>0</v>
      </c>
      <c r="BZ22" s="242">
        <f ca="1">IFERROR(BY22/BM$4,0)</f>
        <v>0</v>
      </c>
      <c r="CA22" s="229">
        <f>BM22+BW22</f>
        <v>0</v>
      </c>
      <c r="CB22" s="229">
        <f t="shared" ref="CB22:CB27" ca="1" si="257">BP22+BX22</f>
        <v>0</v>
      </c>
      <c r="CC22" s="229">
        <f t="shared" ca="1" si="158"/>
        <v>0</v>
      </c>
      <c r="CD22" s="243">
        <f ca="1">IFERROR(CC22/BM$4,0)</f>
        <v>0</v>
      </c>
      <c r="CE22" s="246" t="str">
        <f t="shared" ref="CE22:CE27" ca="1" si="258">IF(SUM(BR22,BZ22,CD22)&lt;&gt;0,"V","")</f>
        <v/>
      </c>
      <c r="CF22" s="233"/>
      <c r="CG22" s="234"/>
      <c r="CH22" s="234"/>
      <c r="CI22" s="235">
        <f t="shared" ref="CI22:CI27" ca="1" si="259">CF22*$X22</f>
        <v>0</v>
      </c>
      <c r="CJ22" s="247">
        <f t="shared" ref="CJ22:CJ27" ca="1" si="260">CI22*$Z22</f>
        <v>0</v>
      </c>
      <c r="CK22" s="236">
        <f t="shared" ref="CK22:CK27" ca="1" si="261">IFERROR(CJ22/CF$4,0)</f>
        <v>0</v>
      </c>
      <c r="CL22" s="237">
        <f t="shared" ref="CL22:CL27" ca="1" si="262">CM22/$X22</f>
        <v>0</v>
      </c>
      <c r="CM22" s="238">
        <f t="shared" ref="CM22:CM27" ca="1" si="263">CN22/$Z22</f>
        <v>0</v>
      </c>
      <c r="CN22" s="238">
        <f t="shared" ref="CN22:CN27" ca="1" si="264">CO22*CF$4</f>
        <v>0</v>
      </c>
      <c r="CO22" s="239">
        <f t="shared" ref="CO22:CO27" ca="1" si="265">$N22-CK22</f>
        <v>0</v>
      </c>
      <c r="CP22" s="240"/>
      <c r="CQ22" s="241">
        <f t="shared" ref="CQ22:CQ27" ca="1" si="266">CP22*$X22</f>
        <v>0</v>
      </c>
      <c r="CR22" s="241">
        <f t="shared" ref="CR22:CR27" ca="1" si="267">CQ22*$Z22</f>
        <v>0</v>
      </c>
      <c r="CS22" s="242">
        <f ca="1">IFERROR(CR22/CF$4,0)</f>
        <v>0</v>
      </c>
      <c r="CT22" s="229">
        <f>CF22+CP22</f>
        <v>0</v>
      </c>
      <c r="CU22" s="229">
        <f t="shared" ref="CU22:CU27" ca="1" si="268">CI22+CQ22</f>
        <v>0</v>
      </c>
      <c r="CV22" s="229">
        <f t="shared" ca="1" si="171"/>
        <v>0</v>
      </c>
      <c r="CW22" s="243">
        <f ca="1">IFERROR(CV22/CF$4,0)</f>
        <v>0</v>
      </c>
      <c r="CX22" s="245" t="str">
        <f t="shared" ref="CX22:CX27" ca="1" si="269">IF(SUM(CK22,CS22,CW22)&lt;&gt;0,"V","")</f>
        <v/>
      </c>
      <c r="CY22" s="248"/>
      <c r="CZ22" s="234"/>
      <c r="DA22" s="235"/>
      <c r="DB22" s="235">
        <f t="shared" ref="DB22:DB27" ca="1" si="270">CY22*$X22</f>
        <v>0</v>
      </c>
      <c r="DC22" s="235">
        <f t="shared" ref="DC22:DC27" ca="1" si="271">DB22*$Z22</f>
        <v>0</v>
      </c>
      <c r="DD22" s="236">
        <f t="shared" ref="DD22:DD27" ca="1" si="272">IFERROR(DC22/CY$4,0)</f>
        <v>0</v>
      </c>
      <c r="DE22" s="237">
        <f t="shared" ref="DE22:DE27" ca="1" si="273">DF22/$X22</f>
        <v>0</v>
      </c>
      <c r="DF22" s="238">
        <f t="shared" ref="DF22:DF27" ca="1" si="274">DG22/$Z22</f>
        <v>0</v>
      </c>
      <c r="DG22" s="238">
        <f t="shared" ref="DG22:DG27" ca="1" si="275">DH22*CY$4</f>
        <v>0</v>
      </c>
      <c r="DH22" s="239">
        <f t="shared" ref="DH22:DH27" ca="1" si="276">$N22-DD22</f>
        <v>0</v>
      </c>
      <c r="DI22" s="240"/>
      <c r="DJ22" s="241">
        <f t="shared" ref="DJ22:DJ27" ca="1" si="277">DI22*$X22</f>
        <v>0</v>
      </c>
      <c r="DK22" s="241">
        <f t="shared" ref="DK22:DK27" ca="1" si="278">DJ22*$Z22</f>
        <v>0</v>
      </c>
      <c r="DL22" s="242">
        <f ca="1">IFERROR(DK22/CY$4,0)</f>
        <v>0</v>
      </c>
      <c r="DM22" s="229">
        <f>CY22+DI22</f>
        <v>0</v>
      </c>
      <c r="DN22" s="229">
        <f t="shared" ref="DN22:DN27" ca="1" si="279">DB22+DJ22</f>
        <v>0</v>
      </c>
      <c r="DO22" s="229">
        <f t="shared" ca="1" si="184"/>
        <v>0</v>
      </c>
      <c r="DP22" s="243">
        <f ca="1">IFERROR(DO22/CY$4,0)</f>
        <v>0</v>
      </c>
      <c r="DQ22" s="244" t="str">
        <f t="shared" ref="DQ22:DQ27" ca="1" si="280">IF(SUM(DD22,DL22,DP22)&lt;&gt;0,"V","")</f>
        <v/>
      </c>
      <c r="DR22" s="248"/>
      <c r="DS22" s="234"/>
      <c r="DT22" s="235"/>
      <c r="DU22" s="235">
        <f t="shared" ca="1" si="187"/>
        <v>0</v>
      </c>
      <c r="DV22" s="235">
        <f t="shared" ca="1" si="188"/>
        <v>0</v>
      </c>
      <c r="DW22" s="236">
        <f t="shared" ca="1" si="189"/>
        <v>0</v>
      </c>
      <c r="DX22" s="237">
        <f t="shared" ca="1" si="190"/>
        <v>0</v>
      </c>
      <c r="DY22" s="238">
        <f t="shared" ca="1" si="191"/>
        <v>0</v>
      </c>
      <c r="DZ22" s="238">
        <f t="shared" ca="1" si="192"/>
        <v>0</v>
      </c>
      <c r="EA22" s="239">
        <f t="shared" ca="1" si="193"/>
        <v>0</v>
      </c>
      <c r="EB22" s="240"/>
      <c r="EC22" s="241">
        <f t="shared" ref="EC22:EC23" ca="1" si="281">EB22*$X22</f>
        <v>0</v>
      </c>
      <c r="ED22" s="241">
        <f t="shared" ca="1" si="194"/>
        <v>0</v>
      </c>
      <c r="EE22" s="242">
        <f ca="1">IFERROR(ED22/DR$4,0)</f>
        <v>0</v>
      </c>
      <c r="EF22" s="229">
        <f>DR22+EB22</f>
        <v>0</v>
      </c>
      <c r="EG22" s="229">
        <f t="shared" ref="EG22:EG27" ca="1" si="282">DU22+EC22</f>
        <v>0</v>
      </c>
      <c r="EH22" s="229">
        <f t="shared" ca="1" si="196"/>
        <v>0</v>
      </c>
      <c r="EI22" s="243">
        <f ca="1">IFERROR(EH22/DR$4,0)</f>
        <v>0</v>
      </c>
      <c r="EJ22" s="233"/>
      <c r="EK22" s="234"/>
      <c r="EL22" s="249"/>
      <c r="EM22" s="235">
        <f t="shared" ref="EM22:EM27" ca="1" si="283">EJ22*$X22</f>
        <v>0</v>
      </c>
      <c r="EN22" s="235">
        <f t="shared" ref="EN22:EN27" ca="1" si="284">EM22*$Z22</f>
        <v>0</v>
      </c>
      <c r="EO22" s="236">
        <f t="shared" ref="EO22:EO27" ca="1" si="285">IFERROR(EN22/EJ$4,0)</f>
        <v>0</v>
      </c>
      <c r="EP22" s="237">
        <f t="shared" ref="EP22:EP27" ca="1" si="286">EQ22/$X22</f>
        <v>0</v>
      </c>
      <c r="EQ22" s="238">
        <f t="shared" ref="EQ22:EQ27" ca="1" si="287">ER22/$Z22</f>
        <v>0</v>
      </c>
      <c r="ER22" s="238">
        <f t="shared" ref="ER22:ER27" ca="1" si="288">ES22*EJ$4</f>
        <v>0</v>
      </c>
      <c r="ES22" s="239">
        <f t="shared" ref="ES22:ES27" ca="1" si="289">$N22-EO22</f>
        <v>0</v>
      </c>
      <c r="ET22" s="240"/>
      <c r="EU22" s="241">
        <f t="shared" ref="EU22:EU27" ca="1" si="290">ET22*$X22</f>
        <v>0</v>
      </c>
      <c r="EV22" s="241">
        <f t="shared" ref="EV22:EV27" ca="1" si="291">EU22*$Z22</f>
        <v>0</v>
      </c>
      <c r="EW22" s="242">
        <f ca="1">IFERROR(EV22/EJ$4,0)</f>
        <v>0</v>
      </c>
      <c r="EX22" s="229">
        <f>EJ22+ET22</f>
        <v>0</v>
      </c>
      <c r="EY22" s="229">
        <f t="shared" ref="EY22:EY27" ca="1" si="292">EM22+EU22</f>
        <v>0</v>
      </c>
      <c r="EZ22" s="229">
        <f t="shared" ca="1" si="208"/>
        <v>0</v>
      </c>
      <c r="FA22" s="243">
        <f ca="1">IFERROR(EZ22/EJ$4,0)</f>
        <v>0</v>
      </c>
      <c r="FB22" s="246" t="str">
        <f t="shared" ref="FB22:FB27" ca="1" si="293">IF(SUM(EO22,EW22,FA22)&lt;&gt;0,"V","")</f>
        <v/>
      </c>
      <c r="FC22" s="250"/>
      <c r="FD22" s="234"/>
      <c r="FE22" s="234"/>
      <c r="FF22" s="235">
        <f t="shared" ref="FF22:FF27" ca="1" si="294">FC22*$X22</f>
        <v>0</v>
      </c>
      <c r="FG22" s="235">
        <f t="shared" ref="FG22:FG27" ca="1" si="295">FF22*$Z22</f>
        <v>0</v>
      </c>
      <c r="FH22" s="236">
        <f t="shared" ref="FH22:FH27" ca="1" si="296">IFERROR(FG22/FC$4,0)</f>
        <v>0</v>
      </c>
      <c r="FI22" s="237">
        <f t="shared" ref="FI22:FI27" ca="1" si="297">FJ22/$X22</f>
        <v>0</v>
      </c>
      <c r="FJ22" s="238">
        <f t="shared" ref="FJ22:FJ27" ca="1" si="298">FK22/$Z22</f>
        <v>0</v>
      </c>
      <c r="FK22" s="238">
        <f t="shared" ref="FK22:FK27" ca="1" si="299">FL22*FC$4</f>
        <v>0</v>
      </c>
      <c r="FL22" s="239">
        <f t="shared" ref="FL22:FL27" ca="1" si="300">$N22-FH22</f>
        <v>0</v>
      </c>
      <c r="FM22" s="240"/>
      <c r="FN22" s="241">
        <f t="shared" ref="FN22:FN27" ca="1" si="301">FM22*$X22</f>
        <v>0</v>
      </c>
      <c r="FO22" s="241">
        <f t="shared" ref="FO22:FO27" ca="1" si="302">FN22*$Z22</f>
        <v>0</v>
      </c>
      <c r="FP22" s="242">
        <f ca="1">IFERROR(FO22/FC$4,0)</f>
        <v>0</v>
      </c>
      <c r="FQ22" s="229">
        <f>FC22+FM22</f>
        <v>0</v>
      </c>
      <c r="FR22" s="229">
        <f t="shared" ref="FR22:FR27" ca="1" si="303">FF22+FN22</f>
        <v>0</v>
      </c>
      <c r="FS22" s="229">
        <f t="shared" ca="1" si="221"/>
        <v>0</v>
      </c>
      <c r="FT22" s="243">
        <f ca="1">IFERROR(FS22/FC$4,0)</f>
        <v>0</v>
      </c>
      <c r="FU22" s="209" t="str">
        <f t="shared" ref="FU22:FU27" ca="1" si="304">IF(SUM(FH22,FP22,FT22)&lt;&gt;0,"V","")</f>
        <v/>
      </c>
    </row>
    <row r="23" spans="1:177" ht="15.75" customHeight="1" outlineLevel="2" x14ac:dyDescent="0.2">
      <c r="A23" s="187"/>
      <c r="B23" s="187"/>
      <c r="C23" s="188"/>
      <c r="D23" s="189"/>
      <c r="E23" s="189"/>
      <c r="F23" s="188" t="str">
        <f ca="1">"CD 28.07.25 - "&amp; TEXT(TODAY(),"gg.mm.aa")</f>
        <v>CD 28.07.25 - 03.03.26</v>
      </c>
      <c r="G23" s="190"/>
      <c r="H23" s="1676"/>
      <c r="I23" s="1676"/>
      <c r="J23" s="1676"/>
      <c r="K23" s="1704"/>
      <c r="L23" s="1704"/>
      <c r="M23" s="187"/>
      <c r="N23" s="191"/>
      <c r="O23" s="191"/>
      <c r="P23" s="192">
        <f t="shared" ca="1" si="1"/>
        <v>0</v>
      </c>
      <c r="Q23" s="193">
        <f t="array" aca="1" ref="Q23" ca="1">SUM(IF($AA$15:$FT$15="I_pos",AA23:FT23))</f>
        <v>0</v>
      </c>
      <c r="R23" s="193"/>
      <c r="S23" s="188"/>
      <c r="T23" s="193"/>
      <c r="U23" s="194"/>
      <c r="V23" s="193"/>
      <c r="W23" s="188" t="s">
        <v>381</v>
      </c>
      <c r="X23" s="251">
        <f ca="1">IFERROR(1+ ((MIN(TODAY(),MID(F23,FIND("-",F23)+2,8))-MID(F23,FIND(" ",F23)+1,8))/360*Y23),"")</f>
        <v>1.0075694444444445</v>
      </c>
      <c r="Y23" s="251">
        <v>1.2500000000000001E-2</v>
      </c>
      <c r="Z23" s="196">
        <f t="shared" ca="1" si="24"/>
        <v>0.90754999999999997</v>
      </c>
      <c r="AA23" s="214"/>
      <c r="AB23" s="215"/>
      <c r="AC23" s="215"/>
      <c r="AD23" s="199">
        <f t="shared" ref="AD23:AD24" ca="1" si="305">AA23*$X23</f>
        <v>0</v>
      </c>
      <c r="AE23" s="199">
        <f t="shared" ref="AE23:AE24" ca="1" si="306">AD23*$Z23</f>
        <v>0</v>
      </c>
      <c r="AF23" s="216">
        <f t="shared" ref="AF23:AF24" ca="1" si="307">IFERROR(AE23/AA$4,0)</f>
        <v>0</v>
      </c>
      <c r="AG23" s="202">
        <f t="shared" ref="AG23:AG24" ca="1" si="308">AH23/$X23</f>
        <v>0</v>
      </c>
      <c r="AH23" s="203">
        <f t="shared" ref="AH23:AH24" ca="1" si="309">AI23/$Z23</f>
        <v>0</v>
      </c>
      <c r="AI23" s="203">
        <f t="shared" ref="AI23:AI24" ca="1" si="310">AJ23*AA$4</f>
        <v>0</v>
      </c>
      <c r="AJ23" s="204">
        <f t="shared" ref="AJ23:AJ24" ca="1" si="311">$N23-AF23</f>
        <v>0</v>
      </c>
      <c r="AK23" s="205"/>
      <c r="AL23" s="206">
        <f t="shared" ref="AL23:AL24" ca="1" si="312">AK23*$X23</f>
        <v>0</v>
      </c>
      <c r="AM23" s="206">
        <f t="shared" ref="AM23:AM24" ca="1" si="313">AL23*$Z23</f>
        <v>0</v>
      </c>
      <c r="AN23" s="207">
        <f t="shared" ref="AN23:AN24" ca="1" si="314">IFERROR(AM23/AA$4,0)</f>
        <v>0</v>
      </c>
      <c r="AO23" s="193">
        <f t="shared" ref="AO23:AO27" si="315">AA23+AK23</f>
        <v>0</v>
      </c>
      <c r="AP23" s="193">
        <f t="shared" ref="AP23:AP27" ca="1" si="316">AD23+AL23</f>
        <v>0</v>
      </c>
      <c r="AQ23" s="193">
        <f t="shared" ref="AQ23:AQ27" ca="1" si="317">AP23*$Z23</f>
        <v>0</v>
      </c>
      <c r="AR23" s="208">
        <f t="shared" ref="AR23:AR27" ca="1" si="318">IFERROR(AQ23/AA$4,0)</f>
        <v>0</v>
      </c>
      <c r="AS23" s="209" t="str">
        <f t="shared" ref="AS23:AS24" ca="1" si="319">IF(SUM(AF23,AN23,AR23)&lt;&gt;0,"V","")</f>
        <v/>
      </c>
      <c r="AT23" s="214"/>
      <c r="AU23" s="215"/>
      <c r="AV23" s="215"/>
      <c r="AW23" s="199">
        <f t="shared" ref="AW23:AW24" ca="1" si="320">AT23*$X23</f>
        <v>0</v>
      </c>
      <c r="AX23" s="199">
        <f t="shared" ref="AX23:AX24" ca="1" si="321">AW23*$Z23</f>
        <v>0</v>
      </c>
      <c r="AY23" s="216">
        <f t="shared" ref="AY23:AY24" ca="1" si="322">IFERROR(AX23/AT$4,0)</f>
        <v>0</v>
      </c>
      <c r="AZ23" s="202">
        <f t="shared" ref="AZ23:AZ24" ca="1" si="323">BA23/$X23</f>
        <v>0</v>
      </c>
      <c r="BA23" s="203">
        <f t="shared" ref="BA23:BA24" ca="1" si="324">BB23/$Z23</f>
        <v>0</v>
      </c>
      <c r="BB23" s="203">
        <f t="shared" ref="BB23:BB24" ca="1" si="325">BC23*AT$4</f>
        <v>0</v>
      </c>
      <c r="BC23" s="204">
        <f t="shared" ref="BC23:BC24" ca="1" si="326">$N23-AY23</f>
        <v>0</v>
      </c>
      <c r="BD23" s="205"/>
      <c r="BE23" s="206">
        <f t="shared" ca="1" si="243"/>
        <v>0</v>
      </c>
      <c r="BF23" s="206">
        <f t="shared" ca="1" si="244"/>
        <v>0</v>
      </c>
      <c r="BG23" s="207">
        <f t="shared" ref="BG23:BG27" ca="1" si="327">IFERROR(BF23/AT$4,0)</f>
        <v>0</v>
      </c>
      <c r="BH23" s="193">
        <f t="shared" ref="BH23:BH27" si="328">AT23+BD23</f>
        <v>0</v>
      </c>
      <c r="BI23" s="193">
        <f t="shared" ca="1" si="245"/>
        <v>0</v>
      </c>
      <c r="BJ23" s="193">
        <f t="shared" ca="1" si="246"/>
        <v>0</v>
      </c>
      <c r="BK23" s="208">
        <f t="shared" ref="BK23:BK27" ca="1" si="329">IFERROR(BJ23/AT$4,0)</f>
        <v>0</v>
      </c>
      <c r="BL23" s="211" t="str">
        <f t="shared" ref="BL23:BL24" ca="1" si="330">IF(SUM(AY23,BG23,BK23)&lt;&gt;0,"V","")</f>
        <v/>
      </c>
      <c r="BM23" s="214"/>
      <c r="BN23" s="215"/>
      <c r="BO23" s="215"/>
      <c r="BP23" s="199">
        <f t="shared" ref="BP23:BP24" ca="1" si="331">BM23*$X23</f>
        <v>0</v>
      </c>
      <c r="BQ23" s="199">
        <f t="shared" ref="BQ23:BQ24" ca="1" si="332">BP23*$Z23</f>
        <v>0</v>
      </c>
      <c r="BR23" s="216">
        <f t="shared" ref="BR23:BR24" ca="1" si="333">IFERROR(BQ23/BM$4,0)</f>
        <v>0</v>
      </c>
      <c r="BS23" s="202">
        <f t="shared" ref="BS23:BS24" ca="1" si="334">BT23/$X23</f>
        <v>0</v>
      </c>
      <c r="BT23" s="203">
        <f t="shared" ref="BT23:BT24" ca="1" si="335">BU23/$Z23</f>
        <v>0</v>
      </c>
      <c r="BU23" s="203">
        <f t="shared" ref="BU23:BU24" ca="1" si="336">BV23*BM$4</f>
        <v>0</v>
      </c>
      <c r="BV23" s="204">
        <f t="shared" ref="BV23:BV24" ca="1" si="337">$N23-BR23</f>
        <v>0</v>
      </c>
      <c r="BW23" s="205"/>
      <c r="BX23" s="206">
        <f t="shared" ca="1" si="255"/>
        <v>0</v>
      </c>
      <c r="BY23" s="206">
        <f t="shared" ca="1" si="256"/>
        <v>0</v>
      </c>
      <c r="BZ23" s="207">
        <f t="shared" ref="BZ23:BZ27" ca="1" si="338">IFERROR(BY23/BM$4,0)</f>
        <v>0</v>
      </c>
      <c r="CA23" s="193">
        <f t="shared" ref="CA23:CA27" si="339">BM23+BW23</f>
        <v>0</v>
      </c>
      <c r="CB23" s="193">
        <f t="shared" ca="1" si="257"/>
        <v>0</v>
      </c>
      <c r="CC23" s="193">
        <f t="shared" ca="1" si="158"/>
        <v>0</v>
      </c>
      <c r="CD23" s="208">
        <f t="shared" ref="CD23:CD27" ca="1" si="340">IFERROR(CC23/BM$4,0)</f>
        <v>0</v>
      </c>
      <c r="CE23" s="212" t="str">
        <f t="shared" ref="CE23:CE24" ca="1" si="341">IF(SUM(BR23,BZ23,CD23)&lt;&gt;0,"V","")</f>
        <v/>
      </c>
      <c r="CF23" s="214"/>
      <c r="CG23" s="215"/>
      <c r="CH23" s="215"/>
      <c r="CI23" s="199">
        <f t="shared" ref="CI23:CI24" ca="1" si="342">CF23*$X23</f>
        <v>0</v>
      </c>
      <c r="CJ23" s="200">
        <f t="shared" ref="CJ23:CJ24" ca="1" si="343">CI23*$Z23</f>
        <v>0</v>
      </c>
      <c r="CK23" s="216">
        <f t="shared" ref="CK23:CK24" ca="1" si="344">IFERROR(CJ23/CF$4,0)</f>
        <v>0</v>
      </c>
      <c r="CL23" s="202">
        <f t="shared" ref="CL23:CL24" ca="1" si="345">CM23/$X23</f>
        <v>0</v>
      </c>
      <c r="CM23" s="203">
        <f t="shared" ref="CM23:CM24" ca="1" si="346">CN23/$Z23</f>
        <v>0</v>
      </c>
      <c r="CN23" s="203">
        <f t="shared" ref="CN23:CN24" ca="1" si="347">CO23*CF$4</f>
        <v>0</v>
      </c>
      <c r="CO23" s="204">
        <f t="shared" ref="CO23:CO24" ca="1" si="348">$N23-CK23</f>
        <v>0</v>
      </c>
      <c r="CP23" s="205"/>
      <c r="CQ23" s="206">
        <f t="shared" ca="1" si="266"/>
        <v>0</v>
      </c>
      <c r="CR23" s="206">
        <f t="shared" ca="1" si="267"/>
        <v>0</v>
      </c>
      <c r="CS23" s="207">
        <f t="shared" ref="CS23:CS27" ca="1" si="349">IFERROR(CR23/CF$4,0)</f>
        <v>0</v>
      </c>
      <c r="CT23" s="193">
        <f t="shared" ref="CT23:CT27" si="350">CF23+CP23</f>
        <v>0</v>
      </c>
      <c r="CU23" s="193">
        <f t="shared" ca="1" si="268"/>
        <v>0</v>
      </c>
      <c r="CV23" s="193">
        <f t="shared" ca="1" si="171"/>
        <v>0</v>
      </c>
      <c r="CW23" s="208">
        <f t="shared" ref="CW23:CW27" ca="1" si="351">IFERROR(CV23/CF$4,0)</f>
        <v>0</v>
      </c>
      <c r="CX23" s="211" t="str">
        <f t="shared" ref="CX23:CX24" ca="1" si="352">IF(SUM(CK23,CS23,CW23)&lt;&gt;0,"V","")</f>
        <v/>
      </c>
      <c r="CY23" s="197">
        <f>150000+-150000</f>
        <v>0</v>
      </c>
      <c r="CZ23" s="215"/>
      <c r="DA23" s="252"/>
      <c r="DB23" s="199">
        <f t="shared" ref="DB23:DB24" ca="1" si="353">CY23*$X23</f>
        <v>0</v>
      </c>
      <c r="DC23" s="199">
        <f t="shared" ref="DC23:DC24" ca="1" si="354">DB23*$Z23</f>
        <v>0</v>
      </c>
      <c r="DD23" s="216">
        <f t="shared" ref="DD23:DD24" ca="1" si="355">IFERROR(DC23/CY$4,0)</f>
        <v>0</v>
      </c>
      <c r="DE23" s="202">
        <f t="shared" ref="DE23:DE24" ca="1" si="356">DF23/$X23</f>
        <v>0</v>
      </c>
      <c r="DF23" s="203">
        <f t="shared" ref="DF23:DF24" ca="1" si="357">DG23/$Z23</f>
        <v>0</v>
      </c>
      <c r="DG23" s="203">
        <f t="shared" ref="DG23:DG24" ca="1" si="358">DH23*CY$4</f>
        <v>0</v>
      </c>
      <c r="DH23" s="204">
        <f t="shared" ref="DH23:DH24" ca="1" si="359">$N23-DD23</f>
        <v>0</v>
      </c>
      <c r="DI23" s="205"/>
      <c r="DJ23" s="206">
        <f t="shared" ca="1" si="277"/>
        <v>0</v>
      </c>
      <c r="DK23" s="206">
        <f t="shared" ca="1" si="278"/>
        <v>0</v>
      </c>
      <c r="DL23" s="207">
        <f t="shared" ref="DL23:DL27" ca="1" si="360">IFERROR(DK23/CY$4,0)</f>
        <v>0</v>
      </c>
      <c r="DM23" s="193">
        <f t="shared" ref="DM23:DM27" si="361">CY23+DI23</f>
        <v>0</v>
      </c>
      <c r="DN23" s="193">
        <f t="shared" ca="1" si="279"/>
        <v>0</v>
      </c>
      <c r="DO23" s="193">
        <f t="shared" ca="1" si="184"/>
        <v>0</v>
      </c>
      <c r="DP23" s="208">
        <f t="shared" ref="DP23:DP27" ca="1" si="362">IFERROR(DO23/CY$4,0)</f>
        <v>0</v>
      </c>
      <c r="DQ23" s="209" t="str">
        <f t="shared" ref="DQ23:DQ24" ca="1" si="363">IF(SUM(DD23,DL23,DP23)&lt;&gt;0,"V","")</f>
        <v/>
      </c>
      <c r="DR23" s="197"/>
      <c r="DS23" s="215"/>
      <c r="DT23" s="199"/>
      <c r="DU23" s="199">
        <f t="shared" ca="1" si="187"/>
        <v>0</v>
      </c>
      <c r="DV23" s="199">
        <f t="shared" ca="1" si="188"/>
        <v>0</v>
      </c>
      <c r="DW23" s="216">
        <f t="shared" ca="1" si="189"/>
        <v>0</v>
      </c>
      <c r="DX23" s="202">
        <f t="shared" ca="1" si="190"/>
        <v>0</v>
      </c>
      <c r="DY23" s="203">
        <f t="shared" ca="1" si="191"/>
        <v>0</v>
      </c>
      <c r="DZ23" s="203">
        <f t="shared" ca="1" si="192"/>
        <v>0</v>
      </c>
      <c r="EA23" s="204">
        <f t="shared" ca="1" si="193"/>
        <v>0</v>
      </c>
      <c r="EB23" s="205"/>
      <c r="EC23" s="206">
        <f t="shared" ca="1" si="281"/>
        <v>0</v>
      </c>
      <c r="ED23" s="206">
        <f t="shared" ca="1" si="194"/>
        <v>0</v>
      </c>
      <c r="EE23" s="207">
        <f t="shared" ref="EE23:EE27" ca="1" si="364">IFERROR(ED23/DR$4,0)</f>
        <v>0</v>
      </c>
      <c r="EF23" s="193">
        <f t="shared" ref="EF23" si="365">DR23+EB23</f>
        <v>0</v>
      </c>
      <c r="EG23" s="193">
        <f t="shared" ca="1" si="282"/>
        <v>0</v>
      </c>
      <c r="EH23" s="193">
        <f t="shared" ca="1" si="196"/>
        <v>0</v>
      </c>
      <c r="EI23" s="208">
        <f t="shared" ref="EI23:EI27" ca="1" si="366">IFERROR(EH23/DR$4,0)</f>
        <v>0</v>
      </c>
      <c r="EJ23" s="214"/>
      <c r="EK23" s="215"/>
      <c r="EL23" s="222"/>
      <c r="EM23" s="199">
        <f t="shared" ref="EM23:EM24" ca="1" si="367">EJ23*$X23</f>
        <v>0</v>
      </c>
      <c r="EN23" s="199">
        <f t="shared" ref="EN23:EN24" ca="1" si="368">EM23*$Z23</f>
        <v>0</v>
      </c>
      <c r="EO23" s="216">
        <f t="shared" ref="EO23:EO24" ca="1" si="369">IFERROR(EN23/EJ$4,0)</f>
        <v>0</v>
      </c>
      <c r="EP23" s="202">
        <f t="shared" ref="EP23:EP24" ca="1" si="370">EQ23/$X23</f>
        <v>0</v>
      </c>
      <c r="EQ23" s="203">
        <f t="shared" ref="EQ23:EQ24" ca="1" si="371">ER23/$Z23</f>
        <v>0</v>
      </c>
      <c r="ER23" s="203">
        <f t="shared" ref="ER23:ER24" ca="1" si="372">ES23*EJ$4</f>
        <v>0</v>
      </c>
      <c r="ES23" s="204">
        <f t="shared" ref="ES23:ES24" ca="1" si="373">$N23-EO23</f>
        <v>0</v>
      </c>
      <c r="ET23" s="205"/>
      <c r="EU23" s="206">
        <f t="shared" ca="1" si="290"/>
        <v>0</v>
      </c>
      <c r="EV23" s="206">
        <f t="shared" ca="1" si="291"/>
        <v>0</v>
      </c>
      <c r="EW23" s="207">
        <f t="shared" ref="EW23:EW27" ca="1" si="374">IFERROR(EV23/EJ$4,0)</f>
        <v>0</v>
      </c>
      <c r="EX23" s="193">
        <f t="shared" ref="EX23:EX27" si="375">EJ23+ET23</f>
        <v>0</v>
      </c>
      <c r="EY23" s="193">
        <f t="shared" ca="1" si="292"/>
        <v>0</v>
      </c>
      <c r="EZ23" s="193">
        <f t="shared" ca="1" si="208"/>
        <v>0</v>
      </c>
      <c r="FA23" s="208">
        <f t="shared" ref="FA23:FA27" ca="1" si="376">IFERROR(EZ23/EJ$4,0)</f>
        <v>0</v>
      </c>
      <c r="FB23" s="212" t="str">
        <f t="shared" ref="FB23:FB24" ca="1" si="377">IF(SUM(EO23,EW23,FA23)&lt;&gt;0,"V","")</f>
        <v/>
      </c>
      <c r="FC23" s="218"/>
      <c r="FD23" s="215"/>
      <c r="FE23" s="215"/>
      <c r="FF23" s="199">
        <f t="shared" ref="FF23:FF24" ca="1" si="378">FC23*$X23</f>
        <v>0</v>
      </c>
      <c r="FG23" s="199">
        <f t="shared" ref="FG23:FG24" ca="1" si="379">FF23*$Z23</f>
        <v>0</v>
      </c>
      <c r="FH23" s="216">
        <f t="shared" ref="FH23:FH24" ca="1" si="380">IFERROR(FG23/FC$4,0)</f>
        <v>0</v>
      </c>
      <c r="FI23" s="202">
        <f t="shared" ref="FI23:FI24" ca="1" si="381">FJ23/$X23</f>
        <v>0</v>
      </c>
      <c r="FJ23" s="203">
        <f t="shared" ref="FJ23:FJ24" ca="1" si="382">FK23/$Z23</f>
        <v>0</v>
      </c>
      <c r="FK23" s="203">
        <f t="shared" ref="FK23:FK24" ca="1" si="383">FL23*FC$4</f>
        <v>0</v>
      </c>
      <c r="FL23" s="204">
        <f t="shared" ref="FL23:FL24" ca="1" si="384">$N23-FH23</f>
        <v>0</v>
      </c>
      <c r="FM23" s="205"/>
      <c r="FN23" s="206">
        <f t="shared" ca="1" si="301"/>
        <v>0</v>
      </c>
      <c r="FO23" s="206">
        <f t="shared" ca="1" si="302"/>
        <v>0</v>
      </c>
      <c r="FP23" s="207">
        <f t="shared" ref="FP23:FP27" ca="1" si="385">IFERROR(FO23/FC$4,0)</f>
        <v>0</v>
      </c>
      <c r="FQ23" s="193">
        <f t="shared" ref="FQ23:FQ27" si="386">FC23+FM23</f>
        <v>0</v>
      </c>
      <c r="FR23" s="193">
        <f t="shared" ca="1" si="303"/>
        <v>0</v>
      </c>
      <c r="FS23" s="193">
        <f t="shared" ca="1" si="221"/>
        <v>0</v>
      </c>
      <c r="FT23" s="208">
        <f t="shared" ref="FT23:FT27" ca="1" si="387">IFERROR(FS23/FC$4,0)</f>
        <v>0</v>
      </c>
      <c r="FU23" s="209" t="str">
        <f t="shared" ref="FU23:FU24" ca="1" si="388">IF(SUM(FH23,FP23,FT23)&lt;&gt;0,"V","")</f>
        <v/>
      </c>
    </row>
    <row r="24" spans="1:177" ht="15.75" customHeight="1" outlineLevel="2" x14ac:dyDescent="0.2">
      <c r="A24" s="187"/>
      <c r="B24" s="187"/>
      <c r="C24" s="188"/>
      <c r="D24" s="189"/>
      <c r="E24" s="189"/>
      <c r="F24" s="188" t="str">
        <f ca="1">"CD 06.05.25 - "&amp; TEXT(TODAY(),"gg.mm.aa")</f>
        <v>CD 06.05.25 - 03.03.26</v>
      </c>
      <c r="G24" s="190"/>
      <c r="H24" s="1676"/>
      <c r="I24" s="1676"/>
      <c r="J24" s="1676"/>
      <c r="K24" s="1704"/>
      <c r="L24" s="1704"/>
      <c r="M24" s="187"/>
      <c r="N24" s="191"/>
      <c r="O24" s="191"/>
      <c r="P24" s="192">
        <f t="shared" ca="1" si="1"/>
        <v>0</v>
      </c>
      <c r="Q24" s="193">
        <f t="array" aca="1" ref="Q24" ca="1">SUM(IF($AA$15:$FT$15="I_pos",AA24:FT24))</f>
        <v>0</v>
      </c>
      <c r="R24" s="193"/>
      <c r="S24" s="188"/>
      <c r="T24" s="193"/>
      <c r="U24" s="194"/>
      <c r="V24" s="193"/>
      <c r="W24" s="188" t="s">
        <v>366</v>
      </c>
      <c r="X24" s="251">
        <f ca="1">IFERROR(1+ ((MIN(TODAY(),MID(F24,FIND("-",F24)+2,8))-MID(F24,FIND(" ",F24)+1,8))/360*Y24),"")</f>
        <v>1.0305180555555555</v>
      </c>
      <c r="Y24" s="251">
        <v>3.6499999999999998E-2</v>
      </c>
      <c r="Z24" s="196">
        <f t="shared" ca="1" si="24"/>
        <v>0.78225</v>
      </c>
      <c r="AA24" s="214"/>
      <c r="AB24" s="215"/>
      <c r="AC24" s="215"/>
      <c r="AD24" s="199">
        <f t="shared" ca="1" si="305"/>
        <v>0</v>
      </c>
      <c r="AE24" s="199">
        <f t="shared" ca="1" si="306"/>
        <v>0</v>
      </c>
      <c r="AF24" s="216">
        <f t="shared" ca="1" si="307"/>
        <v>0</v>
      </c>
      <c r="AG24" s="202">
        <f t="shared" ca="1" si="308"/>
        <v>0</v>
      </c>
      <c r="AH24" s="203">
        <f t="shared" ca="1" si="309"/>
        <v>0</v>
      </c>
      <c r="AI24" s="203">
        <f t="shared" ca="1" si="310"/>
        <v>0</v>
      </c>
      <c r="AJ24" s="204">
        <f t="shared" ca="1" si="311"/>
        <v>0</v>
      </c>
      <c r="AK24" s="205"/>
      <c r="AL24" s="206">
        <f t="shared" ca="1" si="312"/>
        <v>0</v>
      </c>
      <c r="AM24" s="206">
        <f t="shared" ca="1" si="313"/>
        <v>0</v>
      </c>
      <c r="AN24" s="207">
        <f t="shared" ca="1" si="314"/>
        <v>0</v>
      </c>
      <c r="AO24" s="193">
        <f t="shared" ref="AO24" si="389">AA24+AK24</f>
        <v>0</v>
      </c>
      <c r="AP24" s="193">
        <f t="shared" ref="AP24" ca="1" si="390">AD24+AL24</f>
        <v>0</v>
      </c>
      <c r="AQ24" s="193">
        <f t="shared" ref="AQ24" ca="1" si="391">AP24*$Z24</f>
        <v>0</v>
      </c>
      <c r="AR24" s="208">
        <f t="shared" ref="AR24" ca="1" si="392">IFERROR(AQ24/AA$4,0)</f>
        <v>0</v>
      </c>
      <c r="AS24" s="209" t="str">
        <f t="shared" ca="1" si="319"/>
        <v/>
      </c>
      <c r="AT24" s="214"/>
      <c r="AU24" s="215"/>
      <c r="AV24" s="215"/>
      <c r="AW24" s="199">
        <f t="shared" ca="1" si="320"/>
        <v>0</v>
      </c>
      <c r="AX24" s="199">
        <f t="shared" ca="1" si="321"/>
        <v>0</v>
      </c>
      <c r="AY24" s="216">
        <f t="shared" ca="1" si="322"/>
        <v>0</v>
      </c>
      <c r="AZ24" s="202">
        <f t="shared" ca="1" si="323"/>
        <v>0</v>
      </c>
      <c r="BA24" s="203">
        <f t="shared" ca="1" si="324"/>
        <v>0</v>
      </c>
      <c r="BB24" s="203">
        <f t="shared" ca="1" si="325"/>
        <v>0</v>
      </c>
      <c r="BC24" s="204">
        <f t="shared" ca="1" si="326"/>
        <v>0</v>
      </c>
      <c r="BD24" s="205"/>
      <c r="BE24" s="206">
        <f t="shared" ca="1" si="243"/>
        <v>0</v>
      </c>
      <c r="BF24" s="206">
        <f t="shared" ca="1" si="244"/>
        <v>0</v>
      </c>
      <c r="BG24" s="207">
        <f t="shared" ca="1" si="327"/>
        <v>0</v>
      </c>
      <c r="BH24" s="193">
        <f t="shared" si="328"/>
        <v>0</v>
      </c>
      <c r="BI24" s="193">
        <f t="shared" ca="1" si="245"/>
        <v>0</v>
      </c>
      <c r="BJ24" s="193">
        <f t="shared" ca="1" si="246"/>
        <v>0</v>
      </c>
      <c r="BK24" s="208">
        <f t="shared" ca="1" si="329"/>
        <v>0</v>
      </c>
      <c r="BL24" s="211" t="str">
        <f t="shared" ca="1" si="330"/>
        <v/>
      </c>
      <c r="BM24" s="214"/>
      <c r="BN24" s="215"/>
      <c r="BO24" s="215"/>
      <c r="BP24" s="199">
        <f t="shared" ca="1" si="331"/>
        <v>0</v>
      </c>
      <c r="BQ24" s="199">
        <f t="shared" ca="1" si="332"/>
        <v>0</v>
      </c>
      <c r="BR24" s="216">
        <f t="shared" ca="1" si="333"/>
        <v>0</v>
      </c>
      <c r="BS24" s="202">
        <f t="shared" ca="1" si="334"/>
        <v>0</v>
      </c>
      <c r="BT24" s="203">
        <f t="shared" ca="1" si="335"/>
        <v>0</v>
      </c>
      <c r="BU24" s="203">
        <f t="shared" ca="1" si="336"/>
        <v>0</v>
      </c>
      <c r="BV24" s="204">
        <f t="shared" ca="1" si="337"/>
        <v>0</v>
      </c>
      <c r="BW24" s="205"/>
      <c r="BX24" s="206">
        <f t="shared" ca="1" si="255"/>
        <v>0</v>
      </c>
      <c r="BY24" s="206">
        <f t="shared" ca="1" si="256"/>
        <v>0</v>
      </c>
      <c r="BZ24" s="207">
        <f t="shared" ca="1" si="338"/>
        <v>0</v>
      </c>
      <c r="CA24" s="193">
        <f t="shared" si="339"/>
        <v>0</v>
      </c>
      <c r="CB24" s="193">
        <f t="shared" ca="1" si="257"/>
        <v>0</v>
      </c>
      <c r="CC24" s="193">
        <f t="shared" ca="1" si="158"/>
        <v>0</v>
      </c>
      <c r="CD24" s="208">
        <f t="shared" ca="1" si="340"/>
        <v>0</v>
      </c>
      <c r="CE24" s="212" t="str">
        <f t="shared" ca="1" si="341"/>
        <v/>
      </c>
      <c r="CF24" s="214"/>
      <c r="CG24" s="215"/>
      <c r="CH24" s="215"/>
      <c r="CI24" s="199">
        <f t="shared" ca="1" si="342"/>
        <v>0</v>
      </c>
      <c r="CJ24" s="200">
        <f t="shared" ca="1" si="343"/>
        <v>0</v>
      </c>
      <c r="CK24" s="216">
        <f t="shared" ca="1" si="344"/>
        <v>0</v>
      </c>
      <c r="CL24" s="202">
        <f t="shared" ca="1" si="345"/>
        <v>0</v>
      </c>
      <c r="CM24" s="203">
        <f t="shared" ca="1" si="346"/>
        <v>0</v>
      </c>
      <c r="CN24" s="203">
        <f t="shared" ca="1" si="347"/>
        <v>0</v>
      </c>
      <c r="CO24" s="204">
        <f t="shared" ca="1" si="348"/>
        <v>0</v>
      </c>
      <c r="CP24" s="205"/>
      <c r="CQ24" s="206">
        <f t="shared" ca="1" si="266"/>
        <v>0</v>
      </c>
      <c r="CR24" s="206">
        <f t="shared" ca="1" si="267"/>
        <v>0</v>
      </c>
      <c r="CS24" s="207">
        <f t="shared" ca="1" si="349"/>
        <v>0</v>
      </c>
      <c r="CT24" s="193">
        <f t="shared" si="350"/>
        <v>0</v>
      </c>
      <c r="CU24" s="193">
        <f t="shared" ca="1" si="268"/>
        <v>0</v>
      </c>
      <c r="CV24" s="193">
        <f t="shared" ca="1" si="171"/>
        <v>0</v>
      </c>
      <c r="CW24" s="208">
        <f t="shared" ca="1" si="351"/>
        <v>0</v>
      </c>
      <c r="CX24" s="211" t="str">
        <f t="shared" ca="1" si="352"/>
        <v/>
      </c>
      <c r="CY24" s="197">
        <f>349000-151000+-198000</f>
        <v>0</v>
      </c>
      <c r="CZ24" s="215"/>
      <c r="DA24" s="199"/>
      <c r="DB24" s="199">
        <f t="shared" ca="1" si="353"/>
        <v>0</v>
      </c>
      <c r="DC24" s="199">
        <f t="shared" ca="1" si="354"/>
        <v>0</v>
      </c>
      <c r="DD24" s="216">
        <f t="shared" ca="1" si="355"/>
        <v>0</v>
      </c>
      <c r="DE24" s="202">
        <f t="shared" ca="1" si="356"/>
        <v>0</v>
      </c>
      <c r="DF24" s="203">
        <f t="shared" ca="1" si="357"/>
        <v>0</v>
      </c>
      <c r="DG24" s="203">
        <f t="shared" ca="1" si="358"/>
        <v>0</v>
      </c>
      <c r="DH24" s="204">
        <f t="shared" ca="1" si="359"/>
        <v>0</v>
      </c>
      <c r="DI24" s="205"/>
      <c r="DJ24" s="206">
        <f ca="1">DI24*$X24</f>
        <v>0</v>
      </c>
      <c r="DK24" s="206">
        <f t="shared" ca="1" si="278"/>
        <v>0</v>
      </c>
      <c r="DL24" s="207">
        <f t="shared" ca="1" si="360"/>
        <v>0</v>
      </c>
      <c r="DM24" s="193">
        <f>CY24+DI24</f>
        <v>0</v>
      </c>
      <c r="DN24" s="193">
        <f t="shared" ca="1" si="279"/>
        <v>0</v>
      </c>
      <c r="DO24" s="193">
        <f t="shared" ca="1" si="184"/>
        <v>0</v>
      </c>
      <c r="DP24" s="208">
        <f t="shared" ca="1" si="362"/>
        <v>0</v>
      </c>
      <c r="DQ24" s="209" t="str">
        <f t="shared" ca="1" si="363"/>
        <v/>
      </c>
      <c r="DR24" s="197"/>
      <c r="DS24" s="215"/>
      <c r="DT24" s="199"/>
      <c r="DU24" s="199">
        <f t="shared" ca="1" si="187"/>
        <v>0</v>
      </c>
      <c r="DV24" s="199">
        <f t="shared" ca="1" si="188"/>
        <v>0</v>
      </c>
      <c r="DW24" s="216">
        <f t="shared" ca="1" si="189"/>
        <v>0</v>
      </c>
      <c r="DX24" s="202">
        <f t="shared" ca="1" si="190"/>
        <v>0</v>
      </c>
      <c r="DY24" s="203">
        <f t="shared" ca="1" si="191"/>
        <v>0</v>
      </c>
      <c r="DZ24" s="203">
        <f t="shared" ca="1" si="192"/>
        <v>0</v>
      </c>
      <c r="EA24" s="204">
        <f t="shared" ca="1" si="193"/>
        <v>0</v>
      </c>
      <c r="EB24" s="205"/>
      <c r="EC24" s="206">
        <f ca="1">EB24*$X24</f>
        <v>0</v>
      </c>
      <c r="ED24" s="206">
        <f t="shared" ca="1" si="194"/>
        <v>0</v>
      </c>
      <c r="EE24" s="207">
        <f t="shared" ca="1" si="364"/>
        <v>0</v>
      </c>
      <c r="EF24" s="193">
        <f>DR24+EB24</f>
        <v>0</v>
      </c>
      <c r="EG24" s="193">
        <f t="shared" ca="1" si="282"/>
        <v>0</v>
      </c>
      <c r="EH24" s="193">
        <f t="shared" ca="1" si="196"/>
        <v>0</v>
      </c>
      <c r="EI24" s="208">
        <f t="shared" ca="1" si="366"/>
        <v>0</v>
      </c>
      <c r="EJ24" s="214"/>
      <c r="EK24" s="215"/>
      <c r="EL24" s="222"/>
      <c r="EM24" s="199">
        <f t="shared" ca="1" si="367"/>
        <v>0</v>
      </c>
      <c r="EN24" s="199">
        <f t="shared" ca="1" si="368"/>
        <v>0</v>
      </c>
      <c r="EO24" s="216">
        <f t="shared" ca="1" si="369"/>
        <v>0</v>
      </c>
      <c r="EP24" s="202">
        <f t="shared" ca="1" si="370"/>
        <v>0</v>
      </c>
      <c r="EQ24" s="203">
        <f t="shared" ca="1" si="371"/>
        <v>0</v>
      </c>
      <c r="ER24" s="203">
        <f t="shared" ca="1" si="372"/>
        <v>0</v>
      </c>
      <c r="ES24" s="204">
        <f t="shared" ca="1" si="373"/>
        <v>0</v>
      </c>
      <c r="ET24" s="205"/>
      <c r="EU24" s="206">
        <f t="shared" ca="1" si="290"/>
        <v>0</v>
      </c>
      <c r="EV24" s="206">
        <f t="shared" ca="1" si="291"/>
        <v>0</v>
      </c>
      <c r="EW24" s="207">
        <f t="shared" ca="1" si="374"/>
        <v>0</v>
      </c>
      <c r="EX24" s="193">
        <f t="shared" si="375"/>
        <v>0</v>
      </c>
      <c r="EY24" s="193">
        <f t="shared" ca="1" si="292"/>
        <v>0</v>
      </c>
      <c r="EZ24" s="193">
        <f t="shared" ca="1" si="208"/>
        <v>0</v>
      </c>
      <c r="FA24" s="208">
        <f t="shared" ca="1" si="376"/>
        <v>0</v>
      </c>
      <c r="FB24" s="212" t="str">
        <f t="shared" ca="1" si="377"/>
        <v/>
      </c>
      <c r="FC24" s="218"/>
      <c r="FD24" s="215"/>
      <c r="FE24" s="215"/>
      <c r="FF24" s="199">
        <f t="shared" ca="1" si="378"/>
        <v>0</v>
      </c>
      <c r="FG24" s="199">
        <f t="shared" ca="1" si="379"/>
        <v>0</v>
      </c>
      <c r="FH24" s="216">
        <f t="shared" ca="1" si="380"/>
        <v>0</v>
      </c>
      <c r="FI24" s="202">
        <f t="shared" ca="1" si="381"/>
        <v>0</v>
      </c>
      <c r="FJ24" s="203">
        <f t="shared" ca="1" si="382"/>
        <v>0</v>
      </c>
      <c r="FK24" s="203">
        <f t="shared" ca="1" si="383"/>
        <v>0</v>
      </c>
      <c r="FL24" s="204">
        <f t="shared" ca="1" si="384"/>
        <v>0</v>
      </c>
      <c r="FM24" s="205"/>
      <c r="FN24" s="206">
        <f t="shared" ca="1" si="301"/>
        <v>0</v>
      </c>
      <c r="FO24" s="206">
        <f t="shared" ca="1" si="302"/>
        <v>0</v>
      </c>
      <c r="FP24" s="207">
        <f t="shared" ca="1" si="385"/>
        <v>0</v>
      </c>
      <c r="FQ24" s="193">
        <f t="shared" si="386"/>
        <v>0</v>
      </c>
      <c r="FR24" s="193">
        <f t="shared" ca="1" si="303"/>
        <v>0</v>
      </c>
      <c r="FS24" s="193">
        <f t="shared" ca="1" si="221"/>
        <v>0</v>
      </c>
      <c r="FT24" s="208">
        <f t="shared" ca="1" si="387"/>
        <v>0</v>
      </c>
      <c r="FU24" s="209" t="str">
        <f t="shared" ca="1" si="388"/>
        <v/>
      </c>
    </row>
    <row r="25" spans="1:177" ht="15.75" customHeight="1" outlineLevel="2" x14ac:dyDescent="0.2">
      <c r="A25" s="187"/>
      <c r="B25" s="187"/>
      <c r="C25" s="188"/>
      <c r="D25" s="189"/>
      <c r="E25" s="189"/>
      <c r="F25" s="188" t="s">
        <v>725</v>
      </c>
      <c r="G25" s="190"/>
      <c r="H25" s="1676"/>
      <c r="I25" s="1676"/>
      <c r="J25" s="1676"/>
      <c r="K25" s="1704"/>
      <c r="L25" s="1704"/>
      <c r="M25" s="187"/>
      <c r="N25" s="191"/>
      <c r="O25" s="191"/>
      <c r="P25" s="192">
        <f t="shared" ca="1" si="1"/>
        <v>0</v>
      </c>
      <c r="Q25" s="193">
        <f t="array" aca="1" ref="Q25" ca="1">SUM(IF($AA$15:$FT$15="I_pos",AA25:FT25))</f>
        <v>0</v>
      </c>
      <c r="R25" s="193"/>
      <c r="S25" s="188"/>
      <c r="T25" s="193"/>
      <c r="U25" s="194"/>
      <c r="V25" s="193"/>
      <c r="W25" s="188" t="s">
        <v>369</v>
      </c>
      <c r="X25" s="251">
        <f ca="1">IFERROR(1+ ((MIN(TODAY(),MID(F25,FIND("-",F25)+2,8))-MID(F25,FIND(" ",F25)+1,8))/360*Y25),"")</f>
        <v>1</v>
      </c>
      <c r="Y25" s="251"/>
      <c r="Z25" s="196">
        <f t="shared" ca="1" si="24"/>
        <v>1.0000001300000001</v>
      </c>
      <c r="AA25" s="214"/>
      <c r="AB25" s="215"/>
      <c r="AC25" s="215"/>
      <c r="AD25" s="199">
        <f t="shared" ref="AD25" ca="1" si="393">AA25*$X25</f>
        <v>0</v>
      </c>
      <c r="AE25" s="199">
        <f t="shared" ref="AE25" ca="1" si="394">AD25*$Z25</f>
        <v>0</v>
      </c>
      <c r="AF25" s="216">
        <f t="shared" ref="AF25" ca="1" si="395">IFERROR(AE25/AA$4,0)</f>
        <v>0</v>
      </c>
      <c r="AG25" s="202">
        <f t="shared" ref="AG25" ca="1" si="396">AH25/$X25</f>
        <v>0</v>
      </c>
      <c r="AH25" s="203">
        <f t="shared" ref="AH25" ca="1" si="397">AI25/$Z25</f>
        <v>0</v>
      </c>
      <c r="AI25" s="203">
        <f t="shared" ref="AI25" ca="1" si="398">AJ25*AA$4</f>
        <v>0</v>
      </c>
      <c r="AJ25" s="204">
        <f t="shared" ref="AJ25" ca="1" si="399">$N25-AF25</f>
        <v>0</v>
      </c>
      <c r="AK25" s="205"/>
      <c r="AL25" s="206">
        <f t="shared" ref="AL25" ca="1" si="400">AK25*$X25</f>
        <v>0</v>
      </c>
      <c r="AM25" s="206">
        <f t="shared" ref="AM25" ca="1" si="401">AL25*$Z25</f>
        <v>0</v>
      </c>
      <c r="AN25" s="207">
        <f t="shared" ref="AN25" ca="1" si="402">IFERROR(AM25/AA$4,0)</f>
        <v>0</v>
      </c>
      <c r="AO25" s="193">
        <f t="shared" si="315"/>
        <v>0</v>
      </c>
      <c r="AP25" s="193">
        <f t="shared" ca="1" si="316"/>
        <v>0</v>
      </c>
      <c r="AQ25" s="193">
        <f t="shared" ca="1" si="317"/>
        <v>0</v>
      </c>
      <c r="AR25" s="208">
        <f t="shared" ca="1" si="318"/>
        <v>0</v>
      </c>
      <c r="AS25" s="209" t="str">
        <f t="shared" ref="AS25" ca="1" si="403">IF(SUM(AF25,AN25,AR25)&lt;&gt;0,"V","")</f>
        <v/>
      </c>
      <c r="AT25" s="214"/>
      <c r="AU25" s="215"/>
      <c r="AV25" s="215"/>
      <c r="AW25" s="199">
        <f t="shared" ref="AW25" ca="1" si="404">AT25*$X25</f>
        <v>0</v>
      </c>
      <c r="AX25" s="199">
        <f t="shared" ref="AX25" ca="1" si="405">AW25*$Z25</f>
        <v>0</v>
      </c>
      <c r="AY25" s="216">
        <f t="shared" ref="AY25" ca="1" si="406">IFERROR(AX25/AT$4,0)</f>
        <v>0</v>
      </c>
      <c r="AZ25" s="202">
        <f t="shared" ref="AZ25" ca="1" si="407">BA25/$X25</f>
        <v>0</v>
      </c>
      <c r="BA25" s="203">
        <f t="shared" ref="BA25" ca="1" si="408">BB25/$Z25</f>
        <v>0</v>
      </c>
      <c r="BB25" s="203">
        <f t="shared" ref="BB25" ca="1" si="409">BC25*AT$4</f>
        <v>0</v>
      </c>
      <c r="BC25" s="204">
        <f t="shared" ref="BC25" ca="1" si="410">$N25-AY25</f>
        <v>0</v>
      </c>
      <c r="BD25" s="205"/>
      <c r="BE25" s="206">
        <f t="shared" ca="1" si="243"/>
        <v>0</v>
      </c>
      <c r="BF25" s="206">
        <f t="shared" ca="1" si="244"/>
        <v>0</v>
      </c>
      <c r="BG25" s="207">
        <f t="shared" ca="1" si="327"/>
        <v>0</v>
      </c>
      <c r="BH25" s="193">
        <f t="shared" si="328"/>
        <v>0</v>
      </c>
      <c r="BI25" s="193">
        <f t="shared" ca="1" si="245"/>
        <v>0</v>
      </c>
      <c r="BJ25" s="193">
        <f t="shared" ca="1" si="246"/>
        <v>0</v>
      </c>
      <c r="BK25" s="208">
        <f t="shared" ca="1" si="329"/>
        <v>0</v>
      </c>
      <c r="BL25" s="211" t="str">
        <f t="shared" ref="BL25" ca="1" si="411">IF(SUM(AY25,BG25,BK25)&lt;&gt;0,"V","")</f>
        <v/>
      </c>
      <c r="BM25" s="214"/>
      <c r="BN25" s="215"/>
      <c r="BO25" s="215"/>
      <c r="BP25" s="199">
        <f t="shared" ref="BP25" ca="1" si="412">BM25*$X25</f>
        <v>0</v>
      </c>
      <c r="BQ25" s="199">
        <f t="shared" ref="BQ25" ca="1" si="413">BP25*$Z25</f>
        <v>0</v>
      </c>
      <c r="BR25" s="216">
        <f t="shared" ref="BR25" ca="1" si="414">IFERROR(BQ25/BM$4,0)</f>
        <v>0</v>
      </c>
      <c r="BS25" s="202">
        <f t="shared" ref="BS25" ca="1" si="415">BT25/$X25</f>
        <v>0</v>
      </c>
      <c r="BT25" s="203">
        <f t="shared" ref="BT25" ca="1" si="416">BU25/$Z25</f>
        <v>0</v>
      </c>
      <c r="BU25" s="203">
        <f t="shared" ref="BU25" ca="1" si="417">BV25*BM$4</f>
        <v>0</v>
      </c>
      <c r="BV25" s="204">
        <f t="shared" ref="BV25" ca="1" si="418">$N25-BR25</f>
        <v>0</v>
      </c>
      <c r="BW25" s="205"/>
      <c r="BX25" s="206">
        <f t="shared" ca="1" si="255"/>
        <v>0</v>
      </c>
      <c r="BY25" s="206">
        <f t="shared" ca="1" si="256"/>
        <v>0</v>
      </c>
      <c r="BZ25" s="207">
        <f t="shared" ca="1" si="338"/>
        <v>0</v>
      </c>
      <c r="CA25" s="193">
        <f t="shared" si="339"/>
        <v>0</v>
      </c>
      <c r="CB25" s="193">
        <f t="shared" ca="1" si="257"/>
        <v>0</v>
      </c>
      <c r="CC25" s="193">
        <f t="shared" ca="1" si="158"/>
        <v>0</v>
      </c>
      <c r="CD25" s="208">
        <f t="shared" ca="1" si="340"/>
        <v>0</v>
      </c>
      <c r="CE25" s="212" t="str">
        <f t="shared" ref="CE25" ca="1" si="419">IF(SUM(BR25,BZ25,CD25)&lt;&gt;0,"V","")</f>
        <v/>
      </c>
      <c r="CF25" s="214"/>
      <c r="CG25" s="215"/>
      <c r="CH25" s="215"/>
      <c r="CI25" s="199">
        <f t="shared" ref="CI25" ca="1" si="420">CF25*$X25</f>
        <v>0</v>
      </c>
      <c r="CJ25" s="200">
        <f t="shared" ref="CJ25" ca="1" si="421">CI25*$Z25</f>
        <v>0</v>
      </c>
      <c r="CK25" s="216">
        <f t="shared" ref="CK25" ca="1" si="422">IFERROR(CJ25/CF$4,0)</f>
        <v>0</v>
      </c>
      <c r="CL25" s="202">
        <f t="shared" ref="CL25" ca="1" si="423">CM25/$X25</f>
        <v>0</v>
      </c>
      <c r="CM25" s="203">
        <f t="shared" ref="CM25" ca="1" si="424">CN25/$Z25</f>
        <v>0</v>
      </c>
      <c r="CN25" s="203">
        <f t="shared" ref="CN25" ca="1" si="425">CO25*CF$4</f>
        <v>0</v>
      </c>
      <c r="CO25" s="204">
        <f t="shared" ref="CO25" ca="1" si="426">$N25-CK25</f>
        <v>0</v>
      </c>
      <c r="CP25" s="205"/>
      <c r="CQ25" s="206">
        <f t="shared" ca="1" si="266"/>
        <v>0</v>
      </c>
      <c r="CR25" s="206">
        <f t="shared" ca="1" si="267"/>
        <v>0</v>
      </c>
      <c r="CS25" s="207">
        <f t="shared" ca="1" si="349"/>
        <v>0</v>
      </c>
      <c r="CT25" s="193">
        <f t="shared" si="350"/>
        <v>0</v>
      </c>
      <c r="CU25" s="193">
        <f t="shared" ca="1" si="268"/>
        <v>0</v>
      </c>
      <c r="CV25" s="193">
        <f t="shared" ca="1" si="171"/>
        <v>0</v>
      </c>
      <c r="CW25" s="208">
        <f t="shared" ca="1" si="351"/>
        <v>0</v>
      </c>
      <c r="CX25" s="211" t="str">
        <f t="shared" ref="CX25" ca="1" si="427">IF(SUM(CK25,CS25,CW25)&lt;&gt;0,"V","")</f>
        <v/>
      </c>
      <c r="CY25" s="197"/>
      <c r="CZ25" s="215"/>
      <c r="DA25" s="199"/>
      <c r="DB25" s="199">
        <f t="shared" ref="DB25" ca="1" si="428">CY25*$X25</f>
        <v>0</v>
      </c>
      <c r="DC25" s="199">
        <f t="shared" ref="DC25" ca="1" si="429">DB25*$Z25</f>
        <v>0</v>
      </c>
      <c r="DD25" s="216">
        <f t="shared" ref="DD25" ca="1" si="430">IFERROR(DC25/CY$4,0)</f>
        <v>0</v>
      </c>
      <c r="DE25" s="202">
        <f t="shared" ref="DE25" ca="1" si="431">DF25/$X25</f>
        <v>0</v>
      </c>
      <c r="DF25" s="203">
        <f t="shared" ref="DF25" ca="1" si="432">DG25/$Z25</f>
        <v>0</v>
      </c>
      <c r="DG25" s="203">
        <f t="shared" ref="DG25" ca="1" si="433">DH25*CY$4</f>
        <v>0</v>
      </c>
      <c r="DH25" s="204">
        <f t="shared" ref="DH25" ca="1" si="434">$N25-DD25</f>
        <v>0</v>
      </c>
      <c r="DI25" s="205"/>
      <c r="DJ25" s="206">
        <f ca="1">DI25*$X25</f>
        <v>0</v>
      </c>
      <c r="DK25" s="206">
        <f t="shared" ca="1" si="278"/>
        <v>0</v>
      </c>
      <c r="DL25" s="207">
        <f t="shared" ca="1" si="360"/>
        <v>0</v>
      </c>
      <c r="DM25" s="193">
        <f>CY25+DI25</f>
        <v>0</v>
      </c>
      <c r="DN25" s="193">
        <f t="shared" ca="1" si="279"/>
        <v>0</v>
      </c>
      <c r="DO25" s="193">
        <f t="shared" ca="1" si="184"/>
        <v>0</v>
      </c>
      <c r="DP25" s="208">
        <f t="shared" ca="1" si="362"/>
        <v>0</v>
      </c>
      <c r="DQ25" s="209" t="str">
        <f t="shared" ref="DQ25" ca="1" si="435">IF(SUM(DD25,DL25,DP25)&lt;&gt;0,"V","")</f>
        <v/>
      </c>
      <c r="DR25" s="197"/>
      <c r="DS25" s="215"/>
      <c r="DT25" s="199"/>
      <c r="DU25" s="199">
        <f t="shared" ca="1" si="187"/>
        <v>0</v>
      </c>
      <c r="DV25" s="199">
        <f t="shared" ca="1" si="188"/>
        <v>0</v>
      </c>
      <c r="DW25" s="216">
        <f t="shared" ca="1" si="189"/>
        <v>0</v>
      </c>
      <c r="DX25" s="202">
        <f t="shared" ca="1" si="190"/>
        <v>0</v>
      </c>
      <c r="DY25" s="203">
        <f t="shared" ca="1" si="191"/>
        <v>0</v>
      </c>
      <c r="DZ25" s="203">
        <f t="shared" ca="1" si="192"/>
        <v>0</v>
      </c>
      <c r="EA25" s="204">
        <f t="shared" ca="1" si="193"/>
        <v>0</v>
      </c>
      <c r="EB25" s="205"/>
      <c r="EC25" s="206">
        <f ca="1">EB25*$X25</f>
        <v>0</v>
      </c>
      <c r="ED25" s="206">
        <f t="shared" ca="1" si="194"/>
        <v>0</v>
      </c>
      <c r="EE25" s="207">
        <f t="shared" ca="1" si="364"/>
        <v>0</v>
      </c>
      <c r="EF25" s="193">
        <f>DR25+EB25</f>
        <v>0</v>
      </c>
      <c r="EG25" s="193">
        <f t="shared" ca="1" si="282"/>
        <v>0</v>
      </c>
      <c r="EH25" s="193">
        <f t="shared" ca="1" si="196"/>
        <v>0</v>
      </c>
      <c r="EI25" s="208">
        <f t="shared" ca="1" si="366"/>
        <v>0</v>
      </c>
      <c r="EJ25" s="214"/>
      <c r="EK25" s="215"/>
      <c r="EL25" s="222"/>
      <c r="EM25" s="199">
        <f t="shared" ref="EM25" ca="1" si="436">EJ25*$X25</f>
        <v>0</v>
      </c>
      <c r="EN25" s="199">
        <f t="shared" ref="EN25" ca="1" si="437">EM25*$Z25</f>
        <v>0</v>
      </c>
      <c r="EO25" s="216">
        <f t="shared" ref="EO25" ca="1" si="438">IFERROR(EN25/EJ$4,0)</f>
        <v>0</v>
      </c>
      <c r="EP25" s="202">
        <f t="shared" ref="EP25" ca="1" si="439">EQ25/$X25</f>
        <v>0</v>
      </c>
      <c r="EQ25" s="203">
        <f t="shared" ref="EQ25" ca="1" si="440">ER25/$Z25</f>
        <v>0</v>
      </c>
      <c r="ER25" s="203">
        <f t="shared" ref="ER25" ca="1" si="441">ES25*EJ$4</f>
        <v>0</v>
      </c>
      <c r="ES25" s="204">
        <f t="shared" ref="ES25" ca="1" si="442">$N25-EO25</f>
        <v>0</v>
      </c>
      <c r="ET25" s="205"/>
      <c r="EU25" s="206">
        <f t="shared" ca="1" si="290"/>
        <v>0</v>
      </c>
      <c r="EV25" s="206">
        <f t="shared" ca="1" si="291"/>
        <v>0</v>
      </c>
      <c r="EW25" s="207">
        <f t="shared" ca="1" si="374"/>
        <v>0</v>
      </c>
      <c r="EX25" s="193">
        <f t="shared" si="375"/>
        <v>0</v>
      </c>
      <c r="EY25" s="193">
        <f t="shared" ca="1" si="292"/>
        <v>0</v>
      </c>
      <c r="EZ25" s="193">
        <f t="shared" ca="1" si="208"/>
        <v>0</v>
      </c>
      <c r="FA25" s="208">
        <f t="shared" ca="1" si="376"/>
        <v>0</v>
      </c>
      <c r="FB25" s="212" t="str">
        <f t="shared" ref="FB25" ca="1" si="443">IF(SUM(EO25,EW25,FA25)&lt;&gt;0,"V","")</f>
        <v/>
      </c>
      <c r="FC25" s="218"/>
      <c r="FD25" s="215"/>
      <c r="FE25" s="215"/>
      <c r="FF25" s="199">
        <f t="shared" ref="FF25" ca="1" si="444">FC25*$X25</f>
        <v>0</v>
      </c>
      <c r="FG25" s="199">
        <f t="shared" ref="FG25" ca="1" si="445">FF25*$Z25</f>
        <v>0</v>
      </c>
      <c r="FH25" s="216">
        <f t="shared" ref="FH25" ca="1" si="446">IFERROR(FG25/FC$4,0)</f>
        <v>0</v>
      </c>
      <c r="FI25" s="202">
        <f t="shared" ref="FI25" ca="1" si="447">FJ25/$X25</f>
        <v>0</v>
      </c>
      <c r="FJ25" s="203">
        <f t="shared" ref="FJ25" ca="1" si="448">FK25/$Z25</f>
        <v>0</v>
      </c>
      <c r="FK25" s="203">
        <f t="shared" ref="FK25" ca="1" si="449">FL25*FC$4</f>
        <v>0</v>
      </c>
      <c r="FL25" s="204">
        <f t="shared" ref="FL25" ca="1" si="450">$N25-FH25</f>
        <v>0</v>
      </c>
      <c r="FM25" s="205"/>
      <c r="FN25" s="206">
        <f t="shared" ca="1" si="301"/>
        <v>0</v>
      </c>
      <c r="FO25" s="206">
        <f t="shared" ca="1" si="302"/>
        <v>0</v>
      </c>
      <c r="FP25" s="207">
        <f t="shared" ca="1" si="385"/>
        <v>0</v>
      </c>
      <c r="FQ25" s="193">
        <f t="shared" si="386"/>
        <v>0</v>
      </c>
      <c r="FR25" s="193">
        <f t="shared" ca="1" si="303"/>
        <v>0</v>
      </c>
      <c r="FS25" s="193">
        <f t="shared" ca="1" si="221"/>
        <v>0</v>
      </c>
      <c r="FT25" s="208">
        <f t="shared" ca="1" si="387"/>
        <v>0</v>
      </c>
      <c r="FU25" s="209" t="str">
        <f t="shared" ref="FU25" ca="1" si="451">IF(SUM(FH25,FP25,FT25)&lt;&gt;0,"V","")</f>
        <v/>
      </c>
    </row>
    <row r="26" spans="1:177" ht="15.75" customHeight="1" outlineLevel="2" x14ac:dyDescent="0.2">
      <c r="A26" s="187"/>
      <c r="B26" s="187"/>
      <c r="C26" s="188"/>
      <c r="D26" s="189"/>
      <c r="E26" s="189"/>
      <c r="F26" s="188" t="s">
        <v>536</v>
      </c>
      <c r="G26" s="190"/>
      <c r="H26" s="1676"/>
      <c r="I26" s="1676"/>
      <c r="J26" s="1676"/>
      <c r="K26" s="1704"/>
      <c r="L26" s="1704"/>
      <c r="M26" s="187"/>
      <c r="N26" s="191"/>
      <c r="O26" s="191"/>
      <c r="P26" s="192">
        <f t="shared" ca="1" si="1"/>
        <v>0</v>
      </c>
      <c r="Q26" s="193">
        <f t="array" aca="1" ref="Q26" ca="1">SUM(IF($AA$15:$FT$15="I_pos",AA26:FT26))</f>
        <v>0</v>
      </c>
      <c r="R26" s="193"/>
      <c r="S26" s="188"/>
      <c r="T26" s="193"/>
      <c r="U26" s="194"/>
      <c r="V26" s="193"/>
      <c r="W26" s="188" t="s">
        <v>381</v>
      </c>
      <c r="X26" s="251">
        <v>1</v>
      </c>
      <c r="Y26" s="253"/>
      <c r="Z26" s="196">
        <f t="shared" ca="1" si="24"/>
        <v>0.90754999999999997</v>
      </c>
      <c r="AA26" s="214"/>
      <c r="AB26" s="215"/>
      <c r="AC26" s="215"/>
      <c r="AD26" s="199">
        <f t="shared" si="225"/>
        <v>0</v>
      </c>
      <c r="AE26" s="199">
        <f t="shared" ca="1" si="226"/>
        <v>0</v>
      </c>
      <c r="AF26" s="216">
        <f t="shared" ca="1" si="227"/>
        <v>0</v>
      </c>
      <c r="AG26" s="202">
        <f t="shared" ca="1" si="228"/>
        <v>0</v>
      </c>
      <c r="AH26" s="203">
        <f t="shared" ca="1" si="229"/>
        <v>0</v>
      </c>
      <c r="AI26" s="203">
        <f t="shared" ca="1" si="230"/>
        <v>0</v>
      </c>
      <c r="AJ26" s="204">
        <f t="shared" ca="1" si="231"/>
        <v>0</v>
      </c>
      <c r="AK26" s="205"/>
      <c r="AL26" s="206">
        <f t="shared" ref="AL26:AL27" si="452">AK26*$X26</f>
        <v>0</v>
      </c>
      <c r="AM26" s="206">
        <f t="shared" ref="AM26:AM27" ca="1" si="453">AL26*$Z26</f>
        <v>0</v>
      </c>
      <c r="AN26" s="207">
        <f t="shared" ref="AN26:AN27" ca="1" si="454">IFERROR(AM26/AA$4,0)</f>
        <v>0</v>
      </c>
      <c r="AO26" s="193">
        <f t="shared" si="315"/>
        <v>0</v>
      </c>
      <c r="AP26" s="193">
        <f t="shared" si="316"/>
        <v>0</v>
      </c>
      <c r="AQ26" s="193">
        <f t="shared" ca="1" si="317"/>
        <v>0</v>
      </c>
      <c r="AR26" s="208">
        <f t="shared" ca="1" si="318"/>
        <v>0</v>
      </c>
      <c r="AS26" s="209" t="str">
        <f t="shared" ca="1" si="235"/>
        <v/>
      </c>
      <c r="AT26" s="214"/>
      <c r="AU26" s="215"/>
      <c r="AV26" s="215"/>
      <c r="AW26" s="199">
        <f t="shared" si="236"/>
        <v>0</v>
      </c>
      <c r="AX26" s="199">
        <f t="shared" ca="1" si="237"/>
        <v>0</v>
      </c>
      <c r="AY26" s="216">
        <f t="shared" ca="1" si="238"/>
        <v>0</v>
      </c>
      <c r="AZ26" s="202">
        <f t="shared" ca="1" si="239"/>
        <v>0</v>
      </c>
      <c r="BA26" s="203">
        <f t="shared" ca="1" si="240"/>
        <v>0</v>
      </c>
      <c r="BB26" s="203">
        <f t="shared" ca="1" si="241"/>
        <v>0</v>
      </c>
      <c r="BC26" s="204">
        <f t="shared" ca="1" si="242"/>
        <v>0</v>
      </c>
      <c r="BD26" s="205"/>
      <c r="BE26" s="206">
        <f t="shared" si="243"/>
        <v>0</v>
      </c>
      <c r="BF26" s="206">
        <f t="shared" ca="1" si="244"/>
        <v>0</v>
      </c>
      <c r="BG26" s="207">
        <f t="shared" ca="1" si="327"/>
        <v>0</v>
      </c>
      <c r="BH26" s="193">
        <f t="shared" si="328"/>
        <v>0</v>
      </c>
      <c r="BI26" s="193">
        <f t="shared" si="245"/>
        <v>0</v>
      </c>
      <c r="BJ26" s="193">
        <f t="shared" ca="1" si="246"/>
        <v>0</v>
      </c>
      <c r="BK26" s="208">
        <f t="shared" ca="1" si="329"/>
        <v>0</v>
      </c>
      <c r="BL26" s="211" t="str">
        <f t="shared" ca="1" si="247"/>
        <v/>
      </c>
      <c r="BM26" s="214"/>
      <c r="BN26" s="215"/>
      <c r="BO26" s="215"/>
      <c r="BP26" s="199">
        <f t="shared" si="248"/>
        <v>0</v>
      </c>
      <c r="BQ26" s="199">
        <f t="shared" ca="1" si="249"/>
        <v>0</v>
      </c>
      <c r="BR26" s="216">
        <f t="shared" ca="1" si="250"/>
        <v>0</v>
      </c>
      <c r="BS26" s="202">
        <f t="shared" ca="1" si="251"/>
        <v>0</v>
      </c>
      <c r="BT26" s="203">
        <f t="shared" ca="1" si="252"/>
        <v>0</v>
      </c>
      <c r="BU26" s="203">
        <f t="shared" ca="1" si="253"/>
        <v>0</v>
      </c>
      <c r="BV26" s="204">
        <f t="shared" ca="1" si="254"/>
        <v>0</v>
      </c>
      <c r="BW26" s="205"/>
      <c r="BX26" s="206">
        <f t="shared" si="255"/>
        <v>0</v>
      </c>
      <c r="BY26" s="206">
        <f t="shared" ca="1" si="256"/>
        <v>0</v>
      </c>
      <c r="BZ26" s="207">
        <f t="shared" ca="1" si="338"/>
        <v>0</v>
      </c>
      <c r="CA26" s="193">
        <f t="shared" si="339"/>
        <v>0</v>
      </c>
      <c r="CB26" s="193">
        <f t="shared" si="257"/>
        <v>0</v>
      </c>
      <c r="CC26" s="193">
        <f t="shared" ca="1" si="158"/>
        <v>0</v>
      </c>
      <c r="CD26" s="208">
        <f t="shared" ca="1" si="340"/>
        <v>0</v>
      </c>
      <c r="CE26" s="212" t="str">
        <f t="shared" ca="1" si="258"/>
        <v/>
      </c>
      <c r="CF26" s="214"/>
      <c r="CG26" s="215"/>
      <c r="CH26" s="215"/>
      <c r="CI26" s="199">
        <f t="shared" si="259"/>
        <v>0</v>
      </c>
      <c r="CJ26" s="200">
        <f t="shared" ca="1" si="260"/>
        <v>0</v>
      </c>
      <c r="CK26" s="216">
        <f t="shared" ca="1" si="261"/>
        <v>0</v>
      </c>
      <c r="CL26" s="202">
        <f t="shared" ca="1" si="262"/>
        <v>0</v>
      </c>
      <c r="CM26" s="203">
        <f t="shared" ca="1" si="263"/>
        <v>0</v>
      </c>
      <c r="CN26" s="203">
        <f t="shared" ca="1" si="264"/>
        <v>0</v>
      </c>
      <c r="CO26" s="204">
        <f t="shared" ca="1" si="265"/>
        <v>0</v>
      </c>
      <c r="CP26" s="205"/>
      <c r="CQ26" s="206">
        <f t="shared" si="266"/>
        <v>0</v>
      </c>
      <c r="CR26" s="206">
        <f t="shared" ca="1" si="267"/>
        <v>0</v>
      </c>
      <c r="CS26" s="207">
        <f t="shared" ca="1" si="349"/>
        <v>0</v>
      </c>
      <c r="CT26" s="193">
        <f t="shared" si="350"/>
        <v>0</v>
      </c>
      <c r="CU26" s="193">
        <f t="shared" si="268"/>
        <v>0</v>
      </c>
      <c r="CV26" s="193">
        <f t="shared" ca="1" si="171"/>
        <v>0</v>
      </c>
      <c r="CW26" s="208">
        <f t="shared" ca="1" si="351"/>
        <v>0</v>
      </c>
      <c r="CX26" s="211" t="str">
        <f t="shared" ca="1" si="269"/>
        <v/>
      </c>
      <c r="CY26" s="197"/>
      <c r="CZ26" s="215"/>
      <c r="DA26" s="199"/>
      <c r="DB26" s="199">
        <f t="shared" si="270"/>
        <v>0</v>
      </c>
      <c r="DC26" s="199">
        <f t="shared" ca="1" si="271"/>
        <v>0</v>
      </c>
      <c r="DD26" s="216">
        <f t="shared" ca="1" si="272"/>
        <v>0</v>
      </c>
      <c r="DE26" s="202">
        <f t="shared" ca="1" si="273"/>
        <v>0</v>
      </c>
      <c r="DF26" s="203">
        <f t="shared" ca="1" si="274"/>
        <v>0</v>
      </c>
      <c r="DG26" s="203">
        <f t="shared" ca="1" si="275"/>
        <v>0</v>
      </c>
      <c r="DH26" s="204">
        <f t="shared" ca="1" si="276"/>
        <v>0</v>
      </c>
      <c r="DI26" s="205"/>
      <c r="DJ26" s="206">
        <f t="shared" si="277"/>
        <v>0</v>
      </c>
      <c r="DK26" s="206">
        <f t="shared" ca="1" si="278"/>
        <v>0</v>
      </c>
      <c r="DL26" s="207">
        <f t="shared" ca="1" si="360"/>
        <v>0</v>
      </c>
      <c r="DM26" s="193">
        <f t="shared" si="361"/>
        <v>0</v>
      </c>
      <c r="DN26" s="193">
        <f t="shared" si="279"/>
        <v>0</v>
      </c>
      <c r="DO26" s="193">
        <f t="shared" ca="1" si="184"/>
        <v>0</v>
      </c>
      <c r="DP26" s="208">
        <f t="shared" ca="1" si="362"/>
        <v>0</v>
      </c>
      <c r="DQ26" s="209" t="str">
        <f t="shared" ca="1" si="280"/>
        <v/>
      </c>
      <c r="DR26" s="197"/>
      <c r="DS26" s="215"/>
      <c r="DT26" s="199"/>
      <c r="DU26" s="199">
        <f t="shared" si="187"/>
        <v>0</v>
      </c>
      <c r="DV26" s="199">
        <f t="shared" ca="1" si="188"/>
        <v>0</v>
      </c>
      <c r="DW26" s="216">
        <f t="shared" ca="1" si="189"/>
        <v>0</v>
      </c>
      <c r="DX26" s="202">
        <f t="shared" ca="1" si="190"/>
        <v>0</v>
      </c>
      <c r="DY26" s="203">
        <f t="shared" ca="1" si="191"/>
        <v>0</v>
      </c>
      <c r="DZ26" s="203">
        <f t="shared" ca="1" si="192"/>
        <v>0</v>
      </c>
      <c r="EA26" s="204">
        <f t="shared" ca="1" si="193"/>
        <v>0</v>
      </c>
      <c r="EB26" s="205"/>
      <c r="EC26" s="206">
        <f t="shared" ref="EC26:EC27" si="455">EB26*$X26</f>
        <v>0</v>
      </c>
      <c r="ED26" s="206">
        <f t="shared" ca="1" si="194"/>
        <v>0</v>
      </c>
      <c r="EE26" s="207">
        <f t="shared" ca="1" si="364"/>
        <v>0</v>
      </c>
      <c r="EF26" s="193">
        <f t="shared" ref="EF26:EF27" si="456">DR26+EB26</f>
        <v>0</v>
      </c>
      <c r="EG26" s="193">
        <f t="shared" si="282"/>
        <v>0</v>
      </c>
      <c r="EH26" s="193">
        <f t="shared" ca="1" si="196"/>
        <v>0</v>
      </c>
      <c r="EI26" s="208">
        <f t="shared" ca="1" si="366"/>
        <v>0</v>
      </c>
      <c r="EJ26" s="214"/>
      <c r="EK26" s="215"/>
      <c r="EL26" s="222"/>
      <c r="EM26" s="199">
        <f t="shared" si="283"/>
        <v>0</v>
      </c>
      <c r="EN26" s="199">
        <f t="shared" ca="1" si="284"/>
        <v>0</v>
      </c>
      <c r="EO26" s="216">
        <f t="shared" ca="1" si="285"/>
        <v>0</v>
      </c>
      <c r="EP26" s="202">
        <f t="shared" ca="1" si="286"/>
        <v>0</v>
      </c>
      <c r="EQ26" s="203">
        <f t="shared" ca="1" si="287"/>
        <v>0</v>
      </c>
      <c r="ER26" s="203">
        <f t="shared" ca="1" si="288"/>
        <v>0</v>
      </c>
      <c r="ES26" s="204">
        <f t="shared" ca="1" si="289"/>
        <v>0</v>
      </c>
      <c r="ET26" s="205"/>
      <c r="EU26" s="206">
        <f t="shared" si="290"/>
        <v>0</v>
      </c>
      <c r="EV26" s="206">
        <f t="shared" ca="1" si="291"/>
        <v>0</v>
      </c>
      <c r="EW26" s="207">
        <f t="shared" ca="1" si="374"/>
        <v>0</v>
      </c>
      <c r="EX26" s="193">
        <f t="shared" si="375"/>
        <v>0</v>
      </c>
      <c r="EY26" s="193">
        <f t="shared" si="292"/>
        <v>0</v>
      </c>
      <c r="EZ26" s="193">
        <f t="shared" ca="1" si="208"/>
        <v>0</v>
      </c>
      <c r="FA26" s="208">
        <f t="shared" ca="1" si="376"/>
        <v>0</v>
      </c>
      <c r="FB26" s="212" t="str">
        <f t="shared" ca="1" si="293"/>
        <v/>
      </c>
      <c r="FC26" s="218"/>
      <c r="FD26" s="215"/>
      <c r="FE26" s="215"/>
      <c r="FF26" s="199">
        <f t="shared" si="294"/>
        <v>0</v>
      </c>
      <c r="FG26" s="199">
        <f t="shared" ca="1" si="295"/>
        <v>0</v>
      </c>
      <c r="FH26" s="216">
        <f t="shared" ca="1" si="296"/>
        <v>0</v>
      </c>
      <c r="FI26" s="202">
        <f t="shared" ca="1" si="297"/>
        <v>0</v>
      </c>
      <c r="FJ26" s="203">
        <f t="shared" ca="1" si="298"/>
        <v>0</v>
      </c>
      <c r="FK26" s="203">
        <f t="shared" ca="1" si="299"/>
        <v>0</v>
      </c>
      <c r="FL26" s="204">
        <f t="shared" ca="1" si="300"/>
        <v>0</v>
      </c>
      <c r="FM26" s="205"/>
      <c r="FN26" s="206">
        <f t="shared" si="301"/>
        <v>0</v>
      </c>
      <c r="FO26" s="206">
        <f t="shared" ca="1" si="302"/>
        <v>0</v>
      </c>
      <c r="FP26" s="207">
        <f t="shared" ca="1" si="385"/>
        <v>0</v>
      </c>
      <c r="FQ26" s="193">
        <f t="shared" si="386"/>
        <v>0</v>
      </c>
      <c r="FR26" s="193">
        <f t="shared" si="303"/>
        <v>0</v>
      </c>
      <c r="FS26" s="193">
        <f t="shared" ca="1" si="221"/>
        <v>0</v>
      </c>
      <c r="FT26" s="208">
        <f t="shared" ca="1" si="387"/>
        <v>0</v>
      </c>
      <c r="FU26" s="209" t="str">
        <f t="shared" ca="1" si="304"/>
        <v/>
      </c>
    </row>
    <row r="27" spans="1:177" ht="15.75" customHeight="1" outlineLevel="2" x14ac:dyDescent="0.2">
      <c r="A27" s="187"/>
      <c r="B27" s="187"/>
      <c r="C27" s="188"/>
      <c r="D27" s="189"/>
      <c r="E27" s="189"/>
      <c r="F27" s="188" t="s">
        <v>726</v>
      </c>
      <c r="G27" s="190"/>
      <c r="H27" s="1676"/>
      <c r="I27" s="1676"/>
      <c r="J27" s="1676"/>
      <c r="K27" s="1704"/>
      <c r="L27" s="1704"/>
      <c r="M27" s="187"/>
      <c r="N27" s="191"/>
      <c r="O27" s="191"/>
      <c r="P27" s="192">
        <f t="shared" ca="1" si="1"/>
        <v>0</v>
      </c>
      <c r="Q27" s="193">
        <f t="array" aca="1" ref="Q27" ca="1">SUM(IF($AA$15:$FT$15="I_pos",AA27:FT27))</f>
        <v>0</v>
      </c>
      <c r="R27" s="193"/>
      <c r="S27" s="188"/>
      <c r="T27" s="193"/>
      <c r="U27" s="194"/>
      <c r="V27" s="193"/>
      <c r="W27" s="188" t="s">
        <v>366</v>
      </c>
      <c r="X27" s="251">
        <v>1</v>
      </c>
      <c r="Y27" s="253"/>
      <c r="Z27" s="196">
        <f t="shared" ca="1" si="24"/>
        <v>0.78225</v>
      </c>
      <c r="AA27" s="214"/>
      <c r="AB27" s="215"/>
      <c r="AC27" s="215"/>
      <c r="AD27" s="199">
        <f t="shared" si="225"/>
        <v>0</v>
      </c>
      <c r="AE27" s="199">
        <f t="shared" ca="1" si="226"/>
        <v>0</v>
      </c>
      <c r="AF27" s="216">
        <f t="shared" ca="1" si="227"/>
        <v>0</v>
      </c>
      <c r="AG27" s="202">
        <f t="shared" ca="1" si="228"/>
        <v>0</v>
      </c>
      <c r="AH27" s="203">
        <f t="shared" ca="1" si="229"/>
        <v>0</v>
      </c>
      <c r="AI27" s="203">
        <f t="shared" ca="1" si="230"/>
        <v>0</v>
      </c>
      <c r="AJ27" s="204">
        <f t="shared" ca="1" si="231"/>
        <v>0</v>
      </c>
      <c r="AK27" s="205"/>
      <c r="AL27" s="206">
        <f t="shared" si="452"/>
        <v>0</v>
      </c>
      <c r="AM27" s="206">
        <f t="shared" ca="1" si="453"/>
        <v>0</v>
      </c>
      <c r="AN27" s="207">
        <f t="shared" ca="1" si="454"/>
        <v>0</v>
      </c>
      <c r="AO27" s="193">
        <f t="shared" si="315"/>
        <v>0</v>
      </c>
      <c r="AP27" s="193">
        <f t="shared" si="316"/>
        <v>0</v>
      </c>
      <c r="AQ27" s="193">
        <f t="shared" ca="1" si="317"/>
        <v>0</v>
      </c>
      <c r="AR27" s="208">
        <f t="shared" ca="1" si="318"/>
        <v>0</v>
      </c>
      <c r="AS27" s="209" t="str">
        <f t="shared" ca="1" si="235"/>
        <v/>
      </c>
      <c r="AT27" s="214"/>
      <c r="AU27" s="215"/>
      <c r="AV27" s="215"/>
      <c r="AW27" s="199">
        <f t="shared" si="236"/>
        <v>0</v>
      </c>
      <c r="AX27" s="199">
        <f t="shared" ca="1" si="237"/>
        <v>0</v>
      </c>
      <c r="AY27" s="216">
        <f t="shared" ca="1" si="238"/>
        <v>0</v>
      </c>
      <c r="AZ27" s="202">
        <f t="shared" ca="1" si="239"/>
        <v>0</v>
      </c>
      <c r="BA27" s="203">
        <f t="shared" ca="1" si="240"/>
        <v>0</v>
      </c>
      <c r="BB27" s="203">
        <f t="shared" ca="1" si="241"/>
        <v>0</v>
      </c>
      <c r="BC27" s="204">
        <f t="shared" ca="1" si="242"/>
        <v>0</v>
      </c>
      <c r="BD27" s="205"/>
      <c r="BE27" s="206">
        <f t="shared" si="243"/>
        <v>0</v>
      </c>
      <c r="BF27" s="206">
        <f t="shared" ca="1" si="244"/>
        <v>0</v>
      </c>
      <c r="BG27" s="207">
        <f t="shared" ca="1" si="327"/>
        <v>0</v>
      </c>
      <c r="BH27" s="193">
        <f t="shared" si="328"/>
        <v>0</v>
      </c>
      <c r="BI27" s="193">
        <f t="shared" si="245"/>
        <v>0</v>
      </c>
      <c r="BJ27" s="193">
        <f t="shared" ca="1" si="246"/>
        <v>0</v>
      </c>
      <c r="BK27" s="208">
        <f t="shared" ca="1" si="329"/>
        <v>0</v>
      </c>
      <c r="BL27" s="211" t="str">
        <f t="shared" ca="1" si="247"/>
        <v/>
      </c>
      <c r="BM27" s="214"/>
      <c r="BN27" s="215"/>
      <c r="BO27" s="215"/>
      <c r="BP27" s="199">
        <f t="shared" si="248"/>
        <v>0</v>
      </c>
      <c r="BQ27" s="199">
        <f t="shared" ca="1" si="249"/>
        <v>0</v>
      </c>
      <c r="BR27" s="216">
        <f t="shared" ca="1" si="250"/>
        <v>0</v>
      </c>
      <c r="BS27" s="202">
        <f t="shared" ca="1" si="251"/>
        <v>0</v>
      </c>
      <c r="BT27" s="203">
        <f t="shared" ca="1" si="252"/>
        <v>0</v>
      </c>
      <c r="BU27" s="203">
        <f t="shared" ca="1" si="253"/>
        <v>0</v>
      </c>
      <c r="BV27" s="204">
        <f t="shared" ca="1" si="254"/>
        <v>0</v>
      </c>
      <c r="BW27" s="205"/>
      <c r="BX27" s="206">
        <f t="shared" si="255"/>
        <v>0</v>
      </c>
      <c r="BY27" s="206">
        <f t="shared" ca="1" si="256"/>
        <v>0</v>
      </c>
      <c r="BZ27" s="207">
        <f t="shared" ca="1" si="338"/>
        <v>0</v>
      </c>
      <c r="CA27" s="193">
        <f t="shared" si="339"/>
        <v>0</v>
      </c>
      <c r="CB27" s="193">
        <f t="shared" si="257"/>
        <v>0</v>
      </c>
      <c r="CC27" s="193">
        <f t="shared" ca="1" si="158"/>
        <v>0</v>
      </c>
      <c r="CD27" s="208">
        <f t="shared" ca="1" si="340"/>
        <v>0</v>
      </c>
      <c r="CE27" s="212" t="str">
        <f t="shared" ca="1" si="258"/>
        <v/>
      </c>
      <c r="CF27" s="214"/>
      <c r="CG27" s="215"/>
      <c r="CH27" s="215"/>
      <c r="CI27" s="199">
        <f t="shared" si="259"/>
        <v>0</v>
      </c>
      <c r="CJ27" s="200">
        <f t="shared" ca="1" si="260"/>
        <v>0</v>
      </c>
      <c r="CK27" s="216">
        <f t="shared" ca="1" si="261"/>
        <v>0</v>
      </c>
      <c r="CL27" s="202">
        <f t="shared" ca="1" si="262"/>
        <v>0</v>
      </c>
      <c r="CM27" s="203">
        <f t="shared" ca="1" si="263"/>
        <v>0</v>
      </c>
      <c r="CN27" s="203">
        <f t="shared" ca="1" si="264"/>
        <v>0</v>
      </c>
      <c r="CO27" s="204">
        <f t="shared" ca="1" si="265"/>
        <v>0</v>
      </c>
      <c r="CP27" s="205"/>
      <c r="CQ27" s="206">
        <f t="shared" si="266"/>
        <v>0</v>
      </c>
      <c r="CR27" s="206">
        <f t="shared" ca="1" si="267"/>
        <v>0</v>
      </c>
      <c r="CS27" s="207">
        <f t="shared" ca="1" si="349"/>
        <v>0</v>
      </c>
      <c r="CT27" s="193">
        <f t="shared" si="350"/>
        <v>0</v>
      </c>
      <c r="CU27" s="193">
        <f t="shared" si="268"/>
        <v>0</v>
      </c>
      <c r="CV27" s="193">
        <f t="shared" ca="1" si="171"/>
        <v>0</v>
      </c>
      <c r="CW27" s="208">
        <f t="shared" ca="1" si="351"/>
        <v>0</v>
      </c>
      <c r="CX27" s="211" t="str">
        <f t="shared" ca="1" si="269"/>
        <v/>
      </c>
      <c r="CY27" s="197"/>
      <c r="CZ27" s="215"/>
      <c r="DA27" s="199"/>
      <c r="DB27" s="199">
        <f t="shared" si="270"/>
        <v>0</v>
      </c>
      <c r="DC27" s="199">
        <f t="shared" ca="1" si="271"/>
        <v>0</v>
      </c>
      <c r="DD27" s="216">
        <f t="shared" ca="1" si="272"/>
        <v>0</v>
      </c>
      <c r="DE27" s="202">
        <f t="shared" ca="1" si="273"/>
        <v>0</v>
      </c>
      <c r="DF27" s="203">
        <f t="shared" ca="1" si="274"/>
        <v>0</v>
      </c>
      <c r="DG27" s="203">
        <f t="shared" ca="1" si="275"/>
        <v>0</v>
      </c>
      <c r="DH27" s="204">
        <f t="shared" ca="1" si="276"/>
        <v>0</v>
      </c>
      <c r="DI27" s="205"/>
      <c r="DJ27" s="206">
        <f t="shared" si="277"/>
        <v>0</v>
      </c>
      <c r="DK27" s="206">
        <f t="shared" ca="1" si="278"/>
        <v>0</v>
      </c>
      <c r="DL27" s="207">
        <f t="shared" ca="1" si="360"/>
        <v>0</v>
      </c>
      <c r="DM27" s="193">
        <f t="shared" si="361"/>
        <v>0</v>
      </c>
      <c r="DN27" s="193">
        <f t="shared" si="279"/>
        <v>0</v>
      </c>
      <c r="DO27" s="193">
        <f t="shared" ca="1" si="184"/>
        <v>0</v>
      </c>
      <c r="DP27" s="208">
        <f t="shared" ca="1" si="362"/>
        <v>0</v>
      </c>
      <c r="DQ27" s="209" t="str">
        <f t="shared" ca="1" si="280"/>
        <v/>
      </c>
      <c r="DR27" s="197"/>
      <c r="DS27" s="215"/>
      <c r="DT27" s="199"/>
      <c r="DU27" s="199">
        <f t="shared" si="187"/>
        <v>0</v>
      </c>
      <c r="DV27" s="199">
        <f t="shared" ca="1" si="188"/>
        <v>0</v>
      </c>
      <c r="DW27" s="216">
        <f t="shared" ca="1" si="189"/>
        <v>0</v>
      </c>
      <c r="DX27" s="202">
        <f t="shared" ca="1" si="190"/>
        <v>0</v>
      </c>
      <c r="DY27" s="203">
        <f t="shared" ca="1" si="191"/>
        <v>0</v>
      </c>
      <c r="DZ27" s="203">
        <f t="shared" ca="1" si="192"/>
        <v>0</v>
      </c>
      <c r="EA27" s="204">
        <f t="shared" ca="1" si="193"/>
        <v>0</v>
      </c>
      <c r="EB27" s="205"/>
      <c r="EC27" s="206">
        <f t="shared" si="455"/>
        <v>0</v>
      </c>
      <c r="ED27" s="206">
        <f t="shared" ca="1" si="194"/>
        <v>0</v>
      </c>
      <c r="EE27" s="207">
        <f t="shared" ca="1" si="364"/>
        <v>0</v>
      </c>
      <c r="EF27" s="193">
        <f t="shared" si="456"/>
        <v>0</v>
      </c>
      <c r="EG27" s="193">
        <f t="shared" si="282"/>
        <v>0</v>
      </c>
      <c r="EH27" s="193">
        <f t="shared" ca="1" si="196"/>
        <v>0</v>
      </c>
      <c r="EI27" s="208">
        <f t="shared" ca="1" si="366"/>
        <v>0</v>
      </c>
      <c r="EJ27" s="214"/>
      <c r="EK27" s="215"/>
      <c r="EL27" s="222"/>
      <c r="EM27" s="199">
        <f t="shared" si="283"/>
        <v>0</v>
      </c>
      <c r="EN27" s="199">
        <f t="shared" ca="1" si="284"/>
        <v>0</v>
      </c>
      <c r="EO27" s="216">
        <f t="shared" ca="1" si="285"/>
        <v>0</v>
      </c>
      <c r="EP27" s="202">
        <f t="shared" ca="1" si="286"/>
        <v>0</v>
      </c>
      <c r="EQ27" s="203">
        <f t="shared" ca="1" si="287"/>
        <v>0</v>
      </c>
      <c r="ER27" s="203">
        <f t="shared" ca="1" si="288"/>
        <v>0</v>
      </c>
      <c r="ES27" s="204">
        <f t="shared" ca="1" si="289"/>
        <v>0</v>
      </c>
      <c r="ET27" s="205"/>
      <c r="EU27" s="206">
        <f t="shared" si="290"/>
        <v>0</v>
      </c>
      <c r="EV27" s="206">
        <f t="shared" ca="1" si="291"/>
        <v>0</v>
      </c>
      <c r="EW27" s="207">
        <f t="shared" ca="1" si="374"/>
        <v>0</v>
      </c>
      <c r="EX27" s="193">
        <f t="shared" si="375"/>
        <v>0</v>
      </c>
      <c r="EY27" s="193">
        <f t="shared" si="292"/>
        <v>0</v>
      </c>
      <c r="EZ27" s="193">
        <f t="shared" ca="1" si="208"/>
        <v>0</v>
      </c>
      <c r="FA27" s="208">
        <f t="shared" ca="1" si="376"/>
        <v>0</v>
      </c>
      <c r="FB27" s="212" t="str">
        <f t="shared" ca="1" si="293"/>
        <v/>
      </c>
      <c r="FC27" s="218"/>
      <c r="FD27" s="215"/>
      <c r="FE27" s="215"/>
      <c r="FF27" s="199">
        <f t="shared" si="294"/>
        <v>0</v>
      </c>
      <c r="FG27" s="199">
        <f t="shared" ca="1" si="295"/>
        <v>0</v>
      </c>
      <c r="FH27" s="216">
        <f t="shared" ca="1" si="296"/>
        <v>0</v>
      </c>
      <c r="FI27" s="202">
        <f t="shared" ca="1" si="297"/>
        <v>0</v>
      </c>
      <c r="FJ27" s="203">
        <f t="shared" ca="1" si="298"/>
        <v>0</v>
      </c>
      <c r="FK27" s="203">
        <f t="shared" ca="1" si="299"/>
        <v>0</v>
      </c>
      <c r="FL27" s="204">
        <f t="shared" ca="1" si="300"/>
        <v>0</v>
      </c>
      <c r="FM27" s="205"/>
      <c r="FN27" s="206">
        <f t="shared" si="301"/>
        <v>0</v>
      </c>
      <c r="FO27" s="206">
        <f t="shared" ca="1" si="302"/>
        <v>0</v>
      </c>
      <c r="FP27" s="207">
        <f t="shared" ca="1" si="385"/>
        <v>0</v>
      </c>
      <c r="FQ27" s="193">
        <f t="shared" si="386"/>
        <v>0</v>
      </c>
      <c r="FR27" s="193">
        <f t="shared" si="303"/>
        <v>0</v>
      </c>
      <c r="FS27" s="193">
        <f t="shared" ca="1" si="221"/>
        <v>0</v>
      </c>
      <c r="FT27" s="208">
        <f t="shared" ca="1" si="387"/>
        <v>0</v>
      </c>
      <c r="FU27" s="209" t="str">
        <f t="shared" ca="1" si="304"/>
        <v/>
      </c>
    </row>
    <row r="28" spans="1:177" x14ac:dyDescent="0.2">
      <c r="A28" s="254" t="s">
        <v>368</v>
      </c>
      <c r="B28" s="254"/>
      <c r="C28" s="255"/>
      <c r="D28" s="256"/>
      <c r="E28" s="257"/>
      <c r="F28" s="255"/>
      <c r="G28" s="258"/>
      <c r="H28" s="1706"/>
      <c r="I28" s="1678"/>
      <c r="J28" s="1706"/>
      <c r="K28" s="1678"/>
      <c r="L28" s="1678"/>
      <c r="M28" s="254"/>
      <c r="N28" s="260" cm="1">
        <f t="array" ref="N28">SUM(IF($B$29:$B$76="",N$29:N$76))</f>
        <v>0.23999999999999996</v>
      </c>
      <c r="O28" s="260" cm="1">
        <f t="array" ref="O28">SUM(IF($B$29:$B$76="",O$29:O$76))</f>
        <v>0.2</v>
      </c>
      <c r="P28" s="261">
        <f t="shared" ca="1" si="1"/>
        <v>0.25518641337030035</v>
      </c>
      <c r="Q28" s="262"/>
      <c r="R28" s="262"/>
      <c r="S28" s="255" t="s">
        <v>718</v>
      </c>
      <c r="T28" s="262"/>
      <c r="U28" s="263"/>
      <c r="V28" s="262"/>
      <c r="W28" s="255"/>
      <c r="X28" s="264"/>
      <c r="Y28" s="264"/>
      <c r="Z28" s="265"/>
      <c r="AA28" s="266"/>
      <c r="AB28" s="267"/>
      <c r="AC28" s="267"/>
      <c r="AD28" s="255"/>
      <c r="AE28" s="268" cm="1">
        <f t="array" aca="1" ref="AE28" ca="1">SUM(IF($B$29:$B$76="",AE$29:AE$76))</f>
        <v>145659.17171343986</v>
      </c>
      <c r="AF28" s="269" cm="1">
        <f t="array" aca="1" ref="AF28" ca="1">SUM(IF($B$29:$B$76="",AF$29:AF$76))</f>
        <v>0.25941265402583807</v>
      </c>
      <c r="AG28" s="270"/>
      <c r="AH28" s="259"/>
      <c r="AI28" s="268" cm="1">
        <f t="array" aca="1" ref="AI28" ca="1">SUM(IF($B$29:$B$76="",AI$29:AI$76))</f>
        <v>-10900.127893844037</v>
      </c>
      <c r="AJ28" s="271" cm="1">
        <f t="array" aca="1" ref="AJ28" ca="1">SUM(IF($B$29:$B$76="",AJ$29:AJ$76))</f>
        <v>-1.941265402583809E-2</v>
      </c>
      <c r="AK28" s="270"/>
      <c r="AL28" s="259"/>
      <c r="AM28" s="268" cm="1">
        <f t="array" aca="1" ref="AM28" ca="1">SUM(IF($B$29:$B$76="",AM$29:AM$76))</f>
        <v>0</v>
      </c>
      <c r="AN28" s="271" cm="1">
        <f t="array" aca="1" ref="AN28" ca="1">SUM(IF($B$29:$B$76="",AN$29:AN$76))</f>
        <v>0</v>
      </c>
      <c r="AO28" s="259"/>
      <c r="AP28" s="259"/>
      <c r="AQ28" s="268" cm="1">
        <f t="array" aca="1" ref="AQ28" ca="1">SUM(IF($B$29:$B$76="",AQ$29:AQ$76))</f>
        <v>145659.17171343986</v>
      </c>
      <c r="AR28" s="269" cm="1">
        <f t="array" aca="1" ref="AR28" ca="1">SUM(IF($B$29:$B$76="",AR$29:AR$76))</f>
        <v>0.25941265402583807</v>
      </c>
      <c r="AS28" s="183" cm="1">
        <f t="array" aca="1" ref="AS28" ca="1">SUM(IF($B$29:$B$76="",AS$29:AS$76))</f>
        <v>0</v>
      </c>
      <c r="AT28" s="266"/>
      <c r="AU28" s="267"/>
      <c r="AV28" s="267"/>
      <c r="AW28" s="255"/>
      <c r="AX28" s="268" cm="1">
        <f t="array" aca="1" ref="AX28" ca="1">SUM(IF($B$29:$B$76="",AX$29:AX$76))</f>
        <v>452312.48588391551</v>
      </c>
      <c r="AY28" s="269" cm="1">
        <f t="array" aca="1" ref="AY28" ca="1">SUM(IF($B$29:$B$76="",AY$29:AY$76))</f>
        <v>0.26117421655484974</v>
      </c>
      <c r="AZ28" s="270"/>
      <c r="BA28" s="259"/>
      <c r="BB28" s="268" cm="1">
        <f t="array" aca="1" ref="BB28" ca="1">SUM(IF($B$29:$B$76="",BB$29:BB$76))</f>
        <v>-36670.398222701551</v>
      </c>
      <c r="BC28" s="271" cm="1">
        <f t="array" aca="1" ref="BC28" ca="1">SUM(IF($B$29:$B$76="",BC$29:BC$76))</f>
        <v>-2.1174216554849704E-2</v>
      </c>
      <c r="BD28" s="270"/>
      <c r="BE28" s="259"/>
      <c r="BF28" s="268" cm="1">
        <f t="array" aca="1" ref="BF28" ca="1">SUM(IF($B$29:$B$76="",BF$29:BF$76))</f>
        <v>0</v>
      </c>
      <c r="BG28" s="271" cm="1">
        <f t="array" aca="1" ref="BG28" ca="1">SUM(IF($B$29:$B$76="",BG$29:BG$76))</f>
        <v>0</v>
      </c>
      <c r="BH28" s="259"/>
      <c r="BI28" s="259"/>
      <c r="BJ28" s="268" cm="1">
        <f t="array" aca="1" ref="BJ28" ca="1">SUM(IF($B$29:$B$76="",BJ$29:BJ$76))</f>
        <v>452312.48588391551</v>
      </c>
      <c r="BK28" s="269" cm="1">
        <f t="array" aca="1" ref="BK28" ca="1">SUM(IF($B$29:$B$76="",BK$29:BK$76))</f>
        <v>0.26117421655484974</v>
      </c>
      <c r="BL28" s="53" cm="1">
        <f t="array" aca="1" ref="BL28" ca="1">SUM(IF($B$29:$B$76="",BL$29:BL$76))</f>
        <v>0</v>
      </c>
      <c r="BM28" s="266"/>
      <c r="BN28" s="267"/>
      <c r="BO28" s="267"/>
      <c r="BP28" s="255"/>
      <c r="BQ28" s="268" cm="1">
        <f t="array" aca="1" ref="BQ28" ca="1">SUM(IF($B$29:$B$76="",BQ$29:BQ$76))</f>
        <v>59978.09807495174</v>
      </c>
      <c r="BR28" s="269" cm="1">
        <f t="array" aca="1" ref="BR28" ca="1">SUM(IF($B$29:$B$76="",BR$29:BR$76))</f>
        <v>0.21046996523321451</v>
      </c>
      <c r="BS28" s="270"/>
      <c r="BT28" s="259"/>
      <c r="BU28" s="268" cm="1">
        <f t="array" aca="1" ref="BU28" ca="1">SUM(IF($B$29:$B$76="",BU$29:BU$76))</f>
        <v>8415.2402431218034</v>
      </c>
      <c r="BV28" s="271" cm="1">
        <f t="array" aca="1" ref="BV28" ca="1">SUM(IF($B$29:$B$76="",BV$29:BV$76))</f>
        <v>2.9530034766785479E-2</v>
      </c>
      <c r="BW28" s="270"/>
      <c r="BX28" s="259"/>
      <c r="BY28" s="268" cm="1">
        <f t="array" aca="1" ref="BY28" ca="1">SUM(IF($B$29:$B$76="",BY$29:BY$76))</f>
        <v>0</v>
      </c>
      <c r="BZ28" s="271" cm="1">
        <f t="array" aca="1" ref="BZ28" ca="1">SUM(IF($B$29:$B$76="",BZ$29:BZ$76))</f>
        <v>0</v>
      </c>
      <c r="CA28" s="259"/>
      <c r="CB28" s="259"/>
      <c r="CC28" s="268" cm="1">
        <f t="array" aca="1" ref="CC28" ca="1">SUM(IF($B$29:$B$76="",CC$29:CC$76))</f>
        <v>59978.09807495174</v>
      </c>
      <c r="CD28" s="269" cm="1">
        <f t="array" aca="1" ref="CD28" ca="1">SUM(IF($B$29:$B$76="",CD$29:CD$76))</f>
        <v>0.21046996523321451</v>
      </c>
      <c r="CE28" s="184" cm="1">
        <f t="array" aca="1" ref="CE28" ca="1">SUM(IF($B$29:$B$76="",CE$29:CE$76))</f>
        <v>0</v>
      </c>
      <c r="CF28" s="266"/>
      <c r="CG28" s="267"/>
      <c r="CH28" s="267"/>
      <c r="CI28" s="255"/>
      <c r="CJ28" s="268" cm="1">
        <f t="array" aca="1" ref="CJ28" ca="1">SUM(IF($B$29:$B$76="",CJ$29:CJ$76))</f>
        <v>256486.4569543351</v>
      </c>
      <c r="CK28" s="269" cm="1">
        <f t="array" aca="1" ref="CK28" ca="1">SUM(IF($B$29:$B$76="",CK$29:CK$76))</f>
        <v>0.28982844559163407</v>
      </c>
      <c r="CL28" s="270"/>
      <c r="CM28" s="259"/>
      <c r="CN28" s="268" cm="1">
        <f t="array" aca="1" ref="CN28" ca="1">SUM(IF($B$29:$B$76="",CN$29:CN$76))</f>
        <v>-44096.159848117371</v>
      </c>
      <c r="CO28" s="271" cm="1">
        <f t="array" aca="1" ref="CO28" ca="1">SUM(IF($B$29:$B$76="",CO$29:CO$76))</f>
        <v>-4.9828445591634074E-2</v>
      </c>
      <c r="CP28" s="270"/>
      <c r="CQ28" s="259"/>
      <c r="CR28" s="268" cm="1">
        <f t="array" aca="1" ref="CR28" ca="1">SUM(IF($B$29:$B$76="",CR$29:CR$76))</f>
        <v>0</v>
      </c>
      <c r="CS28" s="271" cm="1">
        <f t="array" aca="1" ref="CS28" ca="1">SUM(IF($B$29:$B$76="",CS$29:CS$76))</f>
        <v>0</v>
      </c>
      <c r="CT28" s="259"/>
      <c r="CU28" s="259"/>
      <c r="CV28" s="268" cm="1">
        <f t="array" aca="1" ref="CV28" ca="1">SUM(IF($B$29:$B$76="",CV$29:CV$76))</f>
        <v>256486.4569543351</v>
      </c>
      <c r="CW28" s="269" cm="1">
        <f t="array" aca="1" ref="CW28" ca="1">SUM(IF($B$29:$B$76="",CW$29:CW$76))</f>
        <v>0.28982844559163407</v>
      </c>
      <c r="CX28" s="53" cm="1">
        <f t="array" aca="1" ref="CX28" ca="1">SUM(IF($B$29:$B$76="",CX$29:CX$76))</f>
        <v>0</v>
      </c>
      <c r="CY28" s="266"/>
      <c r="CZ28" s="267"/>
      <c r="DA28" s="255"/>
      <c r="DB28" s="268"/>
      <c r="DC28" s="268" cm="1">
        <f t="array" aca="1" ref="DC28" ca="1">SUM(IF($B$29:$B$76="",DC$29:DC$76))</f>
        <v>1253916.6491206433</v>
      </c>
      <c r="DD28" s="269" cm="1">
        <f t="array" aca="1" ref="DD28" ca="1">SUM(IF($B$29:$B$76="",DD$29:DD$76))</f>
        <v>0.34972665989991569</v>
      </c>
      <c r="DE28" s="270"/>
      <c r="DF28" s="259"/>
      <c r="DG28" s="268" cm="1">
        <f t="array" aca="1" ref="DG28" ca="1">SUM(IF($B$29:$B$76="",DG$29:DG$76))</f>
        <v>-393416.06310561934</v>
      </c>
      <c r="DH28" s="271" cm="1">
        <f t="array" aca="1" ref="DH28" ca="1">SUM(IF($B$29:$B$76="",DH$29:DH$76))</f>
        <v>-0.10972665989991565</v>
      </c>
      <c r="DI28" s="270"/>
      <c r="DJ28" s="259"/>
      <c r="DK28" s="268" cm="1">
        <f t="array" aca="1" ref="DK28" ca="1">SUM(IF($B$29:$B$76="",DK$29:DK$76))</f>
        <v>0</v>
      </c>
      <c r="DL28" s="271" cm="1">
        <f t="array" aca="1" ref="DL28" ca="1">SUM(IF($B$29:$B$76="",DL$29:DL$76))</f>
        <v>0</v>
      </c>
      <c r="DM28" s="259"/>
      <c r="DN28" s="259"/>
      <c r="DO28" s="268" cm="1">
        <f t="array" aca="1" ref="DO28" ca="1">SUM(IF($B$29:$B$76="",DO$29:DO$76))</f>
        <v>1253916.6491206433</v>
      </c>
      <c r="DP28" s="269" cm="1">
        <f t="array" aca="1" ref="DP28" ca="1">SUM(IF($B$29:$B$76="",DP$29:DP$76))</f>
        <v>0.34972665989991569</v>
      </c>
      <c r="DQ28" s="183" cm="1">
        <f t="array" aca="1" ref="DQ28" ca="1">SUM(IF($B$29:$B$76="",DQ$29:DQ$76))</f>
        <v>0</v>
      </c>
      <c r="DR28" s="266"/>
      <c r="DS28" s="267"/>
      <c r="DT28" s="255"/>
      <c r="DU28" s="268"/>
      <c r="DV28" s="268" cm="1">
        <f t="array" aca="1" ref="DV28" ca="1">SUM(IF($B$29:$B$76="",DV$29:DV$76))</f>
        <v>149701.47779448959</v>
      </c>
      <c r="DW28" s="269" cm="1">
        <f t="array" aca="1" ref="DW28" ca="1">SUM(IF($B$29:$B$76="",DW$29:DW$76))</f>
        <v>0.2133229541567197</v>
      </c>
      <c r="DX28" s="270"/>
      <c r="DY28" s="259"/>
      <c r="DZ28" s="268" cm="1">
        <f t="array" aca="1" ref="DZ28" ca="1">SUM(IF($B$29:$B$76="",DZ$29:DZ$76))</f>
        <v>18720.878874555983</v>
      </c>
      <c r="EA28" s="271" cm="1">
        <f t="array" aca="1" ref="EA28" ca="1">SUM(IF($B$29:$B$76="",EA$29:EA$76))</f>
        <v>2.6677045843280324E-2</v>
      </c>
      <c r="EB28" s="270"/>
      <c r="EC28" s="259"/>
      <c r="ED28" s="268" cm="1">
        <f t="array" aca="1" ref="ED28" ca="1">SUM(IF($B$29:$B$76="",ED$29:ED$76))</f>
        <v>0</v>
      </c>
      <c r="EE28" s="271" cm="1">
        <f t="array" aca="1" ref="EE28" ca="1">SUM(IF($B$29:$B$76="",EE$29:EE$76))</f>
        <v>0</v>
      </c>
      <c r="EF28" s="259"/>
      <c r="EG28" s="259"/>
      <c r="EH28" s="268" cm="1">
        <f t="array" aca="1" ref="EH28" ca="1">SUM(IF($B$29:$B$76="",EH$29:EH$76))</f>
        <v>149701.47779448959</v>
      </c>
      <c r="EI28" s="269" cm="1">
        <f t="array" aca="1" ref="EI28" ca="1">SUM(IF($B$29:$B$76="",EI$29:EI$76))</f>
        <v>0.2133229541567197</v>
      </c>
      <c r="EJ28" s="266"/>
      <c r="EK28" s="267"/>
      <c r="EL28" s="272"/>
      <c r="EM28" s="255"/>
      <c r="EN28" s="268" cm="1">
        <f t="array" aca="1" ref="EN28" ca="1">SUM(IF($B$29:$B$76="",EN$29:EN$76))</f>
        <v>132932.59633785181</v>
      </c>
      <c r="EO28" s="269" cm="1">
        <f t="array" aca="1" ref="EO28" ca="1">SUM(IF($B$29:$B$76="",EO$29:EO$76))</f>
        <v>0.18729543055688189</v>
      </c>
      <c r="EP28" s="270"/>
      <c r="EQ28" s="259"/>
      <c r="ER28" s="268" cm="1">
        <f t="array" aca="1" ref="ER28" ca="1">SUM(IF($B$29:$B$76="",ER$29:ER$76))</f>
        <v>37406.973753235899</v>
      </c>
      <c r="ES28" s="271" cm="1">
        <f t="array" aca="1" ref="ES28" ca="1">SUM(IF($B$29:$B$76="",ES$29:ES$76))</f>
        <v>5.2704569443118091E-2</v>
      </c>
      <c r="ET28" s="270"/>
      <c r="EU28" s="259"/>
      <c r="EV28" s="268" cm="1">
        <f t="array" aca="1" ref="EV28" ca="1">SUM(IF($B$29:$B$76="",EV$29:EV$76))</f>
        <v>0</v>
      </c>
      <c r="EW28" s="271" cm="1">
        <f t="array" aca="1" ref="EW28" ca="1">SUM(IF($B$29:$B$76="",EW$29:EW$76))</f>
        <v>0</v>
      </c>
      <c r="EX28" s="259"/>
      <c r="EY28" s="259"/>
      <c r="EZ28" s="268" cm="1">
        <f t="array" aca="1" ref="EZ28" ca="1">SUM(IF($B$29:$B$76="",EZ$29:EZ$76))</f>
        <v>132932.59633785181</v>
      </c>
      <c r="FA28" s="269" cm="1">
        <f t="array" aca="1" ref="FA28" ca="1">SUM(IF($B$29:$B$76="",FA$29:FA$76))</f>
        <v>0.18729543055688189</v>
      </c>
      <c r="FB28" s="184" cm="1">
        <f t="array" aca="1" ref="FB28" ca="1">SUM(IF($B$29:$B$76="",FB$29:FB$76))</f>
        <v>0</v>
      </c>
      <c r="FC28" s="266"/>
      <c r="FD28" s="267"/>
      <c r="FE28" s="267"/>
      <c r="FF28" s="255"/>
      <c r="FG28" s="268" cm="1">
        <f t="array" aca="1" ref="FG28" ca="1">SUM(IF($B$29:$B$76="",FG$29:FG$76))</f>
        <v>593187.02047971159</v>
      </c>
      <c r="FH28" s="269" cm="1">
        <f t="array" aca="1" ref="FH28" ca="1">SUM(IF($B$29:$B$76="",FH$29:FH$76))</f>
        <v>0.13015259394354861</v>
      </c>
      <c r="FI28" s="270"/>
      <c r="FJ28" s="259"/>
      <c r="FK28" s="268" cm="1">
        <f t="array" aca="1" ref="FK28" ca="1">SUM(IF($B$29:$B$76="",FK$29:FK$76))</f>
        <v>500643.5410293357</v>
      </c>
      <c r="FL28" s="271" cm="1">
        <f t="array" aca="1" ref="FL28" ca="1">SUM(IF($B$29:$B$76="",FL$29:FL$76))</f>
        <v>0.10984740605645142</v>
      </c>
      <c r="FM28" s="270"/>
      <c r="FN28" s="259"/>
      <c r="FO28" s="268" cm="1">
        <f t="array" aca="1" ref="FO28" ca="1">SUM(IF($B$29:$B$76="",FO$29:FO$76))</f>
        <v>0</v>
      </c>
      <c r="FP28" s="271" cm="1">
        <f t="array" aca="1" ref="FP28" ca="1">SUM(IF($B$29:$B$76="",FP$29:FP$76))</f>
        <v>0</v>
      </c>
      <c r="FQ28" s="259"/>
      <c r="FR28" s="259"/>
      <c r="FS28" s="268" cm="1">
        <f t="array" aca="1" ref="FS28" ca="1">SUM(IF($B$29:$B$76="",FS$29:FS$76))</f>
        <v>593187.02047971159</v>
      </c>
      <c r="FT28" s="269" cm="1">
        <f t="array" aca="1" ref="FT28" ca="1">SUM(IF($B$29:$B$76="",FT$29:FT$76))</f>
        <v>0.13015259394354861</v>
      </c>
      <c r="FU28" s="183" t="str">
        <f t="shared" ca="1" si="71"/>
        <v>V</v>
      </c>
    </row>
    <row r="29" spans="1:177" outlineLevel="1" x14ac:dyDescent="0.2">
      <c r="A29" s="273"/>
      <c r="B29" s="274" t="s">
        <v>369</v>
      </c>
      <c r="C29" s="275"/>
      <c r="D29" s="276"/>
      <c r="E29" s="277"/>
      <c r="F29" s="275"/>
      <c r="G29" s="278"/>
      <c r="H29" s="1679"/>
      <c r="I29" s="1679"/>
      <c r="J29" s="1707"/>
      <c r="K29" s="1679"/>
      <c r="L29" s="1679"/>
      <c r="M29" s="280"/>
      <c r="N29" s="281">
        <f>SUM(N$30:N$57)</f>
        <v>0.23999999999999996</v>
      </c>
      <c r="O29" s="281">
        <f>SUM(O$30:O$57)</f>
        <v>0.2</v>
      </c>
      <c r="P29" s="282">
        <f t="shared" ca="1" si="1"/>
        <v>0.25518641337030035</v>
      </c>
      <c r="Q29" s="283"/>
      <c r="R29" s="283"/>
      <c r="S29" s="275"/>
      <c r="T29" s="283"/>
      <c r="U29" s="284"/>
      <c r="V29" s="283"/>
      <c r="W29" s="285"/>
      <c r="X29" s="286"/>
      <c r="Y29" s="286"/>
      <c r="Z29" s="287"/>
      <c r="AA29" s="288"/>
      <c r="AB29" s="289"/>
      <c r="AC29" s="289"/>
      <c r="AD29" s="275"/>
      <c r="AE29" s="290">
        <f ca="1">SUM(AE$30:AE$57)</f>
        <v>145659.17171343986</v>
      </c>
      <c r="AF29" s="291">
        <f t="shared" ref="AF29:AF30" ca="1" si="457">IFERROR(AE29/AA$4,0)</f>
        <v>0.25941265402583807</v>
      </c>
      <c r="AG29" s="292"/>
      <c r="AH29" s="275"/>
      <c r="AI29" s="290">
        <f ca="1">SUM(AI$30:AI$57)</f>
        <v>-10900.127893844037</v>
      </c>
      <c r="AJ29" s="293">
        <f ca="1">IFERROR(AI29/AA$4,0)</f>
        <v>-1.9412654025838093E-2</v>
      </c>
      <c r="AK29" s="292"/>
      <c r="AL29" s="275"/>
      <c r="AM29" s="290">
        <f ca="1">SUM(AM$30:AM$57)</f>
        <v>0</v>
      </c>
      <c r="AN29" s="293">
        <f t="shared" ref="AN29:AN30" ca="1" si="458">IFERROR(AM29/AA$4,0)</f>
        <v>0</v>
      </c>
      <c r="AO29" s="275"/>
      <c r="AP29" s="275"/>
      <c r="AQ29" s="290">
        <f ca="1">SUM(AQ$30:AQ$57)</f>
        <v>145659.17171343986</v>
      </c>
      <c r="AR29" s="291">
        <f t="shared" ref="AR29:AR30" ca="1" si="459">IFERROR(AQ29/AA$4,0)</f>
        <v>0.25941265402583807</v>
      </c>
      <c r="AS29" s="294" t="str">
        <f t="shared" ref="AS29:AS30" ca="1" si="460">IF(SUM(AF29,AN29,AR29)&lt;&gt;0,"V","")</f>
        <v>V</v>
      </c>
      <c r="AT29" s="288"/>
      <c r="AU29" s="289"/>
      <c r="AV29" s="289"/>
      <c r="AW29" s="275"/>
      <c r="AX29" s="290">
        <f ca="1">SUM(AX$30:AX$57)</f>
        <v>452312.48588391551</v>
      </c>
      <c r="AY29" s="291">
        <f t="shared" ref="AY29:AY30" ca="1" si="461">IFERROR(AX29/AT$4,0)</f>
        <v>0.26117421655484968</v>
      </c>
      <c r="AZ29" s="292"/>
      <c r="BA29" s="275"/>
      <c r="BB29" s="290">
        <f ca="1">SUM(BB$30:BB$57)</f>
        <v>-36670.398222701551</v>
      </c>
      <c r="BC29" s="293">
        <f ca="1">IFERROR(BB29/AT$4,0)</f>
        <v>-2.117421655484971E-2</v>
      </c>
      <c r="BD29" s="292"/>
      <c r="BE29" s="275"/>
      <c r="BF29" s="290">
        <f ca="1">SUM(BF$30:BF$57)</f>
        <v>0</v>
      </c>
      <c r="BG29" s="293">
        <f t="shared" ref="BG29:BG30" ca="1" si="462">IFERROR(BF29/AT$4,0)</f>
        <v>0</v>
      </c>
      <c r="BH29" s="275"/>
      <c r="BI29" s="275"/>
      <c r="BJ29" s="290">
        <f ca="1">SUM(BJ$30:BJ$57)</f>
        <v>452312.48588391551</v>
      </c>
      <c r="BK29" s="291">
        <f t="shared" ref="BK29:BK30" ca="1" si="463">IFERROR(BJ29/AT$4,0)</f>
        <v>0.26117421655484968</v>
      </c>
      <c r="BL29" s="295" t="str">
        <f t="shared" ref="BL29:BL30" ca="1" si="464">IF(SUM(AY29,BG29,BK29)&lt;&gt;0,"V","")</f>
        <v>V</v>
      </c>
      <c r="BM29" s="288"/>
      <c r="BN29" s="289"/>
      <c r="BO29" s="289"/>
      <c r="BP29" s="275"/>
      <c r="BQ29" s="290">
        <f ca="1">SUM(BQ$30:BQ$57)</f>
        <v>59978.09807495174</v>
      </c>
      <c r="BR29" s="291">
        <f t="shared" ref="BR29:BR30" ca="1" si="465">IFERROR(BQ29/BM$4,0)</f>
        <v>0.21046996523321451</v>
      </c>
      <c r="BS29" s="292"/>
      <c r="BT29" s="275"/>
      <c r="BU29" s="290">
        <f ca="1">SUM(BU$30:BU$57)</f>
        <v>8415.2402431218034</v>
      </c>
      <c r="BV29" s="293">
        <f ca="1">IFERROR(BU29/BM$4,0)</f>
        <v>2.9530034766785469E-2</v>
      </c>
      <c r="BW29" s="292"/>
      <c r="BX29" s="275"/>
      <c r="BY29" s="290">
        <f ca="1">SUM(BY$30:BY$57)</f>
        <v>0</v>
      </c>
      <c r="BZ29" s="293">
        <f t="shared" ref="BZ29:BZ30" ca="1" si="466">IFERROR(BY29/BM$4,0)</f>
        <v>0</v>
      </c>
      <c r="CA29" s="275"/>
      <c r="CB29" s="275"/>
      <c r="CC29" s="290">
        <f ca="1">SUM(CC$30:CC$57)</f>
        <v>59978.09807495174</v>
      </c>
      <c r="CD29" s="291">
        <f t="shared" ref="CD29:CD30" ca="1" si="467">IFERROR(CC29/BM$4,0)</f>
        <v>0.21046996523321451</v>
      </c>
      <c r="CE29" s="295" t="str">
        <f t="shared" ref="CE29:CE30" ca="1" si="468">IF(SUM(BR29,BZ29,CD29)&lt;&gt;0,"V","")</f>
        <v>V</v>
      </c>
      <c r="CF29" s="288"/>
      <c r="CG29" s="289"/>
      <c r="CH29" s="289"/>
      <c r="CI29" s="275"/>
      <c r="CJ29" s="290">
        <f ca="1">SUM(CJ$30:CJ$57)</f>
        <v>256486.4569543351</v>
      </c>
      <c r="CK29" s="291">
        <f t="shared" ref="CK29:CK30" ca="1" si="469">IFERROR(CJ29/CF$4,0)</f>
        <v>0.28982844559163407</v>
      </c>
      <c r="CL29" s="292"/>
      <c r="CM29" s="275"/>
      <c r="CN29" s="290">
        <f ca="1">SUM(CN$30:CN$57)</f>
        <v>-44096.159848117371</v>
      </c>
      <c r="CO29" s="293">
        <f ca="1">IFERROR(CN29/CF$4,0)</f>
        <v>-4.9828445591634088E-2</v>
      </c>
      <c r="CP29" s="292"/>
      <c r="CQ29" s="275"/>
      <c r="CR29" s="290">
        <f ca="1">SUM(CR$30:CR$57)</f>
        <v>0</v>
      </c>
      <c r="CS29" s="293">
        <f t="shared" ref="CS29:CS30" ca="1" si="470">IFERROR(CR29/CF$4,0)</f>
        <v>0</v>
      </c>
      <c r="CT29" s="275"/>
      <c r="CU29" s="275"/>
      <c r="CV29" s="290">
        <f ca="1">SUM(CV$30:CV$57)</f>
        <v>256486.4569543351</v>
      </c>
      <c r="CW29" s="291">
        <f t="shared" ref="CW29:CW30" ca="1" si="471">IFERROR(CV29/CF$4,0)</f>
        <v>0.28982844559163407</v>
      </c>
      <c r="CX29" s="295" t="str">
        <f t="shared" ref="CX29:CX30" ca="1" si="472">IF(SUM(CK29,CS29,CW29)&lt;&gt;0,"V","")</f>
        <v>V</v>
      </c>
      <c r="CY29" s="288"/>
      <c r="CZ29" s="289"/>
      <c r="DA29" s="275"/>
      <c r="DB29" s="290"/>
      <c r="DC29" s="290">
        <f ca="1">SUM(DC$30:DC$57)</f>
        <v>1253916.6491206433</v>
      </c>
      <c r="DD29" s="291">
        <f t="shared" ref="DD29:DD30" ca="1" si="473">IFERROR(DC29/CY$4,0)</f>
        <v>0.34972665989991564</v>
      </c>
      <c r="DE29" s="292"/>
      <c r="DF29" s="275"/>
      <c r="DG29" s="290">
        <f ca="1">SUM(DG$30:DG$57)</f>
        <v>-393416.06310561934</v>
      </c>
      <c r="DH29" s="293">
        <f ca="1">IFERROR(DG29/CY$4,0)</f>
        <v>-0.10972665989991565</v>
      </c>
      <c r="DI29" s="292"/>
      <c r="DJ29" s="275"/>
      <c r="DK29" s="290">
        <f ca="1">SUM(DK$30:DK$57)</f>
        <v>0</v>
      </c>
      <c r="DL29" s="293">
        <f t="shared" ref="DL29:DL30" ca="1" si="474">IFERROR(DK29/CY$4,0)</f>
        <v>0</v>
      </c>
      <c r="DM29" s="275"/>
      <c r="DN29" s="275"/>
      <c r="DO29" s="290">
        <f ca="1">SUM(DO$30:DO$57)</f>
        <v>1253916.6491206433</v>
      </c>
      <c r="DP29" s="291">
        <f t="shared" ref="DP29:DP47" ca="1" si="475">IFERROR(DO29/CY$4,0)</f>
        <v>0.34972665989991564</v>
      </c>
      <c r="DQ29" s="294" t="str">
        <f t="shared" ref="DQ29:DQ30" ca="1" si="476">IF(SUM(DD29,DL29,DP29)&lt;&gt;0,"V","")</f>
        <v>V</v>
      </c>
      <c r="DR29" s="288"/>
      <c r="DS29" s="289"/>
      <c r="DT29" s="275"/>
      <c r="DU29" s="290"/>
      <c r="DV29" s="290">
        <f ca="1">SUM(DV$30:DV$57)</f>
        <v>149701.47779448959</v>
      </c>
      <c r="DW29" s="291">
        <f t="shared" ref="DW29:DW47" ca="1" si="477">IFERROR(DV29/DR$4,0)</f>
        <v>0.2133229541567197</v>
      </c>
      <c r="DX29" s="292"/>
      <c r="DY29" s="275"/>
      <c r="DZ29" s="290">
        <f ca="1">SUM(DZ$30:DZ$57)</f>
        <v>18720.878874555983</v>
      </c>
      <c r="EA29" s="293">
        <f ca="1">IFERROR(DZ29/DR$4,0)</f>
        <v>2.667704584328031E-2</v>
      </c>
      <c r="EB29" s="292"/>
      <c r="EC29" s="275"/>
      <c r="ED29" s="290">
        <f ca="1">SUM(ED$30:ED$57)</f>
        <v>0</v>
      </c>
      <c r="EE29" s="293">
        <f t="shared" ref="EE29:EE47" ca="1" si="478">IFERROR(ED29/DR$4,0)</f>
        <v>0</v>
      </c>
      <c r="EF29" s="275"/>
      <c r="EG29" s="275"/>
      <c r="EH29" s="290">
        <f ca="1">SUM(EH$30:EH$57)</f>
        <v>149701.47779448959</v>
      </c>
      <c r="EI29" s="291">
        <f t="shared" ref="EI29:EI47" ca="1" si="479">IFERROR(EH29/DR$4,0)</f>
        <v>0.2133229541567197</v>
      </c>
      <c r="EJ29" s="288"/>
      <c r="EK29" s="289"/>
      <c r="EL29" s="296"/>
      <c r="EM29" s="275"/>
      <c r="EN29" s="290">
        <f ca="1">SUM(EN$30:EN$57)</f>
        <v>69582.436129115522</v>
      </c>
      <c r="EO29" s="291">
        <f t="shared" ref="EO29:EO30" ca="1" si="480">IFERROR(EN29/EJ$4,0)</f>
        <v>9.8038199004832835E-2</v>
      </c>
      <c r="EP29" s="292"/>
      <c r="EQ29" s="275"/>
      <c r="ER29" s="290">
        <f ca="1">SUM(ER$30:ER$57)</f>
        <v>100757.13396197217</v>
      </c>
      <c r="ES29" s="293">
        <f ca="1">IFERROR(ER29/EJ$4,0)</f>
        <v>0.14196180099516717</v>
      </c>
      <c r="ET29" s="292"/>
      <c r="EU29" s="275"/>
      <c r="EV29" s="290">
        <f ca="1">SUM(EV$30:EV$57)</f>
        <v>0</v>
      </c>
      <c r="EW29" s="293">
        <f t="shared" ref="EW29:EW30" ca="1" si="481">IFERROR(EV29/EJ$4,0)</f>
        <v>0</v>
      </c>
      <c r="EX29" s="275"/>
      <c r="EY29" s="275"/>
      <c r="EZ29" s="290">
        <f ca="1">SUM(EZ$30:EZ$57)</f>
        <v>69582.436129115522</v>
      </c>
      <c r="FA29" s="291">
        <f t="shared" ref="FA29:FA30" ca="1" si="482">IFERROR(EZ29/EJ$4,0)</f>
        <v>9.8038199004832835E-2</v>
      </c>
      <c r="FB29" s="295" t="str">
        <f t="shared" ref="FB29:FB30" ca="1" si="483">IF(SUM(EO29,EW29,FA29)&lt;&gt;0,"V","")</f>
        <v>V</v>
      </c>
      <c r="FC29" s="288"/>
      <c r="FD29" s="289"/>
      <c r="FE29" s="289"/>
      <c r="FF29" s="275"/>
      <c r="FG29" s="290">
        <f ca="1">SUM(FG$30:FG$57)</f>
        <v>398454.35735405976</v>
      </c>
      <c r="FH29" s="291">
        <f t="shared" ref="FH29:FH30" ca="1" si="484">IFERROR(FG29/FC$4,0)</f>
        <v>8.7425830955979708E-2</v>
      </c>
      <c r="FI29" s="292"/>
      <c r="FJ29" s="275"/>
      <c r="FK29" s="290">
        <f ca="1">SUM(FK$30:FK$57)</f>
        <v>695376.20415498759</v>
      </c>
      <c r="FL29" s="293">
        <f ca="1">IFERROR(FK29/FC$4,0)</f>
        <v>0.1525741690440203</v>
      </c>
      <c r="FM29" s="292"/>
      <c r="FN29" s="275"/>
      <c r="FO29" s="290">
        <f ca="1">SUM(FO$30:FO$57)</f>
        <v>0</v>
      </c>
      <c r="FP29" s="293">
        <f t="shared" ref="FP29:FP30" ca="1" si="485">IFERROR(FO29/FC$4,0)</f>
        <v>0</v>
      </c>
      <c r="FQ29" s="275"/>
      <c r="FR29" s="275"/>
      <c r="FS29" s="290">
        <f ca="1">SUM(FS$30:FS$57)</f>
        <v>398454.35735405976</v>
      </c>
      <c r="FT29" s="291">
        <f t="shared" ref="FT29:FT30" ca="1" si="486">IFERROR(FS29/FC$4,0)</f>
        <v>8.7425830955979708E-2</v>
      </c>
      <c r="FU29" s="297"/>
    </row>
    <row r="30" spans="1:177" outlineLevel="2" x14ac:dyDescent="0.2">
      <c r="A30" s="298"/>
      <c r="B30" s="298"/>
      <c r="C30" s="299" t="str">
        <f t="shared" ref="C30:C57" ca="1" si="487">OFFSET(Origine,MATCH($F30,Descrizioni,0),MATCH(C$15,Intestazioni,0)-1,1,1)</f>
        <v>IE00B92LSQ52:CHF</v>
      </c>
      <c r="D30" s="300" t="str">
        <f t="shared" ref="D30:G59" ca="1" si="488">OFFSET(Origine,MATCH($F30,Descrizioni,0),MATCH(D$15,Intestazioni,0)-1,1,1)</f>
        <v>IE00B92LSQ52</v>
      </c>
      <c r="E30" s="301" t="str">
        <f t="shared" ca="1" si="488"/>
        <v>21348322</v>
      </c>
      <c r="F30" s="302" t="s">
        <v>392</v>
      </c>
      <c r="G30" s="303" t="str">
        <f t="shared" ca="1" si="488"/>
        <v/>
      </c>
      <c r="H30" s="1708" t="str">
        <f t="shared" ref="H30:H57" ca="1" si="489">IF(OFFSET(Origine,MATCH($F30,Descrizioni,0),MATCH(H$15,Intestazioni,0)-1,1,1)&lt;&gt;"",HYPERLINK(OFFSET(Origine,MATCH($F30,Descrizioni,0),MATCH(H$15,Intestazioni,0)-1,1,1),""),"")</f>
        <v></v>
      </c>
      <c r="I30" s="1680" t="str">
        <f t="shared" ref="I30:I76" ca="1" si="490">IF(OFFSET(Origine,MATCH($F30,Descrizioni,0),MATCH(I$15,Intestazioni,0)-1,1,1)&lt;&gt;"",HYPERLINK(OFFSET(Origine,MATCH($F30,Descrizioni,0),MATCH(I$15,Intestazioni,0)-1,1,1),"i"),"")</f>
        <v>i</v>
      </c>
      <c r="J30" s="1708" t="str">
        <f t="shared" ref="J30:K39" ca="1" si="491">IF(OFFSET(Origine,MATCH($F30,Descrizioni,0),MATCH(J$15,Intestazioni,0)-1,1,1)&lt;&gt;"",HYPERLINK(OFFSET(Origine,MATCH($F30,Descrizioni,0),MATCH(J$15,Intestazioni,0)-1,1,1),""),"")</f>
        <v></v>
      </c>
      <c r="K30" s="1709" t="str">
        <f t="shared" ca="1" si="491"/>
        <v></v>
      </c>
      <c r="L30" s="1710" t="str">
        <f t="shared" ref="L30:L55" ca="1" si="492">IF(OFFSET(Origine,MATCH($F30,Descrizioni,0),MATCH(L$15,Intestazioni,0)-1,1,1)&lt;&gt;"",HYPERLINK("https://www.zonebourse.com/mods_a/charts/TV/inc_dyna_graph.php?c="&amp;OFFSET(Origine,MATCH($F30,Descrizioni,0),MATCH(L$15,Intestazioni,0)-1,1,1)&amp;"&amp;style=TradingView.CANDLES&amp;showAT=1",""),"")</f>
        <v></v>
      </c>
      <c r="M30" s="298" t="str">
        <f t="shared" ref="M30:M57" ca="1" si="493">(OFFSET(Origine,MATCH($F30,Descrizioni,0),MATCH(M$15,Intestazioni,0)-1,1,1))</f>
        <v>Unit</v>
      </c>
      <c r="N30" s="305"/>
      <c r="O30" s="305"/>
      <c r="P30" s="306">
        <f t="shared" ca="1" si="1"/>
        <v>3.4562175042135442E-2</v>
      </c>
      <c r="Q30" s="307">
        <f t="array" aca="1" ref="Q30" ca="1">SUM(IF($AA$15:$FT$15="I_pos",AA30:FT30))</f>
        <v>1400</v>
      </c>
      <c r="R30" s="307">
        <f t="array" aca="1" ref="R30" ca="1">SUM(IF($AA$15:$FT$15="P_Pos",AA30:FT30))</f>
        <v>-1400</v>
      </c>
      <c r="S30" s="304"/>
      <c r="T30" s="307"/>
      <c r="U30" s="308">
        <f t="shared" ref="U30:U57" ca="1" si="494">OFFSET(Origine,MATCH($F30,Descrizioni,0),MATCH(U$15,Intestazioni,0)-1,1,1)</f>
        <v>-1.9711495385718023E-3</v>
      </c>
      <c r="V30" s="307">
        <f t="array" aca="1" ref="V30" ca="1">SUM(IF($AA$15:$FT$15="O_Pos",AA30:FT30))</f>
        <v>0</v>
      </c>
      <c r="W30" s="299" t="str">
        <f t="shared" ref="W30" ca="1" si="495">OFFSET(Origine,MATCH($F30,Descrizioni,0),MATCH(W$15,Intestazioni,0)-1,1,1)</f>
        <v>CHF</v>
      </c>
      <c r="X30" s="309">
        <f t="shared" ref="X30:Y76" ca="1" si="496">_xlfn.NUMBERVALUE(OFFSET(Origine,MATCH($F30,Descrizioni,0),MATCH(X$15,Intestazioni,0)-1,1,1))</f>
        <v>111.39</v>
      </c>
      <c r="Y30" s="310">
        <f t="shared" ca="1" si="496"/>
        <v>0</v>
      </c>
      <c r="Z30" s="311">
        <f t="shared" ref="Z30" ca="1" si="497">_xlfn.NUMBERVALUE(OFFSET(Origine,MATCH(W30&amp;"/"&amp;MRif,LUKB_Name,0),MATCH("Price",Intestazioni,0)-1,1,1))</f>
        <v>1.0000001300000001</v>
      </c>
      <c r="AA30" s="214">
        <f>300+-200</f>
        <v>100</v>
      </c>
      <c r="AB30" s="312">
        <f t="shared" ref="AB30" ca="1" si="498">IFERROR($X30/AC30-1,"")</f>
        <v>1.070683241085213E-2</v>
      </c>
      <c r="AC30" s="215">
        <v>110.21</v>
      </c>
      <c r="AD30" s="199">
        <f t="shared" ref="AD30" ca="1" si="499">AA30*$X30</f>
        <v>11139</v>
      </c>
      <c r="AE30" s="199">
        <f t="shared" ref="AE30" ca="1" si="500">AD30*$Z30</f>
        <v>11139.001448070001</v>
      </c>
      <c r="AF30" s="216">
        <f t="shared" ca="1" si="457"/>
        <v>1.983807744373485E-2</v>
      </c>
      <c r="AG30" s="202">
        <f t="shared" ref="AG30" ca="1" si="501">AH30/$X30</f>
        <v>-100</v>
      </c>
      <c r="AH30" s="203">
        <f t="shared" ref="AH30" ca="1" si="502">AI30/$Z30</f>
        <v>-11139</v>
      </c>
      <c r="AI30" s="203">
        <f t="shared" ref="AI30" ca="1" si="503">AJ30*AA$4</f>
        <v>-11139.001448070001</v>
      </c>
      <c r="AJ30" s="204">
        <f t="shared" ref="AJ30:AJ57" ca="1" si="504">IF(AA$6&lt;&gt;"",$O30,$N30)-AF30</f>
        <v>-1.983807744373485E-2</v>
      </c>
      <c r="AK30" s="205"/>
      <c r="AL30" s="206">
        <f t="shared" ref="AL30" ca="1" si="505">AK30*$X30</f>
        <v>0</v>
      </c>
      <c r="AM30" s="206">
        <f t="shared" ref="AM30" ca="1" si="506">AL30*$Z30</f>
        <v>0</v>
      </c>
      <c r="AN30" s="207">
        <f t="shared" ca="1" si="458"/>
        <v>0</v>
      </c>
      <c r="AO30" s="313">
        <f>AA30+AK30</f>
        <v>100</v>
      </c>
      <c r="AP30" s="313">
        <f t="shared" ref="AP30" ca="1" si="507">AD30+IF($T30 ="",AL30,0)</f>
        <v>11139</v>
      </c>
      <c r="AQ30" s="313">
        <f t="shared" ref="AQ30" ca="1" si="508">AP30*$Z30</f>
        <v>11139.001448070001</v>
      </c>
      <c r="AR30" s="314">
        <f t="shared" ca="1" si="459"/>
        <v>1.983807744373485E-2</v>
      </c>
      <c r="AS30" s="315" t="str">
        <f t="shared" ca="1" si="460"/>
        <v>V</v>
      </c>
      <c r="AT30" s="214">
        <f>1050+-350</f>
        <v>700</v>
      </c>
      <c r="AU30" s="312">
        <f t="shared" ref="AU30" ca="1" si="509">IFERROR($X30/AV30-1,"")</f>
        <v>1.3742264288314487E-2</v>
      </c>
      <c r="AV30" s="215">
        <v>109.88</v>
      </c>
      <c r="AW30" s="199">
        <f t="shared" ref="AW30" ca="1" si="510">AT30*$X30</f>
        <v>77973</v>
      </c>
      <c r="AX30" s="199">
        <f t="shared" ref="AX30" ca="1" si="511">AW30*$Z30</f>
        <v>77973.010136490004</v>
      </c>
      <c r="AY30" s="216">
        <f t="shared" ca="1" si="461"/>
        <v>4.5023165334524107E-2</v>
      </c>
      <c r="AZ30" s="202">
        <f t="shared" ref="AZ30" ca="1" si="512">BA30/$X30</f>
        <v>-700</v>
      </c>
      <c r="BA30" s="203">
        <f t="shared" ref="BA30" ca="1" si="513">BB30/$Z30</f>
        <v>-77973</v>
      </c>
      <c r="BB30" s="203">
        <f t="shared" ref="BB30" ca="1" si="514">BC30*AT$4</f>
        <v>-77973.010136490004</v>
      </c>
      <c r="BC30" s="204">
        <f t="shared" ref="BC30:BC57" ca="1" si="515">IF(AT$6&lt;&gt;"",$O30,$N30)-AY30</f>
        <v>-4.5023165334524107E-2</v>
      </c>
      <c r="BD30" s="205"/>
      <c r="BE30" s="206">
        <f t="shared" ref="BE30" ca="1" si="516">BD30*$X30</f>
        <v>0</v>
      </c>
      <c r="BF30" s="206">
        <f t="shared" ref="BF30" ca="1" si="517">BE30*$Z30</f>
        <v>0</v>
      </c>
      <c r="BG30" s="207">
        <f t="shared" ca="1" si="462"/>
        <v>0</v>
      </c>
      <c r="BH30" s="313">
        <f>AT30+BD30</f>
        <v>700</v>
      </c>
      <c r="BI30" s="313">
        <f t="shared" ref="BI30" ca="1" si="518">AW30+IF($T30 ="",BE30,0)</f>
        <v>77973</v>
      </c>
      <c r="BJ30" s="313">
        <f t="shared" ref="BJ30" ca="1" si="519">BI30*$Z30</f>
        <v>77973.010136490004</v>
      </c>
      <c r="BK30" s="314">
        <f t="shared" ca="1" si="463"/>
        <v>4.5023165334524107E-2</v>
      </c>
      <c r="BL30" s="211" t="str">
        <f t="shared" ca="1" si="464"/>
        <v>V</v>
      </c>
      <c r="BM30" s="214">
        <f>210+-210</f>
        <v>0</v>
      </c>
      <c r="BN30" s="312" t="str">
        <f t="shared" ref="BN30" ca="1" si="520">IFERROR($X30/BO30-1,"")</f>
        <v/>
      </c>
      <c r="BO30" s="215"/>
      <c r="BP30" s="199">
        <f t="shared" ref="BP30" ca="1" si="521">BM30*$X30</f>
        <v>0</v>
      </c>
      <c r="BQ30" s="199">
        <f t="shared" ref="BQ30" ca="1" si="522">BP30*$Z30</f>
        <v>0</v>
      </c>
      <c r="BR30" s="216">
        <f t="shared" ca="1" si="465"/>
        <v>0</v>
      </c>
      <c r="BS30" s="202">
        <f t="shared" ref="BS30" ca="1" si="523">BT30/$X30</f>
        <v>0</v>
      </c>
      <c r="BT30" s="203">
        <f t="shared" ref="BT30" ca="1" si="524">BU30/$Z30</f>
        <v>0</v>
      </c>
      <c r="BU30" s="203">
        <f t="shared" ref="BU30" ca="1" si="525">BV30*BM$4</f>
        <v>0</v>
      </c>
      <c r="BV30" s="204">
        <f t="shared" ref="BV30:BV57" ca="1" si="526">IF(BM$6&lt;&gt;"",$O30,$N30)-BR30</f>
        <v>0</v>
      </c>
      <c r="BW30" s="205"/>
      <c r="BX30" s="206">
        <f t="shared" ref="BX30" ca="1" si="527">BW30*$X30</f>
        <v>0</v>
      </c>
      <c r="BY30" s="206">
        <f t="shared" ref="BY30" ca="1" si="528">BX30*$Z30</f>
        <v>0</v>
      </c>
      <c r="BZ30" s="207">
        <f t="shared" ca="1" si="466"/>
        <v>0</v>
      </c>
      <c r="CA30" s="313">
        <f>BM30+BW30</f>
        <v>0</v>
      </c>
      <c r="CB30" s="313">
        <f t="shared" ref="CB30" ca="1" si="529">BP30+IF($T30 ="",BX30,0)</f>
        <v>0</v>
      </c>
      <c r="CC30" s="313">
        <f t="shared" ref="CC30" ca="1" si="530">CB30*$Z30</f>
        <v>0</v>
      </c>
      <c r="CD30" s="314">
        <f t="shared" ca="1" si="467"/>
        <v>0</v>
      </c>
      <c r="CE30" s="211" t="str">
        <f t="shared" ca="1" si="468"/>
        <v/>
      </c>
      <c r="CF30" s="214">
        <v>600</v>
      </c>
      <c r="CG30" s="312">
        <f t="shared" ref="CG30" ca="1" si="531">IFERROR($X30/CH30-1,"")</f>
        <v>9.0135055783910678E-2</v>
      </c>
      <c r="CH30" s="215">
        <v>102.18</v>
      </c>
      <c r="CI30" s="199">
        <f t="shared" ref="CI30" ca="1" si="532">CF30*$X30</f>
        <v>66834</v>
      </c>
      <c r="CJ30" s="199">
        <f t="shared" ref="CJ30" ca="1" si="533">CI30*$Z30</f>
        <v>66834.008688420014</v>
      </c>
      <c r="CK30" s="216">
        <f t="shared" ca="1" si="469"/>
        <v>7.5522103899120285E-2</v>
      </c>
      <c r="CL30" s="202">
        <f t="shared" ref="CL30" ca="1" si="534">CM30/$X30</f>
        <v>-600</v>
      </c>
      <c r="CM30" s="203">
        <f t="shared" ref="CM30" ca="1" si="535">CN30/$Z30</f>
        <v>-66834</v>
      </c>
      <c r="CN30" s="203">
        <f t="shared" ref="CN30" ca="1" si="536">CO30*CF$4</f>
        <v>-66834.008688420014</v>
      </c>
      <c r="CO30" s="204">
        <f t="shared" ref="CO30:CO57" ca="1" si="537">IF(CF$6&lt;&gt;"",$O30,$N30)-CK30</f>
        <v>-7.5522103899120285E-2</v>
      </c>
      <c r="CP30" s="205"/>
      <c r="CQ30" s="206">
        <f t="shared" ref="CQ30" ca="1" si="538">CP30*$X30</f>
        <v>0</v>
      </c>
      <c r="CR30" s="206">
        <f t="shared" ref="CR30" ca="1" si="539">CQ30*$Z30</f>
        <v>0</v>
      </c>
      <c r="CS30" s="207">
        <f t="shared" ca="1" si="470"/>
        <v>0</v>
      </c>
      <c r="CT30" s="313">
        <f>CF30+CP30</f>
        <v>600</v>
      </c>
      <c r="CU30" s="313">
        <f t="shared" ref="CU30" ca="1" si="540">CI30+IF($T30 ="",CQ30,0)</f>
        <v>66834</v>
      </c>
      <c r="CV30" s="313">
        <f t="shared" ref="CV30" ca="1" si="541">CU30*$Z30</f>
        <v>66834.008688420014</v>
      </c>
      <c r="CW30" s="314">
        <f t="shared" ca="1" si="471"/>
        <v>7.5522103899120285E-2</v>
      </c>
      <c r="CX30" s="211" t="str">
        <f t="shared" ca="1" si="472"/>
        <v>V</v>
      </c>
      <c r="CY30" s="197">
        <f>950+-350+-600</f>
        <v>0</v>
      </c>
      <c r="CZ30" s="312" t="str">
        <f t="shared" ref="CZ30" ca="1" si="542">IFERROR($X30/DA30-1,"")</f>
        <v/>
      </c>
      <c r="DA30" s="199"/>
      <c r="DB30" s="199">
        <f t="shared" ref="DB30" ca="1" si="543">CY30*$X30</f>
        <v>0</v>
      </c>
      <c r="DC30" s="199">
        <f t="shared" ref="DC30" ca="1" si="544">DB30*$Z30</f>
        <v>0</v>
      </c>
      <c r="DD30" s="216">
        <f t="shared" ca="1" si="473"/>
        <v>0</v>
      </c>
      <c r="DE30" s="202">
        <f t="shared" ref="DE30" ca="1" si="545">DF30/$X30</f>
        <v>0</v>
      </c>
      <c r="DF30" s="203">
        <f t="shared" ref="DF30" ca="1" si="546">DG30/$Z30</f>
        <v>0</v>
      </c>
      <c r="DG30" s="203">
        <f t="shared" ref="DG30" ca="1" si="547">DH30*CY$4</f>
        <v>0</v>
      </c>
      <c r="DH30" s="204">
        <f t="shared" ref="DH30:DH57" ca="1" si="548">IF(CY$6&lt;&gt;"",$O30,$N30)-DD30</f>
        <v>0</v>
      </c>
      <c r="DI30" s="205"/>
      <c r="DJ30" s="206">
        <f t="shared" ref="DJ30" ca="1" si="549">DI30*$X30</f>
        <v>0</v>
      </c>
      <c r="DK30" s="206">
        <f t="shared" ref="DK30" ca="1" si="550">DJ30*$Z30</f>
        <v>0</v>
      </c>
      <c r="DL30" s="207">
        <f t="shared" ca="1" si="474"/>
        <v>0</v>
      </c>
      <c r="DM30" s="313">
        <f>CY30+DI30</f>
        <v>0</v>
      </c>
      <c r="DN30" s="313">
        <f t="shared" ref="DN30" ca="1" si="551">DB30+IF($T30 ="",DJ30,0)</f>
        <v>0</v>
      </c>
      <c r="DO30" s="313">
        <f t="shared" ref="DO30" ca="1" si="552">DN30*$Z30</f>
        <v>0</v>
      </c>
      <c r="DP30" s="314">
        <f t="shared" ref="DP30" ca="1" si="553">IFERROR(DO30/CY$4,0)</f>
        <v>0</v>
      </c>
      <c r="DQ30" s="315" t="str">
        <f t="shared" ca="1" si="476"/>
        <v/>
      </c>
      <c r="DR30" s="197">
        <f>950+-350+-600</f>
        <v>0</v>
      </c>
      <c r="DS30" s="312" t="str">
        <f t="shared" ref="DS30:DS61" ca="1" si="554">IFERROR($X30/DT30-1,"")</f>
        <v/>
      </c>
      <c r="DT30" s="199"/>
      <c r="DU30" s="199">
        <f t="shared" ref="DU30:DU47" ca="1" si="555">DR30*$X30</f>
        <v>0</v>
      </c>
      <c r="DV30" s="199">
        <f t="shared" ref="DV30:DV47" ca="1" si="556">DU30*$Z30</f>
        <v>0</v>
      </c>
      <c r="DW30" s="216">
        <f t="shared" ca="1" si="477"/>
        <v>0</v>
      </c>
      <c r="DX30" s="202">
        <f t="shared" ref="DX30:DX47" ca="1" si="557">DY30/$X30</f>
        <v>0</v>
      </c>
      <c r="DY30" s="203">
        <f t="shared" ref="DY30:DY47" ca="1" si="558">DZ30/$Z30</f>
        <v>0</v>
      </c>
      <c r="DZ30" s="203">
        <f t="shared" ref="DZ30:DZ47" ca="1" si="559">EA30*DR$4</f>
        <v>0</v>
      </c>
      <c r="EA30" s="204">
        <f t="shared" ref="EA30:EA57" ca="1" si="560">IF(DR$6&lt;&gt;"",$O30,$N30)-DW30</f>
        <v>0</v>
      </c>
      <c r="EB30" s="205"/>
      <c r="EC30" s="206">
        <f t="shared" ref="EC30:EC47" ca="1" si="561">EB30*$X30</f>
        <v>0</v>
      </c>
      <c r="ED30" s="206">
        <f t="shared" ref="ED30:ED47" ca="1" si="562">EC30*$Z30</f>
        <v>0</v>
      </c>
      <c r="EE30" s="207">
        <f t="shared" ca="1" si="478"/>
        <v>0</v>
      </c>
      <c r="EF30" s="313">
        <f>DR30+EB30</f>
        <v>0</v>
      </c>
      <c r="EG30" s="313">
        <f t="shared" ref="EG30:EG57" ca="1" si="563">DU30+IF($T30 ="",EC30,0)</f>
        <v>0</v>
      </c>
      <c r="EH30" s="313">
        <f t="shared" ref="EH30:EH47" ca="1" si="564">EG30*$Z30</f>
        <v>0</v>
      </c>
      <c r="EI30" s="314">
        <f t="shared" ca="1" si="479"/>
        <v>0</v>
      </c>
      <c r="EJ30" s="214"/>
      <c r="EK30" s="312" t="str">
        <f t="shared" ref="EK30" ca="1" si="565">IFERROR($X30/EL30-1,"")</f>
        <v/>
      </c>
      <c r="EL30" s="222"/>
      <c r="EM30" s="199">
        <f t="shared" ref="EM30" ca="1" si="566">EJ30*$X30</f>
        <v>0</v>
      </c>
      <c r="EN30" s="199">
        <f t="shared" ref="EN30" ca="1" si="567">EM30*$Z30</f>
        <v>0</v>
      </c>
      <c r="EO30" s="216">
        <f t="shared" ca="1" si="480"/>
        <v>0</v>
      </c>
      <c r="EP30" s="202">
        <f t="shared" ref="EP30" ca="1" si="568">EQ30/$X30</f>
        <v>0</v>
      </c>
      <c r="EQ30" s="203">
        <f t="shared" ref="EQ30" ca="1" si="569">ER30/$Z30</f>
        <v>0</v>
      </c>
      <c r="ER30" s="203">
        <f t="shared" ref="ER30" ca="1" si="570">ES30*EJ$4</f>
        <v>0</v>
      </c>
      <c r="ES30" s="204">
        <f t="shared" ref="ES30:ES57" ca="1" si="571">IF(EJ$6&lt;&gt;"",$O30,$N30)-EO30</f>
        <v>0</v>
      </c>
      <c r="ET30" s="205"/>
      <c r="EU30" s="206">
        <f t="shared" ref="EU30" ca="1" si="572">ET30*$X30</f>
        <v>0</v>
      </c>
      <c r="EV30" s="206">
        <f t="shared" ref="EV30" ca="1" si="573">EU30*$Z30</f>
        <v>0</v>
      </c>
      <c r="EW30" s="207">
        <f t="shared" ca="1" si="481"/>
        <v>0</v>
      </c>
      <c r="EX30" s="313">
        <f>EJ30+ET30</f>
        <v>0</v>
      </c>
      <c r="EY30" s="313">
        <f t="shared" ref="EY30" ca="1" si="574">EM30+IF($T30 ="",EU30,0)</f>
        <v>0</v>
      </c>
      <c r="EZ30" s="313">
        <f t="shared" ref="EZ30" ca="1" si="575">EY30*$Z30</f>
        <v>0</v>
      </c>
      <c r="FA30" s="314">
        <f t="shared" ca="1" si="482"/>
        <v>0</v>
      </c>
      <c r="FB30" s="211" t="str">
        <f t="shared" ca="1" si="483"/>
        <v/>
      </c>
      <c r="FC30" s="214"/>
      <c r="FD30" s="312" t="str">
        <f t="shared" ref="FD30" ca="1" si="576">IFERROR($X30/FE30-1,"")</f>
        <v/>
      </c>
      <c r="FE30" s="252"/>
      <c r="FF30" s="199">
        <f t="shared" ref="FF30" ca="1" si="577">FC30*$X30</f>
        <v>0</v>
      </c>
      <c r="FG30" s="199">
        <f t="shared" ref="FG30" ca="1" si="578">FF30*$Z30</f>
        <v>0</v>
      </c>
      <c r="FH30" s="216">
        <f t="shared" ca="1" si="484"/>
        <v>0</v>
      </c>
      <c r="FI30" s="202">
        <f t="shared" ref="FI30" ca="1" si="579">FJ30/$X30</f>
        <v>0</v>
      </c>
      <c r="FJ30" s="203">
        <f t="shared" ref="FJ30" ca="1" si="580">FK30/$Z30</f>
        <v>0</v>
      </c>
      <c r="FK30" s="203">
        <f t="shared" ref="FK30" ca="1" si="581">FL30*FC$4</f>
        <v>0</v>
      </c>
      <c r="FL30" s="204">
        <f t="shared" ref="FL30:FL57" ca="1" si="582">IF(FC$6&lt;&gt;"",$O30,$N30)-FH30</f>
        <v>0</v>
      </c>
      <c r="FM30" s="205"/>
      <c r="FN30" s="206">
        <f t="shared" ref="FN30" ca="1" si="583">FM30*$X30</f>
        <v>0</v>
      </c>
      <c r="FO30" s="206">
        <f t="shared" ref="FO30" ca="1" si="584">FN30*$Z30</f>
        <v>0</v>
      </c>
      <c r="FP30" s="207">
        <f t="shared" ca="1" si="485"/>
        <v>0</v>
      </c>
      <c r="FQ30" s="313">
        <f>FC30+FM30</f>
        <v>0</v>
      </c>
      <c r="FR30" s="313">
        <f t="shared" ref="FR30" ca="1" si="585">FF30+IF($T30 ="",FN30,0)</f>
        <v>0</v>
      </c>
      <c r="FS30" s="313">
        <f t="shared" ref="FS30" ca="1" si="586">FR30*$Z30</f>
        <v>0</v>
      </c>
      <c r="FT30" s="314">
        <f t="shared" ca="1" si="486"/>
        <v>0</v>
      </c>
      <c r="FU30" s="315" t="str">
        <f t="shared" ref="FU30" ca="1" si="587">IF(SUM(FH30,FP30,FT30)&lt;&gt;0,"V","")</f>
        <v/>
      </c>
    </row>
    <row r="31" spans="1:177" outlineLevel="2" x14ac:dyDescent="0.2">
      <c r="A31" s="298"/>
      <c r="B31" s="298"/>
      <c r="C31" s="299" t="str">
        <f t="shared" ca="1" si="487"/>
        <v>CH0354836113:CHF</v>
      </c>
      <c r="D31" s="300" t="str">
        <f t="shared" ca="1" si="488"/>
        <v>CH0354836113</v>
      </c>
      <c r="E31" s="301" t="str">
        <f t="shared" ca="1" si="488"/>
        <v>35483611</v>
      </c>
      <c r="F31" s="299" t="s">
        <v>727</v>
      </c>
      <c r="G31" s="316">
        <f t="shared" ca="1" si="488"/>
        <v>46101</v>
      </c>
      <c r="H31" s="1708" t="str">
        <f t="shared" ca="1" si="489"/>
        <v></v>
      </c>
      <c r="I31" s="1680" t="str">
        <f t="shared" ca="1" si="490"/>
        <v/>
      </c>
      <c r="J31" s="1708" t="str">
        <f t="shared" ca="1" si="491"/>
        <v/>
      </c>
      <c r="K31" s="1709" t="str">
        <f t="shared" ca="1" si="491"/>
        <v/>
      </c>
      <c r="L31" s="1710" t="str">
        <f t="shared" ca="1" si="492"/>
        <v/>
      </c>
      <c r="M31" s="298" t="str">
        <f t="shared" ca="1" si="493"/>
        <v>Pct</v>
      </c>
      <c r="N31" s="305"/>
      <c r="O31" s="305"/>
      <c r="P31" s="306">
        <f t="shared" ca="1" si="1"/>
        <v>0</v>
      </c>
      <c r="Q31" s="307">
        <f t="array" aca="1" ref="Q31" ca="1">SUM(IF($AA$15:$FT$15="I_pos",AA31:FT31))</f>
        <v>100000</v>
      </c>
      <c r="R31" s="307">
        <f t="array" aca="1" ref="R31" ca="1">SUM(IF($AA$15:$FT$15="P_Pos",AA31:FT31))</f>
        <v>-100000</v>
      </c>
      <c r="S31" s="304"/>
      <c r="T31" s="307"/>
      <c r="U31" s="308">
        <f t="shared" ca="1" si="494"/>
        <v>-9.9980003999199993E-5</v>
      </c>
      <c r="V31" s="307">
        <f t="array" aca="1" ref="V31" ca="1">SUM(IF($AA$15:$FT$15="O_Pos",AA31:FT31))</f>
        <v>0</v>
      </c>
      <c r="W31" s="299" t="str">
        <f t="shared" ref="W31:W55" ca="1" si="588">OFFSET(Origine,MATCH($F31,Descrizioni,0),MATCH(W$15,Intestazioni,0)-1,1,1)</f>
        <v>CHF</v>
      </c>
      <c r="X31" s="309">
        <f t="shared" ca="1" si="496"/>
        <v>1.0072458333300001</v>
      </c>
      <c r="Y31" s="310">
        <f t="shared" ca="1" si="496"/>
        <v>2.6802007900000001E-3</v>
      </c>
      <c r="Z31" s="311">
        <f t="shared" ref="Z31:Z57" ca="1" si="589">_xlfn.NUMBERVALUE(OFFSET(Origine,MATCH(W31&amp;"/"&amp;MRif,LUKB_Name,0),MATCH("Price",Intestazioni,0)-1,1,1))</f>
        <v>1.0000001300000001</v>
      </c>
      <c r="AA31" s="214"/>
      <c r="AB31" s="312" t="str">
        <f t="shared" ref="AB31:AB61" ca="1" si="590">IFERROR($X31/AC31-1,"")</f>
        <v/>
      </c>
      <c r="AC31" s="252"/>
      <c r="AD31" s="199">
        <f t="shared" ref="AD31:AD32" ca="1" si="591">AA31*$X31</f>
        <v>0</v>
      </c>
      <c r="AE31" s="199">
        <f t="shared" ref="AE31:AE32" ca="1" si="592">AD31*$Z31</f>
        <v>0</v>
      </c>
      <c r="AF31" s="216">
        <f t="shared" ref="AF31:AF32" ca="1" si="593">IFERROR(AE31/AA$4,0)</f>
        <v>0</v>
      </c>
      <c r="AG31" s="202">
        <f t="shared" ref="AG31:AG32" ca="1" si="594">AH31/$X31</f>
        <v>0</v>
      </c>
      <c r="AH31" s="203">
        <f t="shared" ref="AH31:AH32" ca="1" si="595">AI31/$Z31</f>
        <v>0</v>
      </c>
      <c r="AI31" s="203">
        <f t="shared" ref="AI31:AI32" ca="1" si="596">AJ31*AA$4</f>
        <v>0</v>
      </c>
      <c r="AJ31" s="204">
        <f t="shared" ca="1" si="504"/>
        <v>0</v>
      </c>
      <c r="AK31" s="205"/>
      <c r="AL31" s="206">
        <f t="shared" ref="AL31:AL32" ca="1" si="597">AK31*$X31</f>
        <v>0</v>
      </c>
      <c r="AM31" s="206">
        <f t="shared" ref="AM31:AM32" ca="1" si="598">AL31*$Z31</f>
        <v>0</v>
      </c>
      <c r="AN31" s="207">
        <f t="shared" ref="AN31:AN32" ca="1" si="599">IFERROR(AM31/AA$4,0)</f>
        <v>0</v>
      </c>
      <c r="AO31" s="313">
        <f t="shared" ref="AO31:AO32" si="600">AA31+AK31</f>
        <v>0</v>
      </c>
      <c r="AP31" s="313">
        <f t="shared" ref="AP31:AP76" ca="1" si="601">AD31+IF($T31 ="",AL31,0)</f>
        <v>0</v>
      </c>
      <c r="AQ31" s="313">
        <f t="shared" ref="AQ31:AQ32" ca="1" si="602">AP31*$Z31</f>
        <v>0</v>
      </c>
      <c r="AR31" s="314">
        <f t="shared" ref="AR31:AR32" ca="1" si="603">IFERROR(AQ31/AA$4,0)</f>
        <v>0</v>
      </c>
      <c r="AS31" s="315" t="str">
        <f t="shared" ca="1" si="29"/>
        <v/>
      </c>
      <c r="AT31" s="214"/>
      <c r="AU31" s="312" t="str">
        <f t="shared" ref="AU31:AU60" ca="1" si="604">IFERROR($X31/AV31-1,"")</f>
        <v/>
      </c>
      <c r="AV31" s="252"/>
      <c r="AW31" s="199">
        <f t="shared" ref="AW31:AW32" ca="1" si="605">AT31*$X31</f>
        <v>0</v>
      </c>
      <c r="AX31" s="199">
        <f t="shared" ref="AX31:AX32" ca="1" si="606">AW31*$Z31</f>
        <v>0</v>
      </c>
      <c r="AY31" s="216">
        <f t="shared" ref="AY31:AY32" ca="1" si="607">IFERROR(AX31/AT$4,0)</f>
        <v>0</v>
      </c>
      <c r="AZ31" s="202">
        <f t="shared" ref="AZ31:AZ32" ca="1" si="608">BA31/$X31</f>
        <v>0</v>
      </c>
      <c r="BA31" s="203">
        <f t="shared" ref="BA31:BA32" ca="1" si="609">BB31/$Z31</f>
        <v>0</v>
      </c>
      <c r="BB31" s="203">
        <f t="shared" ref="BB31:BB32" ca="1" si="610">BC31*AT$4</f>
        <v>0</v>
      </c>
      <c r="BC31" s="204">
        <f t="shared" ca="1" si="515"/>
        <v>0</v>
      </c>
      <c r="BD31" s="205"/>
      <c r="BE31" s="206">
        <f t="shared" ref="BE31:BE32" ca="1" si="611">BD31*$X31</f>
        <v>0</v>
      </c>
      <c r="BF31" s="206">
        <f t="shared" ref="BF31:BF32" ca="1" si="612">BE31*$Z31</f>
        <v>0</v>
      </c>
      <c r="BG31" s="207">
        <f t="shared" ref="BG31:BG32" ca="1" si="613">IFERROR(BF31/AT$4,0)</f>
        <v>0</v>
      </c>
      <c r="BH31" s="313">
        <f t="shared" ref="BH31:BH32" si="614">AT31+BD31</f>
        <v>0</v>
      </c>
      <c r="BI31" s="313">
        <f t="shared" ref="BI31:BI76" ca="1" si="615">AW31+IF($T31 ="",BE31,0)</f>
        <v>0</v>
      </c>
      <c r="BJ31" s="313">
        <f t="shared" ref="BJ31:BJ32" ca="1" si="616">BI31*$Z31</f>
        <v>0</v>
      </c>
      <c r="BK31" s="314">
        <f t="shared" ref="BK31:BK32" ca="1" si="617">IFERROR(BJ31/AT$4,0)</f>
        <v>0</v>
      </c>
      <c r="BL31" s="211" t="str">
        <f t="shared" ca="1" si="34"/>
        <v/>
      </c>
      <c r="BM31" s="214"/>
      <c r="BN31" s="312" t="str">
        <f t="shared" ref="BN31:BN60" ca="1" si="618">IFERROR($X31/BO31-1,"")</f>
        <v/>
      </c>
      <c r="BO31" s="252"/>
      <c r="BP31" s="199">
        <f t="shared" ref="BP31:BP32" ca="1" si="619">BM31*$X31</f>
        <v>0</v>
      </c>
      <c r="BQ31" s="199">
        <f t="shared" ref="BQ31:BQ32" ca="1" si="620">BP31*$Z31</f>
        <v>0</v>
      </c>
      <c r="BR31" s="216">
        <f t="shared" ref="BR31:BR32" ca="1" si="621">IFERROR(BQ31/BM$4,0)</f>
        <v>0</v>
      </c>
      <c r="BS31" s="202">
        <f t="shared" ref="BS31:BS32" ca="1" si="622">BT31/$X31</f>
        <v>0</v>
      </c>
      <c r="BT31" s="203">
        <f t="shared" ref="BT31:BT32" ca="1" si="623">BU31/$Z31</f>
        <v>0</v>
      </c>
      <c r="BU31" s="203">
        <f t="shared" ref="BU31:BU32" ca="1" si="624">BV31*BM$4</f>
        <v>0</v>
      </c>
      <c r="BV31" s="204">
        <f t="shared" ca="1" si="526"/>
        <v>0</v>
      </c>
      <c r="BW31" s="205"/>
      <c r="BX31" s="206">
        <f t="shared" ref="BX31:BX32" ca="1" si="625">BW31*$X31</f>
        <v>0</v>
      </c>
      <c r="BY31" s="206">
        <f t="shared" ref="BY31:BY32" ca="1" si="626">BX31*$Z31</f>
        <v>0</v>
      </c>
      <c r="BZ31" s="207">
        <f t="shared" ref="BZ31:BZ32" ca="1" si="627">IFERROR(BY31/BM$4,0)</f>
        <v>0</v>
      </c>
      <c r="CA31" s="313">
        <f t="shared" ref="CA31:CA32" si="628">BM31+BW31</f>
        <v>0</v>
      </c>
      <c r="CB31" s="313">
        <f t="shared" ref="CB31:CB76" ca="1" si="629">BP31+IF($T31 ="",BX31,0)</f>
        <v>0</v>
      </c>
      <c r="CC31" s="313">
        <f t="shared" ref="CC31:CC32" ca="1" si="630">CB31*$Z31</f>
        <v>0</v>
      </c>
      <c r="CD31" s="314">
        <f t="shared" ref="CD31:CD32" ca="1" si="631">IFERROR(CC31/BM$4,0)</f>
        <v>0</v>
      </c>
      <c r="CE31" s="211" t="str">
        <f t="shared" ca="1" si="39"/>
        <v/>
      </c>
      <c r="CF31" s="214"/>
      <c r="CG31" s="312" t="str">
        <f t="shared" ref="CG31:CG60" ca="1" si="632">IFERROR($X31/CH31-1,"")</f>
        <v/>
      </c>
      <c r="CH31" s="215"/>
      <c r="CI31" s="199">
        <f t="shared" ref="CI31:CI32" ca="1" si="633">CF31*$X31</f>
        <v>0</v>
      </c>
      <c r="CJ31" s="199">
        <f t="shared" ref="CJ31:CJ32" ca="1" si="634">CI31*$Z31</f>
        <v>0</v>
      </c>
      <c r="CK31" s="216">
        <f t="shared" ref="CK31:CK32" ca="1" si="635">IFERROR(CJ31/CF$4,0)</f>
        <v>0</v>
      </c>
      <c r="CL31" s="202">
        <f t="shared" ref="CL31:CL32" ca="1" si="636">CM31/$X31</f>
        <v>0</v>
      </c>
      <c r="CM31" s="203">
        <f t="shared" ref="CM31:CM32" ca="1" si="637">CN31/$Z31</f>
        <v>0</v>
      </c>
      <c r="CN31" s="203">
        <f t="shared" ref="CN31:CN32" ca="1" si="638">CO31*CF$4</f>
        <v>0</v>
      </c>
      <c r="CO31" s="204">
        <f t="shared" ca="1" si="537"/>
        <v>0</v>
      </c>
      <c r="CP31" s="205"/>
      <c r="CQ31" s="206">
        <f t="shared" ref="CQ31:CQ32" ca="1" si="639">CP31*$X31</f>
        <v>0</v>
      </c>
      <c r="CR31" s="206">
        <f t="shared" ref="CR31:CR32" ca="1" si="640">CQ31*$Z31</f>
        <v>0</v>
      </c>
      <c r="CS31" s="207">
        <f t="shared" ref="CS31:CS32" ca="1" si="641">IFERROR(CR31/CF$4,0)</f>
        <v>0</v>
      </c>
      <c r="CT31" s="313">
        <f t="shared" ref="CT31:CT32" si="642">CF31+CP31</f>
        <v>0</v>
      </c>
      <c r="CU31" s="313">
        <f t="shared" ref="CU31:CU76" ca="1" si="643">CI31+IF($T31 ="",CQ31,0)</f>
        <v>0</v>
      </c>
      <c r="CV31" s="313">
        <f t="shared" ref="CV31:CV32" ca="1" si="644">CU31*$Z31</f>
        <v>0</v>
      </c>
      <c r="CW31" s="314">
        <f t="shared" ref="CW31:CW32" ca="1" si="645">IFERROR(CV31/CF$4,0)</f>
        <v>0</v>
      </c>
      <c r="CX31" s="211" t="str">
        <f t="shared" ca="1" si="47"/>
        <v/>
      </c>
      <c r="CY31" s="197">
        <v>100000</v>
      </c>
      <c r="CZ31" s="312">
        <f t="shared" ref="CZ31:CZ60" ca="1" si="646">IFERROR($X31/DA31-1,"")</f>
        <v>2.4665140722278878E-2</v>
      </c>
      <c r="DA31" s="252">
        <v>0.98299999999999998</v>
      </c>
      <c r="DB31" s="199">
        <f t="shared" ref="DB31:DB57" ca="1" si="647">CY31*$X31</f>
        <v>100724.583333</v>
      </c>
      <c r="DC31" s="199">
        <f t="shared" ref="DC31:DC57" ca="1" si="648">DB31*$Z31</f>
        <v>100724.59642719585</v>
      </c>
      <c r="DD31" s="216">
        <f t="shared" ca="1" si="10"/>
        <v>2.8092837512727665E-2</v>
      </c>
      <c r="DE31" s="202">
        <f t="shared" ref="DE31:DE57" ca="1" si="649">DF31/$X31</f>
        <v>-100000</v>
      </c>
      <c r="DF31" s="203">
        <f t="shared" ref="DF31:DF57" ca="1" si="650">DG31/$Z31</f>
        <v>-100724.583333</v>
      </c>
      <c r="DG31" s="203">
        <f t="shared" ref="DG31:DG57" ca="1" si="651">DH31*CY$4</f>
        <v>-100724.59642719585</v>
      </c>
      <c r="DH31" s="204">
        <f t="shared" ca="1" si="548"/>
        <v>-2.8092837512727665E-2</v>
      </c>
      <c r="DI31" s="205"/>
      <c r="DJ31" s="206">
        <f t="shared" ref="DJ31:DJ47" ca="1" si="652">DI31*$X31</f>
        <v>0</v>
      </c>
      <c r="DK31" s="206">
        <f t="shared" ref="DK31:DK47" ca="1" si="653">DJ31*$Z31</f>
        <v>0</v>
      </c>
      <c r="DL31" s="207">
        <f t="shared" ca="1" si="11"/>
        <v>0</v>
      </c>
      <c r="DM31" s="313">
        <f t="shared" ref="DM31:DM49" si="654">CY31+DI31</f>
        <v>100000</v>
      </c>
      <c r="DN31" s="313">
        <f t="shared" ref="DN31:DN76" ca="1" si="655">DB31+IF($T31 ="",DJ31,0)</f>
        <v>100724.583333</v>
      </c>
      <c r="DO31" s="313">
        <f t="shared" ref="DO31:DO47" ca="1" si="656">DN31*$Z31</f>
        <v>100724.59642719585</v>
      </c>
      <c r="DP31" s="314">
        <f t="shared" ca="1" si="475"/>
        <v>2.8092837512727665E-2</v>
      </c>
      <c r="DQ31" s="315" t="str">
        <f t="shared" ca="1" si="55"/>
        <v>V</v>
      </c>
      <c r="DR31" s="197"/>
      <c r="DS31" s="312" t="str">
        <f t="shared" ca="1" si="554"/>
        <v/>
      </c>
      <c r="DT31" s="252"/>
      <c r="DU31" s="199">
        <f t="shared" ca="1" si="555"/>
        <v>0</v>
      </c>
      <c r="DV31" s="199">
        <f t="shared" ca="1" si="556"/>
        <v>0</v>
      </c>
      <c r="DW31" s="216">
        <f t="shared" ca="1" si="477"/>
        <v>0</v>
      </c>
      <c r="DX31" s="202">
        <f t="shared" ca="1" si="557"/>
        <v>0</v>
      </c>
      <c r="DY31" s="203">
        <f t="shared" ca="1" si="558"/>
        <v>0</v>
      </c>
      <c r="DZ31" s="203">
        <f t="shared" ca="1" si="559"/>
        <v>0</v>
      </c>
      <c r="EA31" s="204">
        <f t="shared" ca="1" si="560"/>
        <v>0</v>
      </c>
      <c r="EB31" s="205"/>
      <c r="EC31" s="206">
        <f t="shared" ca="1" si="561"/>
        <v>0</v>
      </c>
      <c r="ED31" s="206">
        <f t="shared" ca="1" si="562"/>
        <v>0</v>
      </c>
      <c r="EE31" s="207">
        <f t="shared" ca="1" si="478"/>
        <v>0</v>
      </c>
      <c r="EF31" s="313">
        <f t="shared" ref="EF31:EF55" si="657">DR31+EB31</f>
        <v>0</v>
      </c>
      <c r="EG31" s="313">
        <f t="shared" ca="1" si="563"/>
        <v>0</v>
      </c>
      <c r="EH31" s="313">
        <f t="shared" ca="1" si="564"/>
        <v>0</v>
      </c>
      <c r="EI31" s="314">
        <f t="shared" ca="1" si="479"/>
        <v>0</v>
      </c>
      <c r="EJ31" s="214"/>
      <c r="EK31" s="312" t="str">
        <f t="shared" ref="EK31:EK60" ca="1" si="658">IFERROR($X31/EL31-1,"")</f>
        <v/>
      </c>
      <c r="EL31" s="252"/>
      <c r="EM31" s="199">
        <f t="shared" ref="EM31:EM32" ca="1" si="659">EJ31*$X31</f>
        <v>0</v>
      </c>
      <c r="EN31" s="199">
        <f t="shared" ref="EN31:EN32" ca="1" si="660">EM31*$Z31</f>
        <v>0</v>
      </c>
      <c r="EO31" s="216">
        <f t="shared" ref="EO31:EO32" ca="1" si="661">IFERROR(EN31/EJ$4,0)</f>
        <v>0</v>
      </c>
      <c r="EP31" s="202">
        <f t="shared" ref="EP31:EP32" ca="1" si="662">EQ31/$X31</f>
        <v>0</v>
      </c>
      <c r="EQ31" s="203">
        <f t="shared" ref="EQ31:EQ32" ca="1" si="663">ER31/$Z31</f>
        <v>0</v>
      </c>
      <c r="ER31" s="203">
        <f t="shared" ref="ER31:ER32" ca="1" si="664">ES31*EJ$4</f>
        <v>0</v>
      </c>
      <c r="ES31" s="204">
        <f t="shared" ca="1" si="571"/>
        <v>0</v>
      </c>
      <c r="ET31" s="205"/>
      <c r="EU31" s="206">
        <f t="shared" ref="EU31:EU32" ca="1" si="665">ET31*$X31</f>
        <v>0</v>
      </c>
      <c r="EV31" s="206">
        <f t="shared" ref="EV31:EV32" ca="1" si="666">EU31*$Z31</f>
        <v>0</v>
      </c>
      <c r="EW31" s="207">
        <f t="shared" ref="EW31:EW32" ca="1" si="667">IFERROR(EV31/EJ$4,0)</f>
        <v>0</v>
      </c>
      <c r="EX31" s="313">
        <f t="shared" ref="EX31:EX32" si="668">EJ31+ET31</f>
        <v>0</v>
      </c>
      <c r="EY31" s="313">
        <f t="shared" ref="EY31:EY76" ca="1" si="669">EM31+IF($T31 ="",EU31,0)</f>
        <v>0</v>
      </c>
      <c r="EZ31" s="313">
        <f t="shared" ref="EZ31:EZ32" ca="1" si="670">EY31*$Z31</f>
        <v>0</v>
      </c>
      <c r="FA31" s="314">
        <f t="shared" ref="FA31:FA32" ca="1" si="671">IFERROR(EZ31/EJ$4,0)</f>
        <v>0</v>
      </c>
      <c r="FB31" s="211" t="str">
        <f t="shared" ca="1" si="66"/>
        <v/>
      </c>
      <c r="FC31" s="214"/>
      <c r="FD31" s="312" t="str">
        <f t="shared" ref="FD31:FD60" ca="1" si="672">IFERROR($X31/FE31-1,"")</f>
        <v/>
      </c>
      <c r="FE31" s="252"/>
      <c r="FF31" s="199">
        <f t="shared" ref="FF31:FF32" ca="1" si="673">FC31*$X31</f>
        <v>0</v>
      </c>
      <c r="FG31" s="199">
        <f t="shared" ref="FG31:FG32" ca="1" si="674">FF31*$Z31</f>
        <v>0</v>
      </c>
      <c r="FH31" s="216">
        <f t="shared" ref="FH31:FH32" ca="1" si="675">IFERROR(FG31/FC$4,0)</f>
        <v>0</v>
      </c>
      <c r="FI31" s="202">
        <f t="shared" ref="FI31:FI32" ca="1" si="676">FJ31/$X31</f>
        <v>0</v>
      </c>
      <c r="FJ31" s="203">
        <f t="shared" ref="FJ31:FJ32" ca="1" si="677">FK31/$Z31</f>
        <v>0</v>
      </c>
      <c r="FK31" s="203">
        <f t="shared" ref="FK31:FK32" ca="1" si="678">FL31*FC$4</f>
        <v>0</v>
      </c>
      <c r="FL31" s="204">
        <f t="shared" ca="1" si="582"/>
        <v>0</v>
      </c>
      <c r="FM31" s="205"/>
      <c r="FN31" s="206">
        <f t="shared" ref="FN31:FN32" ca="1" si="679">FM31*$X31</f>
        <v>0</v>
      </c>
      <c r="FO31" s="206">
        <f t="shared" ref="FO31:FO32" ca="1" si="680">FN31*$Z31</f>
        <v>0</v>
      </c>
      <c r="FP31" s="207">
        <f t="shared" ref="FP31:FP32" ca="1" si="681">IFERROR(FO31/FC$4,0)</f>
        <v>0</v>
      </c>
      <c r="FQ31" s="313">
        <f t="shared" ref="FQ31:FQ32" si="682">FC31+FM31</f>
        <v>0</v>
      </c>
      <c r="FR31" s="313">
        <f t="shared" ref="FR31:FR76" ca="1" si="683">FF31+IF($T31 ="",FN31,0)</f>
        <v>0</v>
      </c>
      <c r="FS31" s="313">
        <f t="shared" ref="FS31:FS32" ca="1" si="684">FR31*$Z31</f>
        <v>0</v>
      </c>
      <c r="FT31" s="314">
        <f t="shared" ref="FT31:FT32" ca="1" si="685">IFERROR(FS31/FC$4,0)</f>
        <v>0</v>
      </c>
      <c r="FU31" s="315" t="str">
        <f t="shared" ca="1" si="71"/>
        <v/>
      </c>
    </row>
    <row r="32" spans="1:177" outlineLevel="2" x14ac:dyDescent="0.2">
      <c r="A32" s="298"/>
      <c r="B32" s="298"/>
      <c r="C32" s="299" t="str">
        <f t="shared" ca="1" si="487"/>
        <v>CH1348614046:CHF</v>
      </c>
      <c r="D32" s="300" t="str">
        <f t="shared" ca="1" si="488"/>
        <v>CH1348614046</v>
      </c>
      <c r="E32" s="301" t="str">
        <f t="shared" ca="1" si="488"/>
        <v>134861404</v>
      </c>
      <c r="F32" s="299" t="s">
        <v>728</v>
      </c>
      <c r="G32" s="316">
        <f t="shared" ca="1" si="488"/>
        <v>46157</v>
      </c>
      <c r="H32" s="1708" t="str">
        <f t="shared" ca="1" si="489"/>
        <v></v>
      </c>
      <c r="I32" s="1680" t="str">
        <f t="shared" ca="1" si="490"/>
        <v/>
      </c>
      <c r="J32" s="1708" t="str">
        <f t="shared" ca="1" si="491"/>
        <v/>
      </c>
      <c r="K32" s="1709" t="str">
        <f t="shared" ca="1" si="491"/>
        <v/>
      </c>
      <c r="L32" s="1710" t="str">
        <f t="shared" ca="1" si="492"/>
        <v/>
      </c>
      <c r="M32" s="298" t="str">
        <f t="shared" ca="1" si="493"/>
        <v>Pct</v>
      </c>
      <c r="N32" s="305"/>
      <c r="O32" s="305"/>
      <c r="P32" s="306">
        <f t="shared" ca="1" si="1"/>
        <v>0</v>
      </c>
      <c r="Q32" s="307">
        <f t="array" aca="1" ref="Q32" ca="1">SUM(IF($AA$15:$FT$15="I_pos",AA32:FT32))</f>
        <v>20000</v>
      </c>
      <c r="R32" s="307">
        <f t="array" aca="1" ref="R32" ca="1">SUM(IF($AA$15:$FT$15="P_Pos",AA32:FT32))</f>
        <v>-20000</v>
      </c>
      <c r="S32" s="304"/>
      <c r="T32" s="307"/>
      <c r="U32" s="308">
        <f t="shared" ca="1" si="494"/>
        <v>0</v>
      </c>
      <c r="V32" s="307">
        <f t="array" aca="1" ref="V32" ca="1">SUM(IF($AA$15:$FT$15="O_Pos",AA32:FT32))</f>
        <v>0</v>
      </c>
      <c r="W32" s="299" t="str">
        <f t="shared" ca="1" si="588"/>
        <v>CHF</v>
      </c>
      <c r="X32" s="309">
        <f t="shared" ca="1" si="496"/>
        <v>1.0162</v>
      </c>
      <c r="Y32" s="310">
        <f t="shared" ca="1" si="496"/>
        <v>8.6026335199999998E-3</v>
      </c>
      <c r="Z32" s="311">
        <f t="shared" ca="1" si="589"/>
        <v>1.0000001300000001</v>
      </c>
      <c r="AA32" s="214"/>
      <c r="AB32" s="312" t="str">
        <f t="shared" ref="AB32" ca="1" si="686">IFERROR($X32/AC32-1,"")</f>
        <v/>
      </c>
      <c r="AC32" s="252"/>
      <c r="AD32" s="199">
        <f t="shared" ca="1" si="591"/>
        <v>0</v>
      </c>
      <c r="AE32" s="199">
        <f t="shared" ca="1" si="592"/>
        <v>0</v>
      </c>
      <c r="AF32" s="216">
        <f t="shared" ca="1" si="593"/>
        <v>0</v>
      </c>
      <c r="AG32" s="202">
        <f t="shared" ca="1" si="594"/>
        <v>0</v>
      </c>
      <c r="AH32" s="203">
        <f t="shared" ca="1" si="595"/>
        <v>0</v>
      </c>
      <c r="AI32" s="203">
        <f t="shared" ca="1" si="596"/>
        <v>0</v>
      </c>
      <c r="AJ32" s="204">
        <f t="shared" ca="1" si="504"/>
        <v>0</v>
      </c>
      <c r="AK32" s="205"/>
      <c r="AL32" s="206">
        <f t="shared" ca="1" si="597"/>
        <v>0</v>
      </c>
      <c r="AM32" s="206">
        <f t="shared" ca="1" si="598"/>
        <v>0</v>
      </c>
      <c r="AN32" s="207">
        <f t="shared" ca="1" si="599"/>
        <v>0</v>
      </c>
      <c r="AO32" s="313">
        <f t="shared" si="600"/>
        <v>0</v>
      </c>
      <c r="AP32" s="313">
        <f t="shared" ref="AP32" ca="1" si="687">AD32+IF($T32 ="",AL32,0)</f>
        <v>0</v>
      </c>
      <c r="AQ32" s="313">
        <f t="shared" ca="1" si="602"/>
        <v>0</v>
      </c>
      <c r="AR32" s="314">
        <f t="shared" ca="1" si="603"/>
        <v>0</v>
      </c>
      <c r="AS32" s="315" t="str">
        <f t="shared" ref="AS32" ca="1" si="688">IF(SUM(AF32,AN32,AR32)&lt;&gt;0,"V","")</f>
        <v/>
      </c>
      <c r="AT32" s="214"/>
      <c r="AU32" s="312" t="str">
        <f t="shared" ref="AU32" ca="1" si="689">IFERROR($X32/AV32-1,"")</f>
        <v/>
      </c>
      <c r="AV32" s="252"/>
      <c r="AW32" s="199">
        <f t="shared" ca="1" si="605"/>
        <v>0</v>
      </c>
      <c r="AX32" s="199">
        <f t="shared" ca="1" si="606"/>
        <v>0</v>
      </c>
      <c r="AY32" s="216">
        <f t="shared" ca="1" si="607"/>
        <v>0</v>
      </c>
      <c r="AZ32" s="202">
        <f t="shared" ca="1" si="608"/>
        <v>0</v>
      </c>
      <c r="BA32" s="203">
        <f t="shared" ca="1" si="609"/>
        <v>0</v>
      </c>
      <c r="BB32" s="203">
        <f t="shared" ca="1" si="610"/>
        <v>0</v>
      </c>
      <c r="BC32" s="204">
        <f t="shared" ca="1" si="515"/>
        <v>0</v>
      </c>
      <c r="BD32" s="205"/>
      <c r="BE32" s="206">
        <f t="shared" ca="1" si="611"/>
        <v>0</v>
      </c>
      <c r="BF32" s="206">
        <f t="shared" ca="1" si="612"/>
        <v>0</v>
      </c>
      <c r="BG32" s="207">
        <f t="shared" ca="1" si="613"/>
        <v>0</v>
      </c>
      <c r="BH32" s="313">
        <f t="shared" si="614"/>
        <v>0</v>
      </c>
      <c r="BI32" s="313">
        <f t="shared" ref="BI32" ca="1" si="690">AW32+IF($T32 ="",BE32,0)</f>
        <v>0</v>
      </c>
      <c r="BJ32" s="313">
        <f t="shared" ca="1" si="616"/>
        <v>0</v>
      </c>
      <c r="BK32" s="314">
        <f t="shared" ca="1" si="617"/>
        <v>0</v>
      </c>
      <c r="BL32" s="211" t="str">
        <f t="shared" ref="BL32" ca="1" si="691">IF(SUM(AY32,BG32,BK32)&lt;&gt;0,"V","")</f>
        <v/>
      </c>
      <c r="BM32" s="214"/>
      <c r="BN32" s="312" t="str">
        <f t="shared" ref="BN32" ca="1" si="692">IFERROR($X32/BO32-1,"")</f>
        <v/>
      </c>
      <c r="BO32" s="252"/>
      <c r="BP32" s="199">
        <f t="shared" ca="1" si="619"/>
        <v>0</v>
      </c>
      <c r="BQ32" s="199">
        <f t="shared" ca="1" si="620"/>
        <v>0</v>
      </c>
      <c r="BR32" s="216">
        <f t="shared" ca="1" si="621"/>
        <v>0</v>
      </c>
      <c r="BS32" s="202">
        <f t="shared" ca="1" si="622"/>
        <v>0</v>
      </c>
      <c r="BT32" s="203">
        <f t="shared" ca="1" si="623"/>
        <v>0</v>
      </c>
      <c r="BU32" s="203">
        <f t="shared" ca="1" si="624"/>
        <v>0</v>
      </c>
      <c r="BV32" s="204">
        <f t="shared" ca="1" si="526"/>
        <v>0</v>
      </c>
      <c r="BW32" s="205"/>
      <c r="BX32" s="206">
        <f t="shared" ca="1" si="625"/>
        <v>0</v>
      </c>
      <c r="BY32" s="206">
        <f t="shared" ca="1" si="626"/>
        <v>0</v>
      </c>
      <c r="BZ32" s="207">
        <f t="shared" ca="1" si="627"/>
        <v>0</v>
      </c>
      <c r="CA32" s="313">
        <f t="shared" si="628"/>
        <v>0</v>
      </c>
      <c r="CB32" s="313">
        <f t="shared" ref="CB32" ca="1" si="693">BP32+IF($T32 ="",BX32,0)</f>
        <v>0</v>
      </c>
      <c r="CC32" s="313">
        <f t="shared" ca="1" si="630"/>
        <v>0</v>
      </c>
      <c r="CD32" s="314">
        <f t="shared" ca="1" si="631"/>
        <v>0</v>
      </c>
      <c r="CE32" s="211" t="str">
        <f t="shared" ref="CE32" ca="1" si="694">IF(SUM(BR32,BZ32,CD32)&lt;&gt;0,"V","")</f>
        <v/>
      </c>
      <c r="CF32" s="214"/>
      <c r="CG32" s="312" t="str">
        <f t="shared" ref="CG32" ca="1" si="695">IFERROR($X32/CH32-1,"")</f>
        <v/>
      </c>
      <c r="CH32" s="215"/>
      <c r="CI32" s="199">
        <f t="shared" ca="1" si="633"/>
        <v>0</v>
      </c>
      <c r="CJ32" s="199">
        <f t="shared" ca="1" si="634"/>
        <v>0</v>
      </c>
      <c r="CK32" s="216">
        <f t="shared" ca="1" si="635"/>
        <v>0</v>
      </c>
      <c r="CL32" s="202">
        <f t="shared" ca="1" si="636"/>
        <v>0</v>
      </c>
      <c r="CM32" s="203">
        <f t="shared" ca="1" si="637"/>
        <v>0</v>
      </c>
      <c r="CN32" s="203">
        <f t="shared" ca="1" si="638"/>
        <v>0</v>
      </c>
      <c r="CO32" s="204">
        <f t="shared" ca="1" si="537"/>
        <v>0</v>
      </c>
      <c r="CP32" s="205"/>
      <c r="CQ32" s="206">
        <f t="shared" ca="1" si="639"/>
        <v>0</v>
      </c>
      <c r="CR32" s="206">
        <f t="shared" ca="1" si="640"/>
        <v>0</v>
      </c>
      <c r="CS32" s="207">
        <f t="shared" ca="1" si="641"/>
        <v>0</v>
      </c>
      <c r="CT32" s="313">
        <f t="shared" si="642"/>
        <v>0</v>
      </c>
      <c r="CU32" s="313">
        <f t="shared" ref="CU32" ca="1" si="696">CI32+IF($T32 ="",CQ32,0)</f>
        <v>0</v>
      </c>
      <c r="CV32" s="313">
        <f t="shared" ca="1" si="644"/>
        <v>0</v>
      </c>
      <c r="CW32" s="314">
        <f t="shared" ca="1" si="645"/>
        <v>0</v>
      </c>
      <c r="CX32" s="211" t="str">
        <f t="shared" ref="CX32" ca="1" si="697">IF(SUM(CK32,CS32,CW32)&lt;&gt;0,"V","")</f>
        <v/>
      </c>
      <c r="CY32" s="197"/>
      <c r="CZ32" s="312" t="str">
        <f t="shared" ref="CZ32" ca="1" si="698">IFERROR($X32/DA32-1,"")</f>
        <v/>
      </c>
      <c r="DA32" s="252"/>
      <c r="DB32" s="199">
        <f t="shared" ref="DB32" ca="1" si="699">CY32*$X32</f>
        <v>0</v>
      </c>
      <c r="DC32" s="199">
        <f t="shared" ref="DC32" ca="1" si="700">DB32*$Z32</f>
        <v>0</v>
      </c>
      <c r="DD32" s="216">
        <f t="shared" ref="DD32" ca="1" si="701">IFERROR(DC32/CY$4,0)</f>
        <v>0</v>
      </c>
      <c r="DE32" s="202">
        <f t="shared" ref="DE32" ca="1" si="702">DF32/$X32</f>
        <v>0</v>
      </c>
      <c r="DF32" s="203">
        <f t="shared" ref="DF32" ca="1" si="703">DG32/$Z32</f>
        <v>0</v>
      </c>
      <c r="DG32" s="203">
        <f t="shared" ref="DG32" ca="1" si="704">DH32*CY$4</f>
        <v>0</v>
      </c>
      <c r="DH32" s="204">
        <f t="shared" ca="1" si="548"/>
        <v>0</v>
      </c>
      <c r="DI32" s="205"/>
      <c r="DJ32" s="206">
        <f t="shared" ref="DJ32" ca="1" si="705">DI32*$X32</f>
        <v>0</v>
      </c>
      <c r="DK32" s="206">
        <f t="shared" ref="DK32" ca="1" si="706">DJ32*$Z32</f>
        <v>0</v>
      </c>
      <c r="DL32" s="207">
        <f t="shared" ref="DL32" ca="1" si="707">IFERROR(DK32/CY$4,0)</f>
        <v>0</v>
      </c>
      <c r="DM32" s="313">
        <f t="shared" ref="DM32" si="708">CY32+DI32</f>
        <v>0</v>
      </c>
      <c r="DN32" s="313">
        <f t="shared" ref="DN32" ca="1" si="709">DB32+IF($T32 ="",DJ32,0)</f>
        <v>0</v>
      </c>
      <c r="DO32" s="313">
        <f t="shared" ref="DO32" ca="1" si="710">DN32*$Z32</f>
        <v>0</v>
      </c>
      <c r="DP32" s="314">
        <f t="shared" ref="DP32" ca="1" si="711">IFERROR(DO32/CY$4,0)</f>
        <v>0</v>
      </c>
      <c r="DQ32" s="315" t="str">
        <f t="shared" ref="DQ32" ca="1" si="712">IF(SUM(DD32,DL32,DP32)&lt;&gt;0,"V","")</f>
        <v/>
      </c>
      <c r="DR32" s="197">
        <v>20000</v>
      </c>
      <c r="DS32" s="312">
        <f t="shared" ref="DS32" ca="1" si="713">IFERROR($X32/DT32-1,"")</f>
        <v>2.2130400584189358E-2</v>
      </c>
      <c r="DT32" s="252">
        <v>0.99419800000000003</v>
      </c>
      <c r="DU32" s="199">
        <f t="shared" ref="DU32" ca="1" si="714">DR32*$X32</f>
        <v>20324</v>
      </c>
      <c r="DV32" s="199">
        <f t="shared" ref="DV32" ca="1" si="715">DU32*$Z32</f>
        <v>20324.002642120002</v>
      </c>
      <c r="DW32" s="216">
        <f t="shared" ref="DW32" ca="1" si="716">IFERROR(DV32/DR$4,0)</f>
        <v>2.8961479524323069E-2</v>
      </c>
      <c r="DX32" s="202">
        <f t="shared" ref="DX32" ca="1" si="717">DY32/$X32</f>
        <v>-20000</v>
      </c>
      <c r="DY32" s="203">
        <f t="shared" ref="DY32" ca="1" si="718">DZ32/$Z32</f>
        <v>-20324</v>
      </c>
      <c r="DZ32" s="203">
        <f t="shared" ref="DZ32" ca="1" si="719">EA32*DR$4</f>
        <v>-20324.002642120002</v>
      </c>
      <c r="EA32" s="204">
        <f t="shared" ca="1" si="560"/>
        <v>-2.8961479524323069E-2</v>
      </c>
      <c r="EB32" s="205"/>
      <c r="EC32" s="206">
        <f t="shared" ref="EC32" ca="1" si="720">EB32*$X32</f>
        <v>0</v>
      </c>
      <c r="ED32" s="206">
        <f t="shared" ref="ED32" ca="1" si="721">EC32*$Z32</f>
        <v>0</v>
      </c>
      <c r="EE32" s="207">
        <f t="shared" ref="EE32" ca="1" si="722">IFERROR(ED32/DR$4,0)</f>
        <v>0</v>
      </c>
      <c r="EF32" s="313">
        <f t="shared" ref="EF32" si="723">DR32+EB32</f>
        <v>20000</v>
      </c>
      <c r="EG32" s="313">
        <f t="shared" ref="EG32" ca="1" si="724">DU32+IF($T32 ="",EC32,0)</f>
        <v>20324</v>
      </c>
      <c r="EH32" s="313">
        <f t="shared" ref="EH32" ca="1" si="725">EG32*$Z32</f>
        <v>20324.002642120002</v>
      </c>
      <c r="EI32" s="314">
        <f t="shared" ref="EI32" ca="1" si="726">IFERROR(EH32/DR$4,0)</f>
        <v>2.8961479524323069E-2</v>
      </c>
      <c r="EJ32" s="214"/>
      <c r="EK32" s="312" t="str">
        <f t="shared" ref="EK32" ca="1" si="727">IFERROR($X32/EL32-1,"")</f>
        <v/>
      </c>
      <c r="EL32" s="252"/>
      <c r="EM32" s="199">
        <f t="shared" ca="1" si="659"/>
        <v>0</v>
      </c>
      <c r="EN32" s="199">
        <f t="shared" ca="1" si="660"/>
        <v>0</v>
      </c>
      <c r="EO32" s="216">
        <f t="shared" ca="1" si="661"/>
        <v>0</v>
      </c>
      <c r="EP32" s="202">
        <f t="shared" ca="1" si="662"/>
        <v>0</v>
      </c>
      <c r="EQ32" s="203">
        <f t="shared" ca="1" si="663"/>
        <v>0</v>
      </c>
      <c r="ER32" s="203">
        <f t="shared" ca="1" si="664"/>
        <v>0</v>
      </c>
      <c r="ES32" s="204">
        <f t="shared" ca="1" si="571"/>
        <v>0</v>
      </c>
      <c r="ET32" s="205"/>
      <c r="EU32" s="206">
        <f t="shared" ca="1" si="665"/>
        <v>0</v>
      </c>
      <c r="EV32" s="206">
        <f t="shared" ca="1" si="666"/>
        <v>0</v>
      </c>
      <c r="EW32" s="207">
        <f t="shared" ca="1" si="667"/>
        <v>0</v>
      </c>
      <c r="EX32" s="313">
        <f t="shared" si="668"/>
        <v>0</v>
      </c>
      <c r="EY32" s="313">
        <f t="shared" ref="EY32" ca="1" si="728">EM32+IF($T32 ="",EU32,0)</f>
        <v>0</v>
      </c>
      <c r="EZ32" s="313">
        <f t="shared" ca="1" si="670"/>
        <v>0</v>
      </c>
      <c r="FA32" s="314">
        <f t="shared" ca="1" si="671"/>
        <v>0</v>
      </c>
      <c r="FB32" s="211" t="str">
        <f t="shared" ref="FB32" ca="1" si="729">IF(SUM(EO32,EW32,FA32)&lt;&gt;0,"V","")</f>
        <v/>
      </c>
      <c r="FC32" s="214"/>
      <c r="FD32" s="312" t="str">
        <f t="shared" ref="FD32" ca="1" si="730">IFERROR($X32/FE32-1,"")</f>
        <v/>
      </c>
      <c r="FE32" s="252"/>
      <c r="FF32" s="199">
        <f t="shared" ca="1" si="673"/>
        <v>0</v>
      </c>
      <c r="FG32" s="199">
        <f t="shared" ca="1" si="674"/>
        <v>0</v>
      </c>
      <c r="FH32" s="216">
        <f t="shared" ca="1" si="675"/>
        <v>0</v>
      </c>
      <c r="FI32" s="202">
        <f t="shared" ca="1" si="676"/>
        <v>0</v>
      </c>
      <c r="FJ32" s="203">
        <f t="shared" ca="1" si="677"/>
        <v>0</v>
      </c>
      <c r="FK32" s="203">
        <f t="shared" ca="1" si="678"/>
        <v>0</v>
      </c>
      <c r="FL32" s="204">
        <f t="shared" ca="1" si="582"/>
        <v>0</v>
      </c>
      <c r="FM32" s="205"/>
      <c r="FN32" s="206">
        <f t="shared" ca="1" si="679"/>
        <v>0</v>
      </c>
      <c r="FO32" s="206">
        <f t="shared" ca="1" si="680"/>
        <v>0</v>
      </c>
      <c r="FP32" s="207">
        <f t="shared" ca="1" si="681"/>
        <v>0</v>
      </c>
      <c r="FQ32" s="313">
        <f t="shared" si="682"/>
        <v>0</v>
      </c>
      <c r="FR32" s="313">
        <f t="shared" ref="FR32" ca="1" si="731">FF32+IF($T32 ="",FN32,0)</f>
        <v>0</v>
      </c>
      <c r="FS32" s="313">
        <f t="shared" ca="1" si="684"/>
        <v>0</v>
      </c>
      <c r="FT32" s="314">
        <f t="shared" ca="1" si="685"/>
        <v>0</v>
      </c>
      <c r="FU32" s="315" t="str">
        <f t="shared" ref="FU32" ca="1" si="732">IF(SUM(FH32,FP32,FT32)&lt;&gt;0,"V","")</f>
        <v/>
      </c>
    </row>
    <row r="33" spans="1:177" outlineLevel="2" x14ac:dyDescent="0.2">
      <c r="A33" s="298"/>
      <c r="B33" s="298"/>
      <c r="C33" s="299" t="str">
        <f t="shared" ca="1" si="487"/>
        <v>CH0479514264:CHF</v>
      </c>
      <c r="D33" s="300" t="str">
        <f t="shared" ca="1" si="488"/>
        <v>CH0479514264</v>
      </c>
      <c r="E33" s="301" t="str">
        <f t="shared" ca="1" si="488"/>
        <v>47951426</v>
      </c>
      <c r="F33" s="299" t="s">
        <v>523</v>
      </c>
      <c r="G33" s="316">
        <f t="shared" ca="1" si="488"/>
        <v>46185</v>
      </c>
      <c r="H33" s="1708" t="str">
        <f t="shared" ca="1" si="489"/>
        <v></v>
      </c>
      <c r="I33" s="1680" t="str">
        <f t="shared" ca="1" si="490"/>
        <v/>
      </c>
      <c r="J33" s="1708" t="str">
        <f t="shared" ca="1" si="491"/>
        <v/>
      </c>
      <c r="K33" s="1709" t="str">
        <f t="shared" ca="1" si="491"/>
        <v/>
      </c>
      <c r="L33" s="1710" t="str">
        <f t="shared" ca="1" si="492"/>
        <v/>
      </c>
      <c r="M33" s="298" t="str">
        <f t="shared" ca="1" si="493"/>
        <v>Pct</v>
      </c>
      <c r="N33" s="305">
        <v>0.04</v>
      </c>
      <c r="O33" s="305"/>
      <c r="P33" s="306">
        <f t="shared" ca="1" si="1"/>
        <v>0</v>
      </c>
      <c r="Q33" s="307">
        <f t="array" aca="1" ref="Q33" ca="1">SUM(IF($AA$15:$FT$15="I_pos",AA33:FT33))</f>
        <v>50000</v>
      </c>
      <c r="R33" s="307">
        <f t="array" aca="1" ref="R33" ca="1">SUM(IF($AA$15:$FT$15="P_Pos",AA33:FT33))</f>
        <v>470062.82730474224</v>
      </c>
      <c r="S33" s="304"/>
      <c r="T33" s="307"/>
      <c r="U33" s="308">
        <f t="shared" ca="1" si="494"/>
        <v>0</v>
      </c>
      <c r="V33" s="307">
        <f t="array" aca="1" ref="V33" ca="1">SUM(IF($AA$15:$FT$15="O_Pos",AA33:FT33))</f>
        <v>0</v>
      </c>
      <c r="W33" s="299" t="str">
        <f t="shared" ca="1" si="588"/>
        <v>CHF</v>
      </c>
      <c r="X33" s="309">
        <f t="shared" ca="1" si="496"/>
        <v>1.00125</v>
      </c>
      <c r="Y33" s="310">
        <f t="shared" ca="1" si="496"/>
        <v>2.7388140800000001E-3</v>
      </c>
      <c r="Z33" s="311">
        <f t="shared" ca="1" si="589"/>
        <v>1.0000001300000001</v>
      </c>
      <c r="AA33" s="214"/>
      <c r="AB33" s="312" t="str">
        <f t="shared" ca="1" si="590"/>
        <v/>
      </c>
      <c r="AC33" s="252"/>
      <c r="AD33" s="199">
        <f t="shared" ref="AD33:AD35" ca="1" si="733">AA33*$X33</f>
        <v>0</v>
      </c>
      <c r="AE33" s="199">
        <f t="shared" ref="AE33:AE35" ca="1" si="734">AD33*$Z33</f>
        <v>0</v>
      </c>
      <c r="AF33" s="216">
        <f t="shared" ref="AF33:AF35" ca="1" si="735">IFERROR(AE33/AA$4,0)</f>
        <v>0</v>
      </c>
      <c r="AG33" s="202">
        <f t="shared" ref="AG33:AG35" ca="1" si="736">AH33/$X33</f>
        <v>22431.797969358704</v>
      </c>
      <c r="AH33" s="203">
        <f t="shared" ref="AH33:AH35" ca="1" si="737">AI33/$Z33</f>
        <v>22459.837716820402</v>
      </c>
      <c r="AI33" s="203">
        <f t="shared" ref="AI33:AI35" ca="1" si="738">AJ33*AA$4</f>
        <v>22459.840636599307</v>
      </c>
      <c r="AJ33" s="204">
        <f t="shared" ca="1" si="504"/>
        <v>0.04</v>
      </c>
      <c r="AK33" s="205"/>
      <c r="AL33" s="206">
        <f t="shared" ref="AL33:AL35" ca="1" si="739">AK33*$X33</f>
        <v>0</v>
      </c>
      <c r="AM33" s="206">
        <f t="shared" ref="AM33:AM35" ca="1" si="740">AL33*$Z33</f>
        <v>0</v>
      </c>
      <c r="AN33" s="207">
        <f t="shared" ref="AN33:AN35" ca="1" si="741">IFERROR(AM33/AA$4,0)</f>
        <v>0</v>
      </c>
      <c r="AO33" s="313">
        <f t="shared" ref="AO33:AO35" si="742">AA33+AK33</f>
        <v>0</v>
      </c>
      <c r="AP33" s="313">
        <f t="shared" ca="1" si="601"/>
        <v>0</v>
      </c>
      <c r="AQ33" s="313">
        <f t="shared" ref="AQ33:AQ35" ca="1" si="743">AP33*$Z33</f>
        <v>0</v>
      </c>
      <c r="AR33" s="314">
        <f t="shared" ref="AR33:AR35" ca="1" si="744">IFERROR(AQ33/AA$4,0)</f>
        <v>0</v>
      </c>
      <c r="AS33" s="315" t="str">
        <f t="shared" ca="1" si="29"/>
        <v/>
      </c>
      <c r="AT33" s="214"/>
      <c r="AU33" s="312" t="str">
        <f t="shared" ca="1" si="604"/>
        <v/>
      </c>
      <c r="AV33" s="252"/>
      <c r="AW33" s="199">
        <f t="shared" ref="AW33:AW35" ca="1" si="745">AT33*$X33</f>
        <v>0</v>
      </c>
      <c r="AX33" s="199">
        <f t="shared" ref="AX33:AX35" ca="1" si="746">AW33*$Z33</f>
        <v>0</v>
      </c>
      <c r="AY33" s="216">
        <f t="shared" ref="AY33:AY35" ca="1" si="747">IFERROR(AX33/AT$4,0)</f>
        <v>0</v>
      </c>
      <c r="AZ33" s="202">
        <f t="shared" ref="AZ33:AZ35" ca="1" si="748">BA33/$X33</f>
        <v>69187.188285934171</v>
      </c>
      <c r="BA33" s="203">
        <f t="shared" ref="BA33:BA35" ca="1" si="749">BB33/$Z33</f>
        <v>69273.672271291594</v>
      </c>
      <c r="BB33" s="203">
        <f t="shared" ref="BB33:BB35" ca="1" si="750">BC33*AT$4</f>
        <v>69273.681276869</v>
      </c>
      <c r="BC33" s="204">
        <f t="shared" ca="1" si="515"/>
        <v>0.04</v>
      </c>
      <c r="BD33" s="205"/>
      <c r="BE33" s="206">
        <f t="shared" ref="BE33:BE35" ca="1" si="751">BD33*$X33</f>
        <v>0</v>
      </c>
      <c r="BF33" s="206">
        <f t="shared" ref="BF33:BF35" ca="1" si="752">BE33*$Z33</f>
        <v>0</v>
      </c>
      <c r="BG33" s="207">
        <f t="shared" ref="BG33:BG35" ca="1" si="753">IFERROR(BF33/AT$4,0)</f>
        <v>0</v>
      </c>
      <c r="BH33" s="313">
        <f t="shared" ref="BH33:BH35" si="754">AT33+BD33</f>
        <v>0</v>
      </c>
      <c r="BI33" s="313">
        <f t="shared" ca="1" si="615"/>
        <v>0</v>
      </c>
      <c r="BJ33" s="313">
        <f t="shared" ref="BJ33:BJ35" ca="1" si="755">BI33*$Z33</f>
        <v>0</v>
      </c>
      <c r="BK33" s="314">
        <f t="shared" ref="BK33:BK35" ca="1" si="756">IFERROR(BJ33/AT$4,0)</f>
        <v>0</v>
      </c>
      <c r="BL33" s="211" t="str">
        <f t="shared" ca="1" si="34"/>
        <v/>
      </c>
      <c r="BM33" s="214"/>
      <c r="BN33" s="312" t="str">
        <f t="shared" ca="1" si="618"/>
        <v/>
      </c>
      <c r="BO33" s="252"/>
      <c r="BP33" s="199">
        <f t="shared" ref="BP33:BP35" ca="1" si="757">BM33*$X33</f>
        <v>0</v>
      </c>
      <c r="BQ33" s="199">
        <f t="shared" ref="BQ33:BQ35" ca="1" si="758">BP33*$Z33</f>
        <v>0</v>
      </c>
      <c r="BR33" s="216">
        <f t="shared" ref="BR33:BR35" ca="1" si="759">IFERROR(BQ33/BM$4,0)</f>
        <v>0</v>
      </c>
      <c r="BS33" s="202">
        <f t="shared" ref="BS33:BS35" ca="1" si="760">BT33/$X33</f>
        <v>11384.657416053387</v>
      </c>
      <c r="BT33" s="203">
        <f t="shared" ref="BT33:BT35" ca="1" si="761">BU33/$Z33</f>
        <v>11398.888237823454</v>
      </c>
      <c r="BU33" s="203">
        <f t="shared" ref="BU33:BU35" ca="1" si="762">BV33*BM$4</f>
        <v>11398.889719678926</v>
      </c>
      <c r="BV33" s="204">
        <f t="shared" ca="1" si="526"/>
        <v>0.04</v>
      </c>
      <c r="BW33" s="205"/>
      <c r="BX33" s="206">
        <f t="shared" ref="BX33:BX35" ca="1" si="763">BW33*$X33</f>
        <v>0</v>
      </c>
      <c r="BY33" s="206">
        <f t="shared" ref="BY33:BY35" ca="1" si="764">BX33*$Z33</f>
        <v>0</v>
      </c>
      <c r="BZ33" s="207">
        <f t="shared" ref="BZ33:BZ35" ca="1" si="765">IFERROR(BY33/BM$4,0)</f>
        <v>0</v>
      </c>
      <c r="CA33" s="313">
        <f t="shared" ref="CA33:CA35" si="766">BM33+BW33</f>
        <v>0</v>
      </c>
      <c r="CB33" s="313">
        <f t="shared" ca="1" si="629"/>
        <v>0</v>
      </c>
      <c r="CC33" s="313">
        <f t="shared" ref="CC33:CC35" ca="1" si="767">CB33*$Z33</f>
        <v>0</v>
      </c>
      <c r="CD33" s="314">
        <f t="shared" ref="CD33:CD35" ca="1" si="768">IFERROR(CC33/BM$4,0)</f>
        <v>0</v>
      </c>
      <c r="CE33" s="211" t="str">
        <f t="shared" ca="1" si="39"/>
        <v/>
      </c>
      <c r="CF33" s="214"/>
      <c r="CG33" s="312" t="str">
        <f t="shared" ca="1" si="632"/>
        <v/>
      </c>
      <c r="CH33" s="215"/>
      <c r="CI33" s="199">
        <f t="shared" ref="CI33:CI35" ca="1" si="769">CF33*$X33</f>
        <v>0</v>
      </c>
      <c r="CJ33" s="199">
        <f t="shared" ref="CJ33:CJ35" ca="1" si="770">CI33*$Z33</f>
        <v>0</v>
      </c>
      <c r="CK33" s="216">
        <f t="shared" ref="CK33:CK35" ca="1" si="771">IFERROR(CJ33/CF$4,0)</f>
        <v>0</v>
      </c>
      <c r="CL33" s="202">
        <f t="shared" ref="CL33:CL35" ca="1" si="772">CM33/$X33</f>
        <v>35354.18551735043</v>
      </c>
      <c r="CM33" s="203">
        <f t="shared" ref="CM33:CM35" ca="1" si="773">CN33/$Z33</f>
        <v>35398.378249247115</v>
      </c>
      <c r="CN33" s="203">
        <f t="shared" ref="CN33:CN35" ca="1" si="774">CO33*CF$4</f>
        <v>35398.382851036287</v>
      </c>
      <c r="CO33" s="204">
        <f t="shared" ca="1" si="537"/>
        <v>0.04</v>
      </c>
      <c r="CP33" s="205"/>
      <c r="CQ33" s="206">
        <f t="shared" ref="CQ33:CQ35" ca="1" si="775">CP33*$X33</f>
        <v>0</v>
      </c>
      <c r="CR33" s="206">
        <f t="shared" ref="CR33:CR35" ca="1" si="776">CQ33*$Z33</f>
        <v>0</v>
      </c>
      <c r="CS33" s="207">
        <f t="shared" ref="CS33:CS35" ca="1" si="777">IFERROR(CR33/CF$4,0)</f>
        <v>0</v>
      </c>
      <c r="CT33" s="313">
        <f t="shared" ref="CT33:CT35" si="778">CF33+CP33</f>
        <v>0</v>
      </c>
      <c r="CU33" s="313">
        <f t="shared" ca="1" si="643"/>
        <v>0</v>
      </c>
      <c r="CV33" s="313">
        <f t="shared" ref="CV33:CV35" ca="1" si="779">CU33*$Z33</f>
        <v>0</v>
      </c>
      <c r="CW33" s="314">
        <f t="shared" ref="CW33:CW35" ca="1" si="780">IFERROR(CV33/CF$4,0)</f>
        <v>0</v>
      </c>
      <c r="CX33" s="211" t="str">
        <f t="shared" ca="1" si="47"/>
        <v/>
      </c>
      <c r="CY33" s="197">
        <f>50000</f>
        <v>50000</v>
      </c>
      <c r="CZ33" s="312">
        <f t="shared" ca="1" si="646"/>
        <v>7.0855614973261982E-2</v>
      </c>
      <c r="DA33" s="252">
        <v>0.93500000000000005</v>
      </c>
      <c r="DB33" s="199">
        <f t="shared" ca="1" si="647"/>
        <v>50062.5</v>
      </c>
      <c r="DC33" s="199">
        <f t="shared" ca="1" si="648"/>
        <v>50062.506508125007</v>
      </c>
      <c r="DD33" s="216">
        <f t="shared" ca="1" si="10"/>
        <v>1.3962804624679507E-2</v>
      </c>
      <c r="DE33" s="202">
        <f t="shared" ca="1" si="649"/>
        <v>93237.698568449807</v>
      </c>
      <c r="DF33" s="203">
        <f t="shared" ca="1" si="650"/>
        <v>93354.24569166037</v>
      </c>
      <c r="DG33" s="203">
        <f t="shared" ca="1" si="651"/>
        <v>93354.257827712325</v>
      </c>
      <c r="DH33" s="204">
        <f t="shared" ca="1" si="548"/>
        <v>2.6037195375320496E-2</v>
      </c>
      <c r="DI33" s="205"/>
      <c r="DJ33" s="206">
        <f t="shared" ca="1" si="652"/>
        <v>0</v>
      </c>
      <c r="DK33" s="206">
        <f t="shared" ca="1" si="653"/>
        <v>0</v>
      </c>
      <c r="DL33" s="207">
        <f t="shared" ca="1" si="11"/>
        <v>0</v>
      </c>
      <c r="DM33" s="313">
        <f t="shared" si="654"/>
        <v>50000</v>
      </c>
      <c r="DN33" s="313">
        <f t="shared" ca="1" si="655"/>
        <v>50062.5</v>
      </c>
      <c r="DO33" s="313">
        <f t="shared" ca="1" si="656"/>
        <v>50062.506508125007</v>
      </c>
      <c r="DP33" s="314">
        <f t="shared" ca="1" si="475"/>
        <v>1.3962804624679507E-2</v>
      </c>
      <c r="DQ33" s="315" t="str">
        <f t="shared" ca="1" si="55"/>
        <v>V</v>
      </c>
      <c r="DR33" s="197"/>
      <c r="DS33" s="312" t="str">
        <f t="shared" ca="1" si="554"/>
        <v/>
      </c>
      <c r="DT33" s="252"/>
      <c r="DU33" s="199">
        <f t="shared" ca="1" si="555"/>
        <v>0</v>
      </c>
      <c r="DV33" s="199">
        <f t="shared" ca="1" si="556"/>
        <v>0</v>
      </c>
      <c r="DW33" s="216">
        <f t="shared" ca="1" si="477"/>
        <v>0</v>
      </c>
      <c r="DX33" s="202">
        <f t="shared" ca="1" si="557"/>
        <v>28035.344947838876</v>
      </c>
      <c r="DY33" s="203">
        <f t="shared" ca="1" si="558"/>
        <v>28070.389129023675</v>
      </c>
      <c r="DZ33" s="203">
        <f t="shared" ca="1" si="559"/>
        <v>28070.392778174264</v>
      </c>
      <c r="EA33" s="204">
        <f t="shared" ca="1" si="560"/>
        <v>0.04</v>
      </c>
      <c r="EB33" s="205"/>
      <c r="EC33" s="206">
        <f t="shared" ca="1" si="561"/>
        <v>0</v>
      </c>
      <c r="ED33" s="206">
        <f t="shared" ca="1" si="562"/>
        <v>0</v>
      </c>
      <c r="EE33" s="207">
        <f t="shared" ca="1" si="478"/>
        <v>0</v>
      </c>
      <c r="EF33" s="313">
        <f t="shared" si="657"/>
        <v>0</v>
      </c>
      <c r="EG33" s="313">
        <f t="shared" ca="1" si="563"/>
        <v>0</v>
      </c>
      <c r="EH33" s="313">
        <f t="shared" ca="1" si="564"/>
        <v>0</v>
      </c>
      <c r="EI33" s="314">
        <f t="shared" ca="1" si="479"/>
        <v>0</v>
      </c>
      <c r="EJ33" s="214"/>
      <c r="EK33" s="312" t="str">
        <f t="shared" ca="1" si="658"/>
        <v/>
      </c>
      <c r="EL33" s="252"/>
      <c r="EM33" s="199">
        <f t="shared" ref="EM33:EM35" ca="1" si="781">EJ33*$X33</f>
        <v>0</v>
      </c>
      <c r="EN33" s="199">
        <f t="shared" ref="EN33:EN35" ca="1" si="782">EM33*$Z33</f>
        <v>0</v>
      </c>
      <c r="EO33" s="216">
        <f t="shared" ref="EO33:EO35" ca="1" si="783">IFERROR(EN33/EJ$4,0)</f>
        <v>0</v>
      </c>
      <c r="EP33" s="202">
        <f t="shared" ref="EP33:EP35" ca="1" si="784">EQ33/$X33</f>
        <v>28354.481555879556</v>
      </c>
      <c r="EQ33" s="203">
        <f t="shared" ref="EQ33:EQ35" ca="1" si="785">ER33/$Z33</f>
        <v>28389.924657824406</v>
      </c>
      <c r="ER33" s="203">
        <f t="shared" ref="ER33:ER35" ca="1" si="786">ES33*EJ$4</f>
        <v>28389.928348514615</v>
      </c>
      <c r="ES33" s="204">
        <f t="shared" ca="1" si="571"/>
        <v>0.04</v>
      </c>
      <c r="ET33" s="205"/>
      <c r="EU33" s="206">
        <f t="shared" ref="EU33:EU35" ca="1" si="787">ET33*$X33</f>
        <v>0</v>
      </c>
      <c r="EV33" s="206">
        <f t="shared" ref="EV33:EV35" ca="1" si="788">EU33*$Z33</f>
        <v>0</v>
      </c>
      <c r="EW33" s="207">
        <f t="shared" ref="EW33:EW35" ca="1" si="789">IFERROR(EV33/EJ$4,0)</f>
        <v>0</v>
      </c>
      <c r="EX33" s="313">
        <f t="shared" ref="EX33:EX35" si="790">EJ33+ET33</f>
        <v>0</v>
      </c>
      <c r="EY33" s="313">
        <f t="shared" ca="1" si="669"/>
        <v>0</v>
      </c>
      <c r="EZ33" s="313">
        <f t="shared" ref="EZ33:EZ35" ca="1" si="791">EY33*$Z33</f>
        <v>0</v>
      </c>
      <c r="FA33" s="314">
        <f t="shared" ref="FA33:FA35" ca="1" si="792">IFERROR(EZ33/EJ$4,0)</f>
        <v>0</v>
      </c>
      <c r="FB33" s="211" t="str">
        <f t="shared" ca="1" si="66"/>
        <v/>
      </c>
      <c r="FC33" s="214"/>
      <c r="FD33" s="312" t="str">
        <f t="shared" ca="1" si="672"/>
        <v/>
      </c>
      <c r="FE33" s="252"/>
      <c r="FF33" s="199">
        <f t="shared" ref="FF33:FF35" ca="1" si="793">FC33*$X33</f>
        <v>0</v>
      </c>
      <c r="FG33" s="199">
        <f t="shared" ref="FG33:FG35" ca="1" si="794">FF33*$Z33</f>
        <v>0</v>
      </c>
      <c r="FH33" s="216">
        <f t="shared" ref="FH33:FH35" ca="1" si="795">IFERROR(FG33/FC$4,0)</f>
        <v>0</v>
      </c>
      <c r="FI33" s="202">
        <f t="shared" ref="FI33:FI35" ca="1" si="796">FJ33/$X33</f>
        <v>182077.47304387728</v>
      </c>
      <c r="FJ33" s="203">
        <f t="shared" ref="FJ33:FJ35" ca="1" si="797">FK33/$Z33</f>
        <v>182305.06988518214</v>
      </c>
      <c r="FK33" s="203">
        <f t="shared" ref="FK33:FK35" ca="1" si="798">FL33*FC$4</f>
        <v>182305.09358484123</v>
      </c>
      <c r="FL33" s="204">
        <f t="shared" ca="1" si="582"/>
        <v>0.04</v>
      </c>
      <c r="FM33" s="205"/>
      <c r="FN33" s="206">
        <f t="shared" ref="FN33:FN35" ca="1" si="799">FM33*$X33</f>
        <v>0</v>
      </c>
      <c r="FO33" s="206">
        <f t="shared" ref="FO33:FO35" ca="1" si="800">FN33*$Z33</f>
        <v>0</v>
      </c>
      <c r="FP33" s="207">
        <f t="shared" ref="FP33:FP35" ca="1" si="801">IFERROR(FO33/FC$4,0)</f>
        <v>0</v>
      </c>
      <c r="FQ33" s="313">
        <f t="shared" ref="FQ33:FQ35" si="802">FC33+FM33</f>
        <v>0</v>
      </c>
      <c r="FR33" s="313">
        <f t="shared" ca="1" si="683"/>
        <v>0</v>
      </c>
      <c r="FS33" s="313">
        <f t="shared" ref="FS33:FS35" ca="1" si="803">FR33*$Z33</f>
        <v>0</v>
      </c>
      <c r="FT33" s="314">
        <f t="shared" ref="FT33:FT35" ca="1" si="804">IFERROR(FS33/FC$4,0)</f>
        <v>0</v>
      </c>
      <c r="FU33" s="315" t="str">
        <f t="shared" ca="1" si="71"/>
        <v/>
      </c>
    </row>
    <row r="34" spans="1:177" outlineLevel="2" x14ac:dyDescent="0.2">
      <c r="A34" s="298"/>
      <c r="B34" s="298"/>
      <c r="C34" s="299" t="str">
        <f t="shared" ca="1" si="487"/>
        <v>CH0522158994:CHF</v>
      </c>
      <c r="D34" s="300" t="str">
        <f t="shared" ca="1" si="488"/>
        <v>CH0522158994</v>
      </c>
      <c r="E34" s="301" t="str">
        <f t="shared" ca="1" si="488"/>
        <v>52215899</v>
      </c>
      <c r="F34" s="299" t="s">
        <v>729</v>
      </c>
      <c r="G34" s="316">
        <f t="shared" ca="1" si="488"/>
        <v>46231</v>
      </c>
      <c r="H34" s="1708" t="str">
        <f t="shared" ca="1" si="489"/>
        <v></v>
      </c>
      <c r="I34" s="1680" t="str">
        <f t="shared" ca="1" si="490"/>
        <v/>
      </c>
      <c r="J34" s="1708" t="str">
        <f t="shared" ca="1" si="491"/>
        <v/>
      </c>
      <c r="K34" s="1709" t="str">
        <f t="shared" ca="1" si="491"/>
        <v/>
      </c>
      <c r="L34" s="1710" t="str">
        <f t="shared" ca="1" si="492"/>
        <v/>
      </c>
      <c r="M34" s="298" t="str">
        <f t="shared" ca="1" si="493"/>
        <v>Pct</v>
      </c>
      <c r="N34" s="305"/>
      <c r="O34" s="305"/>
      <c r="P34" s="306">
        <f t="shared" ca="1" si="1"/>
        <v>0</v>
      </c>
      <c r="Q34" s="307">
        <f t="array" aca="1" ref="Q34" ca="1">SUM(IF($AA$15:$FT$15="I_pos",AA34:FT34))</f>
        <v>100000</v>
      </c>
      <c r="R34" s="307">
        <f t="array" aca="1" ref="R34" ca="1">SUM(IF($AA$15:$FT$15="P_Pos",AA34:FT34))</f>
        <v>-100000</v>
      </c>
      <c r="S34" s="304"/>
      <c r="T34" s="307"/>
      <c r="U34" s="308">
        <f t="shared" ca="1" si="494"/>
        <v>-1.0005002501259999E-4</v>
      </c>
      <c r="V34" s="307">
        <f t="array" aca="1" ref="V34" ca="1">SUM(IF($AA$15:$FT$15="O_Pos",AA34:FT34))</f>
        <v>0</v>
      </c>
      <c r="W34" s="299" t="str">
        <f t="shared" ca="1" si="588"/>
        <v>CHF</v>
      </c>
      <c r="X34" s="309">
        <f t="shared" ca="1" si="496"/>
        <v>0.99945972222000001</v>
      </c>
      <c r="Y34" s="310">
        <f t="shared" ca="1" si="496"/>
        <v>1.35933959E-3</v>
      </c>
      <c r="Z34" s="311">
        <f t="shared" ca="1" si="589"/>
        <v>1.0000001300000001</v>
      </c>
      <c r="AA34" s="214"/>
      <c r="AB34" s="312" t="str">
        <f t="shared" ca="1" si="590"/>
        <v/>
      </c>
      <c r="AC34" s="252"/>
      <c r="AD34" s="199">
        <f t="shared" ca="1" si="733"/>
        <v>0</v>
      </c>
      <c r="AE34" s="199">
        <f t="shared" ca="1" si="734"/>
        <v>0</v>
      </c>
      <c r="AF34" s="216">
        <f t="shared" ca="1" si="735"/>
        <v>0</v>
      </c>
      <c r="AG34" s="202">
        <f t="shared" ca="1" si="736"/>
        <v>0</v>
      </c>
      <c r="AH34" s="203">
        <f t="shared" ca="1" si="737"/>
        <v>0</v>
      </c>
      <c r="AI34" s="203">
        <f t="shared" ca="1" si="738"/>
        <v>0</v>
      </c>
      <c r="AJ34" s="204">
        <f t="shared" ca="1" si="504"/>
        <v>0</v>
      </c>
      <c r="AK34" s="205"/>
      <c r="AL34" s="206">
        <f t="shared" ca="1" si="739"/>
        <v>0</v>
      </c>
      <c r="AM34" s="206">
        <f t="shared" ca="1" si="740"/>
        <v>0</v>
      </c>
      <c r="AN34" s="207">
        <f t="shared" ca="1" si="741"/>
        <v>0</v>
      </c>
      <c r="AO34" s="313">
        <f t="shared" si="742"/>
        <v>0</v>
      </c>
      <c r="AP34" s="313">
        <f t="shared" ca="1" si="601"/>
        <v>0</v>
      </c>
      <c r="AQ34" s="313">
        <f t="shared" ca="1" si="743"/>
        <v>0</v>
      </c>
      <c r="AR34" s="314">
        <f t="shared" ca="1" si="744"/>
        <v>0</v>
      </c>
      <c r="AS34" s="315" t="str">
        <f t="shared" ca="1" si="29"/>
        <v/>
      </c>
      <c r="AT34" s="214"/>
      <c r="AU34" s="312" t="str">
        <f t="shared" ca="1" si="604"/>
        <v/>
      </c>
      <c r="AV34" s="252"/>
      <c r="AW34" s="199">
        <f t="shared" ca="1" si="745"/>
        <v>0</v>
      </c>
      <c r="AX34" s="199">
        <f t="shared" ca="1" si="746"/>
        <v>0</v>
      </c>
      <c r="AY34" s="216">
        <f t="shared" ca="1" si="747"/>
        <v>0</v>
      </c>
      <c r="AZ34" s="202">
        <f t="shared" ca="1" si="748"/>
        <v>0</v>
      </c>
      <c r="BA34" s="203">
        <f t="shared" ca="1" si="749"/>
        <v>0</v>
      </c>
      <c r="BB34" s="203">
        <f t="shared" ca="1" si="750"/>
        <v>0</v>
      </c>
      <c r="BC34" s="204">
        <f t="shared" ca="1" si="515"/>
        <v>0</v>
      </c>
      <c r="BD34" s="205"/>
      <c r="BE34" s="206">
        <f t="shared" ca="1" si="751"/>
        <v>0</v>
      </c>
      <c r="BF34" s="206">
        <f t="shared" ca="1" si="752"/>
        <v>0</v>
      </c>
      <c r="BG34" s="207">
        <f t="shared" ca="1" si="753"/>
        <v>0</v>
      </c>
      <c r="BH34" s="313">
        <f t="shared" si="754"/>
        <v>0</v>
      </c>
      <c r="BI34" s="313">
        <f t="shared" ca="1" si="615"/>
        <v>0</v>
      </c>
      <c r="BJ34" s="313">
        <f t="shared" ca="1" si="755"/>
        <v>0</v>
      </c>
      <c r="BK34" s="314">
        <f t="shared" ca="1" si="756"/>
        <v>0</v>
      </c>
      <c r="BL34" s="211" t="str">
        <f t="shared" ca="1" si="34"/>
        <v/>
      </c>
      <c r="BM34" s="214"/>
      <c r="BN34" s="312" t="str">
        <f t="shared" ca="1" si="618"/>
        <v/>
      </c>
      <c r="BO34" s="252"/>
      <c r="BP34" s="199">
        <f t="shared" ca="1" si="757"/>
        <v>0</v>
      </c>
      <c r="BQ34" s="199">
        <f t="shared" ca="1" si="758"/>
        <v>0</v>
      </c>
      <c r="BR34" s="216">
        <f t="shared" ca="1" si="759"/>
        <v>0</v>
      </c>
      <c r="BS34" s="202">
        <f t="shared" ca="1" si="760"/>
        <v>0</v>
      </c>
      <c r="BT34" s="203">
        <f t="shared" ca="1" si="761"/>
        <v>0</v>
      </c>
      <c r="BU34" s="203">
        <f t="shared" ca="1" si="762"/>
        <v>0</v>
      </c>
      <c r="BV34" s="204">
        <f t="shared" ca="1" si="526"/>
        <v>0</v>
      </c>
      <c r="BW34" s="205"/>
      <c r="BX34" s="206">
        <f t="shared" ca="1" si="763"/>
        <v>0</v>
      </c>
      <c r="BY34" s="206">
        <f t="shared" ca="1" si="764"/>
        <v>0</v>
      </c>
      <c r="BZ34" s="207">
        <f t="shared" ca="1" si="765"/>
        <v>0</v>
      </c>
      <c r="CA34" s="313">
        <f t="shared" si="766"/>
        <v>0</v>
      </c>
      <c r="CB34" s="313">
        <f t="shared" ca="1" si="629"/>
        <v>0</v>
      </c>
      <c r="CC34" s="313">
        <f t="shared" ca="1" si="767"/>
        <v>0</v>
      </c>
      <c r="CD34" s="314">
        <f t="shared" ca="1" si="768"/>
        <v>0</v>
      </c>
      <c r="CE34" s="211" t="str">
        <f t="shared" ca="1" si="39"/>
        <v/>
      </c>
      <c r="CF34" s="214"/>
      <c r="CG34" s="312" t="str">
        <f t="shared" ca="1" si="632"/>
        <v/>
      </c>
      <c r="CH34" s="215"/>
      <c r="CI34" s="199">
        <f t="shared" ca="1" si="769"/>
        <v>0</v>
      </c>
      <c r="CJ34" s="199">
        <f t="shared" ca="1" si="770"/>
        <v>0</v>
      </c>
      <c r="CK34" s="216">
        <f t="shared" ca="1" si="771"/>
        <v>0</v>
      </c>
      <c r="CL34" s="202">
        <f t="shared" ca="1" si="772"/>
        <v>0</v>
      </c>
      <c r="CM34" s="203">
        <f t="shared" ca="1" si="773"/>
        <v>0</v>
      </c>
      <c r="CN34" s="203">
        <f t="shared" ca="1" si="774"/>
        <v>0</v>
      </c>
      <c r="CO34" s="204">
        <f t="shared" ca="1" si="537"/>
        <v>0</v>
      </c>
      <c r="CP34" s="205"/>
      <c r="CQ34" s="206">
        <f t="shared" ca="1" si="775"/>
        <v>0</v>
      </c>
      <c r="CR34" s="206">
        <f t="shared" ca="1" si="776"/>
        <v>0</v>
      </c>
      <c r="CS34" s="207">
        <f t="shared" ca="1" si="777"/>
        <v>0</v>
      </c>
      <c r="CT34" s="313">
        <f t="shared" si="778"/>
        <v>0</v>
      </c>
      <c r="CU34" s="313">
        <f t="shared" ca="1" si="643"/>
        <v>0</v>
      </c>
      <c r="CV34" s="313">
        <f t="shared" ca="1" si="779"/>
        <v>0</v>
      </c>
      <c r="CW34" s="314">
        <f t="shared" ca="1" si="780"/>
        <v>0</v>
      </c>
      <c r="CX34" s="211" t="str">
        <f t="shared" ca="1" si="47"/>
        <v/>
      </c>
      <c r="CY34" s="197"/>
      <c r="CZ34" s="312" t="str">
        <f t="shared" ca="1" si="646"/>
        <v/>
      </c>
      <c r="DA34" s="252"/>
      <c r="DB34" s="199">
        <f t="shared" ca="1" si="647"/>
        <v>0</v>
      </c>
      <c r="DC34" s="199">
        <f t="shared" ca="1" si="648"/>
        <v>0</v>
      </c>
      <c r="DD34" s="216">
        <f t="shared" ca="1" si="10"/>
        <v>0</v>
      </c>
      <c r="DE34" s="202">
        <f t="shared" ca="1" si="649"/>
        <v>0</v>
      </c>
      <c r="DF34" s="203">
        <f t="shared" ca="1" si="650"/>
        <v>0</v>
      </c>
      <c r="DG34" s="203">
        <f t="shared" ca="1" si="651"/>
        <v>0</v>
      </c>
      <c r="DH34" s="204">
        <f t="shared" ca="1" si="548"/>
        <v>0</v>
      </c>
      <c r="DI34" s="205"/>
      <c r="DJ34" s="206">
        <f t="shared" ca="1" si="652"/>
        <v>0</v>
      </c>
      <c r="DK34" s="206">
        <f t="shared" ca="1" si="653"/>
        <v>0</v>
      </c>
      <c r="DL34" s="207">
        <f t="shared" ca="1" si="11"/>
        <v>0</v>
      </c>
      <c r="DM34" s="313">
        <f t="shared" si="654"/>
        <v>0</v>
      </c>
      <c r="DN34" s="313">
        <f t="shared" ca="1" si="655"/>
        <v>0</v>
      </c>
      <c r="DO34" s="313">
        <f t="shared" ca="1" si="656"/>
        <v>0</v>
      </c>
      <c r="DP34" s="314">
        <f t="shared" ca="1" si="475"/>
        <v>0</v>
      </c>
      <c r="DQ34" s="315" t="str">
        <f t="shared" ca="1" si="55"/>
        <v/>
      </c>
      <c r="DR34" s="197"/>
      <c r="DS34" s="312" t="str">
        <f t="shared" ca="1" si="554"/>
        <v/>
      </c>
      <c r="DT34" s="252"/>
      <c r="DU34" s="199">
        <f t="shared" ca="1" si="555"/>
        <v>0</v>
      </c>
      <c r="DV34" s="199">
        <f t="shared" ca="1" si="556"/>
        <v>0</v>
      </c>
      <c r="DW34" s="216">
        <f t="shared" ca="1" si="477"/>
        <v>0</v>
      </c>
      <c r="DX34" s="202">
        <f t="shared" ca="1" si="557"/>
        <v>0</v>
      </c>
      <c r="DY34" s="203">
        <f t="shared" ca="1" si="558"/>
        <v>0</v>
      </c>
      <c r="DZ34" s="203">
        <f t="shared" ca="1" si="559"/>
        <v>0</v>
      </c>
      <c r="EA34" s="204">
        <f t="shared" ca="1" si="560"/>
        <v>0</v>
      </c>
      <c r="EB34" s="205"/>
      <c r="EC34" s="206">
        <f t="shared" ca="1" si="561"/>
        <v>0</v>
      </c>
      <c r="ED34" s="206">
        <f t="shared" ca="1" si="562"/>
        <v>0</v>
      </c>
      <c r="EE34" s="207">
        <f t="shared" ca="1" si="478"/>
        <v>0</v>
      </c>
      <c r="EF34" s="313">
        <f t="shared" si="657"/>
        <v>0</v>
      </c>
      <c r="EG34" s="313">
        <f t="shared" ca="1" si="563"/>
        <v>0</v>
      </c>
      <c r="EH34" s="313">
        <f t="shared" ca="1" si="564"/>
        <v>0</v>
      </c>
      <c r="EI34" s="314">
        <f t="shared" ca="1" si="479"/>
        <v>0</v>
      </c>
      <c r="EJ34" s="214"/>
      <c r="EK34" s="312" t="str">
        <f t="shared" ca="1" si="658"/>
        <v/>
      </c>
      <c r="EL34" s="252"/>
      <c r="EM34" s="199">
        <f t="shared" ca="1" si="781"/>
        <v>0</v>
      </c>
      <c r="EN34" s="199">
        <f t="shared" ca="1" si="782"/>
        <v>0</v>
      </c>
      <c r="EO34" s="216">
        <f t="shared" ca="1" si="783"/>
        <v>0</v>
      </c>
      <c r="EP34" s="202">
        <f t="shared" ca="1" si="784"/>
        <v>0</v>
      </c>
      <c r="EQ34" s="203">
        <f t="shared" ca="1" si="785"/>
        <v>0</v>
      </c>
      <c r="ER34" s="203">
        <f t="shared" ca="1" si="786"/>
        <v>0</v>
      </c>
      <c r="ES34" s="204">
        <f t="shared" ca="1" si="571"/>
        <v>0</v>
      </c>
      <c r="ET34" s="205"/>
      <c r="EU34" s="206">
        <f t="shared" ca="1" si="787"/>
        <v>0</v>
      </c>
      <c r="EV34" s="206">
        <f t="shared" ca="1" si="788"/>
        <v>0</v>
      </c>
      <c r="EW34" s="207">
        <f t="shared" ca="1" si="789"/>
        <v>0</v>
      </c>
      <c r="EX34" s="313">
        <f t="shared" si="790"/>
        <v>0</v>
      </c>
      <c r="EY34" s="313">
        <f t="shared" ca="1" si="669"/>
        <v>0</v>
      </c>
      <c r="EZ34" s="313">
        <f t="shared" ca="1" si="791"/>
        <v>0</v>
      </c>
      <c r="FA34" s="314">
        <f t="shared" ca="1" si="792"/>
        <v>0</v>
      </c>
      <c r="FB34" s="211" t="str">
        <f t="shared" ca="1" si="66"/>
        <v/>
      </c>
      <c r="FC34" s="214">
        <v>100000</v>
      </c>
      <c r="FD34" s="312">
        <f t="shared" ca="1" si="672"/>
        <v>3.9479690296411851E-2</v>
      </c>
      <c r="FE34" s="252">
        <v>0.96150000000000002</v>
      </c>
      <c r="FF34" s="199">
        <f t="shared" ca="1" si="793"/>
        <v>99945.972221999997</v>
      </c>
      <c r="FG34" s="199">
        <f t="shared" ca="1" si="794"/>
        <v>99945.98521497639</v>
      </c>
      <c r="FH34" s="216">
        <f t="shared" ca="1" si="795"/>
        <v>2.1929389519435117E-2</v>
      </c>
      <c r="FI34" s="202">
        <f t="shared" ca="1" si="796"/>
        <v>-100000</v>
      </c>
      <c r="FJ34" s="203">
        <f t="shared" ca="1" si="797"/>
        <v>-99945.972221999997</v>
      </c>
      <c r="FK34" s="203">
        <f t="shared" ca="1" si="798"/>
        <v>-99945.98521497639</v>
      </c>
      <c r="FL34" s="204">
        <f t="shared" ca="1" si="582"/>
        <v>-2.1929389519435117E-2</v>
      </c>
      <c r="FM34" s="205"/>
      <c r="FN34" s="206">
        <f t="shared" ca="1" si="799"/>
        <v>0</v>
      </c>
      <c r="FO34" s="206">
        <f t="shared" ca="1" si="800"/>
        <v>0</v>
      </c>
      <c r="FP34" s="207">
        <f t="shared" ca="1" si="801"/>
        <v>0</v>
      </c>
      <c r="FQ34" s="313">
        <f t="shared" si="802"/>
        <v>100000</v>
      </c>
      <c r="FR34" s="313">
        <f t="shared" ca="1" si="683"/>
        <v>99945.972221999997</v>
      </c>
      <c r="FS34" s="313">
        <f t="shared" ca="1" si="803"/>
        <v>99945.98521497639</v>
      </c>
      <c r="FT34" s="314">
        <f t="shared" ca="1" si="804"/>
        <v>2.1929389519435117E-2</v>
      </c>
      <c r="FU34" s="315" t="str">
        <f t="shared" ca="1" si="71"/>
        <v>V</v>
      </c>
    </row>
    <row r="35" spans="1:177" outlineLevel="2" x14ac:dyDescent="0.2">
      <c r="A35" s="298"/>
      <c r="B35" s="298"/>
      <c r="C35" s="299" t="str">
        <f t="shared" ca="1" si="487"/>
        <v>CH1154887132:CHF</v>
      </c>
      <c r="D35" s="300" t="str">
        <f t="shared" ca="1" si="488"/>
        <v>CH1154887132</v>
      </c>
      <c r="E35" s="301" t="str">
        <f t="shared" ca="1" si="488"/>
        <v>115488713</v>
      </c>
      <c r="F35" s="299" t="s">
        <v>730</v>
      </c>
      <c r="G35" s="316">
        <f t="shared" ca="1" si="488"/>
        <v>46314</v>
      </c>
      <c r="H35" s="1708" t="str">
        <f t="shared" ca="1" si="489"/>
        <v></v>
      </c>
      <c r="I35" s="1680" t="str">
        <f t="shared" ca="1" si="490"/>
        <v/>
      </c>
      <c r="J35" s="1708" t="str">
        <f t="shared" ca="1" si="491"/>
        <v/>
      </c>
      <c r="K35" s="1709" t="str">
        <f t="shared" ca="1" si="491"/>
        <v/>
      </c>
      <c r="L35" s="1710" t="str">
        <f t="shared" ca="1" si="492"/>
        <v/>
      </c>
      <c r="M35" s="298" t="str">
        <f t="shared" ca="1" si="493"/>
        <v>Pct</v>
      </c>
      <c r="N35" s="305"/>
      <c r="O35" s="305"/>
      <c r="P35" s="306">
        <f t="shared" ca="1" si="1"/>
        <v>0</v>
      </c>
      <c r="Q35" s="307">
        <f t="array" aca="1" ref="Q35" ca="1">SUM(IF($AA$15:$FT$15="I_pos",AA35:FT35))</f>
        <v>100000</v>
      </c>
      <c r="R35" s="307">
        <f t="array" aca="1" ref="R35" ca="1">SUM(IF($AA$15:$FT$15="P_Pos",AA35:FT35))</f>
        <v>-100000</v>
      </c>
      <c r="S35" s="304"/>
      <c r="T35" s="307"/>
      <c r="U35" s="308">
        <f t="shared" ca="1" si="494"/>
        <v>9.9960015993599997E-5</v>
      </c>
      <c r="V35" s="307">
        <f t="array" aca="1" ref="V35" ca="1">SUM(IF($AA$15:$FT$15="O_Pos",AA35:FT35))</f>
        <v>0</v>
      </c>
      <c r="W35" s="299" t="str">
        <f t="shared" ca="1" si="588"/>
        <v>CHF</v>
      </c>
      <c r="X35" s="309">
        <f t="shared" ca="1" si="496"/>
        <v>1.0018958333300001</v>
      </c>
      <c r="Y35" s="310">
        <f t="shared" ca="1" si="496"/>
        <v>2.61945548E-3</v>
      </c>
      <c r="Z35" s="311">
        <f t="shared" ca="1" si="589"/>
        <v>1.0000001300000001</v>
      </c>
      <c r="AA35" s="214"/>
      <c r="AB35" s="312" t="str">
        <f t="shared" ca="1" si="590"/>
        <v/>
      </c>
      <c r="AC35" s="252"/>
      <c r="AD35" s="199">
        <f t="shared" ca="1" si="733"/>
        <v>0</v>
      </c>
      <c r="AE35" s="199">
        <f t="shared" ca="1" si="734"/>
        <v>0</v>
      </c>
      <c r="AF35" s="216">
        <f t="shared" ca="1" si="735"/>
        <v>0</v>
      </c>
      <c r="AG35" s="202">
        <f t="shared" ca="1" si="736"/>
        <v>0</v>
      </c>
      <c r="AH35" s="203">
        <f t="shared" ca="1" si="737"/>
        <v>0</v>
      </c>
      <c r="AI35" s="203">
        <f t="shared" ca="1" si="738"/>
        <v>0</v>
      </c>
      <c r="AJ35" s="204">
        <f t="shared" ca="1" si="504"/>
        <v>0</v>
      </c>
      <c r="AK35" s="205"/>
      <c r="AL35" s="206">
        <f t="shared" ca="1" si="739"/>
        <v>0</v>
      </c>
      <c r="AM35" s="206">
        <f t="shared" ca="1" si="740"/>
        <v>0</v>
      </c>
      <c r="AN35" s="207">
        <f t="shared" ca="1" si="741"/>
        <v>0</v>
      </c>
      <c r="AO35" s="313">
        <f t="shared" si="742"/>
        <v>0</v>
      </c>
      <c r="AP35" s="313">
        <f t="shared" ca="1" si="601"/>
        <v>0</v>
      </c>
      <c r="AQ35" s="313">
        <f t="shared" ca="1" si="743"/>
        <v>0</v>
      </c>
      <c r="AR35" s="314">
        <f t="shared" ca="1" si="744"/>
        <v>0</v>
      </c>
      <c r="AS35" s="315" t="str">
        <f t="shared" ca="1" si="29"/>
        <v/>
      </c>
      <c r="AT35" s="214"/>
      <c r="AU35" s="312" t="str">
        <f t="shared" ca="1" si="604"/>
        <v/>
      </c>
      <c r="AV35" s="252"/>
      <c r="AW35" s="199">
        <f t="shared" ca="1" si="745"/>
        <v>0</v>
      </c>
      <c r="AX35" s="199">
        <f t="shared" ca="1" si="746"/>
        <v>0</v>
      </c>
      <c r="AY35" s="216">
        <f t="shared" ca="1" si="747"/>
        <v>0</v>
      </c>
      <c r="AZ35" s="202">
        <f t="shared" ca="1" si="748"/>
        <v>0</v>
      </c>
      <c r="BA35" s="203">
        <f t="shared" ca="1" si="749"/>
        <v>0</v>
      </c>
      <c r="BB35" s="203">
        <f t="shared" ca="1" si="750"/>
        <v>0</v>
      </c>
      <c r="BC35" s="204">
        <f t="shared" ca="1" si="515"/>
        <v>0</v>
      </c>
      <c r="BD35" s="205"/>
      <c r="BE35" s="206">
        <f t="shared" ca="1" si="751"/>
        <v>0</v>
      </c>
      <c r="BF35" s="206">
        <f t="shared" ca="1" si="752"/>
        <v>0</v>
      </c>
      <c r="BG35" s="207">
        <f t="shared" ca="1" si="753"/>
        <v>0</v>
      </c>
      <c r="BH35" s="313">
        <f t="shared" si="754"/>
        <v>0</v>
      </c>
      <c r="BI35" s="313">
        <f t="shared" ca="1" si="615"/>
        <v>0</v>
      </c>
      <c r="BJ35" s="313">
        <f t="shared" ca="1" si="755"/>
        <v>0</v>
      </c>
      <c r="BK35" s="314">
        <f t="shared" ca="1" si="756"/>
        <v>0</v>
      </c>
      <c r="BL35" s="211" t="str">
        <f t="shared" ca="1" si="34"/>
        <v/>
      </c>
      <c r="BM35" s="214"/>
      <c r="BN35" s="312" t="str">
        <f t="shared" ca="1" si="618"/>
        <v/>
      </c>
      <c r="BO35" s="252"/>
      <c r="BP35" s="199">
        <f t="shared" ca="1" si="757"/>
        <v>0</v>
      </c>
      <c r="BQ35" s="199">
        <f t="shared" ca="1" si="758"/>
        <v>0</v>
      </c>
      <c r="BR35" s="216">
        <f t="shared" ca="1" si="759"/>
        <v>0</v>
      </c>
      <c r="BS35" s="202">
        <f t="shared" ca="1" si="760"/>
        <v>0</v>
      </c>
      <c r="BT35" s="203">
        <f t="shared" ca="1" si="761"/>
        <v>0</v>
      </c>
      <c r="BU35" s="203">
        <f t="shared" ca="1" si="762"/>
        <v>0</v>
      </c>
      <c r="BV35" s="204">
        <f t="shared" ca="1" si="526"/>
        <v>0</v>
      </c>
      <c r="BW35" s="205"/>
      <c r="BX35" s="206">
        <f t="shared" ca="1" si="763"/>
        <v>0</v>
      </c>
      <c r="BY35" s="206">
        <f t="shared" ca="1" si="764"/>
        <v>0</v>
      </c>
      <c r="BZ35" s="207">
        <f t="shared" ca="1" si="765"/>
        <v>0</v>
      </c>
      <c r="CA35" s="313">
        <f t="shared" si="766"/>
        <v>0</v>
      </c>
      <c r="CB35" s="313">
        <f t="shared" ca="1" si="629"/>
        <v>0</v>
      </c>
      <c r="CC35" s="313">
        <f t="shared" ca="1" si="767"/>
        <v>0</v>
      </c>
      <c r="CD35" s="314">
        <f t="shared" ca="1" si="768"/>
        <v>0</v>
      </c>
      <c r="CE35" s="211" t="str">
        <f t="shared" ca="1" si="39"/>
        <v/>
      </c>
      <c r="CF35" s="214"/>
      <c r="CG35" s="312" t="str">
        <f t="shared" ca="1" si="632"/>
        <v/>
      </c>
      <c r="CH35" s="215"/>
      <c r="CI35" s="199">
        <f t="shared" ca="1" si="769"/>
        <v>0</v>
      </c>
      <c r="CJ35" s="199">
        <f t="shared" ca="1" si="770"/>
        <v>0</v>
      </c>
      <c r="CK35" s="216">
        <f t="shared" ca="1" si="771"/>
        <v>0</v>
      </c>
      <c r="CL35" s="202">
        <f t="shared" ca="1" si="772"/>
        <v>0</v>
      </c>
      <c r="CM35" s="203">
        <f t="shared" ca="1" si="773"/>
        <v>0</v>
      </c>
      <c r="CN35" s="203">
        <f t="shared" ca="1" si="774"/>
        <v>0</v>
      </c>
      <c r="CO35" s="204">
        <f t="shared" ca="1" si="537"/>
        <v>0</v>
      </c>
      <c r="CP35" s="205"/>
      <c r="CQ35" s="206">
        <f t="shared" ca="1" si="775"/>
        <v>0</v>
      </c>
      <c r="CR35" s="206">
        <f t="shared" ca="1" si="776"/>
        <v>0</v>
      </c>
      <c r="CS35" s="207">
        <f t="shared" ca="1" si="777"/>
        <v>0</v>
      </c>
      <c r="CT35" s="313">
        <f t="shared" si="778"/>
        <v>0</v>
      </c>
      <c r="CU35" s="313">
        <f t="shared" ca="1" si="643"/>
        <v>0</v>
      </c>
      <c r="CV35" s="313">
        <f t="shared" ca="1" si="779"/>
        <v>0</v>
      </c>
      <c r="CW35" s="314">
        <f t="shared" ca="1" si="780"/>
        <v>0</v>
      </c>
      <c r="CX35" s="211" t="str">
        <f t="shared" ca="1" si="47"/>
        <v/>
      </c>
      <c r="CY35" s="197">
        <v>100000</v>
      </c>
      <c r="CZ35" s="312">
        <f t="shared" ca="1" si="646"/>
        <v>4.4729753211679046E-2</v>
      </c>
      <c r="DA35" s="252">
        <v>0.95899999999999996</v>
      </c>
      <c r="DB35" s="199">
        <f t="shared" ca="1" si="647"/>
        <v>100189.58333300002</v>
      </c>
      <c r="DC35" s="199">
        <f t="shared" ca="1" si="648"/>
        <v>100189.59635764586</v>
      </c>
      <c r="DD35" s="216">
        <f t="shared" ca="1" si="10"/>
        <v>2.7943622022606248E-2</v>
      </c>
      <c r="DE35" s="202">
        <f t="shared" ca="1" si="649"/>
        <v>-100000</v>
      </c>
      <c r="DF35" s="203">
        <f t="shared" ca="1" si="650"/>
        <v>-100189.58333300002</v>
      </c>
      <c r="DG35" s="203">
        <f t="shared" ca="1" si="651"/>
        <v>-100189.59635764586</v>
      </c>
      <c r="DH35" s="204">
        <f t="shared" ca="1" si="548"/>
        <v>-2.7943622022606248E-2</v>
      </c>
      <c r="DI35" s="205"/>
      <c r="DJ35" s="206">
        <f t="shared" ca="1" si="652"/>
        <v>0</v>
      </c>
      <c r="DK35" s="206">
        <f t="shared" ca="1" si="653"/>
        <v>0</v>
      </c>
      <c r="DL35" s="207">
        <f t="shared" ca="1" si="11"/>
        <v>0</v>
      </c>
      <c r="DM35" s="313">
        <f t="shared" si="654"/>
        <v>100000</v>
      </c>
      <c r="DN35" s="313">
        <f t="shared" ca="1" si="655"/>
        <v>100189.58333300002</v>
      </c>
      <c r="DO35" s="313">
        <f t="shared" ca="1" si="656"/>
        <v>100189.59635764586</v>
      </c>
      <c r="DP35" s="314">
        <f t="shared" ca="1" si="475"/>
        <v>2.7943622022606248E-2</v>
      </c>
      <c r="DQ35" s="315" t="str">
        <f t="shared" ca="1" si="55"/>
        <v>V</v>
      </c>
      <c r="DR35" s="197"/>
      <c r="DS35" s="312" t="str">
        <f t="shared" ca="1" si="554"/>
        <v/>
      </c>
      <c r="DT35" s="252"/>
      <c r="DU35" s="199">
        <f t="shared" ca="1" si="555"/>
        <v>0</v>
      </c>
      <c r="DV35" s="199">
        <f t="shared" ca="1" si="556"/>
        <v>0</v>
      </c>
      <c r="DW35" s="216">
        <f t="shared" ca="1" si="477"/>
        <v>0</v>
      </c>
      <c r="DX35" s="202">
        <f t="shared" ca="1" si="557"/>
        <v>0</v>
      </c>
      <c r="DY35" s="203">
        <f t="shared" ca="1" si="558"/>
        <v>0</v>
      </c>
      <c r="DZ35" s="203">
        <f t="shared" ca="1" si="559"/>
        <v>0</v>
      </c>
      <c r="EA35" s="204">
        <f t="shared" ca="1" si="560"/>
        <v>0</v>
      </c>
      <c r="EB35" s="205"/>
      <c r="EC35" s="206">
        <f t="shared" ca="1" si="561"/>
        <v>0</v>
      </c>
      <c r="ED35" s="206">
        <f t="shared" ca="1" si="562"/>
        <v>0</v>
      </c>
      <c r="EE35" s="207">
        <f t="shared" ca="1" si="478"/>
        <v>0</v>
      </c>
      <c r="EF35" s="313">
        <f t="shared" si="657"/>
        <v>0</v>
      </c>
      <c r="EG35" s="313">
        <f t="shared" ca="1" si="563"/>
        <v>0</v>
      </c>
      <c r="EH35" s="313">
        <f t="shared" ca="1" si="564"/>
        <v>0</v>
      </c>
      <c r="EI35" s="314">
        <f t="shared" ca="1" si="479"/>
        <v>0</v>
      </c>
      <c r="EJ35" s="214"/>
      <c r="EK35" s="312" t="str">
        <f t="shared" ca="1" si="658"/>
        <v/>
      </c>
      <c r="EL35" s="252"/>
      <c r="EM35" s="199">
        <f t="shared" ca="1" si="781"/>
        <v>0</v>
      </c>
      <c r="EN35" s="199">
        <f t="shared" ca="1" si="782"/>
        <v>0</v>
      </c>
      <c r="EO35" s="216">
        <f t="shared" ca="1" si="783"/>
        <v>0</v>
      </c>
      <c r="EP35" s="202">
        <f t="shared" ca="1" si="784"/>
        <v>0</v>
      </c>
      <c r="EQ35" s="203">
        <f t="shared" ca="1" si="785"/>
        <v>0</v>
      </c>
      <c r="ER35" s="203">
        <f t="shared" ca="1" si="786"/>
        <v>0</v>
      </c>
      <c r="ES35" s="204">
        <f t="shared" ca="1" si="571"/>
        <v>0</v>
      </c>
      <c r="ET35" s="205"/>
      <c r="EU35" s="206">
        <f t="shared" ca="1" si="787"/>
        <v>0</v>
      </c>
      <c r="EV35" s="206">
        <f t="shared" ca="1" si="788"/>
        <v>0</v>
      </c>
      <c r="EW35" s="207">
        <f t="shared" ca="1" si="789"/>
        <v>0</v>
      </c>
      <c r="EX35" s="313">
        <f t="shared" si="790"/>
        <v>0</v>
      </c>
      <c r="EY35" s="313">
        <f t="shared" ca="1" si="669"/>
        <v>0</v>
      </c>
      <c r="EZ35" s="313">
        <f t="shared" ca="1" si="791"/>
        <v>0</v>
      </c>
      <c r="FA35" s="314">
        <f t="shared" ca="1" si="792"/>
        <v>0</v>
      </c>
      <c r="FB35" s="211" t="str">
        <f t="shared" ca="1" si="66"/>
        <v/>
      </c>
      <c r="FC35" s="214"/>
      <c r="FD35" s="312" t="str">
        <f t="shared" ca="1" si="672"/>
        <v/>
      </c>
      <c r="FE35" s="252"/>
      <c r="FF35" s="199">
        <f t="shared" ca="1" si="793"/>
        <v>0</v>
      </c>
      <c r="FG35" s="199">
        <f t="shared" ca="1" si="794"/>
        <v>0</v>
      </c>
      <c r="FH35" s="216">
        <f t="shared" ca="1" si="795"/>
        <v>0</v>
      </c>
      <c r="FI35" s="202">
        <f t="shared" ca="1" si="796"/>
        <v>0</v>
      </c>
      <c r="FJ35" s="203">
        <f t="shared" ca="1" si="797"/>
        <v>0</v>
      </c>
      <c r="FK35" s="203">
        <f t="shared" ca="1" si="798"/>
        <v>0</v>
      </c>
      <c r="FL35" s="204">
        <f t="shared" ca="1" si="582"/>
        <v>0</v>
      </c>
      <c r="FM35" s="205"/>
      <c r="FN35" s="206">
        <f t="shared" ca="1" si="799"/>
        <v>0</v>
      </c>
      <c r="FO35" s="206">
        <f t="shared" ca="1" si="800"/>
        <v>0</v>
      </c>
      <c r="FP35" s="207">
        <f t="shared" ca="1" si="801"/>
        <v>0</v>
      </c>
      <c r="FQ35" s="313">
        <f t="shared" si="802"/>
        <v>0</v>
      </c>
      <c r="FR35" s="313">
        <f t="shared" ca="1" si="683"/>
        <v>0</v>
      </c>
      <c r="FS35" s="313">
        <f t="shared" ca="1" si="803"/>
        <v>0</v>
      </c>
      <c r="FT35" s="314">
        <f t="shared" ca="1" si="804"/>
        <v>0</v>
      </c>
      <c r="FU35" s="315" t="str">
        <f t="shared" ca="1" si="71"/>
        <v/>
      </c>
    </row>
    <row r="36" spans="1:177" outlineLevel="2" x14ac:dyDescent="0.2">
      <c r="A36" s="298"/>
      <c r="B36" s="298"/>
      <c r="C36" s="299" t="str">
        <f t="shared" ca="1" si="487"/>
        <v>CH1141700547:CHF</v>
      </c>
      <c r="D36" s="300" t="str">
        <f t="shared" ca="1" si="488"/>
        <v>CH1141700547</v>
      </c>
      <c r="E36" s="301" t="str">
        <f t="shared" ca="1" si="488"/>
        <v>114170054</v>
      </c>
      <c r="F36" s="299" t="s">
        <v>731</v>
      </c>
      <c r="G36" s="316">
        <f t="shared" ca="1" si="488"/>
        <v>46371</v>
      </c>
      <c r="H36" s="1708" t="str">
        <f t="shared" ca="1" si="489"/>
        <v></v>
      </c>
      <c r="I36" s="1680" t="str">
        <f t="shared" ca="1" si="490"/>
        <v/>
      </c>
      <c r="J36" s="1708" t="str">
        <f t="shared" ca="1" si="491"/>
        <v/>
      </c>
      <c r="K36" s="1709" t="str">
        <f t="shared" ca="1" si="491"/>
        <v/>
      </c>
      <c r="L36" s="1710" t="str">
        <f t="shared" ca="1" si="492"/>
        <v/>
      </c>
      <c r="M36" s="298" t="str">
        <f t="shared" ca="1" si="493"/>
        <v>Pct</v>
      </c>
      <c r="N36" s="305"/>
      <c r="O36" s="305"/>
      <c r="P36" s="306">
        <f t="shared" ca="1" si="1"/>
        <v>0</v>
      </c>
      <c r="Q36" s="307">
        <f t="array" aca="1" ref="Q36" ca="1">SUM(IF($AA$15:$FT$15="I_pos",AA36:FT36))</f>
        <v>100000</v>
      </c>
      <c r="R36" s="307">
        <f t="array" aca="1" ref="R36" ca="1">SUM(IF($AA$15:$FT$15="P_Pos",AA36:FT36))</f>
        <v>-100000</v>
      </c>
      <c r="S36" s="304"/>
      <c r="T36" s="307"/>
      <c r="U36" s="308">
        <f t="shared" ca="1" si="494"/>
        <v>-2.0000000000000001E-4</v>
      </c>
      <c r="V36" s="307">
        <f t="array" aca="1" ref="V36" ca="1">SUM(IF($AA$15:$FT$15="O_Pos",AA36:FT36))</f>
        <v>0</v>
      </c>
      <c r="W36" s="299" t="str">
        <f t="shared" ca="1" si="588"/>
        <v>CHF</v>
      </c>
      <c r="X36" s="309">
        <f t="shared" ca="1" si="496"/>
        <v>1.00023333333</v>
      </c>
      <c r="Y36" s="310">
        <f t="shared" ca="1" si="496"/>
        <v>2.3853697300000001E-3</v>
      </c>
      <c r="Z36" s="311">
        <f t="shared" ca="1" si="589"/>
        <v>1.0000001300000001</v>
      </c>
      <c r="AA36" s="214"/>
      <c r="AB36" s="312" t="str">
        <f t="shared" ca="1" si="590"/>
        <v/>
      </c>
      <c r="AC36" s="252"/>
      <c r="AD36" s="199">
        <f t="shared" ref="AD36" ca="1" si="805">AA36*$X36</f>
        <v>0</v>
      </c>
      <c r="AE36" s="199">
        <f t="shared" ref="AE36" ca="1" si="806">AD36*$Z36</f>
        <v>0</v>
      </c>
      <c r="AF36" s="216">
        <f t="shared" ref="AF36" ca="1" si="807">IFERROR(AE36/AA$4,0)</f>
        <v>0</v>
      </c>
      <c r="AG36" s="202">
        <f t="shared" ref="AG36" ca="1" si="808">AH36/$X36</f>
        <v>0</v>
      </c>
      <c r="AH36" s="203">
        <f t="shared" ref="AH36" ca="1" si="809">AI36/$Z36</f>
        <v>0</v>
      </c>
      <c r="AI36" s="203">
        <f t="shared" ref="AI36" ca="1" si="810">AJ36*AA$4</f>
        <v>0</v>
      </c>
      <c r="AJ36" s="204">
        <f t="shared" ca="1" si="504"/>
        <v>0</v>
      </c>
      <c r="AK36" s="205"/>
      <c r="AL36" s="206">
        <f t="shared" ref="AL36" ca="1" si="811">AK36*$X36</f>
        <v>0</v>
      </c>
      <c r="AM36" s="206">
        <f t="shared" ref="AM36" ca="1" si="812">AL36*$Z36</f>
        <v>0</v>
      </c>
      <c r="AN36" s="207">
        <f t="shared" ref="AN36" ca="1" si="813">IFERROR(AM36/AA$4,0)</f>
        <v>0</v>
      </c>
      <c r="AO36" s="313">
        <f t="shared" ref="AO36" si="814">AA36+AK36</f>
        <v>0</v>
      </c>
      <c r="AP36" s="313">
        <f t="shared" ca="1" si="601"/>
        <v>0</v>
      </c>
      <c r="AQ36" s="313">
        <f t="shared" ref="AQ36" ca="1" si="815">AP36*$Z36</f>
        <v>0</v>
      </c>
      <c r="AR36" s="314">
        <f t="shared" ref="AR36" ca="1" si="816">IFERROR(AQ36/AA$4,0)</f>
        <v>0</v>
      </c>
      <c r="AS36" s="315" t="str">
        <f t="shared" ca="1" si="29"/>
        <v/>
      </c>
      <c r="AT36" s="214"/>
      <c r="AU36" s="312" t="str">
        <f t="shared" ca="1" si="604"/>
        <v/>
      </c>
      <c r="AV36" s="252"/>
      <c r="AW36" s="199">
        <f t="shared" ref="AW36" ca="1" si="817">AT36*$X36</f>
        <v>0</v>
      </c>
      <c r="AX36" s="199">
        <f t="shared" ref="AX36" ca="1" si="818">AW36*$Z36</f>
        <v>0</v>
      </c>
      <c r="AY36" s="216">
        <f t="shared" ref="AY36" ca="1" si="819">IFERROR(AX36/AT$4,0)</f>
        <v>0</v>
      </c>
      <c r="AZ36" s="202">
        <f t="shared" ref="AZ36" ca="1" si="820">BA36/$X36</f>
        <v>0</v>
      </c>
      <c r="BA36" s="203">
        <f t="shared" ref="BA36" ca="1" si="821">BB36/$Z36</f>
        <v>0</v>
      </c>
      <c r="BB36" s="203">
        <f t="shared" ref="BB36" ca="1" si="822">BC36*AT$4</f>
        <v>0</v>
      </c>
      <c r="BC36" s="204">
        <f t="shared" ca="1" si="515"/>
        <v>0</v>
      </c>
      <c r="BD36" s="205"/>
      <c r="BE36" s="206">
        <f t="shared" ref="BE36" ca="1" si="823">BD36*$X36</f>
        <v>0</v>
      </c>
      <c r="BF36" s="206">
        <f t="shared" ref="BF36" ca="1" si="824">BE36*$Z36</f>
        <v>0</v>
      </c>
      <c r="BG36" s="207">
        <f t="shared" ref="BG36" ca="1" si="825">IFERROR(BF36/AT$4,0)</f>
        <v>0</v>
      </c>
      <c r="BH36" s="313">
        <f t="shared" ref="BH36" si="826">AT36+BD36</f>
        <v>0</v>
      </c>
      <c r="BI36" s="313">
        <f t="shared" ca="1" si="615"/>
        <v>0</v>
      </c>
      <c r="BJ36" s="313">
        <f t="shared" ref="BJ36" ca="1" si="827">BI36*$Z36</f>
        <v>0</v>
      </c>
      <c r="BK36" s="314">
        <f t="shared" ref="BK36" ca="1" si="828">IFERROR(BJ36/AT$4,0)</f>
        <v>0</v>
      </c>
      <c r="BL36" s="211" t="str">
        <f t="shared" ca="1" si="34"/>
        <v/>
      </c>
      <c r="BM36" s="214"/>
      <c r="BN36" s="312" t="str">
        <f t="shared" ca="1" si="618"/>
        <v/>
      </c>
      <c r="BO36" s="252"/>
      <c r="BP36" s="199">
        <f t="shared" ref="BP36" ca="1" si="829">BM36*$X36</f>
        <v>0</v>
      </c>
      <c r="BQ36" s="199">
        <f t="shared" ref="BQ36" ca="1" si="830">BP36*$Z36</f>
        <v>0</v>
      </c>
      <c r="BR36" s="216">
        <f t="shared" ref="BR36" ca="1" si="831">IFERROR(BQ36/BM$4,0)</f>
        <v>0</v>
      </c>
      <c r="BS36" s="202">
        <f t="shared" ref="BS36" ca="1" si="832">BT36/$X36</f>
        <v>0</v>
      </c>
      <c r="BT36" s="203">
        <f t="shared" ref="BT36" ca="1" si="833">BU36/$Z36</f>
        <v>0</v>
      </c>
      <c r="BU36" s="203">
        <f t="shared" ref="BU36" ca="1" si="834">BV36*BM$4</f>
        <v>0</v>
      </c>
      <c r="BV36" s="204">
        <f t="shared" ca="1" si="526"/>
        <v>0</v>
      </c>
      <c r="BW36" s="205"/>
      <c r="BX36" s="206">
        <f t="shared" ref="BX36" ca="1" si="835">BW36*$X36</f>
        <v>0</v>
      </c>
      <c r="BY36" s="206">
        <f t="shared" ref="BY36" ca="1" si="836">BX36*$Z36</f>
        <v>0</v>
      </c>
      <c r="BZ36" s="207">
        <f t="shared" ref="BZ36" ca="1" si="837">IFERROR(BY36/BM$4,0)</f>
        <v>0</v>
      </c>
      <c r="CA36" s="313">
        <f t="shared" ref="CA36" si="838">BM36+BW36</f>
        <v>0</v>
      </c>
      <c r="CB36" s="313">
        <f t="shared" ca="1" si="629"/>
        <v>0</v>
      </c>
      <c r="CC36" s="313">
        <f t="shared" ref="CC36" ca="1" si="839">CB36*$Z36</f>
        <v>0</v>
      </c>
      <c r="CD36" s="314">
        <f t="shared" ref="CD36" ca="1" si="840">IFERROR(CC36/BM$4,0)</f>
        <v>0</v>
      </c>
      <c r="CE36" s="211" t="str">
        <f t="shared" ca="1" si="39"/>
        <v/>
      </c>
      <c r="CF36" s="214"/>
      <c r="CG36" s="312" t="str">
        <f t="shared" ca="1" si="632"/>
        <v/>
      </c>
      <c r="CH36" s="215"/>
      <c r="CI36" s="199">
        <f t="shared" ref="CI36" ca="1" si="841">CF36*$X36</f>
        <v>0</v>
      </c>
      <c r="CJ36" s="199">
        <f t="shared" ref="CJ36" ca="1" si="842">CI36*$Z36</f>
        <v>0</v>
      </c>
      <c r="CK36" s="216">
        <f t="shared" ref="CK36" ca="1" si="843">IFERROR(CJ36/CF$4,0)</f>
        <v>0</v>
      </c>
      <c r="CL36" s="202">
        <f t="shared" ref="CL36" ca="1" si="844">CM36/$X36</f>
        <v>0</v>
      </c>
      <c r="CM36" s="203">
        <f t="shared" ref="CM36" ca="1" si="845">CN36/$Z36</f>
        <v>0</v>
      </c>
      <c r="CN36" s="203">
        <f t="shared" ref="CN36" ca="1" si="846">CO36*CF$4</f>
        <v>0</v>
      </c>
      <c r="CO36" s="204">
        <f t="shared" ca="1" si="537"/>
        <v>0</v>
      </c>
      <c r="CP36" s="205"/>
      <c r="CQ36" s="206">
        <f t="shared" ref="CQ36" ca="1" si="847">CP36*$X36</f>
        <v>0</v>
      </c>
      <c r="CR36" s="206">
        <f t="shared" ref="CR36" ca="1" si="848">CQ36*$Z36</f>
        <v>0</v>
      </c>
      <c r="CS36" s="207">
        <f t="shared" ref="CS36" ca="1" si="849">IFERROR(CR36/CF$4,0)</f>
        <v>0</v>
      </c>
      <c r="CT36" s="313">
        <f t="shared" ref="CT36" si="850">CF36+CP36</f>
        <v>0</v>
      </c>
      <c r="CU36" s="313">
        <f t="shared" ca="1" si="643"/>
        <v>0</v>
      </c>
      <c r="CV36" s="313">
        <f t="shared" ref="CV36" ca="1" si="851">CU36*$Z36</f>
        <v>0</v>
      </c>
      <c r="CW36" s="314">
        <f t="shared" ref="CW36" ca="1" si="852">IFERROR(CV36/CF$4,0)</f>
        <v>0</v>
      </c>
      <c r="CX36" s="211" t="str">
        <f t="shared" ca="1" si="47"/>
        <v/>
      </c>
      <c r="CY36" s="197">
        <v>100000</v>
      </c>
      <c r="CZ36" s="312">
        <f t="shared" ca="1" si="646"/>
        <v>4.8462613553459155E-2</v>
      </c>
      <c r="DA36" s="252">
        <v>0.95399999999999996</v>
      </c>
      <c r="DB36" s="199">
        <f t="shared" ca="1" si="647"/>
        <v>100023.333333</v>
      </c>
      <c r="DC36" s="199">
        <f t="shared" ca="1" si="648"/>
        <v>100023.34633603334</v>
      </c>
      <c r="DD36" s="216">
        <f t="shared" ca="1" si="10"/>
        <v>2.7897253657685337E-2</v>
      </c>
      <c r="DE36" s="202">
        <f t="shared" ca="1" si="649"/>
        <v>-100000</v>
      </c>
      <c r="DF36" s="203">
        <f t="shared" ca="1" si="650"/>
        <v>-100023.333333</v>
      </c>
      <c r="DG36" s="203">
        <f t="shared" ca="1" si="651"/>
        <v>-100023.34633603334</v>
      </c>
      <c r="DH36" s="204">
        <f t="shared" ca="1" si="548"/>
        <v>-2.7897253657685337E-2</v>
      </c>
      <c r="DI36" s="205"/>
      <c r="DJ36" s="206">
        <f t="shared" ca="1" si="652"/>
        <v>0</v>
      </c>
      <c r="DK36" s="206">
        <f t="shared" ca="1" si="653"/>
        <v>0</v>
      </c>
      <c r="DL36" s="207">
        <f t="shared" ca="1" si="11"/>
        <v>0</v>
      </c>
      <c r="DM36" s="313">
        <f t="shared" si="654"/>
        <v>100000</v>
      </c>
      <c r="DN36" s="313">
        <f t="shared" ca="1" si="655"/>
        <v>100023.333333</v>
      </c>
      <c r="DO36" s="313">
        <f t="shared" ca="1" si="656"/>
        <v>100023.34633603334</v>
      </c>
      <c r="DP36" s="314">
        <f t="shared" ca="1" si="475"/>
        <v>2.7897253657685337E-2</v>
      </c>
      <c r="DQ36" s="315" t="str">
        <f t="shared" ca="1" si="55"/>
        <v>V</v>
      </c>
      <c r="DR36" s="197"/>
      <c r="DS36" s="312" t="str">
        <f t="shared" ca="1" si="554"/>
        <v/>
      </c>
      <c r="DT36" s="252"/>
      <c r="DU36" s="199">
        <f t="shared" ca="1" si="555"/>
        <v>0</v>
      </c>
      <c r="DV36" s="199">
        <f t="shared" ca="1" si="556"/>
        <v>0</v>
      </c>
      <c r="DW36" s="216">
        <f t="shared" ca="1" si="477"/>
        <v>0</v>
      </c>
      <c r="DX36" s="202">
        <f t="shared" ca="1" si="557"/>
        <v>0</v>
      </c>
      <c r="DY36" s="203">
        <f t="shared" ca="1" si="558"/>
        <v>0</v>
      </c>
      <c r="DZ36" s="203">
        <f t="shared" ca="1" si="559"/>
        <v>0</v>
      </c>
      <c r="EA36" s="204">
        <f t="shared" ca="1" si="560"/>
        <v>0</v>
      </c>
      <c r="EB36" s="205"/>
      <c r="EC36" s="206">
        <f t="shared" ca="1" si="561"/>
        <v>0</v>
      </c>
      <c r="ED36" s="206">
        <f t="shared" ca="1" si="562"/>
        <v>0</v>
      </c>
      <c r="EE36" s="207">
        <f t="shared" ca="1" si="478"/>
        <v>0</v>
      </c>
      <c r="EF36" s="313">
        <f t="shared" si="657"/>
        <v>0</v>
      </c>
      <c r="EG36" s="313">
        <f t="shared" ca="1" si="563"/>
        <v>0</v>
      </c>
      <c r="EH36" s="313">
        <f t="shared" ca="1" si="564"/>
        <v>0</v>
      </c>
      <c r="EI36" s="314">
        <f t="shared" ca="1" si="479"/>
        <v>0</v>
      </c>
      <c r="EJ36" s="214"/>
      <c r="EK36" s="312" t="str">
        <f t="shared" ca="1" si="658"/>
        <v/>
      </c>
      <c r="EL36" s="252"/>
      <c r="EM36" s="199">
        <f t="shared" ref="EM36" ca="1" si="853">EJ36*$X36</f>
        <v>0</v>
      </c>
      <c r="EN36" s="199">
        <f t="shared" ref="EN36" ca="1" si="854">EM36*$Z36</f>
        <v>0</v>
      </c>
      <c r="EO36" s="216">
        <f t="shared" ref="EO36" ca="1" si="855">IFERROR(EN36/EJ$4,0)</f>
        <v>0</v>
      </c>
      <c r="EP36" s="202">
        <f t="shared" ref="EP36" ca="1" si="856">EQ36/$X36</f>
        <v>0</v>
      </c>
      <c r="EQ36" s="203">
        <f t="shared" ref="EQ36" ca="1" si="857">ER36/$Z36</f>
        <v>0</v>
      </c>
      <c r="ER36" s="203">
        <f t="shared" ref="ER36" ca="1" si="858">ES36*EJ$4</f>
        <v>0</v>
      </c>
      <c r="ES36" s="204">
        <f t="shared" ca="1" si="571"/>
        <v>0</v>
      </c>
      <c r="ET36" s="205"/>
      <c r="EU36" s="206">
        <f t="shared" ref="EU36" ca="1" si="859">ET36*$X36</f>
        <v>0</v>
      </c>
      <c r="EV36" s="206">
        <f t="shared" ref="EV36" ca="1" si="860">EU36*$Z36</f>
        <v>0</v>
      </c>
      <c r="EW36" s="207">
        <f t="shared" ref="EW36" ca="1" si="861">IFERROR(EV36/EJ$4,0)</f>
        <v>0</v>
      </c>
      <c r="EX36" s="313">
        <f t="shared" ref="EX36" si="862">EJ36+ET36</f>
        <v>0</v>
      </c>
      <c r="EY36" s="313">
        <f t="shared" ca="1" si="669"/>
        <v>0</v>
      </c>
      <c r="EZ36" s="313">
        <f t="shared" ref="EZ36" ca="1" si="863">EY36*$Z36</f>
        <v>0</v>
      </c>
      <c r="FA36" s="314">
        <f t="shared" ref="FA36" ca="1" si="864">IFERROR(EZ36/EJ$4,0)</f>
        <v>0</v>
      </c>
      <c r="FB36" s="211" t="str">
        <f t="shared" ca="1" si="66"/>
        <v/>
      </c>
      <c r="FC36" s="214"/>
      <c r="FD36" s="312" t="str">
        <f t="shared" ca="1" si="672"/>
        <v/>
      </c>
      <c r="FE36" s="252"/>
      <c r="FF36" s="199">
        <f t="shared" ref="FF36" ca="1" si="865">FC36*$X36</f>
        <v>0</v>
      </c>
      <c r="FG36" s="199">
        <f t="shared" ref="FG36" ca="1" si="866">FF36*$Z36</f>
        <v>0</v>
      </c>
      <c r="FH36" s="216">
        <f t="shared" ref="FH36" ca="1" si="867">IFERROR(FG36/FC$4,0)</f>
        <v>0</v>
      </c>
      <c r="FI36" s="202">
        <f t="shared" ref="FI36" ca="1" si="868">FJ36/$X36</f>
        <v>0</v>
      </c>
      <c r="FJ36" s="203">
        <f t="shared" ref="FJ36" ca="1" si="869">FK36/$Z36</f>
        <v>0</v>
      </c>
      <c r="FK36" s="203">
        <f t="shared" ref="FK36" ca="1" si="870">FL36*FC$4</f>
        <v>0</v>
      </c>
      <c r="FL36" s="204">
        <f t="shared" ca="1" si="582"/>
        <v>0</v>
      </c>
      <c r="FM36" s="205"/>
      <c r="FN36" s="206">
        <f t="shared" ref="FN36" ca="1" si="871">FM36*$X36</f>
        <v>0</v>
      </c>
      <c r="FO36" s="206">
        <f t="shared" ref="FO36" ca="1" si="872">FN36*$Z36</f>
        <v>0</v>
      </c>
      <c r="FP36" s="207">
        <f t="shared" ref="FP36" ca="1" si="873">IFERROR(FO36/FC$4,0)</f>
        <v>0</v>
      </c>
      <c r="FQ36" s="313">
        <f t="shared" ref="FQ36" si="874">FC36+FM36</f>
        <v>0</v>
      </c>
      <c r="FR36" s="313">
        <f t="shared" ca="1" si="683"/>
        <v>0</v>
      </c>
      <c r="FS36" s="313">
        <f t="shared" ref="FS36" ca="1" si="875">FR36*$Z36</f>
        <v>0</v>
      </c>
      <c r="FT36" s="314">
        <f t="shared" ref="FT36" ca="1" si="876">IFERROR(FS36/FC$4,0)</f>
        <v>0</v>
      </c>
      <c r="FU36" s="315" t="str">
        <f t="shared" ca="1" si="71"/>
        <v/>
      </c>
    </row>
    <row r="37" spans="1:177" outlineLevel="2" x14ac:dyDescent="0.2">
      <c r="A37" s="298"/>
      <c r="B37" s="298"/>
      <c r="C37" s="299" t="str">
        <f t="shared" ca="1" si="487"/>
        <v>CH0553331817:CHF</v>
      </c>
      <c r="D37" s="300" t="str">
        <f t="shared" ca="1" si="488"/>
        <v>CH0553331817</v>
      </c>
      <c r="E37" s="301" t="str">
        <f t="shared" ca="1" si="488"/>
        <v>55333181</v>
      </c>
      <c r="F37" s="299" t="s">
        <v>4373</v>
      </c>
      <c r="G37" s="316">
        <f t="shared" ca="1" si="488"/>
        <v>46372</v>
      </c>
      <c r="H37" s="1708" t="str">
        <f t="shared" ca="1" si="489"/>
        <v></v>
      </c>
      <c r="I37" s="1680" t="str">
        <f t="shared" ca="1" si="490"/>
        <v/>
      </c>
      <c r="J37" s="1708" t="str">
        <f t="shared" ca="1" si="491"/>
        <v/>
      </c>
      <c r="K37" s="1709" t="str">
        <f t="shared" ca="1" si="491"/>
        <v/>
      </c>
      <c r="L37" s="1710" t="str">
        <f t="shared" ca="1" si="492"/>
        <v/>
      </c>
      <c r="M37" s="298" t="str">
        <f t="shared" ca="1" si="493"/>
        <v>Pct</v>
      </c>
      <c r="N37" s="305"/>
      <c r="O37" s="305"/>
      <c r="P37" s="306">
        <f t="shared" ca="1" si="1"/>
        <v>0</v>
      </c>
      <c r="Q37" s="307">
        <f t="array" aca="1" ref="Q37" ca="1">SUM(IF($AA$15:$FT$15="I_pos",AA37:FT37))</f>
        <v>100000</v>
      </c>
      <c r="R37" s="307">
        <f t="array" aca="1" ref="R37" ca="1">SUM(IF($AA$15:$FT$15="P_Pos",AA37:FT37))</f>
        <v>-100000</v>
      </c>
      <c r="S37" s="304"/>
      <c r="T37" s="307"/>
      <c r="U37" s="308">
        <f t="shared" ca="1" si="494"/>
        <v>-9.9960015993700002E-5</v>
      </c>
      <c r="V37" s="307">
        <f t="array" aca="1" ref="V37" ca="1">SUM(IF($AA$15:$FT$15="O_Pos",AA37:FT37))</f>
        <v>0</v>
      </c>
      <c r="W37" s="299" t="str">
        <f t="shared" ca="1" si="588"/>
        <v>CHF</v>
      </c>
      <c r="X37" s="309">
        <f t="shared" ca="1" si="496"/>
        <v>1.00083472222</v>
      </c>
      <c r="Y37" s="310">
        <f t="shared" ca="1" si="496"/>
        <v>2.1138645100000002E-3</v>
      </c>
      <c r="Z37" s="311">
        <f t="shared" ca="1" si="589"/>
        <v>1.0000001300000001</v>
      </c>
      <c r="AA37" s="214"/>
      <c r="AB37" s="312" t="str">
        <f t="shared" ca="1" si="590"/>
        <v/>
      </c>
      <c r="AC37" s="252"/>
      <c r="AD37" s="199">
        <f t="shared" ref="AD37:AD38" ca="1" si="877">AA37*$X37</f>
        <v>0</v>
      </c>
      <c r="AE37" s="199">
        <f t="shared" ref="AE37:AE38" ca="1" si="878">AD37*$Z37</f>
        <v>0</v>
      </c>
      <c r="AF37" s="216">
        <f t="shared" ref="AF37:AF38" ca="1" si="879">IFERROR(AE37/AA$4,0)</f>
        <v>0</v>
      </c>
      <c r="AG37" s="202">
        <f t="shared" ref="AG37:AG38" ca="1" si="880">AH37/$X37</f>
        <v>0</v>
      </c>
      <c r="AH37" s="203">
        <f t="shared" ref="AH37:AH38" ca="1" si="881">AI37/$Z37</f>
        <v>0</v>
      </c>
      <c r="AI37" s="203">
        <f t="shared" ref="AI37:AI38" ca="1" si="882">AJ37*AA$4</f>
        <v>0</v>
      </c>
      <c r="AJ37" s="204">
        <f t="shared" ca="1" si="504"/>
        <v>0</v>
      </c>
      <c r="AK37" s="205"/>
      <c r="AL37" s="206">
        <f t="shared" ref="AL37:AL38" ca="1" si="883">AK37*$X37</f>
        <v>0</v>
      </c>
      <c r="AM37" s="206">
        <f t="shared" ref="AM37:AM38" ca="1" si="884">AL37*$Z37</f>
        <v>0</v>
      </c>
      <c r="AN37" s="207">
        <f t="shared" ref="AN37:AN38" ca="1" si="885">IFERROR(AM37/AA$4,0)</f>
        <v>0</v>
      </c>
      <c r="AO37" s="313">
        <f t="shared" ref="AO37:AO38" si="886">AA37+AK37</f>
        <v>0</v>
      </c>
      <c r="AP37" s="313">
        <f t="shared" ca="1" si="601"/>
        <v>0</v>
      </c>
      <c r="AQ37" s="313">
        <f t="shared" ref="AQ37:AQ38" ca="1" si="887">AP37*$Z37</f>
        <v>0</v>
      </c>
      <c r="AR37" s="314">
        <f t="shared" ref="AR37:AR38" ca="1" si="888">IFERROR(AQ37/AA$4,0)</f>
        <v>0</v>
      </c>
      <c r="AS37" s="315" t="str">
        <f t="shared" ca="1" si="29"/>
        <v/>
      </c>
      <c r="AT37" s="214"/>
      <c r="AU37" s="312" t="str">
        <f t="shared" ca="1" si="604"/>
        <v/>
      </c>
      <c r="AV37" s="252"/>
      <c r="AW37" s="199">
        <f t="shared" ref="AW37:AW38" ca="1" si="889">AT37*$X37</f>
        <v>0</v>
      </c>
      <c r="AX37" s="199">
        <f t="shared" ref="AX37:AX38" ca="1" si="890">AW37*$Z37</f>
        <v>0</v>
      </c>
      <c r="AY37" s="216">
        <f t="shared" ref="AY37:AY38" ca="1" si="891">IFERROR(AX37/AT$4,0)</f>
        <v>0</v>
      </c>
      <c r="AZ37" s="202">
        <f t="shared" ref="AZ37:AZ38" ca="1" si="892">BA37/$X37</f>
        <v>0</v>
      </c>
      <c r="BA37" s="203">
        <f t="shared" ref="BA37:BA38" ca="1" si="893">BB37/$Z37</f>
        <v>0</v>
      </c>
      <c r="BB37" s="203">
        <f t="shared" ref="BB37:BB38" ca="1" si="894">BC37*AT$4</f>
        <v>0</v>
      </c>
      <c r="BC37" s="204">
        <f t="shared" ca="1" si="515"/>
        <v>0</v>
      </c>
      <c r="BD37" s="205"/>
      <c r="BE37" s="206">
        <f t="shared" ref="BE37:BE38" ca="1" si="895">BD37*$X37</f>
        <v>0</v>
      </c>
      <c r="BF37" s="206">
        <f t="shared" ref="BF37:BF38" ca="1" si="896">BE37*$Z37</f>
        <v>0</v>
      </c>
      <c r="BG37" s="207">
        <f t="shared" ref="BG37:BG38" ca="1" si="897">IFERROR(BF37/AT$4,0)</f>
        <v>0</v>
      </c>
      <c r="BH37" s="313">
        <f t="shared" ref="BH37:BH38" si="898">AT37+BD37</f>
        <v>0</v>
      </c>
      <c r="BI37" s="313">
        <f t="shared" ca="1" si="615"/>
        <v>0</v>
      </c>
      <c r="BJ37" s="313">
        <f t="shared" ref="BJ37:BJ38" ca="1" si="899">BI37*$Z37</f>
        <v>0</v>
      </c>
      <c r="BK37" s="314">
        <f t="shared" ref="BK37:BK38" ca="1" si="900">IFERROR(BJ37/AT$4,0)</f>
        <v>0</v>
      </c>
      <c r="BL37" s="211" t="str">
        <f t="shared" ca="1" si="34"/>
        <v/>
      </c>
      <c r="BM37" s="214"/>
      <c r="BN37" s="312" t="str">
        <f t="shared" ca="1" si="618"/>
        <v/>
      </c>
      <c r="BO37" s="252"/>
      <c r="BP37" s="199">
        <f t="shared" ref="BP37:BP38" ca="1" si="901">BM37*$X37</f>
        <v>0</v>
      </c>
      <c r="BQ37" s="199">
        <f t="shared" ref="BQ37:BQ38" ca="1" si="902">BP37*$Z37</f>
        <v>0</v>
      </c>
      <c r="BR37" s="216">
        <f t="shared" ref="BR37:BR38" ca="1" si="903">IFERROR(BQ37/BM$4,0)</f>
        <v>0</v>
      </c>
      <c r="BS37" s="202">
        <f t="shared" ref="BS37:BS38" ca="1" si="904">BT37/$X37</f>
        <v>0</v>
      </c>
      <c r="BT37" s="203">
        <f t="shared" ref="BT37:BT38" ca="1" si="905">BU37/$Z37</f>
        <v>0</v>
      </c>
      <c r="BU37" s="203">
        <f t="shared" ref="BU37:BU38" ca="1" si="906">BV37*BM$4</f>
        <v>0</v>
      </c>
      <c r="BV37" s="204">
        <f t="shared" ca="1" si="526"/>
        <v>0</v>
      </c>
      <c r="BW37" s="205"/>
      <c r="BX37" s="206">
        <f t="shared" ref="BX37:BX38" ca="1" si="907">BW37*$X37</f>
        <v>0</v>
      </c>
      <c r="BY37" s="206">
        <f t="shared" ref="BY37:BY38" ca="1" si="908">BX37*$Z37</f>
        <v>0</v>
      </c>
      <c r="BZ37" s="207">
        <f t="shared" ref="BZ37:BZ38" ca="1" si="909">IFERROR(BY37/BM$4,0)</f>
        <v>0</v>
      </c>
      <c r="CA37" s="313">
        <f t="shared" ref="CA37:CA38" si="910">BM37+BW37</f>
        <v>0</v>
      </c>
      <c r="CB37" s="313">
        <f t="shared" ca="1" si="629"/>
        <v>0</v>
      </c>
      <c r="CC37" s="313">
        <f t="shared" ref="CC37:CC38" ca="1" si="911">CB37*$Z37</f>
        <v>0</v>
      </c>
      <c r="CD37" s="314">
        <f t="shared" ref="CD37:CD38" ca="1" si="912">IFERROR(CC37/BM$4,0)</f>
        <v>0</v>
      </c>
      <c r="CE37" s="211" t="str">
        <f t="shared" ca="1" si="39"/>
        <v/>
      </c>
      <c r="CF37" s="214"/>
      <c r="CG37" s="312" t="str">
        <f t="shared" ca="1" si="632"/>
        <v/>
      </c>
      <c r="CH37" s="215"/>
      <c r="CI37" s="199">
        <f t="shared" ref="CI37:CI38" ca="1" si="913">CF37*$X37</f>
        <v>0</v>
      </c>
      <c r="CJ37" s="199">
        <f t="shared" ref="CJ37:CJ38" ca="1" si="914">CI37*$Z37</f>
        <v>0</v>
      </c>
      <c r="CK37" s="216">
        <f t="shared" ref="CK37:CK38" ca="1" si="915">IFERROR(CJ37/CF$4,0)</f>
        <v>0</v>
      </c>
      <c r="CL37" s="202">
        <f t="shared" ref="CL37:CL38" ca="1" si="916">CM37/$X37</f>
        <v>0</v>
      </c>
      <c r="CM37" s="203">
        <f t="shared" ref="CM37:CM38" ca="1" si="917">CN37/$Z37</f>
        <v>0</v>
      </c>
      <c r="CN37" s="203">
        <f t="shared" ref="CN37:CN38" ca="1" si="918">CO37*CF$4</f>
        <v>0</v>
      </c>
      <c r="CO37" s="204">
        <f t="shared" ca="1" si="537"/>
        <v>0</v>
      </c>
      <c r="CP37" s="205"/>
      <c r="CQ37" s="206">
        <f t="shared" ref="CQ37:CQ38" ca="1" si="919">CP37*$X37</f>
        <v>0</v>
      </c>
      <c r="CR37" s="206">
        <f t="shared" ref="CR37:CR38" ca="1" si="920">CQ37*$Z37</f>
        <v>0</v>
      </c>
      <c r="CS37" s="207">
        <f t="shared" ref="CS37:CS38" ca="1" si="921">IFERROR(CR37/CF$4,0)</f>
        <v>0</v>
      </c>
      <c r="CT37" s="313">
        <f t="shared" ref="CT37:CT38" si="922">CF37+CP37</f>
        <v>0</v>
      </c>
      <c r="CU37" s="313">
        <f t="shared" ca="1" si="643"/>
        <v>0</v>
      </c>
      <c r="CV37" s="313">
        <f t="shared" ref="CV37:CV38" ca="1" si="923">CU37*$Z37</f>
        <v>0</v>
      </c>
      <c r="CW37" s="314">
        <f t="shared" ref="CW37:CW38" ca="1" si="924">IFERROR(CV37/CF$4,0)</f>
        <v>0</v>
      </c>
      <c r="CX37" s="211" t="str">
        <f t="shared" ca="1" si="47"/>
        <v/>
      </c>
      <c r="CY37" s="197">
        <v>100000</v>
      </c>
      <c r="CZ37" s="312" t="str">
        <f t="shared" ca="1" si="646"/>
        <v/>
      </c>
      <c r="DA37" s="252"/>
      <c r="DB37" s="199">
        <f t="shared" ca="1" si="647"/>
        <v>100083.472222</v>
      </c>
      <c r="DC37" s="199">
        <f t="shared" ca="1" si="648"/>
        <v>100083.4852328514</v>
      </c>
      <c r="DD37" s="216">
        <f t="shared" ca="1" si="10"/>
        <v>2.7914026842353546E-2</v>
      </c>
      <c r="DE37" s="202">
        <f t="shared" ca="1" si="649"/>
        <v>-100000</v>
      </c>
      <c r="DF37" s="203">
        <f t="shared" ca="1" si="650"/>
        <v>-100083.472222</v>
      </c>
      <c r="DG37" s="203">
        <f t="shared" ca="1" si="651"/>
        <v>-100083.4852328514</v>
      </c>
      <c r="DH37" s="204">
        <f t="shared" ca="1" si="548"/>
        <v>-2.7914026842353546E-2</v>
      </c>
      <c r="DI37" s="205"/>
      <c r="DJ37" s="206">
        <f t="shared" ca="1" si="652"/>
        <v>0</v>
      </c>
      <c r="DK37" s="206">
        <f t="shared" ca="1" si="653"/>
        <v>0</v>
      </c>
      <c r="DL37" s="207">
        <f t="shared" ca="1" si="11"/>
        <v>0</v>
      </c>
      <c r="DM37" s="313">
        <f t="shared" si="654"/>
        <v>100000</v>
      </c>
      <c r="DN37" s="313">
        <f t="shared" ca="1" si="655"/>
        <v>100083.472222</v>
      </c>
      <c r="DO37" s="313">
        <f t="shared" ca="1" si="656"/>
        <v>100083.4852328514</v>
      </c>
      <c r="DP37" s="314">
        <f t="shared" ca="1" si="475"/>
        <v>2.7914026842353546E-2</v>
      </c>
      <c r="DQ37" s="315" t="str">
        <f t="shared" ca="1" si="55"/>
        <v>V</v>
      </c>
      <c r="DR37" s="197"/>
      <c r="DS37" s="312" t="str">
        <f t="shared" ca="1" si="554"/>
        <v/>
      </c>
      <c r="DT37" s="252"/>
      <c r="DU37" s="199">
        <f t="shared" ca="1" si="555"/>
        <v>0</v>
      </c>
      <c r="DV37" s="199">
        <f t="shared" ca="1" si="556"/>
        <v>0</v>
      </c>
      <c r="DW37" s="216">
        <f t="shared" ca="1" si="477"/>
        <v>0</v>
      </c>
      <c r="DX37" s="202">
        <f t="shared" ca="1" si="557"/>
        <v>0</v>
      </c>
      <c r="DY37" s="203">
        <f t="shared" ca="1" si="558"/>
        <v>0</v>
      </c>
      <c r="DZ37" s="203">
        <f t="shared" ca="1" si="559"/>
        <v>0</v>
      </c>
      <c r="EA37" s="204">
        <f t="shared" ca="1" si="560"/>
        <v>0</v>
      </c>
      <c r="EB37" s="205"/>
      <c r="EC37" s="206">
        <f t="shared" ca="1" si="561"/>
        <v>0</v>
      </c>
      <c r="ED37" s="206">
        <f t="shared" ca="1" si="562"/>
        <v>0</v>
      </c>
      <c r="EE37" s="207">
        <f t="shared" ca="1" si="478"/>
        <v>0</v>
      </c>
      <c r="EF37" s="313">
        <f t="shared" si="657"/>
        <v>0</v>
      </c>
      <c r="EG37" s="313">
        <f t="shared" ca="1" si="563"/>
        <v>0</v>
      </c>
      <c r="EH37" s="313">
        <f t="shared" ca="1" si="564"/>
        <v>0</v>
      </c>
      <c r="EI37" s="314">
        <f t="shared" ca="1" si="479"/>
        <v>0</v>
      </c>
      <c r="EJ37" s="214"/>
      <c r="EK37" s="312" t="str">
        <f t="shared" ca="1" si="658"/>
        <v/>
      </c>
      <c r="EL37" s="252"/>
      <c r="EM37" s="199">
        <f t="shared" ref="EM37:EM38" ca="1" si="925">EJ37*$X37</f>
        <v>0</v>
      </c>
      <c r="EN37" s="199">
        <f t="shared" ref="EN37:EN38" ca="1" si="926">EM37*$Z37</f>
        <v>0</v>
      </c>
      <c r="EO37" s="216">
        <f t="shared" ref="EO37:EO38" ca="1" si="927">IFERROR(EN37/EJ$4,0)</f>
        <v>0</v>
      </c>
      <c r="EP37" s="202">
        <f t="shared" ref="EP37:EP38" ca="1" si="928">EQ37/$X37</f>
        <v>0</v>
      </c>
      <c r="EQ37" s="203">
        <f t="shared" ref="EQ37:EQ38" ca="1" si="929">ER37/$Z37</f>
        <v>0</v>
      </c>
      <c r="ER37" s="203">
        <f t="shared" ref="ER37:ER38" ca="1" si="930">ES37*EJ$4</f>
        <v>0</v>
      </c>
      <c r="ES37" s="204">
        <f t="shared" ca="1" si="571"/>
        <v>0</v>
      </c>
      <c r="ET37" s="205"/>
      <c r="EU37" s="206">
        <f t="shared" ref="EU37:EU38" ca="1" si="931">ET37*$X37</f>
        <v>0</v>
      </c>
      <c r="EV37" s="206">
        <f t="shared" ref="EV37:EV38" ca="1" si="932">EU37*$Z37</f>
        <v>0</v>
      </c>
      <c r="EW37" s="207">
        <f t="shared" ref="EW37:EW38" ca="1" si="933">IFERROR(EV37/EJ$4,0)</f>
        <v>0</v>
      </c>
      <c r="EX37" s="313">
        <f t="shared" ref="EX37:EX38" si="934">EJ37+ET37</f>
        <v>0</v>
      </c>
      <c r="EY37" s="313">
        <f t="shared" ca="1" si="669"/>
        <v>0</v>
      </c>
      <c r="EZ37" s="313">
        <f t="shared" ref="EZ37:EZ38" ca="1" si="935">EY37*$Z37</f>
        <v>0</v>
      </c>
      <c r="FA37" s="314">
        <f t="shared" ref="FA37:FA38" ca="1" si="936">IFERROR(EZ37/EJ$4,0)</f>
        <v>0</v>
      </c>
      <c r="FB37" s="211" t="str">
        <f t="shared" ca="1" si="66"/>
        <v/>
      </c>
      <c r="FC37" s="214"/>
      <c r="FD37" s="312" t="str">
        <f t="shared" ca="1" si="672"/>
        <v/>
      </c>
      <c r="FE37" s="252"/>
      <c r="FF37" s="199">
        <f t="shared" ref="FF37:FF38" ca="1" si="937">FC37*$X37</f>
        <v>0</v>
      </c>
      <c r="FG37" s="199">
        <f t="shared" ref="FG37:FG38" ca="1" si="938">FF37*$Z37</f>
        <v>0</v>
      </c>
      <c r="FH37" s="216">
        <f t="shared" ref="FH37:FH38" ca="1" si="939">IFERROR(FG37/FC$4,0)</f>
        <v>0</v>
      </c>
      <c r="FI37" s="202">
        <f t="shared" ref="FI37:FI38" ca="1" si="940">FJ37/$X37</f>
        <v>0</v>
      </c>
      <c r="FJ37" s="203">
        <f t="shared" ref="FJ37:FJ38" ca="1" si="941">FK37/$Z37</f>
        <v>0</v>
      </c>
      <c r="FK37" s="203">
        <f t="shared" ref="FK37:FK38" ca="1" si="942">FL37*FC$4</f>
        <v>0</v>
      </c>
      <c r="FL37" s="204">
        <f t="shared" ca="1" si="582"/>
        <v>0</v>
      </c>
      <c r="FM37" s="205"/>
      <c r="FN37" s="206">
        <f t="shared" ref="FN37:FN38" ca="1" si="943">FM37*$X37</f>
        <v>0</v>
      </c>
      <c r="FO37" s="206">
        <f t="shared" ref="FO37:FO38" ca="1" si="944">FN37*$Z37</f>
        <v>0</v>
      </c>
      <c r="FP37" s="207">
        <f t="shared" ref="FP37:FP38" ca="1" si="945">IFERROR(FO37/FC$4,0)</f>
        <v>0</v>
      </c>
      <c r="FQ37" s="313">
        <f t="shared" ref="FQ37:FQ38" si="946">FC37+FM37</f>
        <v>0</v>
      </c>
      <c r="FR37" s="313">
        <f t="shared" ca="1" si="683"/>
        <v>0</v>
      </c>
      <c r="FS37" s="313">
        <f t="shared" ref="FS37:FS38" ca="1" si="947">FR37*$Z37</f>
        <v>0</v>
      </c>
      <c r="FT37" s="314">
        <f t="shared" ref="FT37:FT38" ca="1" si="948">IFERROR(FS37/FC$4,0)</f>
        <v>0</v>
      </c>
      <c r="FU37" s="315" t="str">
        <f t="shared" ca="1" si="71"/>
        <v/>
      </c>
    </row>
    <row r="38" spans="1:177" outlineLevel="2" x14ac:dyDescent="0.2">
      <c r="A38" s="298"/>
      <c r="B38" s="298"/>
      <c r="C38" s="299" t="str">
        <f t="shared" ca="1" si="487"/>
        <v>CH0353945394:CHF</v>
      </c>
      <c r="D38" s="300" t="str">
        <f t="shared" ca="1" si="488"/>
        <v>CH0353945394</v>
      </c>
      <c r="E38" s="301" t="str">
        <f t="shared" ca="1" si="488"/>
        <v>35394539</v>
      </c>
      <c r="F38" s="299" t="s">
        <v>732</v>
      </c>
      <c r="G38" s="316">
        <f t="shared" ca="1" si="488"/>
        <v>46446</v>
      </c>
      <c r="H38" s="1708" t="str">
        <f t="shared" ca="1" si="489"/>
        <v></v>
      </c>
      <c r="I38" s="1680" t="str">
        <f t="shared" ca="1" si="490"/>
        <v/>
      </c>
      <c r="J38" s="1708" t="str">
        <f t="shared" ca="1" si="491"/>
        <v/>
      </c>
      <c r="K38" s="1709" t="str">
        <f t="shared" ca="1" si="491"/>
        <v/>
      </c>
      <c r="L38" s="1710" t="str">
        <f t="shared" ca="1" si="492"/>
        <v/>
      </c>
      <c r="M38" s="298" t="str">
        <f t="shared" ca="1" si="493"/>
        <v>Pct</v>
      </c>
      <c r="N38" s="305"/>
      <c r="O38" s="305"/>
      <c r="P38" s="306">
        <f t="shared" ca="1" si="1"/>
        <v>0</v>
      </c>
      <c r="Q38" s="307">
        <f t="array" aca="1" ref="Q38" ca="1">SUM(IF($AA$15:$FT$15="I_pos",AA38:FT38))</f>
        <v>10000</v>
      </c>
      <c r="R38" s="307">
        <f t="array" aca="1" ref="R38" ca="1">SUM(IF($AA$15:$FT$15="P_Pos",AA38:FT38))</f>
        <v>-10000</v>
      </c>
      <c r="S38" s="304"/>
      <c r="T38" s="307"/>
      <c r="U38" s="308">
        <f t="shared" ca="1" si="494"/>
        <v>0</v>
      </c>
      <c r="V38" s="307">
        <f t="array" aca="1" ref="V38" ca="1">SUM(IF($AA$15:$FT$15="O_Pos",AA38:FT38))</f>
        <v>0</v>
      </c>
      <c r="W38" s="299" t="str">
        <f t="shared" ca="1" si="588"/>
        <v>CHF</v>
      </c>
      <c r="X38" s="309">
        <f t="shared" ca="1" si="496"/>
        <v>1.0004166666700001</v>
      </c>
      <c r="Y38" s="310">
        <f t="shared" ca="1" si="496"/>
        <v>2.998251033E-2</v>
      </c>
      <c r="Z38" s="311">
        <f t="shared" ref="Z38" ca="1" si="949">_xlfn.NUMBERVALUE(OFFSET(Origine,MATCH(W38&amp;"/"&amp;MRif,LUKB_Name,0),MATCH("Price",Intestazioni,0)-1,1,1))</f>
        <v>1.0000001300000001</v>
      </c>
      <c r="AA38" s="214"/>
      <c r="AB38" s="312" t="str">
        <f t="shared" ca="1" si="590"/>
        <v/>
      </c>
      <c r="AC38" s="252"/>
      <c r="AD38" s="199">
        <f t="shared" ca="1" si="877"/>
        <v>0</v>
      </c>
      <c r="AE38" s="199">
        <f t="shared" ca="1" si="878"/>
        <v>0</v>
      </c>
      <c r="AF38" s="216">
        <f t="shared" ca="1" si="879"/>
        <v>0</v>
      </c>
      <c r="AG38" s="202">
        <f t="shared" ca="1" si="880"/>
        <v>0</v>
      </c>
      <c r="AH38" s="203">
        <f t="shared" ca="1" si="881"/>
        <v>0</v>
      </c>
      <c r="AI38" s="203">
        <f t="shared" ca="1" si="882"/>
        <v>0</v>
      </c>
      <c r="AJ38" s="204">
        <f t="shared" ca="1" si="504"/>
        <v>0</v>
      </c>
      <c r="AK38" s="205"/>
      <c r="AL38" s="206">
        <f t="shared" ca="1" si="883"/>
        <v>0</v>
      </c>
      <c r="AM38" s="206">
        <f t="shared" ca="1" si="884"/>
        <v>0</v>
      </c>
      <c r="AN38" s="207">
        <f t="shared" ca="1" si="885"/>
        <v>0</v>
      </c>
      <c r="AO38" s="313">
        <f t="shared" si="886"/>
        <v>0</v>
      </c>
      <c r="AP38" s="313">
        <f t="shared" ref="AP38" ca="1" si="950">AD38+IF($T38 ="",AL38,0)</f>
        <v>0</v>
      </c>
      <c r="AQ38" s="313">
        <f t="shared" ca="1" si="887"/>
        <v>0</v>
      </c>
      <c r="AR38" s="314">
        <f t="shared" ca="1" si="888"/>
        <v>0</v>
      </c>
      <c r="AS38" s="315" t="str">
        <f t="shared" ca="1" si="29"/>
        <v/>
      </c>
      <c r="AT38" s="214"/>
      <c r="AU38" s="312" t="str">
        <f t="shared" ca="1" si="604"/>
        <v/>
      </c>
      <c r="AV38" s="252"/>
      <c r="AW38" s="199">
        <f t="shared" ca="1" si="889"/>
        <v>0</v>
      </c>
      <c r="AX38" s="199">
        <f t="shared" ca="1" si="890"/>
        <v>0</v>
      </c>
      <c r="AY38" s="216">
        <f t="shared" ca="1" si="891"/>
        <v>0</v>
      </c>
      <c r="AZ38" s="202">
        <f t="shared" ca="1" si="892"/>
        <v>0</v>
      </c>
      <c r="BA38" s="203">
        <f t="shared" ca="1" si="893"/>
        <v>0</v>
      </c>
      <c r="BB38" s="203">
        <f t="shared" ca="1" si="894"/>
        <v>0</v>
      </c>
      <c r="BC38" s="204">
        <f t="shared" ca="1" si="515"/>
        <v>0</v>
      </c>
      <c r="BD38" s="205"/>
      <c r="BE38" s="206">
        <f t="shared" ca="1" si="895"/>
        <v>0</v>
      </c>
      <c r="BF38" s="206">
        <f t="shared" ca="1" si="896"/>
        <v>0</v>
      </c>
      <c r="BG38" s="207">
        <f t="shared" ca="1" si="897"/>
        <v>0</v>
      </c>
      <c r="BH38" s="313">
        <f t="shared" si="898"/>
        <v>0</v>
      </c>
      <c r="BI38" s="313">
        <f t="shared" ref="BI38" ca="1" si="951">AW38+IF($T38 ="",BE38,0)</f>
        <v>0</v>
      </c>
      <c r="BJ38" s="313">
        <f t="shared" ca="1" si="899"/>
        <v>0</v>
      </c>
      <c r="BK38" s="314">
        <f t="shared" ca="1" si="900"/>
        <v>0</v>
      </c>
      <c r="BL38" s="211" t="str">
        <f t="shared" ca="1" si="34"/>
        <v/>
      </c>
      <c r="BM38" s="214"/>
      <c r="BN38" s="312" t="str">
        <f t="shared" ca="1" si="618"/>
        <v/>
      </c>
      <c r="BO38" s="252"/>
      <c r="BP38" s="199">
        <f t="shared" ca="1" si="901"/>
        <v>0</v>
      </c>
      <c r="BQ38" s="199">
        <f t="shared" ca="1" si="902"/>
        <v>0</v>
      </c>
      <c r="BR38" s="216">
        <f t="shared" ca="1" si="903"/>
        <v>0</v>
      </c>
      <c r="BS38" s="202">
        <f t="shared" ca="1" si="904"/>
        <v>0</v>
      </c>
      <c r="BT38" s="203">
        <f t="shared" ca="1" si="905"/>
        <v>0</v>
      </c>
      <c r="BU38" s="203">
        <f t="shared" ca="1" si="906"/>
        <v>0</v>
      </c>
      <c r="BV38" s="204">
        <f t="shared" ca="1" si="526"/>
        <v>0</v>
      </c>
      <c r="BW38" s="205"/>
      <c r="BX38" s="206">
        <f t="shared" ca="1" si="907"/>
        <v>0</v>
      </c>
      <c r="BY38" s="206">
        <f t="shared" ca="1" si="908"/>
        <v>0</v>
      </c>
      <c r="BZ38" s="207">
        <f t="shared" ca="1" si="909"/>
        <v>0</v>
      </c>
      <c r="CA38" s="313">
        <f t="shared" si="910"/>
        <v>0</v>
      </c>
      <c r="CB38" s="313">
        <f t="shared" ref="CB38" ca="1" si="952">BP38+IF($T38 ="",BX38,0)</f>
        <v>0</v>
      </c>
      <c r="CC38" s="313">
        <f t="shared" ca="1" si="911"/>
        <v>0</v>
      </c>
      <c r="CD38" s="314">
        <f t="shared" ca="1" si="912"/>
        <v>0</v>
      </c>
      <c r="CE38" s="211" t="str">
        <f t="shared" ca="1" si="39"/>
        <v/>
      </c>
      <c r="CF38" s="214"/>
      <c r="CG38" s="312" t="str">
        <f t="shared" ca="1" si="632"/>
        <v/>
      </c>
      <c r="CH38" s="215"/>
      <c r="CI38" s="199">
        <f t="shared" ca="1" si="913"/>
        <v>0</v>
      </c>
      <c r="CJ38" s="199">
        <f t="shared" ca="1" si="914"/>
        <v>0</v>
      </c>
      <c r="CK38" s="216">
        <f t="shared" ca="1" si="915"/>
        <v>0</v>
      </c>
      <c r="CL38" s="202">
        <f t="shared" ca="1" si="916"/>
        <v>0</v>
      </c>
      <c r="CM38" s="203">
        <f t="shared" ca="1" si="917"/>
        <v>0</v>
      </c>
      <c r="CN38" s="203">
        <f t="shared" ca="1" si="918"/>
        <v>0</v>
      </c>
      <c r="CO38" s="204">
        <f t="shared" ca="1" si="537"/>
        <v>0</v>
      </c>
      <c r="CP38" s="205"/>
      <c r="CQ38" s="206">
        <f t="shared" ca="1" si="919"/>
        <v>0</v>
      </c>
      <c r="CR38" s="206">
        <f t="shared" ca="1" si="920"/>
        <v>0</v>
      </c>
      <c r="CS38" s="207">
        <f t="shared" ca="1" si="921"/>
        <v>0</v>
      </c>
      <c r="CT38" s="313">
        <f t="shared" si="922"/>
        <v>0</v>
      </c>
      <c r="CU38" s="313">
        <f t="shared" ref="CU38" ca="1" si="953">CI38+IF($T38 ="",CQ38,0)</f>
        <v>0</v>
      </c>
      <c r="CV38" s="313">
        <f t="shared" ca="1" si="923"/>
        <v>0</v>
      </c>
      <c r="CW38" s="314">
        <f t="shared" ca="1" si="924"/>
        <v>0</v>
      </c>
      <c r="CX38" s="211" t="str">
        <f t="shared" ca="1" si="47"/>
        <v/>
      </c>
      <c r="CY38" s="197"/>
      <c r="CZ38" s="312" t="str">
        <f t="shared" ca="1" si="646"/>
        <v/>
      </c>
      <c r="DA38" s="252"/>
      <c r="DB38" s="199">
        <f t="shared" ca="1" si="647"/>
        <v>0</v>
      </c>
      <c r="DC38" s="199">
        <f t="shared" ca="1" si="648"/>
        <v>0</v>
      </c>
      <c r="DD38" s="216">
        <f t="shared" ca="1" si="10"/>
        <v>0</v>
      </c>
      <c r="DE38" s="202">
        <f t="shared" ca="1" si="649"/>
        <v>0</v>
      </c>
      <c r="DF38" s="203">
        <f t="shared" ca="1" si="650"/>
        <v>0</v>
      </c>
      <c r="DG38" s="203">
        <f t="shared" ca="1" si="651"/>
        <v>0</v>
      </c>
      <c r="DH38" s="204">
        <f t="shared" ca="1" si="548"/>
        <v>0</v>
      </c>
      <c r="DI38" s="205"/>
      <c r="DJ38" s="206">
        <f t="shared" ca="1" si="652"/>
        <v>0</v>
      </c>
      <c r="DK38" s="206">
        <f t="shared" ca="1" si="653"/>
        <v>0</v>
      </c>
      <c r="DL38" s="207">
        <f t="shared" ca="1" si="11"/>
        <v>0</v>
      </c>
      <c r="DM38" s="313">
        <f t="shared" si="654"/>
        <v>0</v>
      </c>
      <c r="DN38" s="313">
        <f t="shared" ref="DN38" ca="1" si="954">DB38+IF($T38 ="",DJ38,0)</f>
        <v>0</v>
      </c>
      <c r="DO38" s="313">
        <f t="shared" ca="1" si="656"/>
        <v>0</v>
      </c>
      <c r="DP38" s="314">
        <f t="shared" ca="1" si="475"/>
        <v>0</v>
      </c>
      <c r="DQ38" s="315" t="str">
        <f t="shared" ca="1" si="55"/>
        <v/>
      </c>
      <c r="DR38" s="197">
        <v>10000</v>
      </c>
      <c r="DS38" s="312">
        <f t="shared" ref="DS38" ca="1" si="955">IFERROR($X38/DT38-1,"")</f>
        <v>5.4182060099178253E-2</v>
      </c>
      <c r="DT38" s="252">
        <v>0.94899800000000001</v>
      </c>
      <c r="DU38" s="199">
        <f t="shared" ref="DU38" ca="1" si="956">DR38*$X38</f>
        <v>10004.166666700001</v>
      </c>
      <c r="DV38" s="199">
        <f t="shared" ref="DV38" ca="1" si="957">DU38*$Z38</f>
        <v>10004.167967241669</v>
      </c>
      <c r="DW38" s="216">
        <f t="shared" ref="DW38" ca="1" si="958">IFERROR(DV38/DR$4,0)</f>
        <v>1.425582897439222E-2</v>
      </c>
      <c r="DX38" s="202">
        <f t="shared" ref="DX38" ca="1" si="959">DY38/$X38</f>
        <v>-10000</v>
      </c>
      <c r="DY38" s="203">
        <f t="shared" ref="DY38" ca="1" si="960">DZ38/$Z38</f>
        <v>-10004.166666700001</v>
      </c>
      <c r="DZ38" s="203">
        <f t="shared" ref="DZ38" ca="1" si="961">EA38*DR$4</f>
        <v>-10004.167967241669</v>
      </c>
      <c r="EA38" s="204">
        <f t="shared" ca="1" si="560"/>
        <v>-1.425582897439222E-2</v>
      </c>
      <c r="EB38" s="205"/>
      <c r="EC38" s="206">
        <f t="shared" ref="EC38" ca="1" si="962">EB38*$X38</f>
        <v>0</v>
      </c>
      <c r="ED38" s="206">
        <f t="shared" ref="ED38" ca="1" si="963">EC38*$Z38</f>
        <v>0</v>
      </c>
      <c r="EE38" s="207">
        <f t="shared" ref="EE38" ca="1" si="964">IFERROR(ED38/DR$4,0)</f>
        <v>0</v>
      </c>
      <c r="EF38" s="313">
        <f t="shared" ref="EF38" si="965">DR38+EB38</f>
        <v>10000</v>
      </c>
      <c r="EG38" s="313">
        <f t="shared" ref="EG38" ca="1" si="966">DU38+IF($T38 ="",EC38,0)</f>
        <v>10004.166666700001</v>
      </c>
      <c r="EH38" s="313">
        <f t="shared" ref="EH38" ca="1" si="967">EG38*$Z38</f>
        <v>10004.167967241669</v>
      </c>
      <c r="EI38" s="314">
        <f t="shared" ref="EI38" ca="1" si="968">IFERROR(EH38/DR$4,0)</f>
        <v>1.425582897439222E-2</v>
      </c>
      <c r="EJ38" s="214"/>
      <c r="EK38" s="312" t="str">
        <f t="shared" ca="1" si="658"/>
        <v/>
      </c>
      <c r="EL38" s="252"/>
      <c r="EM38" s="199">
        <f t="shared" ca="1" si="925"/>
        <v>0</v>
      </c>
      <c r="EN38" s="199">
        <f t="shared" ca="1" si="926"/>
        <v>0</v>
      </c>
      <c r="EO38" s="216">
        <f t="shared" ca="1" si="927"/>
        <v>0</v>
      </c>
      <c r="EP38" s="202">
        <f t="shared" ca="1" si="928"/>
        <v>0</v>
      </c>
      <c r="EQ38" s="203">
        <f t="shared" ca="1" si="929"/>
        <v>0</v>
      </c>
      <c r="ER38" s="203">
        <f t="shared" ca="1" si="930"/>
        <v>0</v>
      </c>
      <c r="ES38" s="204">
        <f t="shared" ca="1" si="571"/>
        <v>0</v>
      </c>
      <c r="ET38" s="205"/>
      <c r="EU38" s="206">
        <f t="shared" ca="1" si="931"/>
        <v>0</v>
      </c>
      <c r="EV38" s="206">
        <f t="shared" ca="1" si="932"/>
        <v>0</v>
      </c>
      <c r="EW38" s="207">
        <f t="shared" ca="1" si="933"/>
        <v>0</v>
      </c>
      <c r="EX38" s="313">
        <f t="shared" si="934"/>
        <v>0</v>
      </c>
      <c r="EY38" s="313">
        <f t="shared" ref="EY38" ca="1" si="969">EM38+IF($T38 ="",EU38,0)</f>
        <v>0</v>
      </c>
      <c r="EZ38" s="313">
        <f t="shared" ca="1" si="935"/>
        <v>0</v>
      </c>
      <c r="FA38" s="314">
        <f t="shared" ca="1" si="936"/>
        <v>0</v>
      </c>
      <c r="FB38" s="211" t="str">
        <f t="shared" ca="1" si="66"/>
        <v/>
      </c>
      <c r="FC38" s="214"/>
      <c r="FD38" s="312" t="str">
        <f t="shared" ca="1" si="672"/>
        <v/>
      </c>
      <c r="FE38" s="252"/>
      <c r="FF38" s="199">
        <f t="shared" ca="1" si="937"/>
        <v>0</v>
      </c>
      <c r="FG38" s="199">
        <f t="shared" ca="1" si="938"/>
        <v>0</v>
      </c>
      <c r="FH38" s="216">
        <f t="shared" ca="1" si="939"/>
        <v>0</v>
      </c>
      <c r="FI38" s="202">
        <f t="shared" ca="1" si="940"/>
        <v>0</v>
      </c>
      <c r="FJ38" s="203">
        <f t="shared" ca="1" si="941"/>
        <v>0</v>
      </c>
      <c r="FK38" s="203">
        <f t="shared" ca="1" si="942"/>
        <v>0</v>
      </c>
      <c r="FL38" s="204">
        <f t="shared" ca="1" si="582"/>
        <v>0</v>
      </c>
      <c r="FM38" s="205"/>
      <c r="FN38" s="206">
        <f t="shared" ca="1" si="943"/>
        <v>0</v>
      </c>
      <c r="FO38" s="206">
        <f t="shared" ca="1" si="944"/>
        <v>0</v>
      </c>
      <c r="FP38" s="207">
        <f t="shared" ca="1" si="945"/>
        <v>0</v>
      </c>
      <c r="FQ38" s="313">
        <f t="shared" si="946"/>
        <v>0</v>
      </c>
      <c r="FR38" s="313">
        <f t="shared" ref="FR38" ca="1" si="970">FF38+IF($T38 ="",FN38,0)</f>
        <v>0</v>
      </c>
      <c r="FS38" s="313">
        <f t="shared" ca="1" si="947"/>
        <v>0</v>
      </c>
      <c r="FT38" s="314">
        <f t="shared" ca="1" si="948"/>
        <v>0</v>
      </c>
      <c r="FU38" s="315" t="str">
        <f t="shared" ca="1" si="71"/>
        <v/>
      </c>
    </row>
    <row r="39" spans="1:177" outlineLevel="2" x14ac:dyDescent="0.2">
      <c r="A39" s="298"/>
      <c r="B39" s="298"/>
      <c r="C39" s="299" t="str">
        <f t="shared" ca="1" si="487"/>
        <v>CH0419040990:CHF</v>
      </c>
      <c r="D39" s="300" t="str">
        <f t="shared" ca="1" si="488"/>
        <v>CH0419040990</v>
      </c>
      <c r="E39" s="301" t="str">
        <f t="shared" ca="1" si="488"/>
        <v>41904099</v>
      </c>
      <c r="F39" s="299" t="s">
        <v>733</v>
      </c>
      <c r="G39" s="316">
        <f t="shared" ca="1" si="488"/>
        <v>46479</v>
      </c>
      <c r="H39" s="1708" t="str">
        <f t="shared" ca="1" si="489"/>
        <v></v>
      </c>
      <c r="I39" s="1680" t="str">
        <f t="shared" ca="1" si="490"/>
        <v/>
      </c>
      <c r="J39" s="1708" t="str">
        <f t="shared" ca="1" si="491"/>
        <v/>
      </c>
      <c r="K39" s="1709" t="str">
        <f t="shared" ca="1" si="491"/>
        <v/>
      </c>
      <c r="L39" s="1710" t="str">
        <f t="shared" ca="1" si="492"/>
        <v/>
      </c>
      <c r="M39" s="298" t="str">
        <f t="shared" ca="1" si="493"/>
        <v>Pct</v>
      </c>
      <c r="N39" s="305"/>
      <c r="O39" s="305"/>
      <c r="P39" s="306">
        <f t="shared" ca="1" si="1"/>
        <v>0</v>
      </c>
      <c r="Q39" s="307">
        <f t="array" aca="1" ref="Q39" ca="1">SUM(IF($AA$15:$FT$15="I_pos",AA39:FT39))</f>
        <v>100000</v>
      </c>
      <c r="R39" s="307">
        <f t="array" aca="1" ref="R39" ca="1">SUM(IF($AA$15:$FT$15="P_Pos",AA39:FT39))</f>
        <v>-100000</v>
      </c>
      <c r="S39" s="304"/>
      <c r="T39" s="307"/>
      <c r="U39" s="308">
        <f t="shared" ca="1" si="494"/>
        <v>-3.9588281868580005E-4</v>
      </c>
      <c r="V39" s="307">
        <f t="array" aca="1" ref="V39" ca="1">SUM(IF($AA$15:$FT$15="O_Pos",AA39:FT39))</f>
        <v>0</v>
      </c>
      <c r="W39" s="299" t="str">
        <f t="shared" ca="1" si="588"/>
        <v>CHF</v>
      </c>
      <c r="X39" s="309">
        <f t="shared" ca="1" si="496"/>
        <v>1.0214930555599999</v>
      </c>
      <c r="Y39" s="310">
        <f t="shared" ca="1" si="496"/>
        <v>3.9981506899999996E-3</v>
      </c>
      <c r="Z39" s="311">
        <f t="shared" ca="1" si="589"/>
        <v>1.0000001300000001</v>
      </c>
      <c r="AA39" s="214"/>
      <c r="AB39" s="312" t="str">
        <f t="shared" ref="AB39" ca="1" si="971">IFERROR($X39/AC39-1,"")</f>
        <v/>
      </c>
      <c r="AC39" s="252"/>
      <c r="AD39" s="199">
        <f t="shared" ref="AD39" ca="1" si="972">AA39*$X39</f>
        <v>0</v>
      </c>
      <c r="AE39" s="199">
        <f t="shared" ref="AE39" ca="1" si="973">AD39*$Z39</f>
        <v>0</v>
      </c>
      <c r="AF39" s="216">
        <f t="shared" ref="AF39" ca="1" si="974">IFERROR(AE39/AA$4,0)</f>
        <v>0</v>
      </c>
      <c r="AG39" s="202">
        <f t="shared" ref="AG39" ca="1" si="975">AH39/$X39</f>
        <v>0</v>
      </c>
      <c r="AH39" s="203">
        <f t="shared" ref="AH39" ca="1" si="976">AI39/$Z39</f>
        <v>0</v>
      </c>
      <c r="AI39" s="203">
        <f t="shared" ref="AI39" ca="1" si="977">AJ39*AA$4</f>
        <v>0</v>
      </c>
      <c r="AJ39" s="204">
        <f t="shared" ca="1" si="504"/>
        <v>0</v>
      </c>
      <c r="AK39" s="205"/>
      <c r="AL39" s="206">
        <f t="shared" ref="AL39" ca="1" si="978">AK39*$X39</f>
        <v>0</v>
      </c>
      <c r="AM39" s="206">
        <f t="shared" ref="AM39" ca="1" si="979">AL39*$Z39</f>
        <v>0</v>
      </c>
      <c r="AN39" s="207">
        <f t="shared" ref="AN39" ca="1" si="980">IFERROR(AM39/AA$4,0)</f>
        <v>0</v>
      </c>
      <c r="AO39" s="313">
        <f t="shared" ref="AO39" si="981">AA39+AK39</f>
        <v>0</v>
      </c>
      <c r="AP39" s="313">
        <f t="shared" ca="1" si="601"/>
        <v>0</v>
      </c>
      <c r="AQ39" s="313">
        <f t="shared" ref="AQ39" ca="1" si="982">AP39*$Z39</f>
        <v>0</v>
      </c>
      <c r="AR39" s="314">
        <f t="shared" ref="AR39" ca="1" si="983">IFERROR(AQ39/AA$4,0)</f>
        <v>0</v>
      </c>
      <c r="AS39" s="315" t="str">
        <f t="shared" ref="AS39" ca="1" si="984">IF(SUM(AF39,AN39,AR39)&lt;&gt;0,"V","")</f>
        <v/>
      </c>
      <c r="AT39" s="214"/>
      <c r="AU39" s="312" t="str">
        <f t="shared" ref="AU39" ca="1" si="985">IFERROR($X39/AV39-1,"")</f>
        <v/>
      </c>
      <c r="AV39" s="252"/>
      <c r="AW39" s="199">
        <f t="shared" ref="AW39" ca="1" si="986">AT39*$X39</f>
        <v>0</v>
      </c>
      <c r="AX39" s="199">
        <f t="shared" ref="AX39" ca="1" si="987">AW39*$Z39</f>
        <v>0</v>
      </c>
      <c r="AY39" s="216">
        <f t="shared" ref="AY39" ca="1" si="988">IFERROR(AX39/AT$4,0)</f>
        <v>0</v>
      </c>
      <c r="AZ39" s="202">
        <f t="shared" ref="AZ39" ca="1" si="989">BA39/$X39</f>
        <v>0</v>
      </c>
      <c r="BA39" s="203">
        <f t="shared" ref="BA39" ca="1" si="990">BB39/$Z39</f>
        <v>0</v>
      </c>
      <c r="BB39" s="203">
        <f t="shared" ref="BB39" ca="1" si="991">BC39*AT$4</f>
        <v>0</v>
      </c>
      <c r="BC39" s="204">
        <f t="shared" ca="1" si="515"/>
        <v>0</v>
      </c>
      <c r="BD39" s="205"/>
      <c r="BE39" s="206">
        <f t="shared" ref="BE39" ca="1" si="992">BD39*$X39</f>
        <v>0</v>
      </c>
      <c r="BF39" s="206">
        <f t="shared" ref="BF39" ca="1" si="993">BE39*$Z39</f>
        <v>0</v>
      </c>
      <c r="BG39" s="207">
        <f t="shared" ref="BG39" ca="1" si="994">IFERROR(BF39/AT$4,0)</f>
        <v>0</v>
      </c>
      <c r="BH39" s="313">
        <f t="shared" ref="BH39" si="995">AT39+BD39</f>
        <v>0</v>
      </c>
      <c r="BI39" s="313">
        <f t="shared" ca="1" si="615"/>
        <v>0</v>
      </c>
      <c r="BJ39" s="313">
        <f t="shared" ref="BJ39" ca="1" si="996">BI39*$Z39</f>
        <v>0</v>
      </c>
      <c r="BK39" s="314">
        <f t="shared" ref="BK39" ca="1" si="997">IFERROR(BJ39/AT$4,0)</f>
        <v>0</v>
      </c>
      <c r="BL39" s="211" t="str">
        <f t="shared" ref="BL39" ca="1" si="998">IF(SUM(AY39,BG39,BK39)&lt;&gt;0,"V","")</f>
        <v/>
      </c>
      <c r="BM39" s="214"/>
      <c r="BN39" s="312" t="str">
        <f t="shared" ref="BN39" ca="1" si="999">IFERROR($X39/BO39-1,"")</f>
        <v/>
      </c>
      <c r="BO39" s="252"/>
      <c r="BP39" s="199">
        <f t="shared" ref="BP39" ca="1" si="1000">BM39*$X39</f>
        <v>0</v>
      </c>
      <c r="BQ39" s="199">
        <f t="shared" ref="BQ39" ca="1" si="1001">BP39*$Z39</f>
        <v>0</v>
      </c>
      <c r="BR39" s="216">
        <f t="shared" ref="BR39" ca="1" si="1002">IFERROR(BQ39/BM$4,0)</f>
        <v>0</v>
      </c>
      <c r="BS39" s="202">
        <f t="shared" ref="BS39" ca="1" si="1003">BT39/$X39</f>
        <v>0</v>
      </c>
      <c r="BT39" s="203">
        <f t="shared" ref="BT39" ca="1" si="1004">BU39/$Z39</f>
        <v>0</v>
      </c>
      <c r="BU39" s="203">
        <f t="shared" ref="BU39" ca="1" si="1005">BV39*BM$4</f>
        <v>0</v>
      </c>
      <c r="BV39" s="204">
        <f t="shared" ca="1" si="526"/>
        <v>0</v>
      </c>
      <c r="BW39" s="205"/>
      <c r="BX39" s="206">
        <f t="shared" ref="BX39" ca="1" si="1006">BW39*$X39</f>
        <v>0</v>
      </c>
      <c r="BY39" s="206">
        <f t="shared" ref="BY39" ca="1" si="1007">BX39*$Z39</f>
        <v>0</v>
      </c>
      <c r="BZ39" s="207">
        <f t="shared" ref="BZ39" ca="1" si="1008">IFERROR(BY39/BM$4,0)</f>
        <v>0</v>
      </c>
      <c r="CA39" s="313">
        <f t="shared" ref="CA39" si="1009">BM39+BW39</f>
        <v>0</v>
      </c>
      <c r="CB39" s="313">
        <f t="shared" ca="1" si="629"/>
        <v>0</v>
      </c>
      <c r="CC39" s="313">
        <f t="shared" ref="CC39" ca="1" si="1010">CB39*$Z39</f>
        <v>0</v>
      </c>
      <c r="CD39" s="314">
        <f t="shared" ref="CD39" ca="1" si="1011">IFERROR(CC39/BM$4,0)</f>
        <v>0</v>
      </c>
      <c r="CE39" s="211" t="str">
        <f t="shared" ref="CE39" ca="1" si="1012">IF(SUM(BR39,BZ39,CD39)&lt;&gt;0,"V","")</f>
        <v/>
      </c>
      <c r="CF39" s="214"/>
      <c r="CG39" s="312" t="str">
        <f t="shared" ref="CG39" ca="1" si="1013">IFERROR($X39/CH39-1,"")</f>
        <v/>
      </c>
      <c r="CH39" s="215"/>
      <c r="CI39" s="199">
        <f t="shared" ref="CI39" ca="1" si="1014">CF39*$X39</f>
        <v>0</v>
      </c>
      <c r="CJ39" s="199">
        <f t="shared" ref="CJ39" ca="1" si="1015">CI39*$Z39</f>
        <v>0</v>
      </c>
      <c r="CK39" s="216">
        <f t="shared" ref="CK39" ca="1" si="1016">IFERROR(CJ39/CF$4,0)</f>
        <v>0</v>
      </c>
      <c r="CL39" s="202">
        <f t="shared" ref="CL39" ca="1" si="1017">CM39/$X39</f>
        <v>0</v>
      </c>
      <c r="CM39" s="203">
        <f t="shared" ref="CM39" ca="1" si="1018">CN39/$Z39</f>
        <v>0</v>
      </c>
      <c r="CN39" s="203">
        <f t="shared" ref="CN39" ca="1" si="1019">CO39*CF$4</f>
        <v>0</v>
      </c>
      <c r="CO39" s="204">
        <f t="shared" ca="1" si="537"/>
        <v>0</v>
      </c>
      <c r="CP39" s="205"/>
      <c r="CQ39" s="206">
        <f t="shared" ref="CQ39" ca="1" si="1020">CP39*$X39</f>
        <v>0</v>
      </c>
      <c r="CR39" s="206">
        <f t="shared" ref="CR39" ca="1" si="1021">CQ39*$Z39</f>
        <v>0</v>
      </c>
      <c r="CS39" s="207">
        <f t="shared" ref="CS39" ca="1" si="1022">IFERROR(CR39/CF$4,0)</f>
        <v>0</v>
      </c>
      <c r="CT39" s="313">
        <f t="shared" ref="CT39" si="1023">CF39+CP39</f>
        <v>0</v>
      </c>
      <c r="CU39" s="313">
        <f t="shared" ca="1" si="643"/>
        <v>0</v>
      </c>
      <c r="CV39" s="313">
        <f t="shared" ref="CV39" ca="1" si="1024">CU39*$Z39</f>
        <v>0</v>
      </c>
      <c r="CW39" s="314">
        <f t="shared" ref="CW39" ca="1" si="1025">IFERROR(CV39/CF$4,0)</f>
        <v>0</v>
      </c>
      <c r="CX39" s="211" t="str">
        <f t="shared" ref="CX39" ca="1" si="1026">IF(SUM(CK39,CS39,CW39)&lt;&gt;0,"V","")</f>
        <v/>
      </c>
      <c r="CY39" s="197">
        <v>100000</v>
      </c>
      <c r="CZ39" s="312">
        <f t="shared" ref="CZ39" ca="1" si="1027">IFERROR($X39/DA39-1,"")</f>
        <v>1.8031747618098226E-2</v>
      </c>
      <c r="DA39" s="252">
        <v>1.0034000000000001</v>
      </c>
      <c r="DB39" s="199">
        <f t="shared" ref="DB39" ca="1" si="1028">CY39*$X39</f>
        <v>102149.30555599999</v>
      </c>
      <c r="DC39" s="199">
        <f t="shared" ref="DC39" ca="1" si="1029">DB39*$Z39</f>
        <v>102149.31883540972</v>
      </c>
      <c r="DD39" s="216">
        <f t="shared" ref="DD39" ca="1" si="1030">IFERROR(DC39/CY$4,0)</f>
        <v>2.8490203166544152E-2</v>
      </c>
      <c r="DE39" s="202">
        <f t="shared" ref="DE39" ca="1" si="1031">DF39/$X39</f>
        <v>-100000</v>
      </c>
      <c r="DF39" s="203">
        <f t="shared" ref="DF39" ca="1" si="1032">DG39/$Z39</f>
        <v>-102149.30555599999</v>
      </c>
      <c r="DG39" s="203">
        <f t="shared" ref="DG39" ca="1" si="1033">DH39*CY$4</f>
        <v>-102149.31883540972</v>
      </c>
      <c r="DH39" s="204">
        <f t="shared" ca="1" si="548"/>
        <v>-2.8490203166544152E-2</v>
      </c>
      <c r="DI39" s="205"/>
      <c r="DJ39" s="206">
        <f t="shared" ref="DJ39" ca="1" si="1034">DI39*$X39</f>
        <v>0</v>
      </c>
      <c r="DK39" s="206">
        <f t="shared" ref="DK39" ca="1" si="1035">DJ39*$Z39</f>
        <v>0</v>
      </c>
      <c r="DL39" s="207">
        <f t="shared" ref="DL39" ca="1" si="1036">IFERROR(DK39/CY$4,0)</f>
        <v>0</v>
      </c>
      <c r="DM39" s="313">
        <f t="shared" ref="DM39" si="1037">CY39+DI39</f>
        <v>100000</v>
      </c>
      <c r="DN39" s="313">
        <f t="shared" ca="1" si="655"/>
        <v>102149.30555599999</v>
      </c>
      <c r="DO39" s="313">
        <f t="shared" ref="DO39" ca="1" si="1038">DN39*$Z39</f>
        <v>102149.31883540972</v>
      </c>
      <c r="DP39" s="314">
        <f t="shared" ref="DP39" ca="1" si="1039">IFERROR(DO39/CY$4,0)</f>
        <v>2.8490203166544152E-2</v>
      </c>
      <c r="DQ39" s="315" t="str">
        <f t="shared" ref="DQ39" ca="1" si="1040">IF(SUM(DD39,DL39,DP39)&lt;&gt;0,"V","")</f>
        <v>V</v>
      </c>
      <c r="DR39" s="197"/>
      <c r="DS39" s="312" t="str">
        <f t="shared" ca="1" si="554"/>
        <v/>
      </c>
      <c r="DT39" s="252"/>
      <c r="DU39" s="199">
        <f t="shared" ca="1" si="555"/>
        <v>0</v>
      </c>
      <c r="DV39" s="199">
        <f t="shared" ca="1" si="556"/>
        <v>0</v>
      </c>
      <c r="DW39" s="216">
        <f t="shared" ca="1" si="477"/>
        <v>0</v>
      </c>
      <c r="DX39" s="202">
        <f t="shared" ca="1" si="557"/>
        <v>0</v>
      </c>
      <c r="DY39" s="203">
        <f t="shared" ca="1" si="558"/>
        <v>0</v>
      </c>
      <c r="DZ39" s="203">
        <f t="shared" ca="1" si="559"/>
        <v>0</v>
      </c>
      <c r="EA39" s="204">
        <f t="shared" ca="1" si="560"/>
        <v>0</v>
      </c>
      <c r="EB39" s="205"/>
      <c r="EC39" s="206">
        <f t="shared" ca="1" si="561"/>
        <v>0</v>
      </c>
      <c r="ED39" s="206">
        <f t="shared" ca="1" si="562"/>
        <v>0</v>
      </c>
      <c r="EE39" s="207">
        <f t="shared" ca="1" si="478"/>
        <v>0</v>
      </c>
      <c r="EF39" s="313">
        <f t="shared" si="657"/>
        <v>0</v>
      </c>
      <c r="EG39" s="313">
        <f t="shared" ca="1" si="563"/>
        <v>0</v>
      </c>
      <c r="EH39" s="313">
        <f t="shared" ca="1" si="564"/>
        <v>0</v>
      </c>
      <c r="EI39" s="314">
        <f t="shared" ca="1" si="479"/>
        <v>0</v>
      </c>
      <c r="EJ39" s="214"/>
      <c r="EK39" s="312" t="str">
        <f t="shared" ref="EK39" ca="1" si="1041">IFERROR($X39/EL39-1,"")</f>
        <v/>
      </c>
      <c r="EL39" s="252"/>
      <c r="EM39" s="199">
        <f t="shared" ref="EM39" ca="1" si="1042">EJ39*$X39</f>
        <v>0</v>
      </c>
      <c r="EN39" s="199">
        <f t="shared" ref="EN39" ca="1" si="1043">EM39*$Z39</f>
        <v>0</v>
      </c>
      <c r="EO39" s="216">
        <f t="shared" ref="EO39" ca="1" si="1044">IFERROR(EN39/EJ$4,0)</f>
        <v>0</v>
      </c>
      <c r="EP39" s="202">
        <f t="shared" ref="EP39" ca="1" si="1045">EQ39/$X39</f>
        <v>0</v>
      </c>
      <c r="EQ39" s="203">
        <f t="shared" ref="EQ39" ca="1" si="1046">ER39/$Z39</f>
        <v>0</v>
      </c>
      <c r="ER39" s="203">
        <f t="shared" ref="ER39" ca="1" si="1047">ES39*EJ$4</f>
        <v>0</v>
      </c>
      <c r="ES39" s="204">
        <f t="shared" ca="1" si="571"/>
        <v>0</v>
      </c>
      <c r="ET39" s="205"/>
      <c r="EU39" s="206">
        <f t="shared" ref="EU39" ca="1" si="1048">ET39*$X39</f>
        <v>0</v>
      </c>
      <c r="EV39" s="206">
        <f t="shared" ref="EV39" ca="1" si="1049">EU39*$Z39</f>
        <v>0</v>
      </c>
      <c r="EW39" s="207">
        <f t="shared" ref="EW39" ca="1" si="1050">IFERROR(EV39/EJ$4,0)</f>
        <v>0</v>
      </c>
      <c r="EX39" s="313">
        <f t="shared" ref="EX39" si="1051">EJ39+ET39</f>
        <v>0</v>
      </c>
      <c r="EY39" s="313">
        <f t="shared" ca="1" si="669"/>
        <v>0</v>
      </c>
      <c r="EZ39" s="313">
        <f t="shared" ref="EZ39" ca="1" si="1052">EY39*$Z39</f>
        <v>0</v>
      </c>
      <c r="FA39" s="314">
        <f t="shared" ref="FA39" ca="1" si="1053">IFERROR(EZ39/EJ$4,0)</f>
        <v>0</v>
      </c>
      <c r="FB39" s="211" t="str">
        <f t="shared" ref="FB39" ca="1" si="1054">IF(SUM(EO39,EW39,FA39)&lt;&gt;0,"V","")</f>
        <v/>
      </c>
      <c r="FC39" s="214"/>
      <c r="FD39" s="312" t="str">
        <f t="shared" ref="FD39" ca="1" si="1055">IFERROR($X39/FE39-1,"")</f>
        <v/>
      </c>
      <c r="FE39" s="252"/>
      <c r="FF39" s="199">
        <f t="shared" ref="FF39" ca="1" si="1056">FC39*$X39</f>
        <v>0</v>
      </c>
      <c r="FG39" s="199">
        <f t="shared" ref="FG39" ca="1" si="1057">FF39*$Z39</f>
        <v>0</v>
      </c>
      <c r="FH39" s="216">
        <f t="shared" ref="FH39" ca="1" si="1058">IFERROR(FG39/FC$4,0)</f>
        <v>0</v>
      </c>
      <c r="FI39" s="202">
        <f t="shared" ref="FI39" ca="1" si="1059">FJ39/$X39</f>
        <v>0</v>
      </c>
      <c r="FJ39" s="203">
        <f t="shared" ref="FJ39" ca="1" si="1060">FK39/$Z39</f>
        <v>0</v>
      </c>
      <c r="FK39" s="203">
        <f t="shared" ref="FK39" ca="1" si="1061">FL39*FC$4</f>
        <v>0</v>
      </c>
      <c r="FL39" s="204">
        <f t="shared" ca="1" si="582"/>
        <v>0</v>
      </c>
      <c r="FM39" s="205"/>
      <c r="FN39" s="206">
        <f t="shared" ref="FN39" ca="1" si="1062">FM39*$X39</f>
        <v>0</v>
      </c>
      <c r="FO39" s="206">
        <f t="shared" ref="FO39" ca="1" si="1063">FN39*$Z39</f>
        <v>0</v>
      </c>
      <c r="FP39" s="207">
        <f t="shared" ref="FP39" ca="1" si="1064">IFERROR(FO39/FC$4,0)</f>
        <v>0</v>
      </c>
      <c r="FQ39" s="313">
        <f t="shared" ref="FQ39" si="1065">FC39+FM39</f>
        <v>0</v>
      </c>
      <c r="FR39" s="313">
        <f t="shared" ca="1" si="683"/>
        <v>0</v>
      </c>
      <c r="FS39" s="313">
        <f t="shared" ref="FS39" ca="1" si="1066">FR39*$Z39</f>
        <v>0</v>
      </c>
      <c r="FT39" s="314">
        <f t="shared" ref="FT39" ca="1" si="1067">IFERROR(FS39/FC$4,0)</f>
        <v>0</v>
      </c>
      <c r="FU39" s="315" t="str">
        <f t="shared" ref="FU39" ca="1" si="1068">IF(SUM(FH39,FP39,FT39)&lt;&gt;0,"V","")</f>
        <v/>
      </c>
    </row>
    <row r="40" spans="1:177" outlineLevel="2" x14ac:dyDescent="0.2">
      <c r="A40" s="298"/>
      <c r="B40" s="298"/>
      <c r="C40" s="299" t="str">
        <f t="shared" ca="1" si="487"/>
        <v>CH1179184424:CHF</v>
      </c>
      <c r="D40" s="300" t="str">
        <f t="shared" ca="1" si="488"/>
        <v>CH1179184424</v>
      </c>
      <c r="E40" s="301" t="str">
        <f t="shared" ca="1" si="488"/>
        <v>117918442</v>
      </c>
      <c r="F40" s="299" t="s">
        <v>446</v>
      </c>
      <c r="G40" s="316">
        <f t="shared" ca="1" si="488"/>
        <v>46505</v>
      </c>
      <c r="H40" s="1708" t="str">
        <f t="shared" ca="1" si="489"/>
        <v></v>
      </c>
      <c r="I40" s="1680" t="str">
        <f t="shared" ca="1" si="490"/>
        <v/>
      </c>
      <c r="J40" s="1708" t="str">
        <f t="shared" ref="J40:K65" ca="1" si="1069">IF(OFFSET(Origine,MATCH($F40,Descrizioni,0),MATCH(J$15,Intestazioni,0)-1,1,1)&lt;&gt;"",HYPERLINK(OFFSET(Origine,MATCH($F40,Descrizioni,0),MATCH(J$15,Intestazioni,0)-1,1,1),""),"")</f>
        <v/>
      </c>
      <c r="K40" s="1709" t="str">
        <f t="shared" ca="1" si="1069"/>
        <v/>
      </c>
      <c r="L40" s="1710" t="str">
        <f t="shared" ca="1" si="492"/>
        <v/>
      </c>
      <c r="M40" s="298" t="str">
        <f t="shared" ca="1" si="493"/>
        <v>Pct</v>
      </c>
      <c r="N40" s="305">
        <v>0.04</v>
      </c>
      <c r="O40" s="305">
        <v>0.04</v>
      </c>
      <c r="P40" s="306">
        <f t="shared" ca="1" si="1"/>
        <v>2.9564828503165972E-2</v>
      </c>
      <c r="Q40" s="307">
        <f t="array" aca="1" ref="Q40" ca="1">SUM(IF($AA$15:$FT$15="I_pos",AA40:FT40))</f>
        <v>155000</v>
      </c>
      <c r="R40" s="307">
        <f t="array" aca="1" ref="R40" ca="1">SUM(IF($AA$15:$FT$15="P_Pos",AA40:FT40))</f>
        <v>357329.20761043427</v>
      </c>
      <c r="S40" s="304"/>
      <c r="T40" s="307"/>
      <c r="U40" s="308">
        <f t="shared" ca="1" si="494"/>
        <v>-8.9170712374919995E-4</v>
      </c>
      <c r="V40" s="307">
        <f t="array" aca="1" ref="V40" ca="1">SUM(IF($AA$15:$FT$15="O_Pos",AA40:FT40))</f>
        <v>0</v>
      </c>
      <c r="W40" s="299" t="str">
        <f t="shared" ca="1" si="588"/>
        <v>CHF</v>
      </c>
      <c r="X40" s="309">
        <f t="shared" ca="1" si="496"/>
        <v>1.01636388889</v>
      </c>
      <c r="Y40" s="310">
        <f t="shared" ca="1" si="496"/>
        <v>1.45465918E-3</v>
      </c>
      <c r="Z40" s="311">
        <f t="shared" ca="1" si="589"/>
        <v>1.0000001300000001</v>
      </c>
      <c r="AA40" s="214">
        <f>15000</f>
        <v>15000</v>
      </c>
      <c r="AB40" s="312">
        <f t="shared" ca="1" si="590"/>
        <v>6.9631539560092603E-2</v>
      </c>
      <c r="AC40" s="252">
        <v>0.95020000000000004</v>
      </c>
      <c r="AD40" s="199">
        <f t="shared" ref="AD40" ca="1" si="1070">AA40*$X40</f>
        <v>15245.45833335</v>
      </c>
      <c r="AE40" s="199">
        <f t="shared" ref="AE40" ca="1" si="1071">AD40*$Z40</f>
        <v>15245.460315259585</v>
      </c>
      <c r="AF40" s="216">
        <f t="shared" ref="AF40" ca="1" si="1072">IFERROR(AE40/AA$4,0)</f>
        <v>2.7151502206861487E-2</v>
      </c>
      <c r="AG40" s="202">
        <f t="shared" ref="AG40" ca="1" si="1073">AH40/$X40</f>
        <v>7098.2248211803662</v>
      </c>
      <c r="AH40" s="203">
        <f t="shared" ref="AH40" ca="1" si="1074">AI40/$Z40</f>
        <v>7214.379383470402</v>
      </c>
      <c r="AI40" s="203">
        <f t="shared" ref="AI40" ca="1" si="1075">AJ40*AA$4</f>
        <v>7214.3803213397223</v>
      </c>
      <c r="AJ40" s="204">
        <f t="shared" ca="1" si="504"/>
        <v>1.2848497793138514E-2</v>
      </c>
      <c r="AK40" s="205"/>
      <c r="AL40" s="206">
        <f t="shared" ref="AL40" ca="1" si="1076">AK40*$X40</f>
        <v>0</v>
      </c>
      <c r="AM40" s="206">
        <f t="shared" ref="AM40" ca="1" si="1077">AL40*$Z40</f>
        <v>0</v>
      </c>
      <c r="AN40" s="207">
        <f t="shared" ref="AN40" ca="1" si="1078">IFERROR(AM40/AA$4,0)</f>
        <v>0</v>
      </c>
      <c r="AO40" s="313">
        <f t="shared" ref="AO40" si="1079">AA40+AK40</f>
        <v>15000</v>
      </c>
      <c r="AP40" s="313">
        <f t="shared" ca="1" si="601"/>
        <v>15245.45833335</v>
      </c>
      <c r="AQ40" s="313">
        <f t="shared" ref="AQ40" ca="1" si="1080">AP40*$Z40</f>
        <v>15245.460315259585</v>
      </c>
      <c r="AR40" s="314">
        <f t="shared" ref="AR40" ca="1" si="1081">IFERROR(AQ40/AA$4,0)</f>
        <v>2.7151502206861487E-2</v>
      </c>
      <c r="AS40" s="315" t="str">
        <f t="shared" ca="1" si="29"/>
        <v>V</v>
      </c>
      <c r="AT40" s="214">
        <f>50000</f>
        <v>50000</v>
      </c>
      <c r="AU40" s="312">
        <f t="shared" ca="1" si="604"/>
        <v>6.9444707502162251E-2</v>
      </c>
      <c r="AV40" s="252">
        <v>0.95036600000000004</v>
      </c>
      <c r="AW40" s="199">
        <f t="shared" ref="AW40" ca="1" si="1082">AT40*$X40</f>
        <v>50818.194444499997</v>
      </c>
      <c r="AX40" s="199">
        <f t="shared" ref="AX40" ca="1" si="1083">AW40*$Z40</f>
        <v>50818.201050865282</v>
      </c>
      <c r="AY40" s="216">
        <f t="shared" ref="AY40" ca="1" si="1084">IFERROR(AX40/AT$4,0)</f>
        <v>2.9343439017053569E-2</v>
      </c>
      <c r="AZ40" s="202">
        <f t="shared" ref="AZ40" ca="1" si="1085">BA40/$X40</f>
        <v>18158.336820631594</v>
      </c>
      <c r="BA40" s="203">
        <f t="shared" ref="BA40" ca="1" si="1086">BB40/$Z40</f>
        <v>18455.477826791604</v>
      </c>
      <c r="BB40" s="203">
        <f t="shared" ref="BB40" ca="1" si="1087">BC40*AT$4</f>
        <v>18455.480226003725</v>
      </c>
      <c r="BC40" s="204">
        <f t="shared" ca="1" si="515"/>
        <v>1.0656560982946432E-2</v>
      </c>
      <c r="BD40" s="205"/>
      <c r="BE40" s="206">
        <f t="shared" ref="BE40" ca="1" si="1088">BD40*$X40</f>
        <v>0</v>
      </c>
      <c r="BF40" s="206">
        <f t="shared" ref="BF40" ca="1" si="1089">BE40*$Z40</f>
        <v>0</v>
      </c>
      <c r="BG40" s="207">
        <f t="shared" ref="BG40" ca="1" si="1090">IFERROR(BF40/AT$4,0)</f>
        <v>0</v>
      </c>
      <c r="BH40" s="313">
        <f t="shared" ref="BH40" si="1091">AT40+BD40</f>
        <v>50000</v>
      </c>
      <c r="BI40" s="313">
        <f t="shared" ca="1" si="615"/>
        <v>50818.194444499997</v>
      </c>
      <c r="BJ40" s="313">
        <f t="shared" ref="BJ40" ca="1" si="1092">BI40*$Z40</f>
        <v>50818.201050865282</v>
      </c>
      <c r="BK40" s="314">
        <f t="shared" ref="BK40" ca="1" si="1093">IFERROR(BJ40/AT$4,0)</f>
        <v>2.9343439017053569E-2</v>
      </c>
      <c r="BL40" s="211" t="str">
        <f t="shared" ca="1" si="34"/>
        <v>V</v>
      </c>
      <c r="BM40" s="214">
        <f>10000</f>
        <v>10000</v>
      </c>
      <c r="BN40" s="312">
        <f t="shared" ca="1" si="618"/>
        <v>6.9631539560092603E-2</v>
      </c>
      <c r="BO40" s="252">
        <v>0.95020000000000004</v>
      </c>
      <c r="BP40" s="199">
        <f t="shared" ref="BP40" ca="1" si="1094">BM40*$X40</f>
        <v>10163.638888899999</v>
      </c>
      <c r="BQ40" s="199">
        <f t="shared" ref="BQ40" ca="1" si="1095">BP40*$Z40</f>
        <v>10163.640210173056</v>
      </c>
      <c r="BR40" s="216">
        <f t="shared" ref="BR40" ca="1" si="1096">IFERROR(BQ40/BM$4,0)</f>
        <v>3.5665369031956343E-2</v>
      </c>
      <c r="BS40" s="202">
        <f t="shared" ref="BS40" ca="1" si="1097">BT40/$X40</f>
        <v>1215.3613114614932</v>
      </c>
      <c r="BT40" s="203">
        <f t="shared" ref="BT40" ca="1" si="1098">BU40/$Z40</f>
        <v>1235.2493489234537</v>
      </c>
      <c r="BU40" s="203">
        <f t="shared" ref="BU40" ca="1" si="1099">BV40*BM$4</f>
        <v>1235.2495095058691</v>
      </c>
      <c r="BV40" s="204">
        <f t="shared" ca="1" si="526"/>
        <v>4.3346309680436582E-3</v>
      </c>
      <c r="BW40" s="205"/>
      <c r="BX40" s="206">
        <f t="shared" ref="BX40" ca="1" si="1100">BW40*$X40</f>
        <v>0</v>
      </c>
      <c r="BY40" s="206">
        <f t="shared" ref="BY40" ca="1" si="1101">BX40*$Z40</f>
        <v>0</v>
      </c>
      <c r="BZ40" s="207">
        <f t="shared" ref="BZ40" ca="1" si="1102">IFERROR(BY40/BM$4,0)</f>
        <v>0</v>
      </c>
      <c r="CA40" s="313">
        <f t="shared" ref="CA40" si="1103">BM40+BW40</f>
        <v>10000</v>
      </c>
      <c r="CB40" s="313">
        <f t="shared" ca="1" si="629"/>
        <v>10163.638888899999</v>
      </c>
      <c r="CC40" s="313">
        <f t="shared" ref="CC40" ca="1" si="1104">CB40*$Z40</f>
        <v>10163.640210173056</v>
      </c>
      <c r="CD40" s="314">
        <f t="shared" ref="CD40" ca="1" si="1105">IFERROR(CC40/BM$4,0)</f>
        <v>3.5665369031956343E-2</v>
      </c>
      <c r="CE40" s="211" t="str">
        <f t="shared" ca="1" si="39"/>
        <v>V</v>
      </c>
      <c r="CF40" s="214">
        <f>30000</f>
        <v>30000</v>
      </c>
      <c r="CG40" s="312">
        <f t="shared" ca="1" si="632"/>
        <v>6.9306313792163676E-2</v>
      </c>
      <c r="CH40" s="215">
        <v>0.95048900000000003</v>
      </c>
      <c r="CI40" s="199">
        <f t="shared" ref="CI40" ca="1" si="1106">CF40*$X40</f>
        <v>30490.916666699999</v>
      </c>
      <c r="CJ40" s="199">
        <f t="shared" ref="CJ40" ca="1" si="1107">CI40*$Z40</f>
        <v>30490.920630519169</v>
      </c>
      <c r="CK40" s="216">
        <f t="shared" ref="CK40" ca="1" si="1108">IFERROR(CJ40/CF$4,0)</f>
        <v>3.4454591622257169E-2</v>
      </c>
      <c r="CL40" s="202">
        <f t="shared" ref="CL40" ca="1" si="1109">CM40/$X40</f>
        <v>4828.4493734883608</v>
      </c>
      <c r="CM40" s="203">
        <f t="shared" ref="CM40" ca="1" si="1110">CN40/$Z40</f>
        <v>4907.4615825471146</v>
      </c>
      <c r="CN40" s="203">
        <f t="shared" ref="CN40" ca="1" si="1111">CO40*CF$4</f>
        <v>4907.4622205171208</v>
      </c>
      <c r="CO40" s="204">
        <f t="shared" ca="1" si="537"/>
        <v>5.5454083777428317E-3</v>
      </c>
      <c r="CP40" s="205"/>
      <c r="CQ40" s="206">
        <f t="shared" ref="CQ40" ca="1" si="1112">CP40*$X40</f>
        <v>0</v>
      </c>
      <c r="CR40" s="206">
        <f t="shared" ref="CR40" ca="1" si="1113">CQ40*$Z40</f>
        <v>0</v>
      </c>
      <c r="CS40" s="207">
        <f t="shared" ref="CS40" ca="1" si="1114">IFERROR(CR40/CF$4,0)</f>
        <v>0</v>
      </c>
      <c r="CT40" s="313">
        <f t="shared" ref="CT40" si="1115">CF40+CP40</f>
        <v>30000</v>
      </c>
      <c r="CU40" s="313">
        <f t="shared" ca="1" si="643"/>
        <v>30490.916666699999</v>
      </c>
      <c r="CV40" s="313">
        <f t="shared" ref="CV40" ca="1" si="1116">CU40*$Z40</f>
        <v>30490.920630519169</v>
      </c>
      <c r="CW40" s="314">
        <f t="shared" ref="CW40" ca="1" si="1117">IFERROR(CV40/CF$4,0)</f>
        <v>3.4454591622257169E-2</v>
      </c>
      <c r="CX40" s="211" t="str">
        <f t="shared" ca="1" si="47"/>
        <v>V</v>
      </c>
      <c r="CY40" s="197">
        <f>50000</f>
        <v>50000</v>
      </c>
      <c r="CZ40" s="312">
        <f t="shared" ca="1" si="646"/>
        <v>7.0984076807165453E-2</v>
      </c>
      <c r="DA40" s="252">
        <v>0.94899999999999995</v>
      </c>
      <c r="DB40" s="199">
        <f t="shared" ca="1" si="647"/>
        <v>50818.194444499997</v>
      </c>
      <c r="DC40" s="199">
        <f t="shared" ca="1" si="648"/>
        <v>50818.201050865282</v>
      </c>
      <c r="DD40" s="216">
        <f t="shared" ca="1" si="10"/>
        <v>1.4173573441348853E-2</v>
      </c>
      <c r="DE40" s="202">
        <f t="shared" ca="1" si="649"/>
        <v>91107.675370373399</v>
      </c>
      <c r="DF40" s="203">
        <f t="shared" ca="1" si="650"/>
        <v>92598.551247160372</v>
      </c>
      <c r="DG40" s="203">
        <f t="shared" ca="1" si="651"/>
        <v>92598.563284972042</v>
      </c>
      <c r="DH40" s="204">
        <f t="shared" ca="1" si="548"/>
        <v>2.5826426558651146E-2</v>
      </c>
      <c r="DI40" s="205"/>
      <c r="DJ40" s="206">
        <f t="shared" ca="1" si="652"/>
        <v>0</v>
      </c>
      <c r="DK40" s="206">
        <f t="shared" ca="1" si="653"/>
        <v>0</v>
      </c>
      <c r="DL40" s="207">
        <f t="shared" ca="1" si="11"/>
        <v>0</v>
      </c>
      <c r="DM40" s="313">
        <f t="shared" si="654"/>
        <v>50000</v>
      </c>
      <c r="DN40" s="313">
        <f t="shared" ca="1" si="655"/>
        <v>50818.194444499997</v>
      </c>
      <c r="DO40" s="313">
        <f t="shared" ca="1" si="656"/>
        <v>50818.201050865282</v>
      </c>
      <c r="DP40" s="314">
        <f t="shared" ca="1" si="475"/>
        <v>1.4173573441348853E-2</v>
      </c>
      <c r="DQ40" s="315" t="str">
        <f t="shared" ca="1" si="55"/>
        <v>V</v>
      </c>
      <c r="DR40" s="197"/>
      <c r="DS40" s="312" t="str">
        <f t="shared" ca="1" si="554"/>
        <v/>
      </c>
      <c r="DT40" s="252"/>
      <c r="DU40" s="199">
        <f t="shared" ca="1" si="555"/>
        <v>0</v>
      </c>
      <c r="DV40" s="199">
        <f t="shared" ca="1" si="556"/>
        <v>0</v>
      </c>
      <c r="DW40" s="216">
        <f t="shared" ca="1" si="477"/>
        <v>0</v>
      </c>
      <c r="DX40" s="202">
        <f t="shared" ca="1" si="557"/>
        <v>27618.4439804135</v>
      </c>
      <c r="DY40" s="203">
        <f t="shared" ca="1" si="558"/>
        <v>28070.389129023675</v>
      </c>
      <c r="DZ40" s="203">
        <f t="shared" ca="1" si="559"/>
        <v>28070.392778174264</v>
      </c>
      <c r="EA40" s="204">
        <f t="shared" ca="1" si="560"/>
        <v>0.04</v>
      </c>
      <c r="EB40" s="205"/>
      <c r="EC40" s="206">
        <f t="shared" ca="1" si="561"/>
        <v>0</v>
      </c>
      <c r="ED40" s="206">
        <f t="shared" ca="1" si="562"/>
        <v>0</v>
      </c>
      <c r="EE40" s="207">
        <f t="shared" ca="1" si="478"/>
        <v>0</v>
      </c>
      <c r="EF40" s="313">
        <f t="shared" si="657"/>
        <v>0</v>
      </c>
      <c r="EG40" s="313">
        <f t="shared" ca="1" si="563"/>
        <v>0</v>
      </c>
      <c r="EH40" s="313">
        <f t="shared" ca="1" si="564"/>
        <v>0</v>
      </c>
      <c r="EI40" s="314">
        <f t="shared" ca="1" si="479"/>
        <v>0</v>
      </c>
      <c r="EJ40" s="214"/>
      <c r="EK40" s="312" t="str">
        <f t="shared" ca="1" si="658"/>
        <v/>
      </c>
      <c r="EL40" s="252"/>
      <c r="EM40" s="199">
        <f t="shared" ref="EM40" ca="1" si="1118">EJ40*$X40</f>
        <v>0</v>
      </c>
      <c r="EN40" s="199">
        <f t="shared" ref="EN40" ca="1" si="1119">EM40*$Z40</f>
        <v>0</v>
      </c>
      <c r="EO40" s="216">
        <f t="shared" ref="EO40" ca="1" si="1120">IFERROR(EN40/EJ$4,0)</f>
        <v>0</v>
      </c>
      <c r="EP40" s="202">
        <f t="shared" ref="EP40" ca="1" si="1121">EQ40/$X40</f>
        <v>27932.834851924788</v>
      </c>
      <c r="EQ40" s="203">
        <f t="shared" ref="EQ40" ca="1" si="1122">ER40/$Z40</f>
        <v>28389.924657824406</v>
      </c>
      <c r="ER40" s="203">
        <f t="shared" ref="ER40" ca="1" si="1123">ES40*EJ$4</f>
        <v>28389.928348514615</v>
      </c>
      <c r="ES40" s="204">
        <f t="shared" ca="1" si="571"/>
        <v>0.04</v>
      </c>
      <c r="ET40" s="205"/>
      <c r="EU40" s="206">
        <f t="shared" ref="EU40" ca="1" si="1124">ET40*$X40</f>
        <v>0</v>
      </c>
      <c r="EV40" s="206">
        <f t="shared" ref="EV40" ca="1" si="1125">EU40*$Z40</f>
        <v>0</v>
      </c>
      <c r="EW40" s="207">
        <f t="shared" ref="EW40" ca="1" si="1126">IFERROR(EV40/EJ$4,0)</f>
        <v>0</v>
      </c>
      <c r="EX40" s="313">
        <f t="shared" ref="EX40" si="1127">EJ40+ET40</f>
        <v>0</v>
      </c>
      <c r="EY40" s="313">
        <f t="shared" ca="1" si="669"/>
        <v>0</v>
      </c>
      <c r="EZ40" s="313">
        <f t="shared" ref="EZ40" ca="1" si="1128">EY40*$Z40</f>
        <v>0</v>
      </c>
      <c r="FA40" s="314">
        <f t="shared" ref="FA40" ca="1" si="1129">IFERROR(EZ40/EJ$4,0)</f>
        <v>0</v>
      </c>
      <c r="FB40" s="211" t="str">
        <f t="shared" ca="1" si="66"/>
        <v/>
      </c>
      <c r="FC40" s="214"/>
      <c r="FD40" s="312" t="str">
        <f t="shared" ca="1" si="672"/>
        <v/>
      </c>
      <c r="FE40" s="252"/>
      <c r="FF40" s="199">
        <f t="shared" ref="FF40" ca="1" si="1130">FC40*$X40</f>
        <v>0</v>
      </c>
      <c r="FG40" s="199">
        <f t="shared" ref="FG40" ca="1" si="1131">FF40*$Z40</f>
        <v>0</v>
      </c>
      <c r="FH40" s="216">
        <f t="shared" ref="FH40" ca="1" si="1132">IFERROR(FG40/FC$4,0)</f>
        <v>0</v>
      </c>
      <c r="FI40" s="202">
        <f t="shared" ref="FI40" ca="1" si="1133">FJ40/$X40</f>
        <v>179369.8810809608</v>
      </c>
      <c r="FJ40" s="203">
        <f t="shared" ref="FJ40" ca="1" si="1134">FK40/$Z40</f>
        <v>182305.06988518214</v>
      </c>
      <c r="FK40" s="203">
        <f t="shared" ref="FK40" ca="1" si="1135">FL40*FC$4</f>
        <v>182305.09358484123</v>
      </c>
      <c r="FL40" s="204">
        <f t="shared" ca="1" si="582"/>
        <v>0.04</v>
      </c>
      <c r="FM40" s="205"/>
      <c r="FN40" s="206">
        <f t="shared" ref="FN40" ca="1" si="1136">FM40*$X40</f>
        <v>0</v>
      </c>
      <c r="FO40" s="206">
        <f t="shared" ref="FO40" ca="1" si="1137">FN40*$Z40</f>
        <v>0</v>
      </c>
      <c r="FP40" s="207">
        <f t="shared" ref="FP40" ca="1" si="1138">IFERROR(FO40/FC$4,0)</f>
        <v>0</v>
      </c>
      <c r="FQ40" s="313">
        <f t="shared" ref="FQ40" si="1139">FC40+FM40</f>
        <v>0</v>
      </c>
      <c r="FR40" s="313">
        <f t="shared" ca="1" si="683"/>
        <v>0</v>
      </c>
      <c r="FS40" s="313">
        <f t="shared" ref="FS40" ca="1" si="1140">FR40*$Z40</f>
        <v>0</v>
      </c>
      <c r="FT40" s="314">
        <f t="shared" ref="FT40" ca="1" si="1141">IFERROR(FS40/FC$4,0)</f>
        <v>0</v>
      </c>
      <c r="FU40" s="315" t="str">
        <f t="shared" ca="1" si="71"/>
        <v/>
      </c>
    </row>
    <row r="41" spans="1:177" outlineLevel="2" x14ac:dyDescent="0.2">
      <c r="A41" s="298"/>
      <c r="B41" s="298"/>
      <c r="C41" s="299" t="str">
        <f t="shared" ca="1" si="487"/>
        <v>CH0419041287:CHF</v>
      </c>
      <c r="D41" s="300" t="str">
        <f t="shared" ca="1" si="488"/>
        <v>CH0419041287</v>
      </c>
      <c r="E41" s="301" t="str">
        <f t="shared" ca="1" si="488"/>
        <v>41904128</v>
      </c>
      <c r="F41" s="299" t="s">
        <v>734</v>
      </c>
      <c r="G41" s="316">
        <f t="shared" ca="1" si="488"/>
        <v>46559</v>
      </c>
      <c r="H41" s="1708" t="str">
        <f t="shared" ca="1" si="489"/>
        <v></v>
      </c>
      <c r="I41" s="1680" t="str">
        <f t="shared" ca="1" si="490"/>
        <v/>
      </c>
      <c r="J41" s="1708" t="str">
        <f t="shared" ca="1" si="1069"/>
        <v/>
      </c>
      <c r="K41" s="1709" t="str">
        <f t="shared" ca="1" si="1069"/>
        <v/>
      </c>
      <c r="L41" s="1710" t="str">
        <f t="shared" ca="1" si="492"/>
        <v/>
      </c>
      <c r="M41" s="298" t="str">
        <f t="shared" ca="1" si="493"/>
        <v>Pct</v>
      </c>
      <c r="N41" s="305"/>
      <c r="O41" s="305"/>
      <c r="P41" s="306">
        <f t="shared" ca="1" si="1"/>
        <v>0</v>
      </c>
      <c r="Q41" s="307">
        <f t="array" aca="1" ref="Q41" ca="1">SUM(IF($AA$15:$FT$15="I_pos",AA41:FT41))</f>
        <v>100000</v>
      </c>
      <c r="R41" s="307">
        <f t="array" aca="1" ref="R41" ca="1">SUM(IF($AA$15:$FT$15="P_Pos",AA41:FT41))</f>
        <v>-100000</v>
      </c>
      <c r="S41" s="304"/>
      <c r="T41" s="307"/>
      <c r="U41" s="308">
        <f t="shared" ca="1" si="494"/>
        <v>-2.4997500249975E-3</v>
      </c>
      <c r="V41" s="307">
        <f t="array" aca="1" ref="V41" ca="1">SUM(IF($AA$15:$FT$15="O_Pos",AA41:FT41))</f>
        <v>0</v>
      </c>
      <c r="W41" s="299" t="str">
        <f t="shared" ca="1" si="588"/>
        <v>CHF</v>
      </c>
      <c r="X41" s="309">
        <f t="shared" ca="1" si="496"/>
        <v>1.0004</v>
      </c>
      <c r="Y41" s="310">
        <f t="shared" ca="1" si="496"/>
        <v>3.9211367000000002E-3</v>
      </c>
      <c r="Z41" s="311">
        <f t="shared" ca="1" si="589"/>
        <v>1.0000001300000001</v>
      </c>
      <c r="AA41" s="214"/>
      <c r="AB41" s="312" t="str">
        <f t="shared" ca="1" si="590"/>
        <v/>
      </c>
      <c r="AC41" s="252"/>
      <c r="AD41" s="199">
        <f t="shared" ref="AD41" ca="1" si="1142">AA41*$X41</f>
        <v>0</v>
      </c>
      <c r="AE41" s="199">
        <f t="shared" ref="AE41" ca="1" si="1143">AD41*$Z41</f>
        <v>0</v>
      </c>
      <c r="AF41" s="216">
        <f t="shared" ref="AF41" ca="1" si="1144">IFERROR(AE41/AA$4,0)</f>
        <v>0</v>
      </c>
      <c r="AG41" s="202">
        <f t="shared" ref="AG41" ca="1" si="1145">AH41/$X41</f>
        <v>0</v>
      </c>
      <c r="AH41" s="203">
        <f t="shared" ref="AH41" ca="1" si="1146">AI41/$Z41</f>
        <v>0</v>
      </c>
      <c r="AI41" s="203">
        <f t="shared" ref="AI41" ca="1" si="1147">AJ41*AA$4</f>
        <v>0</v>
      </c>
      <c r="AJ41" s="204">
        <f t="shared" ca="1" si="504"/>
        <v>0</v>
      </c>
      <c r="AK41" s="205"/>
      <c r="AL41" s="206">
        <f t="shared" ref="AL41" ca="1" si="1148">AK41*$X41</f>
        <v>0</v>
      </c>
      <c r="AM41" s="206">
        <f t="shared" ref="AM41" ca="1" si="1149">AL41*$Z41</f>
        <v>0</v>
      </c>
      <c r="AN41" s="207">
        <f t="shared" ref="AN41" ca="1" si="1150">IFERROR(AM41/AA$4,0)</f>
        <v>0</v>
      </c>
      <c r="AO41" s="313">
        <f t="shared" ref="AO41" si="1151">AA41+AK41</f>
        <v>0</v>
      </c>
      <c r="AP41" s="313">
        <f t="shared" ca="1" si="601"/>
        <v>0</v>
      </c>
      <c r="AQ41" s="313">
        <f t="shared" ref="AQ41" ca="1" si="1152">AP41*$Z41</f>
        <v>0</v>
      </c>
      <c r="AR41" s="314">
        <f t="shared" ref="AR41" ca="1" si="1153">IFERROR(AQ41/AA$4,0)</f>
        <v>0</v>
      </c>
      <c r="AS41" s="315" t="str">
        <f t="shared" ca="1" si="29"/>
        <v/>
      </c>
      <c r="AT41" s="214"/>
      <c r="AU41" s="312" t="str">
        <f t="shared" ca="1" si="604"/>
        <v/>
      </c>
      <c r="AV41" s="252"/>
      <c r="AW41" s="199">
        <f t="shared" ref="AW41" ca="1" si="1154">AT41*$X41</f>
        <v>0</v>
      </c>
      <c r="AX41" s="199">
        <f t="shared" ref="AX41" ca="1" si="1155">AW41*$Z41</f>
        <v>0</v>
      </c>
      <c r="AY41" s="216">
        <f t="shared" ref="AY41" ca="1" si="1156">IFERROR(AX41/AT$4,0)</f>
        <v>0</v>
      </c>
      <c r="AZ41" s="202">
        <f t="shared" ref="AZ41" ca="1" si="1157">BA41/$X41</f>
        <v>0</v>
      </c>
      <c r="BA41" s="203">
        <f t="shared" ref="BA41" ca="1" si="1158">BB41/$Z41</f>
        <v>0</v>
      </c>
      <c r="BB41" s="203">
        <f t="shared" ref="BB41" ca="1" si="1159">BC41*AT$4</f>
        <v>0</v>
      </c>
      <c r="BC41" s="204">
        <f t="shared" ca="1" si="515"/>
        <v>0</v>
      </c>
      <c r="BD41" s="205"/>
      <c r="BE41" s="206">
        <f t="shared" ref="BE41" ca="1" si="1160">BD41*$X41</f>
        <v>0</v>
      </c>
      <c r="BF41" s="206">
        <f t="shared" ref="BF41" ca="1" si="1161">BE41*$Z41</f>
        <v>0</v>
      </c>
      <c r="BG41" s="207">
        <f t="shared" ref="BG41" ca="1" si="1162">IFERROR(BF41/AT$4,0)</f>
        <v>0</v>
      </c>
      <c r="BH41" s="313">
        <f t="shared" ref="BH41" si="1163">AT41+BD41</f>
        <v>0</v>
      </c>
      <c r="BI41" s="313">
        <f t="shared" ca="1" si="615"/>
        <v>0</v>
      </c>
      <c r="BJ41" s="313">
        <f t="shared" ref="BJ41" ca="1" si="1164">BI41*$Z41</f>
        <v>0</v>
      </c>
      <c r="BK41" s="314">
        <f t="shared" ref="BK41" ca="1" si="1165">IFERROR(BJ41/AT$4,0)</f>
        <v>0</v>
      </c>
      <c r="BL41" s="211" t="str">
        <f t="shared" ca="1" si="34"/>
        <v/>
      </c>
      <c r="BM41" s="214"/>
      <c r="BN41" s="312" t="str">
        <f t="shared" ca="1" si="618"/>
        <v/>
      </c>
      <c r="BO41" s="252"/>
      <c r="BP41" s="199">
        <f t="shared" ref="BP41" ca="1" si="1166">BM41*$X41</f>
        <v>0</v>
      </c>
      <c r="BQ41" s="199">
        <f t="shared" ref="BQ41" ca="1" si="1167">BP41*$Z41</f>
        <v>0</v>
      </c>
      <c r="BR41" s="216">
        <f t="shared" ref="BR41" ca="1" si="1168">IFERROR(BQ41/BM$4,0)</f>
        <v>0</v>
      </c>
      <c r="BS41" s="202">
        <f t="shared" ref="BS41" ca="1" si="1169">BT41/$X41</f>
        <v>0</v>
      </c>
      <c r="BT41" s="203">
        <f t="shared" ref="BT41" ca="1" si="1170">BU41/$Z41</f>
        <v>0</v>
      </c>
      <c r="BU41" s="203">
        <f t="shared" ref="BU41" ca="1" si="1171">BV41*BM$4</f>
        <v>0</v>
      </c>
      <c r="BV41" s="204">
        <f t="shared" ca="1" si="526"/>
        <v>0</v>
      </c>
      <c r="BW41" s="205"/>
      <c r="BX41" s="206">
        <f t="shared" ref="BX41" ca="1" si="1172">BW41*$X41</f>
        <v>0</v>
      </c>
      <c r="BY41" s="206">
        <f t="shared" ref="BY41" ca="1" si="1173">BX41*$Z41</f>
        <v>0</v>
      </c>
      <c r="BZ41" s="207">
        <f t="shared" ref="BZ41" ca="1" si="1174">IFERROR(BY41/BM$4,0)</f>
        <v>0</v>
      </c>
      <c r="CA41" s="313">
        <f t="shared" ref="CA41" si="1175">BM41+BW41</f>
        <v>0</v>
      </c>
      <c r="CB41" s="313">
        <f t="shared" ca="1" si="629"/>
        <v>0</v>
      </c>
      <c r="CC41" s="313">
        <f t="shared" ref="CC41" ca="1" si="1176">CB41*$Z41</f>
        <v>0</v>
      </c>
      <c r="CD41" s="314">
        <f t="shared" ref="CD41" ca="1" si="1177">IFERROR(CC41/BM$4,0)</f>
        <v>0</v>
      </c>
      <c r="CE41" s="211" t="str">
        <f t="shared" ca="1" si="39"/>
        <v/>
      </c>
      <c r="CF41" s="214"/>
      <c r="CG41" s="312" t="str">
        <f t="shared" ca="1" si="632"/>
        <v/>
      </c>
      <c r="CH41" s="215"/>
      <c r="CI41" s="199">
        <f ca="1">CF41*$X41</f>
        <v>0</v>
      </c>
      <c r="CJ41" s="199">
        <f t="shared" ref="CJ41" ca="1" si="1178">CI41*$Z41</f>
        <v>0</v>
      </c>
      <c r="CK41" s="216">
        <f t="shared" ref="CK41" ca="1" si="1179">IFERROR(CJ41/CF$4,0)</f>
        <v>0</v>
      </c>
      <c r="CL41" s="202">
        <f t="shared" ref="CL41" ca="1" si="1180">CM41/$X41</f>
        <v>0</v>
      </c>
      <c r="CM41" s="203">
        <f t="shared" ref="CM41" ca="1" si="1181">CN41/$Z41</f>
        <v>0</v>
      </c>
      <c r="CN41" s="203">
        <f t="shared" ref="CN41" ca="1" si="1182">CO41*CF$4</f>
        <v>0</v>
      </c>
      <c r="CO41" s="204">
        <f t="shared" ca="1" si="537"/>
        <v>0</v>
      </c>
      <c r="CP41" s="205"/>
      <c r="CQ41" s="206">
        <f t="shared" ref="CQ41" ca="1" si="1183">CP41*$X41</f>
        <v>0</v>
      </c>
      <c r="CR41" s="206">
        <f t="shared" ref="CR41" ca="1" si="1184">CQ41*$Z41</f>
        <v>0</v>
      </c>
      <c r="CS41" s="207">
        <f t="shared" ref="CS41" ca="1" si="1185">IFERROR(CR41/CF$4,0)</f>
        <v>0</v>
      </c>
      <c r="CT41" s="313">
        <f t="shared" ref="CT41" si="1186">CF41+CP41</f>
        <v>0</v>
      </c>
      <c r="CU41" s="313">
        <f t="shared" ca="1" si="643"/>
        <v>0</v>
      </c>
      <c r="CV41" s="313">
        <f t="shared" ref="CV41" ca="1" si="1187">CU41*$Z41</f>
        <v>0</v>
      </c>
      <c r="CW41" s="314">
        <f t="shared" ref="CW41" ca="1" si="1188">IFERROR(CV41/CF$4,0)</f>
        <v>0</v>
      </c>
      <c r="CX41" s="211" t="str">
        <f t="shared" ca="1" si="47"/>
        <v/>
      </c>
      <c r="CY41" s="197">
        <v>100000</v>
      </c>
      <c r="CZ41" s="312">
        <f t="shared" ca="1" si="646"/>
        <v>6.1995753715498925E-2</v>
      </c>
      <c r="DA41" s="252">
        <v>0.94199999999999995</v>
      </c>
      <c r="DB41" s="199">
        <f t="shared" ca="1" si="647"/>
        <v>100040</v>
      </c>
      <c r="DC41" s="199">
        <f t="shared" ca="1" si="648"/>
        <v>100040.01300520002</v>
      </c>
      <c r="DD41" s="216">
        <f t="shared" ca="1" si="10"/>
        <v>2.790190211541449E-2</v>
      </c>
      <c r="DE41" s="202">
        <f t="shared" ca="1" si="649"/>
        <v>-100000</v>
      </c>
      <c r="DF41" s="203">
        <f t="shared" ca="1" si="650"/>
        <v>-100040</v>
      </c>
      <c r="DG41" s="203">
        <f t="shared" ca="1" si="651"/>
        <v>-100040.01300520002</v>
      </c>
      <c r="DH41" s="204">
        <f t="shared" ca="1" si="548"/>
        <v>-2.790190211541449E-2</v>
      </c>
      <c r="DI41" s="205"/>
      <c r="DJ41" s="206">
        <f t="shared" ca="1" si="652"/>
        <v>0</v>
      </c>
      <c r="DK41" s="206">
        <f t="shared" ca="1" si="653"/>
        <v>0</v>
      </c>
      <c r="DL41" s="207">
        <f t="shared" ca="1" si="11"/>
        <v>0</v>
      </c>
      <c r="DM41" s="313">
        <f t="shared" si="654"/>
        <v>100000</v>
      </c>
      <c r="DN41" s="313">
        <f t="shared" ca="1" si="655"/>
        <v>100040</v>
      </c>
      <c r="DO41" s="313">
        <f t="shared" ca="1" si="656"/>
        <v>100040.01300520002</v>
      </c>
      <c r="DP41" s="314">
        <f t="shared" ca="1" si="475"/>
        <v>2.790190211541449E-2</v>
      </c>
      <c r="DQ41" s="315" t="str">
        <f t="shared" ca="1" si="55"/>
        <v>V</v>
      </c>
      <c r="DR41" s="197"/>
      <c r="DS41" s="312" t="str">
        <f t="shared" ca="1" si="554"/>
        <v/>
      </c>
      <c r="DT41" s="252"/>
      <c r="DU41" s="199">
        <f t="shared" ca="1" si="555"/>
        <v>0</v>
      </c>
      <c r="DV41" s="199">
        <f t="shared" ca="1" si="556"/>
        <v>0</v>
      </c>
      <c r="DW41" s="216">
        <f t="shared" ca="1" si="477"/>
        <v>0</v>
      </c>
      <c r="DX41" s="202">
        <f t="shared" ca="1" si="557"/>
        <v>0</v>
      </c>
      <c r="DY41" s="203">
        <f t="shared" ca="1" si="558"/>
        <v>0</v>
      </c>
      <c r="DZ41" s="203">
        <f t="shared" ca="1" si="559"/>
        <v>0</v>
      </c>
      <c r="EA41" s="204">
        <f t="shared" ca="1" si="560"/>
        <v>0</v>
      </c>
      <c r="EB41" s="205"/>
      <c r="EC41" s="206">
        <f t="shared" ca="1" si="561"/>
        <v>0</v>
      </c>
      <c r="ED41" s="206">
        <f t="shared" ca="1" si="562"/>
        <v>0</v>
      </c>
      <c r="EE41" s="207">
        <f t="shared" ca="1" si="478"/>
        <v>0</v>
      </c>
      <c r="EF41" s="313">
        <f t="shared" si="657"/>
        <v>0</v>
      </c>
      <c r="EG41" s="313">
        <f t="shared" ca="1" si="563"/>
        <v>0</v>
      </c>
      <c r="EH41" s="313">
        <f t="shared" ca="1" si="564"/>
        <v>0</v>
      </c>
      <c r="EI41" s="314">
        <f t="shared" ca="1" si="479"/>
        <v>0</v>
      </c>
      <c r="EJ41" s="214"/>
      <c r="EK41" s="312" t="str">
        <f t="shared" ca="1" si="658"/>
        <v/>
      </c>
      <c r="EL41" s="252"/>
      <c r="EM41" s="199">
        <f t="shared" ref="EM41" ca="1" si="1189">EJ41*$X41</f>
        <v>0</v>
      </c>
      <c r="EN41" s="199">
        <f t="shared" ref="EN41" ca="1" si="1190">EM41*$Z41</f>
        <v>0</v>
      </c>
      <c r="EO41" s="216">
        <f t="shared" ref="EO41" ca="1" si="1191">IFERROR(EN41/EJ$4,0)</f>
        <v>0</v>
      </c>
      <c r="EP41" s="202">
        <f t="shared" ref="EP41" ca="1" si="1192">EQ41/$X41</f>
        <v>0</v>
      </c>
      <c r="EQ41" s="203">
        <f t="shared" ref="EQ41" ca="1" si="1193">ER41/$Z41</f>
        <v>0</v>
      </c>
      <c r="ER41" s="203">
        <f t="shared" ref="ER41" ca="1" si="1194">ES41*EJ$4</f>
        <v>0</v>
      </c>
      <c r="ES41" s="204">
        <f t="shared" ca="1" si="571"/>
        <v>0</v>
      </c>
      <c r="ET41" s="205"/>
      <c r="EU41" s="206">
        <f t="shared" ref="EU41" ca="1" si="1195">ET41*$X41</f>
        <v>0</v>
      </c>
      <c r="EV41" s="206">
        <f t="shared" ref="EV41" ca="1" si="1196">EU41*$Z41</f>
        <v>0</v>
      </c>
      <c r="EW41" s="207">
        <f t="shared" ref="EW41" ca="1" si="1197">IFERROR(EV41/EJ$4,0)</f>
        <v>0</v>
      </c>
      <c r="EX41" s="313">
        <f t="shared" ref="EX41" si="1198">EJ41+ET41</f>
        <v>0</v>
      </c>
      <c r="EY41" s="313">
        <f t="shared" ca="1" si="669"/>
        <v>0</v>
      </c>
      <c r="EZ41" s="313">
        <f t="shared" ref="EZ41" ca="1" si="1199">EY41*$Z41</f>
        <v>0</v>
      </c>
      <c r="FA41" s="314">
        <f t="shared" ref="FA41" ca="1" si="1200">IFERROR(EZ41/EJ$4,0)</f>
        <v>0</v>
      </c>
      <c r="FB41" s="211" t="str">
        <f t="shared" ca="1" si="66"/>
        <v/>
      </c>
      <c r="FC41" s="214"/>
      <c r="FD41" s="312" t="str">
        <f t="shared" ca="1" si="672"/>
        <v/>
      </c>
      <c r="FE41" s="252"/>
      <c r="FF41" s="199">
        <f t="shared" ref="FF41" ca="1" si="1201">FC41*$X41</f>
        <v>0</v>
      </c>
      <c r="FG41" s="199">
        <f t="shared" ref="FG41" ca="1" si="1202">FF41*$Z41</f>
        <v>0</v>
      </c>
      <c r="FH41" s="216">
        <f t="shared" ref="FH41" ca="1" si="1203">IFERROR(FG41/FC$4,0)</f>
        <v>0</v>
      </c>
      <c r="FI41" s="202">
        <f t="shared" ref="FI41" ca="1" si="1204">FJ41/$X41</f>
        <v>0</v>
      </c>
      <c r="FJ41" s="203">
        <f t="shared" ref="FJ41" ca="1" si="1205">FK41/$Z41</f>
        <v>0</v>
      </c>
      <c r="FK41" s="203">
        <f t="shared" ref="FK41" ca="1" si="1206">FL41*FC$4</f>
        <v>0</v>
      </c>
      <c r="FL41" s="204">
        <f t="shared" ca="1" si="582"/>
        <v>0</v>
      </c>
      <c r="FM41" s="205"/>
      <c r="FN41" s="206">
        <f t="shared" ref="FN41" ca="1" si="1207">FM41*$X41</f>
        <v>0</v>
      </c>
      <c r="FO41" s="206">
        <f t="shared" ref="FO41" ca="1" si="1208">FN41*$Z41</f>
        <v>0</v>
      </c>
      <c r="FP41" s="207">
        <f t="shared" ref="FP41" ca="1" si="1209">IFERROR(FO41/FC$4,0)</f>
        <v>0</v>
      </c>
      <c r="FQ41" s="313">
        <f t="shared" ref="FQ41" si="1210">FC41+FM41</f>
        <v>0</v>
      </c>
      <c r="FR41" s="313">
        <f t="shared" ca="1" si="683"/>
        <v>0</v>
      </c>
      <c r="FS41" s="313">
        <f t="shared" ref="FS41" ca="1" si="1211">FR41*$Z41</f>
        <v>0</v>
      </c>
      <c r="FT41" s="314">
        <f t="shared" ref="FT41" ca="1" si="1212">IFERROR(FS41/FC$4,0)</f>
        <v>0</v>
      </c>
      <c r="FU41" s="315" t="str">
        <f t="shared" ca="1" si="71"/>
        <v/>
      </c>
    </row>
    <row r="42" spans="1:177" outlineLevel="2" x14ac:dyDescent="0.2">
      <c r="A42" s="298"/>
      <c r="B42" s="298"/>
      <c r="C42" s="299" t="str">
        <f t="shared" ca="1" si="487"/>
        <v>CH1127263973:CHF</v>
      </c>
      <c r="D42" s="300" t="str">
        <f t="shared" ca="1" si="488"/>
        <v>CH1127263973</v>
      </c>
      <c r="E42" s="301" t="str">
        <f t="shared" ca="1" si="488"/>
        <v>112726397</v>
      </c>
      <c r="F42" s="299" t="s">
        <v>587</v>
      </c>
      <c r="G42" s="316">
        <f t="shared" ca="1" si="488"/>
        <v>46625</v>
      </c>
      <c r="H42" s="1708" t="str">
        <f t="shared" ca="1" si="489"/>
        <v></v>
      </c>
      <c r="I42" s="1680" t="str">
        <f t="shared" ca="1" si="490"/>
        <v/>
      </c>
      <c r="J42" s="1708" t="str">
        <f t="shared" ca="1" si="1069"/>
        <v/>
      </c>
      <c r="K42" s="1709" t="str">
        <f t="shared" ca="1" si="1069"/>
        <v/>
      </c>
      <c r="L42" s="1710" t="str">
        <f t="shared" ca="1" si="492"/>
        <v/>
      </c>
      <c r="M42" s="298" t="str">
        <f t="shared" ca="1" si="493"/>
        <v>Pct</v>
      </c>
      <c r="N42" s="305"/>
      <c r="O42" s="305"/>
      <c r="P42" s="306">
        <f t="shared" ca="1" si="1"/>
        <v>0</v>
      </c>
      <c r="Q42" s="307">
        <f t="array" aca="1" ref="Q42" ca="1">SUM(IF($AA$15:$FT$15="I_pos",AA42:FT42))</f>
        <v>25000</v>
      </c>
      <c r="R42" s="307">
        <f t="array" aca="1" ref="R42" ca="1">SUM(IF($AA$15:$FT$15="P_Pos",AA42:FT42))</f>
        <v>-25000</v>
      </c>
      <c r="S42" s="304"/>
      <c r="T42" s="307"/>
      <c r="U42" s="308">
        <f t="shared" ca="1" si="494"/>
        <v>-8.0361627322960002E-4</v>
      </c>
      <c r="V42" s="307">
        <f t="array" aca="1" ref="V42" ca="1">SUM(IF($AA$15:$FT$15="O_Pos",AA42:FT42))</f>
        <v>0</v>
      </c>
      <c r="W42" s="299" t="str">
        <f t="shared" ca="1" si="588"/>
        <v>CHF</v>
      </c>
      <c r="X42" s="309">
        <f t="shared" ca="1" si="496"/>
        <v>0.99534930556000001</v>
      </c>
      <c r="Y42" s="310">
        <f t="shared" ca="1" si="496"/>
        <v>4.24828784E-3</v>
      </c>
      <c r="Z42" s="311">
        <f t="shared" ca="1" si="589"/>
        <v>1.0000001300000001</v>
      </c>
      <c r="AA42" s="214"/>
      <c r="AB42" s="312" t="str">
        <f t="shared" ca="1" si="590"/>
        <v/>
      </c>
      <c r="AC42" s="252"/>
      <c r="AD42" s="199">
        <f t="shared" ref="AD42" ca="1" si="1213">AA42*$X42</f>
        <v>0</v>
      </c>
      <c r="AE42" s="199">
        <f t="shared" ref="AE42" ca="1" si="1214">AD42*$Z42</f>
        <v>0</v>
      </c>
      <c r="AF42" s="216">
        <f t="shared" ref="AF42" ca="1" si="1215">IFERROR(AE42/AA$4,0)</f>
        <v>0</v>
      </c>
      <c r="AG42" s="202">
        <f t="shared" ref="AG42" ca="1" si="1216">AH42/$X42</f>
        <v>0</v>
      </c>
      <c r="AH42" s="203">
        <f t="shared" ref="AH42" ca="1" si="1217">AI42/$Z42</f>
        <v>0</v>
      </c>
      <c r="AI42" s="203">
        <f t="shared" ref="AI42" ca="1" si="1218">AJ42*AA$4</f>
        <v>0</v>
      </c>
      <c r="AJ42" s="204">
        <f t="shared" ca="1" si="504"/>
        <v>0</v>
      </c>
      <c r="AK42" s="205"/>
      <c r="AL42" s="206">
        <f t="shared" ref="AL42" ca="1" si="1219">AK42*$X42</f>
        <v>0</v>
      </c>
      <c r="AM42" s="206">
        <f t="shared" ref="AM42" ca="1" si="1220">AL42*$Z42</f>
        <v>0</v>
      </c>
      <c r="AN42" s="207">
        <f t="shared" ref="AN42" ca="1" si="1221">IFERROR(AM42/AA$4,0)</f>
        <v>0</v>
      </c>
      <c r="AO42" s="313">
        <f t="shared" ref="AO42" si="1222">AA42+AK42</f>
        <v>0</v>
      </c>
      <c r="AP42" s="313">
        <f t="shared" ca="1" si="601"/>
        <v>0</v>
      </c>
      <c r="AQ42" s="313">
        <f t="shared" ref="AQ42" ca="1" si="1223">AP42*$Z42</f>
        <v>0</v>
      </c>
      <c r="AR42" s="314">
        <f t="shared" ref="AR42" ca="1" si="1224">IFERROR(AQ42/AA$4,0)</f>
        <v>0</v>
      </c>
      <c r="AS42" s="315" t="str">
        <f t="shared" ref="AS42" ca="1" si="1225">IF(SUM(AF42,AN42,AR42)&lt;&gt;0,"V","")</f>
        <v/>
      </c>
      <c r="AT42" s="214"/>
      <c r="AU42" s="312" t="str">
        <f t="shared" ca="1" si="604"/>
        <v/>
      </c>
      <c r="AV42" s="252"/>
      <c r="AW42" s="199">
        <f t="shared" ref="AW42" ca="1" si="1226">AT42*$X42</f>
        <v>0</v>
      </c>
      <c r="AX42" s="199">
        <f t="shared" ref="AX42" ca="1" si="1227">AW42*$Z42</f>
        <v>0</v>
      </c>
      <c r="AY42" s="216">
        <f t="shared" ref="AY42" ca="1" si="1228">IFERROR(AX42/AT$4,0)</f>
        <v>0</v>
      </c>
      <c r="AZ42" s="202">
        <f t="shared" ref="AZ42" ca="1" si="1229">BA42/$X42</f>
        <v>0</v>
      </c>
      <c r="BA42" s="203">
        <f t="shared" ref="BA42" ca="1" si="1230">BB42/$Z42</f>
        <v>0</v>
      </c>
      <c r="BB42" s="203">
        <f t="shared" ref="BB42" ca="1" si="1231">BC42*AT$4</f>
        <v>0</v>
      </c>
      <c r="BC42" s="204">
        <f t="shared" ca="1" si="515"/>
        <v>0</v>
      </c>
      <c r="BD42" s="205"/>
      <c r="BE42" s="206">
        <f t="shared" ref="BE42" ca="1" si="1232">BD42*$X42</f>
        <v>0</v>
      </c>
      <c r="BF42" s="206">
        <f t="shared" ref="BF42" ca="1" si="1233">BE42*$Z42</f>
        <v>0</v>
      </c>
      <c r="BG42" s="207">
        <f t="shared" ref="BG42" ca="1" si="1234">IFERROR(BF42/AT$4,0)</f>
        <v>0</v>
      </c>
      <c r="BH42" s="313">
        <f t="shared" ref="BH42" si="1235">AT42+BD42</f>
        <v>0</v>
      </c>
      <c r="BI42" s="313">
        <f t="shared" ca="1" si="615"/>
        <v>0</v>
      </c>
      <c r="BJ42" s="313">
        <f t="shared" ref="BJ42" ca="1" si="1236">BI42*$Z42</f>
        <v>0</v>
      </c>
      <c r="BK42" s="314">
        <f t="shared" ref="BK42" ca="1" si="1237">IFERROR(BJ42/AT$4,0)</f>
        <v>0</v>
      </c>
      <c r="BL42" s="211" t="str">
        <f t="shared" ref="BL42" ca="1" si="1238">IF(SUM(AY42,BG42,BK42)&lt;&gt;0,"V","")</f>
        <v/>
      </c>
      <c r="BM42" s="214"/>
      <c r="BN42" s="312" t="str">
        <f t="shared" ca="1" si="618"/>
        <v/>
      </c>
      <c r="BO42" s="252"/>
      <c r="BP42" s="199">
        <f t="shared" ref="BP42" ca="1" si="1239">BM42*$X42</f>
        <v>0</v>
      </c>
      <c r="BQ42" s="199">
        <f t="shared" ref="BQ42" ca="1" si="1240">BP42*$Z42</f>
        <v>0</v>
      </c>
      <c r="BR42" s="216">
        <f t="shared" ref="BR42" ca="1" si="1241">IFERROR(BQ42/BM$4,0)</f>
        <v>0</v>
      </c>
      <c r="BS42" s="202">
        <f t="shared" ref="BS42" ca="1" si="1242">BT42/$X42</f>
        <v>0</v>
      </c>
      <c r="BT42" s="203">
        <f t="shared" ref="BT42" ca="1" si="1243">BU42/$Z42</f>
        <v>0</v>
      </c>
      <c r="BU42" s="203">
        <f t="shared" ref="BU42" ca="1" si="1244">BV42*BM$4</f>
        <v>0</v>
      </c>
      <c r="BV42" s="204">
        <f t="shared" ca="1" si="526"/>
        <v>0</v>
      </c>
      <c r="BW42" s="205"/>
      <c r="BX42" s="206">
        <f t="shared" ref="BX42" ca="1" si="1245">BW42*$X42</f>
        <v>0</v>
      </c>
      <c r="BY42" s="206">
        <f t="shared" ref="BY42" ca="1" si="1246">BX42*$Z42</f>
        <v>0</v>
      </c>
      <c r="BZ42" s="207">
        <f t="shared" ref="BZ42" ca="1" si="1247">IFERROR(BY42/BM$4,0)</f>
        <v>0</v>
      </c>
      <c r="CA42" s="313">
        <f t="shared" ref="CA42" si="1248">BM42+BW42</f>
        <v>0</v>
      </c>
      <c r="CB42" s="313">
        <f t="shared" ca="1" si="629"/>
        <v>0</v>
      </c>
      <c r="CC42" s="313">
        <f t="shared" ref="CC42" ca="1" si="1249">CB42*$Z42</f>
        <v>0</v>
      </c>
      <c r="CD42" s="314">
        <f t="shared" ref="CD42" ca="1" si="1250">IFERROR(CC42/BM$4,0)</f>
        <v>0</v>
      </c>
      <c r="CE42" s="211" t="str">
        <f t="shared" ref="CE42" ca="1" si="1251">IF(SUM(BR42,BZ42,CD42)&lt;&gt;0,"V","")</f>
        <v/>
      </c>
      <c r="CF42" s="214"/>
      <c r="CG42" s="312" t="str">
        <f t="shared" ca="1" si="632"/>
        <v/>
      </c>
      <c r="CH42" s="215"/>
      <c r="CI42" s="199">
        <f t="shared" ref="CI42" ca="1" si="1252">CF42*$X42</f>
        <v>0</v>
      </c>
      <c r="CJ42" s="199">
        <f t="shared" ref="CJ42" ca="1" si="1253">CI42*$Z42</f>
        <v>0</v>
      </c>
      <c r="CK42" s="216">
        <f t="shared" ref="CK42" ca="1" si="1254">IFERROR(CJ42/CF$4,0)</f>
        <v>0</v>
      </c>
      <c r="CL42" s="202">
        <f t="shared" ref="CL42" ca="1" si="1255">CM42/$X42</f>
        <v>0</v>
      </c>
      <c r="CM42" s="203">
        <f t="shared" ref="CM42" ca="1" si="1256">CN42/$Z42</f>
        <v>0</v>
      </c>
      <c r="CN42" s="203">
        <f t="shared" ref="CN42" ca="1" si="1257">CO42*CF$4</f>
        <v>0</v>
      </c>
      <c r="CO42" s="204">
        <f t="shared" ca="1" si="537"/>
        <v>0</v>
      </c>
      <c r="CP42" s="205"/>
      <c r="CQ42" s="206">
        <f t="shared" ref="CQ42" ca="1" si="1258">CP42*$X42</f>
        <v>0</v>
      </c>
      <c r="CR42" s="206">
        <f t="shared" ref="CR42" ca="1" si="1259">CQ42*$Z42</f>
        <v>0</v>
      </c>
      <c r="CS42" s="207">
        <f t="shared" ref="CS42" ca="1" si="1260">IFERROR(CR42/CF$4,0)</f>
        <v>0</v>
      </c>
      <c r="CT42" s="313">
        <f t="shared" ref="CT42" si="1261">CF42+CP42</f>
        <v>0</v>
      </c>
      <c r="CU42" s="313">
        <f t="shared" ca="1" si="643"/>
        <v>0</v>
      </c>
      <c r="CV42" s="313">
        <f t="shared" ref="CV42" ca="1" si="1262">CU42*$Z42</f>
        <v>0</v>
      </c>
      <c r="CW42" s="314">
        <f t="shared" ref="CW42" ca="1" si="1263">IFERROR(CV42/CF$4,0)</f>
        <v>0</v>
      </c>
      <c r="CX42" s="211" t="str">
        <f t="shared" ref="CX42" ca="1" si="1264">IF(SUM(CK42,CS42,CW42)&lt;&gt;0,"V","")</f>
        <v/>
      </c>
      <c r="CY42" s="197"/>
      <c r="CZ42" s="312" t="str">
        <f t="shared" ca="1" si="646"/>
        <v/>
      </c>
      <c r="DA42" s="252"/>
      <c r="DB42" s="199">
        <f t="shared" ca="1" si="647"/>
        <v>0</v>
      </c>
      <c r="DC42" s="199">
        <f t="shared" ca="1" si="648"/>
        <v>0</v>
      </c>
      <c r="DD42" s="216">
        <f t="shared" ca="1" si="10"/>
        <v>0</v>
      </c>
      <c r="DE42" s="202">
        <f t="shared" ca="1" si="649"/>
        <v>0</v>
      </c>
      <c r="DF42" s="203">
        <f t="shared" ca="1" si="650"/>
        <v>0</v>
      </c>
      <c r="DG42" s="203">
        <f t="shared" ca="1" si="651"/>
        <v>0</v>
      </c>
      <c r="DH42" s="204">
        <f t="shared" ca="1" si="548"/>
        <v>0</v>
      </c>
      <c r="DI42" s="205"/>
      <c r="DJ42" s="206">
        <f t="shared" ca="1" si="652"/>
        <v>0</v>
      </c>
      <c r="DK42" s="206">
        <f t="shared" ca="1" si="653"/>
        <v>0</v>
      </c>
      <c r="DL42" s="207">
        <f t="shared" ca="1" si="11"/>
        <v>0</v>
      </c>
      <c r="DM42" s="313">
        <f t="shared" si="654"/>
        <v>0</v>
      </c>
      <c r="DN42" s="313">
        <f t="shared" ca="1" si="655"/>
        <v>0</v>
      </c>
      <c r="DO42" s="313">
        <f t="shared" ca="1" si="656"/>
        <v>0</v>
      </c>
      <c r="DP42" s="314">
        <f t="shared" ca="1" si="475"/>
        <v>0</v>
      </c>
      <c r="DQ42" s="315" t="str">
        <f t="shared" ref="DQ42" ca="1" si="1265">IF(SUM(DD42,DL42,DP42)&lt;&gt;0,"V","")</f>
        <v/>
      </c>
      <c r="DR42" s="197"/>
      <c r="DS42" s="312" t="str">
        <f t="shared" ca="1" si="554"/>
        <v/>
      </c>
      <c r="DT42" s="252"/>
      <c r="DU42" s="199">
        <f t="shared" ca="1" si="555"/>
        <v>0</v>
      </c>
      <c r="DV42" s="199">
        <f t="shared" ca="1" si="556"/>
        <v>0</v>
      </c>
      <c r="DW42" s="216">
        <f t="shared" ca="1" si="477"/>
        <v>0</v>
      </c>
      <c r="DX42" s="202">
        <f t="shared" ca="1" si="557"/>
        <v>0</v>
      </c>
      <c r="DY42" s="203">
        <f t="shared" ca="1" si="558"/>
        <v>0</v>
      </c>
      <c r="DZ42" s="203">
        <f t="shared" ca="1" si="559"/>
        <v>0</v>
      </c>
      <c r="EA42" s="204">
        <f t="shared" ca="1" si="560"/>
        <v>0</v>
      </c>
      <c r="EB42" s="205"/>
      <c r="EC42" s="206">
        <f t="shared" ca="1" si="561"/>
        <v>0</v>
      </c>
      <c r="ED42" s="206">
        <f t="shared" ca="1" si="562"/>
        <v>0</v>
      </c>
      <c r="EE42" s="207">
        <f t="shared" ca="1" si="478"/>
        <v>0</v>
      </c>
      <c r="EF42" s="313">
        <f t="shared" si="657"/>
        <v>0</v>
      </c>
      <c r="EG42" s="313">
        <f t="shared" ca="1" si="563"/>
        <v>0</v>
      </c>
      <c r="EH42" s="313">
        <f t="shared" ca="1" si="564"/>
        <v>0</v>
      </c>
      <c r="EI42" s="314">
        <f t="shared" ca="1" si="479"/>
        <v>0</v>
      </c>
      <c r="EJ42" s="214">
        <f>25000</f>
        <v>25000</v>
      </c>
      <c r="EK42" s="312">
        <f t="shared" ca="1" si="658"/>
        <v>6.0122809202258098E-2</v>
      </c>
      <c r="EL42" s="252">
        <v>0.93889999999999996</v>
      </c>
      <c r="EM42" s="199">
        <f t="shared" ref="EM42" ca="1" si="1266">EJ42*$X42</f>
        <v>24883.732639000002</v>
      </c>
      <c r="EN42" s="199">
        <f t="shared" ref="EN42" ca="1" si="1267">EM42*$Z42</f>
        <v>24883.735873885245</v>
      </c>
      <c r="EO42" s="216">
        <f t="shared" ref="EO42" ca="1" si="1268">IFERROR(EN42/EJ$4,0)</f>
        <v>3.5059948821867574E-2</v>
      </c>
      <c r="EP42" s="202">
        <f t="shared" ref="EP42" ca="1" si="1269">EQ42/$X42</f>
        <v>-25000</v>
      </c>
      <c r="EQ42" s="203">
        <f t="shared" ref="EQ42" ca="1" si="1270">ER42/$Z42</f>
        <v>-24883.732639000002</v>
      </c>
      <c r="ER42" s="203">
        <f t="shared" ref="ER42" ca="1" si="1271">ES42*EJ$4</f>
        <v>-24883.735873885245</v>
      </c>
      <c r="ES42" s="204">
        <f t="shared" ca="1" si="571"/>
        <v>-3.5059948821867574E-2</v>
      </c>
      <c r="ET42" s="205"/>
      <c r="EU42" s="206">
        <f t="shared" ref="EU42" ca="1" si="1272">ET42*$X42</f>
        <v>0</v>
      </c>
      <c r="EV42" s="206">
        <f t="shared" ref="EV42" ca="1" si="1273">EU42*$Z42</f>
        <v>0</v>
      </c>
      <c r="EW42" s="207">
        <f t="shared" ref="EW42" ca="1" si="1274">IFERROR(EV42/EJ$4,0)</f>
        <v>0</v>
      </c>
      <c r="EX42" s="313">
        <f t="shared" ref="EX42" si="1275">EJ42+ET42</f>
        <v>25000</v>
      </c>
      <c r="EY42" s="313">
        <f t="shared" ca="1" si="669"/>
        <v>24883.732639000002</v>
      </c>
      <c r="EZ42" s="313">
        <f t="shared" ref="EZ42" ca="1" si="1276">EY42*$Z42</f>
        <v>24883.735873885245</v>
      </c>
      <c r="FA42" s="314">
        <f t="shared" ref="FA42" ca="1" si="1277">IFERROR(EZ42/EJ$4,0)</f>
        <v>3.5059948821867574E-2</v>
      </c>
      <c r="FB42" s="211" t="str">
        <f t="shared" ref="FB42" ca="1" si="1278">IF(SUM(EO42,EW42,FA42)&lt;&gt;0,"V","")</f>
        <v>V</v>
      </c>
      <c r="FC42" s="214"/>
      <c r="FD42" s="312" t="str">
        <f t="shared" ca="1" si="672"/>
        <v/>
      </c>
      <c r="FE42" s="252"/>
      <c r="FF42" s="199">
        <f t="shared" ref="FF42" ca="1" si="1279">FC42*$X42</f>
        <v>0</v>
      </c>
      <c r="FG42" s="199">
        <f t="shared" ref="FG42" ca="1" si="1280">FF42*$Z42</f>
        <v>0</v>
      </c>
      <c r="FH42" s="216">
        <f t="shared" ref="FH42" ca="1" si="1281">IFERROR(FG42/FC$4,0)</f>
        <v>0</v>
      </c>
      <c r="FI42" s="202">
        <f t="shared" ref="FI42" ca="1" si="1282">FJ42/$X42</f>
        <v>0</v>
      </c>
      <c r="FJ42" s="203">
        <f t="shared" ref="FJ42" ca="1" si="1283">FK42/$Z42</f>
        <v>0</v>
      </c>
      <c r="FK42" s="203">
        <f t="shared" ref="FK42" ca="1" si="1284">FL42*FC$4</f>
        <v>0</v>
      </c>
      <c r="FL42" s="204">
        <f t="shared" ca="1" si="582"/>
        <v>0</v>
      </c>
      <c r="FM42" s="205"/>
      <c r="FN42" s="206">
        <f t="shared" ref="FN42" ca="1" si="1285">FM42*$X42</f>
        <v>0</v>
      </c>
      <c r="FO42" s="206">
        <f t="shared" ref="FO42" ca="1" si="1286">FN42*$Z42</f>
        <v>0</v>
      </c>
      <c r="FP42" s="207">
        <f t="shared" ref="FP42" ca="1" si="1287">IFERROR(FO42/FC$4,0)</f>
        <v>0</v>
      </c>
      <c r="FQ42" s="313">
        <f t="shared" ref="FQ42" si="1288">FC42+FM42</f>
        <v>0</v>
      </c>
      <c r="FR42" s="313">
        <f t="shared" ca="1" si="683"/>
        <v>0</v>
      </c>
      <c r="FS42" s="313">
        <f t="shared" ref="FS42" ca="1" si="1289">FR42*$Z42</f>
        <v>0</v>
      </c>
      <c r="FT42" s="314">
        <f t="shared" ref="FT42" ca="1" si="1290">IFERROR(FS42/FC$4,0)</f>
        <v>0</v>
      </c>
      <c r="FU42" s="315" t="str">
        <f t="shared" ref="FU42" ca="1" si="1291">IF(SUM(FH42,FP42,FT42)&lt;&gt;0,"V","")</f>
        <v/>
      </c>
    </row>
    <row r="43" spans="1:177" outlineLevel="2" x14ac:dyDescent="0.2">
      <c r="A43" s="298"/>
      <c r="B43" s="298"/>
      <c r="C43" s="299" t="str">
        <f t="shared" ca="1" si="487"/>
        <v>CH0373476123:CHF</v>
      </c>
      <c r="D43" s="300" t="str">
        <f t="shared" ca="1" si="488"/>
        <v>CH0373476123</v>
      </c>
      <c r="E43" s="301" t="str">
        <f t="shared" ca="1" si="488"/>
        <v>37347612</v>
      </c>
      <c r="F43" s="299" t="s">
        <v>535</v>
      </c>
      <c r="G43" s="316">
        <f t="shared" ca="1" si="488"/>
        <v>46721</v>
      </c>
      <c r="H43" s="1708" t="str">
        <f t="shared" ca="1" si="489"/>
        <v></v>
      </c>
      <c r="I43" s="1680" t="str">
        <f t="shared" ca="1" si="490"/>
        <v/>
      </c>
      <c r="J43" s="1708" t="str">
        <f t="shared" ca="1" si="1069"/>
        <v/>
      </c>
      <c r="K43" s="1709" t="str">
        <f t="shared" ca="1" si="1069"/>
        <v/>
      </c>
      <c r="L43" s="1710" t="str">
        <f t="shared" ca="1" si="492"/>
        <v/>
      </c>
      <c r="M43" s="298" t="str">
        <f t="shared" ca="1" si="493"/>
        <v>Pct</v>
      </c>
      <c r="N43" s="305"/>
      <c r="O43" s="305"/>
      <c r="P43" s="306">
        <f t="shared" ca="1" si="1"/>
        <v>0</v>
      </c>
      <c r="Q43" s="307">
        <f t="array" aca="1" ref="Q43" ca="1">SUM(IF($AA$15:$FT$15="I_pos",AA43:FT43))</f>
        <v>100000</v>
      </c>
      <c r="R43" s="307">
        <f t="array" aca="1" ref="R43" ca="1">SUM(IF($AA$15:$FT$15="P_Pos",AA43:FT43))</f>
        <v>-100000</v>
      </c>
      <c r="S43" s="304"/>
      <c r="T43" s="307"/>
      <c r="U43" s="308">
        <f t="shared" ca="1" si="494"/>
        <v>-9.9453008453500007E-4</v>
      </c>
      <c r="V43" s="307">
        <f t="array" aca="1" ref="V43" ca="1">SUM(IF($AA$15:$FT$15="O_Pos",AA43:FT43))</f>
        <v>0</v>
      </c>
      <c r="W43" s="299" t="str">
        <f t="shared" ca="1" si="588"/>
        <v>CHF</v>
      </c>
      <c r="X43" s="309">
        <f t="shared" ca="1" si="496"/>
        <v>1.00708333333</v>
      </c>
      <c r="Y43" s="310">
        <f t="shared" ca="1" si="496"/>
        <v>6.7986861400000003E-3</v>
      </c>
      <c r="Z43" s="311">
        <f t="shared" ca="1" si="589"/>
        <v>1.0000001300000001</v>
      </c>
      <c r="AA43" s="214"/>
      <c r="AB43" s="312" t="str">
        <f t="shared" ca="1" si="590"/>
        <v/>
      </c>
      <c r="AC43" s="252"/>
      <c r="AD43" s="199">
        <f t="shared" ref="AD43" ca="1" si="1292">AA43*$X43</f>
        <v>0</v>
      </c>
      <c r="AE43" s="199">
        <f t="shared" ref="AE43" ca="1" si="1293">AD43*$Z43</f>
        <v>0</v>
      </c>
      <c r="AF43" s="216">
        <f t="shared" ref="AF43" ca="1" si="1294">IFERROR(AE43/AA$4,0)</f>
        <v>0</v>
      </c>
      <c r="AG43" s="202">
        <f t="shared" ref="AG43" ca="1" si="1295">AH43/$X43</f>
        <v>0</v>
      </c>
      <c r="AH43" s="203">
        <f t="shared" ref="AH43" ca="1" si="1296">AI43/$Z43</f>
        <v>0</v>
      </c>
      <c r="AI43" s="203">
        <f t="shared" ref="AI43" ca="1" si="1297">AJ43*AA$4</f>
        <v>0</v>
      </c>
      <c r="AJ43" s="204">
        <f t="shared" ca="1" si="504"/>
        <v>0</v>
      </c>
      <c r="AK43" s="205"/>
      <c r="AL43" s="206">
        <f t="shared" ref="AL43" ca="1" si="1298">AK43*$X43</f>
        <v>0</v>
      </c>
      <c r="AM43" s="206">
        <f t="shared" ref="AM43" ca="1" si="1299">AL43*$Z43</f>
        <v>0</v>
      </c>
      <c r="AN43" s="207">
        <f t="shared" ref="AN43" ca="1" si="1300">IFERROR(AM43/AA$4,0)</f>
        <v>0</v>
      </c>
      <c r="AO43" s="313">
        <f t="shared" ref="AO43" si="1301">AA43+AK43</f>
        <v>0</v>
      </c>
      <c r="AP43" s="313">
        <f t="shared" ca="1" si="601"/>
        <v>0</v>
      </c>
      <c r="AQ43" s="313">
        <f t="shared" ref="AQ43" ca="1" si="1302">AP43*$Z43</f>
        <v>0</v>
      </c>
      <c r="AR43" s="314">
        <f t="shared" ref="AR43" ca="1" si="1303">IFERROR(AQ43/AA$4,0)</f>
        <v>0</v>
      </c>
      <c r="AS43" s="315" t="str">
        <f t="shared" ref="AS43" ca="1" si="1304">IF(SUM(AF43,AN43,AR43)&lt;&gt;0,"V","")</f>
        <v/>
      </c>
      <c r="AT43" s="214"/>
      <c r="AU43" s="312" t="str">
        <f t="shared" ca="1" si="604"/>
        <v/>
      </c>
      <c r="AV43" s="252"/>
      <c r="AW43" s="199">
        <f t="shared" ref="AW43" ca="1" si="1305">AT43*$X43</f>
        <v>0</v>
      </c>
      <c r="AX43" s="199">
        <f t="shared" ref="AX43" ca="1" si="1306">AW43*$Z43</f>
        <v>0</v>
      </c>
      <c r="AY43" s="216">
        <f t="shared" ref="AY43" ca="1" si="1307">IFERROR(AX43/AT$4,0)</f>
        <v>0</v>
      </c>
      <c r="AZ43" s="202">
        <f t="shared" ref="AZ43" ca="1" si="1308">BA43/$X43</f>
        <v>0</v>
      </c>
      <c r="BA43" s="203">
        <f t="shared" ref="BA43" ca="1" si="1309">BB43/$Z43</f>
        <v>0</v>
      </c>
      <c r="BB43" s="203">
        <f t="shared" ref="BB43" ca="1" si="1310">BC43*AT$4</f>
        <v>0</v>
      </c>
      <c r="BC43" s="204">
        <f t="shared" ca="1" si="515"/>
        <v>0</v>
      </c>
      <c r="BD43" s="205"/>
      <c r="BE43" s="206">
        <f t="shared" ref="BE43" ca="1" si="1311">BD43*$X43</f>
        <v>0</v>
      </c>
      <c r="BF43" s="206">
        <f t="shared" ref="BF43" ca="1" si="1312">BE43*$Z43</f>
        <v>0</v>
      </c>
      <c r="BG43" s="207">
        <f t="shared" ref="BG43" ca="1" si="1313">IFERROR(BF43/AT$4,0)</f>
        <v>0</v>
      </c>
      <c r="BH43" s="313">
        <f t="shared" ref="BH43" si="1314">AT43+BD43</f>
        <v>0</v>
      </c>
      <c r="BI43" s="313">
        <f t="shared" ca="1" si="615"/>
        <v>0</v>
      </c>
      <c r="BJ43" s="313">
        <f t="shared" ref="BJ43" ca="1" si="1315">BI43*$Z43</f>
        <v>0</v>
      </c>
      <c r="BK43" s="314">
        <f t="shared" ref="BK43" ca="1" si="1316">IFERROR(BJ43/AT$4,0)</f>
        <v>0</v>
      </c>
      <c r="BL43" s="211" t="str">
        <f t="shared" ref="BL43" ca="1" si="1317">IF(SUM(AY43,BG43,BK43)&lt;&gt;0,"V","")</f>
        <v/>
      </c>
      <c r="BM43" s="214"/>
      <c r="BN43" s="312" t="str">
        <f t="shared" ca="1" si="618"/>
        <v/>
      </c>
      <c r="BO43" s="252"/>
      <c r="BP43" s="199">
        <f t="shared" ref="BP43" ca="1" si="1318">BM43*$X43</f>
        <v>0</v>
      </c>
      <c r="BQ43" s="199">
        <f t="shared" ref="BQ43" ca="1" si="1319">BP43*$Z43</f>
        <v>0</v>
      </c>
      <c r="BR43" s="216">
        <f t="shared" ref="BR43" ca="1" si="1320">IFERROR(BQ43/BM$4,0)</f>
        <v>0</v>
      </c>
      <c r="BS43" s="202">
        <f t="shared" ref="BS43" ca="1" si="1321">BT43/$X43</f>
        <v>0</v>
      </c>
      <c r="BT43" s="203">
        <f t="shared" ref="BT43" ca="1" si="1322">BU43/$Z43</f>
        <v>0</v>
      </c>
      <c r="BU43" s="203">
        <f t="shared" ref="BU43" ca="1" si="1323">BV43*BM$4</f>
        <v>0</v>
      </c>
      <c r="BV43" s="204">
        <f t="shared" ca="1" si="526"/>
        <v>0</v>
      </c>
      <c r="BW43" s="205"/>
      <c r="BX43" s="206">
        <f t="shared" ref="BX43" ca="1" si="1324">BW43*$X43</f>
        <v>0</v>
      </c>
      <c r="BY43" s="206">
        <f t="shared" ref="BY43" ca="1" si="1325">BX43*$Z43</f>
        <v>0</v>
      </c>
      <c r="BZ43" s="207">
        <f t="shared" ref="BZ43" ca="1" si="1326">IFERROR(BY43/BM$4,0)</f>
        <v>0</v>
      </c>
      <c r="CA43" s="313">
        <f t="shared" ref="CA43" si="1327">BM43+BW43</f>
        <v>0</v>
      </c>
      <c r="CB43" s="313">
        <f t="shared" ca="1" si="629"/>
        <v>0</v>
      </c>
      <c r="CC43" s="313">
        <f t="shared" ref="CC43" ca="1" si="1328">CB43*$Z43</f>
        <v>0</v>
      </c>
      <c r="CD43" s="314">
        <f t="shared" ref="CD43" ca="1" si="1329">IFERROR(CC43/BM$4,0)</f>
        <v>0</v>
      </c>
      <c r="CE43" s="211" t="str">
        <f t="shared" ref="CE43" ca="1" si="1330">IF(SUM(BR43,BZ43,CD43)&lt;&gt;0,"V","")</f>
        <v/>
      </c>
      <c r="CF43" s="214"/>
      <c r="CG43" s="312" t="str">
        <f t="shared" ca="1" si="632"/>
        <v/>
      </c>
      <c r="CH43" s="215"/>
      <c r="CI43" s="199">
        <f t="shared" ref="CI43" ca="1" si="1331">CF43*$X43</f>
        <v>0</v>
      </c>
      <c r="CJ43" s="199">
        <f t="shared" ref="CJ43" ca="1" si="1332">CI43*$Z43</f>
        <v>0</v>
      </c>
      <c r="CK43" s="216">
        <f t="shared" ref="CK43" ca="1" si="1333">IFERROR(CJ43/CF$4,0)</f>
        <v>0</v>
      </c>
      <c r="CL43" s="202">
        <f t="shared" ref="CL43" ca="1" si="1334">CM43/$X43</f>
        <v>0</v>
      </c>
      <c r="CM43" s="203">
        <f t="shared" ref="CM43" ca="1" si="1335">CN43/$Z43</f>
        <v>0</v>
      </c>
      <c r="CN43" s="203">
        <f t="shared" ref="CN43" ca="1" si="1336">CO43*CF$4</f>
        <v>0</v>
      </c>
      <c r="CO43" s="204">
        <f t="shared" ca="1" si="537"/>
        <v>0</v>
      </c>
      <c r="CP43" s="205"/>
      <c r="CQ43" s="206">
        <f t="shared" ref="CQ43" ca="1" si="1337">CP43*$X43</f>
        <v>0</v>
      </c>
      <c r="CR43" s="206">
        <f t="shared" ref="CR43" ca="1" si="1338">CQ43*$Z43</f>
        <v>0</v>
      </c>
      <c r="CS43" s="207">
        <f t="shared" ref="CS43" ca="1" si="1339">IFERROR(CR43/CF$4,0)</f>
        <v>0</v>
      </c>
      <c r="CT43" s="313">
        <f t="shared" ref="CT43" si="1340">CF43+CP43</f>
        <v>0</v>
      </c>
      <c r="CU43" s="313">
        <f t="shared" ca="1" si="643"/>
        <v>0</v>
      </c>
      <c r="CV43" s="313">
        <f t="shared" ref="CV43" ca="1" si="1341">CU43*$Z43</f>
        <v>0</v>
      </c>
      <c r="CW43" s="314">
        <f t="shared" ref="CW43" ca="1" si="1342">IFERROR(CV43/CF$4,0)</f>
        <v>0</v>
      </c>
      <c r="CX43" s="211" t="str">
        <f t="shared" ref="CX43" ca="1" si="1343">IF(SUM(CK43,CS43,CW43)&lt;&gt;0,"V","")</f>
        <v/>
      </c>
      <c r="CY43" s="197"/>
      <c r="CZ43" s="312" t="str">
        <f t="shared" ca="1" si="646"/>
        <v/>
      </c>
      <c r="DA43" s="252"/>
      <c r="DB43" s="199">
        <f t="shared" ref="DB43" ca="1" si="1344">CY43*$X43</f>
        <v>0</v>
      </c>
      <c r="DC43" s="199">
        <f t="shared" ref="DC43" ca="1" si="1345">DB43*$Z43</f>
        <v>0</v>
      </c>
      <c r="DD43" s="216">
        <f t="shared" ref="DD43" ca="1" si="1346">IFERROR(DC43/CY$4,0)</f>
        <v>0</v>
      </c>
      <c r="DE43" s="202">
        <f t="shared" ref="DE43" ca="1" si="1347">DF43/$X43</f>
        <v>0</v>
      </c>
      <c r="DF43" s="203">
        <f t="shared" ref="DF43" ca="1" si="1348">DG43/$Z43</f>
        <v>0</v>
      </c>
      <c r="DG43" s="203">
        <f t="shared" ref="DG43" ca="1" si="1349">DH43*CY$4</f>
        <v>0</v>
      </c>
      <c r="DH43" s="204">
        <f t="shared" ca="1" si="548"/>
        <v>0</v>
      </c>
      <c r="DI43" s="205"/>
      <c r="DJ43" s="206">
        <f t="shared" ref="DJ43" ca="1" si="1350">DI43*$X43</f>
        <v>0</v>
      </c>
      <c r="DK43" s="206">
        <f t="shared" ref="DK43" ca="1" si="1351">DJ43*$Z43</f>
        <v>0</v>
      </c>
      <c r="DL43" s="207">
        <f t="shared" ref="DL43" ca="1" si="1352">IFERROR(DK43/CY$4,0)</f>
        <v>0</v>
      </c>
      <c r="DM43" s="313">
        <f t="shared" ref="DM43" si="1353">CY43+DI43</f>
        <v>0</v>
      </c>
      <c r="DN43" s="313">
        <f t="shared" ca="1" si="655"/>
        <v>0</v>
      </c>
      <c r="DO43" s="313">
        <f t="shared" ref="DO43" ca="1" si="1354">DN43*$Z43</f>
        <v>0</v>
      </c>
      <c r="DP43" s="314">
        <f t="shared" ref="DP43" ca="1" si="1355">IFERROR(DO43/CY$4,0)</f>
        <v>0</v>
      </c>
      <c r="DQ43" s="315" t="str">
        <f t="shared" ref="DQ43" ca="1" si="1356">IF(SUM(DD43,DL43,DP43)&lt;&gt;0,"V","")</f>
        <v/>
      </c>
      <c r="DR43" s="197"/>
      <c r="DS43" s="312" t="str">
        <f t="shared" ca="1" si="554"/>
        <v/>
      </c>
      <c r="DT43" s="252"/>
      <c r="DU43" s="199">
        <f t="shared" ca="1" si="555"/>
        <v>0</v>
      </c>
      <c r="DV43" s="199">
        <f t="shared" ca="1" si="556"/>
        <v>0</v>
      </c>
      <c r="DW43" s="216">
        <f t="shared" ca="1" si="477"/>
        <v>0</v>
      </c>
      <c r="DX43" s="202">
        <f t="shared" ca="1" si="557"/>
        <v>0</v>
      </c>
      <c r="DY43" s="203">
        <f t="shared" ca="1" si="558"/>
        <v>0</v>
      </c>
      <c r="DZ43" s="203">
        <f t="shared" ca="1" si="559"/>
        <v>0</v>
      </c>
      <c r="EA43" s="204">
        <f t="shared" ca="1" si="560"/>
        <v>0</v>
      </c>
      <c r="EB43" s="205"/>
      <c r="EC43" s="206">
        <f t="shared" ca="1" si="561"/>
        <v>0</v>
      </c>
      <c r="ED43" s="206">
        <f t="shared" ca="1" si="562"/>
        <v>0</v>
      </c>
      <c r="EE43" s="207">
        <f t="shared" ca="1" si="478"/>
        <v>0</v>
      </c>
      <c r="EF43" s="313">
        <f t="shared" si="657"/>
        <v>0</v>
      </c>
      <c r="EG43" s="313">
        <f t="shared" ca="1" si="563"/>
        <v>0</v>
      </c>
      <c r="EH43" s="313">
        <f t="shared" ca="1" si="564"/>
        <v>0</v>
      </c>
      <c r="EI43" s="314">
        <f t="shared" ca="1" si="479"/>
        <v>0</v>
      </c>
      <c r="EJ43" s="214"/>
      <c r="EK43" s="312" t="str">
        <f t="shared" ca="1" si="658"/>
        <v/>
      </c>
      <c r="EL43" s="252"/>
      <c r="EM43" s="199">
        <f t="shared" ref="EM43" ca="1" si="1357">EJ43*$X43</f>
        <v>0</v>
      </c>
      <c r="EN43" s="199">
        <f t="shared" ref="EN43" ca="1" si="1358">EM43*$Z43</f>
        <v>0</v>
      </c>
      <c r="EO43" s="216">
        <f t="shared" ref="EO43" ca="1" si="1359">IFERROR(EN43/EJ$4,0)</f>
        <v>0</v>
      </c>
      <c r="EP43" s="202">
        <f t="shared" ref="EP43" ca="1" si="1360">EQ43/$X43</f>
        <v>0</v>
      </c>
      <c r="EQ43" s="203">
        <f t="shared" ref="EQ43" ca="1" si="1361">ER43/$Z43</f>
        <v>0</v>
      </c>
      <c r="ER43" s="203">
        <f t="shared" ref="ER43" ca="1" si="1362">ES43*EJ$4</f>
        <v>0</v>
      </c>
      <c r="ES43" s="204">
        <f t="shared" ca="1" si="571"/>
        <v>0</v>
      </c>
      <c r="ET43" s="205"/>
      <c r="EU43" s="206">
        <f t="shared" ref="EU43" ca="1" si="1363">ET43*$X43</f>
        <v>0</v>
      </c>
      <c r="EV43" s="206">
        <f t="shared" ref="EV43" ca="1" si="1364">EU43*$Z43</f>
        <v>0</v>
      </c>
      <c r="EW43" s="207">
        <f t="shared" ref="EW43" ca="1" si="1365">IFERROR(EV43/EJ$4,0)</f>
        <v>0</v>
      </c>
      <c r="EX43" s="313">
        <f t="shared" ref="EX43" si="1366">EJ43+ET43</f>
        <v>0</v>
      </c>
      <c r="EY43" s="313">
        <f t="shared" ca="1" si="669"/>
        <v>0</v>
      </c>
      <c r="EZ43" s="313">
        <f t="shared" ref="EZ43" ca="1" si="1367">EY43*$Z43</f>
        <v>0</v>
      </c>
      <c r="FA43" s="314">
        <f t="shared" ref="FA43" ca="1" si="1368">IFERROR(EZ43/EJ$4,0)</f>
        <v>0</v>
      </c>
      <c r="FB43" s="211" t="str">
        <f t="shared" ref="FB43" ca="1" si="1369">IF(SUM(EO43,EW43,FA43)&lt;&gt;0,"V","")</f>
        <v/>
      </c>
      <c r="FC43" s="214">
        <v>100000</v>
      </c>
      <c r="FD43" s="312">
        <f t="shared" ca="1" si="672"/>
        <v>3.5774280911241352E-2</v>
      </c>
      <c r="FE43" s="252">
        <v>0.97230000000000005</v>
      </c>
      <c r="FF43" s="199">
        <f t="shared" ref="FF43" ca="1" si="1370">FC43*$X43</f>
        <v>100708.333333</v>
      </c>
      <c r="FG43" s="199">
        <f t="shared" ref="FG43" ca="1" si="1371">FF43*$Z43</f>
        <v>100708.34642508335</v>
      </c>
      <c r="FH43" s="216">
        <f t="shared" ref="FH43" ca="1" si="1372">IFERROR(FG43/FC$4,0)</f>
        <v>2.209666103009144E-2</v>
      </c>
      <c r="FI43" s="202">
        <f t="shared" ref="FI43" ca="1" si="1373">FJ43/$X43</f>
        <v>-100000</v>
      </c>
      <c r="FJ43" s="203">
        <f t="shared" ref="FJ43" ca="1" si="1374">FK43/$Z43</f>
        <v>-100708.333333</v>
      </c>
      <c r="FK43" s="203">
        <f t="shared" ref="FK43" ca="1" si="1375">FL43*FC$4</f>
        <v>-100708.34642508335</v>
      </c>
      <c r="FL43" s="204">
        <f t="shared" ca="1" si="582"/>
        <v>-2.209666103009144E-2</v>
      </c>
      <c r="FM43" s="205"/>
      <c r="FN43" s="206">
        <f t="shared" ref="FN43" ca="1" si="1376">FM43*$X43</f>
        <v>0</v>
      </c>
      <c r="FO43" s="206">
        <f t="shared" ref="FO43" ca="1" si="1377">FN43*$Z43</f>
        <v>0</v>
      </c>
      <c r="FP43" s="207">
        <f t="shared" ref="FP43" ca="1" si="1378">IFERROR(FO43/FC$4,0)</f>
        <v>0</v>
      </c>
      <c r="FQ43" s="313">
        <f t="shared" ref="FQ43" si="1379">FC43+FM43</f>
        <v>100000</v>
      </c>
      <c r="FR43" s="313">
        <f t="shared" ca="1" si="683"/>
        <v>100708.333333</v>
      </c>
      <c r="FS43" s="313">
        <f t="shared" ref="FS43" ca="1" si="1380">FR43*$Z43</f>
        <v>100708.34642508335</v>
      </c>
      <c r="FT43" s="314">
        <f t="shared" ref="FT43" ca="1" si="1381">IFERROR(FS43/FC$4,0)</f>
        <v>2.209666103009144E-2</v>
      </c>
      <c r="FU43" s="315" t="str">
        <f t="shared" ref="FU43" ca="1" si="1382">IF(SUM(FH43,FP43,FT43)&lt;&gt;0,"V","")</f>
        <v>V</v>
      </c>
    </row>
    <row r="44" spans="1:177" outlineLevel="2" x14ac:dyDescent="0.2">
      <c r="A44" s="298"/>
      <c r="B44" s="298"/>
      <c r="C44" s="299" t="str">
        <f t="shared" ca="1" si="487"/>
        <v>CH1118483747:CHF</v>
      </c>
      <c r="D44" s="300" t="str">
        <f t="shared" ca="1" si="488"/>
        <v>CH1118483747</v>
      </c>
      <c r="E44" s="301" t="str">
        <f t="shared" ca="1" si="488"/>
        <v>111848374</v>
      </c>
      <c r="F44" s="299" t="s">
        <v>521</v>
      </c>
      <c r="G44" s="316">
        <f t="shared" ca="1" si="488"/>
        <v>46954</v>
      </c>
      <c r="H44" s="1708" t="str">
        <f t="shared" ca="1" si="489"/>
        <v></v>
      </c>
      <c r="I44" s="1680" t="str">
        <f t="shared" ca="1" si="490"/>
        <v/>
      </c>
      <c r="J44" s="1708" t="str">
        <f t="shared" ca="1" si="1069"/>
        <v/>
      </c>
      <c r="K44" s="1709" t="str">
        <f t="shared" ca="1" si="1069"/>
        <v/>
      </c>
      <c r="L44" s="1710" t="str">
        <f t="shared" ca="1" si="492"/>
        <v/>
      </c>
      <c r="M44" s="298" t="str">
        <f t="shared" ca="1" si="493"/>
        <v>Pct</v>
      </c>
      <c r="N44" s="305"/>
      <c r="O44" s="305"/>
      <c r="P44" s="306">
        <f t="shared" ca="1" si="1"/>
        <v>0</v>
      </c>
      <c r="Q44" s="307">
        <f t="array" aca="1" ref="Q44" ca="1">SUM(IF($AA$15:$FT$15="I_pos",AA44:FT44))</f>
        <v>100000</v>
      </c>
      <c r="R44" s="307">
        <f t="array" aca="1" ref="R44" ca="1">SUM(IF($AA$15:$FT$15="P_Pos",AA44:FT44))</f>
        <v>-100000</v>
      </c>
      <c r="S44" s="304"/>
      <c r="T44" s="307"/>
      <c r="U44" s="308">
        <f t="shared" ca="1" si="494"/>
        <v>-2.5037556334501997E-3</v>
      </c>
      <c r="V44" s="307">
        <f t="array" aca="1" ref="V44" ca="1">SUM(IF($AA$15:$FT$15="O_Pos",AA44:FT44))</f>
        <v>0</v>
      </c>
      <c r="W44" s="299" t="str">
        <f t="shared" ca="1" si="588"/>
        <v>CHF</v>
      </c>
      <c r="X44" s="309">
        <f t="shared" ca="1" si="496"/>
        <v>0.99844680555999998</v>
      </c>
      <c r="Y44" s="310">
        <f t="shared" ca="1" si="496"/>
        <v>4.5855725599999999E-3</v>
      </c>
      <c r="Z44" s="311">
        <f t="shared" ca="1" si="589"/>
        <v>1.0000001300000001</v>
      </c>
      <c r="AA44" s="214"/>
      <c r="AB44" s="312" t="str">
        <f t="shared" ca="1" si="590"/>
        <v/>
      </c>
      <c r="AC44" s="252"/>
      <c r="AD44" s="199">
        <f t="shared" ref="AD44:AD45" ca="1" si="1383">AA44*$X44</f>
        <v>0</v>
      </c>
      <c r="AE44" s="199">
        <f t="shared" ref="AE44:AE45" ca="1" si="1384">AD44*$Z44</f>
        <v>0</v>
      </c>
      <c r="AF44" s="216">
        <f t="shared" ref="AF44:AF45" ca="1" si="1385">IFERROR(AE44/AA$4,0)</f>
        <v>0</v>
      </c>
      <c r="AG44" s="202">
        <f t="shared" ref="AG44:AG45" ca="1" si="1386">AH44/$X44</f>
        <v>0</v>
      </c>
      <c r="AH44" s="203">
        <f t="shared" ref="AH44:AH45" ca="1" si="1387">AI44/$Z44</f>
        <v>0</v>
      </c>
      <c r="AI44" s="203">
        <f t="shared" ref="AI44:AI45" ca="1" si="1388">AJ44*AA$4</f>
        <v>0</v>
      </c>
      <c r="AJ44" s="204">
        <f t="shared" ca="1" si="504"/>
        <v>0</v>
      </c>
      <c r="AK44" s="205"/>
      <c r="AL44" s="206">
        <f t="shared" ref="AL44:AL45" ca="1" si="1389">AK44*$X44</f>
        <v>0</v>
      </c>
      <c r="AM44" s="206">
        <f t="shared" ref="AM44:AM45" ca="1" si="1390">AL44*$Z44</f>
        <v>0</v>
      </c>
      <c r="AN44" s="207">
        <f t="shared" ref="AN44:AN45" ca="1" si="1391">IFERROR(AM44/AA$4,0)</f>
        <v>0</v>
      </c>
      <c r="AO44" s="313">
        <f t="shared" ref="AO44:AO45" si="1392">AA44+AK44</f>
        <v>0</v>
      </c>
      <c r="AP44" s="313">
        <f t="shared" ca="1" si="601"/>
        <v>0</v>
      </c>
      <c r="AQ44" s="313">
        <f t="shared" ref="AQ44:AQ45" ca="1" si="1393">AP44*$Z44</f>
        <v>0</v>
      </c>
      <c r="AR44" s="314">
        <f t="shared" ref="AR44:AR45" ca="1" si="1394">IFERROR(AQ44/AA$4,0)</f>
        <v>0</v>
      </c>
      <c r="AS44" s="315" t="str">
        <f t="shared" ca="1" si="29"/>
        <v/>
      </c>
      <c r="AT44" s="214"/>
      <c r="AU44" s="312" t="str">
        <f t="shared" ca="1" si="604"/>
        <v/>
      </c>
      <c r="AV44" s="252"/>
      <c r="AW44" s="199">
        <f t="shared" ref="AW44:AW45" ca="1" si="1395">AT44*$X44</f>
        <v>0</v>
      </c>
      <c r="AX44" s="199">
        <f t="shared" ref="AX44:AX45" ca="1" si="1396">AW44*$Z44</f>
        <v>0</v>
      </c>
      <c r="AY44" s="216">
        <f t="shared" ref="AY44:AY45" ca="1" si="1397">IFERROR(AX44/AT$4,0)</f>
        <v>0</v>
      </c>
      <c r="AZ44" s="202">
        <f t="shared" ref="AZ44:AZ45" ca="1" si="1398">BA44/$X44</f>
        <v>0</v>
      </c>
      <c r="BA44" s="203">
        <f t="shared" ref="BA44:BA45" ca="1" si="1399">BB44/$Z44</f>
        <v>0</v>
      </c>
      <c r="BB44" s="203">
        <f t="shared" ref="BB44:BB45" ca="1" si="1400">BC44*AT$4</f>
        <v>0</v>
      </c>
      <c r="BC44" s="204">
        <f t="shared" ca="1" si="515"/>
        <v>0</v>
      </c>
      <c r="BD44" s="205"/>
      <c r="BE44" s="206">
        <f t="shared" ref="BE44:BE45" ca="1" si="1401">BD44*$X44</f>
        <v>0</v>
      </c>
      <c r="BF44" s="206">
        <f t="shared" ref="BF44:BF45" ca="1" si="1402">BE44*$Z44</f>
        <v>0</v>
      </c>
      <c r="BG44" s="207">
        <f t="shared" ref="BG44:BG45" ca="1" si="1403">IFERROR(BF44/AT$4,0)</f>
        <v>0</v>
      </c>
      <c r="BH44" s="313">
        <f t="shared" ref="BH44:BH45" si="1404">AT44+BD44</f>
        <v>0</v>
      </c>
      <c r="BI44" s="313">
        <f t="shared" ca="1" si="615"/>
        <v>0</v>
      </c>
      <c r="BJ44" s="313">
        <f t="shared" ref="BJ44:BJ45" ca="1" si="1405">BI44*$Z44</f>
        <v>0</v>
      </c>
      <c r="BK44" s="314">
        <f t="shared" ref="BK44:BK45" ca="1" si="1406">IFERROR(BJ44/AT$4,0)</f>
        <v>0</v>
      </c>
      <c r="BL44" s="211" t="str">
        <f t="shared" ca="1" si="34"/>
        <v/>
      </c>
      <c r="BM44" s="214"/>
      <c r="BN44" s="312" t="str">
        <f t="shared" ca="1" si="618"/>
        <v/>
      </c>
      <c r="BO44" s="252"/>
      <c r="BP44" s="199">
        <f t="shared" ref="BP44:BP45" ca="1" si="1407">BM44*$X44</f>
        <v>0</v>
      </c>
      <c r="BQ44" s="199">
        <f t="shared" ref="BQ44:BQ45" ca="1" si="1408">BP44*$Z44</f>
        <v>0</v>
      </c>
      <c r="BR44" s="216">
        <f t="shared" ref="BR44:BR45" ca="1" si="1409">IFERROR(BQ44/BM$4,0)</f>
        <v>0</v>
      </c>
      <c r="BS44" s="202">
        <f t="shared" ref="BS44:BS45" ca="1" si="1410">BT44/$X44</f>
        <v>0</v>
      </c>
      <c r="BT44" s="203">
        <f t="shared" ref="BT44:BT45" ca="1" si="1411">BU44/$Z44</f>
        <v>0</v>
      </c>
      <c r="BU44" s="203">
        <f t="shared" ref="BU44:BU45" ca="1" si="1412">BV44*BM$4</f>
        <v>0</v>
      </c>
      <c r="BV44" s="204">
        <f t="shared" ca="1" si="526"/>
        <v>0</v>
      </c>
      <c r="BW44" s="205"/>
      <c r="BX44" s="206">
        <f t="shared" ref="BX44:BX45" ca="1" si="1413">BW44*$X44</f>
        <v>0</v>
      </c>
      <c r="BY44" s="206">
        <f t="shared" ref="BY44:BY45" ca="1" si="1414">BX44*$Z44</f>
        <v>0</v>
      </c>
      <c r="BZ44" s="207">
        <f t="shared" ref="BZ44:BZ45" ca="1" si="1415">IFERROR(BY44/BM$4,0)</f>
        <v>0</v>
      </c>
      <c r="CA44" s="313">
        <f t="shared" ref="CA44:CA45" si="1416">BM44+BW44</f>
        <v>0</v>
      </c>
      <c r="CB44" s="313">
        <f t="shared" ca="1" si="629"/>
        <v>0</v>
      </c>
      <c r="CC44" s="313">
        <f t="shared" ref="CC44:CC45" ca="1" si="1417">CB44*$Z44</f>
        <v>0</v>
      </c>
      <c r="CD44" s="314">
        <f t="shared" ref="CD44:CD45" ca="1" si="1418">IFERROR(CC44/BM$4,0)</f>
        <v>0</v>
      </c>
      <c r="CE44" s="211" t="str">
        <f t="shared" ca="1" si="39"/>
        <v/>
      </c>
      <c r="CF44" s="214"/>
      <c r="CG44" s="312" t="str">
        <f t="shared" ca="1" si="632"/>
        <v/>
      </c>
      <c r="CH44" s="215"/>
      <c r="CI44" s="199">
        <f t="shared" ref="CI44:CI45" ca="1" si="1419">CF44*$X44</f>
        <v>0</v>
      </c>
      <c r="CJ44" s="199">
        <f t="shared" ref="CJ44:CJ45" ca="1" si="1420">CI44*$Z44</f>
        <v>0</v>
      </c>
      <c r="CK44" s="216">
        <f t="shared" ref="CK44:CK45" ca="1" si="1421">IFERROR(CJ44/CF$4,0)</f>
        <v>0</v>
      </c>
      <c r="CL44" s="202">
        <f t="shared" ref="CL44:CL45" ca="1" si="1422">CM44/$X44</f>
        <v>0</v>
      </c>
      <c r="CM44" s="203">
        <f t="shared" ref="CM44:CM45" ca="1" si="1423">CN44/$Z44</f>
        <v>0</v>
      </c>
      <c r="CN44" s="203">
        <f t="shared" ref="CN44:CN45" ca="1" si="1424">CO44*CF$4</f>
        <v>0</v>
      </c>
      <c r="CO44" s="204">
        <f t="shared" ca="1" si="537"/>
        <v>0</v>
      </c>
      <c r="CP44" s="205"/>
      <c r="CQ44" s="206">
        <f t="shared" ref="CQ44:CQ45" ca="1" si="1425">CP44*$X44</f>
        <v>0</v>
      </c>
      <c r="CR44" s="206">
        <f t="shared" ref="CR44:CR45" ca="1" si="1426">CQ44*$Z44</f>
        <v>0</v>
      </c>
      <c r="CS44" s="207">
        <f t="shared" ref="CS44:CS45" ca="1" si="1427">IFERROR(CR44/CF$4,0)</f>
        <v>0</v>
      </c>
      <c r="CT44" s="313">
        <f t="shared" ref="CT44:CT45" si="1428">CF44+CP44</f>
        <v>0</v>
      </c>
      <c r="CU44" s="313">
        <f t="shared" ca="1" si="643"/>
        <v>0</v>
      </c>
      <c r="CV44" s="313">
        <f t="shared" ref="CV44:CV45" ca="1" si="1429">CU44*$Z44</f>
        <v>0</v>
      </c>
      <c r="CW44" s="314">
        <f t="shared" ref="CW44:CW45" ca="1" si="1430">IFERROR(CV44/CF$4,0)</f>
        <v>0</v>
      </c>
      <c r="CX44" s="211" t="str">
        <f t="shared" ca="1" si="47"/>
        <v/>
      </c>
      <c r="CY44" s="197">
        <v>100000</v>
      </c>
      <c r="CZ44" s="312">
        <f t="shared" ca="1" si="646"/>
        <v>-1.5531944400000164E-3</v>
      </c>
      <c r="DA44" s="252">
        <v>1</v>
      </c>
      <c r="DB44" s="199">
        <f t="shared" ca="1" si="647"/>
        <v>99844.680555999992</v>
      </c>
      <c r="DC44" s="199">
        <f t="shared" ca="1" si="648"/>
        <v>99844.693535808474</v>
      </c>
      <c r="DD44" s="216">
        <f t="shared" ca="1" si="10"/>
        <v>2.7847426065757096E-2</v>
      </c>
      <c r="DE44" s="202">
        <f t="shared" ca="1" si="649"/>
        <v>-100000</v>
      </c>
      <c r="DF44" s="203">
        <f t="shared" ca="1" si="650"/>
        <v>-99844.680555999992</v>
      </c>
      <c r="DG44" s="203">
        <f t="shared" ca="1" si="651"/>
        <v>-99844.693535808474</v>
      </c>
      <c r="DH44" s="204">
        <f t="shared" ca="1" si="548"/>
        <v>-2.7847426065757096E-2</v>
      </c>
      <c r="DI44" s="205"/>
      <c r="DJ44" s="206">
        <f t="shared" ca="1" si="652"/>
        <v>0</v>
      </c>
      <c r="DK44" s="206">
        <f t="shared" ca="1" si="653"/>
        <v>0</v>
      </c>
      <c r="DL44" s="207">
        <f t="shared" ca="1" si="11"/>
        <v>0</v>
      </c>
      <c r="DM44" s="313">
        <f t="shared" si="654"/>
        <v>100000</v>
      </c>
      <c r="DN44" s="313">
        <f t="shared" ca="1" si="655"/>
        <v>99844.680555999992</v>
      </c>
      <c r="DO44" s="313">
        <f t="shared" ca="1" si="656"/>
        <v>99844.693535808474</v>
      </c>
      <c r="DP44" s="314">
        <f t="shared" ca="1" si="475"/>
        <v>2.7847426065757096E-2</v>
      </c>
      <c r="DQ44" s="315" t="str">
        <f t="shared" ca="1" si="55"/>
        <v>V</v>
      </c>
      <c r="DR44" s="197"/>
      <c r="DS44" s="312" t="str">
        <f t="shared" ca="1" si="554"/>
        <v/>
      </c>
      <c r="DT44" s="252"/>
      <c r="DU44" s="199">
        <f t="shared" ca="1" si="555"/>
        <v>0</v>
      </c>
      <c r="DV44" s="199">
        <f t="shared" ca="1" si="556"/>
        <v>0</v>
      </c>
      <c r="DW44" s="216">
        <f t="shared" ca="1" si="477"/>
        <v>0</v>
      </c>
      <c r="DX44" s="202">
        <f t="shared" ca="1" si="557"/>
        <v>0</v>
      </c>
      <c r="DY44" s="203">
        <f t="shared" ca="1" si="558"/>
        <v>0</v>
      </c>
      <c r="DZ44" s="203">
        <f t="shared" ca="1" si="559"/>
        <v>0</v>
      </c>
      <c r="EA44" s="204">
        <f t="shared" ca="1" si="560"/>
        <v>0</v>
      </c>
      <c r="EB44" s="205"/>
      <c r="EC44" s="206">
        <f t="shared" ca="1" si="561"/>
        <v>0</v>
      </c>
      <c r="ED44" s="206">
        <f t="shared" ca="1" si="562"/>
        <v>0</v>
      </c>
      <c r="EE44" s="207">
        <f t="shared" ca="1" si="478"/>
        <v>0</v>
      </c>
      <c r="EF44" s="313">
        <f t="shared" si="657"/>
        <v>0</v>
      </c>
      <c r="EG44" s="313">
        <f t="shared" ca="1" si="563"/>
        <v>0</v>
      </c>
      <c r="EH44" s="313">
        <f t="shared" ca="1" si="564"/>
        <v>0</v>
      </c>
      <c r="EI44" s="314">
        <f t="shared" ca="1" si="479"/>
        <v>0</v>
      </c>
      <c r="EJ44" s="214"/>
      <c r="EK44" s="312" t="str">
        <f t="shared" ca="1" si="658"/>
        <v/>
      </c>
      <c r="EL44" s="252"/>
      <c r="EM44" s="199">
        <f t="shared" ref="EM44:EM45" ca="1" si="1431">EJ44*$X44</f>
        <v>0</v>
      </c>
      <c r="EN44" s="199">
        <f t="shared" ref="EN44:EN45" ca="1" si="1432">EM44*$Z44</f>
        <v>0</v>
      </c>
      <c r="EO44" s="216">
        <f t="shared" ref="EO44:EO45" ca="1" si="1433">IFERROR(EN44/EJ$4,0)</f>
        <v>0</v>
      </c>
      <c r="EP44" s="202">
        <f t="shared" ref="EP44:EP45" ca="1" si="1434">EQ44/$X44</f>
        <v>0</v>
      </c>
      <c r="EQ44" s="203">
        <f t="shared" ref="EQ44:EQ45" ca="1" si="1435">ER44/$Z44</f>
        <v>0</v>
      </c>
      <c r="ER44" s="203">
        <f t="shared" ref="ER44:ER45" ca="1" si="1436">ES44*EJ$4</f>
        <v>0</v>
      </c>
      <c r="ES44" s="204">
        <f t="shared" ca="1" si="571"/>
        <v>0</v>
      </c>
      <c r="ET44" s="205"/>
      <c r="EU44" s="206">
        <f t="shared" ref="EU44:EU45" ca="1" si="1437">ET44*$X44</f>
        <v>0</v>
      </c>
      <c r="EV44" s="206">
        <f t="shared" ref="EV44:EV45" ca="1" si="1438">EU44*$Z44</f>
        <v>0</v>
      </c>
      <c r="EW44" s="207">
        <f t="shared" ref="EW44:EW45" ca="1" si="1439">IFERROR(EV44/EJ$4,0)</f>
        <v>0</v>
      </c>
      <c r="EX44" s="313">
        <f t="shared" ref="EX44:EX45" si="1440">EJ44+ET44</f>
        <v>0</v>
      </c>
      <c r="EY44" s="313">
        <f t="shared" ca="1" si="669"/>
        <v>0</v>
      </c>
      <c r="EZ44" s="313">
        <f t="shared" ref="EZ44:EZ45" ca="1" si="1441">EY44*$Z44</f>
        <v>0</v>
      </c>
      <c r="FA44" s="314">
        <f t="shared" ref="FA44:FA45" ca="1" si="1442">IFERROR(EZ44/EJ$4,0)</f>
        <v>0</v>
      </c>
      <c r="FB44" s="211" t="str">
        <f t="shared" ca="1" si="66"/>
        <v/>
      </c>
      <c r="FC44" s="214"/>
      <c r="FD44" s="312" t="str">
        <f t="shared" ca="1" si="672"/>
        <v/>
      </c>
      <c r="FE44" s="252"/>
      <c r="FF44" s="199">
        <f t="shared" ref="FF44:FF45" ca="1" si="1443">FC44*$X44</f>
        <v>0</v>
      </c>
      <c r="FG44" s="199">
        <f t="shared" ref="FG44:FG45" ca="1" si="1444">FF44*$Z44</f>
        <v>0</v>
      </c>
      <c r="FH44" s="216">
        <f t="shared" ref="FH44:FH45" ca="1" si="1445">IFERROR(FG44/FC$4,0)</f>
        <v>0</v>
      </c>
      <c r="FI44" s="202">
        <f t="shared" ref="FI44:FI45" ca="1" si="1446">FJ44/$X44</f>
        <v>0</v>
      </c>
      <c r="FJ44" s="203">
        <f t="shared" ref="FJ44:FJ45" ca="1" si="1447">FK44/$Z44</f>
        <v>0</v>
      </c>
      <c r="FK44" s="203">
        <f t="shared" ref="FK44:FK45" ca="1" si="1448">FL44*FC$4</f>
        <v>0</v>
      </c>
      <c r="FL44" s="204">
        <f t="shared" ca="1" si="582"/>
        <v>0</v>
      </c>
      <c r="FM44" s="205"/>
      <c r="FN44" s="206">
        <f t="shared" ref="FN44:FN45" ca="1" si="1449">FM44*$X44</f>
        <v>0</v>
      </c>
      <c r="FO44" s="206">
        <f t="shared" ref="FO44:FO45" ca="1" si="1450">FN44*$Z44</f>
        <v>0</v>
      </c>
      <c r="FP44" s="207">
        <f t="shared" ref="FP44:FP45" ca="1" si="1451">IFERROR(FO44/FC$4,0)</f>
        <v>0</v>
      </c>
      <c r="FQ44" s="313">
        <f t="shared" ref="FQ44:FQ45" si="1452">FC44+FM44</f>
        <v>0</v>
      </c>
      <c r="FR44" s="313">
        <f t="shared" ca="1" si="683"/>
        <v>0</v>
      </c>
      <c r="FS44" s="313">
        <f t="shared" ref="FS44:FS45" ca="1" si="1453">FR44*$Z44</f>
        <v>0</v>
      </c>
      <c r="FT44" s="314">
        <f t="shared" ref="FT44:FT45" ca="1" si="1454">IFERROR(FS44/FC$4,0)</f>
        <v>0</v>
      </c>
      <c r="FU44" s="315" t="str">
        <f t="shared" ca="1" si="71"/>
        <v/>
      </c>
    </row>
    <row r="45" spans="1:177" outlineLevel="2" x14ac:dyDescent="0.2">
      <c r="A45" s="298"/>
      <c r="B45" s="298"/>
      <c r="C45" s="299" t="str">
        <f t="shared" ca="1" si="487"/>
        <v>CH0506071130:CHF</v>
      </c>
      <c r="D45" s="300" t="str">
        <f t="shared" ca="1" si="488"/>
        <v>CH0506071130</v>
      </c>
      <c r="E45" s="301" t="str">
        <f t="shared" ca="1" si="488"/>
        <v>50607113</v>
      </c>
      <c r="F45" s="299" t="s">
        <v>735</v>
      </c>
      <c r="G45" s="316">
        <f t="shared" ca="1" si="488"/>
        <v>46972</v>
      </c>
      <c r="H45" s="1708" t="str">
        <f t="shared" ca="1" si="489"/>
        <v></v>
      </c>
      <c r="I45" s="1680" t="str">
        <f t="shared" ca="1" si="490"/>
        <v/>
      </c>
      <c r="J45" s="1708" t="str">
        <f t="shared" ca="1" si="1069"/>
        <v/>
      </c>
      <c r="K45" s="1709" t="str">
        <f t="shared" ca="1" si="1069"/>
        <v/>
      </c>
      <c r="L45" s="1710" t="str">
        <f t="shared" ca="1" si="492"/>
        <v/>
      </c>
      <c r="M45" s="298" t="str">
        <f t="shared" ca="1" si="493"/>
        <v>Pct</v>
      </c>
      <c r="N45" s="305"/>
      <c r="O45" s="305"/>
      <c r="P45" s="306">
        <f t="shared" ca="1" si="1"/>
        <v>0</v>
      </c>
      <c r="Q45" s="307">
        <f t="array" aca="1" ref="Q45" ca="1">SUM(IF($AA$15:$FT$15="I_pos",AA45:FT45))</f>
        <v>100000</v>
      </c>
      <c r="R45" s="307">
        <f t="array" aca="1" ref="R45" ca="1">SUM(IF($AA$15:$FT$15="P_Pos",AA45:FT45))</f>
        <v>-100000</v>
      </c>
      <c r="S45" s="304"/>
      <c r="T45" s="307"/>
      <c r="U45" s="308">
        <f t="shared" ca="1" si="494"/>
        <v>-1.5082956259426E-3</v>
      </c>
      <c r="V45" s="307">
        <f t="array" aca="1" ref="V45" ca="1">SUM(IF($AA$15:$FT$15="O_Pos",AA45:FT45))</f>
        <v>0</v>
      </c>
      <c r="W45" s="299" t="str">
        <f t="shared" ca="1" si="588"/>
        <v>CHF</v>
      </c>
      <c r="X45" s="309">
        <f t="shared" ca="1" si="496"/>
        <v>0.99299999999999999</v>
      </c>
      <c r="Y45" s="310">
        <f t="shared" ca="1" si="496"/>
        <v>3.1128342699999999E-3</v>
      </c>
      <c r="Z45" s="311">
        <f t="shared" ca="1" si="589"/>
        <v>1.0000001300000001</v>
      </c>
      <c r="AA45" s="214"/>
      <c r="AB45" s="312" t="str">
        <f t="shared" ca="1" si="590"/>
        <v/>
      </c>
      <c r="AC45" s="252"/>
      <c r="AD45" s="199">
        <f t="shared" ca="1" si="1383"/>
        <v>0</v>
      </c>
      <c r="AE45" s="199">
        <f t="shared" ca="1" si="1384"/>
        <v>0</v>
      </c>
      <c r="AF45" s="216">
        <f t="shared" ca="1" si="1385"/>
        <v>0</v>
      </c>
      <c r="AG45" s="202">
        <f t="shared" ca="1" si="1386"/>
        <v>0</v>
      </c>
      <c r="AH45" s="203">
        <f t="shared" ca="1" si="1387"/>
        <v>0</v>
      </c>
      <c r="AI45" s="203">
        <f t="shared" ca="1" si="1388"/>
        <v>0</v>
      </c>
      <c r="AJ45" s="204">
        <f t="shared" ca="1" si="504"/>
        <v>0</v>
      </c>
      <c r="AK45" s="205"/>
      <c r="AL45" s="206">
        <f t="shared" ca="1" si="1389"/>
        <v>0</v>
      </c>
      <c r="AM45" s="206">
        <f t="shared" ca="1" si="1390"/>
        <v>0</v>
      </c>
      <c r="AN45" s="207">
        <f t="shared" ca="1" si="1391"/>
        <v>0</v>
      </c>
      <c r="AO45" s="313">
        <f t="shared" si="1392"/>
        <v>0</v>
      </c>
      <c r="AP45" s="313">
        <f t="shared" ca="1" si="601"/>
        <v>0</v>
      </c>
      <c r="AQ45" s="313">
        <f t="shared" ca="1" si="1393"/>
        <v>0</v>
      </c>
      <c r="AR45" s="314">
        <f t="shared" ca="1" si="1394"/>
        <v>0</v>
      </c>
      <c r="AS45" s="315" t="str">
        <f t="shared" ca="1" si="29"/>
        <v/>
      </c>
      <c r="AT45" s="214"/>
      <c r="AU45" s="312" t="str">
        <f t="shared" ca="1" si="604"/>
        <v/>
      </c>
      <c r="AV45" s="252"/>
      <c r="AW45" s="199">
        <f t="shared" ca="1" si="1395"/>
        <v>0</v>
      </c>
      <c r="AX45" s="199">
        <f t="shared" ca="1" si="1396"/>
        <v>0</v>
      </c>
      <c r="AY45" s="216">
        <f t="shared" ca="1" si="1397"/>
        <v>0</v>
      </c>
      <c r="AZ45" s="202">
        <f t="shared" ca="1" si="1398"/>
        <v>0</v>
      </c>
      <c r="BA45" s="203">
        <f t="shared" ca="1" si="1399"/>
        <v>0</v>
      </c>
      <c r="BB45" s="203">
        <f t="shared" ca="1" si="1400"/>
        <v>0</v>
      </c>
      <c r="BC45" s="204">
        <f t="shared" ca="1" si="515"/>
        <v>0</v>
      </c>
      <c r="BD45" s="205"/>
      <c r="BE45" s="206">
        <f t="shared" ca="1" si="1401"/>
        <v>0</v>
      </c>
      <c r="BF45" s="206">
        <f t="shared" ca="1" si="1402"/>
        <v>0</v>
      </c>
      <c r="BG45" s="207">
        <f t="shared" ca="1" si="1403"/>
        <v>0</v>
      </c>
      <c r="BH45" s="313">
        <f t="shared" si="1404"/>
        <v>0</v>
      </c>
      <c r="BI45" s="313">
        <f t="shared" ca="1" si="615"/>
        <v>0</v>
      </c>
      <c r="BJ45" s="313">
        <f t="shared" ca="1" si="1405"/>
        <v>0</v>
      </c>
      <c r="BK45" s="314">
        <f t="shared" ca="1" si="1406"/>
        <v>0</v>
      </c>
      <c r="BL45" s="211" t="str">
        <f t="shared" ca="1" si="34"/>
        <v/>
      </c>
      <c r="BM45" s="214"/>
      <c r="BN45" s="312" t="str">
        <f t="shared" ca="1" si="618"/>
        <v/>
      </c>
      <c r="BO45" s="252"/>
      <c r="BP45" s="199">
        <f t="shared" ca="1" si="1407"/>
        <v>0</v>
      </c>
      <c r="BQ45" s="199">
        <f t="shared" ca="1" si="1408"/>
        <v>0</v>
      </c>
      <c r="BR45" s="216">
        <f t="shared" ca="1" si="1409"/>
        <v>0</v>
      </c>
      <c r="BS45" s="202">
        <f t="shared" ca="1" si="1410"/>
        <v>0</v>
      </c>
      <c r="BT45" s="203">
        <f t="shared" ca="1" si="1411"/>
        <v>0</v>
      </c>
      <c r="BU45" s="203">
        <f t="shared" ca="1" si="1412"/>
        <v>0</v>
      </c>
      <c r="BV45" s="204">
        <f t="shared" ca="1" si="526"/>
        <v>0</v>
      </c>
      <c r="BW45" s="205"/>
      <c r="BX45" s="206">
        <f t="shared" ca="1" si="1413"/>
        <v>0</v>
      </c>
      <c r="BY45" s="206">
        <f t="shared" ca="1" si="1414"/>
        <v>0</v>
      </c>
      <c r="BZ45" s="207">
        <f t="shared" ca="1" si="1415"/>
        <v>0</v>
      </c>
      <c r="CA45" s="313">
        <f t="shared" si="1416"/>
        <v>0</v>
      </c>
      <c r="CB45" s="313">
        <f t="shared" ca="1" si="629"/>
        <v>0</v>
      </c>
      <c r="CC45" s="313">
        <f t="shared" ca="1" si="1417"/>
        <v>0</v>
      </c>
      <c r="CD45" s="314">
        <f t="shared" ca="1" si="1418"/>
        <v>0</v>
      </c>
      <c r="CE45" s="211" t="str">
        <f t="shared" ca="1" si="39"/>
        <v/>
      </c>
      <c r="CF45" s="214"/>
      <c r="CG45" s="312" t="str">
        <f t="shared" ca="1" si="632"/>
        <v/>
      </c>
      <c r="CH45" s="215"/>
      <c r="CI45" s="199">
        <f t="shared" ca="1" si="1419"/>
        <v>0</v>
      </c>
      <c r="CJ45" s="199">
        <f t="shared" ca="1" si="1420"/>
        <v>0</v>
      </c>
      <c r="CK45" s="216">
        <f t="shared" ca="1" si="1421"/>
        <v>0</v>
      </c>
      <c r="CL45" s="202">
        <f t="shared" ca="1" si="1422"/>
        <v>0</v>
      </c>
      <c r="CM45" s="203">
        <f t="shared" ca="1" si="1423"/>
        <v>0</v>
      </c>
      <c r="CN45" s="203">
        <f t="shared" ca="1" si="1424"/>
        <v>0</v>
      </c>
      <c r="CO45" s="204">
        <f t="shared" ca="1" si="537"/>
        <v>0</v>
      </c>
      <c r="CP45" s="205"/>
      <c r="CQ45" s="206">
        <f t="shared" ca="1" si="1425"/>
        <v>0</v>
      </c>
      <c r="CR45" s="206">
        <f t="shared" ca="1" si="1426"/>
        <v>0</v>
      </c>
      <c r="CS45" s="207">
        <f t="shared" ca="1" si="1427"/>
        <v>0</v>
      </c>
      <c r="CT45" s="313">
        <f t="shared" si="1428"/>
        <v>0</v>
      </c>
      <c r="CU45" s="313">
        <f t="shared" ca="1" si="643"/>
        <v>0</v>
      </c>
      <c r="CV45" s="313">
        <f t="shared" ca="1" si="1429"/>
        <v>0</v>
      </c>
      <c r="CW45" s="314">
        <f t="shared" ca="1" si="1430"/>
        <v>0</v>
      </c>
      <c r="CX45" s="211" t="str">
        <f t="shared" ca="1" si="47"/>
        <v/>
      </c>
      <c r="CY45" s="197"/>
      <c r="CZ45" s="312">
        <f t="shared" ca="1" si="646"/>
        <v>-7.0000000000000062E-3</v>
      </c>
      <c r="DA45" s="252">
        <v>1</v>
      </c>
      <c r="DB45" s="199">
        <f t="shared" ref="DB45" ca="1" si="1455">CY45*$X45</f>
        <v>0</v>
      </c>
      <c r="DC45" s="199">
        <f t="shared" ref="DC45" ca="1" si="1456">DB45*$Z45</f>
        <v>0</v>
      </c>
      <c r="DD45" s="216">
        <f t="shared" ref="DD45" ca="1" si="1457">IFERROR(DC45/CY$4,0)</f>
        <v>0</v>
      </c>
      <c r="DE45" s="202">
        <f t="shared" ref="DE45" ca="1" si="1458">DF45/$X45</f>
        <v>0</v>
      </c>
      <c r="DF45" s="203">
        <f t="shared" ref="DF45" ca="1" si="1459">DG45/$Z45</f>
        <v>0</v>
      </c>
      <c r="DG45" s="203">
        <f t="shared" ref="DG45" ca="1" si="1460">DH45*CY$4</f>
        <v>0</v>
      </c>
      <c r="DH45" s="204">
        <f t="shared" ca="1" si="548"/>
        <v>0</v>
      </c>
      <c r="DI45" s="205"/>
      <c r="DJ45" s="206">
        <f t="shared" ref="DJ45" ca="1" si="1461">DI45*$X45</f>
        <v>0</v>
      </c>
      <c r="DK45" s="206">
        <f t="shared" ref="DK45" ca="1" si="1462">DJ45*$Z45</f>
        <v>0</v>
      </c>
      <c r="DL45" s="207">
        <f t="shared" ref="DL45" ca="1" si="1463">IFERROR(DK45/CY$4,0)</f>
        <v>0</v>
      </c>
      <c r="DM45" s="313">
        <f t="shared" ref="DM45" si="1464">CY45+DI45</f>
        <v>0</v>
      </c>
      <c r="DN45" s="313">
        <f t="shared" ca="1" si="655"/>
        <v>0</v>
      </c>
      <c r="DO45" s="313">
        <f t="shared" ref="DO45" ca="1" si="1465">DN45*$Z45</f>
        <v>0</v>
      </c>
      <c r="DP45" s="314">
        <f t="shared" ref="DP45" ca="1" si="1466">IFERROR(DO45/CY$4,0)</f>
        <v>0</v>
      </c>
      <c r="DQ45" s="315" t="str">
        <f t="shared" ca="1" si="55"/>
        <v/>
      </c>
      <c r="DR45" s="197"/>
      <c r="DS45" s="312" t="str">
        <f t="shared" ca="1" si="554"/>
        <v/>
      </c>
      <c r="DT45" s="252"/>
      <c r="DU45" s="199">
        <f t="shared" ca="1" si="555"/>
        <v>0</v>
      </c>
      <c r="DV45" s="199">
        <f t="shared" ca="1" si="556"/>
        <v>0</v>
      </c>
      <c r="DW45" s="216">
        <f t="shared" ca="1" si="477"/>
        <v>0</v>
      </c>
      <c r="DX45" s="202">
        <f t="shared" ca="1" si="557"/>
        <v>0</v>
      </c>
      <c r="DY45" s="203">
        <f t="shared" ca="1" si="558"/>
        <v>0</v>
      </c>
      <c r="DZ45" s="203">
        <f t="shared" ca="1" si="559"/>
        <v>0</v>
      </c>
      <c r="EA45" s="204">
        <f t="shared" ca="1" si="560"/>
        <v>0</v>
      </c>
      <c r="EB45" s="205"/>
      <c r="EC45" s="206">
        <f t="shared" ca="1" si="561"/>
        <v>0</v>
      </c>
      <c r="ED45" s="206">
        <f t="shared" ca="1" si="562"/>
        <v>0</v>
      </c>
      <c r="EE45" s="207">
        <f t="shared" ca="1" si="478"/>
        <v>0</v>
      </c>
      <c r="EF45" s="313">
        <f t="shared" si="657"/>
        <v>0</v>
      </c>
      <c r="EG45" s="313">
        <f t="shared" ca="1" si="563"/>
        <v>0</v>
      </c>
      <c r="EH45" s="313">
        <f t="shared" ca="1" si="564"/>
        <v>0</v>
      </c>
      <c r="EI45" s="314">
        <f t="shared" ca="1" si="479"/>
        <v>0</v>
      </c>
      <c r="EJ45" s="214"/>
      <c r="EK45" s="312" t="str">
        <f t="shared" ca="1" si="658"/>
        <v/>
      </c>
      <c r="EL45" s="252"/>
      <c r="EM45" s="199">
        <f t="shared" ca="1" si="1431"/>
        <v>0</v>
      </c>
      <c r="EN45" s="199">
        <f t="shared" ca="1" si="1432"/>
        <v>0</v>
      </c>
      <c r="EO45" s="216">
        <f t="shared" ca="1" si="1433"/>
        <v>0</v>
      </c>
      <c r="EP45" s="202">
        <f t="shared" ca="1" si="1434"/>
        <v>0</v>
      </c>
      <c r="EQ45" s="203">
        <f t="shared" ca="1" si="1435"/>
        <v>0</v>
      </c>
      <c r="ER45" s="203">
        <f t="shared" ca="1" si="1436"/>
        <v>0</v>
      </c>
      <c r="ES45" s="204">
        <f t="shared" ca="1" si="571"/>
        <v>0</v>
      </c>
      <c r="ET45" s="205"/>
      <c r="EU45" s="206">
        <f t="shared" ca="1" si="1437"/>
        <v>0</v>
      </c>
      <c r="EV45" s="206">
        <f t="shared" ca="1" si="1438"/>
        <v>0</v>
      </c>
      <c r="EW45" s="207">
        <f t="shared" ca="1" si="1439"/>
        <v>0</v>
      </c>
      <c r="EX45" s="313">
        <f t="shared" si="1440"/>
        <v>0</v>
      </c>
      <c r="EY45" s="313">
        <f t="shared" ca="1" si="669"/>
        <v>0</v>
      </c>
      <c r="EZ45" s="313">
        <f t="shared" ca="1" si="1441"/>
        <v>0</v>
      </c>
      <c r="FA45" s="314">
        <f t="shared" ca="1" si="1442"/>
        <v>0</v>
      </c>
      <c r="FB45" s="211" t="str">
        <f t="shared" ca="1" si="66"/>
        <v/>
      </c>
      <c r="FC45" s="214">
        <v>100000</v>
      </c>
      <c r="FD45" s="312">
        <f t="shared" ca="1" si="672"/>
        <v>6.476517263564241E-2</v>
      </c>
      <c r="FE45" s="252">
        <v>0.93259999999999998</v>
      </c>
      <c r="FF45" s="199">
        <f t="shared" ca="1" si="1443"/>
        <v>99300</v>
      </c>
      <c r="FG45" s="199">
        <f t="shared" ca="1" si="1444"/>
        <v>99300.012909000012</v>
      </c>
      <c r="FH45" s="216">
        <f t="shared" ca="1" si="1445"/>
        <v>2.1787655178770467E-2</v>
      </c>
      <c r="FI45" s="202">
        <f t="shared" ca="1" si="1446"/>
        <v>-100000</v>
      </c>
      <c r="FJ45" s="203">
        <f t="shared" ca="1" si="1447"/>
        <v>-99300</v>
      </c>
      <c r="FK45" s="203">
        <f t="shared" ca="1" si="1448"/>
        <v>-99300.012909000012</v>
      </c>
      <c r="FL45" s="204">
        <f t="shared" ca="1" si="582"/>
        <v>-2.1787655178770467E-2</v>
      </c>
      <c r="FM45" s="205"/>
      <c r="FN45" s="206">
        <f t="shared" ca="1" si="1449"/>
        <v>0</v>
      </c>
      <c r="FO45" s="206">
        <f t="shared" ca="1" si="1450"/>
        <v>0</v>
      </c>
      <c r="FP45" s="207">
        <f t="shared" ca="1" si="1451"/>
        <v>0</v>
      </c>
      <c r="FQ45" s="313">
        <f t="shared" si="1452"/>
        <v>100000</v>
      </c>
      <c r="FR45" s="313">
        <f t="shared" ca="1" si="683"/>
        <v>99300</v>
      </c>
      <c r="FS45" s="313">
        <f t="shared" ca="1" si="1453"/>
        <v>99300.012909000012</v>
      </c>
      <c r="FT45" s="314">
        <f t="shared" ca="1" si="1454"/>
        <v>2.1787655178770467E-2</v>
      </c>
      <c r="FU45" s="315" t="str">
        <f t="shared" ca="1" si="71"/>
        <v>V</v>
      </c>
    </row>
    <row r="46" spans="1:177" outlineLevel="2" x14ac:dyDescent="0.2">
      <c r="A46" s="298"/>
      <c r="B46" s="298"/>
      <c r="C46" s="299" t="str">
        <f t="shared" ca="1" si="487"/>
        <v>CH1132966263:CHF</v>
      </c>
      <c r="D46" s="300" t="str">
        <f t="shared" ca="1" si="488"/>
        <v>CH1132966263</v>
      </c>
      <c r="E46" s="301" t="str">
        <f t="shared" ca="1" si="488"/>
        <v>113296626</v>
      </c>
      <c r="F46" s="299" t="s">
        <v>576</v>
      </c>
      <c r="G46" s="316">
        <f t="shared" ca="1" si="488"/>
        <v>47003</v>
      </c>
      <c r="H46" s="1708" t="str">
        <f t="shared" ca="1" si="489"/>
        <v></v>
      </c>
      <c r="I46" s="1680" t="str">
        <f t="shared" ca="1" si="490"/>
        <v/>
      </c>
      <c r="J46" s="1708" t="str">
        <f t="shared" ca="1" si="1069"/>
        <v/>
      </c>
      <c r="K46" s="1709" t="str">
        <f t="shared" ca="1" si="1069"/>
        <v/>
      </c>
      <c r="L46" s="1710" t="str">
        <f t="shared" ca="1" si="492"/>
        <v/>
      </c>
      <c r="M46" s="298" t="str">
        <f t="shared" ca="1" si="493"/>
        <v>Pct</v>
      </c>
      <c r="N46" s="305">
        <v>0.04</v>
      </c>
      <c r="O46" s="305">
        <v>0.04</v>
      </c>
      <c r="P46" s="306">
        <f t="shared" ca="1" si="1"/>
        <v>3.4747567802440628E-2</v>
      </c>
      <c r="Q46" s="307">
        <f t="array" aca="1" ref="Q46" ca="1">SUM(IF($AA$15:$FT$15="I_pos",AA46:FT46))</f>
        <v>145000</v>
      </c>
      <c r="R46" s="307">
        <f t="array" aca="1" ref="R46" ca="1">SUM(IF($AA$15:$FT$15="P_Pos",AA46:FT46))</f>
        <v>378095.8982666349</v>
      </c>
      <c r="S46" s="304"/>
      <c r="T46" s="307"/>
      <c r="U46" s="308">
        <f t="shared" ca="1" si="494"/>
        <v>-4.0120361083249003E-3</v>
      </c>
      <c r="V46" s="307">
        <f t="array" aca="1" ref="V46" ca="1">SUM(IF($AA$15:$FT$15="O_Pos",AA46:FT46))</f>
        <v>0</v>
      </c>
      <c r="W46" s="299" t="str">
        <f t="shared" ca="1" si="588"/>
        <v>CHF</v>
      </c>
      <c r="X46" s="309">
        <f t="shared" ca="1" si="496"/>
        <v>0.99544444444000002</v>
      </c>
      <c r="Y46" s="310">
        <f t="shared" ca="1" si="496"/>
        <v>6.2088291700000001E-3</v>
      </c>
      <c r="Z46" s="311">
        <f t="shared" ca="1" si="589"/>
        <v>1.0000001300000001</v>
      </c>
      <c r="AA46" s="214">
        <f>20000</f>
        <v>20000</v>
      </c>
      <c r="AB46" s="312">
        <f t="shared" ca="1" si="590"/>
        <v>9.9695585992045865E-2</v>
      </c>
      <c r="AC46" s="252">
        <v>0.9052</v>
      </c>
      <c r="AD46" s="199">
        <f t="shared" ref="AD46:AD47" ca="1" si="1467">AA46*$X46</f>
        <v>19908.8888888</v>
      </c>
      <c r="AE46" s="199">
        <f t="shared" ref="AE46:AE47" ca="1" si="1468">AD46*$Z46</f>
        <v>19908.891476955556</v>
      </c>
      <c r="AF46" s="216">
        <f t="shared" ref="AF46:AF47" ca="1" si="1469">IFERROR(AE46/AA$4,0)</f>
        <v>3.5456870418774274E-2</v>
      </c>
      <c r="AG46" s="202">
        <f t="shared" ref="AG46:AG47" ca="1" si="1470">AH46/$X46</f>
        <v>2562.6229994738383</v>
      </c>
      <c r="AH46" s="203">
        <f t="shared" ref="AH46:AH47" ca="1" si="1471">AI46/$Z46</f>
        <v>2550.9488280204014</v>
      </c>
      <c r="AI46" s="203">
        <f t="shared" ref="AI46:AI47" ca="1" si="1472">AJ46*AA$4</f>
        <v>2550.9491596437492</v>
      </c>
      <c r="AJ46" s="204">
        <f t="shared" ca="1" si="504"/>
        <v>4.5431295812257272E-3</v>
      </c>
      <c r="AK46" s="205"/>
      <c r="AL46" s="206">
        <f t="shared" ref="AL46:AL47" ca="1" si="1473">AK46*$X46</f>
        <v>0</v>
      </c>
      <c r="AM46" s="206">
        <f t="shared" ref="AM46:AM47" ca="1" si="1474">AL46*$Z46</f>
        <v>0</v>
      </c>
      <c r="AN46" s="207">
        <f t="shared" ref="AN46:AN47" ca="1" si="1475">IFERROR(AM46/AA$4,0)</f>
        <v>0</v>
      </c>
      <c r="AO46" s="313">
        <f t="shared" ref="AO46:AO48" si="1476">AA46+AK46</f>
        <v>20000</v>
      </c>
      <c r="AP46" s="313">
        <f t="shared" ca="1" si="601"/>
        <v>19908.8888888</v>
      </c>
      <c r="AQ46" s="313">
        <f t="shared" ref="AQ46:AQ47" ca="1" si="1477">AP46*$Z46</f>
        <v>19908.891476955556</v>
      </c>
      <c r="AR46" s="314">
        <f t="shared" ref="AR46:AR47" ca="1" si="1478">IFERROR(AQ46/AA$4,0)</f>
        <v>3.5456870418774274E-2</v>
      </c>
      <c r="AS46" s="315" t="str">
        <f t="shared" ca="1" si="29"/>
        <v>V</v>
      </c>
      <c r="AT46" s="214">
        <f>60000</f>
        <v>60000</v>
      </c>
      <c r="AU46" s="312">
        <f t="shared" ca="1" si="604"/>
        <v>9.9695585992045865E-2</v>
      </c>
      <c r="AV46" s="252">
        <v>0.9052</v>
      </c>
      <c r="AW46" s="199">
        <f t="shared" ref="AW46:AW47" ca="1" si="1479">AT46*$X46</f>
        <v>59726.6666664</v>
      </c>
      <c r="AX46" s="199">
        <f t="shared" ref="AX46:AX47" ca="1" si="1480">AW46*$Z46</f>
        <v>59726.674430866675</v>
      </c>
      <c r="AY46" s="216">
        <f t="shared" ref="AY46:AY47" ca="1" si="1481">IFERROR(AX46/AT$4,0)</f>
        <v>3.4487368553234289E-2</v>
      </c>
      <c r="AZ46" s="202">
        <f t="shared" ref="AZ46:AZ47" ca="1" si="1482">BA46/$X46</f>
        <v>9590.6965559111522</v>
      </c>
      <c r="BA46" s="203">
        <f t="shared" ref="BA46:BA47" ca="1" si="1483">BB46/$Z46</f>
        <v>9547.0056048915994</v>
      </c>
      <c r="BB46" s="203">
        <f t="shared" ref="BB46:BB47" ca="1" si="1484">BC46*AT$4</f>
        <v>9547.0068460023285</v>
      </c>
      <c r="BC46" s="204">
        <f t="shared" ca="1" si="515"/>
        <v>5.5126314467657117E-3</v>
      </c>
      <c r="BD46" s="205"/>
      <c r="BE46" s="206">
        <f t="shared" ref="BE46:BE47" ca="1" si="1485">BD46*$X46</f>
        <v>0</v>
      </c>
      <c r="BF46" s="206">
        <f t="shared" ref="BF46:BF47" ca="1" si="1486">BE46*$Z46</f>
        <v>0</v>
      </c>
      <c r="BG46" s="207">
        <f t="shared" ref="BG46:BG47" ca="1" si="1487">IFERROR(BF46/AT$4,0)</f>
        <v>0</v>
      </c>
      <c r="BH46" s="313">
        <f t="shared" ref="BH46:BH48" si="1488">AT46+BD46</f>
        <v>60000</v>
      </c>
      <c r="BI46" s="313">
        <f t="shared" ca="1" si="615"/>
        <v>59726.6666664</v>
      </c>
      <c r="BJ46" s="313">
        <f t="shared" ref="BJ46:BJ47" ca="1" si="1489">BI46*$Z46</f>
        <v>59726.674430866675</v>
      </c>
      <c r="BK46" s="314">
        <f t="shared" ref="BK46:BK47" ca="1" si="1490">IFERROR(BJ46/AT$4,0)</f>
        <v>3.4487368553234289E-2</v>
      </c>
      <c r="BL46" s="211" t="str">
        <f t="shared" ca="1" si="34"/>
        <v>V</v>
      </c>
      <c r="BM46" s="214">
        <f>10000</f>
        <v>10000</v>
      </c>
      <c r="BN46" s="312">
        <f t="shared" ca="1" si="618"/>
        <v>9.9695585992045865E-2</v>
      </c>
      <c r="BO46" s="252">
        <v>0.9052</v>
      </c>
      <c r="BP46" s="199">
        <f t="shared" ref="BP46:BP47" ca="1" si="1491">BM46*$X46</f>
        <v>9954.4444444000001</v>
      </c>
      <c r="BQ46" s="199">
        <f t="shared" ref="BQ46:BQ47" ca="1" si="1492">BP46*$Z46</f>
        <v>9954.4457384777779</v>
      </c>
      <c r="BR46" s="216">
        <f t="shared" ref="BR46:BR47" ca="1" si="1493">IFERROR(BQ46/BM$4,0)</f>
        <v>3.4931281846836457E-2</v>
      </c>
      <c r="BS46" s="202">
        <f t="shared" ref="BS46:BS47" ca="1" si="1494">BT46/$X46</f>
        <v>1451.0541512299501</v>
      </c>
      <c r="BT46" s="203">
        <f t="shared" ref="BT46:BT47" ca="1" si="1495">BU46/$Z46</f>
        <v>1444.4437934234534</v>
      </c>
      <c r="BU46" s="203">
        <f t="shared" ref="BU46:BU47" ca="1" si="1496">BV46*BM$4</f>
        <v>1444.4439812011467</v>
      </c>
      <c r="BV46" s="204">
        <f t="shared" ca="1" si="526"/>
        <v>5.0687181531635442E-3</v>
      </c>
      <c r="BW46" s="205"/>
      <c r="BX46" s="206">
        <f t="shared" ref="BX46:BX47" ca="1" si="1497">BW46*$X46</f>
        <v>0</v>
      </c>
      <c r="BY46" s="206">
        <f t="shared" ref="BY46:BY47" ca="1" si="1498">BX46*$Z46</f>
        <v>0</v>
      </c>
      <c r="BZ46" s="207">
        <f t="shared" ref="BZ46:BZ47" ca="1" si="1499">IFERROR(BY46/BM$4,0)</f>
        <v>0</v>
      </c>
      <c r="CA46" s="313">
        <f t="shared" ref="CA46:CA48" si="1500">BM46+BW46</f>
        <v>10000</v>
      </c>
      <c r="CB46" s="313">
        <f t="shared" ca="1" si="629"/>
        <v>9954.4444444000001</v>
      </c>
      <c r="CC46" s="313">
        <f t="shared" ref="CC46:CC47" ca="1" si="1501">CB46*$Z46</f>
        <v>9954.4457384777779</v>
      </c>
      <c r="CD46" s="314">
        <f t="shared" ref="CD46:CD47" ca="1" si="1502">IFERROR(CC46/BM$4,0)</f>
        <v>3.4931281846836457E-2</v>
      </c>
      <c r="CE46" s="211" t="str">
        <f t="shared" ca="1" si="39"/>
        <v>V</v>
      </c>
      <c r="CF46" s="214">
        <v>30000</v>
      </c>
      <c r="CG46" s="312">
        <f t="shared" ca="1" si="632"/>
        <v>9.9695585992045865E-2</v>
      </c>
      <c r="CH46" s="215">
        <v>0.9052</v>
      </c>
      <c r="CI46" s="199">
        <f t="shared" ref="CI46" ca="1" si="1503">CF46*$X46</f>
        <v>29863.3333332</v>
      </c>
      <c r="CJ46" s="199">
        <f t="shared" ref="CJ46" ca="1" si="1504">CI46*$Z46</f>
        <v>29863.337215433337</v>
      </c>
      <c r="CK46" s="216">
        <f t="shared" ref="CK46:CK47" ca="1" si="1505">IFERROR(CJ46/CF$4,0)</f>
        <v>3.3745425423646537E-2</v>
      </c>
      <c r="CL46" s="202">
        <f t="shared" ref="CL46:CL47" ca="1" si="1506">CM46/$X46</f>
        <v>5560.3755156430852</v>
      </c>
      <c r="CM46" s="203">
        <f t="shared" ref="CM46:CM47" ca="1" si="1507">CN46/$Z46</f>
        <v>5535.0449160471098</v>
      </c>
      <c r="CN46" s="203">
        <f t="shared" ref="CN46:CN47" ca="1" si="1508">CO46*CF$4</f>
        <v>5535.0456356029499</v>
      </c>
      <c r="CO46" s="204">
        <f t="shared" ca="1" si="537"/>
        <v>6.2545745763534638E-3</v>
      </c>
      <c r="CP46" s="205"/>
      <c r="CQ46" s="206">
        <f t="shared" ref="CQ46:CQ47" ca="1" si="1509">CP46*$X46</f>
        <v>0</v>
      </c>
      <c r="CR46" s="206">
        <f t="shared" ref="CR46:CR47" ca="1" si="1510">CQ46*$Z46</f>
        <v>0</v>
      </c>
      <c r="CS46" s="207">
        <f t="shared" ref="CS46:CS47" ca="1" si="1511">IFERROR(CR46/CF$4,0)</f>
        <v>0</v>
      </c>
      <c r="CT46" s="313">
        <f t="shared" ref="CT46:CT48" si="1512">CF46+CP46</f>
        <v>30000</v>
      </c>
      <c r="CU46" s="313">
        <f t="shared" ca="1" si="643"/>
        <v>29863.3333332</v>
      </c>
      <c r="CV46" s="313">
        <f t="shared" ref="CV46:CV47" ca="1" si="1513">CU46*$Z46</f>
        <v>29863.337215433337</v>
      </c>
      <c r="CW46" s="314">
        <f t="shared" ref="CW46:CW47" ca="1" si="1514">IFERROR(CV46/CF$4,0)</f>
        <v>3.3745425423646537E-2</v>
      </c>
      <c r="CX46" s="211" t="str">
        <f t="shared" ca="1" si="47"/>
        <v>V</v>
      </c>
      <c r="CY46" s="197"/>
      <c r="CZ46" s="312" t="str">
        <f t="shared" ca="1" si="646"/>
        <v/>
      </c>
      <c r="DA46" s="252"/>
      <c r="DB46" s="199">
        <f t="shared" ca="1" si="647"/>
        <v>0</v>
      </c>
      <c r="DC46" s="199">
        <f t="shared" ca="1" si="648"/>
        <v>0</v>
      </c>
      <c r="DD46" s="216">
        <f t="shared" ca="1" si="10"/>
        <v>0</v>
      </c>
      <c r="DE46" s="202">
        <f t="shared" ca="1" si="649"/>
        <v>144073.07860595002</v>
      </c>
      <c r="DF46" s="203">
        <f t="shared" ca="1" si="650"/>
        <v>143416.74569166038</v>
      </c>
      <c r="DG46" s="203">
        <f t="shared" ca="1" si="651"/>
        <v>143416.76433583733</v>
      </c>
      <c r="DH46" s="204">
        <f t="shared" ca="1" si="548"/>
        <v>0.04</v>
      </c>
      <c r="DI46" s="205"/>
      <c r="DJ46" s="206">
        <f t="shared" ca="1" si="652"/>
        <v>0</v>
      </c>
      <c r="DK46" s="206">
        <f t="shared" ca="1" si="653"/>
        <v>0</v>
      </c>
      <c r="DL46" s="207">
        <f t="shared" ca="1" si="11"/>
        <v>0</v>
      </c>
      <c r="DM46" s="313">
        <f t="shared" si="654"/>
        <v>0</v>
      </c>
      <c r="DN46" s="313">
        <f t="shared" ca="1" si="655"/>
        <v>0</v>
      </c>
      <c r="DO46" s="313">
        <f t="shared" ca="1" si="656"/>
        <v>0</v>
      </c>
      <c r="DP46" s="314">
        <f t="shared" ca="1" si="475"/>
        <v>0</v>
      </c>
      <c r="DQ46" s="315" t="str">
        <f t="shared" ca="1" si="55"/>
        <v/>
      </c>
      <c r="DR46" s="197"/>
      <c r="DS46" s="312" t="str">
        <f t="shared" ca="1" si="554"/>
        <v/>
      </c>
      <c r="DT46" s="252"/>
      <c r="DU46" s="199">
        <f t="shared" ca="1" si="555"/>
        <v>0</v>
      </c>
      <c r="DV46" s="199">
        <f t="shared" ca="1" si="556"/>
        <v>0</v>
      </c>
      <c r="DW46" s="216">
        <f t="shared" ca="1" si="477"/>
        <v>0</v>
      </c>
      <c r="DX46" s="202">
        <f t="shared" ca="1" si="557"/>
        <v>28198.850559475501</v>
      </c>
      <c r="DY46" s="203">
        <f t="shared" ca="1" si="558"/>
        <v>28070.389129023675</v>
      </c>
      <c r="DZ46" s="203">
        <f t="shared" ca="1" si="559"/>
        <v>28070.392778174264</v>
      </c>
      <c r="EA46" s="204">
        <f t="shared" ca="1" si="560"/>
        <v>0.04</v>
      </c>
      <c r="EB46" s="205"/>
      <c r="EC46" s="206">
        <f t="shared" ca="1" si="561"/>
        <v>0</v>
      </c>
      <c r="ED46" s="206">
        <f t="shared" ca="1" si="562"/>
        <v>0</v>
      </c>
      <c r="EE46" s="207">
        <f t="shared" ca="1" si="478"/>
        <v>0</v>
      </c>
      <c r="EF46" s="313">
        <f t="shared" si="657"/>
        <v>0</v>
      </c>
      <c r="EG46" s="313">
        <f t="shared" ca="1" si="563"/>
        <v>0</v>
      </c>
      <c r="EH46" s="313">
        <f t="shared" ca="1" si="564"/>
        <v>0</v>
      </c>
      <c r="EI46" s="314">
        <f t="shared" ca="1" si="479"/>
        <v>0</v>
      </c>
      <c r="EJ46" s="214">
        <f>25000</f>
        <v>25000</v>
      </c>
      <c r="EK46" s="312">
        <f t="shared" ca="1" si="658"/>
        <v>9.8239678331862423E-2</v>
      </c>
      <c r="EL46" s="252">
        <v>0.90639999999999998</v>
      </c>
      <c r="EM46" s="199">
        <f t="shared" ref="EM46:EM47" ca="1" si="1515">EJ46*$X46</f>
        <v>24886.111111000002</v>
      </c>
      <c r="EN46" s="199">
        <f t="shared" ref="EN46:EN47" ca="1" si="1516">EM46*$Z46</f>
        <v>24886.114346194448</v>
      </c>
      <c r="EO46" s="216">
        <f t="shared" ref="EO46:EO47" ca="1" si="1517">IFERROR(EN46/EJ$4,0)</f>
        <v>3.5063299971303398E-2</v>
      </c>
      <c r="EP46" s="202">
        <f t="shared" ref="EP46:EP47" ca="1" si="1518">EQ46/$X46</f>
        <v>3519.8484118272604</v>
      </c>
      <c r="EQ46" s="203">
        <f t="shared" ref="EQ46:EQ47" ca="1" si="1519">ER46/$Z46</f>
        <v>3503.8135468244036</v>
      </c>
      <c r="ER46" s="203">
        <f t="shared" ref="ER46:ER47" ca="1" si="1520">ES46*EJ$4</f>
        <v>3503.8140023201649</v>
      </c>
      <c r="ES46" s="204">
        <f t="shared" ca="1" si="571"/>
        <v>4.9367000286966028E-3</v>
      </c>
      <c r="ET46" s="205"/>
      <c r="EU46" s="206">
        <f t="shared" ref="EU46:EU47" ca="1" si="1521">ET46*$X46</f>
        <v>0</v>
      </c>
      <c r="EV46" s="206">
        <f t="shared" ref="EV46:EV47" ca="1" si="1522">EU46*$Z46</f>
        <v>0</v>
      </c>
      <c r="EW46" s="207">
        <f t="shared" ref="EW46:EW47" ca="1" si="1523">IFERROR(EV46/EJ$4,0)</f>
        <v>0</v>
      </c>
      <c r="EX46" s="313">
        <f t="shared" ref="EX46:EX48" si="1524">EJ46+ET46</f>
        <v>25000</v>
      </c>
      <c r="EY46" s="313">
        <f t="shared" ca="1" si="669"/>
        <v>24886.111111000002</v>
      </c>
      <c r="EZ46" s="313">
        <f t="shared" ref="EZ46:EZ47" ca="1" si="1525">EY46*$Z46</f>
        <v>24886.114346194448</v>
      </c>
      <c r="FA46" s="314">
        <f t="shared" ref="FA46:FA47" ca="1" si="1526">IFERROR(EZ46/EJ$4,0)</f>
        <v>3.5063299971303398E-2</v>
      </c>
      <c r="FB46" s="211" t="str">
        <f t="shared" ca="1" si="66"/>
        <v>V</v>
      </c>
      <c r="FC46" s="214"/>
      <c r="FD46" s="312" t="str">
        <f t="shared" ca="1" si="672"/>
        <v/>
      </c>
      <c r="FE46" s="252"/>
      <c r="FF46" s="199">
        <f t="shared" ref="FF46:FF47" ca="1" si="1527">FC46*$X46</f>
        <v>0</v>
      </c>
      <c r="FG46" s="199">
        <f t="shared" ref="FG46:FG47" ca="1" si="1528">FF46*$Z46</f>
        <v>0</v>
      </c>
      <c r="FH46" s="216">
        <f t="shared" ref="FH46:FH47" ca="1" si="1529">IFERROR(FG46/FC$4,0)</f>
        <v>0</v>
      </c>
      <c r="FI46" s="202">
        <f t="shared" ref="FI46:FI47" ca="1" si="1530">FJ46/$X46</f>
        <v>183139.37146712409</v>
      </c>
      <c r="FJ46" s="203">
        <f t="shared" ref="FJ46:FJ47" ca="1" si="1531">FK46/$Z46</f>
        <v>182305.06988518214</v>
      </c>
      <c r="FK46" s="203">
        <f t="shared" ref="FK46:FK47" ca="1" si="1532">FL46*FC$4</f>
        <v>182305.09358484123</v>
      </c>
      <c r="FL46" s="204">
        <f t="shared" ca="1" si="582"/>
        <v>0.04</v>
      </c>
      <c r="FM46" s="205"/>
      <c r="FN46" s="206">
        <f t="shared" ref="FN46:FN47" ca="1" si="1533">FM46*$X46</f>
        <v>0</v>
      </c>
      <c r="FO46" s="206">
        <f t="shared" ref="FO46:FO47" ca="1" si="1534">FN46*$Z46</f>
        <v>0</v>
      </c>
      <c r="FP46" s="207">
        <f t="shared" ref="FP46:FP47" ca="1" si="1535">IFERROR(FO46/FC$4,0)</f>
        <v>0</v>
      </c>
      <c r="FQ46" s="313">
        <f t="shared" ref="FQ46:FQ48" si="1536">FC46+FM46</f>
        <v>0</v>
      </c>
      <c r="FR46" s="313">
        <f t="shared" ca="1" si="683"/>
        <v>0</v>
      </c>
      <c r="FS46" s="313">
        <f t="shared" ref="FS46:FS47" ca="1" si="1537">FR46*$Z46</f>
        <v>0</v>
      </c>
      <c r="FT46" s="314">
        <f t="shared" ref="FT46:FT47" ca="1" si="1538">IFERROR(FS46/FC$4,0)</f>
        <v>0</v>
      </c>
      <c r="FU46" s="315" t="str">
        <f t="shared" ca="1" si="71"/>
        <v/>
      </c>
    </row>
    <row r="47" spans="1:177" outlineLevel="2" x14ac:dyDescent="0.2">
      <c r="A47" s="298"/>
      <c r="B47" s="298"/>
      <c r="C47" s="299" t="str">
        <f t="shared" ca="1" si="487"/>
        <v>CH0572899257:CHF</v>
      </c>
      <c r="D47" s="300" t="str">
        <f t="shared" ca="1" si="488"/>
        <v>CH0572899257</v>
      </c>
      <c r="E47" s="301" t="str">
        <f t="shared" ca="1" si="488"/>
        <v>57289925</v>
      </c>
      <c r="F47" s="299" t="s">
        <v>736</v>
      </c>
      <c r="G47" s="316">
        <f t="shared" ca="1" si="488"/>
        <v>47068</v>
      </c>
      <c r="H47" s="1708" t="str">
        <f t="shared" ca="1" si="489"/>
        <v></v>
      </c>
      <c r="I47" s="1680" t="str">
        <f t="shared" ca="1" si="490"/>
        <v/>
      </c>
      <c r="J47" s="1708" t="str">
        <f t="shared" ca="1" si="1069"/>
        <v/>
      </c>
      <c r="K47" s="1709" t="str">
        <f t="shared" ca="1" si="1069"/>
        <v/>
      </c>
      <c r="L47" s="1710" t="str">
        <f t="shared" ca="1" si="492"/>
        <v/>
      </c>
      <c r="M47" s="298" t="str">
        <f t="shared" ca="1" si="493"/>
        <v>Pct</v>
      </c>
      <c r="N47" s="305"/>
      <c r="O47" s="305"/>
      <c r="P47" s="306">
        <f t="shared" ref="P47:P78" ca="1" si="1539">SUMIF($AA$15:$CD$15,"I_Ctrlv",$AA47:$CD47)/$Q$2</f>
        <v>0</v>
      </c>
      <c r="Q47" s="307">
        <f t="array" aca="1" ref="Q47" ca="1">SUM(IF($AA$15:$FT$15="I_pos",AA47:FT47))</f>
        <v>100000</v>
      </c>
      <c r="R47" s="307">
        <f t="array" aca="1" ref="R47" ca="1">SUM(IF($AA$15:$FT$15="P_Pos",AA47:FT47))</f>
        <v>-100000</v>
      </c>
      <c r="S47" s="304"/>
      <c r="T47" s="307"/>
      <c r="U47" s="308">
        <f t="shared" ca="1" si="494"/>
        <v>-3.5000000000000005E-3</v>
      </c>
      <c r="V47" s="307">
        <f t="array" aca="1" ref="V47" ca="1">SUM(IF($AA$15:$FT$15="O_Pos",AA47:FT47))</f>
        <v>0</v>
      </c>
      <c r="W47" s="299" t="str">
        <f t="shared" ca="1" si="588"/>
        <v>CHF</v>
      </c>
      <c r="X47" s="309">
        <f t="shared" ca="1" si="496"/>
        <v>0.99805555556000003</v>
      </c>
      <c r="Y47" s="310">
        <f t="shared" ca="1" si="496"/>
        <v>5.5636132500000001E-3</v>
      </c>
      <c r="Z47" s="311">
        <f t="shared" ca="1" si="589"/>
        <v>1.0000001300000001</v>
      </c>
      <c r="AA47" s="214"/>
      <c r="AB47" s="312" t="str">
        <f t="shared" ca="1" si="590"/>
        <v/>
      </c>
      <c r="AC47" s="252"/>
      <c r="AD47" s="199">
        <f t="shared" ca="1" si="1467"/>
        <v>0</v>
      </c>
      <c r="AE47" s="199">
        <f t="shared" ca="1" si="1468"/>
        <v>0</v>
      </c>
      <c r="AF47" s="216">
        <f t="shared" ca="1" si="1469"/>
        <v>0</v>
      </c>
      <c r="AG47" s="202">
        <f t="shared" ca="1" si="1470"/>
        <v>0</v>
      </c>
      <c r="AH47" s="203">
        <f t="shared" ca="1" si="1471"/>
        <v>0</v>
      </c>
      <c r="AI47" s="203">
        <f t="shared" ca="1" si="1472"/>
        <v>0</v>
      </c>
      <c r="AJ47" s="204">
        <f t="shared" ca="1" si="504"/>
        <v>0</v>
      </c>
      <c r="AK47" s="205"/>
      <c r="AL47" s="206">
        <f t="shared" ca="1" si="1473"/>
        <v>0</v>
      </c>
      <c r="AM47" s="206">
        <f t="shared" ca="1" si="1474"/>
        <v>0</v>
      </c>
      <c r="AN47" s="207">
        <f t="shared" ca="1" si="1475"/>
        <v>0</v>
      </c>
      <c r="AO47" s="313">
        <f t="shared" si="1476"/>
        <v>0</v>
      </c>
      <c r="AP47" s="313">
        <f t="shared" ca="1" si="601"/>
        <v>0</v>
      </c>
      <c r="AQ47" s="313">
        <f t="shared" ca="1" si="1477"/>
        <v>0</v>
      </c>
      <c r="AR47" s="314">
        <f t="shared" ca="1" si="1478"/>
        <v>0</v>
      </c>
      <c r="AS47" s="315" t="str">
        <f t="shared" ref="AS47" ca="1" si="1540">IF(SUM(AF47,AN47,AR47)&lt;&gt;0,"V","")</f>
        <v/>
      </c>
      <c r="AT47" s="214"/>
      <c r="AU47" s="312" t="str">
        <f t="shared" ca="1" si="604"/>
        <v/>
      </c>
      <c r="AV47" s="252"/>
      <c r="AW47" s="199">
        <f t="shared" ca="1" si="1479"/>
        <v>0</v>
      </c>
      <c r="AX47" s="199">
        <f t="shared" ca="1" si="1480"/>
        <v>0</v>
      </c>
      <c r="AY47" s="216">
        <f t="shared" ca="1" si="1481"/>
        <v>0</v>
      </c>
      <c r="AZ47" s="202">
        <f t="shared" ca="1" si="1482"/>
        <v>0</v>
      </c>
      <c r="BA47" s="203">
        <f t="shared" ca="1" si="1483"/>
        <v>0</v>
      </c>
      <c r="BB47" s="203">
        <f t="shared" ca="1" si="1484"/>
        <v>0</v>
      </c>
      <c r="BC47" s="204">
        <f t="shared" ca="1" si="515"/>
        <v>0</v>
      </c>
      <c r="BD47" s="205"/>
      <c r="BE47" s="206">
        <f t="shared" ca="1" si="1485"/>
        <v>0</v>
      </c>
      <c r="BF47" s="206">
        <f t="shared" ca="1" si="1486"/>
        <v>0</v>
      </c>
      <c r="BG47" s="207">
        <f t="shared" ca="1" si="1487"/>
        <v>0</v>
      </c>
      <c r="BH47" s="313">
        <f t="shared" si="1488"/>
        <v>0</v>
      </c>
      <c r="BI47" s="313">
        <f t="shared" ca="1" si="615"/>
        <v>0</v>
      </c>
      <c r="BJ47" s="313">
        <f t="shared" ca="1" si="1489"/>
        <v>0</v>
      </c>
      <c r="BK47" s="314">
        <f t="shared" ca="1" si="1490"/>
        <v>0</v>
      </c>
      <c r="BL47" s="211" t="str">
        <f t="shared" ref="BL47" ca="1" si="1541">IF(SUM(AY47,BG47,BK47)&lt;&gt;0,"V","")</f>
        <v/>
      </c>
      <c r="BM47" s="214"/>
      <c r="BN47" s="312" t="str">
        <f t="shared" ca="1" si="618"/>
        <v/>
      </c>
      <c r="BO47" s="252"/>
      <c r="BP47" s="199">
        <f t="shared" ca="1" si="1491"/>
        <v>0</v>
      </c>
      <c r="BQ47" s="199">
        <f t="shared" ca="1" si="1492"/>
        <v>0</v>
      </c>
      <c r="BR47" s="216">
        <f t="shared" ca="1" si="1493"/>
        <v>0</v>
      </c>
      <c r="BS47" s="202">
        <f t="shared" ca="1" si="1494"/>
        <v>0</v>
      </c>
      <c r="BT47" s="203">
        <f t="shared" ca="1" si="1495"/>
        <v>0</v>
      </c>
      <c r="BU47" s="203">
        <f t="shared" ca="1" si="1496"/>
        <v>0</v>
      </c>
      <c r="BV47" s="204">
        <f t="shared" ca="1" si="526"/>
        <v>0</v>
      </c>
      <c r="BW47" s="205"/>
      <c r="BX47" s="206">
        <f t="shared" ca="1" si="1497"/>
        <v>0</v>
      </c>
      <c r="BY47" s="206">
        <f t="shared" ca="1" si="1498"/>
        <v>0</v>
      </c>
      <c r="BZ47" s="207">
        <f t="shared" ca="1" si="1499"/>
        <v>0</v>
      </c>
      <c r="CA47" s="313">
        <f t="shared" si="1500"/>
        <v>0</v>
      </c>
      <c r="CB47" s="313">
        <f t="shared" ca="1" si="629"/>
        <v>0</v>
      </c>
      <c r="CC47" s="313">
        <f t="shared" ca="1" si="1501"/>
        <v>0</v>
      </c>
      <c r="CD47" s="314">
        <f t="shared" ca="1" si="1502"/>
        <v>0</v>
      </c>
      <c r="CE47" s="211" t="str">
        <f t="shared" ref="CE47" ca="1" si="1542">IF(SUM(BR47,BZ47,CD47)&lt;&gt;0,"V","")</f>
        <v/>
      </c>
      <c r="CF47" s="214"/>
      <c r="CG47" s="312" t="str">
        <f t="shared" ca="1" si="632"/>
        <v/>
      </c>
      <c r="CH47" s="215"/>
      <c r="CI47" s="199">
        <f t="shared" ref="CI47" ca="1" si="1543">CF47*$X47</f>
        <v>0</v>
      </c>
      <c r="CJ47" s="199">
        <f t="shared" ref="CJ47" ca="1" si="1544">CI47*$Z47</f>
        <v>0</v>
      </c>
      <c r="CK47" s="216">
        <f t="shared" ca="1" si="1505"/>
        <v>0</v>
      </c>
      <c r="CL47" s="202">
        <f t="shared" ca="1" si="1506"/>
        <v>0</v>
      </c>
      <c r="CM47" s="203">
        <f t="shared" ca="1" si="1507"/>
        <v>0</v>
      </c>
      <c r="CN47" s="203">
        <f t="shared" ca="1" si="1508"/>
        <v>0</v>
      </c>
      <c r="CO47" s="204">
        <f t="shared" ca="1" si="537"/>
        <v>0</v>
      </c>
      <c r="CP47" s="205"/>
      <c r="CQ47" s="206">
        <f t="shared" ca="1" si="1509"/>
        <v>0</v>
      </c>
      <c r="CR47" s="206">
        <f t="shared" ca="1" si="1510"/>
        <v>0</v>
      </c>
      <c r="CS47" s="207">
        <f t="shared" ca="1" si="1511"/>
        <v>0</v>
      </c>
      <c r="CT47" s="313">
        <f t="shared" si="1512"/>
        <v>0</v>
      </c>
      <c r="CU47" s="313">
        <f t="shared" ca="1" si="643"/>
        <v>0</v>
      </c>
      <c r="CV47" s="313">
        <f t="shared" ca="1" si="1513"/>
        <v>0</v>
      </c>
      <c r="CW47" s="314">
        <f t="shared" ca="1" si="1514"/>
        <v>0</v>
      </c>
      <c r="CX47" s="211" t="str">
        <f t="shared" ref="CX47" ca="1" si="1545">IF(SUM(CK47,CS47,CW47)&lt;&gt;0,"V","")</f>
        <v/>
      </c>
      <c r="CY47" s="197">
        <v>100000</v>
      </c>
      <c r="CZ47" s="312">
        <f t="shared" ca="1" si="646"/>
        <v>-1.9444444399999705E-3</v>
      </c>
      <c r="DA47" s="252">
        <v>1</v>
      </c>
      <c r="DB47" s="199">
        <f t="shared" ca="1" si="647"/>
        <v>99805.555556000007</v>
      </c>
      <c r="DC47" s="199">
        <f t="shared" ca="1" si="648"/>
        <v>99805.568530722245</v>
      </c>
      <c r="DD47" s="216">
        <f t="shared" ca="1" si="10"/>
        <v>2.7836513811456166E-2</v>
      </c>
      <c r="DE47" s="202">
        <f t="shared" ca="1" si="649"/>
        <v>-100000</v>
      </c>
      <c r="DF47" s="203">
        <f t="shared" ca="1" si="650"/>
        <v>-99805.555556000007</v>
      </c>
      <c r="DG47" s="203">
        <f t="shared" ca="1" si="651"/>
        <v>-99805.568530722245</v>
      </c>
      <c r="DH47" s="204">
        <f t="shared" ca="1" si="548"/>
        <v>-2.7836513811456166E-2</v>
      </c>
      <c r="DI47" s="205"/>
      <c r="DJ47" s="206">
        <f t="shared" ca="1" si="652"/>
        <v>0</v>
      </c>
      <c r="DK47" s="206">
        <f t="shared" ca="1" si="653"/>
        <v>0</v>
      </c>
      <c r="DL47" s="207">
        <f t="shared" ca="1" si="11"/>
        <v>0</v>
      </c>
      <c r="DM47" s="313">
        <f t="shared" si="654"/>
        <v>100000</v>
      </c>
      <c r="DN47" s="313">
        <f t="shared" ca="1" si="655"/>
        <v>99805.555556000007</v>
      </c>
      <c r="DO47" s="313">
        <f t="shared" ca="1" si="656"/>
        <v>99805.568530722245</v>
      </c>
      <c r="DP47" s="314">
        <f t="shared" ca="1" si="475"/>
        <v>2.7836513811456166E-2</v>
      </c>
      <c r="DQ47" s="315" t="str">
        <f t="shared" ref="DQ47" ca="1" si="1546">IF(SUM(DD47,DL47,DP47)&lt;&gt;0,"V","")</f>
        <v>V</v>
      </c>
      <c r="DR47" s="197"/>
      <c r="DS47" s="312" t="str">
        <f t="shared" ca="1" si="554"/>
        <v/>
      </c>
      <c r="DT47" s="252"/>
      <c r="DU47" s="199">
        <f t="shared" ca="1" si="555"/>
        <v>0</v>
      </c>
      <c r="DV47" s="199">
        <f t="shared" ca="1" si="556"/>
        <v>0</v>
      </c>
      <c r="DW47" s="216">
        <f t="shared" ca="1" si="477"/>
        <v>0</v>
      </c>
      <c r="DX47" s="202">
        <f t="shared" ca="1" si="557"/>
        <v>0</v>
      </c>
      <c r="DY47" s="203">
        <f t="shared" ca="1" si="558"/>
        <v>0</v>
      </c>
      <c r="DZ47" s="203">
        <f t="shared" ca="1" si="559"/>
        <v>0</v>
      </c>
      <c r="EA47" s="204">
        <f t="shared" ca="1" si="560"/>
        <v>0</v>
      </c>
      <c r="EB47" s="205"/>
      <c r="EC47" s="206">
        <f t="shared" ca="1" si="561"/>
        <v>0</v>
      </c>
      <c r="ED47" s="206">
        <f t="shared" ca="1" si="562"/>
        <v>0</v>
      </c>
      <c r="EE47" s="207">
        <f t="shared" ca="1" si="478"/>
        <v>0</v>
      </c>
      <c r="EF47" s="313">
        <f t="shared" si="657"/>
        <v>0</v>
      </c>
      <c r="EG47" s="313">
        <f t="shared" ca="1" si="563"/>
        <v>0</v>
      </c>
      <c r="EH47" s="313">
        <f t="shared" ca="1" si="564"/>
        <v>0</v>
      </c>
      <c r="EI47" s="314">
        <f t="shared" ca="1" si="479"/>
        <v>0</v>
      </c>
      <c r="EJ47" s="214"/>
      <c r="EK47" s="312" t="str">
        <f t="shared" ca="1" si="658"/>
        <v/>
      </c>
      <c r="EL47" s="252"/>
      <c r="EM47" s="199">
        <f t="shared" ca="1" si="1515"/>
        <v>0</v>
      </c>
      <c r="EN47" s="199">
        <f t="shared" ca="1" si="1516"/>
        <v>0</v>
      </c>
      <c r="EO47" s="216">
        <f t="shared" ca="1" si="1517"/>
        <v>0</v>
      </c>
      <c r="EP47" s="202">
        <f t="shared" ca="1" si="1518"/>
        <v>0</v>
      </c>
      <c r="EQ47" s="203">
        <f t="shared" ca="1" si="1519"/>
        <v>0</v>
      </c>
      <c r="ER47" s="203">
        <f t="shared" ca="1" si="1520"/>
        <v>0</v>
      </c>
      <c r="ES47" s="204">
        <f t="shared" ca="1" si="571"/>
        <v>0</v>
      </c>
      <c r="ET47" s="205"/>
      <c r="EU47" s="206">
        <f t="shared" ca="1" si="1521"/>
        <v>0</v>
      </c>
      <c r="EV47" s="206">
        <f t="shared" ca="1" si="1522"/>
        <v>0</v>
      </c>
      <c r="EW47" s="207">
        <f t="shared" ca="1" si="1523"/>
        <v>0</v>
      </c>
      <c r="EX47" s="313">
        <f t="shared" si="1524"/>
        <v>0</v>
      </c>
      <c r="EY47" s="313">
        <f t="shared" ca="1" si="669"/>
        <v>0</v>
      </c>
      <c r="EZ47" s="313">
        <f t="shared" ca="1" si="1525"/>
        <v>0</v>
      </c>
      <c r="FA47" s="314">
        <f t="shared" ca="1" si="1526"/>
        <v>0</v>
      </c>
      <c r="FB47" s="211" t="str">
        <f t="shared" ref="FB47" ca="1" si="1547">IF(SUM(EO47,EW47,FA47)&lt;&gt;0,"V","")</f>
        <v/>
      </c>
      <c r="FC47" s="214"/>
      <c r="FD47" s="312" t="str">
        <f t="shared" ca="1" si="672"/>
        <v/>
      </c>
      <c r="FE47" s="252"/>
      <c r="FF47" s="199">
        <f t="shared" ca="1" si="1527"/>
        <v>0</v>
      </c>
      <c r="FG47" s="199">
        <f t="shared" ca="1" si="1528"/>
        <v>0</v>
      </c>
      <c r="FH47" s="216">
        <f t="shared" ca="1" si="1529"/>
        <v>0</v>
      </c>
      <c r="FI47" s="202">
        <f t="shared" ca="1" si="1530"/>
        <v>0</v>
      </c>
      <c r="FJ47" s="203">
        <f t="shared" ca="1" si="1531"/>
        <v>0</v>
      </c>
      <c r="FK47" s="203">
        <f t="shared" ca="1" si="1532"/>
        <v>0</v>
      </c>
      <c r="FL47" s="204">
        <f t="shared" ca="1" si="582"/>
        <v>0</v>
      </c>
      <c r="FM47" s="205"/>
      <c r="FN47" s="206">
        <f t="shared" ca="1" si="1533"/>
        <v>0</v>
      </c>
      <c r="FO47" s="206">
        <f t="shared" ca="1" si="1534"/>
        <v>0</v>
      </c>
      <c r="FP47" s="207">
        <f t="shared" ca="1" si="1535"/>
        <v>0</v>
      </c>
      <c r="FQ47" s="313">
        <f t="shared" si="1536"/>
        <v>0</v>
      </c>
      <c r="FR47" s="313">
        <f t="shared" ca="1" si="683"/>
        <v>0</v>
      </c>
      <c r="FS47" s="313">
        <f t="shared" ca="1" si="1537"/>
        <v>0</v>
      </c>
      <c r="FT47" s="314">
        <f t="shared" ca="1" si="1538"/>
        <v>0</v>
      </c>
      <c r="FU47" s="315" t="str">
        <f t="shared" ref="FU47" ca="1" si="1548">IF(SUM(FH47,FP47,FT47)&lt;&gt;0,"V","")</f>
        <v/>
      </c>
    </row>
    <row r="48" spans="1:177" outlineLevel="2" x14ac:dyDescent="0.2">
      <c r="A48" s="298"/>
      <c r="B48" s="298"/>
      <c r="C48" s="299" t="str">
        <f t="shared" ca="1" si="487"/>
        <v>CH1112455808:CHF:P</v>
      </c>
      <c r="D48" s="300" t="str">
        <f t="shared" ca="1" si="488"/>
        <v>CH1112455808</v>
      </c>
      <c r="E48" s="301" t="str">
        <f t="shared" ca="1" si="488"/>
        <v>111245580</v>
      </c>
      <c r="F48" s="299" t="s">
        <v>372</v>
      </c>
      <c r="G48" s="316">
        <f t="shared" ca="1" si="488"/>
        <v>47084</v>
      </c>
      <c r="H48" s="1708" t="str">
        <f t="shared" ca="1" si="489"/>
        <v></v>
      </c>
      <c r="I48" s="1680" t="str">
        <f ca="1">IF(OFFSET(Origine,MATCH($F48,Descrizioni,0),MATCH(I$15,Intestazioni,0)-1,1,1)&lt;&gt;"",HYPERLINK(OFFSET(Origine,MATCH($F48,Descrizioni,0),MATCH(I$15,Intestazioni,0)-1,1,1),"i"),"")</f>
        <v/>
      </c>
      <c r="J48" s="1708" t="str">
        <f ca="1">IF(OFFSET(Origine,MATCH($F48,Descrizioni,0),MATCH(J$15,Intestazioni,0)-1,1,1)&lt;&gt;"",HYPERLINK(OFFSET(Origine,MATCH($F48,Descrizioni,0),MATCH(J$15,Intestazioni,0)-1,1,1),""),"")</f>
        <v/>
      </c>
      <c r="K48" s="1709" t="str">
        <f ca="1">IF(OFFSET(Origine,MATCH($F48,Descrizioni,0),MATCH(K$15,Intestazioni,0)-1,1,1)&lt;&gt;"",HYPERLINK(OFFSET(Origine,MATCH($F48,Descrizioni,0),MATCH(K$15,Intestazioni,0)-1,1,1),""),"")</f>
        <v/>
      </c>
      <c r="L48" s="1710" t="str">
        <f ca="1">IF(OFFSET(Origine,MATCH($F48,Descrizioni,0),MATCH(L$15,Intestazioni,0)-1,1,1)&lt;&gt;"",HYPERLINK("https://www.zonebourse.com/mods_a/charts/TV/inc_dyna_graph.php?c="&amp;OFFSET(Origine,MATCH($F48,Descrizioni,0),MATCH(L$15,Intestazioni,0)-1,1,1)&amp;"&amp;style=TradingView.CANDLES&amp;showAT=1",""),"")</f>
        <v/>
      </c>
      <c r="M48" s="298" t="str">
        <f t="shared" ca="1" si="493"/>
        <v>Pct</v>
      </c>
      <c r="N48" s="305">
        <v>0.02</v>
      </c>
      <c r="O48" s="305"/>
      <c r="P48" s="306">
        <f t="shared" ca="1" si="1539"/>
        <v>2.4974176019987901E-2</v>
      </c>
      <c r="Q48" s="307">
        <f t="array" aca="1" ref="Q48" ca="1">SUM(IF($AA$15:$FT$15="I_pos",AA48:FT48))</f>
        <v>165000</v>
      </c>
      <c r="R48" s="307">
        <f t="array" aca="1" ref="R48" ca="1">SUM(IF($AA$15:$FT$15="P_Pos",AA48:FT48))</f>
        <v>97818.183236629062</v>
      </c>
      <c r="S48" s="304"/>
      <c r="T48" s="307"/>
      <c r="U48" s="308">
        <f t="shared" ca="1" si="494"/>
        <v>-3.5282258064515998E-3</v>
      </c>
      <c r="V48" s="307">
        <f t="array" aca="1" ref="V48" ca="1">SUM(IF($AA$15:$FT$15="O_Pos",AA48:FT48))</f>
        <v>0</v>
      </c>
      <c r="W48" s="299" t="str">
        <f ca="1">OFFSET(Origine,MATCH($F48,Descrizioni,0),MATCH(W$15,Intestazioni,0)-1,1,1)</f>
        <v>CHF</v>
      </c>
      <c r="X48" s="309">
        <f t="shared" ca="1" si="496"/>
        <v>0.99063333333000003</v>
      </c>
      <c r="Y48" s="310">
        <f ca="1">_xlfn.NUMBERVALUE(OFFSET(Origine,MATCH($F48,Descrizioni,0),MATCH(Y$15,Intestazioni,0)-1,1,1))</f>
        <v>1.136616457E-2</v>
      </c>
      <c r="Z48" s="311">
        <f t="shared" ref="Z48" ca="1" si="1549">_xlfn.NUMBERVALUE(OFFSET(Origine,MATCH(W48&amp;"/"&amp;MRif,LUKB_Name,0),MATCH("Price",Intestazioni,0)-1,1,1))</f>
        <v>1.0000001300000001</v>
      </c>
      <c r="AA48" s="214">
        <f>15000</f>
        <v>15000</v>
      </c>
      <c r="AB48" s="312">
        <f t="shared" ref="AB48" ca="1" si="1550">IFERROR($X48/AC48-1,"")</f>
        <v>-1.7578431208953305E-3</v>
      </c>
      <c r="AC48" s="252">
        <v>0.99237777778000003</v>
      </c>
      <c r="AD48" s="199">
        <f ca="1">AA48*$X48</f>
        <v>14859.49999995</v>
      </c>
      <c r="AE48" s="199">
        <f ca="1">AD48*$Z48</f>
        <v>14859.501931685001</v>
      </c>
      <c r="AF48" s="216">
        <f ca="1">IFERROR(AE48/AA$4,0)</f>
        <v>2.6464127100654104E-2</v>
      </c>
      <c r="AG48" s="202">
        <f ca="1">AH48/$X48</f>
        <v>-3663.8996684464591</v>
      </c>
      <c r="AH48" s="203">
        <f ca="1">AI48/$Z48</f>
        <v>-3629.581141539798</v>
      </c>
      <c r="AI48" s="203">
        <f ca="1">AJ48*AA$4</f>
        <v>-3629.5816133853468</v>
      </c>
      <c r="AJ48" s="204">
        <f t="shared" ca="1" si="504"/>
        <v>-6.4641271006541032E-3</v>
      </c>
      <c r="AK48" s="205"/>
      <c r="AL48" s="206">
        <f ca="1">AK48*$X48</f>
        <v>0</v>
      </c>
      <c r="AM48" s="206">
        <f ca="1">AL48*$Z48</f>
        <v>0</v>
      </c>
      <c r="AN48" s="207">
        <f ca="1">IFERROR(AM48/AA$4,0)</f>
        <v>0</v>
      </c>
      <c r="AO48" s="313">
        <f t="shared" si="1476"/>
        <v>15000</v>
      </c>
      <c r="AP48" s="313">
        <f t="shared" ref="AP48" ca="1" si="1551">AD48+IF($T48 ="",AL48,0)</f>
        <v>14859.49999995</v>
      </c>
      <c r="AQ48" s="313">
        <f ca="1">AP48*$Z48</f>
        <v>14859.501931685001</v>
      </c>
      <c r="AR48" s="314">
        <f ca="1">IFERROR(AQ48/AA$4,0)</f>
        <v>2.6464127100654104E-2</v>
      </c>
      <c r="AS48" s="315" t="str">
        <f ca="1">IF(SUM(AF48,AN48,AR48)&lt;&gt;0,"V","")</f>
        <v>V</v>
      </c>
      <c r="AT48" s="214">
        <f>50000</f>
        <v>50000</v>
      </c>
      <c r="AU48" s="312">
        <f t="shared" ref="AU48" ca="1" si="1552">IFERROR($X48/AV48-1,"")</f>
        <v>-1.7578431208953305E-3</v>
      </c>
      <c r="AV48" s="252">
        <v>0.99237777778000003</v>
      </c>
      <c r="AW48" s="199">
        <f ca="1">AT48*$X48</f>
        <v>49531.666666500001</v>
      </c>
      <c r="AX48" s="199">
        <f ca="1">AW48*$Z48</f>
        <v>49531.673105616675</v>
      </c>
      <c r="AY48" s="216">
        <f ca="1">IFERROR(AX48/AT$4,0)</f>
        <v>2.8600572218849683E-2</v>
      </c>
      <c r="AZ48" s="202">
        <f ca="1">BA48/$X48</f>
        <v>-15035.664589223379</v>
      </c>
      <c r="BA48" s="203">
        <f ca="1">BB48/$Z48</f>
        <v>-14894.830530854202</v>
      </c>
      <c r="BB48" s="203">
        <f ca="1">BC48*AT$4</f>
        <v>-14894.832467182172</v>
      </c>
      <c r="BC48" s="204">
        <f t="shared" ca="1" si="515"/>
        <v>-8.6005722188496822E-3</v>
      </c>
      <c r="BD48" s="205"/>
      <c r="BE48" s="206">
        <f ca="1">BD48*$X48</f>
        <v>0</v>
      </c>
      <c r="BF48" s="206">
        <f ca="1">BE48*$Z48</f>
        <v>0</v>
      </c>
      <c r="BG48" s="207">
        <f ca="1">IFERROR(BF48/AT$4,0)</f>
        <v>0</v>
      </c>
      <c r="BH48" s="313">
        <f t="shared" si="1488"/>
        <v>50000</v>
      </c>
      <c r="BI48" s="313">
        <f t="shared" ref="BI48" ca="1" si="1553">AW48+IF($T48 ="",BE48,0)</f>
        <v>49531.666666500001</v>
      </c>
      <c r="BJ48" s="313">
        <f ca="1">BI48*$Z48</f>
        <v>49531.673105616675</v>
      </c>
      <c r="BK48" s="314">
        <f ca="1">IFERROR(BJ48/AT$4,0)</f>
        <v>2.8600572218849683E-2</v>
      </c>
      <c r="BL48" s="211" t="str">
        <f ca="1">IF(SUM(AY48,BG48,BK48)&lt;&gt;0,"V","")</f>
        <v>V</v>
      </c>
      <c r="BM48" s="214"/>
      <c r="BN48" s="312" t="str">
        <f t="shared" ref="BN48" ca="1" si="1554">IFERROR($X48/BO48-1,"")</f>
        <v/>
      </c>
      <c r="BO48" s="252"/>
      <c r="BP48" s="199">
        <f ca="1">BM48*$X48</f>
        <v>0</v>
      </c>
      <c r="BQ48" s="199">
        <f ca="1">BP48*$Z48</f>
        <v>0</v>
      </c>
      <c r="BR48" s="216">
        <f ca="1">IFERROR(BQ48/BM$4,0)</f>
        <v>0</v>
      </c>
      <c r="BS48" s="202">
        <f ca="1">BT48/$X48</f>
        <v>5753.3336777121413</v>
      </c>
      <c r="BT48" s="203">
        <f ca="1">BU48/$Z48</f>
        <v>5699.4441189117269</v>
      </c>
      <c r="BU48" s="203">
        <f ca="1">BV48*BM$4</f>
        <v>5699.4448598394629</v>
      </c>
      <c r="BV48" s="204">
        <f t="shared" ca="1" si="526"/>
        <v>0.02</v>
      </c>
      <c r="BW48" s="205"/>
      <c r="BX48" s="206">
        <f ca="1">BW48*$X48</f>
        <v>0</v>
      </c>
      <c r="BY48" s="206">
        <f ca="1">BX48*$Z48</f>
        <v>0</v>
      </c>
      <c r="BZ48" s="207">
        <f ca="1">IFERROR(BY48/BM$4,0)</f>
        <v>0</v>
      </c>
      <c r="CA48" s="313">
        <f t="shared" si="1500"/>
        <v>0</v>
      </c>
      <c r="CB48" s="313">
        <f t="shared" ref="CB48" ca="1" si="1555">BP48+IF($T48 ="",BX48,0)</f>
        <v>0</v>
      </c>
      <c r="CC48" s="313">
        <f ca="1">CB48*$Z48</f>
        <v>0</v>
      </c>
      <c r="CD48" s="314">
        <f ca="1">IFERROR(CC48/BM$4,0)</f>
        <v>0</v>
      </c>
      <c r="CE48" s="211" t="str">
        <f ca="1">IF(SUM(BR48,BZ48,CD48)&lt;&gt;0,"V","")</f>
        <v/>
      </c>
      <c r="CF48" s="214">
        <f>20000</f>
        <v>20000</v>
      </c>
      <c r="CG48" s="312">
        <f t="shared" ref="CG48" ca="1" si="1556">IFERROR($X48/CH48-1,"")</f>
        <v>-1.7578431208953305E-3</v>
      </c>
      <c r="CH48" s="215">
        <v>0.99237777778000003</v>
      </c>
      <c r="CI48" s="199">
        <f ca="1">CF48*$X48</f>
        <v>19812.666666600002</v>
      </c>
      <c r="CJ48" s="199">
        <f ca="1">CI48*$Z48</f>
        <v>19812.669242246669</v>
      </c>
      <c r="CK48" s="216">
        <f ca="1">IFERROR(CJ48/CF$4,0)</f>
        <v>2.2388219626441667E-2</v>
      </c>
      <c r="CL48" s="202">
        <f ca="1">CM48/$X48</f>
        <v>-2133.4609596388391</v>
      </c>
      <c r="CM48" s="203">
        <f ca="1">CN48/$Z48</f>
        <v>-2113.4775419764437</v>
      </c>
      <c r="CN48" s="203">
        <f ca="1">CO48*CF$4</f>
        <v>-2113.4778167285244</v>
      </c>
      <c r="CO48" s="204">
        <f t="shared" ca="1" si="537"/>
        <v>-2.3882196264416664E-3</v>
      </c>
      <c r="CP48" s="205"/>
      <c r="CQ48" s="206">
        <f ca="1">CP48*$X48</f>
        <v>0</v>
      </c>
      <c r="CR48" s="206">
        <f ca="1">CQ48*$Z48</f>
        <v>0</v>
      </c>
      <c r="CS48" s="207">
        <f ca="1">IFERROR(CR48/CF$4,0)</f>
        <v>0</v>
      </c>
      <c r="CT48" s="313">
        <f t="shared" si="1512"/>
        <v>20000</v>
      </c>
      <c r="CU48" s="313">
        <f t="shared" ref="CU48" ca="1" si="1557">CI48+IF($T48 ="",CQ48,0)</f>
        <v>19812.666666600002</v>
      </c>
      <c r="CV48" s="313">
        <f ca="1">CU48*$Z48</f>
        <v>19812.669242246669</v>
      </c>
      <c r="CW48" s="314">
        <f ca="1">IFERROR(CV48/CF$4,0)</f>
        <v>2.2388219626441667E-2</v>
      </c>
      <c r="CX48" s="211" t="str">
        <f ca="1">IF(SUM(CK48,CS48,CW48)&lt;&gt;0,"V","")</f>
        <v>V</v>
      </c>
      <c r="CY48" s="197">
        <f>50000</f>
        <v>50000</v>
      </c>
      <c r="CZ48" s="312">
        <f t="shared" ref="CZ48" ca="1" si="1558">IFERROR($X48/DA48-1,"")</f>
        <v>-1.780196160822145E-3</v>
      </c>
      <c r="DA48" s="252">
        <v>0.99239999999999995</v>
      </c>
      <c r="DB48" s="199">
        <f ca="1">CY48*$X48</f>
        <v>49531.666666500001</v>
      </c>
      <c r="DC48" s="199">
        <f ca="1">DB48*$Z48</f>
        <v>49531.673105616675</v>
      </c>
      <c r="DD48" s="216">
        <f ca="1">IFERROR(DC48/CY$4,0)</f>
        <v>1.3814751248920648E-2</v>
      </c>
      <c r="DE48" s="202">
        <f ca="1">DF48/$X48</f>
        <v>22386.39205162166</v>
      </c>
      <c r="DF48" s="203">
        <f ca="1">DG48/$Z48</f>
        <v>22176.706179330184</v>
      </c>
      <c r="DG48" s="203">
        <f ca="1">DH48*CY$4</f>
        <v>22176.70906230199</v>
      </c>
      <c r="DH48" s="204">
        <f t="shared" ca="1" si="548"/>
        <v>6.1852487510793523E-3</v>
      </c>
      <c r="DI48" s="205"/>
      <c r="DJ48" s="206">
        <f ca="1">DI48*$X48</f>
        <v>0</v>
      </c>
      <c r="DK48" s="206">
        <f ca="1">DJ48*$Z48</f>
        <v>0</v>
      </c>
      <c r="DL48" s="207">
        <f ca="1">IFERROR(DK48/CY$4,0)</f>
        <v>0</v>
      </c>
      <c r="DM48" s="313">
        <f t="shared" ref="DM48" si="1559">CY48+DI48</f>
        <v>50000</v>
      </c>
      <c r="DN48" s="313">
        <f t="shared" ref="DN48" ca="1" si="1560">DB48+IF($T48 ="",DJ48,0)</f>
        <v>49531.666666500001</v>
      </c>
      <c r="DO48" s="313">
        <f ca="1">DN48*$Z48</f>
        <v>49531.673105616675</v>
      </c>
      <c r="DP48" s="314">
        <f ca="1">IFERROR(DO48/CY$4,0)</f>
        <v>1.3814751248920648E-2</v>
      </c>
      <c r="DQ48" s="315" t="str">
        <f ca="1">IF(SUM(DD48,DL48,DP48)&lt;&gt;0,"V","")</f>
        <v>V</v>
      </c>
      <c r="DR48" s="197">
        <f>30000</f>
        <v>30000</v>
      </c>
      <c r="DS48" s="312">
        <f t="shared" ref="DS48" ca="1" si="1561">IFERROR($X48/DT48-1,"")</f>
        <v>3.0247004797265831E-3</v>
      </c>
      <c r="DT48" s="252">
        <v>0.98764600000000002</v>
      </c>
      <c r="DU48" s="199">
        <f ca="1">DR48*$X48</f>
        <v>29718.999999899999</v>
      </c>
      <c r="DV48" s="199">
        <f ca="1">DU48*$Z48</f>
        <v>29719.003863370002</v>
      </c>
      <c r="DW48" s="216">
        <f ca="1">IFERROR(DV48/DR$4,0)</f>
        <v>4.2349252606793009E-2</v>
      </c>
      <c r="DX48" s="202">
        <f ca="1">DY48/$X48</f>
        <v>-15832.099433467747</v>
      </c>
      <c r="DY48" s="203">
        <f ca="1">DZ48/$Z48</f>
        <v>-15683.80543538816</v>
      </c>
      <c r="DZ48" s="203">
        <f ca="1">EA48*DR$4</f>
        <v>-15683.807474282868</v>
      </c>
      <c r="EA48" s="204">
        <f t="shared" ca="1" si="560"/>
        <v>-2.2349252606793008E-2</v>
      </c>
      <c r="EB48" s="205"/>
      <c r="EC48" s="206">
        <f ca="1">EB48*$X48</f>
        <v>0</v>
      </c>
      <c r="ED48" s="206">
        <f ca="1">EC48*$Z48</f>
        <v>0</v>
      </c>
      <c r="EE48" s="207">
        <f ca="1">IFERROR(ED48/DR$4,0)</f>
        <v>0</v>
      </c>
      <c r="EF48" s="313">
        <f t="shared" ref="EF48" si="1562">DR48+EB48</f>
        <v>30000</v>
      </c>
      <c r="EG48" s="313">
        <f t="shared" ref="EG48" ca="1" si="1563">DU48+IF($T48 ="",EC48,0)</f>
        <v>29718.999999899999</v>
      </c>
      <c r="EH48" s="313">
        <f ca="1">EG48*$Z48</f>
        <v>29719.003863370002</v>
      </c>
      <c r="EI48" s="314">
        <f ca="1">IFERROR(EH48/DR$4,0)</f>
        <v>4.2349252606793009E-2</v>
      </c>
      <c r="EJ48" s="214"/>
      <c r="EK48" s="312" t="str">
        <f t="shared" ref="EK48" ca="1" si="1564">IFERROR($X48/EL48-1,"")</f>
        <v/>
      </c>
      <c r="EL48" s="252"/>
      <c r="EM48" s="199">
        <f ca="1">EJ48*$X48</f>
        <v>0</v>
      </c>
      <c r="EN48" s="199">
        <f ca="1">EM48*$Z48</f>
        <v>0</v>
      </c>
      <c r="EO48" s="216">
        <f ca="1">IFERROR(EN48/EJ$4,0)</f>
        <v>0</v>
      </c>
      <c r="EP48" s="202">
        <f ca="1">EQ48/$X48</f>
        <v>14329.178971997679</v>
      </c>
      <c r="EQ48" s="203">
        <f ca="1">ER48/$Z48</f>
        <v>14194.962328912203</v>
      </c>
      <c r="ER48" s="203">
        <f ca="1">ES48*EJ$4</f>
        <v>14194.964174257308</v>
      </c>
      <c r="ES48" s="204">
        <f t="shared" ca="1" si="571"/>
        <v>0.02</v>
      </c>
      <c r="ET48" s="205"/>
      <c r="EU48" s="206">
        <f ca="1">ET48*$X48</f>
        <v>0</v>
      </c>
      <c r="EV48" s="206">
        <f ca="1">EU48*$Z48</f>
        <v>0</v>
      </c>
      <c r="EW48" s="207">
        <f ca="1">IFERROR(EV48/EJ$4,0)</f>
        <v>0</v>
      </c>
      <c r="EX48" s="313">
        <f t="shared" si="1524"/>
        <v>0</v>
      </c>
      <c r="EY48" s="313">
        <f t="shared" ref="EY48" ca="1" si="1565">EM48+IF($T48 ="",EU48,0)</f>
        <v>0</v>
      </c>
      <c r="EZ48" s="313">
        <f ca="1">EY48*$Z48</f>
        <v>0</v>
      </c>
      <c r="FA48" s="314">
        <f ca="1">IFERROR(EZ48/EJ$4,0)</f>
        <v>0</v>
      </c>
      <c r="FB48" s="211" t="str">
        <f ca="1">IF(SUM(EO48,EW48,FA48)&lt;&gt;0,"V","")</f>
        <v/>
      </c>
      <c r="FC48" s="214"/>
      <c r="FD48" s="312" t="str">
        <f t="shared" ref="FD48" ca="1" si="1566">IFERROR($X48/FE48-1,"")</f>
        <v/>
      </c>
      <c r="FE48" s="252"/>
      <c r="FF48" s="199">
        <f ca="1">FC48*$X48</f>
        <v>0</v>
      </c>
      <c r="FG48" s="199">
        <f ca="1">FF48*$Z48</f>
        <v>0</v>
      </c>
      <c r="FH48" s="216">
        <f ca="1">IFERROR(FG48/FC$4,0)</f>
        <v>0</v>
      </c>
      <c r="FI48" s="202">
        <f ca="1">FJ48/$X48</f>
        <v>92014.403186074007</v>
      </c>
      <c r="FJ48" s="203">
        <f ca="1">FK48/$Z48</f>
        <v>91152.534942591068</v>
      </c>
      <c r="FK48" s="203">
        <f ca="1">FL48*FC$4</f>
        <v>91152.546792420617</v>
      </c>
      <c r="FL48" s="204">
        <f t="shared" ca="1" si="582"/>
        <v>0.02</v>
      </c>
      <c r="FM48" s="205"/>
      <c r="FN48" s="206">
        <f ca="1">FM48*$X48</f>
        <v>0</v>
      </c>
      <c r="FO48" s="206">
        <f ca="1">FN48*$Z48</f>
        <v>0</v>
      </c>
      <c r="FP48" s="207">
        <f ca="1">IFERROR(FO48/FC$4,0)</f>
        <v>0</v>
      </c>
      <c r="FQ48" s="313">
        <f t="shared" si="1536"/>
        <v>0</v>
      </c>
      <c r="FR48" s="313">
        <f t="shared" ref="FR48" ca="1" si="1567">FF48+IF($T48 ="",FN48,0)</f>
        <v>0</v>
      </c>
      <c r="FS48" s="313">
        <f ca="1">FR48*$Z48</f>
        <v>0</v>
      </c>
      <c r="FT48" s="314">
        <f ca="1">IFERROR(FS48/FC$4,0)</f>
        <v>0</v>
      </c>
      <c r="FU48" s="315" t="str">
        <f ca="1">IF(SUM(FH48,FP48,FT48)&lt;&gt;0,"V","")</f>
        <v/>
      </c>
    </row>
    <row r="49" spans="1:177" outlineLevel="2" x14ac:dyDescent="0.2">
      <c r="A49" s="298"/>
      <c r="B49" s="298"/>
      <c r="C49" s="299" t="str">
        <f t="shared" ca="1" si="487"/>
        <v>CH0461239060:CHF</v>
      </c>
      <c r="D49" s="300" t="str">
        <f t="shared" ca="1" si="488"/>
        <v>CH0461239060</v>
      </c>
      <c r="E49" s="301" t="str">
        <f t="shared" ca="1" si="488"/>
        <v>46123906</v>
      </c>
      <c r="F49" s="299" t="s">
        <v>586</v>
      </c>
      <c r="G49" s="316">
        <f t="shared" ca="1" si="488"/>
        <v>47151</v>
      </c>
      <c r="H49" s="1708" t="str">
        <f t="shared" ca="1" si="489"/>
        <v></v>
      </c>
      <c r="I49" s="1680" t="str">
        <f ca="1">IF(OFFSET(Origine,MATCH($F49,Descrizioni,0),MATCH(I$15,Intestazioni,0)-1,1,1)&lt;&gt;"",HYPERLINK(OFFSET(Origine,MATCH($F49,Descrizioni,0),MATCH(I$15,Intestazioni,0)-1,1,1),"i"),"")</f>
        <v/>
      </c>
      <c r="J49" s="1708" t="str">
        <f ca="1">IF(OFFSET(Origine,MATCH($F49,Descrizioni,0),MATCH(J$15,Intestazioni,0)-1,1,1)&lt;&gt;"",HYPERLINK(OFFSET(Origine,MATCH($F49,Descrizioni,0),MATCH(J$15,Intestazioni,0)-1,1,1),""),"")</f>
        <v/>
      </c>
      <c r="K49" s="1709" t="str">
        <f ca="1">IF(OFFSET(Origine,MATCH($F49,Descrizioni,0),MATCH(K$15,Intestazioni,0)-1,1,1)&lt;&gt;"",HYPERLINK(OFFSET(Origine,MATCH($F49,Descrizioni,0),MATCH(K$15,Intestazioni,0)-1,1,1),""),"")</f>
        <v/>
      </c>
      <c r="L49" s="1710" t="str">
        <f ca="1">IF(OFFSET(Origine,MATCH($F49,Descrizioni,0),MATCH(L$15,Intestazioni,0)-1,1,1)&lt;&gt;"",HYPERLINK("https://www.zonebourse.com/mods_a/charts/TV/inc_dyna_graph.php?c="&amp;OFFSET(Origine,MATCH($F49,Descrizioni,0),MATCH(L$15,Intestazioni,0)-1,1,1)&amp;"&amp;style=TradingView.CANDLES&amp;showAT=1",""),"")</f>
        <v/>
      </c>
      <c r="M49" s="298" t="str">
        <f t="shared" ca="1" si="493"/>
        <v>Pct</v>
      </c>
      <c r="N49" s="305">
        <v>0.02</v>
      </c>
      <c r="O49" s="305"/>
      <c r="P49" s="306">
        <f t="shared" ca="1" si="1539"/>
        <v>0</v>
      </c>
      <c r="Q49" s="307">
        <f t="array" aca="1" ref="Q49" ca="1">SUM(IF($AA$15:$FT$15="I_pos",AA49:FT49))</f>
        <v>20000</v>
      </c>
      <c r="R49" s="307">
        <f t="array" aca="1" ref="R49" ca="1">SUM(IF($AA$15:$FT$15="P_Pos",AA49:FT49))</f>
        <v>242819.28866946729</v>
      </c>
      <c r="S49" s="304"/>
      <c r="T49" s="307"/>
      <c r="U49" s="308">
        <f t="shared" ca="1" si="494"/>
        <v>-2.015113350126E-3</v>
      </c>
      <c r="V49" s="307">
        <f t="array" aca="1" ref="V49" ca="1">SUM(IF($AA$15:$FT$15="O_Pos",AA49:FT49))</f>
        <v>0</v>
      </c>
      <c r="W49" s="299" t="str">
        <f ca="1">OFFSET(Origine,MATCH($F49,Descrizioni,0),MATCH(W$15,Intestazioni,0)-1,1,1)</f>
        <v>CHF</v>
      </c>
      <c r="X49" s="309">
        <f t="shared" ca="1" si="496"/>
        <v>0.99062916667000001</v>
      </c>
      <c r="Y49" s="310">
        <f ca="1">_xlfn.NUMBERVALUE(OFFSET(Origine,MATCH($F49,Descrizioni,0),MATCH(Y$15,Intestazioni,0)-1,1,1))</f>
        <v>4.0993934199999998E-3</v>
      </c>
      <c r="Z49" s="311">
        <f t="shared" ca="1" si="589"/>
        <v>1.0000001300000001</v>
      </c>
      <c r="AA49" s="214"/>
      <c r="AB49" s="312" t="str">
        <f t="shared" ca="1" si="590"/>
        <v/>
      </c>
      <c r="AC49" s="252"/>
      <c r="AD49" s="199">
        <f ca="1">AA49*$X49</f>
        <v>0</v>
      </c>
      <c r="AE49" s="199">
        <f ca="1">AD49*$Z49</f>
        <v>0</v>
      </c>
      <c r="AF49" s="216">
        <f ca="1">IFERROR(AE49/AA$4,0)</f>
        <v>0</v>
      </c>
      <c r="AG49" s="202">
        <f ca="1">AH49/$X49</f>
        <v>11336.148012035193</v>
      </c>
      <c r="AH49" s="203">
        <f ca="1">AI49/$Z49</f>
        <v>11229.918858410201</v>
      </c>
      <c r="AI49" s="203">
        <f ca="1">AJ49*AA$4</f>
        <v>11229.920318299653</v>
      </c>
      <c r="AJ49" s="204">
        <f t="shared" ca="1" si="504"/>
        <v>0.02</v>
      </c>
      <c r="AK49" s="205"/>
      <c r="AL49" s="206">
        <f ca="1">AK49*$X49</f>
        <v>0</v>
      </c>
      <c r="AM49" s="206">
        <f ca="1">AL49*$Z49</f>
        <v>0</v>
      </c>
      <c r="AN49" s="207">
        <f ca="1">IFERROR(AM49/AA$4,0)</f>
        <v>0</v>
      </c>
      <c r="AO49" s="313">
        <f t="shared" ref="AO49" si="1568">AA49+AK49</f>
        <v>0</v>
      </c>
      <c r="AP49" s="313">
        <f t="shared" ca="1" si="601"/>
        <v>0</v>
      </c>
      <c r="AQ49" s="313">
        <f ca="1">AP49*$Z49</f>
        <v>0</v>
      </c>
      <c r="AR49" s="314">
        <f ca="1">IFERROR(AQ49/AA$4,0)</f>
        <v>0</v>
      </c>
      <c r="AS49" s="315" t="str">
        <f ca="1">IF(SUM(AF49,AN49,AR49)&lt;&gt;0,"V","")</f>
        <v/>
      </c>
      <c r="AT49" s="214"/>
      <c r="AU49" s="312" t="str">
        <f t="shared" ca="1" si="604"/>
        <v/>
      </c>
      <c r="AV49" s="252"/>
      <c r="AW49" s="199">
        <f ca="1">AT49*$X49</f>
        <v>0</v>
      </c>
      <c r="AX49" s="199">
        <f ca="1">AW49*$Z49</f>
        <v>0</v>
      </c>
      <c r="AY49" s="216">
        <f ca="1">IFERROR(AX49/AT$4,0)</f>
        <v>0</v>
      </c>
      <c r="AZ49" s="202">
        <f ca="1">BA49/$X49</f>
        <v>34964.482473373486</v>
      </c>
      <c r="BA49" s="203">
        <f ca="1">BB49/$Z49</f>
        <v>34636.836135645797</v>
      </c>
      <c r="BB49" s="203">
        <f ca="1">BC49*AT$4</f>
        <v>34636.8406384345</v>
      </c>
      <c r="BC49" s="204">
        <f t="shared" ca="1" si="515"/>
        <v>0.02</v>
      </c>
      <c r="BD49" s="205"/>
      <c r="BE49" s="206">
        <f ca="1">BD49*$X49</f>
        <v>0</v>
      </c>
      <c r="BF49" s="206">
        <f ca="1">BE49*$Z49</f>
        <v>0</v>
      </c>
      <c r="BG49" s="207">
        <f ca="1">IFERROR(BF49/AT$4,0)</f>
        <v>0</v>
      </c>
      <c r="BH49" s="313">
        <f t="shared" ref="BH49" si="1569">AT49+BD49</f>
        <v>0</v>
      </c>
      <c r="BI49" s="313">
        <f t="shared" ca="1" si="615"/>
        <v>0</v>
      </c>
      <c r="BJ49" s="313">
        <f ca="1">BI49*$Z49</f>
        <v>0</v>
      </c>
      <c r="BK49" s="314">
        <f ca="1">IFERROR(BJ49/AT$4,0)</f>
        <v>0</v>
      </c>
      <c r="BL49" s="211" t="str">
        <f ca="1">IF(SUM(AY49,BG49,BK49)&lt;&gt;0,"V","")</f>
        <v/>
      </c>
      <c r="BM49" s="214"/>
      <c r="BN49" s="312" t="str">
        <f t="shared" ca="1" si="618"/>
        <v/>
      </c>
      <c r="BO49" s="252"/>
      <c r="BP49" s="199">
        <f ca="1">BM49*$X49</f>
        <v>0</v>
      </c>
      <c r="BQ49" s="199">
        <f ca="1">BP49*$Z49</f>
        <v>0</v>
      </c>
      <c r="BR49" s="216">
        <f ca="1">IFERROR(BQ49/BM$4,0)</f>
        <v>0</v>
      </c>
      <c r="BS49" s="202">
        <f ca="1">BT49/$X49</f>
        <v>5753.3578766617675</v>
      </c>
      <c r="BT49" s="203">
        <f ca="1">BU49/$Z49</f>
        <v>5699.4441189117269</v>
      </c>
      <c r="BU49" s="203">
        <f ca="1">BV49*BM$4</f>
        <v>5699.4448598394629</v>
      </c>
      <c r="BV49" s="204">
        <f t="shared" ca="1" si="526"/>
        <v>0.02</v>
      </c>
      <c r="BW49" s="205"/>
      <c r="BX49" s="206">
        <f ca="1">BW49*$X49</f>
        <v>0</v>
      </c>
      <c r="BY49" s="206">
        <f ca="1">BX49*$Z49</f>
        <v>0</v>
      </c>
      <c r="BZ49" s="207">
        <f ca="1">IFERROR(BY49/BM$4,0)</f>
        <v>0</v>
      </c>
      <c r="CA49" s="313">
        <f t="shared" ref="CA49" si="1570">BM49+BW49</f>
        <v>0</v>
      </c>
      <c r="CB49" s="313">
        <f t="shared" ca="1" si="629"/>
        <v>0</v>
      </c>
      <c r="CC49" s="313">
        <f ca="1">CB49*$Z49</f>
        <v>0</v>
      </c>
      <c r="CD49" s="314">
        <f ca="1">IFERROR(CC49/BM$4,0)</f>
        <v>0</v>
      </c>
      <c r="CE49" s="211" t="str">
        <f ca="1">IF(SUM(BR49,BZ49,CD49)&lt;&gt;0,"V","")</f>
        <v/>
      </c>
      <c r="CF49" s="214"/>
      <c r="CG49" s="312" t="str">
        <f t="shared" ca="1" si="632"/>
        <v/>
      </c>
      <c r="CH49" s="215"/>
      <c r="CI49" s="199">
        <f ca="1">CF49*$X49</f>
        <v>0</v>
      </c>
      <c r="CJ49" s="199">
        <f ca="1">CI49*$Z49</f>
        <v>0</v>
      </c>
      <c r="CK49" s="216">
        <f ca="1">IFERROR(CJ49/CF$4,0)</f>
        <v>0</v>
      </c>
      <c r="CL49" s="202">
        <f ca="1">CM49/$X49</f>
        <v>17866.614188354037</v>
      </c>
      <c r="CM49" s="203">
        <f ca="1">CN49/$Z49</f>
        <v>17699.189124623557</v>
      </c>
      <c r="CN49" s="203">
        <f ca="1">CO49*CF$4</f>
        <v>17699.191425518144</v>
      </c>
      <c r="CO49" s="204">
        <f t="shared" ca="1" si="537"/>
        <v>0.02</v>
      </c>
      <c r="CP49" s="205"/>
      <c r="CQ49" s="206">
        <f ca="1">CP49*$X49</f>
        <v>0</v>
      </c>
      <c r="CR49" s="206">
        <f ca="1">CQ49*$Z49</f>
        <v>0</v>
      </c>
      <c r="CS49" s="207">
        <f ca="1">IFERROR(CR49/CF$4,0)</f>
        <v>0</v>
      </c>
      <c r="CT49" s="313">
        <f t="shared" ref="CT49" si="1571">CF49+CP49</f>
        <v>0</v>
      </c>
      <c r="CU49" s="313">
        <f t="shared" ca="1" si="643"/>
        <v>0</v>
      </c>
      <c r="CV49" s="313">
        <f ca="1">CU49*$Z49</f>
        <v>0</v>
      </c>
      <c r="CW49" s="314">
        <f ca="1">IFERROR(CV49/CF$4,0)</f>
        <v>0</v>
      </c>
      <c r="CX49" s="211" t="str">
        <f ca="1">IF(SUM(CK49,CS49,CW49)&lt;&gt;0,"V","")</f>
        <v/>
      </c>
      <c r="CY49" s="197"/>
      <c r="CZ49" s="312" t="str">
        <f t="shared" ca="1" si="646"/>
        <v/>
      </c>
      <c r="DA49" s="252"/>
      <c r="DB49" s="199">
        <f ca="1">CY49*$X49</f>
        <v>0</v>
      </c>
      <c r="DC49" s="199">
        <f ca="1">DB49*$Z49</f>
        <v>0</v>
      </c>
      <c r="DD49" s="216">
        <f ca="1">IFERROR(DC49/CY$4,0)</f>
        <v>0</v>
      </c>
      <c r="DE49" s="202">
        <f ca="1">DF49/$X49</f>
        <v>72386.696514173804</v>
      </c>
      <c r="DF49" s="203">
        <f ca="1">DG49/$Z49</f>
        <v>71708.372845830192</v>
      </c>
      <c r="DG49" s="203">
        <f ca="1">DH49*CY$4</f>
        <v>71708.382167918666</v>
      </c>
      <c r="DH49" s="204">
        <f t="shared" ca="1" si="548"/>
        <v>0.02</v>
      </c>
      <c r="DI49" s="205"/>
      <c r="DJ49" s="206">
        <f ca="1">DI49*$X49</f>
        <v>0</v>
      </c>
      <c r="DK49" s="206">
        <f ca="1">DJ49*$Z49</f>
        <v>0</v>
      </c>
      <c r="DL49" s="207">
        <f ca="1">IFERROR(DK49/CY$4,0)</f>
        <v>0</v>
      </c>
      <c r="DM49" s="313">
        <f t="shared" si="654"/>
        <v>0</v>
      </c>
      <c r="DN49" s="313">
        <f t="shared" ca="1" si="655"/>
        <v>0</v>
      </c>
      <c r="DO49" s="313">
        <f ca="1">DN49*$Z49</f>
        <v>0</v>
      </c>
      <c r="DP49" s="314">
        <f ca="1">IFERROR(DO49/CY$4,0)</f>
        <v>0</v>
      </c>
      <c r="DQ49" s="315" t="str">
        <f ca="1">IF(SUM(DD49,DL49,DP49)&lt;&gt;0,"V","")</f>
        <v/>
      </c>
      <c r="DR49" s="197"/>
      <c r="DS49" s="312" t="str">
        <f t="shared" ca="1" si="554"/>
        <v/>
      </c>
      <c r="DT49" s="252"/>
      <c r="DU49" s="199">
        <f ca="1">DR49*$X49</f>
        <v>0</v>
      </c>
      <c r="DV49" s="199">
        <f ca="1">DU49*$Z49</f>
        <v>0</v>
      </c>
      <c r="DW49" s="216">
        <f ca="1">IFERROR(DV49/DR$4,0)</f>
        <v>0</v>
      </c>
      <c r="DX49" s="202">
        <f ca="1">DY49/$X49</f>
        <v>14167.960157776441</v>
      </c>
      <c r="DY49" s="203">
        <f ca="1">DZ49/$Z49</f>
        <v>14035.194564511838</v>
      </c>
      <c r="DZ49" s="203">
        <f ca="1">EA49*DR$4</f>
        <v>14035.196389087132</v>
      </c>
      <c r="EA49" s="204">
        <f t="shared" ca="1" si="560"/>
        <v>0.02</v>
      </c>
      <c r="EB49" s="205"/>
      <c r="EC49" s="206">
        <f ca="1">EB49*$X49</f>
        <v>0</v>
      </c>
      <c r="ED49" s="206">
        <f ca="1">EC49*$Z49</f>
        <v>0</v>
      </c>
      <c r="EE49" s="207">
        <f ca="1">IFERROR(ED49/DR$4,0)</f>
        <v>0</v>
      </c>
      <c r="EF49" s="313">
        <f t="shared" si="657"/>
        <v>0</v>
      </c>
      <c r="EG49" s="313">
        <f t="shared" ca="1" si="563"/>
        <v>0</v>
      </c>
      <c r="EH49" s="313">
        <f ca="1">EG49*$Z49</f>
        <v>0</v>
      </c>
      <c r="EI49" s="314">
        <f ca="1">IFERROR(EH49/DR$4,0)</f>
        <v>0</v>
      </c>
      <c r="EJ49" s="214">
        <f>20000</f>
        <v>20000</v>
      </c>
      <c r="EK49" s="312">
        <f t="shared" ca="1" si="658"/>
        <v>9.5344058679787791E-2</v>
      </c>
      <c r="EL49" s="252">
        <v>0.90439999999999998</v>
      </c>
      <c r="EM49" s="199">
        <f ca="1">EJ49*$X49</f>
        <v>19812.583333400002</v>
      </c>
      <c r="EN49" s="199">
        <f ca="1">EM49*$Z49</f>
        <v>19812.585909035835</v>
      </c>
      <c r="EO49" s="216">
        <f ca="1">IFERROR(EN49/EJ$4,0)</f>
        <v>2.7914950211661873E-2</v>
      </c>
      <c r="EP49" s="202">
        <f ca="1">EQ49/$X49</f>
        <v>-5670.7607584091538</v>
      </c>
      <c r="EQ49" s="203">
        <f ca="1">ER49/$Z49</f>
        <v>-5617.6210044877971</v>
      </c>
      <c r="ER49" s="203">
        <f ca="1">ES49*EJ$4</f>
        <v>-5617.6217347785287</v>
      </c>
      <c r="ES49" s="204">
        <f t="shared" ca="1" si="571"/>
        <v>-7.9149502116618725E-3</v>
      </c>
      <c r="ET49" s="205"/>
      <c r="EU49" s="206">
        <f ca="1">ET49*$X49</f>
        <v>0</v>
      </c>
      <c r="EV49" s="206">
        <f ca="1">EU49*$Z49</f>
        <v>0</v>
      </c>
      <c r="EW49" s="207">
        <f ca="1">IFERROR(EV49/EJ$4,0)</f>
        <v>0</v>
      </c>
      <c r="EX49" s="313">
        <f t="shared" ref="EX49" si="1572">EJ49+ET49</f>
        <v>20000</v>
      </c>
      <c r="EY49" s="313">
        <f t="shared" ca="1" si="669"/>
        <v>19812.583333400002</v>
      </c>
      <c r="EZ49" s="313">
        <f ca="1">EY49*$Z49</f>
        <v>19812.585909035835</v>
      </c>
      <c r="FA49" s="314">
        <f ca="1">IFERROR(EZ49/EJ$4,0)</f>
        <v>2.7914950211661873E-2</v>
      </c>
      <c r="FB49" s="211" t="str">
        <f ca="1">IF(SUM(EO49,EW49,FA49)&lt;&gt;0,"V","")</f>
        <v>V</v>
      </c>
      <c r="FC49" s="214"/>
      <c r="FD49" s="312" t="str">
        <f t="shared" ca="1" si="672"/>
        <v/>
      </c>
      <c r="FE49" s="252"/>
      <c r="FF49" s="199">
        <f ca="1">FC49*$X49</f>
        <v>0</v>
      </c>
      <c r="FG49" s="199">
        <f ca="1">FF49*$Z49</f>
        <v>0</v>
      </c>
      <c r="FH49" s="216">
        <f ca="1">IFERROR(FG49/FC$4,0)</f>
        <v>0</v>
      </c>
      <c r="FI49" s="202">
        <f ca="1">FJ49/$X49</f>
        <v>92014.790205501748</v>
      </c>
      <c r="FJ49" s="203">
        <f ca="1">FK49/$Z49</f>
        <v>91152.534942591068</v>
      </c>
      <c r="FK49" s="203">
        <f ca="1">FL49*FC$4</f>
        <v>91152.546792420617</v>
      </c>
      <c r="FL49" s="204">
        <f t="shared" ca="1" si="582"/>
        <v>0.02</v>
      </c>
      <c r="FM49" s="205"/>
      <c r="FN49" s="206">
        <f ca="1">FM49*$X49</f>
        <v>0</v>
      </c>
      <c r="FO49" s="206">
        <f ca="1">FN49*$Z49</f>
        <v>0</v>
      </c>
      <c r="FP49" s="207">
        <f ca="1">IFERROR(FO49/FC$4,0)</f>
        <v>0</v>
      </c>
      <c r="FQ49" s="313">
        <f t="shared" ref="FQ49" si="1573">FC49+FM49</f>
        <v>0</v>
      </c>
      <c r="FR49" s="313">
        <f t="shared" ca="1" si="683"/>
        <v>0</v>
      </c>
      <c r="FS49" s="313">
        <f ca="1">FR49*$Z49</f>
        <v>0</v>
      </c>
      <c r="FT49" s="314">
        <f ca="1">IFERROR(FS49/FC$4,0)</f>
        <v>0</v>
      </c>
      <c r="FU49" s="315" t="str">
        <f ca="1">IF(SUM(FH49,FP49,FT49)&lt;&gt;0,"V","")</f>
        <v/>
      </c>
    </row>
    <row r="50" spans="1:177" outlineLevel="2" x14ac:dyDescent="0.2">
      <c r="A50" s="298"/>
      <c r="B50" s="298"/>
      <c r="C50" s="299" t="str">
        <f t="shared" ca="1" si="487"/>
        <v>CH0487087337:CHF</v>
      </c>
      <c r="D50" s="300" t="str">
        <f t="shared" ca="1" si="488"/>
        <v>CH0487087337</v>
      </c>
      <c r="E50" s="301" t="str">
        <f t="shared" ca="1" si="488"/>
        <v>48708733</v>
      </c>
      <c r="F50" s="299" t="s">
        <v>737</v>
      </c>
      <c r="G50" s="316">
        <f t="shared" ca="1" si="488"/>
        <v>47364</v>
      </c>
      <c r="H50" s="1708" t="str">
        <f t="shared" ca="1" si="489"/>
        <v></v>
      </c>
      <c r="I50" s="1680" t="str">
        <f t="shared" ca="1" si="490"/>
        <v/>
      </c>
      <c r="J50" s="1708" t="str">
        <f t="shared" ca="1" si="1069"/>
        <v/>
      </c>
      <c r="K50" s="1709" t="str">
        <f t="shared" ca="1" si="1069"/>
        <v/>
      </c>
      <c r="L50" s="1710" t="str">
        <f t="shared" ca="1" si="492"/>
        <v/>
      </c>
      <c r="M50" s="298" t="str">
        <f t="shared" ca="1" si="493"/>
        <v>Pct</v>
      </c>
      <c r="N50" s="305">
        <v>0.02</v>
      </c>
      <c r="O50" s="305"/>
      <c r="P50" s="306">
        <f t="shared" ca="1" si="1539"/>
        <v>3.7878494703884468E-3</v>
      </c>
      <c r="Q50" s="307">
        <f t="array" aca="1" ref="Q50" ca="1">SUM(IF($AA$15:$FT$15="I_pos",AA50:FT50))</f>
        <v>10000</v>
      </c>
      <c r="R50" s="307">
        <f t="array" aca="1" ref="R50" ca="1">SUM(IF($AA$15:$FT$15="P_Pos",AA50:FT50))</f>
        <v>256587.94616094878</v>
      </c>
      <c r="S50" s="304"/>
      <c r="T50" s="307"/>
      <c r="U50" s="308">
        <f t="shared" ca="1" si="494"/>
        <v>-3.5732516590097001E-3</v>
      </c>
      <c r="V50" s="307">
        <f t="array" aca="1" ref="V50" ca="1">SUM(IF($AA$15:$FT$15="O_Pos",AA50:FT50))</f>
        <v>0</v>
      </c>
      <c r="W50" s="299" t="str">
        <f t="shared" ca="1" si="588"/>
        <v>CHF</v>
      </c>
      <c r="X50" s="309">
        <f t="shared" ca="1" si="496"/>
        <v>0.97662499999999997</v>
      </c>
      <c r="Y50" s="310">
        <f t="shared" ca="1" si="496"/>
        <v>8.0973748100000003E-3</v>
      </c>
      <c r="Z50" s="311">
        <f t="shared" ca="1" si="589"/>
        <v>1.0000001300000001</v>
      </c>
      <c r="AA50" s="214">
        <v>10000</v>
      </c>
      <c r="AB50" s="312">
        <f t="shared" ca="1" si="590"/>
        <v>0.12579250720461088</v>
      </c>
      <c r="AC50" s="252">
        <v>0.86750000000000005</v>
      </c>
      <c r="AD50" s="199">
        <f t="shared" ref="AD50" ca="1" si="1574">AA50*$X50</f>
        <v>9766.25</v>
      </c>
      <c r="AE50" s="199">
        <f t="shared" ref="AE50" ca="1" si="1575">AD50*$Z50</f>
        <v>9766.2512696125013</v>
      </c>
      <c r="AF50" s="216">
        <f t="shared" ref="AF50" ca="1" si="1576">IFERROR(AE50/AA$4,0)</f>
        <v>1.7393269039848773E-2</v>
      </c>
      <c r="AG50" s="202">
        <f t="shared" ref="AG50" ca="1" si="1577">AH50/$X50</f>
        <v>1498.7009941484191</v>
      </c>
      <c r="AH50" s="203">
        <f t="shared" ref="AH50" ca="1" si="1578">AI50/$Z50</f>
        <v>1463.6688584101998</v>
      </c>
      <c r="AI50" s="203">
        <f t="shared" ref="AI50" ca="1" si="1579">AJ50*AA$4</f>
        <v>1463.6690486871516</v>
      </c>
      <c r="AJ50" s="204">
        <f t="shared" ca="1" si="504"/>
        <v>2.6067309601512274E-3</v>
      </c>
      <c r="AK50" s="205"/>
      <c r="AL50" s="206">
        <f t="shared" ref="AL50" ca="1" si="1580">AK50*$X50</f>
        <v>0</v>
      </c>
      <c r="AM50" s="206">
        <f t="shared" ref="AM50" ca="1" si="1581">AL50*$Z50</f>
        <v>0</v>
      </c>
      <c r="AN50" s="207">
        <f t="shared" ref="AN50" ca="1" si="1582">IFERROR(AM50/AA$4,0)</f>
        <v>0</v>
      </c>
      <c r="AO50" s="313">
        <f t="shared" ref="AO50" si="1583">AA50+AK50</f>
        <v>10000</v>
      </c>
      <c r="AP50" s="313">
        <f t="shared" ca="1" si="601"/>
        <v>9766.25</v>
      </c>
      <c r="AQ50" s="313">
        <f t="shared" ref="AQ50" ca="1" si="1584">AP50*$Z50</f>
        <v>9766.2512696125013</v>
      </c>
      <c r="AR50" s="314">
        <f t="shared" ref="AR50" ca="1" si="1585">IFERROR(AQ50/AA$4,0)</f>
        <v>1.7393269039848773E-2</v>
      </c>
      <c r="AS50" s="315" t="str">
        <f t="shared" ref="AS50" ca="1" si="1586">IF(SUM(AF50,AN50,AR50)&lt;&gt;0,"V","")</f>
        <v>V</v>
      </c>
      <c r="AT50" s="214"/>
      <c r="AU50" s="312" t="str">
        <f t="shared" ref="AU50" ca="1" si="1587">IFERROR($X50/AV50-1,"")</f>
        <v/>
      </c>
      <c r="AV50" s="252"/>
      <c r="AW50" s="199">
        <f t="shared" ref="AW50" ca="1" si="1588">AT50*$X50</f>
        <v>0</v>
      </c>
      <c r="AX50" s="199">
        <f t="shared" ref="AX50" ca="1" si="1589">AW50*$Z50</f>
        <v>0</v>
      </c>
      <c r="AY50" s="216">
        <f t="shared" ref="AY50" ca="1" si="1590">IFERROR(AX50/AT$4,0)</f>
        <v>0</v>
      </c>
      <c r="AZ50" s="202">
        <f t="shared" ref="AZ50" ca="1" si="1591">BA50/$X50</f>
        <v>35465.850388476436</v>
      </c>
      <c r="BA50" s="203">
        <f t="shared" ref="BA50" ca="1" si="1592">BB50/$Z50</f>
        <v>34636.836135645797</v>
      </c>
      <c r="BB50" s="203">
        <f t="shared" ref="BB50" ca="1" si="1593">BC50*AT$4</f>
        <v>34636.8406384345</v>
      </c>
      <c r="BC50" s="204">
        <f t="shared" ca="1" si="515"/>
        <v>0.02</v>
      </c>
      <c r="BD50" s="205"/>
      <c r="BE50" s="206">
        <f t="shared" ref="BE50" ca="1" si="1594">BD50*$X50</f>
        <v>0</v>
      </c>
      <c r="BF50" s="206">
        <f t="shared" ref="BF50" ca="1" si="1595">BE50*$Z50</f>
        <v>0</v>
      </c>
      <c r="BG50" s="207">
        <f t="shared" ref="BG50" ca="1" si="1596">IFERROR(BF50/AT$4,0)</f>
        <v>0</v>
      </c>
      <c r="BH50" s="313">
        <f t="shared" ref="BH50" si="1597">AT50+BD50</f>
        <v>0</v>
      </c>
      <c r="BI50" s="313">
        <f t="shared" ca="1" si="615"/>
        <v>0</v>
      </c>
      <c r="BJ50" s="313">
        <f t="shared" ref="BJ50" ca="1" si="1598">BI50*$Z50</f>
        <v>0</v>
      </c>
      <c r="BK50" s="314">
        <f t="shared" ref="BK50" ca="1" si="1599">IFERROR(BJ50/AT$4,0)</f>
        <v>0</v>
      </c>
      <c r="BL50" s="211" t="str">
        <f t="shared" ref="BL50" ca="1" si="1600">IF(SUM(AY50,BG50,BK50)&lt;&gt;0,"V","")</f>
        <v/>
      </c>
      <c r="BM50" s="214"/>
      <c r="BN50" s="312" t="str">
        <f t="shared" ref="BN50" ca="1" si="1601">IFERROR($X50/BO50-1,"")</f>
        <v/>
      </c>
      <c r="BO50" s="252"/>
      <c r="BP50" s="199">
        <f t="shared" ref="BP50" ca="1" si="1602">BM50*$X50</f>
        <v>0</v>
      </c>
      <c r="BQ50" s="199">
        <f t="shared" ref="BQ50" ca="1" si="1603">BP50*$Z50</f>
        <v>0</v>
      </c>
      <c r="BR50" s="216">
        <f t="shared" ref="BR50" ca="1" si="1604">IFERROR(BQ50/BM$4,0)</f>
        <v>0</v>
      </c>
      <c r="BS50" s="202">
        <f t="shared" ref="BS50" ca="1" si="1605">BT50/$X50</f>
        <v>5835.8572828995029</v>
      </c>
      <c r="BT50" s="203">
        <f t="shared" ref="BT50" ca="1" si="1606">BU50/$Z50</f>
        <v>5699.4441189117269</v>
      </c>
      <c r="BU50" s="203">
        <f t="shared" ref="BU50" ca="1" si="1607">BV50*BM$4</f>
        <v>5699.4448598394629</v>
      </c>
      <c r="BV50" s="204">
        <f t="shared" ca="1" si="526"/>
        <v>0.02</v>
      </c>
      <c r="BW50" s="205"/>
      <c r="BX50" s="206">
        <f t="shared" ref="BX50" ca="1" si="1608">BW50*$X50</f>
        <v>0</v>
      </c>
      <c r="BY50" s="206">
        <f t="shared" ref="BY50" ca="1" si="1609">BX50*$Z50</f>
        <v>0</v>
      </c>
      <c r="BZ50" s="207">
        <f t="shared" ref="BZ50" ca="1" si="1610">IFERROR(BY50/BM$4,0)</f>
        <v>0</v>
      </c>
      <c r="CA50" s="313">
        <f t="shared" ref="CA50" si="1611">BM50+BW50</f>
        <v>0</v>
      </c>
      <c r="CB50" s="313">
        <f t="shared" ca="1" si="629"/>
        <v>0</v>
      </c>
      <c r="CC50" s="313">
        <f t="shared" ref="CC50" ca="1" si="1612">CB50*$Z50</f>
        <v>0</v>
      </c>
      <c r="CD50" s="314">
        <f t="shared" ref="CD50" ca="1" si="1613">IFERROR(CC50/BM$4,0)</f>
        <v>0</v>
      </c>
      <c r="CE50" s="211" t="str">
        <f t="shared" ref="CE50" ca="1" si="1614">IF(SUM(BR50,BZ50,CD50)&lt;&gt;0,"V","")</f>
        <v/>
      </c>
      <c r="CF50" s="214"/>
      <c r="CG50" s="312" t="str">
        <f t="shared" ref="CG50" ca="1" si="1615">IFERROR($X50/CH50-1,"")</f>
        <v/>
      </c>
      <c r="CH50" s="215"/>
      <c r="CI50" s="199">
        <f t="shared" ref="CI50" ca="1" si="1616">CF50*$X50</f>
        <v>0</v>
      </c>
      <c r="CJ50" s="199">
        <f t="shared" ref="CJ50" ca="1" si="1617">CI50*$Z50</f>
        <v>0</v>
      </c>
      <c r="CK50" s="216">
        <f t="shared" ref="CK50" ca="1" si="1618">IFERROR(CJ50/CF$4,0)</f>
        <v>0</v>
      </c>
      <c r="CL50" s="202">
        <f t="shared" ref="CL50" ca="1" si="1619">CM50/$X50</f>
        <v>18122.80980378708</v>
      </c>
      <c r="CM50" s="203">
        <f t="shared" ref="CM50" ca="1" si="1620">CN50/$Z50</f>
        <v>17699.189124623557</v>
      </c>
      <c r="CN50" s="203">
        <f t="shared" ref="CN50" ca="1" si="1621">CO50*CF$4</f>
        <v>17699.191425518144</v>
      </c>
      <c r="CO50" s="204">
        <f t="shared" ca="1" si="537"/>
        <v>0.02</v>
      </c>
      <c r="CP50" s="205"/>
      <c r="CQ50" s="206">
        <f t="shared" ref="CQ50" ca="1" si="1622">CP50*$X50</f>
        <v>0</v>
      </c>
      <c r="CR50" s="206">
        <f t="shared" ref="CR50" ca="1" si="1623">CQ50*$Z50</f>
        <v>0</v>
      </c>
      <c r="CS50" s="207">
        <f t="shared" ref="CS50" ca="1" si="1624">IFERROR(CR50/CF$4,0)</f>
        <v>0</v>
      </c>
      <c r="CT50" s="313">
        <f t="shared" ref="CT50" si="1625">CF50+CP50</f>
        <v>0</v>
      </c>
      <c r="CU50" s="313">
        <f t="shared" ca="1" si="643"/>
        <v>0</v>
      </c>
      <c r="CV50" s="313">
        <f t="shared" ref="CV50" ca="1" si="1626">CU50*$Z50</f>
        <v>0</v>
      </c>
      <c r="CW50" s="314">
        <f t="shared" ref="CW50" ca="1" si="1627">IFERROR(CV50/CF$4,0)</f>
        <v>0</v>
      </c>
      <c r="CX50" s="211" t="str">
        <f t="shared" ref="CX50" ca="1" si="1628">IF(SUM(CK50,CS50,CW50)&lt;&gt;0,"V","")</f>
        <v/>
      </c>
      <c r="CY50" s="197"/>
      <c r="CZ50" s="312" t="str">
        <f t="shared" ref="CZ50" ca="1" si="1629">IFERROR($X50/DA50-1,"")</f>
        <v/>
      </c>
      <c r="DA50" s="252"/>
      <c r="DB50" s="199">
        <f t="shared" ref="DB50" ca="1" si="1630">CY50*$X50</f>
        <v>0</v>
      </c>
      <c r="DC50" s="199">
        <f t="shared" ref="DC50" ca="1" si="1631">DB50*$Z50</f>
        <v>0</v>
      </c>
      <c r="DD50" s="216">
        <f t="shared" ref="DD50" ca="1" si="1632">IFERROR(DC50/CY$4,0)</f>
        <v>0</v>
      </c>
      <c r="DE50" s="202">
        <f t="shared" ref="DE50" ca="1" si="1633">DF50/$X50</f>
        <v>73424.674614954769</v>
      </c>
      <c r="DF50" s="203">
        <f t="shared" ref="DF50" ca="1" si="1634">DG50/$Z50</f>
        <v>71708.372845830192</v>
      </c>
      <c r="DG50" s="203">
        <f t="shared" ref="DG50" ca="1" si="1635">DH50*CY$4</f>
        <v>71708.382167918666</v>
      </c>
      <c r="DH50" s="204">
        <f t="shared" ca="1" si="548"/>
        <v>0.02</v>
      </c>
      <c r="DI50" s="205"/>
      <c r="DJ50" s="206">
        <f t="shared" ref="DJ50" ca="1" si="1636">DI50*$X50</f>
        <v>0</v>
      </c>
      <c r="DK50" s="206">
        <f t="shared" ref="DK50" ca="1" si="1637">DJ50*$Z50</f>
        <v>0</v>
      </c>
      <c r="DL50" s="207">
        <f t="shared" ref="DL50" ca="1" si="1638">IFERROR(DK50/CY$4,0)</f>
        <v>0</v>
      </c>
      <c r="DM50" s="313">
        <f t="shared" ref="DM50" si="1639">CY50+DI50</f>
        <v>0</v>
      </c>
      <c r="DN50" s="313">
        <f t="shared" ca="1" si="655"/>
        <v>0</v>
      </c>
      <c r="DO50" s="313">
        <f t="shared" ref="DO50" ca="1" si="1640">DN50*$Z50</f>
        <v>0</v>
      </c>
      <c r="DP50" s="314">
        <f t="shared" ref="DP50" ca="1" si="1641">IFERROR(DO50/CY$4,0)</f>
        <v>0</v>
      </c>
      <c r="DQ50" s="315" t="str">
        <f t="shared" ref="DQ50" ca="1" si="1642">IF(SUM(DD50,DL50,DP50)&lt;&gt;0,"V","")</f>
        <v/>
      </c>
      <c r="DR50" s="197"/>
      <c r="DS50" s="312" t="str">
        <f t="shared" ca="1" si="554"/>
        <v/>
      </c>
      <c r="DT50" s="252"/>
      <c r="DU50" s="199">
        <f t="shared" ref="DU50:DU57" ca="1" si="1643">DR50*$X50</f>
        <v>0</v>
      </c>
      <c r="DV50" s="199">
        <f t="shared" ref="DV50:DV57" ca="1" si="1644">DU50*$Z50</f>
        <v>0</v>
      </c>
      <c r="DW50" s="216">
        <f t="shared" ref="DW50:DW66" ca="1" si="1645">IFERROR(DV50/DR$4,0)</f>
        <v>0</v>
      </c>
      <c r="DX50" s="202">
        <f t="shared" ref="DX50:DX51" ca="1" si="1646">DY50/$X50</f>
        <v>14371.119482413247</v>
      </c>
      <c r="DY50" s="203">
        <f t="shared" ref="DY50:DY57" ca="1" si="1647">DZ50/$Z50</f>
        <v>14035.194564511838</v>
      </c>
      <c r="DZ50" s="203">
        <f t="shared" ref="DZ50:DZ57" ca="1" si="1648">EA50*DR$4</f>
        <v>14035.196389087132</v>
      </c>
      <c r="EA50" s="204">
        <f t="shared" ca="1" si="560"/>
        <v>0.02</v>
      </c>
      <c r="EB50" s="205"/>
      <c r="EC50" s="206">
        <f t="shared" ref="EC50:EC57" ca="1" si="1649">EB50*$X50</f>
        <v>0</v>
      </c>
      <c r="ED50" s="206">
        <f t="shared" ref="ED50:ED57" ca="1" si="1650">EC50*$Z50</f>
        <v>0</v>
      </c>
      <c r="EE50" s="207">
        <f t="shared" ref="EE50:EE66" ca="1" si="1651">IFERROR(ED50/DR$4,0)</f>
        <v>0</v>
      </c>
      <c r="EF50" s="313">
        <f t="shared" si="657"/>
        <v>0</v>
      </c>
      <c r="EG50" s="313">
        <f t="shared" ca="1" si="563"/>
        <v>0</v>
      </c>
      <c r="EH50" s="313">
        <f t="shared" ref="EH50:EH57" ca="1" si="1652">EG50*$Z50</f>
        <v>0</v>
      </c>
      <c r="EI50" s="314">
        <f t="shared" ref="EI50:EI58" ca="1" si="1653">IFERROR(EH50/DR$4,0)</f>
        <v>0</v>
      </c>
      <c r="EJ50" s="214"/>
      <c r="EK50" s="312" t="str">
        <f t="shared" ref="EK50" ca="1" si="1654">IFERROR($X50/EL50-1,"")</f>
        <v/>
      </c>
      <c r="EL50" s="252"/>
      <c r="EM50" s="199">
        <f t="shared" ref="EM50" ca="1" si="1655">EJ50*$X50</f>
        <v>0</v>
      </c>
      <c r="EN50" s="199">
        <f t="shared" ref="EN50" ca="1" si="1656">EM50*$Z50</f>
        <v>0</v>
      </c>
      <c r="EO50" s="216">
        <f t="shared" ref="EO50" ca="1" si="1657">IFERROR(EN50/EJ$4,0)</f>
        <v>0</v>
      </c>
      <c r="EP50" s="202">
        <f t="shared" ref="EP50" ca="1" si="1658">EQ50/$X50</f>
        <v>14534.711203289085</v>
      </c>
      <c r="EQ50" s="203">
        <f t="shared" ref="EQ50" ca="1" si="1659">ER50/$Z50</f>
        <v>14194.962328912203</v>
      </c>
      <c r="ER50" s="203">
        <f t="shared" ref="ER50" ca="1" si="1660">ES50*EJ$4</f>
        <v>14194.964174257308</v>
      </c>
      <c r="ES50" s="204">
        <f t="shared" ca="1" si="571"/>
        <v>0.02</v>
      </c>
      <c r="ET50" s="205"/>
      <c r="EU50" s="206">
        <f t="shared" ref="EU50" ca="1" si="1661">ET50*$X50</f>
        <v>0</v>
      </c>
      <c r="EV50" s="206">
        <f t="shared" ref="EV50" ca="1" si="1662">EU50*$Z50</f>
        <v>0</v>
      </c>
      <c r="EW50" s="207">
        <f t="shared" ref="EW50" ca="1" si="1663">IFERROR(EV50/EJ$4,0)</f>
        <v>0</v>
      </c>
      <c r="EX50" s="313">
        <f t="shared" ref="EX50" si="1664">EJ50+ET50</f>
        <v>0</v>
      </c>
      <c r="EY50" s="313">
        <f t="shared" ca="1" si="669"/>
        <v>0</v>
      </c>
      <c r="EZ50" s="313">
        <f t="shared" ref="EZ50" ca="1" si="1665">EY50*$Z50</f>
        <v>0</v>
      </c>
      <c r="FA50" s="314">
        <f t="shared" ref="FA50" ca="1" si="1666">IFERROR(EZ50/EJ$4,0)</f>
        <v>0</v>
      </c>
      <c r="FB50" s="211" t="str">
        <f t="shared" ref="FB50" ca="1" si="1667">IF(SUM(EO50,EW50,FA50)&lt;&gt;0,"V","")</f>
        <v/>
      </c>
      <c r="FC50" s="214"/>
      <c r="FD50" s="312" t="str">
        <f t="shared" ref="FD50" ca="1" si="1668">IFERROR($X50/FE50-1,"")</f>
        <v/>
      </c>
      <c r="FE50" s="252"/>
      <c r="FF50" s="199">
        <f t="shared" ref="FF50" ca="1" si="1669">FC50*$X50</f>
        <v>0</v>
      </c>
      <c r="FG50" s="199">
        <f t="shared" ref="FG50" ca="1" si="1670">FF50*$Z50</f>
        <v>0</v>
      </c>
      <c r="FH50" s="216">
        <f t="shared" ref="FH50" ca="1" si="1671">IFERROR(FG50/FC$4,0)</f>
        <v>0</v>
      </c>
      <c r="FI50" s="202">
        <f t="shared" ref="FI50" ca="1" si="1672">FJ50/$X50</f>
        <v>93334.222390980241</v>
      </c>
      <c r="FJ50" s="203">
        <f t="shared" ref="FJ50" ca="1" si="1673">FK50/$Z50</f>
        <v>91152.534942591068</v>
      </c>
      <c r="FK50" s="203">
        <f t="shared" ref="FK50" ca="1" si="1674">FL50*FC$4</f>
        <v>91152.546792420617</v>
      </c>
      <c r="FL50" s="204">
        <f t="shared" ca="1" si="582"/>
        <v>0.02</v>
      </c>
      <c r="FM50" s="205"/>
      <c r="FN50" s="206">
        <f t="shared" ref="FN50" ca="1" si="1675">FM50*$X50</f>
        <v>0</v>
      </c>
      <c r="FO50" s="206">
        <f t="shared" ref="FO50" ca="1" si="1676">FN50*$Z50</f>
        <v>0</v>
      </c>
      <c r="FP50" s="207">
        <f t="shared" ref="FP50" ca="1" si="1677">IFERROR(FO50/FC$4,0)</f>
        <v>0</v>
      </c>
      <c r="FQ50" s="313">
        <f t="shared" ref="FQ50" si="1678">FC50+FM50</f>
        <v>0</v>
      </c>
      <c r="FR50" s="313">
        <f t="shared" ca="1" si="683"/>
        <v>0</v>
      </c>
      <c r="FS50" s="313">
        <f t="shared" ref="FS50" ca="1" si="1679">FR50*$Z50</f>
        <v>0</v>
      </c>
      <c r="FT50" s="314">
        <f t="shared" ref="FT50" ca="1" si="1680">IFERROR(FS50/FC$4,0)</f>
        <v>0</v>
      </c>
      <c r="FU50" s="315" t="str">
        <f t="shared" ref="FU50" ca="1" si="1681">IF(SUM(FH50,FP50,FT50)&lt;&gt;0,"V","")</f>
        <v/>
      </c>
    </row>
    <row r="51" spans="1:177" outlineLevel="2" x14ac:dyDescent="0.2">
      <c r="A51" s="298"/>
      <c r="B51" s="298"/>
      <c r="C51" s="299" t="str">
        <f t="shared" ca="1" si="487"/>
        <v>CH0485260837:CHF</v>
      </c>
      <c r="D51" s="300" t="str">
        <f t="shared" ca="1" si="488"/>
        <v>CH0485260837</v>
      </c>
      <c r="E51" s="301" t="str">
        <f t="shared" ca="1" si="488"/>
        <v>48526083</v>
      </c>
      <c r="F51" s="299" t="s">
        <v>738</v>
      </c>
      <c r="G51" s="316">
        <f t="shared" ca="1" si="488"/>
        <v>47407</v>
      </c>
      <c r="H51" s="1708" t="str">
        <f t="shared" ca="1" si="489"/>
        <v></v>
      </c>
      <c r="I51" s="1680" t="str">
        <f t="shared" ca="1" si="490"/>
        <v/>
      </c>
      <c r="J51" s="1708" t="str">
        <f t="shared" ca="1" si="1069"/>
        <v/>
      </c>
      <c r="K51" s="1709" t="str">
        <f t="shared" ca="1" si="1069"/>
        <v/>
      </c>
      <c r="L51" s="1710" t="str">
        <f t="shared" ca="1" si="492"/>
        <v/>
      </c>
      <c r="M51" s="298" t="str">
        <f t="shared" ca="1" si="493"/>
        <v>Pct</v>
      </c>
      <c r="N51" s="305"/>
      <c r="O51" s="305"/>
      <c r="P51" s="306">
        <f t="shared" ca="1" si="1539"/>
        <v>0</v>
      </c>
      <c r="Q51" s="307">
        <f t="array" aca="1" ref="Q51" ca="1">SUM(IF($AA$15:$FT$15="I_pos",AA51:FT51))</f>
        <v>100000</v>
      </c>
      <c r="R51" s="307">
        <f t="array" aca="1" ref="R51" ca="1">SUM(IF($AA$15:$FT$15="P_Pos",AA51:FT51))</f>
        <v>-100000</v>
      </c>
      <c r="S51" s="304"/>
      <c r="T51" s="307"/>
      <c r="U51" s="308">
        <f t="shared" ca="1" si="494"/>
        <v>0</v>
      </c>
      <c r="V51" s="307">
        <f t="array" aca="1" ref="V51" ca="1">SUM(IF($AA$15:$FT$15="O_Pos",AA51:FT51))</f>
        <v>0</v>
      </c>
      <c r="W51" s="299" t="str">
        <f t="shared" ca="1" si="588"/>
        <v>CHF</v>
      </c>
      <c r="X51" s="309">
        <f t="shared" ca="1" si="496"/>
        <v>0.98499999999999999</v>
      </c>
      <c r="Y51" s="310">
        <f t="shared" ca="1" si="496"/>
        <v>4.4731396200000002E-3</v>
      </c>
      <c r="Z51" s="311">
        <f t="shared" ca="1" si="589"/>
        <v>1.0000001300000001</v>
      </c>
      <c r="AA51" s="214"/>
      <c r="AB51" s="312">
        <f t="shared" ca="1" si="590"/>
        <v>0.13544668587896247</v>
      </c>
      <c r="AC51" s="252">
        <v>0.86750000000000005</v>
      </c>
      <c r="AD51" s="199">
        <f t="shared" ref="AD51:AD54" ca="1" si="1682">AA51*$X51</f>
        <v>0</v>
      </c>
      <c r="AE51" s="199">
        <f t="shared" ref="AE51:AE54" ca="1" si="1683">AD51*$Z51</f>
        <v>0</v>
      </c>
      <c r="AF51" s="216">
        <f t="shared" ref="AF51:AF54" ca="1" si="1684">IFERROR(AE51/AA$4,0)</f>
        <v>0</v>
      </c>
      <c r="AG51" s="202">
        <f t="shared" ref="AG51:AG54" ca="1" si="1685">AH51/$X51</f>
        <v>0</v>
      </c>
      <c r="AH51" s="203">
        <f t="shared" ref="AH51:AH54" ca="1" si="1686">AI51/$Z51</f>
        <v>0</v>
      </c>
      <c r="AI51" s="203">
        <f t="shared" ref="AI51:AI54" ca="1" si="1687">AJ51*AA$4</f>
        <v>0</v>
      </c>
      <c r="AJ51" s="204">
        <f t="shared" ca="1" si="504"/>
        <v>0</v>
      </c>
      <c r="AK51" s="205"/>
      <c r="AL51" s="206">
        <f t="shared" ref="AL51:AL54" ca="1" si="1688">AK51*$X51</f>
        <v>0</v>
      </c>
      <c r="AM51" s="206">
        <f t="shared" ref="AM51:AM54" ca="1" si="1689">AL51*$Z51</f>
        <v>0</v>
      </c>
      <c r="AN51" s="207">
        <f t="shared" ref="AN51:AN54" ca="1" si="1690">IFERROR(AM51/AA$4,0)</f>
        <v>0</v>
      </c>
      <c r="AO51" s="313">
        <f t="shared" ref="AO51:AO54" si="1691">AA51+AK51</f>
        <v>0</v>
      </c>
      <c r="AP51" s="313">
        <f t="shared" ca="1" si="601"/>
        <v>0</v>
      </c>
      <c r="AQ51" s="313">
        <f t="shared" ref="AQ51:AQ54" ca="1" si="1692">AP51*$Z51</f>
        <v>0</v>
      </c>
      <c r="AR51" s="314">
        <f t="shared" ref="AR51:AR54" ca="1" si="1693">IFERROR(AQ51/AA$4,0)</f>
        <v>0</v>
      </c>
      <c r="AS51" s="315" t="str">
        <f t="shared" ref="AS51:AS54" ca="1" si="1694">IF(SUM(AF51,AN51,AR51)&lt;&gt;0,"V","")</f>
        <v/>
      </c>
      <c r="AT51" s="214"/>
      <c r="AU51" s="312" t="str">
        <f t="shared" ca="1" si="604"/>
        <v/>
      </c>
      <c r="AV51" s="252"/>
      <c r="AW51" s="199">
        <f t="shared" ref="AW51:AW54" ca="1" si="1695">AT51*$X51</f>
        <v>0</v>
      </c>
      <c r="AX51" s="199">
        <f t="shared" ref="AX51:AX54" ca="1" si="1696">AW51*$Z51</f>
        <v>0</v>
      </c>
      <c r="AY51" s="216">
        <f t="shared" ref="AY51:AY54" ca="1" si="1697">IFERROR(AX51/AT$4,0)</f>
        <v>0</v>
      </c>
      <c r="AZ51" s="202">
        <f t="shared" ref="AZ51:AZ54" ca="1" si="1698">BA51/$X51</f>
        <v>0</v>
      </c>
      <c r="BA51" s="203">
        <f t="shared" ref="BA51:BA54" ca="1" si="1699">BB51/$Z51</f>
        <v>0</v>
      </c>
      <c r="BB51" s="203">
        <f t="shared" ref="BB51:BB54" ca="1" si="1700">BC51*AT$4</f>
        <v>0</v>
      </c>
      <c r="BC51" s="204">
        <f t="shared" ca="1" si="515"/>
        <v>0</v>
      </c>
      <c r="BD51" s="205"/>
      <c r="BE51" s="206">
        <f t="shared" ref="BE51:BE54" ca="1" si="1701">BD51*$X51</f>
        <v>0</v>
      </c>
      <c r="BF51" s="206">
        <f t="shared" ref="BF51:BF54" ca="1" si="1702">BE51*$Z51</f>
        <v>0</v>
      </c>
      <c r="BG51" s="207">
        <f t="shared" ref="BG51:BG54" ca="1" si="1703">IFERROR(BF51/AT$4,0)</f>
        <v>0</v>
      </c>
      <c r="BH51" s="313">
        <f t="shared" ref="BH51:BH54" si="1704">AT51+BD51</f>
        <v>0</v>
      </c>
      <c r="BI51" s="313">
        <f t="shared" ca="1" si="615"/>
        <v>0</v>
      </c>
      <c r="BJ51" s="313">
        <f t="shared" ref="BJ51:BJ54" ca="1" si="1705">BI51*$Z51</f>
        <v>0</v>
      </c>
      <c r="BK51" s="314">
        <f t="shared" ref="BK51:BK54" ca="1" si="1706">IFERROR(BJ51/AT$4,0)</f>
        <v>0</v>
      </c>
      <c r="BL51" s="211" t="str">
        <f t="shared" ref="BL51:BL54" ca="1" si="1707">IF(SUM(AY51,BG51,BK51)&lt;&gt;0,"V","")</f>
        <v/>
      </c>
      <c r="BM51" s="214"/>
      <c r="BN51" s="312" t="str">
        <f t="shared" ca="1" si="618"/>
        <v/>
      </c>
      <c r="BO51" s="252"/>
      <c r="BP51" s="199">
        <f t="shared" ref="BP51:BP54" ca="1" si="1708">BM51*$X51</f>
        <v>0</v>
      </c>
      <c r="BQ51" s="199">
        <f t="shared" ref="BQ51:BQ54" ca="1" si="1709">BP51*$Z51</f>
        <v>0</v>
      </c>
      <c r="BR51" s="216">
        <f t="shared" ref="BR51:BR54" ca="1" si="1710">IFERROR(BQ51/BM$4,0)</f>
        <v>0</v>
      </c>
      <c r="BS51" s="202">
        <f t="shared" ref="BS51:BS54" ca="1" si="1711">BT51/$X51</f>
        <v>0</v>
      </c>
      <c r="BT51" s="203">
        <f t="shared" ref="BT51:BT54" ca="1" si="1712">BU51/$Z51</f>
        <v>0</v>
      </c>
      <c r="BU51" s="203">
        <f t="shared" ref="BU51:BU54" ca="1" si="1713">BV51*BM$4</f>
        <v>0</v>
      </c>
      <c r="BV51" s="204">
        <f t="shared" ca="1" si="526"/>
        <v>0</v>
      </c>
      <c r="BW51" s="205"/>
      <c r="BX51" s="206">
        <f t="shared" ref="BX51:BX54" ca="1" si="1714">BW51*$X51</f>
        <v>0</v>
      </c>
      <c r="BY51" s="206">
        <f t="shared" ref="BY51:BY54" ca="1" si="1715">BX51*$Z51</f>
        <v>0</v>
      </c>
      <c r="BZ51" s="207">
        <f t="shared" ref="BZ51:BZ54" ca="1" si="1716">IFERROR(BY51/BM$4,0)</f>
        <v>0</v>
      </c>
      <c r="CA51" s="313">
        <f t="shared" ref="CA51:CA54" si="1717">BM51+BW51</f>
        <v>0</v>
      </c>
      <c r="CB51" s="313">
        <f t="shared" ca="1" si="629"/>
        <v>0</v>
      </c>
      <c r="CC51" s="313">
        <f t="shared" ref="CC51:CC54" ca="1" si="1718">CB51*$Z51</f>
        <v>0</v>
      </c>
      <c r="CD51" s="314">
        <f t="shared" ref="CD51:CD54" ca="1" si="1719">IFERROR(CC51/BM$4,0)</f>
        <v>0</v>
      </c>
      <c r="CE51" s="211" t="str">
        <f t="shared" ref="CE51:CE54" ca="1" si="1720">IF(SUM(BR51,BZ51,CD51)&lt;&gt;0,"V","")</f>
        <v/>
      </c>
      <c r="CF51" s="214"/>
      <c r="CG51" s="312" t="str">
        <f t="shared" ca="1" si="632"/>
        <v/>
      </c>
      <c r="CH51" s="215"/>
      <c r="CI51" s="199">
        <f t="shared" ref="CI51:CI54" ca="1" si="1721">CF51*$X51</f>
        <v>0</v>
      </c>
      <c r="CJ51" s="199">
        <f t="shared" ref="CJ51:CJ54" ca="1" si="1722">CI51*$Z51</f>
        <v>0</v>
      </c>
      <c r="CK51" s="216">
        <f t="shared" ref="CK51:CK54" ca="1" si="1723">IFERROR(CJ51/CF$4,0)</f>
        <v>0</v>
      </c>
      <c r="CL51" s="202">
        <f t="shared" ref="CL51:CL54" ca="1" si="1724">CM51/$X51</f>
        <v>0</v>
      </c>
      <c r="CM51" s="203">
        <f t="shared" ref="CM51:CM54" ca="1" si="1725">CN51/$Z51</f>
        <v>0</v>
      </c>
      <c r="CN51" s="203">
        <f t="shared" ref="CN51:CN54" ca="1" si="1726">CO51*CF$4</f>
        <v>0</v>
      </c>
      <c r="CO51" s="204">
        <f t="shared" ca="1" si="537"/>
        <v>0</v>
      </c>
      <c r="CP51" s="205"/>
      <c r="CQ51" s="206">
        <f t="shared" ref="CQ51:CQ54" ca="1" si="1727">CP51*$X51</f>
        <v>0</v>
      </c>
      <c r="CR51" s="206">
        <f t="shared" ref="CR51:CR54" ca="1" si="1728">CQ51*$Z51</f>
        <v>0</v>
      </c>
      <c r="CS51" s="207">
        <f t="shared" ref="CS51:CS54" ca="1" si="1729">IFERROR(CR51/CF$4,0)</f>
        <v>0</v>
      </c>
      <c r="CT51" s="313">
        <f t="shared" ref="CT51:CT54" si="1730">CF51+CP51</f>
        <v>0</v>
      </c>
      <c r="CU51" s="313">
        <f t="shared" ca="1" si="643"/>
        <v>0</v>
      </c>
      <c r="CV51" s="313">
        <f t="shared" ref="CV51:CV54" ca="1" si="1731">CU51*$Z51</f>
        <v>0</v>
      </c>
      <c r="CW51" s="314">
        <f t="shared" ref="CW51:CW54" ca="1" si="1732">IFERROR(CV51/CF$4,0)</f>
        <v>0</v>
      </c>
      <c r="CX51" s="211" t="str">
        <f t="shared" ref="CX51:CX54" ca="1" si="1733">IF(SUM(CK51,CS51,CW51)&lt;&gt;0,"V","")</f>
        <v/>
      </c>
      <c r="CY51" s="197"/>
      <c r="CZ51" s="312" t="str">
        <f t="shared" ca="1" si="646"/>
        <v/>
      </c>
      <c r="DA51" s="252"/>
      <c r="DB51" s="199">
        <f t="shared" ref="DB51:DB54" ca="1" si="1734">CY51*$X51</f>
        <v>0</v>
      </c>
      <c r="DC51" s="199">
        <f t="shared" ref="DC51:DC54" ca="1" si="1735">DB51*$Z51</f>
        <v>0</v>
      </c>
      <c r="DD51" s="216">
        <f t="shared" ref="DD51:DD54" ca="1" si="1736">IFERROR(DC51/CY$4,0)</f>
        <v>0</v>
      </c>
      <c r="DE51" s="202">
        <f t="shared" ref="DE51:DE54" ca="1" si="1737">DF51/$X51</f>
        <v>0</v>
      </c>
      <c r="DF51" s="203">
        <f t="shared" ref="DF51:DF54" ca="1" si="1738">DG51/$Z51</f>
        <v>0</v>
      </c>
      <c r="DG51" s="203">
        <f t="shared" ref="DG51:DG54" ca="1" si="1739">DH51*CY$4</f>
        <v>0</v>
      </c>
      <c r="DH51" s="204">
        <f t="shared" ca="1" si="548"/>
        <v>0</v>
      </c>
      <c r="DI51" s="205"/>
      <c r="DJ51" s="206">
        <f t="shared" ref="DJ51" ca="1" si="1740">DI51*$X51</f>
        <v>0</v>
      </c>
      <c r="DK51" s="206">
        <f t="shared" ref="DK51" ca="1" si="1741">DJ51*$Z51</f>
        <v>0</v>
      </c>
      <c r="DL51" s="207">
        <f t="shared" ref="DL51" ca="1" si="1742">IFERROR(DK51/CY$4,0)</f>
        <v>0</v>
      </c>
      <c r="DM51" s="313">
        <f t="shared" ref="DM51" si="1743">CY51+DI51</f>
        <v>0</v>
      </c>
      <c r="DN51" s="313">
        <f t="shared" ca="1" si="655"/>
        <v>0</v>
      </c>
      <c r="DO51" s="313">
        <f t="shared" ref="DO51:DO54" ca="1" si="1744">DN51*$Z51</f>
        <v>0</v>
      </c>
      <c r="DP51" s="314">
        <f t="shared" ref="DP51:DP54" ca="1" si="1745">IFERROR(DO51/CY$4,0)</f>
        <v>0</v>
      </c>
      <c r="DQ51" s="315" t="str">
        <f t="shared" ref="DQ51:DQ54" ca="1" si="1746">IF(SUM(DD51,DL51,DP51)&lt;&gt;0,"V","")</f>
        <v/>
      </c>
      <c r="DR51" s="197"/>
      <c r="DS51" s="312" t="str">
        <f t="shared" ca="1" si="554"/>
        <v/>
      </c>
      <c r="DT51" s="252"/>
      <c r="DU51" s="199">
        <f t="shared" ca="1" si="1643"/>
        <v>0</v>
      </c>
      <c r="DV51" s="199">
        <f t="shared" ca="1" si="1644"/>
        <v>0</v>
      </c>
      <c r="DW51" s="216">
        <f t="shared" ca="1" si="1645"/>
        <v>0</v>
      </c>
      <c r="DX51" s="202">
        <f t="shared" ca="1" si="1646"/>
        <v>0</v>
      </c>
      <c r="DY51" s="203">
        <f t="shared" ca="1" si="1647"/>
        <v>0</v>
      </c>
      <c r="DZ51" s="203">
        <f t="shared" ca="1" si="1648"/>
        <v>0</v>
      </c>
      <c r="EA51" s="204">
        <f t="shared" ca="1" si="560"/>
        <v>0</v>
      </c>
      <c r="EB51" s="205"/>
      <c r="EC51" s="206">
        <f t="shared" ca="1" si="1649"/>
        <v>0</v>
      </c>
      <c r="ED51" s="206">
        <f t="shared" ca="1" si="1650"/>
        <v>0</v>
      </c>
      <c r="EE51" s="207">
        <f t="shared" ca="1" si="1651"/>
        <v>0</v>
      </c>
      <c r="EF51" s="313">
        <f t="shared" si="657"/>
        <v>0</v>
      </c>
      <c r="EG51" s="313">
        <f t="shared" ca="1" si="563"/>
        <v>0</v>
      </c>
      <c r="EH51" s="313">
        <f t="shared" ca="1" si="1652"/>
        <v>0</v>
      </c>
      <c r="EI51" s="314">
        <f t="shared" ca="1" si="1653"/>
        <v>0</v>
      </c>
      <c r="EJ51" s="214"/>
      <c r="EK51" s="312" t="str">
        <f t="shared" ca="1" si="658"/>
        <v/>
      </c>
      <c r="EL51" s="252"/>
      <c r="EM51" s="199">
        <f t="shared" ref="EM51:EM54" ca="1" si="1747">EJ51*$X51</f>
        <v>0</v>
      </c>
      <c r="EN51" s="199">
        <f t="shared" ref="EN51:EN54" ca="1" si="1748">EM51*$Z51</f>
        <v>0</v>
      </c>
      <c r="EO51" s="216">
        <f t="shared" ref="EO51:EO54" ca="1" si="1749">IFERROR(EN51/EJ$4,0)</f>
        <v>0</v>
      </c>
      <c r="EP51" s="202">
        <f t="shared" ref="EP51:EP54" ca="1" si="1750">EQ51/$X51</f>
        <v>0</v>
      </c>
      <c r="EQ51" s="203">
        <f t="shared" ref="EQ51:EQ54" ca="1" si="1751">ER51/$Z51</f>
        <v>0</v>
      </c>
      <c r="ER51" s="203">
        <f t="shared" ref="ER51:ER54" ca="1" si="1752">ES51*EJ$4</f>
        <v>0</v>
      </c>
      <c r="ES51" s="204">
        <f t="shared" ca="1" si="571"/>
        <v>0</v>
      </c>
      <c r="ET51" s="205"/>
      <c r="EU51" s="206">
        <f t="shared" ref="EU51:EU54" ca="1" si="1753">ET51*$X51</f>
        <v>0</v>
      </c>
      <c r="EV51" s="206">
        <f t="shared" ref="EV51:EV54" ca="1" si="1754">EU51*$Z51</f>
        <v>0</v>
      </c>
      <c r="EW51" s="207">
        <f t="shared" ref="EW51:EW54" ca="1" si="1755">IFERROR(EV51/EJ$4,0)</f>
        <v>0</v>
      </c>
      <c r="EX51" s="313">
        <f t="shared" ref="EX51:EX54" si="1756">EJ51+ET51</f>
        <v>0</v>
      </c>
      <c r="EY51" s="313">
        <f t="shared" ca="1" si="669"/>
        <v>0</v>
      </c>
      <c r="EZ51" s="313">
        <f t="shared" ref="EZ51:EZ54" ca="1" si="1757">EY51*$Z51</f>
        <v>0</v>
      </c>
      <c r="FA51" s="314">
        <f t="shared" ref="FA51:FA54" ca="1" si="1758">IFERROR(EZ51/EJ$4,0)</f>
        <v>0</v>
      </c>
      <c r="FB51" s="211" t="str">
        <f t="shared" ref="FB51:FB54" ca="1" si="1759">IF(SUM(EO51,EW51,FA51)&lt;&gt;0,"V","")</f>
        <v/>
      </c>
      <c r="FC51" s="214">
        <v>100000</v>
      </c>
      <c r="FD51" s="312">
        <f t="shared" ca="1" si="672"/>
        <v>7.7326916766925491E-2</v>
      </c>
      <c r="FE51" s="252">
        <v>0.9143</v>
      </c>
      <c r="FF51" s="199">
        <f t="shared" ref="FF51:FF54" ca="1" si="1760">FC51*$X51</f>
        <v>98500</v>
      </c>
      <c r="FG51" s="199">
        <f t="shared" ref="FG51:FG54" ca="1" si="1761">FF51*$Z51</f>
        <v>98500.012805000006</v>
      </c>
      <c r="FH51" s="216">
        <f t="shared" ref="FH51:FH54" ca="1" si="1762">IFERROR(FG51/FC$4,0)</f>
        <v>2.1612125227682688E-2</v>
      </c>
      <c r="FI51" s="202">
        <f t="shared" ref="FI51:FI54" ca="1" si="1763">FJ51/$X51</f>
        <v>-100000</v>
      </c>
      <c r="FJ51" s="203">
        <f t="shared" ref="FJ51:FJ54" ca="1" si="1764">FK51/$Z51</f>
        <v>-98500</v>
      </c>
      <c r="FK51" s="203">
        <f t="shared" ref="FK51:FK54" ca="1" si="1765">FL51*FC$4</f>
        <v>-98500.012805000006</v>
      </c>
      <c r="FL51" s="204">
        <f t="shared" ca="1" si="582"/>
        <v>-2.1612125227682688E-2</v>
      </c>
      <c r="FM51" s="205"/>
      <c r="FN51" s="206">
        <f t="shared" ref="FN51:FN54" ca="1" si="1766">FM51*$X51</f>
        <v>0</v>
      </c>
      <c r="FO51" s="206">
        <f t="shared" ref="FO51:FO54" ca="1" si="1767">FN51*$Z51</f>
        <v>0</v>
      </c>
      <c r="FP51" s="207">
        <f t="shared" ref="FP51:FP54" ca="1" si="1768">IFERROR(FO51/FC$4,0)</f>
        <v>0</v>
      </c>
      <c r="FQ51" s="313">
        <f t="shared" ref="FQ51:FQ54" si="1769">FC51+FM51</f>
        <v>100000</v>
      </c>
      <c r="FR51" s="313">
        <f t="shared" ca="1" si="683"/>
        <v>98500</v>
      </c>
      <c r="FS51" s="313">
        <f t="shared" ref="FS51:FS54" ca="1" si="1770">FR51*$Z51</f>
        <v>98500.012805000006</v>
      </c>
      <c r="FT51" s="314">
        <f t="shared" ref="FT51:FT54" ca="1" si="1771">IFERROR(FS51/FC$4,0)</f>
        <v>2.1612125227682688E-2</v>
      </c>
      <c r="FU51" s="315" t="str">
        <f t="shared" ref="FU51:FU54" ca="1" si="1772">IF(SUM(FH51,FP51,FT51)&lt;&gt;0,"V","")</f>
        <v>V</v>
      </c>
    </row>
    <row r="52" spans="1:177" outlineLevel="2" x14ac:dyDescent="0.2">
      <c r="A52" s="298"/>
      <c r="B52" s="298"/>
      <c r="C52" s="299" t="str">
        <f t="shared" ref="C52:E53" ca="1" si="1773">OFFSET(Origine,MATCH($F52,Descrizioni,0),MATCH(C$15,Intestazioni,0)-1,1,1)</f>
        <v>CH1154887116:CHF:P</v>
      </c>
      <c r="D52" s="300" t="str">
        <f t="shared" ca="1" si="1773"/>
        <v>CH1154887116</v>
      </c>
      <c r="E52" s="301" t="str">
        <f t="shared" ca="1" si="1773"/>
        <v>115488711</v>
      </c>
      <c r="F52" s="299" t="s">
        <v>4322</v>
      </c>
      <c r="G52" s="316">
        <f ca="1">OFFSET(Origine,MATCH($F52,Descrizioni,0),MATCH(G$15,Intestazioni,0)-1,1,1)</f>
        <v>47501</v>
      </c>
      <c r="H52" s="1708" t="str">
        <f t="shared" ca="1" si="489"/>
        <v></v>
      </c>
      <c r="I52" s="1680" t="str">
        <f ca="1">IF(OFFSET(Origine,MATCH($F52,Descrizioni,0),MATCH(I$15,Intestazioni,0)-1,1,1)&lt;&gt;"",HYPERLINK(OFFSET(Origine,MATCH($F52,Descrizioni,0),MATCH(I$15,Intestazioni,0)-1,1,1),"i"),"")</f>
        <v/>
      </c>
      <c r="J52" s="1708" t="str">
        <f ca="1">IF(OFFSET(Origine,MATCH($F52,Descrizioni,0),MATCH(J$15,Intestazioni,0)-1,1,1)&lt;&gt;"",HYPERLINK(OFFSET(Origine,MATCH($F52,Descrizioni,0),MATCH(J$15,Intestazioni,0)-1,1,1),""),"")</f>
        <v/>
      </c>
      <c r="K52" s="1709" t="str">
        <f ca="1">IF(OFFSET(Origine,MATCH($F52,Descrizioni,0),MATCH(K$15,Intestazioni,0)-1,1,1)&lt;&gt;"",HYPERLINK(OFFSET(Origine,MATCH($F52,Descrizioni,0),MATCH(K$15,Intestazioni,0)-1,1,1),""),"")</f>
        <v/>
      </c>
      <c r="L52" s="1710" t="str">
        <f ca="1">IF(OFFSET(Origine,MATCH($F52,Descrizioni,0),MATCH(L$15,Intestazioni,0)-1,1,1)&lt;&gt;"",HYPERLINK("https://www.zonebourse.com/mods_a/charts/TV/inc_dyna_graph.php?c="&amp;OFFSET(Origine,MATCH($F52,Descrizioni,0),MATCH(L$15,Intestazioni,0)-1,1,1)&amp;"&amp;style=TradingView.CANDLES&amp;showAT=1",""),"")</f>
        <v/>
      </c>
      <c r="M52" s="298" t="str">
        <f ca="1">(OFFSET(Origine,MATCH($F52,Descrizioni,0),MATCH(M$15,Intestazioni,0)-1,1,1))</f>
        <v>Pct</v>
      </c>
      <c r="N52" s="305">
        <v>0.04</v>
      </c>
      <c r="O52" s="305">
        <v>0.04</v>
      </c>
      <c r="P52" s="306">
        <f t="shared" ca="1" si="1539"/>
        <v>3.0702670106276191E-2</v>
      </c>
      <c r="Q52" s="307">
        <f t="array" aca="1" ref="Q52" ca="1">SUM(IF($AA$15:$FT$15="I_pos",AA52:FT52))</f>
        <v>250000</v>
      </c>
      <c r="R52" s="307">
        <f t="array" aca="1" ref="R52" ca="1">SUM(IF($AA$15:$FT$15="P_Pos",AA52:FT52))</f>
        <v>276231.76143694308</v>
      </c>
      <c r="S52" s="304"/>
      <c r="T52" s="307"/>
      <c r="U52" s="308">
        <f ca="1">OFFSET(Origine,MATCH($F52,Descrizioni,0),MATCH(U$15,Intestazioni,0)-1,1,1)</f>
        <v>-3.0241935483870004E-3</v>
      </c>
      <c r="V52" s="307">
        <f t="array" aca="1" ref="V52" ca="1">SUM(IF($AA$15:$FT$15="O_Pos",AA52:FT52))</f>
        <v>0</v>
      </c>
      <c r="W52" s="299" t="str">
        <f ca="1">OFFSET(Origine,MATCH($F52,Descrizioni,0),MATCH(W$15,Intestazioni,0)-1,1,1)</f>
        <v>CHF</v>
      </c>
      <c r="X52" s="309">
        <f ca="1">_xlfn.NUMBERVALUE(OFFSET(Origine,MATCH($F52,Descrizioni,0),MATCH(X$15,Intestazioni,0)-1,1,1))</f>
        <v>0.98951250000000002</v>
      </c>
      <c r="Y52" s="310">
        <f ca="1">_xlfn.NUMBERVALUE(OFFSET(Origine,MATCH($F52,Descrizioni,0),MATCH(Y$15,Intestazioni,0)-1,1,1))</f>
        <v>6.1983966400000002E-3</v>
      </c>
      <c r="Z52" s="311">
        <f t="shared" ref="Z52" ca="1" si="1774">_xlfn.NUMBERVALUE(OFFSET(Origine,MATCH(W52&amp;"/"&amp;MRif,LUKB_Name,0),MATCH("Price",Intestazioni,0)-1,1,1))</f>
        <v>1.0000001300000001</v>
      </c>
      <c r="AA52" s="214">
        <f>20000</f>
        <v>20000</v>
      </c>
      <c r="AB52" s="312">
        <f ca="1">IFERROR($X52/AC52-1,"")</f>
        <v>2.0379746835443857E-3</v>
      </c>
      <c r="AC52" s="252">
        <v>0.98750000000000004</v>
      </c>
      <c r="AD52" s="199">
        <f ca="1">AA52*$X52</f>
        <v>19790.25</v>
      </c>
      <c r="AE52" s="199">
        <f ca="1">AD52*$Z52</f>
        <v>19790.252572732501</v>
      </c>
      <c r="AF52" s="216">
        <f ca="1">IFERROR(AE52/AA$4,0)</f>
        <v>3.5245579686764845E-2</v>
      </c>
      <c r="AG52" s="202">
        <f ca="1">AH52/$X52</f>
        <v>2697.8817516912623</v>
      </c>
      <c r="AH52" s="203">
        <f ca="1">AI52/$Z52</f>
        <v>2669.5877168204001</v>
      </c>
      <c r="AI52" s="203">
        <f ca="1">AJ52*AA$4</f>
        <v>2669.5880638668036</v>
      </c>
      <c r="AJ52" s="204">
        <f t="shared" ca="1" si="504"/>
        <v>4.7544203132351553E-3</v>
      </c>
      <c r="AK52" s="205"/>
      <c r="AL52" s="206">
        <f ca="1">AK52*$X52</f>
        <v>0</v>
      </c>
      <c r="AM52" s="206">
        <f ca="1">AL52*$Z52</f>
        <v>0</v>
      </c>
      <c r="AN52" s="207">
        <f ca="1">IFERROR(AM52/AA$4,0)</f>
        <v>0</v>
      </c>
      <c r="AO52" s="313">
        <f t="shared" ref="AO52" si="1775">AA52+AK52</f>
        <v>20000</v>
      </c>
      <c r="AP52" s="313">
        <f ca="1">AD52+IF($T52 ="",AL52,0)</f>
        <v>19790.25</v>
      </c>
      <c r="AQ52" s="313">
        <f ca="1">AP52*$Z52</f>
        <v>19790.252572732501</v>
      </c>
      <c r="AR52" s="314">
        <f ca="1">IFERROR(AQ52/AA$4,0)</f>
        <v>3.5245579686764845E-2</v>
      </c>
      <c r="AS52" s="315" t="str">
        <f t="shared" ref="AS52" ca="1" si="1776">IF(SUM(AF52,AN52,AR52)&lt;&gt;0,"V","")</f>
        <v>V</v>
      </c>
      <c r="AT52" s="214">
        <f>50000</f>
        <v>50000</v>
      </c>
      <c r="AU52" s="312">
        <f ca="1">IFERROR($X52/AV52-1,"")</f>
        <v>2.0379746835443857E-3</v>
      </c>
      <c r="AV52" s="252">
        <v>0.98750000000000004</v>
      </c>
      <c r="AW52" s="199">
        <f ca="1">AT52*$X52</f>
        <v>49475.625</v>
      </c>
      <c r="AX52" s="199">
        <f ca="1">AW52*$Z52</f>
        <v>49475.631431831258</v>
      </c>
      <c r="AY52" s="216">
        <f ca="1">IFERROR(AX52/AT$4,0)</f>
        <v>2.856821264288811E-2</v>
      </c>
      <c r="AZ52" s="202">
        <f ca="1">BA52/$X52</f>
        <v>20007.879911867305</v>
      </c>
      <c r="BA52" s="203">
        <f ca="1">BB52/$Z52</f>
        <v>19798.047271291598</v>
      </c>
      <c r="BB52" s="203">
        <f ca="1">BC52*AT$4</f>
        <v>19798.049845037745</v>
      </c>
      <c r="BC52" s="204">
        <f t="shared" ca="1" si="515"/>
        <v>1.1431787357111891E-2</v>
      </c>
      <c r="BD52" s="205"/>
      <c r="BE52" s="206">
        <f ca="1">BD52*$X52</f>
        <v>0</v>
      </c>
      <c r="BF52" s="206">
        <f ca="1">BE52*$Z52</f>
        <v>0</v>
      </c>
      <c r="BG52" s="207">
        <f ca="1">IFERROR(BF52/AT$4,0)</f>
        <v>0</v>
      </c>
      <c r="BH52" s="313">
        <f t="shared" ref="BH52" si="1777">AT52+BD52</f>
        <v>50000</v>
      </c>
      <c r="BI52" s="313">
        <f ca="1">AW52+IF($T52 ="",BE52,0)</f>
        <v>49475.625</v>
      </c>
      <c r="BJ52" s="313">
        <f ca="1">BI52*$Z52</f>
        <v>49475.631431831258</v>
      </c>
      <c r="BK52" s="314">
        <f ca="1">IFERROR(BJ52/AT$4,0)</f>
        <v>2.856821264288811E-2</v>
      </c>
      <c r="BL52" s="211" t="str">
        <f t="shared" ref="BL52" ca="1" si="1778">IF(SUM(AY52,BG52,BK52)&lt;&gt;0,"V","")</f>
        <v>V</v>
      </c>
      <c r="BM52" s="214">
        <f>10000</f>
        <v>10000</v>
      </c>
      <c r="BN52" s="312">
        <f ca="1">IFERROR($X52/BO52-1,"")</f>
        <v>2.0379746835443857E-3</v>
      </c>
      <c r="BO52" s="252">
        <v>0.98750000000000004</v>
      </c>
      <c r="BP52" s="199">
        <f ca="1">BM52*$X52</f>
        <v>9895.125</v>
      </c>
      <c r="BQ52" s="199">
        <f ca="1">BP52*$Z52</f>
        <v>9895.1262863662505</v>
      </c>
      <c r="BR52" s="216">
        <f ca="1">IFERROR(BQ52/BM$4,0)</f>
        <v>3.4723123145172313E-2</v>
      </c>
      <c r="BS52" s="202">
        <f ca="1">BT52/$X52</f>
        <v>1519.7011031426621</v>
      </c>
      <c r="BT52" s="203">
        <f ca="1">BU52/$Z52</f>
        <v>1503.7632378234534</v>
      </c>
      <c r="BU52" s="203">
        <f ca="1">BV52*BM$4</f>
        <v>1503.7634333126746</v>
      </c>
      <c r="BV52" s="204">
        <f t="shared" ca="1" si="526"/>
        <v>5.2768768548276876E-3</v>
      </c>
      <c r="BW52" s="205"/>
      <c r="BX52" s="206">
        <f ca="1">BW52*$X52</f>
        <v>0</v>
      </c>
      <c r="BY52" s="206">
        <f ca="1">BX52*$Z52</f>
        <v>0</v>
      </c>
      <c r="BZ52" s="207">
        <f ca="1">IFERROR(BY52/BM$4,0)</f>
        <v>0</v>
      </c>
      <c r="CA52" s="313">
        <f t="shared" ref="CA52" si="1779">BM52+BW52</f>
        <v>10000</v>
      </c>
      <c r="CB52" s="313">
        <f ca="1">BP52+IF($T52 ="",BX52,0)</f>
        <v>9895.125</v>
      </c>
      <c r="CC52" s="313">
        <f ca="1">CB52*$Z52</f>
        <v>9895.1262863662505</v>
      </c>
      <c r="CD52" s="314">
        <f ca="1">IFERROR(CC52/BM$4,0)</f>
        <v>3.4723123145172313E-2</v>
      </c>
      <c r="CE52" s="211" t="str">
        <f t="shared" ref="CE52" ca="1" si="1780">IF(SUM(BR52,BZ52,CD52)&lt;&gt;0,"V","")</f>
        <v>V</v>
      </c>
      <c r="CF52" s="214">
        <f>40000</f>
        <v>40000</v>
      </c>
      <c r="CG52" s="312">
        <f ca="1">IFERROR($X52/CH52-1,"")</f>
        <v>2.0379746835443857E-3</v>
      </c>
      <c r="CH52" s="215">
        <v>0.98750000000000004</v>
      </c>
      <c r="CI52" s="199">
        <f ca="1">CF52*$X52</f>
        <v>39580.5</v>
      </c>
      <c r="CJ52" s="199">
        <f ca="1">CI52*$Z52</f>
        <v>39580.505145465002</v>
      </c>
      <c r="CK52" s="216">
        <f ca="1">IFERROR(CJ52/CF$4,0)</f>
        <v>4.4725777798412934E-2</v>
      </c>
      <c r="CL52" s="202">
        <f ca="1">CM52/$X52</f>
        <v>-4226.4466095707548</v>
      </c>
      <c r="CM52" s="203">
        <f ca="1">CN52/$Z52</f>
        <v>-4182.1217507528818</v>
      </c>
      <c r="CN52" s="203">
        <f ca="1">CO52*CF$4</f>
        <v>-4182.1222944287101</v>
      </c>
      <c r="CO52" s="204">
        <f t="shared" ca="1" si="537"/>
        <v>-4.7257777984129334E-3</v>
      </c>
      <c r="CP52" s="205"/>
      <c r="CQ52" s="206">
        <f ca="1">CP52*$X52</f>
        <v>0</v>
      </c>
      <c r="CR52" s="206">
        <f ca="1">CQ52*$Z52</f>
        <v>0</v>
      </c>
      <c r="CS52" s="207">
        <f ca="1">IFERROR(CR52/CF$4,0)</f>
        <v>0</v>
      </c>
      <c r="CT52" s="313">
        <f t="shared" ref="CT52" si="1781">CF52+CP52</f>
        <v>40000</v>
      </c>
      <c r="CU52" s="313">
        <f ca="1">CI52+IF($T52 ="",CQ52,0)</f>
        <v>39580.5</v>
      </c>
      <c r="CV52" s="313">
        <f ca="1">CU52*$Z52</f>
        <v>39580.505145465002</v>
      </c>
      <c r="CW52" s="314">
        <f ca="1">IFERROR(CV52/CF$4,0)</f>
        <v>4.4725777798412934E-2</v>
      </c>
      <c r="CX52" s="211" t="str">
        <f t="shared" ref="CX52" ca="1" si="1782">IF(SUM(CK52,CS52,CW52)&lt;&gt;0,"V","")</f>
        <v>V</v>
      </c>
      <c r="CY52" s="197">
        <v>100000</v>
      </c>
      <c r="CZ52" s="312">
        <f ca="1">IFERROR($X52/DA52-1,"")</f>
        <v>2.5455927051671878E-3</v>
      </c>
      <c r="DA52" s="252">
        <v>0.98699999999999999</v>
      </c>
      <c r="DB52" s="199">
        <f ca="1">CY52*$X52</f>
        <v>98951.25</v>
      </c>
      <c r="DC52" s="199">
        <f ca="1">DB52*$Z52</f>
        <v>98951.262863662516</v>
      </c>
      <c r="DD52" s="216">
        <f ca="1">IFERROR(DC52/CY$4,0)</f>
        <v>2.7598241620330945E-2</v>
      </c>
      <c r="DE52" s="202">
        <f ca="1">DF52/$X52</f>
        <v>44936.770067745856</v>
      </c>
      <c r="DF52" s="203">
        <f ca="1">DG52/$Z52</f>
        <v>44465.49569166037</v>
      </c>
      <c r="DG52" s="203">
        <f ca="1">DH52*CY$4</f>
        <v>44465.501472174816</v>
      </c>
      <c r="DH52" s="204">
        <f t="shared" ca="1" si="548"/>
        <v>1.2401758379669055E-2</v>
      </c>
      <c r="DI52" s="205"/>
      <c r="DJ52" s="206">
        <f ca="1">DI52*$X52</f>
        <v>0</v>
      </c>
      <c r="DK52" s="206">
        <f ca="1">DJ52*$Z52</f>
        <v>0</v>
      </c>
      <c r="DL52" s="207">
        <f ca="1">IFERROR(DK52/CY$4,0)</f>
        <v>0</v>
      </c>
      <c r="DM52" s="313">
        <f>CY52+DI55</f>
        <v>100000</v>
      </c>
      <c r="DN52" s="313">
        <f ca="1">DB52+IF($T52 ="",DJ52,0)</f>
        <v>98951.25</v>
      </c>
      <c r="DO52" s="313">
        <f ca="1">DN52*$Z52</f>
        <v>98951.262863662516</v>
      </c>
      <c r="DP52" s="314">
        <f ca="1">IFERROR(DO52/CY$4,0)</f>
        <v>2.7598241620330945E-2</v>
      </c>
      <c r="DQ52" s="315" t="str">
        <f t="shared" ref="DQ52" ca="1" si="1783">IF(SUM(DD52,DL52,DP52)&lt;&gt;0,"V","")</f>
        <v>V</v>
      </c>
      <c r="DR52" s="197">
        <f>30000</f>
        <v>30000</v>
      </c>
      <c r="DS52" s="312">
        <f ca="1">IFERROR($X52/DT52-1,"")</f>
        <v>2.5455927051671878E-3</v>
      </c>
      <c r="DT52" s="252">
        <v>0.98699999999999999</v>
      </c>
      <c r="DU52" s="199">
        <f ca="1">DR52*$X52</f>
        <v>29685.375</v>
      </c>
      <c r="DV52" s="199">
        <f ca="1">DU52*$Z52</f>
        <v>29685.378859098753</v>
      </c>
      <c r="DW52" s="216">
        <f ca="1">IFERROR(DV52/DR$4,0)</f>
        <v>4.2301337346701044E-2</v>
      </c>
      <c r="DX52" s="202">
        <f ca="1">DY52/$X52</f>
        <v>-1632.1025464320348</v>
      </c>
      <c r="DY52" s="203">
        <f ca="1">DZ52/$Z52</f>
        <v>-1614.9858709763289</v>
      </c>
      <c r="DZ52" s="203">
        <f ca="1">EA52*DR$4</f>
        <v>-1614.9860809244922</v>
      </c>
      <c r="EA52" s="204">
        <f t="shared" ca="1" si="560"/>
        <v>-2.3013373467010434E-3</v>
      </c>
      <c r="EB52" s="205"/>
      <c r="EC52" s="206">
        <f ca="1">EB52*$X52</f>
        <v>0</v>
      </c>
      <c r="ED52" s="206">
        <f ca="1">EC52*$Z52</f>
        <v>0</v>
      </c>
      <c r="EE52" s="207">
        <f ca="1">IFERROR(ED52/DR$4,0)</f>
        <v>0</v>
      </c>
      <c r="EF52" s="313">
        <f t="shared" ref="EF52" si="1784">DR52+EB52</f>
        <v>30000</v>
      </c>
      <c r="EG52" s="313">
        <f ca="1">DU52+IF($T52 ="",EC52,0)</f>
        <v>29685.375</v>
      </c>
      <c r="EH52" s="313">
        <f ca="1">EG52*$Z52</f>
        <v>29685.378859098753</v>
      </c>
      <c r="EI52" s="314">
        <f ca="1">IFERROR(EH52/DR$4,0)</f>
        <v>4.2301337346701044E-2</v>
      </c>
      <c r="EJ52" s="214"/>
      <c r="EK52" s="312" t="str">
        <f ca="1">IFERROR($X52/EL52-1,"")</f>
        <v/>
      </c>
      <c r="EL52" s="252"/>
      <c r="EM52" s="199">
        <f ca="1">EJ52*$X52</f>
        <v>0</v>
      </c>
      <c r="EN52" s="199">
        <f ca="1">EM52*$Z52</f>
        <v>0</v>
      </c>
      <c r="EO52" s="216">
        <f ca="1">IFERROR(EN52/EJ$4,0)</f>
        <v>0</v>
      </c>
      <c r="EP52" s="202">
        <f ca="1">EQ52/$X52</f>
        <v>28690.81962868019</v>
      </c>
      <c r="EQ52" s="203">
        <f ca="1">ER52/$Z52</f>
        <v>28389.924657824406</v>
      </c>
      <c r="ER52" s="203">
        <f ca="1">ES52*EJ$4</f>
        <v>28389.928348514615</v>
      </c>
      <c r="ES52" s="204">
        <f t="shared" ca="1" si="571"/>
        <v>0.04</v>
      </c>
      <c r="ET52" s="205"/>
      <c r="EU52" s="206">
        <f ca="1">ET52*$X52</f>
        <v>0</v>
      </c>
      <c r="EV52" s="206">
        <f ca="1">EU52*$Z52</f>
        <v>0</v>
      </c>
      <c r="EW52" s="207">
        <f ca="1">IFERROR(EV52/EJ$4,0)</f>
        <v>0</v>
      </c>
      <c r="EX52" s="313">
        <f t="shared" ref="EX52" si="1785">EJ52+ET52</f>
        <v>0</v>
      </c>
      <c r="EY52" s="313">
        <f ca="1">EM52+IF($T52 ="",EU52,0)</f>
        <v>0</v>
      </c>
      <c r="EZ52" s="313">
        <f ca="1">EY52*$Z52</f>
        <v>0</v>
      </c>
      <c r="FA52" s="314">
        <f ca="1">IFERROR(EZ52/EJ$4,0)</f>
        <v>0</v>
      </c>
      <c r="FB52" s="211" t="str">
        <f t="shared" ref="FB52" ca="1" si="1786">IF(SUM(EO52,EW52,FA52)&lt;&gt;0,"V","")</f>
        <v/>
      </c>
      <c r="FC52" s="214"/>
      <c r="FD52" s="312" t="str">
        <f ca="1">IFERROR($X52/FE52-1,"")</f>
        <v/>
      </c>
      <c r="FE52" s="252"/>
      <c r="FF52" s="199">
        <f ca="1">FC52*$X52</f>
        <v>0</v>
      </c>
      <c r="FG52" s="199">
        <f ca="1">FF52*$Z52</f>
        <v>0</v>
      </c>
      <c r="FH52" s="216">
        <f ca="1">IFERROR(FG52/FC$4,0)</f>
        <v>0</v>
      </c>
      <c r="FI52" s="202">
        <f ca="1">FJ52/$X52</f>
        <v>184237.2581298186</v>
      </c>
      <c r="FJ52" s="203">
        <f ca="1">FK52/$Z52</f>
        <v>182305.06988518214</v>
      </c>
      <c r="FK52" s="203">
        <f ca="1">FL52*FC$4</f>
        <v>182305.09358484123</v>
      </c>
      <c r="FL52" s="204">
        <f t="shared" ca="1" si="582"/>
        <v>0.04</v>
      </c>
      <c r="FM52" s="205"/>
      <c r="FN52" s="206">
        <f ca="1">FM52*$X52</f>
        <v>0</v>
      </c>
      <c r="FO52" s="206">
        <f ca="1">FN52*$Z52</f>
        <v>0</v>
      </c>
      <c r="FP52" s="207">
        <f ca="1">IFERROR(FO52/FC$4,0)</f>
        <v>0</v>
      </c>
      <c r="FQ52" s="313">
        <f t="shared" ref="FQ52" si="1787">FC52+FM52</f>
        <v>0</v>
      </c>
      <c r="FR52" s="313">
        <f ca="1">FF52+IF($T52 ="",FN52,0)</f>
        <v>0</v>
      </c>
      <c r="FS52" s="313">
        <f ca="1">FR52*$Z52</f>
        <v>0</v>
      </c>
      <c r="FT52" s="314">
        <f ca="1">IFERROR(FS52/FC$4,0)</f>
        <v>0</v>
      </c>
      <c r="FU52" s="315" t="str">
        <f t="shared" ref="FU52" ca="1" si="1788">IF(SUM(FH52,FP52,FT52)&lt;&gt;0,"V","")</f>
        <v/>
      </c>
    </row>
    <row r="53" spans="1:177" outlineLevel="2" x14ac:dyDescent="0.2">
      <c r="A53" s="298"/>
      <c r="B53" s="298"/>
      <c r="C53" s="299" t="str">
        <f t="shared" ca="1" si="1773"/>
        <v>CH1112246744:CHF</v>
      </c>
      <c r="D53" s="300" t="str">
        <f t="shared" ca="1" si="1773"/>
        <v>CH1112246744</v>
      </c>
      <c r="E53" s="301" t="str">
        <f t="shared" ca="1" si="1773"/>
        <v>111224674</v>
      </c>
      <c r="F53" s="299" t="s">
        <v>534</v>
      </c>
      <c r="G53" s="316">
        <f ca="1">OFFSET(Origine,MATCH($F53,Descrizioni,0),MATCH(G$15,Intestazioni,0)-1,1,1)</f>
        <v>47982</v>
      </c>
      <c r="H53" s="1708" t="str">
        <f t="shared" ca="1" si="489"/>
        <v></v>
      </c>
      <c r="I53" s="1680" t="str">
        <f ca="1">IF(OFFSET(Origine,MATCH($F53,Descrizioni,0),MATCH(I$15,Intestazioni,0)-1,1,1)&lt;&gt;"",HYPERLINK(OFFSET(Origine,MATCH($F53,Descrizioni,0),MATCH(I$15,Intestazioni,0)-1,1,1),"i"),"")</f>
        <v/>
      </c>
      <c r="J53" s="1708" t="str">
        <f ca="1">IF(OFFSET(Origine,MATCH($F53,Descrizioni,0),MATCH(J$15,Intestazioni,0)-1,1,1)&lt;&gt;"",HYPERLINK(OFFSET(Origine,MATCH($F53,Descrizioni,0),MATCH(J$15,Intestazioni,0)-1,1,1),""),"")</f>
        <v/>
      </c>
      <c r="K53" s="1709" t="str">
        <f ca="1">IF(OFFSET(Origine,MATCH($F53,Descrizioni,0),MATCH(K$15,Intestazioni,0)-1,1,1)&lt;&gt;"",HYPERLINK(OFFSET(Origine,MATCH($F53,Descrizioni,0),MATCH(K$15,Intestazioni,0)-1,1,1),""),"")</f>
        <v/>
      </c>
      <c r="L53" s="1710" t="str">
        <f ca="1">IF(OFFSET(Origine,MATCH($F53,Descrizioni,0),MATCH(L$15,Intestazioni,0)-1,1,1)&lt;&gt;"",HYPERLINK("https://www.zonebourse.com/mods_a/charts/TV/inc_dyna_graph.php?c="&amp;OFFSET(Origine,MATCH($F53,Descrizioni,0),MATCH(L$15,Intestazioni,0)-1,1,1)&amp;"&amp;style=TradingView.CANDLES&amp;showAT=1",""),"")</f>
        <v/>
      </c>
      <c r="M53" s="298" t="str">
        <f ca="1">(OFFSET(Origine,MATCH($F53,Descrizioni,0),MATCH(M$15,Intestazioni,0)-1,1,1))</f>
        <v>Pct</v>
      </c>
      <c r="N53" s="305"/>
      <c r="O53" s="305">
        <v>0.04</v>
      </c>
      <c r="P53" s="306">
        <f t="shared" ca="1" si="1539"/>
        <v>3.6754622469108371E-2</v>
      </c>
      <c r="Q53" s="307">
        <f t="array" aca="1" ref="Q53" ca="1">SUM(IF($AA$15:$FT$15="I_pos",AA53:FT53))</f>
        <v>125000</v>
      </c>
      <c r="R53" s="307">
        <f t="array" aca="1" ref="R53" ca="1">SUM(IF($AA$15:$FT$15="P_Pos",AA53:FT53))</f>
        <v>-125000</v>
      </c>
      <c r="S53" s="304"/>
      <c r="T53" s="307"/>
      <c r="U53" s="308">
        <f ca="1">OFFSET(Origine,MATCH($F53,Descrizioni,0),MATCH(U$15,Intestazioni,0)-1,1,1)</f>
        <v>-5.5220883534137996E-3</v>
      </c>
      <c r="V53" s="307">
        <f t="array" aca="1" ref="V53" ca="1">SUM(IF($AA$15:$FT$15="O_Pos",AA53:FT53))</f>
        <v>0</v>
      </c>
      <c r="W53" s="299" t="str">
        <f ca="1">OFFSET(Origine,MATCH($F53,Descrizioni,0),MATCH(W$15,Intestazioni,0)-1,1,1)</f>
        <v>CHF</v>
      </c>
      <c r="X53" s="309">
        <f ca="1">_xlfn.NUMBERVALUE(OFFSET(Origine,MATCH($F53,Descrizioni,0),MATCH(X$15,Intestazioni,0)-1,1,1))</f>
        <v>0.99752430556000005</v>
      </c>
      <c r="Y53" s="310">
        <f ca="1">_xlfn.NUMBERVALUE(OFFSET(Origine,MATCH($F53,Descrizioni,0),MATCH(Y$15,Intestazioni,0)-1,1,1))</f>
        <v>1.023936839E-2</v>
      </c>
      <c r="Z53" s="311">
        <f ca="1">_xlfn.NUMBERVALUE(OFFSET(Origine,MATCH(W53&amp;"/"&amp;MRif,LUKB_Name,0),MATCH("Price",Intestazioni,0)-1,1,1))</f>
        <v>1.0000001300000001</v>
      </c>
      <c r="AA53" s="214">
        <v>20000</v>
      </c>
      <c r="AB53" s="312">
        <f ca="1">IFERROR($X53/AC53-1,"")</f>
        <v>0.13574439890697954</v>
      </c>
      <c r="AC53" s="252">
        <v>0.87829999999999997</v>
      </c>
      <c r="AD53" s="199">
        <f ca="1">AA53*$X53</f>
        <v>19950.4861112</v>
      </c>
      <c r="AE53" s="199">
        <f ca="1">AD53*$Z53</f>
        <v>19950.488704763196</v>
      </c>
      <c r="AF53" s="216">
        <f ca="1">IFERROR(AE53/AA$4,0)</f>
        <v>3.5530953273556161E-2</v>
      </c>
      <c r="AG53" s="202">
        <f ca="1">AH53/$X53</f>
        <v>-20000</v>
      </c>
      <c r="AH53" s="203">
        <f ca="1">AI53/$Z53</f>
        <v>-19950.4861112</v>
      </c>
      <c r="AI53" s="203">
        <f ca="1">AJ53*AA$4</f>
        <v>-19950.488704763196</v>
      </c>
      <c r="AJ53" s="204">
        <f t="shared" ca="1" si="504"/>
        <v>-3.5530953273556161E-2</v>
      </c>
      <c r="AK53" s="205"/>
      <c r="AL53" s="206">
        <f ca="1">AK53*$X53</f>
        <v>0</v>
      </c>
      <c r="AM53" s="206">
        <f ca="1">AL53*$Z53</f>
        <v>0</v>
      </c>
      <c r="AN53" s="207">
        <f ca="1">IFERROR(AM53/AA$4,0)</f>
        <v>0</v>
      </c>
      <c r="AO53" s="313">
        <f t="shared" ref="AO53" si="1789">AA53+AK53</f>
        <v>20000</v>
      </c>
      <c r="AP53" s="313">
        <f ca="1">AD53+IF($T53 ="",AL53,0)</f>
        <v>19950.4861112</v>
      </c>
      <c r="AQ53" s="313">
        <f ca="1">AP53*$Z53</f>
        <v>19950.488704763196</v>
      </c>
      <c r="AR53" s="314">
        <f ca="1">IFERROR(AQ53/AA$4,0)</f>
        <v>3.5530953273556161E-2</v>
      </c>
      <c r="AS53" s="315" t="str">
        <f t="shared" ref="AS53" ca="1" si="1790">IF(SUM(AF53,AN53,AR53)&lt;&gt;0,"V","")</f>
        <v>V</v>
      </c>
      <c r="AT53" s="214">
        <v>65000</v>
      </c>
      <c r="AU53" s="312">
        <f ca="1">IFERROR($X53/AV53-1,"")</f>
        <v>0.13574439890697954</v>
      </c>
      <c r="AV53" s="252">
        <v>0.87829999999999997</v>
      </c>
      <c r="AW53" s="199">
        <f ca="1">AT53*$X53</f>
        <v>64839.079861400001</v>
      </c>
      <c r="AX53" s="199">
        <f ca="1">AW53*$Z53</f>
        <v>64839.088290480388</v>
      </c>
      <c r="AY53" s="216">
        <f ca="1">IFERROR(AX53/AT$4,0)</f>
        <v>3.7439377896685069E-2</v>
      </c>
      <c r="AZ53" s="202">
        <f ca="1">BA53/$X53</f>
        <v>-65000</v>
      </c>
      <c r="BA53" s="203">
        <f ca="1">BB53/$Z53</f>
        <v>-64839.079861400001</v>
      </c>
      <c r="BB53" s="203">
        <f ca="1">BC53*AT$4</f>
        <v>-64839.088290480388</v>
      </c>
      <c r="BC53" s="204">
        <f t="shared" ca="1" si="515"/>
        <v>-3.7439377896685069E-2</v>
      </c>
      <c r="BD53" s="205"/>
      <c r="BE53" s="206">
        <f ca="1">BD53*$X53</f>
        <v>0</v>
      </c>
      <c r="BF53" s="206">
        <f ca="1">BE53*$Z53</f>
        <v>0</v>
      </c>
      <c r="BG53" s="207">
        <f ca="1">IFERROR(BF53/AT$4,0)</f>
        <v>0</v>
      </c>
      <c r="BH53" s="313">
        <f t="shared" ref="BH53" si="1791">AT53+BD53</f>
        <v>65000</v>
      </c>
      <c r="BI53" s="313">
        <f ca="1">AW53+IF($T53 ="",BE53,0)</f>
        <v>64839.079861400001</v>
      </c>
      <c r="BJ53" s="313">
        <f ca="1">BI53*$Z53</f>
        <v>64839.088290480388</v>
      </c>
      <c r="BK53" s="314">
        <f ca="1">IFERROR(BJ53/AT$4,0)</f>
        <v>3.7439377896685069E-2</v>
      </c>
      <c r="BL53" s="211" t="str">
        <f t="shared" ref="BL53" ca="1" si="1792">IF(SUM(AY53,BG53,BK53)&lt;&gt;0,"V","")</f>
        <v>V</v>
      </c>
      <c r="BM53" s="214">
        <v>10000</v>
      </c>
      <c r="BN53" s="312">
        <f ca="1">IFERROR($X53/BO53-1,"")</f>
        <v>0.13574439890697954</v>
      </c>
      <c r="BO53" s="252">
        <v>0.87829999999999997</v>
      </c>
      <c r="BP53" s="199">
        <f ca="1">BM53*$X53</f>
        <v>9975.2430555999999</v>
      </c>
      <c r="BQ53" s="199">
        <f ca="1">BP53*$Z53</f>
        <v>9975.2443523815982</v>
      </c>
      <c r="BR53" s="216">
        <f ca="1">IFERROR(BQ53/BM$4,0)</f>
        <v>3.5004266547681184E-2</v>
      </c>
      <c r="BS53" s="202">
        <f ca="1">BT53/$X53</f>
        <v>-10000</v>
      </c>
      <c r="BT53" s="203">
        <f ca="1">BU53/$Z53</f>
        <v>-9975.2430555999999</v>
      </c>
      <c r="BU53" s="203">
        <f ca="1">BV53*BM$4</f>
        <v>-9975.2443523815982</v>
      </c>
      <c r="BV53" s="204">
        <f t="shared" ca="1" si="526"/>
        <v>-3.5004266547681184E-2</v>
      </c>
      <c r="BW53" s="205"/>
      <c r="BX53" s="206">
        <f ca="1">BW53*$X53</f>
        <v>0</v>
      </c>
      <c r="BY53" s="206">
        <f ca="1">BX53*$Z53</f>
        <v>0</v>
      </c>
      <c r="BZ53" s="207">
        <f ca="1">IFERROR(BY53/BM$4,0)</f>
        <v>0</v>
      </c>
      <c r="CA53" s="313">
        <f t="shared" ref="CA53" si="1793">BM53+BW53</f>
        <v>10000</v>
      </c>
      <c r="CB53" s="313">
        <f ca="1">BP53+IF($T53 ="",BX53,0)</f>
        <v>9975.2430555999999</v>
      </c>
      <c r="CC53" s="313">
        <f ca="1">CB53*$Z53</f>
        <v>9975.2443523815982</v>
      </c>
      <c r="CD53" s="314">
        <f ca="1">IFERROR(CC53/BM$4,0)</f>
        <v>3.5004266547681184E-2</v>
      </c>
      <c r="CE53" s="211" t="str">
        <f t="shared" ref="CE53" ca="1" si="1794">IF(SUM(BR53,BZ53,CD53)&lt;&gt;0,"V","")</f>
        <v>V</v>
      </c>
      <c r="CF53" s="214">
        <v>30000</v>
      </c>
      <c r="CG53" s="312">
        <f ca="1">IFERROR($X53/CH53-1,"")</f>
        <v>0.13574439890697954</v>
      </c>
      <c r="CH53" s="215">
        <v>0.87829999999999997</v>
      </c>
      <c r="CI53" s="199">
        <f ca="1">CF53*$X53</f>
        <v>29925.7291668</v>
      </c>
      <c r="CJ53" s="199">
        <f ca="1">CI53*$Z53</f>
        <v>29925.733057144793</v>
      </c>
      <c r="CK53" s="216">
        <f ca="1">IFERROR(CJ53/CF$4,0)</f>
        <v>3.3815932420504589E-2</v>
      </c>
      <c r="CL53" s="202">
        <f ca="1">CM53/$X53</f>
        <v>-30000</v>
      </c>
      <c r="CM53" s="203">
        <f ca="1">CN53/$Z53</f>
        <v>-29925.7291668</v>
      </c>
      <c r="CN53" s="203">
        <f ca="1">CO53*CF$4</f>
        <v>-29925.733057144793</v>
      </c>
      <c r="CO53" s="204">
        <f t="shared" ca="1" si="537"/>
        <v>-3.3815932420504589E-2</v>
      </c>
      <c r="CP53" s="205"/>
      <c r="CQ53" s="206">
        <f ca="1">CP53*$X53</f>
        <v>0</v>
      </c>
      <c r="CR53" s="206">
        <f ca="1">CQ53*$Z53</f>
        <v>0</v>
      </c>
      <c r="CS53" s="207">
        <f ca="1">IFERROR(CR53/CF$4,0)</f>
        <v>0</v>
      </c>
      <c r="CT53" s="313">
        <f t="shared" ref="CT53" si="1795">CF53+CP53</f>
        <v>30000</v>
      </c>
      <c r="CU53" s="313">
        <f ca="1">CI53+IF($T53 ="",CQ53,0)</f>
        <v>29925.7291668</v>
      </c>
      <c r="CV53" s="313">
        <f ca="1">CU53*$Z53</f>
        <v>29925.733057144793</v>
      </c>
      <c r="CW53" s="314">
        <f ca="1">IFERROR(CV53/CF$4,0)</f>
        <v>3.3815932420504589E-2</v>
      </c>
      <c r="CX53" s="211" t="str">
        <f t="shared" ref="CX53" ca="1" si="1796">IF(SUM(CK53,CS53,CW53)&lt;&gt;0,"V","")</f>
        <v>V</v>
      </c>
      <c r="CY53" s="197"/>
      <c r="CZ53" s="312" t="str">
        <f ca="1">IFERROR($X53/DA53-1,"")</f>
        <v/>
      </c>
      <c r="DA53" s="252"/>
      <c r="DB53" s="199">
        <f ca="1">CY53*$X53</f>
        <v>0</v>
      </c>
      <c r="DC53" s="199">
        <f ca="1">DB53*$Z53</f>
        <v>0</v>
      </c>
      <c r="DD53" s="216">
        <f ca="1">IFERROR(DC53/CY$4,0)</f>
        <v>0</v>
      </c>
      <c r="DE53" s="202">
        <f ca="1">DF53/$X53</f>
        <v>0</v>
      </c>
      <c r="DF53" s="203">
        <f ca="1">DG53/$Z53</f>
        <v>0</v>
      </c>
      <c r="DG53" s="203">
        <f ca="1">DH53*CY$4</f>
        <v>0</v>
      </c>
      <c r="DH53" s="204">
        <f t="shared" ca="1" si="548"/>
        <v>0</v>
      </c>
      <c r="DI53" s="205"/>
      <c r="DJ53" s="206">
        <f ca="1">DI53*$X53</f>
        <v>0</v>
      </c>
      <c r="DK53" s="206">
        <f ca="1">DJ53*$Z53</f>
        <v>0</v>
      </c>
      <c r="DL53" s="207">
        <f ca="1">IFERROR(DK53/CY$4,0)</f>
        <v>0</v>
      </c>
      <c r="DM53" s="313">
        <f>CY53+DI56</f>
        <v>0</v>
      </c>
      <c r="DN53" s="313">
        <f ca="1">DB53+IF($T53 ="",DJ53,0)</f>
        <v>0</v>
      </c>
      <c r="DO53" s="313">
        <f ca="1">DN53*$Z53</f>
        <v>0</v>
      </c>
      <c r="DP53" s="314">
        <f ca="1">IFERROR(DO53/CY$4,0)</f>
        <v>0</v>
      </c>
      <c r="DQ53" s="315" t="str">
        <f t="shared" ref="DQ53" ca="1" si="1797">IF(SUM(DD53,DL53,DP53)&lt;&gt;0,"V","")</f>
        <v/>
      </c>
      <c r="DR53" s="197"/>
      <c r="DS53" s="312" t="str">
        <f ca="1">IFERROR($X53/DT53-1,"")</f>
        <v/>
      </c>
      <c r="DT53" s="252"/>
      <c r="DU53" s="199">
        <f ca="1">DR53*$X53</f>
        <v>0</v>
      </c>
      <c r="DV53" s="199">
        <f ca="1">DU53*$Z53</f>
        <v>0</v>
      </c>
      <c r="DW53" s="216">
        <f ca="1">IFERROR(DV53/DR$4,0)</f>
        <v>0</v>
      </c>
      <c r="DX53" s="202">
        <f ca="1">DY53/$X53</f>
        <v>0</v>
      </c>
      <c r="DY53" s="203">
        <f ca="1">DZ53/$Z53</f>
        <v>0</v>
      </c>
      <c r="DZ53" s="203">
        <f ca="1">EA53*DR$4</f>
        <v>0</v>
      </c>
      <c r="EA53" s="204">
        <f t="shared" ca="1" si="560"/>
        <v>0</v>
      </c>
      <c r="EB53" s="205"/>
      <c r="EC53" s="206">
        <f ca="1">EB53*$X53</f>
        <v>0</v>
      </c>
      <c r="ED53" s="206">
        <f ca="1">EC53*$Z53</f>
        <v>0</v>
      </c>
      <c r="EE53" s="207">
        <f ca="1">IFERROR(ED53/DR$4,0)</f>
        <v>0</v>
      </c>
      <c r="EF53" s="313">
        <f>DR53+EB53</f>
        <v>0</v>
      </c>
      <c r="EG53" s="313">
        <f ca="1">DU53+IF($T53 ="",EC53,0)</f>
        <v>0</v>
      </c>
      <c r="EH53" s="313">
        <f ca="1">EG53*$Z53</f>
        <v>0</v>
      </c>
      <c r="EI53" s="314">
        <f ca="1">IFERROR(EH53/DR$4,0)</f>
        <v>0</v>
      </c>
      <c r="EJ53" s="214"/>
      <c r="EK53" s="312" t="str">
        <f ca="1">IFERROR($X53/EL53-1,"")</f>
        <v/>
      </c>
      <c r="EL53" s="252"/>
      <c r="EM53" s="199">
        <f ca="1">EJ53*$X53</f>
        <v>0</v>
      </c>
      <c r="EN53" s="199">
        <f ca="1">EM53*$Z53</f>
        <v>0</v>
      </c>
      <c r="EO53" s="216">
        <f ca="1">IFERROR(EN53/EJ$4,0)</f>
        <v>0</v>
      </c>
      <c r="EP53" s="202">
        <f ca="1">EQ53/$X53</f>
        <v>0</v>
      </c>
      <c r="EQ53" s="203">
        <f ca="1">ER53/$Z53</f>
        <v>0</v>
      </c>
      <c r="ER53" s="203">
        <f ca="1">ES53*EJ$4</f>
        <v>0</v>
      </c>
      <c r="ES53" s="204">
        <f t="shared" ca="1" si="571"/>
        <v>0</v>
      </c>
      <c r="ET53" s="205"/>
      <c r="EU53" s="206">
        <f ca="1">ET53*$X53</f>
        <v>0</v>
      </c>
      <c r="EV53" s="206">
        <f ca="1">EU53*$Z53</f>
        <v>0</v>
      </c>
      <c r="EW53" s="207">
        <f ca="1">IFERROR(EV53/EJ$4,0)</f>
        <v>0</v>
      </c>
      <c r="EX53" s="313">
        <f t="shared" ref="EX53" si="1798">EJ53+ET53</f>
        <v>0</v>
      </c>
      <c r="EY53" s="313">
        <f ca="1">EM53+IF($T53 ="",EU53,0)</f>
        <v>0</v>
      </c>
      <c r="EZ53" s="313">
        <f ca="1">EY53*$Z53</f>
        <v>0</v>
      </c>
      <c r="FA53" s="314">
        <f ca="1">IFERROR(EZ53/EJ$4,0)</f>
        <v>0</v>
      </c>
      <c r="FB53" s="211" t="str">
        <f t="shared" ref="FB53" ca="1" si="1799">IF(SUM(EO53,EW53,FA53)&lt;&gt;0,"V","")</f>
        <v/>
      </c>
      <c r="FC53" s="214"/>
      <c r="FD53" s="312" t="str">
        <f ca="1">IFERROR($X53/FE53-1,"")</f>
        <v/>
      </c>
      <c r="FE53" s="252"/>
      <c r="FF53" s="199">
        <f ca="1">FC53*$X53</f>
        <v>0</v>
      </c>
      <c r="FG53" s="199">
        <f ca="1">FF53*$Z53</f>
        <v>0</v>
      </c>
      <c r="FH53" s="216">
        <f ca="1">IFERROR(FG53/FC$4,0)</f>
        <v>0</v>
      </c>
      <c r="FI53" s="202">
        <f ca="1">FJ53/$X53</f>
        <v>0</v>
      </c>
      <c r="FJ53" s="203">
        <f ca="1">FK53/$Z53</f>
        <v>0</v>
      </c>
      <c r="FK53" s="203">
        <f ca="1">FL53*FC$4</f>
        <v>0</v>
      </c>
      <c r="FL53" s="204">
        <f t="shared" ca="1" si="582"/>
        <v>0</v>
      </c>
      <c r="FM53" s="205"/>
      <c r="FN53" s="206">
        <f ca="1">FM53*$X53</f>
        <v>0</v>
      </c>
      <c r="FO53" s="206">
        <f ca="1">FN53*$Z53</f>
        <v>0</v>
      </c>
      <c r="FP53" s="207">
        <f ca="1">IFERROR(FO53/FC$4,0)</f>
        <v>0</v>
      </c>
      <c r="FQ53" s="313">
        <f t="shared" ref="FQ53" si="1800">FC53+FM53</f>
        <v>0</v>
      </c>
      <c r="FR53" s="313">
        <f ca="1">FF53+IF($T53 ="",FN53,0)</f>
        <v>0</v>
      </c>
      <c r="FS53" s="313">
        <f ca="1">FR53*$Z53</f>
        <v>0</v>
      </c>
      <c r="FT53" s="314">
        <f ca="1">IFERROR(FS53/FC$4,0)</f>
        <v>0</v>
      </c>
      <c r="FU53" s="315" t="str">
        <f t="shared" ref="FU53" ca="1" si="1801">IF(SUM(FH53,FP53,FT53)&lt;&gt;0,"V","")</f>
        <v/>
      </c>
    </row>
    <row r="54" spans="1:177" outlineLevel="2" x14ac:dyDescent="0.2">
      <c r="A54" s="298"/>
      <c r="B54" s="298"/>
      <c r="C54" s="299" t="str">
        <f t="shared" ca="1" si="487"/>
        <v>CH1118223382:CHF:P</v>
      </c>
      <c r="D54" s="300" t="str">
        <f t="shared" ca="1" si="488"/>
        <v>CH1118223382</v>
      </c>
      <c r="E54" s="301" t="str">
        <f t="shared" ca="1" si="488"/>
        <v>111822338</v>
      </c>
      <c r="F54" s="299" t="s">
        <v>387</v>
      </c>
      <c r="G54" s="316">
        <f t="shared" ca="1" si="488"/>
        <v>48057</v>
      </c>
      <c r="H54" s="1708" t="str">
        <f t="shared" ca="1" si="489"/>
        <v></v>
      </c>
      <c r="I54" s="1680" t="str">
        <f t="shared" ca="1" si="490"/>
        <v/>
      </c>
      <c r="J54" s="1708" t="str">
        <f t="shared" ca="1" si="1069"/>
        <v/>
      </c>
      <c r="K54" s="1709" t="str">
        <f t="shared" ca="1" si="1069"/>
        <v/>
      </c>
      <c r="L54" s="1710" t="str">
        <f t="shared" ca="1" si="492"/>
        <v/>
      </c>
      <c r="M54" s="298" t="str">
        <f t="shared" ca="1" si="493"/>
        <v>Pct</v>
      </c>
      <c r="N54" s="305">
        <v>0.02</v>
      </c>
      <c r="O54" s="305"/>
      <c r="P54" s="306">
        <f t="shared" ca="1" si="1539"/>
        <v>3.112029940458497E-2</v>
      </c>
      <c r="Q54" s="307">
        <f t="array" aca="1" ref="Q54" ca="1">SUM(IF($AA$15:$FT$15="I_pos",AA54:FT54))</f>
        <v>180000</v>
      </c>
      <c r="R54" s="307">
        <f t="array" aca="1" ref="R54" ca="1">SUM(IF($AA$15:$FT$15="P_Pos",AA54:FT54))</f>
        <v>79584.908885271114</v>
      </c>
      <c r="S54" s="304"/>
      <c r="T54" s="307"/>
      <c r="U54" s="308">
        <f t="shared" ca="1" si="494"/>
        <v>-3.0000000000000005E-3</v>
      </c>
      <c r="V54" s="307">
        <f t="array" aca="1" ref="V54" ca="1">SUM(IF($AA$15:$FT$15="O_Pos",AA54:FT54))</f>
        <v>0</v>
      </c>
      <c r="W54" s="299" t="str">
        <f t="shared" ca="1" si="588"/>
        <v>CHF</v>
      </c>
      <c r="X54" s="309">
        <f t="shared" ca="1" si="496"/>
        <v>1.0029722222199999</v>
      </c>
      <c r="Y54" s="310">
        <f t="shared" ca="1" si="496"/>
        <v>1.038058985E-2</v>
      </c>
      <c r="Z54" s="311">
        <f t="shared" ref="Z54" ca="1" si="1802">_xlfn.NUMBERVALUE(OFFSET(Origine,MATCH(W54&amp;"/"&amp;MRif,LUKB_Name,0),MATCH("Price",Intestazioni,0)-1,1,1))</f>
        <v>1.0000001300000001</v>
      </c>
      <c r="AA54" s="214">
        <v>20000</v>
      </c>
      <c r="AB54" s="312">
        <f t="shared" ref="AB54" ca="1" si="1803">IFERROR($X54/AC54-1,"")</f>
        <v>8.4909085785915828E-3</v>
      </c>
      <c r="AC54" s="252">
        <v>0.99452777778000001</v>
      </c>
      <c r="AD54" s="199">
        <f t="shared" ca="1" si="1682"/>
        <v>20059.4444444</v>
      </c>
      <c r="AE54" s="199">
        <f t="shared" ca="1" si="1683"/>
        <v>20059.44705212778</v>
      </c>
      <c r="AF54" s="216">
        <f t="shared" ca="1" si="1684"/>
        <v>3.5725003354547445E-2</v>
      </c>
      <c r="AG54" s="202">
        <f t="shared" ca="1" si="1685"/>
        <v>-8803.3600436573834</v>
      </c>
      <c r="AH54" s="203">
        <f t="shared" ca="1" si="1686"/>
        <v>-8829.5255859898007</v>
      </c>
      <c r="AI54" s="203">
        <f t="shared" ca="1" si="1687"/>
        <v>-8829.5267338281283</v>
      </c>
      <c r="AJ54" s="204">
        <f t="shared" ca="1" si="504"/>
        <v>-1.5725003354547445E-2</v>
      </c>
      <c r="AK54" s="205"/>
      <c r="AL54" s="206">
        <f t="shared" ca="1" si="1688"/>
        <v>0</v>
      </c>
      <c r="AM54" s="206">
        <f t="shared" ca="1" si="1689"/>
        <v>0</v>
      </c>
      <c r="AN54" s="207">
        <f t="shared" ca="1" si="1690"/>
        <v>0</v>
      </c>
      <c r="AO54" s="313">
        <f t="shared" si="1691"/>
        <v>20000</v>
      </c>
      <c r="AP54" s="313">
        <f t="shared" ref="AP54" ca="1" si="1804">AD54+IF($T54 ="",AL54,0)</f>
        <v>20059.4444444</v>
      </c>
      <c r="AQ54" s="313">
        <f t="shared" ca="1" si="1692"/>
        <v>20059.44705212778</v>
      </c>
      <c r="AR54" s="314">
        <f t="shared" ca="1" si="1693"/>
        <v>3.5725003354547445E-2</v>
      </c>
      <c r="AS54" s="315" t="str">
        <f t="shared" ca="1" si="1694"/>
        <v>V</v>
      </c>
      <c r="AT54" s="214">
        <f>50000</f>
        <v>50000</v>
      </c>
      <c r="AU54" s="312">
        <f t="shared" ref="AU54" ca="1" si="1805">IFERROR($X54/AV54-1,"")</f>
        <v>8.4909085785915828E-3</v>
      </c>
      <c r="AV54" s="252">
        <v>0.99452777778000001</v>
      </c>
      <c r="AW54" s="199">
        <f t="shared" ca="1" si="1695"/>
        <v>50148.611110999998</v>
      </c>
      <c r="AX54" s="199">
        <f t="shared" ca="1" si="1696"/>
        <v>50148.617630319444</v>
      </c>
      <c r="AY54" s="216">
        <f t="shared" ca="1" si="1697"/>
        <v>2.8956808245768479E-2</v>
      </c>
      <c r="AZ54" s="202">
        <f t="shared" ca="1" si="1698"/>
        <v>-15465.807159664006</v>
      </c>
      <c r="BA54" s="203">
        <f t="shared" ca="1" si="1699"/>
        <v>-15511.774975354194</v>
      </c>
      <c r="BB54" s="203">
        <f t="shared" ca="1" si="1700"/>
        <v>-15511.776991884943</v>
      </c>
      <c r="BC54" s="204">
        <f t="shared" ca="1" si="515"/>
        <v>-8.9568082457684786E-3</v>
      </c>
      <c r="BD54" s="205"/>
      <c r="BE54" s="206">
        <f t="shared" ca="1" si="1701"/>
        <v>0</v>
      </c>
      <c r="BF54" s="206">
        <f t="shared" ca="1" si="1702"/>
        <v>0</v>
      </c>
      <c r="BG54" s="207">
        <f t="shared" ca="1" si="1703"/>
        <v>0</v>
      </c>
      <c r="BH54" s="313">
        <f t="shared" si="1704"/>
        <v>50000</v>
      </c>
      <c r="BI54" s="313">
        <f t="shared" ref="BI54" ca="1" si="1806">AW54+IF($T54 ="",BE54,0)</f>
        <v>50148.611110999998</v>
      </c>
      <c r="BJ54" s="313">
        <f t="shared" ca="1" si="1705"/>
        <v>50148.617630319444</v>
      </c>
      <c r="BK54" s="314">
        <f t="shared" ca="1" si="1706"/>
        <v>2.8956808245768479E-2</v>
      </c>
      <c r="BL54" s="211" t="str">
        <f t="shared" ca="1" si="1707"/>
        <v>V</v>
      </c>
      <c r="BM54" s="214">
        <v>10000</v>
      </c>
      <c r="BN54" s="312">
        <f t="shared" ref="BN54" ca="1" si="1807">IFERROR($X54/BO54-1,"")</f>
        <v>8.1136015880991508E-3</v>
      </c>
      <c r="BO54" s="252">
        <v>0.99490000000000001</v>
      </c>
      <c r="BP54" s="199">
        <f t="shared" ca="1" si="1708"/>
        <v>10029.7222222</v>
      </c>
      <c r="BQ54" s="199">
        <f t="shared" ca="1" si="1709"/>
        <v>10029.72352606389</v>
      </c>
      <c r="BR54" s="216">
        <f t="shared" ca="1" si="1710"/>
        <v>3.5195440162031501E-2</v>
      </c>
      <c r="BS54" s="202">
        <f t="shared" ca="1" si="1711"/>
        <v>-4317.4456952591818</v>
      </c>
      <c r="BT54" s="203">
        <f t="shared" ca="1" si="1712"/>
        <v>-4330.278103288274</v>
      </c>
      <c r="BU54" s="203">
        <f t="shared" ca="1" si="1713"/>
        <v>-4330.278666224428</v>
      </c>
      <c r="BV54" s="204">
        <f t="shared" ca="1" si="526"/>
        <v>-1.51954401620315E-2</v>
      </c>
      <c r="BW54" s="205"/>
      <c r="BX54" s="206">
        <f t="shared" ca="1" si="1714"/>
        <v>0</v>
      </c>
      <c r="BY54" s="206">
        <f t="shared" ca="1" si="1715"/>
        <v>0</v>
      </c>
      <c r="BZ54" s="207">
        <f t="shared" ca="1" si="1716"/>
        <v>0</v>
      </c>
      <c r="CA54" s="313">
        <f t="shared" si="1717"/>
        <v>10000</v>
      </c>
      <c r="CB54" s="313">
        <f t="shared" ref="CB54" ca="1" si="1808">BP54+IF($T54 ="",BX54,0)</f>
        <v>10029.7222222</v>
      </c>
      <c r="CC54" s="313">
        <f t="shared" ca="1" si="1718"/>
        <v>10029.72352606389</v>
      </c>
      <c r="CD54" s="314">
        <f t="shared" ca="1" si="1719"/>
        <v>3.5195440162031501E-2</v>
      </c>
      <c r="CE54" s="211" t="str">
        <f t="shared" ca="1" si="1720"/>
        <v>V</v>
      </c>
      <c r="CF54" s="214">
        <f>20000</f>
        <v>20000</v>
      </c>
      <c r="CG54" s="312">
        <f t="shared" ref="CG54" ca="1" si="1809">IFERROR($X54/CH54-1,"")</f>
        <v>8.4909085785915828E-3</v>
      </c>
      <c r="CH54" s="215">
        <v>0.99452777778000001</v>
      </c>
      <c r="CI54" s="199">
        <f t="shared" ca="1" si="1721"/>
        <v>20059.4444444</v>
      </c>
      <c r="CJ54" s="199">
        <f t="shared" ca="1" si="1722"/>
        <v>20059.44705212778</v>
      </c>
      <c r="CK54" s="216">
        <f t="shared" ca="1" si="1723"/>
        <v>2.2667077348185176E-2</v>
      </c>
      <c r="CL54" s="202">
        <f t="shared" ca="1" si="1724"/>
        <v>-2353.2609054238865</v>
      </c>
      <c r="CM54" s="203">
        <f t="shared" ca="1" si="1725"/>
        <v>-2360.2553197764446</v>
      </c>
      <c r="CN54" s="203">
        <f t="shared" ca="1" si="1726"/>
        <v>-2360.2556266096362</v>
      </c>
      <c r="CO54" s="204">
        <f t="shared" ca="1" si="537"/>
        <v>-2.6670773481851755E-3</v>
      </c>
      <c r="CP54" s="205"/>
      <c r="CQ54" s="206">
        <f t="shared" ca="1" si="1727"/>
        <v>0</v>
      </c>
      <c r="CR54" s="206">
        <f t="shared" ca="1" si="1728"/>
        <v>0</v>
      </c>
      <c r="CS54" s="207">
        <f t="shared" ca="1" si="1729"/>
        <v>0</v>
      </c>
      <c r="CT54" s="313">
        <f t="shared" si="1730"/>
        <v>20000</v>
      </c>
      <c r="CU54" s="313">
        <f t="shared" ref="CU54" ca="1" si="1810">CI54+IF($T54 ="",CQ54,0)</f>
        <v>20059.4444444</v>
      </c>
      <c r="CV54" s="313">
        <f t="shared" ca="1" si="1731"/>
        <v>20059.44705212778</v>
      </c>
      <c r="CW54" s="314">
        <f t="shared" ca="1" si="1732"/>
        <v>2.2667077348185176E-2</v>
      </c>
      <c r="CX54" s="211" t="str">
        <f t="shared" ca="1" si="1733"/>
        <v>V</v>
      </c>
      <c r="CY54" s="197">
        <f>50000</f>
        <v>50000</v>
      </c>
      <c r="CZ54" s="312">
        <f t="shared" ref="CZ54" ca="1" si="1811">IFERROR($X54/DA54-1,"")</f>
        <v>8.4909085785915828E-3</v>
      </c>
      <c r="DA54" s="252">
        <v>0.99452777778000001</v>
      </c>
      <c r="DB54" s="199">
        <f t="shared" ca="1" si="1734"/>
        <v>50148.611110999998</v>
      </c>
      <c r="DC54" s="199">
        <f t="shared" ca="1" si="1735"/>
        <v>50148.617630319444</v>
      </c>
      <c r="DD54" s="216">
        <f t="shared" ca="1" si="1736"/>
        <v>1.3986821655768785E-2</v>
      </c>
      <c r="DE54" s="202">
        <f t="shared" ca="1" si="1737"/>
        <v>21495.871228725915</v>
      </c>
      <c r="DF54" s="203">
        <f t="shared" ca="1" si="1738"/>
        <v>21559.76173483019</v>
      </c>
      <c r="DG54" s="203">
        <f t="shared" ca="1" si="1739"/>
        <v>21559.764537599218</v>
      </c>
      <c r="DH54" s="204">
        <f t="shared" ca="1" si="548"/>
        <v>6.0131783442312157E-3</v>
      </c>
      <c r="DI54" s="205"/>
      <c r="DJ54" s="206">
        <f t="shared" ref="DJ54:DJ55" ca="1" si="1812">DI54*$X54</f>
        <v>0</v>
      </c>
      <c r="DK54" s="206">
        <f t="shared" ref="DK54:DK55" ca="1" si="1813">DJ54*$Z54</f>
        <v>0</v>
      </c>
      <c r="DL54" s="207">
        <f t="shared" ref="DL54:DL55" ca="1" si="1814">IFERROR(DK54/CY$4,0)</f>
        <v>0</v>
      </c>
      <c r="DM54" s="313">
        <f>CY54+DI53</f>
        <v>50000</v>
      </c>
      <c r="DN54" s="313">
        <f t="shared" ref="DN54" ca="1" si="1815">DB54+IF($T54 ="",DJ54,0)</f>
        <v>50148.611110999998</v>
      </c>
      <c r="DO54" s="313">
        <f t="shared" ca="1" si="1744"/>
        <v>50148.617630319444</v>
      </c>
      <c r="DP54" s="314">
        <f t="shared" ca="1" si="1745"/>
        <v>1.3986821655768785E-2</v>
      </c>
      <c r="DQ54" s="315" t="str">
        <f t="shared" ca="1" si="1746"/>
        <v>V</v>
      </c>
      <c r="DR54" s="197">
        <f>15000+15000</f>
        <v>30000</v>
      </c>
      <c r="DS54" s="312">
        <f t="shared" ref="DS54" ca="1" si="1816">IFERROR($X54/DT54-1,"")</f>
        <v>7.7773044074145314E-3</v>
      </c>
      <c r="DT54" s="252">
        <v>0.99523200000000001</v>
      </c>
      <c r="DU54" s="199">
        <f t="shared" ref="DU54" ca="1" si="1817">DR54*$X54</f>
        <v>30089.166666599998</v>
      </c>
      <c r="DV54" s="199">
        <f t="shared" ref="DV54" ca="1" si="1818">DU54*$Z54</f>
        <v>30089.170578191668</v>
      </c>
      <c r="DW54" s="216">
        <f t="shared" ref="DW54" ca="1" si="1819">IFERROR(DV54/DR$4,0)</f>
        <v>4.2876736091255661E-2</v>
      </c>
      <c r="DX54" s="202">
        <f t="shared" ref="DX54" ca="1" si="1820">DY54/$X54</f>
        <v>-16006.397531682342</v>
      </c>
      <c r="DY54" s="203">
        <f t="shared" ref="DY54" ca="1" si="1821">DZ54/$Z54</f>
        <v>-16053.972102088161</v>
      </c>
      <c r="DZ54" s="203">
        <f t="shared" ref="DZ54" ca="1" si="1822">EA54*DR$4</f>
        <v>-16053.974189104536</v>
      </c>
      <c r="EA54" s="204">
        <f t="shared" ca="1" si="560"/>
        <v>-2.2876736091255661E-2</v>
      </c>
      <c r="EB54" s="205"/>
      <c r="EC54" s="206">
        <f t="shared" ref="EC54" ca="1" si="1823">EB54*$X54</f>
        <v>0</v>
      </c>
      <c r="ED54" s="206">
        <f t="shared" ref="ED54" ca="1" si="1824">EC54*$Z54</f>
        <v>0</v>
      </c>
      <c r="EE54" s="207">
        <f t="shared" ref="EE54" ca="1" si="1825">IFERROR(ED54/DR$4,0)</f>
        <v>0</v>
      </c>
      <c r="EF54" s="313">
        <f t="shared" ref="EF54" si="1826">DR54+EB54</f>
        <v>30000</v>
      </c>
      <c r="EG54" s="313">
        <f t="shared" ref="EG54" ca="1" si="1827">DU54+IF($T54 ="",EC54,0)</f>
        <v>30089.166666599998</v>
      </c>
      <c r="EH54" s="313">
        <f t="shared" ref="EH54" ca="1" si="1828">EG54*$Z54</f>
        <v>30089.170578191668</v>
      </c>
      <c r="EI54" s="314">
        <f t="shared" ref="EI54" ca="1" si="1829">IFERROR(EH54/DR$4,0)</f>
        <v>4.2876736091255661E-2</v>
      </c>
      <c r="EJ54" s="214"/>
      <c r="EK54" s="312" t="str">
        <f t="shared" ref="EK54" ca="1" si="1830">IFERROR($X54/EL54-1,"")</f>
        <v/>
      </c>
      <c r="EL54" s="252"/>
      <c r="EM54" s="199">
        <f t="shared" ca="1" si="1747"/>
        <v>0</v>
      </c>
      <c r="EN54" s="199">
        <f t="shared" ca="1" si="1748"/>
        <v>0</v>
      </c>
      <c r="EO54" s="216">
        <f t="shared" ca="1" si="1749"/>
        <v>0</v>
      </c>
      <c r="EP54" s="202">
        <f t="shared" ca="1" si="1750"/>
        <v>14152.896774641249</v>
      </c>
      <c r="EQ54" s="203">
        <f t="shared" ca="1" si="1751"/>
        <v>14194.962328912203</v>
      </c>
      <c r="ER54" s="203">
        <f t="shared" ca="1" si="1752"/>
        <v>14194.964174257308</v>
      </c>
      <c r="ES54" s="204">
        <f t="shared" ca="1" si="571"/>
        <v>0.02</v>
      </c>
      <c r="ET54" s="205"/>
      <c r="EU54" s="206">
        <f t="shared" ca="1" si="1753"/>
        <v>0</v>
      </c>
      <c r="EV54" s="206">
        <f t="shared" ca="1" si="1754"/>
        <v>0</v>
      </c>
      <c r="EW54" s="207">
        <f t="shared" ca="1" si="1755"/>
        <v>0</v>
      </c>
      <c r="EX54" s="313">
        <f t="shared" si="1756"/>
        <v>0</v>
      </c>
      <c r="EY54" s="313">
        <f t="shared" ref="EY54" ca="1" si="1831">EM54+IF($T54 ="",EU54,0)</f>
        <v>0</v>
      </c>
      <c r="EZ54" s="313">
        <f t="shared" ca="1" si="1757"/>
        <v>0</v>
      </c>
      <c r="FA54" s="314">
        <f t="shared" ca="1" si="1758"/>
        <v>0</v>
      </c>
      <c r="FB54" s="211" t="str">
        <f t="shared" ca="1" si="1759"/>
        <v/>
      </c>
      <c r="FC54" s="214"/>
      <c r="FD54" s="312" t="str">
        <f t="shared" ref="FD54" ca="1" si="1832">IFERROR($X54/FE54-1,"")</f>
        <v/>
      </c>
      <c r="FE54" s="252"/>
      <c r="FF54" s="199">
        <f t="shared" ca="1" si="1760"/>
        <v>0</v>
      </c>
      <c r="FG54" s="199">
        <f t="shared" ca="1" si="1761"/>
        <v>0</v>
      </c>
      <c r="FH54" s="216">
        <f t="shared" ca="1" si="1762"/>
        <v>0</v>
      </c>
      <c r="FI54" s="202">
        <f t="shared" ca="1" si="1763"/>
        <v>90882.412217590754</v>
      </c>
      <c r="FJ54" s="203">
        <f t="shared" ca="1" si="1764"/>
        <v>91152.534942591068</v>
      </c>
      <c r="FK54" s="203">
        <f t="shared" ca="1" si="1765"/>
        <v>91152.546792420617</v>
      </c>
      <c r="FL54" s="204">
        <f t="shared" ca="1" si="582"/>
        <v>0.02</v>
      </c>
      <c r="FM54" s="205"/>
      <c r="FN54" s="206">
        <f t="shared" ca="1" si="1766"/>
        <v>0</v>
      </c>
      <c r="FO54" s="206">
        <f t="shared" ca="1" si="1767"/>
        <v>0</v>
      </c>
      <c r="FP54" s="207">
        <f t="shared" ca="1" si="1768"/>
        <v>0</v>
      </c>
      <c r="FQ54" s="313">
        <f t="shared" si="1769"/>
        <v>0</v>
      </c>
      <c r="FR54" s="313">
        <f t="shared" ref="FR54" ca="1" si="1833">FF54+IF($T54 ="",FN54,0)</f>
        <v>0</v>
      </c>
      <c r="FS54" s="313">
        <f t="shared" ca="1" si="1770"/>
        <v>0</v>
      </c>
      <c r="FT54" s="314">
        <f t="shared" ca="1" si="1771"/>
        <v>0</v>
      </c>
      <c r="FU54" s="315" t="str">
        <f t="shared" ca="1" si="1772"/>
        <v/>
      </c>
    </row>
    <row r="55" spans="1:177" outlineLevel="2" x14ac:dyDescent="0.2">
      <c r="A55" s="298"/>
      <c r="B55" s="298"/>
      <c r="C55" s="299" t="str">
        <f t="shared" ca="1" si="487"/>
        <v>CH1148728129:CHF</v>
      </c>
      <c r="D55" s="300" t="str">
        <f t="shared" ca="1" si="488"/>
        <v>CH1148728129</v>
      </c>
      <c r="E55" s="301" t="str">
        <f t="shared" ca="1" si="488"/>
        <v>114872812</v>
      </c>
      <c r="F55" s="299" t="s">
        <v>374</v>
      </c>
      <c r="G55" s="316">
        <f t="shared" ca="1" si="488"/>
        <v>48234</v>
      </c>
      <c r="H55" s="1708" t="str">
        <f t="shared" ca="1" si="489"/>
        <v></v>
      </c>
      <c r="I55" s="1680" t="str">
        <f t="shared" ca="1" si="490"/>
        <v/>
      </c>
      <c r="J55" s="1708" t="str">
        <f t="shared" ca="1" si="1069"/>
        <v/>
      </c>
      <c r="K55" s="1709" t="str">
        <f t="shared" ca="1" si="1069"/>
        <v></v>
      </c>
      <c r="L55" s="1710" t="str">
        <f t="shared" ca="1" si="492"/>
        <v></v>
      </c>
      <c r="M55" s="298" t="str">
        <f t="shared" ca="1" si="493"/>
        <v>Pct</v>
      </c>
      <c r="N55" s="305"/>
      <c r="O55" s="305">
        <v>0.04</v>
      </c>
      <c r="P55" s="306">
        <f t="shared" ca="1" si="1539"/>
        <v>2.8972224552212461E-2</v>
      </c>
      <c r="Q55" s="307">
        <f t="array" aca="1" ref="Q55" ca="1">SUM(IF($AA$15:$FT$15="I_pos",AA55:FT55))</f>
        <v>225000</v>
      </c>
      <c r="R55" s="307">
        <f t="array" aca="1" ref="R55" ca="1">SUM(IF($AA$15:$FT$15="P_Pos",AA55:FT55))</f>
        <v>105000</v>
      </c>
      <c r="S55" s="304"/>
      <c r="T55" s="307"/>
      <c r="U55" s="308">
        <f t="shared" ca="1" si="494"/>
        <v>-3.0060120240483E-3</v>
      </c>
      <c r="V55" s="307">
        <f t="array" aca="1" ref="V55" ca="1">SUM(IF($AA$15:$FT$15="O_Pos",AA55:FT55))</f>
        <v>0</v>
      </c>
      <c r="W55" s="299" t="str">
        <f t="shared" ca="1" si="588"/>
        <v>CHF</v>
      </c>
      <c r="X55" s="309">
        <f t="shared" ca="1" si="496"/>
        <v>0.99599166667000005</v>
      </c>
      <c r="Y55" s="310">
        <f t="shared" ca="1" si="496"/>
        <v>8.9377875499999995E-3</v>
      </c>
      <c r="Z55" s="311">
        <f t="shared" ca="1" si="589"/>
        <v>1.0000001300000001</v>
      </c>
      <c r="AA55" s="214">
        <f>15000</f>
        <v>15000</v>
      </c>
      <c r="AB55" s="312">
        <f t="shared" ca="1" si="590"/>
        <v>1.0133536176470725E-2</v>
      </c>
      <c r="AC55" s="252">
        <v>0.98599999999999999</v>
      </c>
      <c r="AD55" s="199">
        <f t="shared" ref="AD55:AD56" ca="1" si="1834">AA55*$X55</f>
        <v>14939.87500005</v>
      </c>
      <c r="AE55" s="199">
        <f t="shared" ref="AE55:AE56" ca="1" si="1835">AD55*$Z55</f>
        <v>14939.876942233752</v>
      </c>
      <c r="AF55" s="216">
        <f t="shared" ref="AF55:AF56" ca="1" si="1836">IFERROR(AE55/AA$4,0)</f>
        <v>2.6607271501096156E-2</v>
      </c>
      <c r="AG55" s="202">
        <f t="shared" ref="AG55:AG56" ca="1" si="1837">AH55/$X55</f>
        <v>-15000</v>
      </c>
      <c r="AH55" s="203">
        <f t="shared" ref="AH55:AH56" ca="1" si="1838">AI55/$Z55</f>
        <v>-14939.87500005</v>
      </c>
      <c r="AI55" s="203">
        <f t="shared" ref="AI55:AI56" ca="1" si="1839">AJ55*AA$4</f>
        <v>-14939.876942233752</v>
      </c>
      <c r="AJ55" s="204">
        <f t="shared" ca="1" si="504"/>
        <v>-2.6607271501096156E-2</v>
      </c>
      <c r="AK55" s="205"/>
      <c r="AL55" s="206">
        <f t="shared" ref="AL55:AL56" ca="1" si="1840">AK55*$X55</f>
        <v>0</v>
      </c>
      <c r="AM55" s="206">
        <f t="shared" ref="AM55:AM56" ca="1" si="1841">AL55*$Z55</f>
        <v>0</v>
      </c>
      <c r="AN55" s="207">
        <f t="shared" ref="AN55:AN56" ca="1" si="1842">IFERROR(AM55/AA$4,0)</f>
        <v>0</v>
      </c>
      <c r="AO55" s="313">
        <f t="shared" ref="AO55" si="1843">AA55+AK55</f>
        <v>15000</v>
      </c>
      <c r="AP55" s="313">
        <f t="shared" ca="1" si="601"/>
        <v>14939.87500005</v>
      </c>
      <c r="AQ55" s="313">
        <f t="shared" ref="AQ55:AQ56" ca="1" si="1844">AP55*$Z55</f>
        <v>14939.876942233752</v>
      </c>
      <c r="AR55" s="314">
        <f t="shared" ref="AR55:AR56" ca="1" si="1845">IFERROR(AQ55/AA$4,0)</f>
        <v>2.6607271501096156E-2</v>
      </c>
      <c r="AS55" s="315" t="str">
        <f t="shared" ref="AS55:AS56" ca="1" si="1846">IF(SUM(AF55,AN55,AR55)&lt;&gt;0,"V","")</f>
        <v>V</v>
      </c>
      <c r="AT55" s="214">
        <f>50000</f>
        <v>50000</v>
      </c>
      <c r="AU55" s="312">
        <f t="shared" ref="AU55:AU56" ca="1" si="1847">IFERROR($X55/AV55-1,"")</f>
        <v>1.0133536176470725E-2</v>
      </c>
      <c r="AV55" s="252">
        <v>0.98599999999999999</v>
      </c>
      <c r="AW55" s="199">
        <f t="shared" ref="AW55:AW56" ca="1" si="1848">AT55*$X55</f>
        <v>49799.583333500006</v>
      </c>
      <c r="AX55" s="199">
        <f t="shared" ref="AX55:AX56" ca="1" si="1849">AW55*$Z55</f>
        <v>49799.589807445846</v>
      </c>
      <c r="AY55" s="216">
        <f t="shared" ref="AY55:AY56" ca="1" si="1850">IFERROR(AX55/AT$4,0)</f>
        <v>2.8755272645846409E-2</v>
      </c>
      <c r="AZ55" s="202">
        <f t="shared" ref="AZ55:AZ56" ca="1" si="1851">BA55/$X55</f>
        <v>-50000</v>
      </c>
      <c r="BA55" s="203">
        <f t="shared" ref="BA55:BA56" ca="1" si="1852">BB55/$Z55</f>
        <v>-49799.583333500006</v>
      </c>
      <c r="BB55" s="203">
        <f t="shared" ref="BB55:BB56" ca="1" si="1853">BC55*AT$4</f>
        <v>-49799.589807445846</v>
      </c>
      <c r="BC55" s="204">
        <f t="shared" ca="1" si="515"/>
        <v>-2.8755272645846409E-2</v>
      </c>
      <c r="BD55" s="205"/>
      <c r="BE55" s="206">
        <f t="shared" ref="BE55:BE56" ca="1" si="1854">BD55*$X55</f>
        <v>0</v>
      </c>
      <c r="BF55" s="206">
        <f t="shared" ref="BF55:BF56" ca="1" si="1855">BE55*$Z55</f>
        <v>0</v>
      </c>
      <c r="BG55" s="207">
        <f t="shared" ref="BG55:BG56" ca="1" si="1856">IFERROR(BF55/AT$4,0)</f>
        <v>0</v>
      </c>
      <c r="BH55" s="313">
        <f t="shared" ref="BH55" si="1857">AT55+BD55</f>
        <v>50000</v>
      </c>
      <c r="BI55" s="313">
        <f t="shared" ca="1" si="615"/>
        <v>49799.583333500006</v>
      </c>
      <c r="BJ55" s="317">
        <f t="shared" ref="BJ55:BJ56" ca="1" si="1858">BI55*$Z55</f>
        <v>49799.589807445846</v>
      </c>
      <c r="BK55" s="314">
        <f t="shared" ref="BK55:BK56" ca="1" si="1859">IFERROR(BJ55/AT$4,0)</f>
        <v>2.8755272645846409E-2</v>
      </c>
      <c r="BL55" s="211" t="str">
        <f t="shared" ref="BL55:BL56" ca="1" si="1860">IF(SUM(AY55,BG55,BK55)&lt;&gt;0,"V","")</f>
        <v>V</v>
      </c>
      <c r="BM55" s="214">
        <f>10000</f>
        <v>10000</v>
      </c>
      <c r="BN55" s="312">
        <f t="shared" ref="BN55:BN56" ca="1" si="1861">IFERROR($X55/BO55-1,"")</f>
        <v>1.0133536176470725E-2</v>
      </c>
      <c r="BO55" s="252">
        <v>0.98599999999999999</v>
      </c>
      <c r="BP55" s="199">
        <f t="shared" ref="BP55:BP56" ca="1" si="1862">BM55*$X55</f>
        <v>9959.9166667000009</v>
      </c>
      <c r="BQ55" s="199">
        <f t="shared" ref="BQ55:BQ56" ca="1" si="1863">BP55*$Z55</f>
        <v>9959.9179614891691</v>
      </c>
      <c r="BR55" s="216">
        <f t="shared" ref="BR55:BR56" ca="1" si="1864">IFERROR(BQ55/BM$4,0)</f>
        <v>3.4950484499536721E-2</v>
      </c>
      <c r="BS55" s="202">
        <f t="shared" ref="BS55:BS56" ca="1" si="1865">BT55/$X55</f>
        <v>-10000</v>
      </c>
      <c r="BT55" s="203">
        <f t="shared" ref="BT55:BT56" ca="1" si="1866">BU55/$Z55</f>
        <v>-9959.9166667000009</v>
      </c>
      <c r="BU55" s="203">
        <f t="shared" ref="BU55:BU56" ca="1" si="1867">BV55*BM$4</f>
        <v>-9959.9179614891691</v>
      </c>
      <c r="BV55" s="204">
        <f t="shared" ca="1" si="526"/>
        <v>-3.4950484499536721E-2</v>
      </c>
      <c r="BW55" s="205"/>
      <c r="BX55" s="206">
        <f t="shared" ref="BX55:BX56" ca="1" si="1868">BW55*$X55</f>
        <v>0</v>
      </c>
      <c r="BY55" s="206">
        <f t="shared" ref="BY55:BY56" ca="1" si="1869">BX55*$Z55</f>
        <v>0</v>
      </c>
      <c r="BZ55" s="207">
        <f t="shared" ref="BZ55:BZ56" ca="1" si="1870">IFERROR(BY55/BM$4,0)</f>
        <v>0</v>
      </c>
      <c r="CA55" s="313">
        <f t="shared" ref="CA55" si="1871">BM55+BW55</f>
        <v>10000</v>
      </c>
      <c r="CB55" s="313">
        <f t="shared" ca="1" si="629"/>
        <v>9959.9166667000009</v>
      </c>
      <c r="CC55" s="313">
        <f t="shared" ref="CC55:CC56" ca="1" si="1872">CB55*$Z55</f>
        <v>9959.9179614891691</v>
      </c>
      <c r="CD55" s="314">
        <f t="shared" ref="CD55:CD56" ca="1" si="1873">IFERROR(CC55/BM$4,0)</f>
        <v>3.4950484499536721E-2</v>
      </c>
      <c r="CE55" s="211" t="str">
        <f t="shared" ref="CE55:CE56" ca="1" si="1874">IF(SUM(BR55,BZ55,CD55)&lt;&gt;0,"V","")</f>
        <v>V</v>
      </c>
      <c r="CF55" s="214">
        <f>20000</f>
        <v>20000</v>
      </c>
      <c r="CG55" s="312">
        <f t="shared" ref="CG55:CG56" ca="1" si="1875">IFERROR($X55/CH55-1,"")</f>
        <v>1.0133536176470725E-2</v>
      </c>
      <c r="CH55" s="215">
        <v>0.98599999999999999</v>
      </c>
      <c r="CI55" s="199">
        <f t="shared" ref="CI55:CI56" ca="1" si="1876">CF55*$X55</f>
        <v>19919.833333400002</v>
      </c>
      <c r="CJ55" s="199">
        <f t="shared" ref="CJ55:CJ56" ca="1" si="1877">CI55*$Z55</f>
        <v>19919.835922978338</v>
      </c>
      <c r="CK55" s="216">
        <f t="shared" ref="CK55:CK56" ca="1" si="1878">IFERROR(CJ55/CF$4,0)</f>
        <v>2.2509317453065725E-2</v>
      </c>
      <c r="CL55" s="202">
        <f t="shared" ref="CL55:CL56" ca="1" si="1879">CM55/$X55</f>
        <v>-20000</v>
      </c>
      <c r="CM55" s="203">
        <f t="shared" ref="CM55:CM56" ca="1" si="1880">CN55/$Z55</f>
        <v>-19919.833333400002</v>
      </c>
      <c r="CN55" s="203">
        <f t="shared" ref="CN55:CN56" ca="1" si="1881">CO55*CF$4</f>
        <v>-19919.835922978338</v>
      </c>
      <c r="CO55" s="204">
        <f t="shared" ca="1" si="537"/>
        <v>-2.2509317453065725E-2</v>
      </c>
      <c r="CP55" s="205"/>
      <c r="CQ55" s="206">
        <f t="shared" ref="CQ55:CQ56" ca="1" si="1882">CP55*$X55</f>
        <v>0</v>
      </c>
      <c r="CR55" s="206">
        <f t="shared" ref="CR55:CR56" ca="1" si="1883">CQ55*$Z55</f>
        <v>0</v>
      </c>
      <c r="CS55" s="207">
        <f t="shared" ref="CS55:CS56" ca="1" si="1884">IFERROR(CR55/CF$4,0)</f>
        <v>0</v>
      </c>
      <c r="CT55" s="313">
        <f t="shared" ref="CT55" si="1885">CF55+CP55</f>
        <v>20000</v>
      </c>
      <c r="CU55" s="313">
        <f t="shared" ca="1" si="643"/>
        <v>19919.833333400002</v>
      </c>
      <c r="CV55" s="313">
        <f t="shared" ref="CV55:CV56" ca="1" si="1886">CU55*$Z55</f>
        <v>19919.835922978338</v>
      </c>
      <c r="CW55" s="314">
        <f t="shared" ref="CW55:CW56" ca="1" si="1887">IFERROR(CV55/CF$4,0)</f>
        <v>2.2509317453065725E-2</v>
      </c>
      <c r="CX55" s="211" t="str">
        <f t="shared" ref="CX55:CX56" ca="1" si="1888">IF(SUM(CK55,CS55,CW55)&lt;&gt;0,"V","")</f>
        <v>V</v>
      </c>
      <c r="CY55" s="197">
        <v>100000</v>
      </c>
      <c r="CZ55" s="312">
        <f t="shared" ref="CZ55:CZ56" ca="1" si="1889">IFERROR($X55/DA55-1,"")</f>
        <v>0.14219227829128456</v>
      </c>
      <c r="DA55" s="252">
        <v>0.872</v>
      </c>
      <c r="DB55" s="199">
        <f t="shared" ref="DB55:DB56" ca="1" si="1890">CY55*$X55</f>
        <v>99599.166667000012</v>
      </c>
      <c r="DC55" s="199">
        <f t="shared" ref="DC55:DC56" ca="1" si="1891">DB55*$Z55</f>
        <v>99599.179614891691</v>
      </c>
      <c r="DD55" s="216">
        <f t="shared" ref="DD55:DD56" ca="1" si="1892">IFERROR(DC55/CY$4,0)</f>
        <v>2.7778950411030463E-2</v>
      </c>
      <c r="DE55" s="202">
        <v>100000</v>
      </c>
      <c r="DF55" s="203">
        <f t="shared" ref="DF55:DF56" ca="1" si="1893">DG55/$Z55</f>
        <v>-99599.166667000012</v>
      </c>
      <c r="DG55" s="203">
        <f t="shared" ref="DG55:DG56" ca="1" si="1894">DH55*CY$4</f>
        <v>-99599.179614891691</v>
      </c>
      <c r="DH55" s="204">
        <f t="shared" ca="1" si="548"/>
        <v>-2.7778950411030463E-2</v>
      </c>
      <c r="DI55" s="205"/>
      <c r="DJ55" s="206">
        <f t="shared" ca="1" si="1812"/>
        <v>0</v>
      </c>
      <c r="DK55" s="206">
        <f t="shared" ca="1" si="1813"/>
        <v>0</v>
      </c>
      <c r="DL55" s="207">
        <f t="shared" ca="1" si="1814"/>
        <v>0</v>
      </c>
      <c r="DM55" s="313">
        <f t="shared" ref="DM55:DM57" si="1895">CY55+DI57</f>
        <v>100000</v>
      </c>
      <c r="DN55" s="313">
        <f t="shared" ca="1" si="655"/>
        <v>99599.166667000012</v>
      </c>
      <c r="DO55" s="313">
        <f t="shared" ref="DO55:DO56" ca="1" si="1896">DN55*$Z55</f>
        <v>99599.179614891691</v>
      </c>
      <c r="DP55" s="314">
        <f t="shared" ref="DP55:DP56" ca="1" si="1897">IFERROR(DO55/CY$4,0)</f>
        <v>2.7778950411030463E-2</v>
      </c>
      <c r="DQ55" s="315" t="str">
        <f t="shared" ref="DQ55:DQ56" ca="1" si="1898">IF(SUM(DD55,DL55,DP55)&lt;&gt;0,"V","")</f>
        <v>V</v>
      </c>
      <c r="DR55" s="197">
        <f>30000</f>
        <v>30000</v>
      </c>
      <c r="DS55" s="312">
        <f t="shared" ca="1" si="554"/>
        <v>9.3013232192928896E-3</v>
      </c>
      <c r="DT55" s="252">
        <v>0.98681300000000005</v>
      </c>
      <c r="DU55" s="199">
        <f t="shared" ca="1" si="1643"/>
        <v>29879.750000100001</v>
      </c>
      <c r="DV55" s="199">
        <f t="shared" ca="1" si="1644"/>
        <v>29879.753884467504</v>
      </c>
      <c r="DW55" s="216">
        <f t="shared" ca="1" si="1645"/>
        <v>4.2578319613254693E-2</v>
      </c>
      <c r="DX55" s="202">
        <v>100000</v>
      </c>
      <c r="DY55" s="203">
        <f t="shared" ca="1" si="1647"/>
        <v>-29879.750000100001</v>
      </c>
      <c r="DZ55" s="203">
        <f t="shared" ca="1" si="1648"/>
        <v>-29879.753884467504</v>
      </c>
      <c r="EA55" s="204">
        <f t="shared" ca="1" si="560"/>
        <v>-4.2578319613254693E-2</v>
      </c>
      <c r="EB55" s="205"/>
      <c r="EC55" s="206">
        <f t="shared" ca="1" si="1649"/>
        <v>0</v>
      </c>
      <c r="ED55" s="206">
        <f t="shared" ca="1" si="1650"/>
        <v>0</v>
      </c>
      <c r="EE55" s="207">
        <f t="shared" ca="1" si="1651"/>
        <v>0</v>
      </c>
      <c r="EF55" s="313">
        <f t="shared" si="657"/>
        <v>30000</v>
      </c>
      <c r="EG55" s="313">
        <f t="shared" ca="1" si="563"/>
        <v>29879.750000100001</v>
      </c>
      <c r="EH55" s="313">
        <f t="shared" ca="1" si="1652"/>
        <v>29879.753884467504</v>
      </c>
      <c r="EI55" s="314">
        <f t="shared" ca="1" si="1653"/>
        <v>4.2578319613254693E-2</v>
      </c>
      <c r="EJ55" s="214"/>
      <c r="EK55" s="312" t="str">
        <f t="shared" ref="EK55:EK56" ca="1" si="1899">IFERROR($X55/EL55-1,"")</f>
        <v/>
      </c>
      <c r="EL55" s="252"/>
      <c r="EM55" s="199">
        <f t="shared" ref="EM55:EM56" ca="1" si="1900">EJ55*$X55</f>
        <v>0</v>
      </c>
      <c r="EN55" s="199">
        <f t="shared" ref="EN55:EN56" ca="1" si="1901">EM55*$Z55</f>
        <v>0</v>
      </c>
      <c r="EO55" s="216">
        <f t="shared" ref="EO55:EO56" ca="1" si="1902">IFERROR(EN55/EJ$4,0)</f>
        <v>0</v>
      </c>
      <c r="EP55" s="202">
        <f t="shared" ref="EP55:EP56" ca="1" si="1903">EQ55/$X55</f>
        <v>0</v>
      </c>
      <c r="EQ55" s="203">
        <f t="shared" ref="EQ55:EQ56" ca="1" si="1904">ER55/$Z55</f>
        <v>0</v>
      </c>
      <c r="ER55" s="203">
        <f t="shared" ref="ER55:ER56" ca="1" si="1905">ES55*EJ$4</f>
        <v>0</v>
      </c>
      <c r="ES55" s="204">
        <f t="shared" ca="1" si="571"/>
        <v>0</v>
      </c>
      <c r="ET55" s="205"/>
      <c r="EU55" s="206">
        <f t="shared" ref="EU55:EU56" ca="1" si="1906">ET55*$X55</f>
        <v>0</v>
      </c>
      <c r="EV55" s="206">
        <f t="shared" ref="EV55:EV56" ca="1" si="1907">EU55*$Z55</f>
        <v>0</v>
      </c>
      <c r="EW55" s="207">
        <f t="shared" ref="EW55:EW56" ca="1" si="1908">IFERROR(EV55/EJ$4,0)</f>
        <v>0</v>
      </c>
      <c r="EX55" s="313">
        <f t="shared" ref="EX55" si="1909">EJ55+ET55</f>
        <v>0</v>
      </c>
      <c r="EY55" s="313">
        <f t="shared" ca="1" si="669"/>
        <v>0</v>
      </c>
      <c r="EZ55" s="313">
        <f t="shared" ref="EZ55:EZ56" ca="1" si="1910">EY55*$Z55</f>
        <v>0</v>
      </c>
      <c r="FA55" s="314">
        <f t="shared" ref="FA55:FA56" ca="1" si="1911">IFERROR(EZ55/EJ$4,0)</f>
        <v>0</v>
      </c>
      <c r="FB55" s="211" t="str">
        <f t="shared" ref="FB55:FB56" ca="1" si="1912">IF(SUM(EO55,EW55,FA55)&lt;&gt;0,"V","")</f>
        <v/>
      </c>
      <c r="FC55" s="214"/>
      <c r="FD55" s="312" t="str">
        <f t="shared" ref="FD55:FD56" ca="1" si="1913">IFERROR($X55/FE55-1,"")</f>
        <v/>
      </c>
      <c r="FE55" s="252"/>
      <c r="FF55" s="199">
        <f t="shared" ref="FF55:FF56" ca="1" si="1914">FC55*$X55</f>
        <v>0</v>
      </c>
      <c r="FG55" s="199">
        <f t="shared" ref="FG55:FG56" ca="1" si="1915">FF55*$Z55</f>
        <v>0</v>
      </c>
      <c r="FH55" s="216">
        <f t="shared" ref="FH55:FH56" ca="1" si="1916">IFERROR(FG55/FC$4,0)</f>
        <v>0</v>
      </c>
      <c r="FI55" s="202">
        <f t="shared" ref="FI55:FI56" ca="1" si="1917">FJ55/$X55</f>
        <v>0</v>
      </c>
      <c r="FJ55" s="203">
        <f t="shared" ref="FJ55:FJ56" ca="1" si="1918">FK55/$Z55</f>
        <v>0</v>
      </c>
      <c r="FK55" s="203">
        <f t="shared" ref="FK55:FK56" ca="1" si="1919">FL55*FC$4</f>
        <v>0</v>
      </c>
      <c r="FL55" s="204">
        <f t="shared" ca="1" si="582"/>
        <v>0</v>
      </c>
      <c r="FM55" s="205"/>
      <c r="FN55" s="206">
        <f t="shared" ref="FN55:FN56" ca="1" si="1920">FM55*$X55</f>
        <v>0</v>
      </c>
      <c r="FO55" s="206">
        <f t="shared" ref="FO55:FO56" ca="1" si="1921">FN55*$Z55</f>
        <v>0</v>
      </c>
      <c r="FP55" s="207">
        <f t="shared" ref="FP55:FP56" ca="1" si="1922">IFERROR(FO55/FC$4,0)</f>
        <v>0</v>
      </c>
      <c r="FQ55" s="313">
        <f t="shared" ref="FQ55" si="1923">FC55+FM55</f>
        <v>0</v>
      </c>
      <c r="FR55" s="313">
        <f t="shared" ca="1" si="683"/>
        <v>0</v>
      </c>
      <c r="FS55" s="313">
        <f t="shared" ref="FS55:FS56" ca="1" si="1924">FR55*$Z55</f>
        <v>0</v>
      </c>
      <c r="FT55" s="314">
        <f t="shared" ref="FT55:FT56" ca="1" si="1925">IFERROR(FS55/FC$4,0)</f>
        <v>0</v>
      </c>
      <c r="FU55" s="315" t="str">
        <f t="shared" ref="FU55:FU56" ca="1" si="1926">IF(SUM(FH55,FP55,FT55)&lt;&gt;0,"V","")</f>
        <v/>
      </c>
    </row>
    <row r="56" spans="1:177" outlineLevel="2" x14ac:dyDescent="0.2">
      <c r="A56" s="298"/>
      <c r="B56" s="298"/>
      <c r="C56" s="299" t="str">
        <f t="shared" ca="1" si="487"/>
        <v>CH1400064577:CHF:P</v>
      </c>
      <c r="D56" s="300" t="str">
        <f t="shared" ca="1" si="488"/>
        <v>CH1400064577</v>
      </c>
      <c r="E56" s="301" t="str">
        <f t="shared" ca="1" si="488"/>
        <v>140006457</v>
      </c>
      <c r="F56" s="299" t="s">
        <v>370</v>
      </c>
      <c r="G56" s="316">
        <f t="shared" ca="1" si="488"/>
        <v>49331</v>
      </c>
      <c r="H56" s="1708" t="str">
        <f t="shared" ca="1" si="489"/>
        <v></v>
      </c>
      <c r="I56" s="1680" t="str">
        <f t="shared" ca="1" si="490"/>
        <v/>
      </c>
      <c r="J56" s="1708" t="str">
        <f t="shared" ca="1" si="1069"/>
        <v/>
      </c>
      <c r="K56" s="1709" t="str">
        <f t="shared" ca="1" si="1069"/>
        <v/>
      </c>
      <c r="L56" s="1710" t="str">
        <f t="shared" ref="L56:L76" ca="1" si="1927">IF(OFFSET(Origine,MATCH($F56,Descrizioni,0),MATCH(L$15,Intestazioni,0)-1,1,1)&lt;&gt;"",HYPERLINK("https://www.zonebourse.com/mods_a/charts/TV/inc_dyna_graph.php?c="&amp;OFFSET(Origine,MATCH($F56,Descrizioni,0),MATCH(L$15,Intestazioni,0)-1,1,1)&amp;"&amp;style=TradingView.CANDLES&amp;showAT=1",""),"")</f>
        <v/>
      </c>
      <c r="M56" s="298" t="str">
        <f t="shared" ca="1" si="493"/>
        <v>Pct</v>
      </c>
      <c r="N56" s="305"/>
      <c r="O56" s="305"/>
      <c r="P56" s="306">
        <f t="shared" ca="1" si="1539"/>
        <v>0</v>
      </c>
      <c r="Q56" s="307">
        <f t="array" aca="1" ref="Q56" ca="1">SUM(IF($AA$15:$FT$15="I_pos",AA56:FT56))</f>
        <v>50000</v>
      </c>
      <c r="R56" s="307">
        <f t="array" aca="1" ref="R56" ca="1">SUM(IF($AA$15:$FT$15="P_Pos",AA56:FT56))</f>
        <v>-50000</v>
      </c>
      <c r="S56" s="304"/>
      <c r="T56" s="307"/>
      <c r="U56" s="308">
        <f t="shared" ca="1" si="494"/>
        <v>-5.7553956834532002E-3</v>
      </c>
      <c r="V56" s="307">
        <f t="array" aca="1" ref="V56" ca="1">SUM(IF($AA$15:$FT$15="O_Pos",AA56:FT56))</f>
        <v>0</v>
      </c>
      <c r="W56" s="299" t="str">
        <f t="shared" ref="W56:W57" ca="1" si="1928">OFFSET(Origine,MATCH($F56,Descrizioni,0),MATCH(W$15,Intestazioni,0)-1,1,1)</f>
        <v>CHF</v>
      </c>
      <c r="X56" s="309">
        <f t="shared" ca="1" si="496"/>
        <v>1.0388916666700001</v>
      </c>
      <c r="Y56" s="310">
        <f t="shared" ca="1" si="496"/>
        <v>1.5830169450000001E-2</v>
      </c>
      <c r="Z56" s="311">
        <f t="shared" ref="Z56" ca="1" si="1929">_xlfn.NUMBERVALUE(OFFSET(Origine,MATCH(W56&amp;"/"&amp;MRif,LUKB_Name,0),MATCH("Price",Intestazioni,0)-1,1,1))</f>
        <v>1.0000001300000001</v>
      </c>
      <c r="AA56" s="214"/>
      <c r="AB56" s="312" t="str">
        <f t="shared" ref="AB56" ca="1" si="1930">IFERROR($X56/AC56-1,"")</f>
        <v/>
      </c>
      <c r="AC56" s="215"/>
      <c r="AD56" s="199">
        <f t="shared" ca="1" si="1834"/>
        <v>0</v>
      </c>
      <c r="AE56" s="199">
        <f t="shared" ca="1" si="1835"/>
        <v>0</v>
      </c>
      <c r="AF56" s="216">
        <f t="shared" ca="1" si="1836"/>
        <v>0</v>
      </c>
      <c r="AG56" s="202">
        <f t="shared" ca="1" si="1837"/>
        <v>0</v>
      </c>
      <c r="AH56" s="203">
        <f t="shared" ca="1" si="1838"/>
        <v>0</v>
      </c>
      <c r="AI56" s="203">
        <f t="shared" ca="1" si="1839"/>
        <v>0</v>
      </c>
      <c r="AJ56" s="204">
        <f t="shared" ca="1" si="504"/>
        <v>0</v>
      </c>
      <c r="AK56" s="205"/>
      <c r="AL56" s="206">
        <f t="shared" ca="1" si="1840"/>
        <v>0</v>
      </c>
      <c r="AM56" s="206">
        <f t="shared" ca="1" si="1841"/>
        <v>0</v>
      </c>
      <c r="AN56" s="207">
        <f t="shared" ca="1" si="1842"/>
        <v>0</v>
      </c>
      <c r="AO56" s="313">
        <f>AA56+AK56</f>
        <v>0</v>
      </c>
      <c r="AP56" s="313">
        <f t="shared" ref="AP56" ca="1" si="1931">AD56+IF($T56 ="",AL56,0)</f>
        <v>0</v>
      </c>
      <c r="AQ56" s="313">
        <f t="shared" ca="1" si="1844"/>
        <v>0</v>
      </c>
      <c r="AR56" s="314">
        <f t="shared" ca="1" si="1845"/>
        <v>0</v>
      </c>
      <c r="AS56" s="315" t="str">
        <f t="shared" ca="1" si="1846"/>
        <v/>
      </c>
      <c r="AT56" s="214"/>
      <c r="AU56" s="312" t="str">
        <f t="shared" ca="1" si="1847"/>
        <v/>
      </c>
      <c r="AV56" s="215"/>
      <c r="AW56" s="199">
        <f t="shared" ca="1" si="1848"/>
        <v>0</v>
      </c>
      <c r="AX56" s="199">
        <f t="shared" ca="1" si="1849"/>
        <v>0</v>
      </c>
      <c r="AY56" s="216">
        <f t="shared" ca="1" si="1850"/>
        <v>0</v>
      </c>
      <c r="AZ56" s="202">
        <f t="shared" ca="1" si="1851"/>
        <v>0</v>
      </c>
      <c r="BA56" s="203">
        <f t="shared" ca="1" si="1852"/>
        <v>0</v>
      </c>
      <c r="BB56" s="203">
        <f t="shared" ca="1" si="1853"/>
        <v>0</v>
      </c>
      <c r="BC56" s="204">
        <f t="shared" ca="1" si="515"/>
        <v>0</v>
      </c>
      <c r="BD56" s="205"/>
      <c r="BE56" s="206">
        <f t="shared" ca="1" si="1854"/>
        <v>0</v>
      </c>
      <c r="BF56" s="206">
        <f t="shared" ca="1" si="1855"/>
        <v>0</v>
      </c>
      <c r="BG56" s="207">
        <f t="shared" ca="1" si="1856"/>
        <v>0</v>
      </c>
      <c r="BH56" s="313">
        <f>AT56+BD56</f>
        <v>0</v>
      </c>
      <c r="BI56" s="313">
        <f t="shared" ref="BI56" ca="1" si="1932">AW56+IF($T56 ="",BE56,0)</f>
        <v>0</v>
      </c>
      <c r="BJ56" s="313">
        <f t="shared" ca="1" si="1858"/>
        <v>0</v>
      </c>
      <c r="BK56" s="314">
        <f t="shared" ca="1" si="1859"/>
        <v>0</v>
      </c>
      <c r="BL56" s="211" t="str">
        <f t="shared" ca="1" si="1860"/>
        <v/>
      </c>
      <c r="BM56" s="214"/>
      <c r="BN56" s="312" t="str">
        <f t="shared" ca="1" si="1861"/>
        <v/>
      </c>
      <c r="BO56" s="215"/>
      <c r="BP56" s="199">
        <f t="shared" ca="1" si="1862"/>
        <v>0</v>
      </c>
      <c r="BQ56" s="199">
        <f t="shared" ca="1" si="1863"/>
        <v>0</v>
      </c>
      <c r="BR56" s="216">
        <f t="shared" ca="1" si="1864"/>
        <v>0</v>
      </c>
      <c r="BS56" s="202">
        <f t="shared" ca="1" si="1865"/>
        <v>0</v>
      </c>
      <c r="BT56" s="203">
        <f t="shared" ca="1" si="1866"/>
        <v>0</v>
      </c>
      <c r="BU56" s="203">
        <f t="shared" ca="1" si="1867"/>
        <v>0</v>
      </c>
      <c r="BV56" s="204">
        <f t="shared" ca="1" si="526"/>
        <v>0</v>
      </c>
      <c r="BW56" s="205"/>
      <c r="BX56" s="206">
        <f t="shared" ca="1" si="1868"/>
        <v>0</v>
      </c>
      <c r="BY56" s="206">
        <f t="shared" ca="1" si="1869"/>
        <v>0</v>
      </c>
      <c r="BZ56" s="207">
        <f t="shared" ca="1" si="1870"/>
        <v>0</v>
      </c>
      <c r="CA56" s="313">
        <f>BM56+BW56</f>
        <v>0</v>
      </c>
      <c r="CB56" s="313">
        <f t="shared" ref="CB56" ca="1" si="1933">BP56+IF($T56 ="",BX56,0)</f>
        <v>0</v>
      </c>
      <c r="CC56" s="313">
        <f t="shared" ca="1" si="1872"/>
        <v>0</v>
      </c>
      <c r="CD56" s="314">
        <f t="shared" ca="1" si="1873"/>
        <v>0</v>
      </c>
      <c r="CE56" s="211" t="str">
        <f t="shared" ca="1" si="1874"/>
        <v/>
      </c>
      <c r="CF56" s="214"/>
      <c r="CG56" s="312" t="str">
        <f t="shared" ca="1" si="1875"/>
        <v/>
      </c>
      <c r="CH56" s="215"/>
      <c r="CI56" s="199">
        <f t="shared" ca="1" si="1876"/>
        <v>0</v>
      </c>
      <c r="CJ56" s="199">
        <f t="shared" ca="1" si="1877"/>
        <v>0</v>
      </c>
      <c r="CK56" s="216">
        <f t="shared" ca="1" si="1878"/>
        <v>0</v>
      </c>
      <c r="CL56" s="202">
        <f t="shared" ca="1" si="1879"/>
        <v>0</v>
      </c>
      <c r="CM56" s="203">
        <f t="shared" ca="1" si="1880"/>
        <v>0</v>
      </c>
      <c r="CN56" s="203">
        <f t="shared" ca="1" si="1881"/>
        <v>0</v>
      </c>
      <c r="CO56" s="204">
        <f t="shared" ca="1" si="537"/>
        <v>0</v>
      </c>
      <c r="CP56" s="205"/>
      <c r="CQ56" s="206">
        <f t="shared" ca="1" si="1882"/>
        <v>0</v>
      </c>
      <c r="CR56" s="206">
        <f t="shared" ca="1" si="1883"/>
        <v>0</v>
      </c>
      <c r="CS56" s="207">
        <f t="shared" ca="1" si="1884"/>
        <v>0</v>
      </c>
      <c r="CT56" s="313">
        <f>CF56+CP56</f>
        <v>0</v>
      </c>
      <c r="CU56" s="313">
        <f t="shared" ref="CU56" ca="1" si="1934">CI56+IF($T56 ="",CQ56,0)</f>
        <v>0</v>
      </c>
      <c r="CV56" s="313">
        <f t="shared" ca="1" si="1886"/>
        <v>0</v>
      </c>
      <c r="CW56" s="314">
        <f t="shared" ca="1" si="1887"/>
        <v>0</v>
      </c>
      <c r="CX56" s="211" t="str">
        <f t="shared" ca="1" si="1888"/>
        <v/>
      </c>
      <c r="CY56" s="197">
        <v>50000</v>
      </c>
      <c r="CZ56" s="312">
        <f t="shared" ca="1" si="1889"/>
        <v>7.7129773634007304E-2</v>
      </c>
      <c r="DA56" s="252">
        <v>0.96450000000000002</v>
      </c>
      <c r="DB56" s="199">
        <f t="shared" ca="1" si="1890"/>
        <v>51944.583333500006</v>
      </c>
      <c r="DC56" s="199">
        <f t="shared" ca="1" si="1891"/>
        <v>51944.590086295844</v>
      </c>
      <c r="DD56" s="216">
        <f t="shared" ca="1" si="1892"/>
        <v>1.4487731703291762E-2</v>
      </c>
      <c r="DE56" s="202">
        <f t="shared" ref="DE56" ca="1" si="1935">DF56/$X56</f>
        <v>-50000</v>
      </c>
      <c r="DF56" s="203">
        <f t="shared" ca="1" si="1893"/>
        <v>-51944.583333500006</v>
      </c>
      <c r="DG56" s="203">
        <f t="shared" ca="1" si="1894"/>
        <v>-51944.590086295844</v>
      </c>
      <c r="DH56" s="204">
        <f t="shared" ca="1" si="548"/>
        <v>-1.4487731703291762E-2</v>
      </c>
      <c r="DI56" s="205"/>
      <c r="DJ56" s="206">
        <f t="shared" ref="DJ56:DJ57" ca="1" si="1936">DI56*$X56</f>
        <v>0</v>
      </c>
      <c r="DK56" s="206">
        <f t="shared" ref="DK56:DK57" ca="1" si="1937">DJ56*$Z56</f>
        <v>0</v>
      </c>
      <c r="DL56" s="207">
        <f t="shared" ref="DL56:DL57" ca="1" si="1938">IFERROR(DK56/CY$4,0)</f>
        <v>0</v>
      </c>
      <c r="DM56" s="313">
        <f t="shared" si="1895"/>
        <v>50000</v>
      </c>
      <c r="DN56" s="313">
        <f t="shared" ref="DN56" ca="1" si="1939">DB56+IF($T56 ="",DJ56,0)</f>
        <v>51944.583333500006</v>
      </c>
      <c r="DO56" s="313">
        <f t="shared" ca="1" si="1896"/>
        <v>51944.590086295844</v>
      </c>
      <c r="DP56" s="314">
        <f t="shared" ca="1" si="1897"/>
        <v>1.4487731703291762E-2</v>
      </c>
      <c r="DQ56" s="315" t="str">
        <f t="shared" ca="1" si="1898"/>
        <v>V</v>
      </c>
      <c r="DR56" s="197"/>
      <c r="DS56" s="312" t="str">
        <f t="shared" ref="DS56" ca="1" si="1940">IFERROR($X56/DT56-1,"")</f>
        <v/>
      </c>
      <c r="DT56" s="199"/>
      <c r="DU56" s="199">
        <f t="shared" ref="DU56" ca="1" si="1941">DR56*$X56</f>
        <v>0</v>
      </c>
      <c r="DV56" s="199">
        <f t="shared" ref="DV56" ca="1" si="1942">DU56*$Z56</f>
        <v>0</v>
      </c>
      <c r="DW56" s="216">
        <f t="shared" ref="DW56" ca="1" si="1943">IFERROR(DV56/DR$4,0)</f>
        <v>0</v>
      </c>
      <c r="DX56" s="202">
        <f t="shared" ref="DX56" ca="1" si="1944">DY56/$X56</f>
        <v>0</v>
      </c>
      <c r="DY56" s="203">
        <f t="shared" ref="DY56" ca="1" si="1945">DZ56/$Z56</f>
        <v>0</v>
      </c>
      <c r="DZ56" s="203">
        <f t="shared" ref="DZ56" ca="1" si="1946">EA56*DR$4</f>
        <v>0</v>
      </c>
      <c r="EA56" s="204">
        <f t="shared" ca="1" si="560"/>
        <v>0</v>
      </c>
      <c r="EB56" s="205"/>
      <c r="EC56" s="206">
        <f t="shared" ref="EC56" ca="1" si="1947">EB56*$X56</f>
        <v>0</v>
      </c>
      <c r="ED56" s="206">
        <f t="shared" ref="ED56" ca="1" si="1948">EC56*$Z56</f>
        <v>0</v>
      </c>
      <c r="EE56" s="207">
        <f t="shared" ref="EE56" ca="1" si="1949">IFERROR(ED56/DR$4,0)</f>
        <v>0</v>
      </c>
      <c r="EF56" s="313">
        <f>DR56+EB56</f>
        <v>0</v>
      </c>
      <c r="EG56" s="313">
        <f t="shared" ref="EG56" ca="1" si="1950">DU56+IF($T56 ="",EC56,0)</f>
        <v>0</v>
      </c>
      <c r="EH56" s="313">
        <f t="shared" ref="EH56" ca="1" si="1951">EG56*$Z56</f>
        <v>0</v>
      </c>
      <c r="EI56" s="314">
        <f t="shared" ref="EI56" ca="1" si="1952">IFERROR(EH56/DR$4,0)</f>
        <v>0</v>
      </c>
      <c r="EJ56" s="214"/>
      <c r="EK56" s="312" t="str">
        <f t="shared" ca="1" si="1899"/>
        <v/>
      </c>
      <c r="EL56" s="222"/>
      <c r="EM56" s="199">
        <f t="shared" ca="1" si="1900"/>
        <v>0</v>
      </c>
      <c r="EN56" s="199">
        <f t="shared" ca="1" si="1901"/>
        <v>0</v>
      </c>
      <c r="EO56" s="216">
        <f t="shared" ca="1" si="1902"/>
        <v>0</v>
      </c>
      <c r="EP56" s="202">
        <f t="shared" ca="1" si="1903"/>
        <v>0</v>
      </c>
      <c r="EQ56" s="203">
        <f t="shared" ca="1" si="1904"/>
        <v>0</v>
      </c>
      <c r="ER56" s="203">
        <f t="shared" ca="1" si="1905"/>
        <v>0</v>
      </c>
      <c r="ES56" s="204">
        <f t="shared" ca="1" si="571"/>
        <v>0</v>
      </c>
      <c r="ET56" s="205"/>
      <c r="EU56" s="206">
        <f t="shared" ca="1" si="1906"/>
        <v>0</v>
      </c>
      <c r="EV56" s="206">
        <f t="shared" ca="1" si="1907"/>
        <v>0</v>
      </c>
      <c r="EW56" s="207">
        <f t="shared" ca="1" si="1908"/>
        <v>0</v>
      </c>
      <c r="EX56" s="313">
        <f>EJ56+ET56</f>
        <v>0</v>
      </c>
      <c r="EY56" s="313">
        <f t="shared" ref="EY56" ca="1" si="1953">EM56+IF($T56 ="",EU56,0)</f>
        <v>0</v>
      </c>
      <c r="EZ56" s="313">
        <f t="shared" ca="1" si="1910"/>
        <v>0</v>
      </c>
      <c r="FA56" s="314">
        <f t="shared" ca="1" si="1911"/>
        <v>0</v>
      </c>
      <c r="FB56" s="211" t="str">
        <f t="shared" ca="1" si="1912"/>
        <v/>
      </c>
      <c r="FC56" s="214"/>
      <c r="FD56" s="312" t="str">
        <f t="shared" ca="1" si="1913"/>
        <v/>
      </c>
      <c r="FE56" s="252"/>
      <c r="FF56" s="199">
        <f t="shared" ca="1" si="1914"/>
        <v>0</v>
      </c>
      <c r="FG56" s="199">
        <f t="shared" ca="1" si="1915"/>
        <v>0</v>
      </c>
      <c r="FH56" s="216">
        <f t="shared" ca="1" si="1916"/>
        <v>0</v>
      </c>
      <c r="FI56" s="202">
        <f t="shared" ca="1" si="1917"/>
        <v>0</v>
      </c>
      <c r="FJ56" s="203">
        <f t="shared" ca="1" si="1918"/>
        <v>0</v>
      </c>
      <c r="FK56" s="203">
        <f t="shared" ca="1" si="1919"/>
        <v>0</v>
      </c>
      <c r="FL56" s="204">
        <f t="shared" ca="1" si="582"/>
        <v>0</v>
      </c>
      <c r="FM56" s="205"/>
      <c r="FN56" s="206">
        <f t="shared" ca="1" si="1920"/>
        <v>0</v>
      </c>
      <c r="FO56" s="206">
        <f t="shared" ca="1" si="1921"/>
        <v>0</v>
      </c>
      <c r="FP56" s="207">
        <f t="shared" ca="1" si="1922"/>
        <v>0</v>
      </c>
      <c r="FQ56" s="313">
        <f>FC56+FM56</f>
        <v>0</v>
      </c>
      <c r="FR56" s="313">
        <f t="shared" ref="FR56" ca="1" si="1954">FF56+IF($T56 ="",FN56,0)</f>
        <v>0</v>
      </c>
      <c r="FS56" s="313">
        <f t="shared" ca="1" si="1924"/>
        <v>0</v>
      </c>
      <c r="FT56" s="314">
        <f t="shared" ca="1" si="1925"/>
        <v>0</v>
      </c>
      <c r="FU56" s="315" t="str">
        <f t="shared" ca="1" si="1926"/>
        <v/>
      </c>
    </row>
    <row r="57" spans="1:177" outlineLevel="2" x14ac:dyDescent="0.2">
      <c r="A57" s="298"/>
      <c r="B57" s="298"/>
      <c r="C57" s="299" t="str">
        <f t="shared" ca="1" si="487"/>
        <v>CH0226976816:CHF</v>
      </c>
      <c r="D57" s="300" t="str">
        <f t="shared" ca="1" si="488"/>
        <v>CH0226976816</v>
      </c>
      <c r="E57" s="301" t="str">
        <f t="shared" ca="1" si="488"/>
        <v>22697681</v>
      </c>
      <c r="F57" s="299" t="s">
        <v>739</v>
      </c>
      <c r="G57" s="316" t="str">
        <f t="shared" ca="1" si="488"/>
        <v/>
      </c>
      <c r="H57" s="1708" t="str">
        <f t="shared" ca="1" si="489"/>
        <v></v>
      </c>
      <c r="I57" s="1680" t="str">
        <f t="shared" ca="1" si="490"/>
        <v>i</v>
      </c>
      <c r="J57" s="1708" t="str">
        <f t="shared" ca="1" si="1069"/>
        <v></v>
      </c>
      <c r="K57" s="1709" t="str">
        <f t="shared" ca="1" si="1069"/>
        <v></v>
      </c>
      <c r="L57" s="1710" t="str">
        <f t="shared" ca="1" si="1927"/>
        <v></v>
      </c>
      <c r="M57" s="298" t="str">
        <f t="shared" ca="1" si="493"/>
        <v>Unit</v>
      </c>
      <c r="N57" s="305"/>
      <c r="O57" s="305"/>
      <c r="P57" s="306">
        <f t="shared" ca="1" si="1539"/>
        <v>0</v>
      </c>
      <c r="Q57" s="307">
        <f t="array" aca="1" ref="Q57" ca="1">SUM(IF($AA$15:$FT$15="I_pos",AA57:FT57))</f>
        <v>0</v>
      </c>
      <c r="R57" s="307">
        <f t="array" aca="1" ref="R57" ca="1">SUM(IF($AA$15:$FT$15="P_Pos",AA57:FT57))</f>
        <v>0</v>
      </c>
      <c r="S57" s="304"/>
      <c r="T57" s="307"/>
      <c r="U57" s="308">
        <f t="shared" ca="1" si="494"/>
        <v>-4.0044130266007998E-3</v>
      </c>
      <c r="V57" s="307">
        <f t="array" aca="1" ref="V57" ca="1">SUM(IF($AA$15:$FT$15="O_Pos",AA57:FT57))</f>
        <v>0</v>
      </c>
      <c r="W57" s="299" t="str">
        <f t="shared" ca="1" si="1928"/>
        <v>CHF</v>
      </c>
      <c r="X57" s="309">
        <f t="shared" ca="1" si="496"/>
        <v>97.5</v>
      </c>
      <c r="Y57" s="310">
        <f t="shared" ca="1" si="496"/>
        <v>0</v>
      </c>
      <c r="Z57" s="311">
        <f t="shared" ca="1" si="589"/>
        <v>1.0000001300000001</v>
      </c>
      <c r="AA57" s="214"/>
      <c r="AB57" s="312" t="str">
        <f t="shared" ca="1" si="590"/>
        <v/>
      </c>
      <c r="AC57" s="215"/>
      <c r="AD57" s="199">
        <f t="shared" ref="AD57:AD76" ca="1" si="1955">AA57*$X57</f>
        <v>0</v>
      </c>
      <c r="AE57" s="199">
        <f t="shared" ref="AE57:AE76" ca="1" si="1956">AD57*$Z57</f>
        <v>0</v>
      </c>
      <c r="AF57" s="216">
        <f t="shared" ref="AF57:AF60" ca="1" si="1957">IFERROR(AE57/AA$4,0)</f>
        <v>0</v>
      </c>
      <c r="AG57" s="202">
        <f t="shared" ref="AG57:AG76" ca="1" si="1958">AH57/$X57</f>
        <v>0</v>
      </c>
      <c r="AH57" s="203">
        <f t="shared" ref="AH57:AH76" ca="1" si="1959">AI57/$Z57</f>
        <v>0</v>
      </c>
      <c r="AI57" s="203">
        <f t="shared" ref="AI57:AI60" ca="1" si="1960">AJ57*AA$4</f>
        <v>0</v>
      </c>
      <c r="AJ57" s="204">
        <f t="shared" ca="1" si="504"/>
        <v>0</v>
      </c>
      <c r="AK57" s="205"/>
      <c r="AL57" s="206">
        <f t="shared" ref="AL57:AL76" ca="1" si="1961">AK57*$X57</f>
        <v>0</v>
      </c>
      <c r="AM57" s="206">
        <f t="shared" ref="AM57:AM76" ca="1" si="1962">AL57*$Z57</f>
        <v>0</v>
      </c>
      <c r="AN57" s="207">
        <f t="shared" ref="AN57:AN60" ca="1" si="1963">IFERROR(AM57/AA$4,0)</f>
        <v>0</v>
      </c>
      <c r="AO57" s="313">
        <f>AA57+AK57</f>
        <v>0</v>
      </c>
      <c r="AP57" s="313">
        <f t="shared" ca="1" si="601"/>
        <v>0</v>
      </c>
      <c r="AQ57" s="313">
        <f t="shared" ref="AQ57:AQ76" ca="1" si="1964">AP57*$Z57</f>
        <v>0</v>
      </c>
      <c r="AR57" s="314">
        <f t="shared" ref="AR57:AR60" ca="1" si="1965">IFERROR(AQ57/AA$4,0)</f>
        <v>0</v>
      </c>
      <c r="AS57" s="315" t="str">
        <f t="shared" ca="1" si="29"/>
        <v/>
      </c>
      <c r="AT57" s="214"/>
      <c r="AU57" s="312" t="str">
        <f t="shared" ca="1" si="604"/>
        <v/>
      </c>
      <c r="AV57" s="215"/>
      <c r="AW57" s="199">
        <f t="shared" ref="AW57:AW76" ca="1" si="1966">AT57*$X57</f>
        <v>0</v>
      </c>
      <c r="AX57" s="199">
        <f t="shared" ref="AX57:AX76" ca="1" si="1967">AW57*$Z57</f>
        <v>0</v>
      </c>
      <c r="AY57" s="216">
        <f t="shared" ref="AY57:AY60" ca="1" si="1968">IFERROR(AX57/AT$4,0)</f>
        <v>0</v>
      </c>
      <c r="AZ57" s="202">
        <f t="shared" ref="AZ57:AZ76" ca="1" si="1969">BA57/$X57</f>
        <v>0</v>
      </c>
      <c r="BA57" s="203">
        <f t="shared" ref="BA57:BA76" ca="1" si="1970">BB57/$Z57</f>
        <v>0</v>
      </c>
      <c r="BB57" s="203">
        <f t="shared" ref="BB57:BB60" ca="1" si="1971">BC57*AT$4</f>
        <v>0</v>
      </c>
      <c r="BC57" s="204">
        <f t="shared" ca="1" si="515"/>
        <v>0</v>
      </c>
      <c r="BD57" s="205"/>
      <c r="BE57" s="206">
        <f t="shared" ref="BE57:BE76" ca="1" si="1972">BD57*$X57</f>
        <v>0</v>
      </c>
      <c r="BF57" s="206">
        <f t="shared" ref="BF57:BF76" ca="1" si="1973">BE57*$Z57</f>
        <v>0</v>
      </c>
      <c r="BG57" s="207">
        <f t="shared" ref="BG57:BG60" ca="1" si="1974">IFERROR(BF57/AT$4,0)</f>
        <v>0</v>
      </c>
      <c r="BH57" s="313">
        <f>AT57+BD57</f>
        <v>0</v>
      </c>
      <c r="BI57" s="313">
        <f t="shared" ca="1" si="615"/>
        <v>0</v>
      </c>
      <c r="BJ57" s="313">
        <f t="shared" ref="BJ57:BJ76" ca="1" si="1975">BI57*$Z57</f>
        <v>0</v>
      </c>
      <c r="BK57" s="314">
        <f t="shared" ref="BK57:BK60" ca="1" si="1976">IFERROR(BJ57/AT$4,0)</f>
        <v>0</v>
      </c>
      <c r="BL57" s="211" t="str">
        <f t="shared" ca="1" si="34"/>
        <v/>
      </c>
      <c r="BM57" s="214"/>
      <c r="BN57" s="312" t="str">
        <f t="shared" ca="1" si="618"/>
        <v/>
      </c>
      <c r="BO57" s="215"/>
      <c r="BP57" s="199">
        <f t="shared" ref="BP57:BP76" ca="1" si="1977">BM57*$X57</f>
        <v>0</v>
      </c>
      <c r="BQ57" s="199">
        <f t="shared" ref="BQ57:BQ76" ca="1" si="1978">BP57*$Z57</f>
        <v>0</v>
      </c>
      <c r="BR57" s="216">
        <f t="shared" ref="BR57:BR60" ca="1" si="1979">IFERROR(BQ57/BM$4,0)</f>
        <v>0</v>
      </c>
      <c r="BS57" s="202">
        <f t="shared" ref="BS57:BS76" ca="1" si="1980">BT57/$X57</f>
        <v>0</v>
      </c>
      <c r="BT57" s="203">
        <f t="shared" ref="BT57:BT76" ca="1" si="1981">BU57/$Z57</f>
        <v>0</v>
      </c>
      <c r="BU57" s="203">
        <f t="shared" ref="BU57:BU60" ca="1" si="1982">BV57*BM$4</f>
        <v>0</v>
      </c>
      <c r="BV57" s="204">
        <f t="shared" ca="1" si="526"/>
        <v>0</v>
      </c>
      <c r="BW57" s="205"/>
      <c r="BX57" s="206">
        <f t="shared" ref="BX57:BX76" ca="1" si="1983">BW57*$X57</f>
        <v>0</v>
      </c>
      <c r="BY57" s="206">
        <f t="shared" ref="BY57:BY76" ca="1" si="1984">BX57*$Z57</f>
        <v>0</v>
      </c>
      <c r="BZ57" s="207">
        <f t="shared" ref="BZ57:BZ60" ca="1" si="1985">IFERROR(BY57/BM$4,0)</f>
        <v>0</v>
      </c>
      <c r="CA57" s="313">
        <f>BM57+BW57</f>
        <v>0</v>
      </c>
      <c r="CB57" s="313">
        <f t="shared" ca="1" si="629"/>
        <v>0</v>
      </c>
      <c r="CC57" s="313">
        <f t="shared" ref="CC57:CC76" ca="1" si="1986">CB57*$Z57</f>
        <v>0</v>
      </c>
      <c r="CD57" s="314">
        <f t="shared" ref="CD57:CD60" ca="1" si="1987">IFERROR(CC57/BM$4,0)</f>
        <v>0</v>
      </c>
      <c r="CE57" s="211" t="str">
        <f t="shared" ca="1" si="39"/>
        <v/>
      </c>
      <c r="CF57" s="214"/>
      <c r="CG57" s="312" t="str">
        <f t="shared" ca="1" si="632"/>
        <v/>
      </c>
      <c r="CH57" s="215"/>
      <c r="CI57" s="199">
        <f t="shared" ref="CI57:CI76" ca="1" si="1988">CF57*$X57</f>
        <v>0</v>
      </c>
      <c r="CJ57" s="199">
        <f t="shared" ref="CJ57:CJ76" ca="1" si="1989">CI57*$Z57</f>
        <v>0</v>
      </c>
      <c r="CK57" s="216">
        <f t="shared" ca="1" si="8"/>
        <v>0</v>
      </c>
      <c r="CL57" s="202">
        <f t="shared" ref="CL57:CL76" ca="1" si="1990">CM57/$X57</f>
        <v>0</v>
      </c>
      <c r="CM57" s="203">
        <f t="shared" ref="CM57:CM76" ca="1" si="1991">CN57/$Z57</f>
        <v>0</v>
      </c>
      <c r="CN57" s="203">
        <f t="shared" ref="CN57:CN76" ca="1" si="1992">CO57*CF$4</f>
        <v>0</v>
      </c>
      <c r="CO57" s="204">
        <f t="shared" ca="1" si="537"/>
        <v>0</v>
      </c>
      <c r="CP57" s="205"/>
      <c r="CQ57" s="206">
        <f t="shared" ref="CQ57:CQ76" ca="1" si="1993">CP57*$X57</f>
        <v>0</v>
      </c>
      <c r="CR57" s="206">
        <f t="shared" ref="CR57:CR76" ca="1" si="1994">CQ57*$Z57</f>
        <v>0</v>
      </c>
      <c r="CS57" s="207">
        <f t="shared" ca="1" si="9"/>
        <v>0</v>
      </c>
      <c r="CT57" s="313">
        <f>CF57+CP57</f>
        <v>0</v>
      </c>
      <c r="CU57" s="313">
        <f t="shared" ca="1" si="643"/>
        <v>0</v>
      </c>
      <c r="CV57" s="313">
        <f t="shared" ref="CV57:CV76" ca="1" si="1995">CU57*$Z57</f>
        <v>0</v>
      </c>
      <c r="CW57" s="314">
        <f t="shared" ref="CW57:CW107" ca="1" si="1996">IFERROR(CV57/CF$4,0)</f>
        <v>0</v>
      </c>
      <c r="CX57" s="211" t="str">
        <f t="shared" ca="1" si="47"/>
        <v/>
      </c>
      <c r="CY57" s="197"/>
      <c r="CZ57" s="312" t="str">
        <f t="shared" ca="1" si="646"/>
        <v/>
      </c>
      <c r="DA57" s="199"/>
      <c r="DB57" s="199">
        <f t="shared" ca="1" si="647"/>
        <v>0</v>
      </c>
      <c r="DC57" s="199">
        <f t="shared" ca="1" si="648"/>
        <v>0</v>
      </c>
      <c r="DD57" s="216">
        <f t="shared" ca="1" si="10"/>
        <v>0</v>
      </c>
      <c r="DE57" s="202">
        <f t="shared" ca="1" si="649"/>
        <v>0</v>
      </c>
      <c r="DF57" s="203">
        <f t="shared" ca="1" si="650"/>
        <v>0</v>
      </c>
      <c r="DG57" s="203">
        <f t="shared" ca="1" si="651"/>
        <v>0</v>
      </c>
      <c r="DH57" s="204">
        <f t="shared" ca="1" si="548"/>
        <v>0</v>
      </c>
      <c r="DI57" s="205"/>
      <c r="DJ57" s="206">
        <f t="shared" ca="1" si="1936"/>
        <v>0</v>
      </c>
      <c r="DK57" s="206">
        <f t="shared" ca="1" si="1937"/>
        <v>0</v>
      </c>
      <c r="DL57" s="207">
        <f t="shared" ca="1" si="1938"/>
        <v>0</v>
      </c>
      <c r="DM57" s="313">
        <f t="shared" si="1895"/>
        <v>0</v>
      </c>
      <c r="DN57" s="313">
        <f t="shared" ca="1" si="655"/>
        <v>0</v>
      </c>
      <c r="DO57" s="313">
        <f t="shared" ref="DO57" ca="1" si="1997">DN57*$Z57</f>
        <v>0</v>
      </c>
      <c r="DP57" s="314">
        <f t="shared" ref="DP57:DP58" ca="1" si="1998">IFERROR(DO57/CY$4,0)</f>
        <v>0</v>
      </c>
      <c r="DQ57" s="315" t="str">
        <f t="shared" ca="1" si="55"/>
        <v/>
      </c>
      <c r="DR57" s="197"/>
      <c r="DS57" s="312" t="str">
        <f t="shared" ca="1" si="554"/>
        <v/>
      </c>
      <c r="DT57" s="199"/>
      <c r="DU57" s="199">
        <f t="shared" ca="1" si="1643"/>
        <v>0</v>
      </c>
      <c r="DV57" s="199">
        <f t="shared" ca="1" si="1644"/>
        <v>0</v>
      </c>
      <c r="DW57" s="216">
        <f t="shared" ca="1" si="1645"/>
        <v>0</v>
      </c>
      <c r="DX57" s="202">
        <f t="shared" ref="DX57" ca="1" si="1999">DY57/$X57</f>
        <v>0</v>
      </c>
      <c r="DY57" s="203">
        <f t="shared" ca="1" si="1647"/>
        <v>0</v>
      </c>
      <c r="DZ57" s="203">
        <f t="shared" ca="1" si="1648"/>
        <v>0</v>
      </c>
      <c r="EA57" s="204">
        <f t="shared" ca="1" si="560"/>
        <v>0</v>
      </c>
      <c r="EB57" s="205"/>
      <c r="EC57" s="206">
        <f t="shared" ca="1" si="1649"/>
        <v>0</v>
      </c>
      <c r="ED57" s="206">
        <f t="shared" ca="1" si="1650"/>
        <v>0</v>
      </c>
      <c r="EE57" s="207">
        <f t="shared" ca="1" si="1651"/>
        <v>0</v>
      </c>
      <c r="EF57" s="313">
        <f>DR57+EB57</f>
        <v>0</v>
      </c>
      <c r="EG57" s="313">
        <f t="shared" ca="1" si="563"/>
        <v>0</v>
      </c>
      <c r="EH57" s="313">
        <f t="shared" ca="1" si="1652"/>
        <v>0</v>
      </c>
      <c r="EI57" s="314">
        <f t="shared" ca="1" si="1653"/>
        <v>0</v>
      </c>
      <c r="EJ57" s="214"/>
      <c r="EK57" s="312" t="str">
        <f t="shared" ca="1" si="658"/>
        <v/>
      </c>
      <c r="EL57" s="222"/>
      <c r="EM57" s="199">
        <f t="shared" ref="EM57:EM76" ca="1" si="2000">EJ57*$X57</f>
        <v>0</v>
      </c>
      <c r="EN57" s="199">
        <f t="shared" ref="EN57:EN76" ca="1" si="2001">EM57*$Z57</f>
        <v>0</v>
      </c>
      <c r="EO57" s="216">
        <f t="shared" ref="EO57:EO60" ca="1" si="2002">IFERROR(EN57/EJ$4,0)</f>
        <v>0</v>
      </c>
      <c r="EP57" s="202">
        <f t="shared" ref="EP57:EP76" ca="1" si="2003">EQ57/$X57</f>
        <v>0</v>
      </c>
      <c r="EQ57" s="203">
        <f t="shared" ref="EQ57:EQ76" ca="1" si="2004">ER57/$Z57</f>
        <v>0</v>
      </c>
      <c r="ER57" s="203">
        <f t="shared" ref="ER57:ER60" ca="1" si="2005">ES57*EJ$4</f>
        <v>0</v>
      </c>
      <c r="ES57" s="204">
        <f t="shared" ca="1" si="571"/>
        <v>0</v>
      </c>
      <c r="ET57" s="205"/>
      <c r="EU57" s="206">
        <f t="shared" ref="EU57:EU76" ca="1" si="2006">ET57*$X57</f>
        <v>0</v>
      </c>
      <c r="EV57" s="206">
        <f t="shared" ref="EV57:EV76" ca="1" si="2007">EU57*$Z57</f>
        <v>0</v>
      </c>
      <c r="EW57" s="207">
        <f t="shared" ref="EW57:EW60" ca="1" si="2008">IFERROR(EV57/EJ$4,0)</f>
        <v>0</v>
      </c>
      <c r="EX57" s="313">
        <f>EJ57+ET57</f>
        <v>0</v>
      </c>
      <c r="EY57" s="313">
        <f t="shared" ca="1" si="669"/>
        <v>0</v>
      </c>
      <c r="EZ57" s="313">
        <f t="shared" ref="EZ57:EZ76" ca="1" si="2009">EY57*$Z57</f>
        <v>0</v>
      </c>
      <c r="FA57" s="314">
        <f t="shared" ref="FA57:FA60" ca="1" si="2010">IFERROR(EZ57/EJ$4,0)</f>
        <v>0</v>
      </c>
      <c r="FB57" s="211" t="str">
        <f t="shared" ca="1" si="66"/>
        <v/>
      </c>
      <c r="FC57" s="214"/>
      <c r="FD57" s="312" t="str">
        <f t="shared" ca="1" si="672"/>
        <v/>
      </c>
      <c r="FE57" s="252"/>
      <c r="FF57" s="199">
        <f t="shared" ref="FF57:FF76" ca="1" si="2011">FC57*$X57</f>
        <v>0</v>
      </c>
      <c r="FG57" s="199">
        <f t="shared" ref="FG57:FG76" ca="1" si="2012">FF57*$Z57</f>
        <v>0</v>
      </c>
      <c r="FH57" s="216">
        <f t="shared" ref="FH57:FH60" ca="1" si="2013">IFERROR(FG57/FC$4,0)</f>
        <v>0</v>
      </c>
      <c r="FI57" s="202">
        <f t="shared" ref="FI57:FI76" ca="1" si="2014">FJ57/$X57</f>
        <v>0</v>
      </c>
      <c r="FJ57" s="203">
        <f t="shared" ref="FJ57:FJ76" ca="1" si="2015">FK57/$Z57</f>
        <v>0</v>
      </c>
      <c r="FK57" s="203">
        <f t="shared" ref="FK57:FK60" ca="1" si="2016">FL57*FC$4</f>
        <v>0</v>
      </c>
      <c r="FL57" s="204">
        <f t="shared" ca="1" si="582"/>
        <v>0</v>
      </c>
      <c r="FM57" s="205"/>
      <c r="FN57" s="206">
        <f t="shared" ref="FN57:FN76" ca="1" si="2017">FM57*$X57</f>
        <v>0</v>
      </c>
      <c r="FO57" s="206">
        <f t="shared" ref="FO57:FO76" ca="1" si="2018">FN57*$Z57</f>
        <v>0</v>
      </c>
      <c r="FP57" s="207">
        <f t="shared" ref="FP57:FP60" ca="1" si="2019">IFERROR(FO57/FC$4,0)</f>
        <v>0</v>
      </c>
      <c r="FQ57" s="313">
        <f>FC57+FM57</f>
        <v>0</v>
      </c>
      <c r="FR57" s="313">
        <f t="shared" ca="1" si="683"/>
        <v>0</v>
      </c>
      <c r="FS57" s="313">
        <f t="shared" ref="FS57:FS76" ca="1" si="2020">FR57*$Z57</f>
        <v>0</v>
      </c>
      <c r="FT57" s="314">
        <f t="shared" ref="FT57:FT60" ca="1" si="2021">IFERROR(FS57/FC$4,0)</f>
        <v>0</v>
      </c>
      <c r="FU57" s="315" t="str">
        <f t="shared" ca="1" si="71"/>
        <v/>
      </c>
    </row>
    <row r="58" spans="1:177" outlineLevel="1" x14ac:dyDescent="0.2">
      <c r="A58" s="273"/>
      <c r="B58" s="274" t="s">
        <v>381</v>
      </c>
      <c r="C58" s="275"/>
      <c r="D58" s="276"/>
      <c r="E58" s="277"/>
      <c r="F58" s="275"/>
      <c r="G58" s="278"/>
      <c r="H58" s="1679"/>
      <c r="I58" s="1679"/>
      <c r="J58" s="1707"/>
      <c r="K58" s="1679"/>
      <c r="L58" s="1679"/>
      <c r="M58" s="280"/>
      <c r="N58" s="281">
        <f>SUM(N$59:N$61)</f>
        <v>0</v>
      </c>
      <c r="O58" s="281">
        <v>0</v>
      </c>
      <c r="P58" s="282">
        <f t="shared" ca="1" si="1539"/>
        <v>0</v>
      </c>
      <c r="Q58" s="283"/>
      <c r="R58" s="283"/>
      <c r="S58" s="275"/>
      <c r="T58" s="283"/>
      <c r="U58" s="284"/>
      <c r="V58" s="283"/>
      <c r="W58" s="285"/>
      <c r="X58" s="286"/>
      <c r="Y58" s="286"/>
      <c r="Z58" s="287"/>
      <c r="AA58" s="288"/>
      <c r="AB58" s="318" t="str">
        <f t="shared" si="590"/>
        <v/>
      </c>
      <c r="AC58" s="289"/>
      <c r="AD58" s="275"/>
      <c r="AE58" s="290">
        <f ca="1">SUM(AE$59:AE$61)</f>
        <v>0</v>
      </c>
      <c r="AF58" s="291">
        <f t="shared" ca="1" si="1957"/>
        <v>0</v>
      </c>
      <c r="AG58" s="292"/>
      <c r="AH58" s="275"/>
      <c r="AI58" s="290">
        <f ca="1">SUM(AI$59:AI$61)</f>
        <v>0</v>
      </c>
      <c r="AJ58" s="293">
        <f ca="1">IFERROR(AI58/AA$4,0)</f>
        <v>0</v>
      </c>
      <c r="AK58" s="292"/>
      <c r="AL58" s="275"/>
      <c r="AM58" s="290">
        <f ca="1">SUM(AM$59:AM$61)</f>
        <v>0</v>
      </c>
      <c r="AN58" s="293">
        <f t="shared" ca="1" si="1963"/>
        <v>0</v>
      </c>
      <c r="AO58" s="275"/>
      <c r="AP58" s="275"/>
      <c r="AQ58" s="290">
        <f ca="1">SUM(AQ$59:AQ$61)</f>
        <v>0</v>
      </c>
      <c r="AR58" s="291">
        <f t="shared" ca="1" si="1965"/>
        <v>0</v>
      </c>
      <c r="AS58" s="294" t="str">
        <f t="shared" ca="1" si="29"/>
        <v/>
      </c>
      <c r="AT58" s="288"/>
      <c r="AU58" s="318" t="str">
        <f t="shared" si="604"/>
        <v/>
      </c>
      <c r="AV58" s="289"/>
      <c r="AW58" s="275"/>
      <c r="AX58" s="290">
        <f ca="1">SUM(AX$59:AX$61)</f>
        <v>0</v>
      </c>
      <c r="AY58" s="291">
        <f t="shared" ca="1" si="1968"/>
        <v>0</v>
      </c>
      <c r="AZ58" s="292"/>
      <c r="BA58" s="275"/>
      <c r="BB58" s="290">
        <f ca="1">SUM(BB$59:BB$61)</f>
        <v>0</v>
      </c>
      <c r="BC58" s="293">
        <f ca="1">IFERROR(BB58/AT$4,0)</f>
        <v>0</v>
      </c>
      <c r="BD58" s="292"/>
      <c r="BE58" s="275"/>
      <c r="BF58" s="290">
        <f ca="1">SUM(BF$59:BF$61)</f>
        <v>0</v>
      </c>
      <c r="BG58" s="293">
        <f t="shared" ca="1" si="1974"/>
        <v>0</v>
      </c>
      <c r="BH58" s="275"/>
      <c r="BI58" s="275"/>
      <c r="BJ58" s="290">
        <f ca="1">SUM(BJ$59:BJ$61)</f>
        <v>0</v>
      </c>
      <c r="BK58" s="291">
        <f t="shared" ca="1" si="1976"/>
        <v>0</v>
      </c>
      <c r="BL58" s="295" t="str">
        <f t="shared" ca="1" si="34"/>
        <v/>
      </c>
      <c r="BM58" s="288"/>
      <c r="BN58" s="318" t="str">
        <f t="shared" si="618"/>
        <v/>
      </c>
      <c r="BO58" s="289"/>
      <c r="BP58" s="275"/>
      <c r="BQ58" s="290">
        <f ca="1">SUM(BQ$59:BQ$61)</f>
        <v>0</v>
      </c>
      <c r="BR58" s="291">
        <f t="shared" ca="1" si="1979"/>
        <v>0</v>
      </c>
      <c r="BS58" s="292"/>
      <c r="BT58" s="275"/>
      <c r="BU58" s="290">
        <f ca="1">SUM(BU$59:BU$61)</f>
        <v>0</v>
      </c>
      <c r="BV58" s="293">
        <f ca="1">IFERROR(BU58/BM$4,0)</f>
        <v>0</v>
      </c>
      <c r="BW58" s="292"/>
      <c r="BX58" s="275"/>
      <c r="BY58" s="290">
        <f ca="1">SUM(BY$59:BY$61)</f>
        <v>0</v>
      </c>
      <c r="BZ58" s="293">
        <f t="shared" ca="1" si="1985"/>
        <v>0</v>
      </c>
      <c r="CA58" s="275"/>
      <c r="CB58" s="275"/>
      <c r="CC58" s="290">
        <f ca="1">SUM(CC$59:CC$61)</f>
        <v>0</v>
      </c>
      <c r="CD58" s="291">
        <f t="shared" ca="1" si="1987"/>
        <v>0</v>
      </c>
      <c r="CE58" s="295" t="str">
        <f t="shared" ca="1" si="39"/>
        <v/>
      </c>
      <c r="CF58" s="288"/>
      <c r="CG58" s="318" t="str">
        <f t="shared" si="632"/>
        <v/>
      </c>
      <c r="CH58" s="289"/>
      <c r="CI58" s="275"/>
      <c r="CJ58" s="290">
        <f ca="1">SUM(CJ$59:CJ$61)</f>
        <v>0</v>
      </c>
      <c r="CK58" s="291">
        <f t="shared" ca="1" si="8"/>
        <v>0</v>
      </c>
      <c r="CL58" s="292"/>
      <c r="CM58" s="275"/>
      <c r="CN58" s="290">
        <f ca="1">SUM(CN$59:CN$61)</f>
        <v>0</v>
      </c>
      <c r="CO58" s="293">
        <f ca="1">IFERROR(CN58/CF$4,0)</f>
        <v>0</v>
      </c>
      <c r="CP58" s="292"/>
      <c r="CQ58" s="275"/>
      <c r="CR58" s="290">
        <f ca="1">SUM(CR$59:CR$61)</f>
        <v>0</v>
      </c>
      <c r="CS58" s="293">
        <f t="shared" ca="1" si="9"/>
        <v>0</v>
      </c>
      <c r="CT58" s="275"/>
      <c r="CU58" s="275"/>
      <c r="CV58" s="290">
        <f ca="1">SUM(CV$59:CV$61)</f>
        <v>0</v>
      </c>
      <c r="CW58" s="291">
        <f t="shared" ca="1" si="1996"/>
        <v>0</v>
      </c>
      <c r="CX58" s="295" t="str">
        <f t="shared" ca="1" si="47"/>
        <v/>
      </c>
      <c r="CY58" s="288"/>
      <c r="CZ58" s="318" t="str">
        <f t="shared" si="646"/>
        <v/>
      </c>
      <c r="DA58" s="275"/>
      <c r="DB58" s="290"/>
      <c r="DC58" s="290">
        <f ca="1">SUM(DC$59:DC$61)</f>
        <v>0</v>
      </c>
      <c r="DD58" s="291">
        <f t="shared" ca="1" si="10"/>
        <v>0</v>
      </c>
      <c r="DE58" s="292"/>
      <c r="DF58" s="275"/>
      <c r="DG58" s="290">
        <f ca="1">SUM(DG$59:DG$61)</f>
        <v>0</v>
      </c>
      <c r="DH58" s="293">
        <f ca="1">IFERROR(DG58/CY$4,0)</f>
        <v>0</v>
      </c>
      <c r="DI58" s="292"/>
      <c r="DJ58" s="275"/>
      <c r="DK58" s="290">
        <f ca="1">SUM(DK$59:DK$61)</f>
        <v>0</v>
      </c>
      <c r="DL58" s="293">
        <f t="shared" ca="1" si="11"/>
        <v>0</v>
      </c>
      <c r="DM58" s="275"/>
      <c r="DN58" s="275"/>
      <c r="DO58" s="290">
        <f ca="1">SUM(DO$59:DO$61)</f>
        <v>0</v>
      </c>
      <c r="DP58" s="291">
        <f t="shared" ca="1" si="1998"/>
        <v>0</v>
      </c>
      <c r="DQ58" s="294" t="str">
        <f t="shared" ca="1" si="55"/>
        <v/>
      </c>
      <c r="DR58" s="288"/>
      <c r="DS58" s="318" t="str">
        <f t="shared" si="554"/>
        <v/>
      </c>
      <c r="DT58" s="275"/>
      <c r="DU58" s="290"/>
      <c r="DV58" s="290">
        <f ca="1">SUM(DV$59:DV$61)</f>
        <v>0</v>
      </c>
      <c r="DW58" s="291">
        <f t="shared" ca="1" si="1645"/>
        <v>0</v>
      </c>
      <c r="DX58" s="292"/>
      <c r="DY58" s="275"/>
      <c r="DZ58" s="290">
        <f ca="1">SUM(DZ$59:DZ$61)</f>
        <v>0</v>
      </c>
      <c r="EA58" s="293">
        <f ca="1">IFERROR(DZ58/DR$4,0)</f>
        <v>0</v>
      </c>
      <c r="EB58" s="292"/>
      <c r="EC58" s="275"/>
      <c r="ED58" s="290">
        <f ca="1">SUM(ED$59:ED$61)</f>
        <v>0</v>
      </c>
      <c r="EE58" s="293">
        <f t="shared" ca="1" si="1651"/>
        <v>0</v>
      </c>
      <c r="EF58" s="275"/>
      <c r="EG58" s="275"/>
      <c r="EH58" s="290">
        <f ca="1">SUM(EH$59:EH$61)</f>
        <v>0</v>
      </c>
      <c r="EI58" s="291">
        <f t="shared" ca="1" si="1653"/>
        <v>0</v>
      </c>
      <c r="EJ58" s="288"/>
      <c r="EK58" s="318" t="str">
        <f t="shared" si="658"/>
        <v/>
      </c>
      <c r="EL58" s="296"/>
      <c r="EM58" s="275"/>
      <c r="EN58" s="290">
        <f ca="1">SUM(EN$59:EN$61)</f>
        <v>45144.707208736269</v>
      </c>
      <c r="EO58" s="291">
        <f t="shared" ca="1" si="2002"/>
        <v>6.3606651844330245E-2</v>
      </c>
      <c r="EP58" s="292"/>
      <c r="EQ58" s="275"/>
      <c r="ER58" s="290">
        <f ca="1">SUM(ER$59:ER$61)</f>
        <v>-45144.707208736269</v>
      </c>
      <c r="ES58" s="293">
        <f ca="1">IFERROR(ER58/EJ$4,0)</f>
        <v>-6.3606651844330245E-2</v>
      </c>
      <c r="ET58" s="292"/>
      <c r="EU58" s="275"/>
      <c r="EV58" s="290">
        <f ca="1">SUM(EV$59:EV$61)</f>
        <v>0</v>
      </c>
      <c r="EW58" s="293">
        <f t="shared" ca="1" si="2008"/>
        <v>0</v>
      </c>
      <c r="EX58" s="275"/>
      <c r="EY58" s="275"/>
      <c r="EZ58" s="290">
        <f ca="1">SUM(EZ$59:EZ$61)</f>
        <v>45144.707208736269</v>
      </c>
      <c r="FA58" s="291">
        <f t="shared" ca="1" si="2010"/>
        <v>6.3606651844330245E-2</v>
      </c>
      <c r="FB58" s="295" t="str">
        <f t="shared" ca="1" si="66"/>
        <v>V</v>
      </c>
      <c r="FC58" s="288"/>
      <c r="FD58" s="318" t="str">
        <f t="shared" si="672"/>
        <v/>
      </c>
      <c r="FE58" s="289"/>
      <c r="FF58" s="275"/>
      <c r="FG58" s="290">
        <f ca="1">SUM(FG$59:FG$61)</f>
        <v>0</v>
      </c>
      <c r="FH58" s="291">
        <f t="shared" ca="1" si="2013"/>
        <v>0</v>
      </c>
      <c r="FI58" s="292"/>
      <c r="FJ58" s="275"/>
      <c r="FK58" s="290">
        <f ca="1">SUM(FK$59:FK$61)</f>
        <v>0</v>
      </c>
      <c r="FL58" s="293">
        <f ca="1">IFERROR(FK58/FC$4,0)</f>
        <v>0</v>
      </c>
      <c r="FM58" s="292"/>
      <c r="FN58" s="275"/>
      <c r="FO58" s="290">
        <f ca="1">SUM(FO$59:FO$61)</f>
        <v>0</v>
      </c>
      <c r="FP58" s="293">
        <f t="shared" ca="1" si="2019"/>
        <v>0</v>
      </c>
      <c r="FQ58" s="275"/>
      <c r="FR58" s="275"/>
      <c r="FS58" s="290">
        <f ca="1">SUM(FS$59:FS$61)</f>
        <v>0</v>
      </c>
      <c r="FT58" s="291">
        <f t="shared" ca="1" si="2021"/>
        <v>0</v>
      </c>
      <c r="FU58" s="297"/>
    </row>
    <row r="59" spans="1:177" outlineLevel="2" x14ac:dyDescent="0.2">
      <c r="A59" s="298"/>
      <c r="B59" s="298"/>
      <c r="C59" s="299" t="str">
        <f t="shared" ref="C59:E61" ca="1" si="2022">OFFSET(Origine,MATCH($F59,Descrizioni,0),MATCH(C$15,Intestazioni,0)-1,1,1)</f>
        <v>XS1206541366:EUR:STU</v>
      </c>
      <c r="D59" s="300" t="str">
        <f t="shared" ca="1" si="2022"/>
        <v>XS1206541366</v>
      </c>
      <c r="E59" s="301" t="str">
        <f t="shared" ca="1" si="2022"/>
        <v>27574862</v>
      </c>
      <c r="F59" s="319" t="s">
        <v>740</v>
      </c>
      <c r="G59" s="320" t="str">
        <f t="shared" ca="1" si="488"/>
        <v/>
      </c>
      <c r="H59" s="1708" t="str">
        <f ca="1">IF(OFFSET(Origine,MATCH($F59,Descrizioni,0),MATCH(H$15,Intestazioni,0)-1,1,1)&lt;&gt;"",HYPERLINK(OFFSET(Origine,MATCH($F59,Descrizioni,0),MATCH(H$15,Intestazioni,0)-1,1,1),""),"")</f>
        <v></v>
      </c>
      <c r="I59" s="1680" t="str">
        <f ca="1">IF(OFFSET(Origine,MATCH($F59,Descrizioni,0),MATCH(I$15,Intestazioni,0)-1,1,1)&lt;&gt;"",HYPERLINK(OFFSET(Origine,MATCH($F59,Descrizioni,0),MATCH(I$15,Intestazioni,0)-1,1,1),"i"),"")</f>
        <v>i</v>
      </c>
      <c r="J59" s="1708" t="str">
        <f ca="1">IF(OFFSET(Origine,MATCH($F59,Descrizioni,0),MATCH(J$15,Intestazioni,0)-1,1,1)&lt;&gt;"",HYPERLINK(OFFSET(Origine,MATCH($F59,Descrizioni,0),MATCH(J$15,Intestazioni,0)-1,1,1),""),"")</f>
        <v/>
      </c>
      <c r="K59" s="1709" t="str">
        <f ca="1">IF(OFFSET(Origine,MATCH($F59,Descrizioni,0),MATCH(K$15,Intestazioni,0)-1,1,1)&lt;&gt;"",HYPERLINK(OFFSET(Origine,MATCH($F59,Descrizioni,0),MATCH(K$15,Intestazioni,0)-1,1,1),""),"")</f>
        <v></v>
      </c>
      <c r="L59" s="1710" t="str">
        <f ca="1">IF(OFFSET(Origine,MATCH($F59,Descrizioni,0),MATCH(L$15,Intestazioni,0)-1,1,1)&lt;&gt;"",HYPERLINK("https://www.zonebourse.com/mods_a/charts/TV/inc_dyna_graph.php?c="&amp;OFFSET(Origine,MATCH($F59,Descrizioni,0),MATCH(L$15,Intestazioni,0)-1,1,1)&amp;"&amp;style=TradingView.CANDLES&amp;showAT=1",""),"")</f>
        <v></v>
      </c>
      <c r="M59" s="298" t="str">
        <f ca="1">(OFFSET(Origine,MATCH($F59,Descrizioni,0),MATCH(M$15,Intestazioni,0)-1,1,1))</f>
        <v>Pct</v>
      </c>
      <c r="N59" s="305"/>
      <c r="O59" s="305"/>
      <c r="P59" s="306">
        <f t="shared" ca="1" si="1539"/>
        <v>0</v>
      </c>
      <c r="Q59" s="307">
        <f t="array" aca="1" ref="Q59" ca="1">SUM(IF($AA$15:$FT$15="I_pos",AA59:FT59))</f>
        <v>50000</v>
      </c>
      <c r="R59" s="307">
        <f t="array" aca="1" ref="R59" ca="1">SUM(IF($AA$15:$FT$15="P_Pos",AA59:FT59))</f>
        <v>-49999.999999999993</v>
      </c>
      <c r="S59" s="304"/>
      <c r="T59" s="307"/>
      <c r="U59" s="308">
        <f ca="1">OFFSET(Origine,MATCH($F59,Descrizioni,0),MATCH(U$15,Intestazioni,0)-1,1,1)</f>
        <v>-4.6171684127707001E-3</v>
      </c>
      <c r="V59" s="307">
        <f t="array" aca="1" ref="V59" ca="1">SUM(IF($AA$15:$FT$15="O_Pos",AA59:FT59))</f>
        <v>0</v>
      </c>
      <c r="W59" s="299" t="str">
        <f ca="1">OFFSET(Origine,MATCH($F59,Descrizioni,0),MATCH(W$15,Intestazioni,0)-1,1,1)</f>
        <v>EUR</v>
      </c>
      <c r="X59" s="309">
        <f ca="1">_xlfn.NUMBERVALUE(OFFSET(Origine,MATCH($F59,Descrizioni,0),MATCH(X$15,Intestazioni,0)-1,1,1))</f>
        <v>0.99486986301000002</v>
      </c>
      <c r="Y59" s="310">
        <f ca="1">_xlfn.NUMBERVALUE(OFFSET(Origine,MATCH($F59,Descrizioni,0),MATCH(Y$15,Intestazioni,0)-1,1,1))</f>
        <v>0</v>
      </c>
      <c r="Z59" s="311">
        <f ca="1">_xlfn.NUMBERVALUE(OFFSET(Origine,MATCH(W59&amp;"/"&amp;MRif,LUKB_Name,0),MATCH("Price",Intestazioni,0)-1,1,1))</f>
        <v>0.90754999999999997</v>
      </c>
      <c r="AA59" s="214"/>
      <c r="AB59" s="312" t="str">
        <f t="shared" ca="1" si="590"/>
        <v/>
      </c>
      <c r="AC59" s="215"/>
      <c r="AD59" s="199">
        <f ca="1">AA59*$X59</f>
        <v>0</v>
      </c>
      <c r="AE59" s="199">
        <f ca="1">AD59*$Z59</f>
        <v>0</v>
      </c>
      <c r="AF59" s="216">
        <f t="shared" ref="AF59" ca="1" si="2023">IFERROR(AE59/AA$4,0)</f>
        <v>0</v>
      </c>
      <c r="AG59" s="202">
        <f ca="1">AH59/$X59</f>
        <v>0</v>
      </c>
      <c r="AH59" s="203">
        <f ca="1">AI59/$Z59</f>
        <v>0</v>
      </c>
      <c r="AI59" s="203">
        <f t="shared" ref="AI59" ca="1" si="2024">AJ59*AA$4</f>
        <v>0</v>
      </c>
      <c r="AJ59" s="204">
        <f ca="1">IF(AA$6&lt;&gt;"",$O59,$N59)-AF59</f>
        <v>0</v>
      </c>
      <c r="AK59" s="205"/>
      <c r="AL59" s="206">
        <f ca="1">AK59*$X59</f>
        <v>0</v>
      </c>
      <c r="AM59" s="206">
        <f ca="1">AL59*$Z59</f>
        <v>0</v>
      </c>
      <c r="AN59" s="207">
        <f t="shared" ref="AN59" ca="1" si="2025">IFERROR(AM59/AA$4,0)</f>
        <v>0</v>
      </c>
      <c r="AO59" s="313">
        <f>AA59+AK59</f>
        <v>0</v>
      </c>
      <c r="AP59" s="313">
        <f t="shared" ca="1" si="601"/>
        <v>0</v>
      </c>
      <c r="AQ59" s="313">
        <f ca="1">AP59*$Z59</f>
        <v>0</v>
      </c>
      <c r="AR59" s="314">
        <f t="shared" ref="AR59" ca="1" si="2026">IFERROR(AQ59/AA$4,0)</f>
        <v>0</v>
      </c>
      <c r="AS59" s="315" t="str">
        <f ca="1">IF(SUM(AF59,AN59,AR59)&lt;&gt;0,"V","")</f>
        <v/>
      </c>
      <c r="AT59" s="214"/>
      <c r="AU59" s="312" t="str">
        <f t="shared" ca="1" si="604"/>
        <v/>
      </c>
      <c r="AV59" s="215"/>
      <c r="AW59" s="199">
        <f ca="1">AT59*$X59</f>
        <v>0</v>
      </c>
      <c r="AX59" s="199">
        <f ca="1">AW59*$Z59</f>
        <v>0</v>
      </c>
      <c r="AY59" s="216">
        <f t="shared" ref="AY59" ca="1" si="2027">IFERROR(AX59/AT$4,0)</f>
        <v>0</v>
      </c>
      <c r="AZ59" s="202">
        <f ca="1">BA59/$X59</f>
        <v>0</v>
      </c>
      <c r="BA59" s="203">
        <f ca="1">BB59/$Z59</f>
        <v>0</v>
      </c>
      <c r="BB59" s="203">
        <f t="shared" ref="BB59" ca="1" si="2028">BC59*AT$4</f>
        <v>0</v>
      </c>
      <c r="BC59" s="204">
        <f ca="1">IF(AT$6&lt;&gt;"",$O59,$N59)-AY59</f>
        <v>0</v>
      </c>
      <c r="BD59" s="205"/>
      <c r="BE59" s="206">
        <f ca="1">BD59*$X59</f>
        <v>0</v>
      </c>
      <c r="BF59" s="206">
        <f ca="1">BE59*$Z59</f>
        <v>0</v>
      </c>
      <c r="BG59" s="207">
        <f t="shared" ref="BG59" ca="1" si="2029">IFERROR(BF59/AT$4,0)</f>
        <v>0</v>
      </c>
      <c r="BH59" s="313">
        <f>AT59+BD59</f>
        <v>0</v>
      </c>
      <c r="BI59" s="313">
        <f t="shared" ca="1" si="615"/>
        <v>0</v>
      </c>
      <c r="BJ59" s="313">
        <f ca="1">BI59*$Z59</f>
        <v>0</v>
      </c>
      <c r="BK59" s="314">
        <f t="shared" ref="BK59" ca="1" si="2030">IFERROR(BJ59/AT$4,0)</f>
        <v>0</v>
      </c>
      <c r="BL59" s="211" t="str">
        <f ca="1">IF(SUM(AY59,BG59,BK59)&lt;&gt;0,"V","")</f>
        <v/>
      </c>
      <c r="BM59" s="214"/>
      <c r="BN59" s="312" t="str">
        <f t="shared" ca="1" si="618"/>
        <v/>
      </c>
      <c r="BO59" s="215"/>
      <c r="BP59" s="199">
        <f ca="1">BM59*$X59</f>
        <v>0</v>
      </c>
      <c r="BQ59" s="199">
        <f ca="1">BP59*$Z59</f>
        <v>0</v>
      </c>
      <c r="BR59" s="216">
        <f t="shared" ref="BR59" ca="1" si="2031">IFERROR(BQ59/BM$4,0)</f>
        <v>0</v>
      </c>
      <c r="BS59" s="202">
        <f ca="1">BT59/$X59</f>
        <v>0</v>
      </c>
      <c r="BT59" s="203">
        <f ca="1">BU59/$Z59</f>
        <v>0</v>
      </c>
      <c r="BU59" s="203">
        <f t="shared" ref="BU59" ca="1" si="2032">BV59*BM$4</f>
        <v>0</v>
      </c>
      <c r="BV59" s="204">
        <f ca="1">IF(BM$6&lt;&gt;"",$O59,$N59)-BR59</f>
        <v>0</v>
      </c>
      <c r="BW59" s="205"/>
      <c r="BX59" s="206">
        <f ca="1">BW59*$X59</f>
        <v>0</v>
      </c>
      <c r="BY59" s="206">
        <f ca="1">BX59*$Z59</f>
        <v>0</v>
      </c>
      <c r="BZ59" s="207">
        <f t="shared" ref="BZ59" ca="1" si="2033">IFERROR(BY59/BM$4,0)</f>
        <v>0</v>
      </c>
      <c r="CA59" s="313">
        <f>BM59+BW59</f>
        <v>0</v>
      </c>
      <c r="CB59" s="313">
        <f t="shared" ca="1" si="629"/>
        <v>0</v>
      </c>
      <c r="CC59" s="313">
        <f ca="1">CB59*$Z59</f>
        <v>0</v>
      </c>
      <c r="CD59" s="314">
        <f t="shared" ref="CD59" ca="1" si="2034">IFERROR(CC59/BM$4,0)</f>
        <v>0</v>
      </c>
      <c r="CE59" s="211" t="str">
        <f ca="1">IF(SUM(BR59,BZ59,CD59)&lt;&gt;0,"V","")</f>
        <v/>
      </c>
      <c r="CF59" s="214"/>
      <c r="CG59" s="312" t="str">
        <f t="shared" ca="1" si="632"/>
        <v/>
      </c>
      <c r="CH59" s="215"/>
      <c r="CI59" s="199">
        <f ca="1">CF59*$X59</f>
        <v>0</v>
      </c>
      <c r="CJ59" s="199">
        <f ca="1">CI59*$Z59</f>
        <v>0</v>
      </c>
      <c r="CK59" s="216">
        <f ca="1">IFERROR(CJ59/CF$4,0)</f>
        <v>0</v>
      </c>
      <c r="CL59" s="202">
        <f ca="1">CM59/$X59</f>
        <v>0</v>
      </c>
      <c r="CM59" s="203">
        <f ca="1">CN59/$Z59</f>
        <v>0</v>
      </c>
      <c r="CN59" s="203">
        <f ca="1">CO59*CF$4</f>
        <v>0</v>
      </c>
      <c r="CO59" s="204">
        <f ca="1">IF(CF$6&lt;&gt;"",$O59,$N59)-CK59</f>
        <v>0</v>
      </c>
      <c r="CP59" s="205"/>
      <c r="CQ59" s="206">
        <f ca="1">CP59*$X59</f>
        <v>0</v>
      </c>
      <c r="CR59" s="206">
        <f ca="1">CQ59*$Z59</f>
        <v>0</v>
      </c>
      <c r="CS59" s="207">
        <f ca="1">IFERROR(CR59/CF$4,0)</f>
        <v>0</v>
      </c>
      <c r="CT59" s="313">
        <f>CF59+CP59</f>
        <v>0</v>
      </c>
      <c r="CU59" s="313">
        <f t="shared" ca="1" si="643"/>
        <v>0</v>
      </c>
      <c r="CV59" s="313">
        <f ca="1">CU59*$Z59</f>
        <v>0</v>
      </c>
      <c r="CW59" s="314">
        <f ca="1">IFERROR(CV59/CF$4,0)</f>
        <v>0</v>
      </c>
      <c r="CX59" s="211" t="str">
        <f ca="1">IF(SUM(CK59,CS59,CW59)&lt;&gt;0,"V","")</f>
        <v/>
      </c>
      <c r="CY59" s="197"/>
      <c r="CZ59" s="312" t="str">
        <f t="shared" ca="1" si="646"/>
        <v/>
      </c>
      <c r="DA59" s="199"/>
      <c r="DB59" s="199">
        <f t="shared" ref="DB59:DB76" ca="1" si="2035">CY59*$X59</f>
        <v>0</v>
      </c>
      <c r="DC59" s="199">
        <f t="shared" ref="DC59:DC76" ca="1" si="2036">DB59*$Z59</f>
        <v>0</v>
      </c>
      <c r="DD59" s="216">
        <f t="shared" ref="DD59" ca="1" si="2037">IFERROR(DC59/CY$4,0)</f>
        <v>0</v>
      </c>
      <c r="DE59" s="202">
        <f t="shared" ref="DE59:DE76" ca="1" si="2038">DF59/$X59</f>
        <v>0</v>
      </c>
      <c r="DF59" s="203">
        <f t="shared" ref="DF59:DF76" ca="1" si="2039">DG59/$Z59</f>
        <v>0</v>
      </c>
      <c r="DG59" s="203">
        <f t="shared" ref="DG59" ca="1" si="2040">DH59*CY$4</f>
        <v>0</v>
      </c>
      <c r="DH59" s="204">
        <f ca="1">IF(CY$6&lt;&gt;"",$O59,$N59)-DD59</f>
        <v>0</v>
      </c>
      <c r="DI59" s="205"/>
      <c r="DJ59" s="206">
        <f t="shared" ref="DJ59:DJ76" ca="1" si="2041">DI59*$X59</f>
        <v>0</v>
      </c>
      <c r="DK59" s="206">
        <f t="shared" ref="DK59:DK76" ca="1" si="2042">DJ59*$Z59</f>
        <v>0</v>
      </c>
      <c r="DL59" s="207">
        <f t="shared" ref="DL59" ca="1" si="2043">IFERROR(DK59/CY$4,0)</f>
        <v>0</v>
      </c>
      <c r="DM59" s="313">
        <f>CY59+DI59</f>
        <v>0</v>
      </c>
      <c r="DN59" s="313">
        <f t="shared" ca="1" si="655"/>
        <v>0</v>
      </c>
      <c r="DO59" s="313">
        <f ca="1">DN59*$Z59</f>
        <v>0</v>
      </c>
      <c r="DP59" s="314">
        <f ca="1">IFERROR(DO59/CY$4,0)</f>
        <v>0</v>
      </c>
      <c r="DQ59" s="315" t="str">
        <f ca="1">IF(SUM(DD59,DL59,DP59)&lt;&gt;0,"V","")</f>
        <v/>
      </c>
      <c r="DR59" s="197"/>
      <c r="DS59" s="312" t="str">
        <f t="shared" ca="1" si="554"/>
        <v/>
      </c>
      <c r="DT59" s="199"/>
      <c r="DU59" s="199">
        <f t="shared" ref="DU59:DU61" ca="1" si="2044">DR59*$X59</f>
        <v>0</v>
      </c>
      <c r="DV59" s="199">
        <f t="shared" ref="DV59:DV61" ca="1" si="2045">DU59*$Z59</f>
        <v>0</v>
      </c>
      <c r="DW59" s="216">
        <f t="shared" ca="1" si="1645"/>
        <v>0</v>
      </c>
      <c r="DX59" s="202">
        <f t="shared" ref="DX59:DX61" ca="1" si="2046">DY59/$X59</f>
        <v>0</v>
      </c>
      <c r="DY59" s="203">
        <f t="shared" ref="DY59:DY61" ca="1" si="2047">DZ59/$Z59</f>
        <v>0</v>
      </c>
      <c r="DZ59" s="203">
        <f t="shared" ref="DZ59:DZ61" ca="1" si="2048">EA59*DR$4</f>
        <v>0</v>
      </c>
      <c r="EA59" s="204">
        <f ca="1">IF(DR$6&lt;&gt;"",$O59,$N59)-DW59</f>
        <v>0</v>
      </c>
      <c r="EB59" s="205"/>
      <c r="EC59" s="206">
        <f t="shared" ref="EC59:EC61" ca="1" si="2049">EB59*$X59</f>
        <v>0</v>
      </c>
      <c r="ED59" s="206">
        <f t="shared" ref="ED59:ED61" ca="1" si="2050">EC59*$Z59</f>
        <v>0</v>
      </c>
      <c r="EE59" s="207">
        <f t="shared" ca="1" si="1651"/>
        <v>0</v>
      </c>
      <c r="EF59" s="313">
        <f>DR59+EB59</f>
        <v>0</v>
      </c>
      <c r="EG59" s="313">
        <f t="shared" ref="EG59:EG61" ca="1" si="2051">DU59+IF($T59 ="",EC59,0)</f>
        <v>0</v>
      </c>
      <c r="EH59" s="313">
        <f ca="1">EG59*$Z59</f>
        <v>0</v>
      </c>
      <c r="EI59" s="314">
        <f ca="1">IFERROR(EH59/DR$4,0)</f>
        <v>0</v>
      </c>
      <c r="EJ59" s="214">
        <v>50000</v>
      </c>
      <c r="EK59" s="312">
        <f t="shared" ca="1" si="658"/>
        <v>0.21325593050000013</v>
      </c>
      <c r="EL59" s="252">
        <v>0.82</v>
      </c>
      <c r="EM59" s="199">
        <f ca="1">EJ59*$X59</f>
        <v>49743.493150499999</v>
      </c>
      <c r="EN59" s="199">
        <f ca="1">EM59*$Z59</f>
        <v>45144.707208736269</v>
      </c>
      <c r="EO59" s="216">
        <f t="shared" ref="EO59" ca="1" si="2052">IFERROR(EN59/EJ$4,0)</f>
        <v>6.3606651844330245E-2</v>
      </c>
      <c r="EP59" s="202">
        <f ca="1">EQ59/$X59</f>
        <v>-49999.999999999993</v>
      </c>
      <c r="EQ59" s="203">
        <f ca="1">ER59/$Z59</f>
        <v>-49743.493150499991</v>
      </c>
      <c r="ER59" s="203">
        <f t="shared" ref="ER59" ca="1" si="2053">ES59*EJ$4</f>
        <v>-45144.707208736269</v>
      </c>
      <c r="ES59" s="204">
        <f ca="1">IF(EJ$6&lt;&gt;"",$O59,$N59)-EO59</f>
        <v>-6.3606651844330245E-2</v>
      </c>
      <c r="ET59" s="205"/>
      <c r="EU59" s="206">
        <f ca="1">ET59*$X59</f>
        <v>0</v>
      </c>
      <c r="EV59" s="206">
        <f ca="1">EU59*$Z59</f>
        <v>0</v>
      </c>
      <c r="EW59" s="207">
        <f t="shared" ref="EW59" ca="1" si="2054">IFERROR(EV59/EJ$4,0)</f>
        <v>0</v>
      </c>
      <c r="EX59" s="313">
        <f>EJ59+ET59</f>
        <v>50000</v>
      </c>
      <c r="EY59" s="313">
        <f t="shared" ca="1" si="669"/>
        <v>49743.493150499999</v>
      </c>
      <c r="EZ59" s="313">
        <f ca="1">EY59*$Z59</f>
        <v>45144.707208736269</v>
      </c>
      <c r="FA59" s="314">
        <f t="shared" ref="FA59" ca="1" si="2055">IFERROR(EZ59/EJ$4,0)</f>
        <v>6.3606651844330245E-2</v>
      </c>
      <c r="FB59" s="211" t="str">
        <f ca="1">IF(SUM(EO59,EW59,FA59)&lt;&gt;0,"V","")</f>
        <v>V</v>
      </c>
      <c r="FC59" s="214"/>
      <c r="FD59" s="312" t="str">
        <f t="shared" ca="1" si="672"/>
        <v/>
      </c>
      <c r="FE59" s="215"/>
      <c r="FF59" s="199">
        <f ca="1">FC59*$X59</f>
        <v>0</v>
      </c>
      <c r="FG59" s="199">
        <f ca="1">FF59*$Z59</f>
        <v>0</v>
      </c>
      <c r="FH59" s="216">
        <f t="shared" ref="FH59" ca="1" si="2056">IFERROR(FG59/FC$4,0)</f>
        <v>0</v>
      </c>
      <c r="FI59" s="202">
        <f ca="1">FJ59/$X59</f>
        <v>0</v>
      </c>
      <c r="FJ59" s="203">
        <f ca="1">FK59/$Z59</f>
        <v>0</v>
      </c>
      <c r="FK59" s="203">
        <f t="shared" ref="FK59" ca="1" si="2057">FL59*FC$4</f>
        <v>0</v>
      </c>
      <c r="FL59" s="204">
        <f ca="1">IF(FC$6&lt;&gt;"",$O59,$N59)-FH59</f>
        <v>0</v>
      </c>
      <c r="FM59" s="205"/>
      <c r="FN59" s="206">
        <f ca="1">FM59*$X59</f>
        <v>0</v>
      </c>
      <c r="FO59" s="206">
        <f ca="1">FN59*$Z59</f>
        <v>0</v>
      </c>
      <c r="FP59" s="207">
        <f t="shared" ref="FP59" ca="1" si="2058">IFERROR(FO59/FC$4,0)</f>
        <v>0</v>
      </c>
      <c r="FQ59" s="313">
        <f>FC59+FM59</f>
        <v>0</v>
      </c>
      <c r="FR59" s="313">
        <f t="shared" ca="1" si="683"/>
        <v>0</v>
      </c>
      <c r="FS59" s="313">
        <f ca="1">FR59*$Z59</f>
        <v>0</v>
      </c>
      <c r="FT59" s="314">
        <f t="shared" ref="FT59" ca="1" si="2059">IFERROR(FS59/FC$4,0)</f>
        <v>0</v>
      </c>
      <c r="FU59" s="315" t="str">
        <f ca="1">IF(SUM(FH59,FP59,FT59)&lt;&gt;0,"V","")</f>
        <v/>
      </c>
    </row>
    <row r="60" spans="1:177" outlineLevel="2" x14ac:dyDescent="0.2">
      <c r="A60" s="298"/>
      <c r="B60" s="298"/>
      <c r="C60" s="299" t="str">
        <f t="shared" ca="1" si="2022"/>
        <v>LU1287023342:EUR</v>
      </c>
      <c r="D60" s="300" t="str">
        <f t="shared" ca="1" si="2022"/>
        <v>LU1287023342</v>
      </c>
      <c r="E60" s="301" t="str">
        <f t="shared" ca="1" si="2022"/>
        <v>31879455</v>
      </c>
      <c r="F60" s="299" t="s">
        <v>742</v>
      </c>
      <c r="G60" s="316" t="str">
        <f t="shared" ref="G60:G61" ca="1" si="2060">OFFSET(Origine,MATCH($F60,Descrizioni,0),MATCH(G$15,Intestazioni,0)-1,1,1)</f>
        <v/>
      </c>
      <c r="H60" s="1708" t="str">
        <f ca="1">IF(OFFSET(Origine,MATCH($F60,Descrizioni,0),MATCH(H$15,Intestazioni,0)-1,1,1)&lt;&gt;"",HYPERLINK(OFFSET(Origine,MATCH($F60,Descrizioni,0),MATCH(H$15,Intestazioni,0)-1,1,1),""),"")</f>
        <v></v>
      </c>
      <c r="I60" s="1680" t="str">
        <f t="shared" ca="1" si="490"/>
        <v/>
      </c>
      <c r="J60" s="1708" t="str">
        <f t="shared" ca="1" si="1069"/>
        <v/>
      </c>
      <c r="K60" s="1709" t="str">
        <f t="shared" ca="1" si="1069"/>
        <v/>
      </c>
      <c r="L60" s="1710" t="str">
        <f t="shared" ca="1" si="1927"/>
        <v/>
      </c>
      <c r="M60" s="298" t="str">
        <f ca="1">(OFFSET(Origine,MATCH($F60,Descrizioni,0),MATCH(M$15,Intestazioni,0)-1,1,1))</f>
        <v>Unit</v>
      </c>
      <c r="N60" s="321"/>
      <c r="O60" s="321"/>
      <c r="P60" s="322">
        <f t="shared" ca="1" si="1539"/>
        <v>0</v>
      </c>
      <c r="Q60" s="307">
        <f t="array" aca="1" ref="Q60" ca="1">SUM(IF($AA$15:$FT$15="I_pos",AA60:FT60))</f>
        <v>0</v>
      </c>
      <c r="R60" s="307">
        <f t="array" aca="1" ref="R60" ca="1">SUM(IF($AA$15:$FT$15="P_Pos",AA60:FT60))</f>
        <v>0</v>
      </c>
      <c r="S60" s="304"/>
      <c r="T60" s="307"/>
      <c r="U60" s="308"/>
      <c r="V60" s="307">
        <f t="array" aca="1" ref="V60" ca="1">SUM(IF($AA$15:$FT$15="O_Pos",AA60:FT60))</f>
        <v>0</v>
      </c>
      <c r="W60" s="299" t="str">
        <f t="shared" ref="W60" ca="1" si="2061">OFFSET(Origine,MATCH($F60,Descrizioni,0),MATCH(W$15,Intestazioni,0)-1,1,1)</f>
        <v>EUR</v>
      </c>
      <c r="X60" s="309">
        <f t="shared" ca="1" si="496"/>
        <v>127.56</v>
      </c>
      <c r="Y60" s="310">
        <f t="shared" ca="1" si="496"/>
        <v>0</v>
      </c>
      <c r="Z60" s="311">
        <f ca="1">_xlfn.NUMBERVALUE(OFFSET(Origine,MATCH(W60&amp;"/"&amp;MRif,LUKB_Name,0),MATCH("Price",Intestazioni,0)-1,1,1))</f>
        <v>0.90754999999999997</v>
      </c>
      <c r="AA60" s="214"/>
      <c r="AB60" s="312" t="str">
        <f t="shared" ca="1" si="590"/>
        <v/>
      </c>
      <c r="AC60" s="215"/>
      <c r="AD60" s="199">
        <f t="shared" ca="1" si="1955"/>
        <v>0</v>
      </c>
      <c r="AE60" s="199">
        <f t="shared" ca="1" si="1956"/>
        <v>0</v>
      </c>
      <c r="AF60" s="216">
        <f t="shared" ca="1" si="1957"/>
        <v>0</v>
      </c>
      <c r="AG60" s="202">
        <f t="shared" ca="1" si="1958"/>
        <v>0</v>
      </c>
      <c r="AH60" s="203">
        <f t="shared" ca="1" si="1959"/>
        <v>0</v>
      </c>
      <c r="AI60" s="203">
        <f t="shared" ca="1" si="1960"/>
        <v>0</v>
      </c>
      <c r="AJ60" s="204">
        <f ca="1">IF(AA$6&lt;&gt;"",$O60,$N60)-AF60</f>
        <v>0</v>
      </c>
      <c r="AK60" s="205"/>
      <c r="AL60" s="206">
        <f t="shared" ca="1" si="1961"/>
        <v>0</v>
      </c>
      <c r="AM60" s="206">
        <f t="shared" ca="1" si="1962"/>
        <v>0</v>
      </c>
      <c r="AN60" s="207">
        <f t="shared" ca="1" si="1963"/>
        <v>0</v>
      </c>
      <c r="AO60" s="313">
        <f>AA60+AK60</f>
        <v>0</v>
      </c>
      <c r="AP60" s="313">
        <f t="shared" ca="1" si="601"/>
        <v>0</v>
      </c>
      <c r="AQ60" s="313">
        <f t="shared" ca="1" si="1964"/>
        <v>0</v>
      </c>
      <c r="AR60" s="314">
        <f t="shared" ca="1" si="1965"/>
        <v>0</v>
      </c>
      <c r="AS60" s="315" t="str">
        <f t="shared" ca="1" si="29"/>
        <v/>
      </c>
      <c r="AT60" s="214"/>
      <c r="AU60" s="312" t="str">
        <f t="shared" ca="1" si="604"/>
        <v/>
      </c>
      <c r="AV60" s="215"/>
      <c r="AW60" s="199">
        <f t="shared" ca="1" si="1966"/>
        <v>0</v>
      </c>
      <c r="AX60" s="199">
        <f t="shared" ca="1" si="1967"/>
        <v>0</v>
      </c>
      <c r="AY60" s="216">
        <f t="shared" ca="1" si="1968"/>
        <v>0</v>
      </c>
      <c r="AZ60" s="202">
        <f t="shared" ca="1" si="1969"/>
        <v>0</v>
      </c>
      <c r="BA60" s="203">
        <f t="shared" ca="1" si="1970"/>
        <v>0</v>
      </c>
      <c r="BB60" s="203">
        <f t="shared" ca="1" si="1971"/>
        <v>0</v>
      </c>
      <c r="BC60" s="204">
        <f ca="1">IF(AT$6&lt;&gt;"",$O60,$N60)-AY60</f>
        <v>0</v>
      </c>
      <c r="BD60" s="205"/>
      <c r="BE60" s="206">
        <f t="shared" ca="1" si="1972"/>
        <v>0</v>
      </c>
      <c r="BF60" s="206">
        <f t="shared" ca="1" si="1973"/>
        <v>0</v>
      </c>
      <c r="BG60" s="207">
        <f t="shared" ca="1" si="1974"/>
        <v>0</v>
      </c>
      <c r="BH60" s="313">
        <f>AT60+BD60</f>
        <v>0</v>
      </c>
      <c r="BI60" s="313">
        <f t="shared" ca="1" si="615"/>
        <v>0</v>
      </c>
      <c r="BJ60" s="313">
        <f t="shared" ca="1" si="1975"/>
        <v>0</v>
      </c>
      <c r="BK60" s="314">
        <f t="shared" ca="1" si="1976"/>
        <v>0</v>
      </c>
      <c r="BL60" s="211" t="str">
        <f t="shared" ca="1" si="34"/>
        <v/>
      </c>
      <c r="BM60" s="214"/>
      <c r="BN60" s="312" t="str">
        <f t="shared" ca="1" si="618"/>
        <v/>
      </c>
      <c r="BO60" s="215"/>
      <c r="BP60" s="199">
        <f t="shared" ca="1" si="1977"/>
        <v>0</v>
      </c>
      <c r="BQ60" s="199">
        <f t="shared" ca="1" si="1978"/>
        <v>0</v>
      </c>
      <c r="BR60" s="216">
        <f t="shared" ca="1" si="1979"/>
        <v>0</v>
      </c>
      <c r="BS60" s="202">
        <f t="shared" ca="1" si="1980"/>
        <v>0</v>
      </c>
      <c r="BT60" s="203">
        <f t="shared" ca="1" si="1981"/>
        <v>0</v>
      </c>
      <c r="BU60" s="203">
        <f t="shared" ca="1" si="1982"/>
        <v>0</v>
      </c>
      <c r="BV60" s="204">
        <f ca="1">IF(BM$6&lt;&gt;"",$O60,$N60)-BR60</f>
        <v>0</v>
      </c>
      <c r="BW60" s="205"/>
      <c r="BX60" s="206">
        <f t="shared" ca="1" si="1983"/>
        <v>0</v>
      </c>
      <c r="BY60" s="206">
        <f t="shared" ca="1" si="1984"/>
        <v>0</v>
      </c>
      <c r="BZ60" s="207">
        <f t="shared" ca="1" si="1985"/>
        <v>0</v>
      </c>
      <c r="CA60" s="313">
        <f>BM60+BW60</f>
        <v>0</v>
      </c>
      <c r="CB60" s="313">
        <f t="shared" ca="1" si="629"/>
        <v>0</v>
      </c>
      <c r="CC60" s="313">
        <f t="shared" ca="1" si="1986"/>
        <v>0</v>
      </c>
      <c r="CD60" s="314">
        <f t="shared" ca="1" si="1987"/>
        <v>0</v>
      </c>
      <c r="CE60" s="211" t="str">
        <f t="shared" ca="1" si="39"/>
        <v/>
      </c>
      <c r="CF60" s="214"/>
      <c r="CG60" s="312" t="str">
        <f t="shared" ca="1" si="632"/>
        <v/>
      </c>
      <c r="CH60" s="215"/>
      <c r="CI60" s="199">
        <f t="shared" ca="1" si="1988"/>
        <v>0</v>
      </c>
      <c r="CJ60" s="199">
        <f t="shared" ca="1" si="1989"/>
        <v>0</v>
      </c>
      <c r="CK60" s="216">
        <f t="shared" ca="1" si="8"/>
        <v>0</v>
      </c>
      <c r="CL60" s="202">
        <f t="shared" ca="1" si="1990"/>
        <v>0</v>
      </c>
      <c r="CM60" s="203">
        <f t="shared" ca="1" si="1991"/>
        <v>0</v>
      </c>
      <c r="CN60" s="203">
        <f t="shared" ca="1" si="1992"/>
        <v>0</v>
      </c>
      <c r="CO60" s="204">
        <f ca="1">IF(CF$6&lt;&gt;"",$O60,$N60)-CK60</f>
        <v>0</v>
      </c>
      <c r="CP60" s="205"/>
      <c r="CQ60" s="206">
        <f t="shared" ca="1" si="1993"/>
        <v>0</v>
      </c>
      <c r="CR60" s="206">
        <f t="shared" ca="1" si="1994"/>
        <v>0</v>
      </c>
      <c r="CS60" s="207">
        <f t="shared" ca="1" si="9"/>
        <v>0</v>
      </c>
      <c r="CT60" s="313">
        <f>CF60+CP60</f>
        <v>0</v>
      </c>
      <c r="CU60" s="313">
        <f t="shared" ca="1" si="643"/>
        <v>0</v>
      </c>
      <c r="CV60" s="313">
        <f t="shared" ca="1" si="1995"/>
        <v>0</v>
      </c>
      <c r="CW60" s="314">
        <f t="shared" ca="1" si="1996"/>
        <v>0</v>
      </c>
      <c r="CX60" s="211" t="str">
        <f t="shared" ca="1" si="47"/>
        <v/>
      </c>
      <c r="CY60" s="197"/>
      <c r="CZ60" s="312" t="str">
        <f t="shared" ca="1" si="646"/>
        <v/>
      </c>
      <c r="DA60" s="199"/>
      <c r="DB60" s="199">
        <f t="shared" ca="1" si="2035"/>
        <v>0</v>
      </c>
      <c r="DC60" s="199">
        <f t="shared" ca="1" si="2036"/>
        <v>0</v>
      </c>
      <c r="DD60" s="216">
        <f t="shared" ca="1" si="10"/>
        <v>0</v>
      </c>
      <c r="DE60" s="202">
        <f t="shared" ca="1" si="2038"/>
        <v>0</v>
      </c>
      <c r="DF60" s="203">
        <f t="shared" ca="1" si="2039"/>
        <v>0</v>
      </c>
      <c r="DG60" s="203">
        <f t="shared" ref="DG60:DG76" ca="1" si="2062">DH60*CY$4</f>
        <v>0</v>
      </c>
      <c r="DH60" s="204">
        <f ca="1">IF(CY$6&lt;&gt;"",$O60,$N60)-DD60</f>
        <v>0</v>
      </c>
      <c r="DI60" s="205"/>
      <c r="DJ60" s="206">
        <f t="shared" ca="1" si="2041"/>
        <v>0</v>
      </c>
      <c r="DK60" s="206">
        <f t="shared" ca="1" si="2042"/>
        <v>0</v>
      </c>
      <c r="DL60" s="207">
        <f t="shared" ca="1" si="11"/>
        <v>0</v>
      </c>
      <c r="DM60" s="313">
        <f>CY60+DI60</f>
        <v>0</v>
      </c>
      <c r="DN60" s="313">
        <f t="shared" ca="1" si="655"/>
        <v>0</v>
      </c>
      <c r="DO60" s="313">
        <f t="shared" ref="DO60" ca="1" si="2063">DN60*$Z60</f>
        <v>0</v>
      </c>
      <c r="DP60" s="314">
        <f t="shared" ref="DP60:DP63" ca="1" si="2064">IFERROR(DO60/CY$4,0)</f>
        <v>0</v>
      </c>
      <c r="DQ60" s="315" t="str">
        <f t="shared" ca="1" si="55"/>
        <v/>
      </c>
      <c r="DR60" s="197"/>
      <c r="DS60" s="312" t="str">
        <f t="shared" ca="1" si="554"/>
        <v/>
      </c>
      <c r="DT60" s="199"/>
      <c r="DU60" s="199">
        <f t="shared" ca="1" si="2044"/>
        <v>0</v>
      </c>
      <c r="DV60" s="199">
        <f t="shared" ca="1" si="2045"/>
        <v>0</v>
      </c>
      <c r="DW60" s="216">
        <f t="shared" ca="1" si="1645"/>
        <v>0</v>
      </c>
      <c r="DX60" s="202">
        <f t="shared" ca="1" si="2046"/>
        <v>0</v>
      </c>
      <c r="DY60" s="203">
        <f t="shared" ca="1" si="2047"/>
        <v>0</v>
      </c>
      <c r="DZ60" s="203">
        <f t="shared" ca="1" si="2048"/>
        <v>0</v>
      </c>
      <c r="EA60" s="204">
        <f ca="1">IF(DR$6&lt;&gt;"",$O60,$N60)-DW60</f>
        <v>0</v>
      </c>
      <c r="EB60" s="205"/>
      <c r="EC60" s="206">
        <f t="shared" ca="1" si="2049"/>
        <v>0</v>
      </c>
      <c r="ED60" s="206">
        <f t="shared" ca="1" si="2050"/>
        <v>0</v>
      </c>
      <c r="EE60" s="207">
        <f t="shared" ca="1" si="1651"/>
        <v>0</v>
      </c>
      <c r="EF60" s="313">
        <f>DR60+EB60</f>
        <v>0</v>
      </c>
      <c r="EG60" s="313">
        <f t="shared" ca="1" si="2051"/>
        <v>0</v>
      </c>
      <c r="EH60" s="313">
        <f t="shared" ref="EH60:EH61" ca="1" si="2065">EG60*$Z60</f>
        <v>0</v>
      </c>
      <c r="EI60" s="314">
        <f t="shared" ref="EI60:EI62" ca="1" si="2066">IFERROR(EH60/DR$4,0)</f>
        <v>0</v>
      </c>
      <c r="EJ60" s="214"/>
      <c r="EK60" s="312" t="str">
        <f t="shared" ca="1" si="658"/>
        <v/>
      </c>
      <c r="EL60" s="222"/>
      <c r="EM60" s="199">
        <f t="shared" ca="1" si="2000"/>
        <v>0</v>
      </c>
      <c r="EN60" s="199">
        <f t="shared" ca="1" si="2001"/>
        <v>0</v>
      </c>
      <c r="EO60" s="216">
        <f t="shared" ca="1" si="2002"/>
        <v>0</v>
      </c>
      <c r="EP60" s="202">
        <f t="shared" ca="1" si="2003"/>
        <v>0</v>
      </c>
      <c r="EQ60" s="203">
        <f t="shared" ca="1" si="2004"/>
        <v>0</v>
      </c>
      <c r="ER60" s="203">
        <f t="shared" ca="1" si="2005"/>
        <v>0</v>
      </c>
      <c r="ES60" s="204">
        <f ca="1">IF(EJ$6&lt;&gt;"",$O60,$N60)-EO60</f>
        <v>0</v>
      </c>
      <c r="ET60" s="205"/>
      <c r="EU60" s="206">
        <f t="shared" ca="1" si="2006"/>
        <v>0</v>
      </c>
      <c r="EV60" s="206">
        <f t="shared" ca="1" si="2007"/>
        <v>0</v>
      </c>
      <c r="EW60" s="207">
        <f t="shared" ca="1" si="2008"/>
        <v>0</v>
      </c>
      <c r="EX60" s="313">
        <f>EJ60+ET60</f>
        <v>0</v>
      </c>
      <c r="EY60" s="313">
        <f t="shared" ca="1" si="669"/>
        <v>0</v>
      </c>
      <c r="EZ60" s="313">
        <f t="shared" ca="1" si="2009"/>
        <v>0</v>
      </c>
      <c r="FA60" s="314">
        <f t="shared" ca="1" si="2010"/>
        <v>0</v>
      </c>
      <c r="FB60" s="211" t="str">
        <f t="shared" ca="1" si="66"/>
        <v/>
      </c>
      <c r="FC60" s="214"/>
      <c r="FD60" s="312" t="str">
        <f t="shared" ca="1" si="672"/>
        <v/>
      </c>
      <c r="FE60" s="215"/>
      <c r="FF60" s="199">
        <f t="shared" ca="1" si="2011"/>
        <v>0</v>
      </c>
      <c r="FG60" s="199">
        <f t="shared" ca="1" si="2012"/>
        <v>0</v>
      </c>
      <c r="FH60" s="216">
        <f t="shared" ca="1" si="2013"/>
        <v>0</v>
      </c>
      <c r="FI60" s="202">
        <f t="shared" ca="1" si="2014"/>
        <v>0</v>
      </c>
      <c r="FJ60" s="203">
        <f t="shared" ca="1" si="2015"/>
        <v>0</v>
      </c>
      <c r="FK60" s="203">
        <f t="shared" ca="1" si="2016"/>
        <v>0</v>
      </c>
      <c r="FL60" s="204">
        <f ca="1">IF(FC$6&lt;&gt;"",$O60,$N60)-FH60</f>
        <v>0</v>
      </c>
      <c r="FM60" s="205"/>
      <c r="FN60" s="206">
        <f t="shared" ca="1" si="2017"/>
        <v>0</v>
      </c>
      <c r="FO60" s="206">
        <f t="shared" ca="1" si="2018"/>
        <v>0</v>
      </c>
      <c r="FP60" s="207">
        <f t="shared" ca="1" si="2019"/>
        <v>0</v>
      </c>
      <c r="FQ60" s="313">
        <f>FC60+FM60</f>
        <v>0</v>
      </c>
      <c r="FR60" s="313">
        <f t="shared" ca="1" si="683"/>
        <v>0</v>
      </c>
      <c r="FS60" s="313">
        <f t="shared" ca="1" si="2020"/>
        <v>0</v>
      </c>
      <c r="FT60" s="314">
        <f t="shared" ca="1" si="2021"/>
        <v>0</v>
      </c>
      <c r="FU60" s="315" t="str">
        <f t="shared" ca="1" si="71"/>
        <v/>
      </c>
    </row>
    <row r="61" spans="1:177" outlineLevel="2" x14ac:dyDescent="0.2">
      <c r="A61" s="298"/>
      <c r="B61" s="298"/>
      <c r="C61" s="299" t="str">
        <f t="shared" ca="1" si="2022"/>
        <v>LU0549537040:EUR</v>
      </c>
      <c r="D61" s="300" t="str">
        <f t="shared" ca="1" si="2022"/>
        <v>LU0549537040</v>
      </c>
      <c r="E61" s="301" t="str">
        <f t="shared" ca="1" si="2022"/>
        <v>18102269</v>
      </c>
      <c r="F61" s="299" t="s">
        <v>743</v>
      </c>
      <c r="G61" s="316" t="str">
        <f t="shared" ca="1" si="2060"/>
        <v/>
      </c>
      <c r="H61" s="1708" t="str">
        <f ca="1">IF(OFFSET(Origine,MATCH($F61,Descrizioni,0),MATCH(H$15,Intestazioni,0)-1,1,1)&lt;&gt;"",HYPERLINK(OFFSET(Origine,MATCH($F61,Descrizioni,0),MATCH(H$15,Intestazioni,0)-1,1,1),""),"")</f>
        <v></v>
      </c>
      <c r="I61" s="1680" t="str">
        <f t="shared" ca="1" si="490"/>
        <v>i</v>
      </c>
      <c r="J61" s="1708" t="str">
        <f t="shared" ca="1" si="1069"/>
        <v></v>
      </c>
      <c r="K61" s="1709" t="str">
        <f t="shared" ca="1" si="1069"/>
        <v></v>
      </c>
      <c r="L61" s="1710" t="str">
        <f t="shared" ca="1" si="1927"/>
        <v></v>
      </c>
      <c r="M61" s="298" t="str">
        <f ca="1">(OFFSET(Origine,MATCH($F61,Descrizioni,0),MATCH(M$15,Intestazioni,0)-1,1,1))</f>
        <v>Unit</v>
      </c>
      <c r="N61" s="321"/>
      <c r="O61" s="321"/>
      <c r="P61" s="322">
        <f t="shared" ca="1" si="1539"/>
        <v>0</v>
      </c>
      <c r="Q61" s="307">
        <f t="array" aca="1" ref="Q61" ca="1">SUM(IF($AA$15:$FT$15="I_pos",AA61:FT61))</f>
        <v>0</v>
      </c>
      <c r="R61" s="307">
        <f t="array" aca="1" ref="R61" ca="1">SUM(IF($AA$15:$FT$15="P_Pos",AA61:FT61))</f>
        <v>0</v>
      </c>
      <c r="S61" s="304"/>
      <c r="T61" s="307"/>
      <c r="U61" s="308">
        <f ca="1">OFFSET(Origine,MATCH($F61,Descrizioni,0),MATCH(U$15,Intestazioni,0)-1,1,1)</f>
        <v>-4.9436119264638862E-3</v>
      </c>
      <c r="V61" s="307">
        <f t="array" aca="1" ref="V61" ca="1">SUM(IF($AA$15:$FT$15="O_Pos",AA61:FT61))</f>
        <v>0</v>
      </c>
      <c r="W61" s="299" t="str">
        <f t="shared" ref="W61" ca="1" si="2067">OFFSET(Origine,MATCH($F61,Descrizioni,0),MATCH(W$15,Intestazioni,0)-1,1,1)</f>
        <v>EUR</v>
      </c>
      <c r="X61" s="309">
        <f t="shared" ca="1" si="496"/>
        <v>128.82</v>
      </c>
      <c r="Y61" s="310">
        <f t="shared" ca="1" si="496"/>
        <v>0</v>
      </c>
      <c r="Z61" s="311">
        <f ca="1">_xlfn.NUMBERVALUE(OFFSET(Origine,MATCH(W61&amp;"/"&amp;MRif,LUKB_Name,0),MATCH("Price",Intestazioni,0)-1,1,1))</f>
        <v>0.90754999999999997</v>
      </c>
      <c r="AA61" s="214"/>
      <c r="AB61" s="312" t="str">
        <f t="shared" ca="1" si="590"/>
        <v/>
      </c>
      <c r="AC61" s="215"/>
      <c r="AD61" s="199">
        <f t="shared" ref="AD61" ca="1" si="2068">AA61*$X61</f>
        <v>0</v>
      </c>
      <c r="AE61" s="199">
        <f t="shared" ref="AE61" ca="1" si="2069">AD61*$Z61</f>
        <v>0</v>
      </c>
      <c r="AF61" s="216">
        <f t="shared" ref="AF61" ca="1" si="2070">IFERROR(AE61/AA$4,0)</f>
        <v>0</v>
      </c>
      <c r="AG61" s="202">
        <f t="shared" ref="AG61" ca="1" si="2071">AH61/$X61</f>
        <v>0</v>
      </c>
      <c r="AH61" s="203">
        <f t="shared" ref="AH61" ca="1" si="2072">AI61/$Z61</f>
        <v>0</v>
      </c>
      <c r="AI61" s="203">
        <f t="shared" ref="AI61" ca="1" si="2073">AJ61*AA$4</f>
        <v>0</v>
      </c>
      <c r="AJ61" s="204">
        <f ca="1">IF(AA$6&lt;&gt;"",$O61,$N61)-AF61</f>
        <v>0</v>
      </c>
      <c r="AK61" s="205"/>
      <c r="AL61" s="206">
        <f t="shared" ref="AL61" ca="1" si="2074">AK61*$X61</f>
        <v>0</v>
      </c>
      <c r="AM61" s="206">
        <f t="shared" ref="AM61" ca="1" si="2075">AL61*$Z61</f>
        <v>0</v>
      </c>
      <c r="AN61" s="207">
        <f t="shared" ref="AN61" ca="1" si="2076">IFERROR(AM61/AA$4,0)</f>
        <v>0</v>
      </c>
      <c r="AO61" s="313">
        <f>AA61+AK61</f>
        <v>0</v>
      </c>
      <c r="AP61" s="313">
        <f t="shared" ca="1" si="601"/>
        <v>0</v>
      </c>
      <c r="AQ61" s="313">
        <f t="shared" ref="AQ61" ca="1" si="2077">AP61*$Z61</f>
        <v>0</v>
      </c>
      <c r="AR61" s="314">
        <f t="shared" ref="AR61" ca="1" si="2078">IFERROR(AQ61/AA$4,0)</f>
        <v>0</v>
      </c>
      <c r="AS61" s="315" t="str">
        <f t="shared" ref="AS61" ca="1" si="2079">IF(SUM(AF61,AN61,AR61)&lt;&gt;0,"V","")</f>
        <v/>
      </c>
      <c r="AT61" s="214"/>
      <c r="AU61" s="312" t="str">
        <f t="shared" ref="AU61" ca="1" si="2080">IFERROR($X61/AV61-1,"")</f>
        <v/>
      </c>
      <c r="AV61" s="215"/>
      <c r="AW61" s="199">
        <f t="shared" ref="AW61" ca="1" si="2081">AT61*$X61</f>
        <v>0</v>
      </c>
      <c r="AX61" s="199">
        <f t="shared" ref="AX61" ca="1" si="2082">AW61*$Z61</f>
        <v>0</v>
      </c>
      <c r="AY61" s="216">
        <f t="shared" ref="AY61" ca="1" si="2083">IFERROR(AX61/AT$4,0)</f>
        <v>0</v>
      </c>
      <c r="AZ61" s="202">
        <f t="shared" ref="AZ61" ca="1" si="2084">BA61/$X61</f>
        <v>0</v>
      </c>
      <c r="BA61" s="203">
        <f t="shared" ref="BA61" ca="1" si="2085">BB61/$Z61</f>
        <v>0</v>
      </c>
      <c r="BB61" s="203">
        <f t="shared" ref="BB61" ca="1" si="2086">BC61*AT$4</f>
        <v>0</v>
      </c>
      <c r="BC61" s="204">
        <f ca="1">IF(AT$6&lt;&gt;"",$O61,$N61)-AY61</f>
        <v>0</v>
      </c>
      <c r="BD61" s="205"/>
      <c r="BE61" s="206">
        <f t="shared" ref="BE61" ca="1" si="2087">BD61*$X61</f>
        <v>0</v>
      </c>
      <c r="BF61" s="206">
        <f t="shared" ref="BF61" ca="1" si="2088">BE61*$Z61</f>
        <v>0</v>
      </c>
      <c r="BG61" s="207">
        <f t="shared" ref="BG61" ca="1" si="2089">IFERROR(BF61/AT$4,0)</f>
        <v>0</v>
      </c>
      <c r="BH61" s="313">
        <f>AT61+BD61</f>
        <v>0</v>
      </c>
      <c r="BI61" s="313">
        <f t="shared" ca="1" si="615"/>
        <v>0</v>
      </c>
      <c r="BJ61" s="313">
        <f t="shared" ref="BJ61" ca="1" si="2090">BI61*$Z61</f>
        <v>0</v>
      </c>
      <c r="BK61" s="314">
        <f t="shared" ref="BK61" ca="1" si="2091">IFERROR(BJ61/AT$4,0)</f>
        <v>0</v>
      </c>
      <c r="BL61" s="211" t="str">
        <f t="shared" ref="BL61" ca="1" si="2092">IF(SUM(AY61,BG61,BK61)&lt;&gt;0,"V","")</f>
        <v/>
      </c>
      <c r="BM61" s="214"/>
      <c r="BN61" s="312" t="str">
        <f t="shared" ref="BN61" ca="1" si="2093">IFERROR($X61/BO61-1,"")</f>
        <v/>
      </c>
      <c r="BO61" s="215"/>
      <c r="BP61" s="199">
        <f t="shared" ref="BP61" ca="1" si="2094">BM61*$X61</f>
        <v>0</v>
      </c>
      <c r="BQ61" s="199">
        <f t="shared" ref="BQ61" ca="1" si="2095">BP61*$Z61</f>
        <v>0</v>
      </c>
      <c r="BR61" s="216">
        <f t="shared" ref="BR61" ca="1" si="2096">IFERROR(BQ61/BM$4,0)</f>
        <v>0</v>
      </c>
      <c r="BS61" s="202">
        <f t="shared" ref="BS61" ca="1" si="2097">BT61/$X61</f>
        <v>0</v>
      </c>
      <c r="BT61" s="203">
        <f t="shared" ref="BT61" ca="1" si="2098">BU61/$Z61</f>
        <v>0</v>
      </c>
      <c r="BU61" s="203">
        <f t="shared" ref="BU61" ca="1" si="2099">BV61*BM$4</f>
        <v>0</v>
      </c>
      <c r="BV61" s="204">
        <f ca="1">IF(BM$6&lt;&gt;"",$O61,$N61)-BR61</f>
        <v>0</v>
      </c>
      <c r="BW61" s="205"/>
      <c r="BX61" s="206">
        <f t="shared" ref="BX61" ca="1" si="2100">BW61*$X61</f>
        <v>0</v>
      </c>
      <c r="BY61" s="206">
        <f t="shared" ref="BY61" ca="1" si="2101">BX61*$Z61</f>
        <v>0</v>
      </c>
      <c r="BZ61" s="207">
        <f t="shared" ref="BZ61" ca="1" si="2102">IFERROR(BY61/BM$4,0)</f>
        <v>0</v>
      </c>
      <c r="CA61" s="313">
        <f>BM61+BW61</f>
        <v>0</v>
      </c>
      <c r="CB61" s="313">
        <f t="shared" ca="1" si="629"/>
        <v>0</v>
      </c>
      <c r="CC61" s="313">
        <f t="shared" ref="CC61" ca="1" si="2103">CB61*$Z61</f>
        <v>0</v>
      </c>
      <c r="CD61" s="314">
        <f t="shared" ref="CD61" ca="1" si="2104">IFERROR(CC61/BM$4,0)</f>
        <v>0</v>
      </c>
      <c r="CE61" s="211" t="str">
        <f t="shared" ref="CE61" ca="1" si="2105">IF(SUM(BR61,BZ61,CD61)&lt;&gt;0,"V","")</f>
        <v/>
      </c>
      <c r="CF61" s="214"/>
      <c r="CG61" s="312" t="str">
        <f t="shared" ref="CG61" ca="1" si="2106">IFERROR($X61/CH61-1,"")</f>
        <v/>
      </c>
      <c r="CH61" s="215"/>
      <c r="CI61" s="199">
        <f t="shared" ref="CI61" ca="1" si="2107">CF61*$X61</f>
        <v>0</v>
      </c>
      <c r="CJ61" s="199">
        <f t="shared" ref="CJ61" ca="1" si="2108">CI61*$Z61</f>
        <v>0</v>
      </c>
      <c r="CK61" s="216">
        <f t="shared" ref="CK61" ca="1" si="2109">IFERROR(CJ61/CF$4,0)</f>
        <v>0</v>
      </c>
      <c r="CL61" s="202">
        <f t="shared" ref="CL61" ca="1" si="2110">CM61/$X61</f>
        <v>0</v>
      </c>
      <c r="CM61" s="203">
        <f t="shared" ref="CM61" ca="1" si="2111">CN61/$Z61</f>
        <v>0</v>
      </c>
      <c r="CN61" s="203">
        <f t="shared" ref="CN61" ca="1" si="2112">CO61*CF$4</f>
        <v>0</v>
      </c>
      <c r="CO61" s="204">
        <f ca="1">IF(CF$6&lt;&gt;"",$O61,$N61)-CK61</f>
        <v>0</v>
      </c>
      <c r="CP61" s="205"/>
      <c r="CQ61" s="206">
        <f t="shared" ref="CQ61" ca="1" si="2113">CP61*$X61</f>
        <v>0</v>
      </c>
      <c r="CR61" s="206">
        <f t="shared" ref="CR61" ca="1" si="2114">CQ61*$Z61</f>
        <v>0</v>
      </c>
      <c r="CS61" s="207">
        <f t="shared" ref="CS61" ca="1" si="2115">IFERROR(CR61/CF$4,0)</f>
        <v>0</v>
      </c>
      <c r="CT61" s="313">
        <f>CF61+CP61</f>
        <v>0</v>
      </c>
      <c r="CU61" s="313">
        <f t="shared" ca="1" si="643"/>
        <v>0</v>
      </c>
      <c r="CV61" s="313">
        <f t="shared" ref="CV61" ca="1" si="2116">CU61*$Z61</f>
        <v>0</v>
      </c>
      <c r="CW61" s="314">
        <f t="shared" ref="CW61" ca="1" si="2117">IFERROR(CV61/CF$4,0)</f>
        <v>0</v>
      </c>
      <c r="CX61" s="211" t="str">
        <f t="shared" ref="CX61" ca="1" si="2118">IF(SUM(CK61,CS61,CW61)&lt;&gt;0,"V","")</f>
        <v/>
      </c>
      <c r="CY61" s="197">
        <f>400+-400</f>
        <v>0</v>
      </c>
      <c r="CZ61" s="312" t="str">
        <f t="shared" ref="CZ61" ca="1" si="2119">IFERROR($X61/DA61-1,"")</f>
        <v/>
      </c>
      <c r="DA61" s="199"/>
      <c r="DB61" s="199">
        <f t="shared" ref="DB61" ca="1" si="2120">CY61*$X61</f>
        <v>0</v>
      </c>
      <c r="DC61" s="199">
        <f t="shared" ref="DC61" ca="1" si="2121">DB61*$Z61</f>
        <v>0</v>
      </c>
      <c r="DD61" s="216">
        <f t="shared" ref="DD61" ca="1" si="2122">IFERROR(DC61/CY$4,0)</f>
        <v>0</v>
      </c>
      <c r="DE61" s="202">
        <f t="shared" ref="DE61" ca="1" si="2123">DF61/$X61</f>
        <v>0</v>
      </c>
      <c r="DF61" s="203">
        <f t="shared" ref="DF61" ca="1" si="2124">DG61/$Z61</f>
        <v>0</v>
      </c>
      <c r="DG61" s="203">
        <f t="shared" ref="DG61" ca="1" si="2125">DH61*CY$4</f>
        <v>0</v>
      </c>
      <c r="DH61" s="204">
        <f ca="1">IF(CY$6&lt;&gt;"",$O61,$N61)-DD61</f>
        <v>0</v>
      </c>
      <c r="DI61" s="205"/>
      <c r="DJ61" s="206">
        <f t="shared" ref="DJ61" ca="1" si="2126">DI61*$X61</f>
        <v>0</v>
      </c>
      <c r="DK61" s="206">
        <f t="shared" ref="DK61" ca="1" si="2127">DJ61*$Z61</f>
        <v>0</v>
      </c>
      <c r="DL61" s="207">
        <f t="shared" ref="DL61" ca="1" si="2128">IFERROR(DK61/CY$4,0)</f>
        <v>0</v>
      </c>
      <c r="DM61" s="313">
        <f>CY61+DI61</f>
        <v>0</v>
      </c>
      <c r="DN61" s="313">
        <f t="shared" ca="1" si="655"/>
        <v>0</v>
      </c>
      <c r="DO61" s="313">
        <f t="shared" ref="DO61" ca="1" si="2129">DN61*$Z61</f>
        <v>0</v>
      </c>
      <c r="DP61" s="314">
        <f t="shared" ref="DP61" ca="1" si="2130">IFERROR(DO61/CY$4,0)</f>
        <v>0</v>
      </c>
      <c r="DQ61" s="315" t="str">
        <f t="shared" ref="DQ61" ca="1" si="2131">IF(SUM(DD61,DL61,DP61)&lt;&gt;0,"V","")</f>
        <v/>
      </c>
      <c r="DR61" s="197">
        <f>400+-400</f>
        <v>0</v>
      </c>
      <c r="DS61" s="312" t="str">
        <f t="shared" ca="1" si="554"/>
        <v/>
      </c>
      <c r="DT61" s="199"/>
      <c r="DU61" s="199">
        <f t="shared" ca="1" si="2044"/>
        <v>0</v>
      </c>
      <c r="DV61" s="199">
        <f t="shared" ca="1" si="2045"/>
        <v>0</v>
      </c>
      <c r="DW61" s="216">
        <f t="shared" ca="1" si="1645"/>
        <v>0</v>
      </c>
      <c r="DX61" s="202">
        <f t="shared" ca="1" si="2046"/>
        <v>0</v>
      </c>
      <c r="DY61" s="203">
        <f t="shared" ca="1" si="2047"/>
        <v>0</v>
      </c>
      <c r="DZ61" s="203">
        <f t="shared" ca="1" si="2048"/>
        <v>0</v>
      </c>
      <c r="EA61" s="204">
        <f ca="1">IF(DR$6&lt;&gt;"",$O61,$N61)-DW61</f>
        <v>0</v>
      </c>
      <c r="EB61" s="205"/>
      <c r="EC61" s="206">
        <f t="shared" ca="1" si="2049"/>
        <v>0</v>
      </c>
      <c r="ED61" s="206">
        <f t="shared" ca="1" si="2050"/>
        <v>0</v>
      </c>
      <c r="EE61" s="207">
        <f t="shared" ca="1" si="1651"/>
        <v>0</v>
      </c>
      <c r="EF61" s="313">
        <f>DR61+EB61</f>
        <v>0</v>
      </c>
      <c r="EG61" s="313">
        <f t="shared" ca="1" si="2051"/>
        <v>0</v>
      </c>
      <c r="EH61" s="313">
        <f t="shared" ca="1" si="2065"/>
        <v>0</v>
      </c>
      <c r="EI61" s="314">
        <f t="shared" ca="1" si="2066"/>
        <v>0</v>
      </c>
      <c r="EJ61" s="214"/>
      <c r="EK61" s="312" t="str">
        <f t="shared" ref="EK61" ca="1" si="2132">IFERROR($X61/EL61-1,"")</f>
        <v/>
      </c>
      <c r="EL61" s="222"/>
      <c r="EM61" s="199">
        <f t="shared" ref="EM61" ca="1" si="2133">EJ61*$X61</f>
        <v>0</v>
      </c>
      <c r="EN61" s="199">
        <f t="shared" ref="EN61" ca="1" si="2134">EM61*$Z61</f>
        <v>0</v>
      </c>
      <c r="EO61" s="216">
        <f t="shared" ref="EO61" ca="1" si="2135">IFERROR(EN61/EJ$4,0)</f>
        <v>0</v>
      </c>
      <c r="EP61" s="202">
        <f t="shared" ref="EP61" ca="1" si="2136">EQ61/$X61</f>
        <v>0</v>
      </c>
      <c r="EQ61" s="203">
        <f t="shared" ref="EQ61" ca="1" si="2137">ER61/$Z61</f>
        <v>0</v>
      </c>
      <c r="ER61" s="203">
        <f t="shared" ref="ER61" ca="1" si="2138">ES61*EJ$4</f>
        <v>0</v>
      </c>
      <c r="ES61" s="204">
        <f ca="1">IF(EJ$6&lt;&gt;"",$O61,$N61)-EO61</f>
        <v>0</v>
      </c>
      <c r="ET61" s="205"/>
      <c r="EU61" s="206">
        <f t="shared" ref="EU61" ca="1" si="2139">ET61*$X61</f>
        <v>0</v>
      </c>
      <c r="EV61" s="206">
        <f t="shared" ref="EV61" ca="1" si="2140">EU61*$Z61</f>
        <v>0</v>
      </c>
      <c r="EW61" s="207">
        <f t="shared" ref="EW61" ca="1" si="2141">IFERROR(EV61/EJ$4,0)</f>
        <v>0</v>
      </c>
      <c r="EX61" s="313">
        <f>EJ61+ET61</f>
        <v>0</v>
      </c>
      <c r="EY61" s="313">
        <f t="shared" ca="1" si="669"/>
        <v>0</v>
      </c>
      <c r="EZ61" s="313">
        <f t="shared" ref="EZ61" ca="1" si="2142">EY61*$Z61</f>
        <v>0</v>
      </c>
      <c r="FA61" s="314">
        <f t="shared" ref="FA61" ca="1" si="2143">IFERROR(EZ61/EJ$4,0)</f>
        <v>0</v>
      </c>
      <c r="FB61" s="211" t="str">
        <f t="shared" ref="FB61" ca="1" si="2144">IF(SUM(EO61,EW61,FA61)&lt;&gt;0,"V","")</f>
        <v/>
      </c>
      <c r="FC61" s="214"/>
      <c r="FD61" s="312" t="str">
        <f t="shared" ref="FD61" ca="1" si="2145">IFERROR($X61/FE61-1,"")</f>
        <v/>
      </c>
      <c r="FE61" s="215"/>
      <c r="FF61" s="199">
        <f t="shared" ref="FF61" ca="1" si="2146">FC61*$X61</f>
        <v>0</v>
      </c>
      <c r="FG61" s="199">
        <f t="shared" ref="FG61" ca="1" si="2147">FF61*$Z61</f>
        <v>0</v>
      </c>
      <c r="FH61" s="216">
        <f t="shared" ref="FH61" ca="1" si="2148">IFERROR(FG61/FC$4,0)</f>
        <v>0</v>
      </c>
      <c r="FI61" s="202">
        <f t="shared" ref="FI61" ca="1" si="2149">FJ61/$X61</f>
        <v>0</v>
      </c>
      <c r="FJ61" s="203">
        <f t="shared" ref="FJ61" ca="1" si="2150">FK61/$Z61</f>
        <v>0</v>
      </c>
      <c r="FK61" s="203">
        <f t="shared" ref="FK61" ca="1" si="2151">FL61*FC$4</f>
        <v>0</v>
      </c>
      <c r="FL61" s="204">
        <f ca="1">IF(FC$6&lt;&gt;"",$O61,$N61)-FH61</f>
        <v>0</v>
      </c>
      <c r="FM61" s="205"/>
      <c r="FN61" s="206">
        <f t="shared" ref="FN61" ca="1" si="2152">FM61*$X61</f>
        <v>0</v>
      </c>
      <c r="FO61" s="206">
        <f t="shared" ref="FO61" ca="1" si="2153">FN61*$Z61</f>
        <v>0</v>
      </c>
      <c r="FP61" s="207">
        <f t="shared" ref="FP61" ca="1" si="2154">IFERROR(FO61/FC$4,0)</f>
        <v>0</v>
      </c>
      <c r="FQ61" s="313">
        <f>FC61+FM61</f>
        <v>0</v>
      </c>
      <c r="FR61" s="313">
        <f t="shared" ca="1" si="683"/>
        <v>0</v>
      </c>
      <c r="FS61" s="313">
        <f t="shared" ref="FS61" ca="1" si="2155">FR61*$Z61</f>
        <v>0</v>
      </c>
      <c r="FT61" s="314">
        <f t="shared" ref="FT61" ca="1" si="2156">IFERROR(FS61/FC$4,0)</f>
        <v>0</v>
      </c>
      <c r="FU61" s="315" t="str">
        <f t="shared" ref="FU61" ca="1" si="2157">IF(SUM(FH61,FP61,FT61)&lt;&gt;0,"V","")</f>
        <v/>
      </c>
    </row>
    <row r="62" spans="1:177" outlineLevel="1" x14ac:dyDescent="0.2">
      <c r="A62" s="273"/>
      <c r="B62" s="274" t="s">
        <v>366</v>
      </c>
      <c r="C62" s="275"/>
      <c r="D62" s="276"/>
      <c r="E62" s="277"/>
      <c r="F62" s="275"/>
      <c r="G62" s="278"/>
      <c r="H62" s="1679"/>
      <c r="I62" s="1679"/>
      <c r="J62" s="1707"/>
      <c r="K62" s="1679"/>
      <c r="L62" s="1679"/>
      <c r="M62" s="280"/>
      <c r="N62" s="281">
        <f>SUM(N$63:N$65)</f>
        <v>0</v>
      </c>
      <c r="O62" s="281">
        <v>0</v>
      </c>
      <c r="P62" s="282">
        <f t="shared" ca="1" si="1539"/>
        <v>0</v>
      </c>
      <c r="Q62" s="283"/>
      <c r="R62" s="283"/>
      <c r="S62" s="275"/>
      <c r="T62" s="283"/>
      <c r="U62" s="284"/>
      <c r="V62" s="283"/>
      <c r="W62" s="285"/>
      <c r="X62" s="286"/>
      <c r="Y62" s="286"/>
      <c r="Z62" s="287"/>
      <c r="AA62" s="288"/>
      <c r="AB62" s="289"/>
      <c r="AC62" s="289"/>
      <c r="AD62" s="275"/>
      <c r="AE62" s="290">
        <f ca="1">SUM(AE$63:AE$65)</f>
        <v>0</v>
      </c>
      <c r="AF62" s="291">
        <f t="shared" ref="AF62:AF63" ca="1" si="2158">IFERROR(AE62/AA$4,0)</f>
        <v>0</v>
      </c>
      <c r="AG62" s="292"/>
      <c r="AH62" s="275"/>
      <c r="AI62" s="290">
        <f ca="1">SUM(AI$63:AI$65)</f>
        <v>0</v>
      </c>
      <c r="AJ62" s="293">
        <f ca="1">IFERROR(AI62/AA$4,0)</f>
        <v>0</v>
      </c>
      <c r="AK62" s="292"/>
      <c r="AL62" s="275"/>
      <c r="AM62" s="290">
        <f ca="1">SUM(AM$63:AM$65)</f>
        <v>0</v>
      </c>
      <c r="AN62" s="293">
        <f t="shared" ref="AN62:AN63" ca="1" si="2159">IFERROR(AM62/AA$4,0)</f>
        <v>0</v>
      </c>
      <c r="AO62" s="275"/>
      <c r="AP62" s="275"/>
      <c r="AQ62" s="290">
        <f ca="1">SUM(AQ$63:AQ$65)</f>
        <v>0</v>
      </c>
      <c r="AR62" s="291">
        <f t="shared" ref="AR62:AR63" ca="1" si="2160">IFERROR(AQ62/AA$4,0)</f>
        <v>0</v>
      </c>
      <c r="AS62" s="294" t="str">
        <f t="shared" ref="AS62:AS63" ca="1" si="2161">IF(SUM(AF62,AN62,AR62)&lt;&gt;0,"V","")</f>
        <v/>
      </c>
      <c r="AT62" s="288"/>
      <c r="AU62" s="289"/>
      <c r="AV62" s="289"/>
      <c r="AW62" s="275"/>
      <c r="AX62" s="290">
        <f ca="1">SUM(AX$63:AX$65)</f>
        <v>0</v>
      </c>
      <c r="AY62" s="291">
        <f t="shared" ref="AY62:AY63" ca="1" si="2162">IFERROR(AX62/AT$4,0)</f>
        <v>0</v>
      </c>
      <c r="AZ62" s="292"/>
      <c r="BA62" s="275"/>
      <c r="BB62" s="290">
        <f ca="1">SUM(BB$63:BB$65)</f>
        <v>0</v>
      </c>
      <c r="BC62" s="293">
        <f ca="1">IFERROR(BB62/AT$4,0)</f>
        <v>0</v>
      </c>
      <c r="BD62" s="292"/>
      <c r="BE62" s="275"/>
      <c r="BF62" s="290">
        <f ca="1">SUM(BF$63:BF$65)</f>
        <v>0</v>
      </c>
      <c r="BG62" s="293">
        <f t="shared" ref="BG62:BG63" ca="1" si="2163">IFERROR(BF62/AT$4,0)</f>
        <v>0</v>
      </c>
      <c r="BH62" s="275"/>
      <c r="BI62" s="275"/>
      <c r="BJ62" s="290">
        <f ca="1">SUM(BJ$63:BJ$65)</f>
        <v>0</v>
      </c>
      <c r="BK62" s="291">
        <f t="shared" ref="BK62:BK63" ca="1" si="2164">IFERROR(BJ62/AT$4,0)</f>
        <v>0</v>
      </c>
      <c r="BL62" s="295" t="str">
        <f t="shared" ref="BL62:BL63" ca="1" si="2165">IF(SUM(AY62,BG62,BK62)&lt;&gt;0,"V","")</f>
        <v/>
      </c>
      <c r="BM62" s="288"/>
      <c r="BN62" s="289"/>
      <c r="BO62" s="289"/>
      <c r="BP62" s="275"/>
      <c r="BQ62" s="290">
        <f ca="1">SUM(BQ$63:BQ$65)</f>
        <v>0</v>
      </c>
      <c r="BR62" s="291">
        <f t="shared" ref="BR62" ca="1" si="2166">IFERROR(BQ62/BM$4,0)</f>
        <v>0</v>
      </c>
      <c r="BS62" s="292"/>
      <c r="BT62" s="275"/>
      <c r="BU62" s="290">
        <f ca="1">SUM(BU$63:BU$65)</f>
        <v>0</v>
      </c>
      <c r="BV62" s="293">
        <f ca="1">IFERROR(BU62/BM$4,0)</f>
        <v>0</v>
      </c>
      <c r="BW62" s="292"/>
      <c r="BX62" s="275"/>
      <c r="BY62" s="290">
        <f ca="1">SUM(BY$63:BY$65)</f>
        <v>0</v>
      </c>
      <c r="BZ62" s="293">
        <f t="shared" ref="BZ62" ca="1" si="2167">IFERROR(BY62/BM$4,0)</f>
        <v>0</v>
      </c>
      <c r="CA62" s="275"/>
      <c r="CB62" s="275"/>
      <c r="CC62" s="290">
        <f ca="1">SUM(CC$63:CC$65)</f>
        <v>0</v>
      </c>
      <c r="CD62" s="291">
        <f t="shared" ref="CD62:CD63" ca="1" si="2168">IFERROR(CC62/BM$4,0)</f>
        <v>0</v>
      </c>
      <c r="CE62" s="295" t="str">
        <f t="shared" ref="CE62:CE63" ca="1" si="2169">IF(SUM(BR62,BZ62,CD62)&lt;&gt;0,"V","")</f>
        <v/>
      </c>
      <c r="CF62" s="288"/>
      <c r="CG62" s="289"/>
      <c r="CH62" s="289"/>
      <c r="CI62" s="275"/>
      <c r="CJ62" s="290">
        <f ca="1">SUM(CJ$63:CJ$65)</f>
        <v>0</v>
      </c>
      <c r="CK62" s="291">
        <f t="shared" ref="CK62:CK63" ca="1" si="2170">IFERROR(CJ62/CF$4,0)</f>
        <v>0</v>
      </c>
      <c r="CL62" s="292"/>
      <c r="CM62" s="275"/>
      <c r="CN62" s="290">
        <f ca="1">SUM(CN$63:CN$65)</f>
        <v>0</v>
      </c>
      <c r="CO62" s="293">
        <f ca="1">IFERROR(CN62/CF$4,0)</f>
        <v>0</v>
      </c>
      <c r="CP62" s="292"/>
      <c r="CQ62" s="275"/>
      <c r="CR62" s="290">
        <f ca="1">SUM(CR$63:CR$65)</f>
        <v>0</v>
      </c>
      <c r="CS62" s="293">
        <f t="shared" ref="CS62:CS63" ca="1" si="2171">IFERROR(CR62/CF$4,0)</f>
        <v>0</v>
      </c>
      <c r="CT62" s="275"/>
      <c r="CU62" s="275"/>
      <c r="CV62" s="290">
        <f ca="1">SUM(CV$63:CV$65)</f>
        <v>0</v>
      </c>
      <c r="CW62" s="291">
        <f t="shared" ref="CW62:CW63" ca="1" si="2172">IFERROR(CV62/CF$4,0)</f>
        <v>0</v>
      </c>
      <c r="CX62" s="295" t="str">
        <f t="shared" ref="CX62:CX63" ca="1" si="2173">IF(SUM(CK62,CS62,CW62)&lt;&gt;0,"V","")</f>
        <v/>
      </c>
      <c r="CY62" s="288"/>
      <c r="CZ62" s="289"/>
      <c r="DA62" s="275"/>
      <c r="DB62" s="290"/>
      <c r="DC62" s="290">
        <f ca="1">SUM(DC$63:DC$65)</f>
        <v>0</v>
      </c>
      <c r="DD62" s="291">
        <f t="shared" ref="DD62:DD63" ca="1" si="2174">IFERROR(DC62/CY$4,0)</f>
        <v>0</v>
      </c>
      <c r="DE62" s="292"/>
      <c r="DF62" s="275"/>
      <c r="DG62" s="290">
        <f ca="1">SUM(DG$63:DG$65)</f>
        <v>0</v>
      </c>
      <c r="DH62" s="293">
        <f ca="1">IFERROR(DG62/CY$4,0)</f>
        <v>0</v>
      </c>
      <c r="DI62" s="292"/>
      <c r="DJ62" s="275"/>
      <c r="DK62" s="290">
        <f ca="1">SUM(DK$63:DK$65)</f>
        <v>0</v>
      </c>
      <c r="DL62" s="293">
        <f t="shared" ref="DL62:DL63" ca="1" si="2175">IFERROR(DK62/CY$4,0)</f>
        <v>0</v>
      </c>
      <c r="DM62" s="275"/>
      <c r="DN62" s="275"/>
      <c r="DO62" s="290">
        <f ca="1">SUM(DO$63:DO$65)</f>
        <v>0</v>
      </c>
      <c r="DP62" s="291">
        <f t="shared" ca="1" si="2064"/>
        <v>0</v>
      </c>
      <c r="DQ62" s="294" t="str">
        <f t="shared" ref="DQ62:DQ63" ca="1" si="2176">IF(SUM(DD62,DL62,DP62)&lt;&gt;0,"V","")</f>
        <v/>
      </c>
      <c r="DR62" s="288"/>
      <c r="DS62" s="289"/>
      <c r="DT62" s="275"/>
      <c r="DU62" s="290"/>
      <c r="DV62" s="290">
        <f ca="1">SUM(DV$63:DV$65)</f>
        <v>0</v>
      </c>
      <c r="DW62" s="291">
        <f t="shared" ca="1" si="1645"/>
        <v>0</v>
      </c>
      <c r="DX62" s="292"/>
      <c r="DY62" s="275"/>
      <c r="DZ62" s="290">
        <f ca="1">SUM(DZ$63:DZ$65)</f>
        <v>0</v>
      </c>
      <c r="EA62" s="293">
        <f ca="1">IFERROR(DZ62/DR$4,0)</f>
        <v>0</v>
      </c>
      <c r="EB62" s="292"/>
      <c r="EC62" s="275"/>
      <c r="ED62" s="290">
        <f ca="1">SUM(ED$63:ED$65)</f>
        <v>0</v>
      </c>
      <c r="EE62" s="293">
        <f t="shared" ca="1" si="1651"/>
        <v>0</v>
      </c>
      <c r="EF62" s="275"/>
      <c r="EG62" s="275"/>
      <c r="EH62" s="290">
        <f ca="1">SUM(EH$63:EH$65)</f>
        <v>0</v>
      </c>
      <c r="EI62" s="291">
        <f t="shared" ca="1" si="2066"/>
        <v>0</v>
      </c>
      <c r="EJ62" s="288"/>
      <c r="EK62" s="289"/>
      <c r="EL62" s="296"/>
      <c r="EM62" s="275"/>
      <c r="EN62" s="290">
        <f ca="1">SUM(EN$63:EN$65)</f>
        <v>0</v>
      </c>
      <c r="EO62" s="291">
        <f t="shared" ref="EO62:EO63" ca="1" si="2177">IFERROR(EN62/EJ$4,0)</f>
        <v>0</v>
      </c>
      <c r="EP62" s="292"/>
      <c r="EQ62" s="275"/>
      <c r="ER62" s="290">
        <f ca="1">SUM(ER$63:ER$65)</f>
        <v>0</v>
      </c>
      <c r="ES62" s="293">
        <f ca="1">IFERROR(ER62/EJ$4,0)</f>
        <v>0</v>
      </c>
      <c r="ET62" s="292"/>
      <c r="EU62" s="275"/>
      <c r="EV62" s="290">
        <f ca="1">SUM(EV$63:EV$65)</f>
        <v>0</v>
      </c>
      <c r="EW62" s="293">
        <f t="shared" ref="EW62:EW63" ca="1" si="2178">IFERROR(EV62/EJ$4,0)</f>
        <v>0</v>
      </c>
      <c r="EX62" s="275"/>
      <c r="EY62" s="275"/>
      <c r="EZ62" s="290">
        <f ca="1">SUM(EZ$63:EZ$65)</f>
        <v>0</v>
      </c>
      <c r="FA62" s="291">
        <f t="shared" ref="FA62:FA63" ca="1" si="2179">IFERROR(EZ62/EJ$4,0)</f>
        <v>0</v>
      </c>
      <c r="FB62" s="295" t="str">
        <f t="shared" ref="FB62:FB63" ca="1" si="2180">IF(SUM(EO62,EW62,FA62)&lt;&gt;0,"V","")</f>
        <v/>
      </c>
      <c r="FC62" s="288"/>
      <c r="FD62" s="289"/>
      <c r="FE62" s="289"/>
      <c r="FF62" s="275"/>
      <c r="FG62" s="290">
        <f ca="1">SUM(FG$63:FG$65)</f>
        <v>194732.66312565186</v>
      </c>
      <c r="FH62" s="291">
        <f t="shared" ref="FH62:FH63" ca="1" si="2181">IFERROR(FG62/FC$4,0)</f>
        <v>4.2726762987568875E-2</v>
      </c>
      <c r="FI62" s="292"/>
      <c r="FJ62" s="275"/>
      <c r="FK62" s="290">
        <f ca="1">SUM(FK$63:FK$65)</f>
        <v>-194732.66312565186</v>
      </c>
      <c r="FL62" s="293">
        <f ca="1">IFERROR(FK62/FC$4,0)</f>
        <v>-4.2726762987568875E-2</v>
      </c>
      <c r="FM62" s="292"/>
      <c r="FN62" s="275"/>
      <c r="FO62" s="290">
        <f ca="1">SUM(FO$63:FO$65)</f>
        <v>0</v>
      </c>
      <c r="FP62" s="293">
        <f t="shared" ref="FP62:FP63" ca="1" si="2182">IFERROR(FO62/FC$4,0)</f>
        <v>0</v>
      </c>
      <c r="FQ62" s="275"/>
      <c r="FR62" s="275"/>
      <c r="FS62" s="290">
        <f ca="1">SUM(FS$63:FS$65)</f>
        <v>194732.66312565186</v>
      </c>
      <c r="FT62" s="291">
        <f t="shared" ref="FT62:FT63" ca="1" si="2183">IFERROR(FS62/FC$4,0)</f>
        <v>4.2726762987568875E-2</v>
      </c>
      <c r="FU62" s="297"/>
    </row>
    <row r="63" spans="1:177" outlineLevel="2" x14ac:dyDescent="0.2">
      <c r="A63" s="298"/>
      <c r="B63" s="298"/>
      <c r="C63" s="299" t="str">
        <f t="shared" ref="C63:E65" ca="1" si="2184">OFFSET(Origine,MATCH($F63,Descrizioni,0),MATCH(C$15,Intestazioni,0)-1,1,1)</f>
        <v>US427028AB18:USD</v>
      </c>
      <c r="D63" s="300" t="str">
        <f t="shared" ca="1" si="2184"/>
        <v>US427028AB18</v>
      </c>
      <c r="E63" s="301" t="str">
        <f t="shared" ca="1" si="2184"/>
        <v>111598395</v>
      </c>
      <c r="F63" s="299" t="s">
        <v>745</v>
      </c>
      <c r="G63" s="316">
        <f t="shared" ref="G63:G65" ca="1" si="2185">OFFSET(Origine,MATCH($F63,Descrizioni,0),MATCH(G$15,Intestazioni,0)-1,1,1)</f>
        <v>46161</v>
      </c>
      <c r="H63" s="1708" t="str">
        <f ca="1">IF(OFFSET(Origine,MATCH($F63,Descrizioni,0),MATCH(H$15,Intestazioni,0)-1,1,1)&lt;&gt;"",HYPERLINK(OFFSET(Origine,MATCH($F63,Descrizioni,0),MATCH(H$15,Intestazioni,0)-1,1,1),""),"")</f>
        <v></v>
      </c>
      <c r="I63" s="1680" t="str">
        <f t="shared" ca="1" si="490"/>
        <v/>
      </c>
      <c r="J63" s="1708" t="str">
        <f t="shared" ca="1" si="1069"/>
        <v/>
      </c>
      <c r="K63" s="1709" t="str">
        <f t="shared" ca="1" si="1069"/>
        <v/>
      </c>
      <c r="L63" s="1710" t="str">
        <f t="shared" ca="1" si="1927"/>
        <v/>
      </c>
      <c r="M63" s="298" t="str">
        <f ca="1">(OFFSET(Origine,MATCH($F63,Descrizioni,0),MATCH(M$15,Intestazioni,0)-1,1,1))</f>
        <v>Pct</v>
      </c>
      <c r="N63" s="305"/>
      <c r="O63" s="305"/>
      <c r="P63" s="306">
        <f t="shared" ca="1" si="1539"/>
        <v>0</v>
      </c>
      <c r="Q63" s="307">
        <f t="array" aca="1" ref="Q63" ca="1">SUM(IF($AA$15:$FT$15="I_pos",AA63:FT63))</f>
        <v>250000</v>
      </c>
      <c r="R63" s="307">
        <f t="array" aca="1" ref="R63" ca="1">SUM(IF($AA$15:$FT$15="P_Pos",AA63:FT63))</f>
        <v>-250000</v>
      </c>
      <c r="S63" s="304"/>
      <c r="T63" s="307"/>
      <c r="U63" s="308"/>
      <c r="V63" s="307">
        <f t="array" aca="1" ref="V63" ca="1">SUM(IF($AA$15:$FT$15="O_Pos",AA63:FT63))</f>
        <v>0</v>
      </c>
      <c r="W63" s="299" t="str">
        <f t="shared" ref="W63" ca="1" si="2186">OFFSET(Origine,MATCH($F63,Descrizioni,0),MATCH(W$15,Intestazioni,0)-1,1,1)</f>
        <v>USD</v>
      </c>
      <c r="X63" s="309">
        <f t="shared" ca="1" si="496"/>
        <v>0.99575666666999996</v>
      </c>
      <c r="Y63" s="310">
        <f t="shared" ca="1" si="496"/>
        <v>3.8847006400000002E-2</v>
      </c>
      <c r="Z63" s="311">
        <f ca="1">_xlfn.NUMBERVALUE(OFFSET(Origine,MATCH(W63&amp;"/"&amp;MRif,LUKB_Name,0),MATCH("Price",Intestazioni,0)-1,1,1))</f>
        <v>0.78225</v>
      </c>
      <c r="AA63" s="214"/>
      <c r="AB63" s="312" t="str">
        <f t="shared" ref="AB63" ca="1" si="2187">IFERROR($X63/AC63-1,"")</f>
        <v/>
      </c>
      <c r="AC63" s="215"/>
      <c r="AD63" s="199">
        <f t="shared" ref="AD63" ca="1" si="2188">AA63*$X63</f>
        <v>0</v>
      </c>
      <c r="AE63" s="199">
        <f t="shared" ref="AE63" ca="1" si="2189">AD63*$Z63</f>
        <v>0</v>
      </c>
      <c r="AF63" s="216">
        <f t="shared" ca="1" si="2158"/>
        <v>0</v>
      </c>
      <c r="AG63" s="202">
        <f t="shared" ref="AG63" ca="1" si="2190">AH63/$X63</f>
        <v>0</v>
      </c>
      <c r="AH63" s="203">
        <f t="shared" ref="AH63" ca="1" si="2191">AI63/$Z63</f>
        <v>0</v>
      </c>
      <c r="AI63" s="203">
        <f t="shared" ref="AI63" ca="1" si="2192">AJ63*AA$4</f>
        <v>0</v>
      </c>
      <c r="AJ63" s="204">
        <f ca="1">IF(AA$6&lt;&gt;"",$O63,$N63)-AF63</f>
        <v>0</v>
      </c>
      <c r="AK63" s="205"/>
      <c r="AL63" s="206">
        <f t="shared" ref="AL63" ca="1" si="2193">AK63*$X63</f>
        <v>0</v>
      </c>
      <c r="AM63" s="206">
        <f t="shared" ref="AM63" ca="1" si="2194">AL63*$Z63</f>
        <v>0</v>
      </c>
      <c r="AN63" s="207">
        <f t="shared" ca="1" si="2159"/>
        <v>0</v>
      </c>
      <c r="AO63" s="313">
        <f>AA63+AK63</f>
        <v>0</v>
      </c>
      <c r="AP63" s="313">
        <f t="shared" ref="AP63" ca="1" si="2195">AD63+IF($T63 ="",AL63,0)</f>
        <v>0</v>
      </c>
      <c r="AQ63" s="313">
        <f t="shared" ref="AQ63" ca="1" si="2196">AP63*$Z63</f>
        <v>0</v>
      </c>
      <c r="AR63" s="314">
        <f t="shared" ca="1" si="2160"/>
        <v>0</v>
      </c>
      <c r="AS63" s="315" t="str">
        <f t="shared" ca="1" si="2161"/>
        <v/>
      </c>
      <c r="AT63" s="214"/>
      <c r="AU63" s="312" t="str">
        <f t="shared" ref="AU63" ca="1" si="2197">IFERROR($X63/AV63-1,"")</f>
        <v/>
      </c>
      <c r="AV63" s="215"/>
      <c r="AW63" s="199">
        <f t="shared" ref="AW63" ca="1" si="2198">AT63*$X63</f>
        <v>0</v>
      </c>
      <c r="AX63" s="199">
        <f t="shared" ref="AX63" ca="1" si="2199">AW63*$Z63</f>
        <v>0</v>
      </c>
      <c r="AY63" s="216">
        <f t="shared" ca="1" si="2162"/>
        <v>0</v>
      </c>
      <c r="AZ63" s="202">
        <f t="shared" ref="AZ63" ca="1" si="2200">BA63/$X63</f>
        <v>0</v>
      </c>
      <c r="BA63" s="203">
        <f t="shared" ref="BA63" ca="1" si="2201">BB63/$Z63</f>
        <v>0</v>
      </c>
      <c r="BB63" s="203">
        <f t="shared" ref="BB63" ca="1" si="2202">BC63*AT$4</f>
        <v>0</v>
      </c>
      <c r="BC63" s="204">
        <f ca="1">IF(AT$6&lt;&gt;"",$O63,$N63)-AY63</f>
        <v>0</v>
      </c>
      <c r="BD63" s="205"/>
      <c r="BE63" s="206">
        <f t="shared" ref="BE63" ca="1" si="2203">BD63*$X63</f>
        <v>0</v>
      </c>
      <c r="BF63" s="206">
        <f t="shared" ref="BF63" ca="1" si="2204">BE63*$Z63</f>
        <v>0</v>
      </c>
      <c r="BG63" s="207">
        <f t="shared" ca="1" si="2163"/>
        <v>0</v>
      </c>
      <c r="BH63" s="313">
        <f>AT63+BD63</f>
        <v>0</v>
      </c>
      <c r="BI63" s="313">
        <f t="shared" ref="BI63" ca="1" si="2205">AW63+IF($T63 ="",BE63,0)</f>
        <v>0</v>
      </c>
      <c r="BJ63" s="313">
        <f t="shared" ref="BJ63" ca="1" si="2206">BI63*$Z63</f>
        <v>0</v>
      </c>
      <c r="BK63" s="314">
        <f t="shared" ca="1" si="2164"/>
        <v>0</v>
      </c>
      <c r="BL63" s="211" t="str">
        <f t="shared" ca="1" si="2165"/>
        <v/>
      </c>
      <c r="BM63" s="214"/>
      <c r="BN63" s="312" t="str">
        <f t="shared" ref="BN63" ca="1" si="2207">IFERROR($X63/BO63-1,"")</f>
        <v/>
      </c>
      <c r="BO63" s="215"/>
      <c r="BP63" s="199">
        <f t="shared" ref="BP63" ca="1" si="2208">BM63*$X63</f>
        <v>0</v>
      </c>
      <c r="BQ63" s="199">
        <f t="shared" ref="BQ63" ca="1" si="2209">BP63*$Z63</f>
        <v>0</v>
      </c>
      <c r="BR63" s="216">
        <f ca="1">IFERROR(BQ63/BM$4,0)</f>
        <v>0</v>
      </c>
      <c r="BS63" s="202">
        <f t="shared" ref="BS63" ca="1" si="2210">BT63/$X63</f>
        <v>0</v>
      </c>
      <c r="BT63" s="203">
        <f t="shared" ref="BT63" ca="1" si="2211">BU63/$Z63</f>
        <v>0</v>
      </c>
      <c r="BU63" s="203">
        <f t="shared" ref="BU63" ca="1" si="2212">BV63*BM$4</f>
        <v>0</v>
      </c>
      <c r="BV63" s="204">
        <f ca="1">IF(BM$6&lt;&gt;"",$O63,$N63)-BR63</f>
        <v>0</v>
      </c>
      <c r="BW63" s="205"/>
      <c r="BX63" s="206">
        <f t="shared" ref="BX63" ca="1" si="2213">BW63*$X63</f>
        <v>0</v>
      </c>
      <c r="BY63" s="206">
        <f t="shared" ref="BY63" ca="1" si="2214">BX63*$Z63</f>
        <v>0</v>
      </c>
      <c r="BZ63" s="207">
        <f ca="1">IFERROR(BY63/BM$4,0)</f>
        <v>0</v>
      </c>
      <c r="CA63" s="313">
        <f>BM63+BW63</f>
        <v>0</v>
      </c>
      <c r="CB63" s="313">
        <f t="shared" ref="CB63" ca="1" si="2215">BP63+IF($T63 ="",BX63,0)</f>
        <v>0</v>
      </c>
      <c r="CC63" s="313">
        <f t="shared" ref="CC63" ca="1" si="2216">CB63*$Z63</f>
        <v>0</v>
      </c>
      <c r="CD63" s="314">
        <f t="shared" ca="1" si="2168"/>
        <v>0</v>
      </c>
      <c r="CE63" s="211" t="str">
        <f t="shared" ca="1" si="2169"/>
        <v/>
      </c>
      <c r="CF63" s="214"/>
      <c r="CG63" s="312" t="str">
        <f t="shared" ref="CG63" ca="1" si="2217">IFERROR($X63/CH63-1,"")</f>
        <v/>
      </c>
      <c r="CH63" s="215"/>
      <c r="CI63" s="199">
        <f t="shared" ref="CI63" ca="1" si="2218">CF63*$X63</f>
        <v>0</v>
      </c>
      <c r="CJ63" s="199">
        <f t="shared" ref="CJ63" ca="1" si="2219">CI63*$Z63</f>
        <v>0</v>
      </c>
      <c r="CK63" s="216">
        <f t="shared" ca="1" si="2170"/>
        <v>0</v>
      </c>
      <c r="CL63" s="202">
        <f t="shared" ref="CL63" ca="1" si="2220">CM63/$X63</f>
        <v>0</v>
      </c>
      <c r="CM63" s="203">
        <f t="shared" ref="CM63" ca="1" si="2221">CN63/$Z63</f>
        <v>0</v>
      </c>
      <c r="CN63" s="203">
        <f t="shared" ref="CN63" ca="1" si="2222">CO63*CF$4</f>
        <v>0</v>
      </c>
      <c r="CO63" s="204">
        <f ca="1">IF(CF$6&lt;&gt;"",$O63,$N63)-CK63</f>
        <v>0</v>
      </c>
      <c r="CP63" s="205"/>
      <c r="CQ63" s="206">
        <f t="shared" ref="CQ63" ca="1" si="2223">CP63*$X63</f>
        <v>0</v>
      </c>
      <c r="CR63" s="206">
        <f t="shared" ref="CR63" ca="1" si="2224">CQ63*$Z63</f>
        <v>0</v>
      </c>
      <c r="CS63" s="207">
        <f t="shared" ca="1" si="2171"/>
        <v>0</v>
      </c>
      <c r="CT63" s="313">
        <f>CF63+CP63</f>
        <v>0</v>
      </c>
      <c r="CU63" s="313">
        <f t="shared" ref="CU63" ca="1" si="2225">CI63+IF($T63 ="",CQ63,0)</f>
        <v>0</v>
      </c>
      <c r="CV63" s="313">
        <f t="shared" ref="CV63" ca="1" si="2226">CU63*$Z63</f>
        <v>0</v>
      </c>
      <c r="CW63" s="314">
        <f t="shared" ca="1" si="2172"/>
        <v>0</v>
      </c>
      <c r="CX63" s="211" t="str">
        <f t="shared" ca="1" si="2173"/>
        <v/>
      </c>
      <c r="CY63" s="197"/>
      <c r="CZ63" s="312" t="str">
        <f t="shared" ref="CZ63" ca="1" si="2227">IFERROR($X63/DA63-1,"")</f>
        <v/>
      </c>
      <c r="DA63" s="199"/>
      <c r="DB63" s="199">
        <f t="shared" ref="DB63" ca="1" si="2228">CY63*$X63</f>
        <v>0</v>
      </c>
      <c r="DC63" s="199">
        <f t="shared" ref="DC63" ca="1" si="2229">DB63*$Z63</f>
        <v>0</v>
      </c>
      <c r="DD63" s="216">
        <f t="shared" ca="1" si="2174"/>
        <v>0</v>
      </c>
      <c r="DE63" s="202">
        <f t="shared" ref="DE63" ca="1" si="2230">DF63/$X63</f>
        <v>0</v>
      </c>
      <c r="DF63" s="203">
        <f t="shared" ref="DF63" ca="1" si="2231">DG63/$Z63</f>
        <v>0</v>
      </c>
      <c r="DG63" s="203">
        <f t="shared" ref="DG63" ca="1" si="2232">DH63*CY$4</f>
        <v>0</v>
      </c>
      <c r="DH63" s="204">
        <f ca="1">IF(CY$6&lt;&gt;"",$O63,$N63)-DD63</f>
        <v>0</v>
      </c>
      <c r="DI63" s="205"/>
      <c r="DJ63" s="206">
        <f t="shared" ref="DJ63" ca="1" si="2233">DI63*$X63</f>
        <v>0</v>
      </c>
      <c r="DK63" s="206">
        <f t="shared" ref="DK63" ca="1" si="2234">DJ63*$Z63</f>
        <v>0</v>
      </c>
      <c r="DL63" s="207">
        <f t="shared" ca="1" si="2175"/>
        <v>0</v>
      </c>
      <c r="DM63" s="313">
        <f>CY63+DI63</f>
        <v>0</v>
      </c>
      <c r="DN63" s="313">
        <f t="shared" ref="DN63" ca="1" si="2235">DB63+IF($T63 ="",DJ63,0)</f>
        <v>0</v>
      </c>
      <c r="DO63" s="313">
        <f t="shared" ref="DO63" ca="1" si="2236">DN63*$Z63</f>
        <v>0</v>
      </c>
      <c r="DP63" s="314">
        <f t="shared" ca="1" si="2064"/>
        <v>0</v>
      </c>
      <c r="DQ63" s="315" t="str">
        <f t="shared" ca="1" si="2176"/>
        <v/>
      </c>
      <c r="DR63" s="197"/>
      <c r="DS63" s="312" t="str">
        <f t="shared" ref="DS63" ca="1" si="2237">IFERROR($X63/DT63-1,"")</f>
        <v/>
      </c>
      <c r="DT63" s="199"/>
      <c r="DU63" s="199">
        <f t="shared" ref="DU63" ca="1" si="2238">DR63*$X63</f>
        <v>0</v>
      </c>
      <c r="DV63" s="199">
        <f t="shared" ref="DV63" ca="1" si="2239">DU63*$Z63</f>
        <v>0</v>
      </c>
      <c r="DW63" s="216">
        <f t="shared" ref="DW63" ca="1" si="2240">IFERROR(DV63/DR$4,0)</f>
        <v>0</v>
      </c>
      <c r="DX63" s="202">
        <f t="shared" ref="DX63" ca="1" si="2241">DY63/$X63</f>
        <v>0</v>
      </c>
      <c r="DY63" s="203">
        <f t="shared" ref="DY63" ca="1" si="2242">DZ63/$Z63</f>
        <v>0</v>
      </c>
      <c r="DZ63" s="203">
        <f t="shared" ref="DZ63" ca="1" si="2243">EA63*DR$4</f>
        <v>0</v>
      </c>
      <c r="EA63" s="204">
        <f ca="1">IF(DR$6&lt;&gt;"",$O63,$N63)-DW63</f>
        <v>0</v>
      </c>
      <c r="EB63" s="205"/>
      <c r="EC63" s="206">
        <f t="shared" ref="EC63" ca="1" si="2244">EB63*$X63</f>
        <v>0</v>
      </c>
      <c r="ED63" s="206">
        <f t="shared" ref="ED63" ca="1" si="2245">EC63*$Z63</f>
        <v>0</v>
      </c>
      <c r="EE63" s="207">
        <f t="shared" ref="EE63" ca="1" si="2246">IFERROR(ED63/DR$4,0)</f>
        <v>0</v>
      </c>
      <c r="EF63" s="313">
        <f>DR63+EB63</f>
        <v>0</v>
      </c>
      <c r="EG63" s="313">
        <f t="shared" ref="EG63" ca="1" si="2247">DU63+IF($T63 ="",EC63,0)</f>
        <v>0</v>
      </c>
      <c r="EH63" s="313">
        <f t="shared" ref="EH63" ca="1" si="2248">EG63*$Z63</f>
        <v>0</v>
      </c>
      <c r="EI63" s="314">
        <f t="shared" ref="EI63" ca="1" si="2249">IFERROR(EH63/DR$4,0)</f>
        <v>0</v>
      </c>
      <c r="EJ63" s="214"/>
      <c r="EK63" s="312" t="str">
        <f t="shared" ref="EK63" ca="1" si="2250">IFERROR($X63/EL63-1,"")</f>
        <v/>
      </c>
      <c r="EL63" s="222"/>
      <c r="EM63" s="199">
        <f t="shared" ref="EM63" ca="1" si="2251">EJ63*$X63</f>
        <v>0</v>
      </c>
      <c r="EN63" s="199">
        <f t="shared" ref="EN63" ca="1" si="2252">EM63*$Z63</f>
        <v>0</v>
      </c>
      <c r="EO63" s="216">
        <f t="shared" ca="1" si="2177"/>
        <v>0</v>
      </c>
      <c r="EP63" s="202">
        <f t="shared" ref="EP63" ca="1" si="2253">EQ63/$X63</f>
        <v>0</v>
      </c>
      <c r="EQ63" s="203">
        <f t="shared" ref="EQ63" ca="1" si="2254">ER63/$Z63</f>
        <v>0</v>
      </c>
      <c r="ER63" s="203">
        <f t="shared" ref="ER63" ca="1" si="2255">ES63*EJ$4</f>
        <v>0</v>
      </c>
      <c r="ES63" s="204">
        <f ca="1">IF(EJ$6&lt;&gt;"",$O63,$N63)-EO63</f>
        <v>0</v>
      </c>
      <c r="ET63" s="205"/>
      <c r="EU63" s="206">
        <f t="shared" ref="EU63" ca="1" si="2256">ET63*$X63</f>
        <v>0</v>
      </c>
      <c r="EV63" s="206">
        <f t="shared" ref="EV63" ca="1" si="2257">EU63*$Z63</f>
        <v>0</v>
      </c>
      <c r="EW63" s="207">
        <f t="shared" ca="1" si="2178"/>
        <v>0</v>
      </c>
      <c r="EX63" s="313">
        <f>EJ63+ET63</f>
        <v>0</v>
      </c>
      <c r="EY63" s="313">
        <f t="shared" ref="EY63" ca="1" si="2258">EM63+IF($T63 ="",EU63,0)</f>
        <v>0</v>
      </c>
      <c r="EZ63" s="313">
        <f t="shared" ref="EZ63" ca="1" si="2259">EY63*$Z63</f>
        <v>0</v>
      </c>
      <c r="FA63" s="314">
        <f t="shared" ca="1" si="2179"/>
        <v>0</v>
      </c>
      <c r="FB63" s="211" t="str">
        <f t="shared" ca="1" si="2180"/>
        <v/>
      </c>
      <c r="FC63" s="214">
        <v>250000</v>
      </c>
      <c r="FD63" s="312">
        <f t="shared" ref="FD63" ca="1" si="2260">IFERROR($X63/FE63-1,"")</f>
        <v>9.8341789841164706E-2</v>
      </c>
      <c r="FE63" s="252">
        <v>0.90659999999999996</v>
      </c>
      <c r="FF63" s="199">
        <f t="shared" ref="FF63" ca="1" si="2261">FC63*$X63</f>
        <v>248939.16666749999</v>
      </c>
      <c r="FG63" s="199">
        <f t="shared" ref="FG63" ca="1" si="2262">FF63*$Z63</f>
        <v>194732.66312565186</v>
      </c>
      <c r="FH63" s="216">
        <f t="shared" ca="1" si="2181"/>
        <v>4.2726762987568875E-2</v>
      </c>
      <c r="FI63" s="202">
        <f t="shared" ref="FI63" ca="1" si="2263">FJ63/$X63</f>
        <v>-250000</v>
      </c>
      <c r="FJ63" s="203">
        <f t="shared" ref="FJ63" ca="1" si="2264">FK63/$Z63</f>
        <v>-248939.16666749999</v>
      </c>
      <c r="FK63" s="203">
        <f t="shared" ref="FK63" ca="1" si="2265">FL63*FC$4</f>
        <v>-194732.66312565186</v>
      </c>
      <c r="FL63" s="204">
        <f ca="1">IF(FC$6&lt;&gt;"",$O63,$N63)-FH63</f>
        <v>-4.2726762987568875E-2</v>
      </c>
      <c r="FM63" s="205"/>
      <c r="FN63" s="206">
        <f t="shared" ref="FN63" ca="1" si="2266">FM63*$X63</f>
        <v>0</v>
      </c>
      <c r="FO63" s="206">
        <f t="shared" ref="FO63" ca="1" si="2267">FN63*$Z63</f>
        <v>0</v>
      </c>
      <c r="FP63" s="207">
        <f t="shared" ca="1" si="2182"/>
        <v>0</v>
      </c>
      <c r="FQ63" s="313">
        <f>FC63+FM63</f>
        <v>250000</v>
      </c>
      <c r="FR63" s="313">
        <f t="shared" ref="FR63" ca="1" si="2268">FF63+IF($T63 ="",FN63,0)</f>
        <v>248939.16666749999</v>
      </c>
      <c r="FS63" s="313">
        <f t="shared" ref="FS63" ca="1" si="2269">FR63*$Z63</f>
        <v>194732.66312565186</v>
      </c>
      <c r="FT63" s="314">
        <f t="shared" ca="1" si="2183"/>
        <v>4.2726762987568875E-2</v>
      </c>
      <c r="FU63" s="315" t="str">
        <f t="shared" ref="FU63" ca="1" si="2270">IF(SUM(FH63,FP63,FT63)&lt;&gt;0,"V","")</f>
        <v>V</v>
      </c>
    </row>
    <row r="64" spans="1:177" outlineLevel="2" x14ac:dyDescent="0.2">
      <c r="A64" s="298"/>
      <c r="B64" s="298"/>
      <c r="C64" s="299" t="str">
        <f t="shared" ca="1" si="2184"/>
        <v>US46435U8532:USD:P</v>
      </c>
      <c r="D64" s="300" t="str">
        <f t="shared" ca="1" si="2184"/>
        <v>US46435U8532</v>
      </c>
      <c r="E64" s="301" t="str">
        <f t="shared" ca="1" si="2184"/>
        <v>38858192</v>
      </c>
      <c r="F64" s="299" t="s">
        <v>4328</v>
      </c>
      <c r="G64" s="316" t="str">
        <f t="shared" ca="1" si="2185"/>
        <v/>
      </c>
      <c r="H64" s="1708" t="str">
        <f ca="1">IF(OFFSET(Origine,MATCH($F64,Descrizioni,0),MATCH(H$15,Intestazioni,0)-1,1,1)&lt;&gt;"",HYPERLINK(OFFSET(Origine,MATCH($F64,Descrizioni,0),MATCH(H$15,Intestazioni,0)-1,1,1),""),"")</f>
        <v></v>
      </c>
      <c r="I64" s="1680" t="str">
        <f ca="1">IF(OFFSET(Origine,MATCH($F64,Descrizioni,0),MATCH(I$15,Intestazioni,0)-1,1,1)&lt;&gt;"",HYPERLINK(OFFSET(Origine,MATCH($F64,Descrizioni,0),MATCH(I$15,Intestazioni,0)-1,1,1),"i"),"")</f>
        <v/>
      </c>
      <c r="J64" s="1708" t="str">
        <f t="shared" ca="1" si="1069"/>
        <v/>
      </c>
      <c r="K64" s="1709" t="str">
        <f t="shared" ca="1" si="1069"/>
        <v/>
      </c>
      <c r="L64" s="1710" t="str">
        <f ca="1">IF(OFFSET(Origine,MATCH($F64,Descrizioni,0),MATCH(L$15,Intestazioni,0)-1,1,1)&lt;&gt;"",HYPERLINK("https://www.zonebourse.com/mods_a/charts/TV/inc_dyna_graph.php?c="&amp;OFFSET(Origine,MATCH($F64,Descrizioni,0),MATCH(L$15,Intestazioni,0)-1,1,1)&amp;"&amp;style=TradingView.CANDLES&amp;showAT=1",""),"")</f>
        <v/>
      </c>
      <c r="M64" s="298" t="str">
        <f ca="1">(OFFSET(Origine,MATCH($F64,Descrizioni,0),MATCH(M$15,Intestazioni,0)-1,1,1))</f>
        <v>Unit</v>
      </c>
      <c r="N64" s="321"/>
      <c r="O64" s="321"/>
      <c r="P64" s="322">
        <f t="shared" ca="1" si="1539"/>
        <v>0</v>
      </c>
      <c r="Q64" s="307">
        <f t="array" aca="1" ref="Q64" ca="1">SUM(IF($AA$15:$FT$15="I_pos",AA64:FT64))</f>
        <v>0</v>
      </c>
      <c r="R64" s="307">
        <f t="array" aca="1" ref="R64" ca="1">SUM(IF($AA$15:$FT$15="P_Pos",AA64:FT64))</f>
        <v>0</v>
      </c>
      <c r="S64" s="304"/>
      <c r="T64" s="307"/>
      <c r="U64" s="308">
        <f ca="1">OFFSET(Origine,MATCH($F64,Descrizioni,0),MATCH(U$15,Intestazioni,0)-1,1,1)</f>
        <v>-2.0155872077399998E-3</v>
      </c>
      <c r="V64" s="307">
        <f t="array" aca="1" ref="V64" ca="1">SUM(IF($AA$15:$FT$15="O_Pos",AA64:FT64))</f>
        <v>0</v>
      </c>
      <c r="W64" s="299" t="str">
        <f ca="1">OFFSET(Origine,MATCH($F64,Descrizioni,0),MATCH(W$15,Intestazioni,0)-1,1,1)</f>
        <v>USD</v>
      </c>
      <c r="X64" s="309">
        <f t="shared" ca="1" si="496"/>
        <v>37.134999999999998</v>
      </c>
      <c r="Y64" s="310">
        <f t="shared" ca="1" si="496"/>
        <v>0</v>
      </c>
      <c r="Z64" s="311">
        <f ca="1">_xlfn.NUMBERVALUE(OFFSET(Origine,MATCH(W64&amp;"/"&amp;MRif,LUKB_Name,0),MATCH("Price",Intestazioni,0)-1,1,1))</f>
        <v>0.78225</v>
      </c>
      <c r="AA64" s="214"/>
      <c r="AB64" s="312" t="str">
        <f t="shared" ref="AB64" ca="1" si="2271">IFERROR($X64/AC64-1,"")</f>
        <v/>
      </c>
      <c r="AC64" s="215"/>
      <c r="AD64" s="199">
        <f ca="1">AA64*$X64</f>
        <v>0</v>
      </c>
      <c r="AE64" s="199">
        <f ca="1">AD64*$Z64</f>
        <v>0</v>
      </c>
      <c r="AF64" s="216">
        <f t="shared" ref="AF64" ca="1" si="2272">IFERROR(AE64/AA$4,0)</f>
        <v>0</v>
      </c>
      <c r="AG64" s="202">
        <f ca="1">AH64/$X64</f>
        <v>0</v>
      </c>
      <c r="AH64" s="203">
        <f ca="1">AI64/$Z64</f>
        <v>0</v>
      </c>
      <c r="AI64" s="203">
        <f t="shared" ref="AI64" ca="1" si="2273">AJ64*AA$4</f>
        <v>0</v>
      </c>
      <c r="AJ64" s="204">
        <f ca="1">IF(AA$6&lt;&gt;"",$O64,$N64)-AF64</f>
        <v>0</v>
      </c>
      <c r="AK64" s="205"/>
      <c r="AL64" s="206">
        <f ca="1">AK64*$X64</f>
        <v>0</v>
      </c>
      <c r="AM64" s="206">
        <f ca="1">AL64*$Z64</f>
        <v>0</v>
      </c>
      <c r="AN64" s="207">
        <f t="shared" ref="AN64" ca="1" si="2274">IFERROR(AM64/AA$4,0)</f>
        <v>0</v>
      </c>
      <c r="AO64" s="313">
        <f t="shared" ref="AO64" si="2275">AA64+AK64</f>
        <v>0</v>
      </c>
      <c r="AP64" s="313">
        <f t="shared" ref="AP64" ca="1" si="2276">AD64+IF($T64 ="",AL64,0)</f>
        <v>0</v>
      </c>
      <c r="AQ64" s="313">
        <f ca="1">AP64*$Z64</f>
        <v>0</v>
      </c>
      <c r="AR64" s="314">
        <f t="shared" ref="AR64" ca="1" si="2277">IFERROR(AQ64/AA$4,0)</f>
        <v>0</v>
      </c>
      <c r="AS64" s="315" t="str">
        <f ca="1">IF(SUM(AF64,AN64,AR64)&lt;&gt;0,"V","")</f>
        <v/>
      </c>
      <c r="AT64" s="214"/>
      <c r="AU64" s="312" t="str">
        <f t="shared" ref="AU64" ca="1" si="2278">IFERROR($X64/AV64-1,"")</f>
        <v/>
      </c>
      <c r="AV64" s="215"/>
      <c r="AW64" s="199">
        <f ca="1">AT64*$X64</f>
        <v>0</v>
      </c>
      <c r="AX64" s="199">
        <f ca="1">AW64*$Z64</f>
        <v>0</v>
      </c>
      <c r="AY64" s="216">
        <f t="shared" ref="AY64" ca="1" si="2279">IFERROR(AX64/AT$4,0)</f>
        <v>0</v>
      </c>
      <c r="AZ64" s="202">
        <f ca="1">BA64/$X64</f>
        <v>0</v>
      </c>
      <c r="BA64" s="203">
        <f ca="1">BB64/$Z64</f>
        <v>0</v>
      </c>
      <c r="BB64" s="203">
        <f t="shared" ref="BB64" ca="1" si="2280">BC64*AT$4</f>
        <v>0</v>
      </c>
      <c r="BC64" s="204">
        <f ca="1">IF(AT$6&lt;&gt;"",$O64,$N64)-AY64</f>
        <v>0</v>
      </c>
      <c r="BD64" s="205"/>
      <c r="BE64" s="206">
        <f ca="1">BD64*$X64</f>
        <v>0</v>
      </c>
      <c r="BF64" s="206">
        <f ca="1">BE64*$Z64</f>
        <v>0</v>
      </c>
      <c r="BG64" s="207">
        <f t="shared" ref="BG64" ca="1" si="2281">IFERROR(BF64/AT$4,0)</f>
        <v>0</v>
      </c>
      <c r="BH64" s="313">
        <f>AT64+BD64</f>
        <v>0</v>
      </c>
      <c r="BI64" s="313">
        <f t="shared" ref="BI64" ca="1" si="2282">AW64+IF($T64 ="",BE64,0)</f>
        <v>0</v>
      </c>
      <c r="BJ64" s="313">
        <f ca="1">BI64*$Z64</f>
        <v>0</v>
      </c>
      <c r="BK64" s="314">
        <f t="shared" ref="BK64" ca="1" si="2283">IFERROR(BJ64/AT$4,0)</f>
        <v>0</v>
      </c>
      <c r="BL64" s="211" t="str">
        <f ca="1">IF(SUM(AY64,BG64,BK64)&lt;&gt;0,"V","")</f>
        <v/>
      </c>
      <c r="BM64" s="214"/>
      <c r="BN64" s="312" t="str">
        <f t="shared" ref="BN64" ca="1" si="2284">IFERROR($X64/BO64-1,"")</f>
        <v/>
      </c>
      <c r="BO64" s="215"/>
      <c r="BP64" s="199">
        <f ca="1">BM64*$X64</f>
        <v>0</v>
      </c>
      <c r="BQ64" s="199">
        <f ca="1">BP64*$Z64</f>
        <v>0</v>
      </c>
      <c r="BR64" s="216">
        <f t="shared" ref="BR64" ca="1" si="2285">IFERROR(BQ64/BM$4,0)</f>
        <v>0</v>
      </c>
      <c r="BS64" s="202">
        <f ca="1">BT64/$X64</f>
        <v>0</v>
      </c>
      <c r="BT64" s="203">
        <f ca="1">BU64/$Z64</f>
        <v>0</v>
      </c>
      <c r="BU64" s="203">
        <f t="shared" ref="BU64" ca="1" si="2286">BV64*BM$4</f>
        <v>0</v>
      </c>
      <c r="BV64" s="204">
        <f ca="1">IF(BM$6&lt;&gt;"",$O64,$N64)-BR64</f>
        <v>0</v>
      </c>
      <c r="BW64" s="205"/>
      <c r="BX64" s="206">
        <f ca="1">BW64*$X64</f>
        <v>0</v>
      </c>
      <c r="BY64" s="206">
        <f ca="1">BX64*$Z64</f>
        <v>0</v>
      </c>
      <c r="BZ64" s="207">
        <f t="shared" ref="BZ64" ca="1" si="2287">IFERROR(BY64/BM$4,0)</f>
        <v>0</v>
      </c>
      <c r="CA64" s="313">
        <f t="shared" ref="CA64" si="2288">BM64+BW64</f>
        <v>0</v>
      </c>
      <c r="CB64" s="313">
        <f t="shared" ref="CB64" ca="1" si="2289">BP64+IF($T64 ="",BX64,0)</f>
        <v>0</v>
      </c>
      <c r="CC64" s="313">
        <f ca="1">CB64*$Z64</f>
        <v>0</v>
      </c>
      <c r="CD64" s="314">
        <f t="shared" ref="CD64" ca="1" si="2290">IFERROR(CC64/BM$4,0)</f>
        <v>0</v>
      </c>
      <c r="CE64" s="211" t="str">
        <f ca="1">IF(SUM(BR64,BZ64,CD64)&lt;&gt;0,"V","")</f>
        <v/>
      </c>
      <c r="CF64" s="214"/>
      <c r="CG64" s="312" t="str">
        <f t="shared" ref="CG64" ca="1" si="2291">IFERROR($X64/CH64-1,"")</f>
        <v/>
      </c>
      <c r="CH64" s="215"/>
      <c r="CI64" s="199">
        <f ca="1">CF64*$X64</f>
        <v>0</v>
      </c>
      <c r="CJ64" s="199">
        <f ca="1">CI64*$Z64</f>
        <v>0</v>
      </c>
      <c r="CK64" s="216">
        <f ca="1">IFERROR(CJ64/CF$4,0)</f>
        <v>0</v>
      </c>
      <c r="CL64" s="202">
        <f ca="1">CM64/$X64</f>
        <v>0</v>
      </c>
      <c r="CM64" s="203">
        <f ca="1">CN64/$Z64</f>
        <v>0</v>
      </c>
      <c r="CN64" s="203">
        <f ca="1">CO64*CF$4</f>
        <v>0</v>
      </c>
      <c r="CO64" s="204">
        <f ca="1">IF(CF$6&lt;&gt;"",$O64,$N64)-CK64</f>
        <v>0</v>
      </c>
      <c r="CP64" s="205"/>
      <c r="CQ64" s="206">
        <f ca="1">CP64*$X64</f>
        <v>0</v>
      </c>
      <c r="CR64" s="206">
        <f ca="1">CQ64*$Z64</f>
        <v>0</v>
      </c>
      <c r="CS64" s="207">
        <f ca="1">IFERROR(CR64/CF$4,0)</f>
        <v>0</v>
      </c>
      <c r="CT64" s="313">
        <f t="shared" ref="CT64" si="2292">CF64+CP64</f>
        <v>0</v>
      </c>
      <c r="CU64" s="313">
        <f t="shared" ref="CU64" ca="1" si="2293">CI64+IF($T64 ="",CQ64,0)</f>
        <v>0</v>
      </c>
      <c r="CV64" s="313">
        <f ca="1">CU64*$Z64</f>
        <v>0</v>
      </c>
      <c r="CW64" s="314">
        <f ca="1">IFERROR(CV64/CF$4,0)</f>
        <v>0</v>
      </c>
      <c r="CX64" s="211" t="str">
        <f ca="1">IF(SUM(CK64,CS64,CW64)&lt;&gt;0,"V","")</f>
        <v/>
      </c>
      <c r="CY64" s="197"/>
      <c r="CZ64" s="312" t="str">
        <f t="shared" ref="CZ64" ca="1" si="2294">IFERROR($X64/DA64-1,"")</f>
        <v/>
      </c>
      <c r="DA64" s="199"/>
      <c r="DB64" s="199">
        <f t="shared" ref="DB64" ca="1" si="2295">CY64*$X64</f>
        <v>0</v>
      </c>
      <c r="DC64" s="199">
        <f t="shared" ref="DC64" ca="1" si="2296">DB64*$Z64</f>
        <v>0</v>
      </c>
      <c r="DD64" s="216">
        <f t="shared" ref="DD64" ca="1" si="2297">IFERROR(DC64/CY$4,0)</f>
        <v>0</v>
      </c>
      <c r="DE64" s="202">
        <f t="shared" ref="DE64" ca="1" si="2298">DF64/$X64</f>
        <v>0</v>
      </c>
      <c r="DF64" s="203">
        <f t="shared" ref="DF64" ca="1" si="2299">DG64/$Z64</f>
        <v>0</v>
      </c>
      <c r="DG64" s="203">
        <f t="shared" ref="DG64" ca="1" si="2300">DH64*CY$4</f>
        <v>0</v>
      </c>
      <c r="DH64" s="204">
        <f ca="1">IF(CY$6&lt;&gt;"",$O64,$N64)-DD64</f>
        <v>0</v>
      </c>
      <c r="DI64" s="205"/>
      <c r="DJ64" s="206">
        <f t="shared" ref="DJ64" ca="1" si="2301">DI64*$X64</f>
        <v>0</v>
      </c>
      <c r="DK64" s="206">
        <f t="shared" ref="DK64" ca="1" si="2302">DJ64*$Z64</f>
        <v>0</v>
      </c>
      <c r="DL64" s="207">
        <f t="shared" ref="DL64" ca="1" si="2303">IFERROR(DK64/CY$4,0)</f>
        <v>0</v>
      </c>
      <c r="DM64" s="313">
        <f t="shared" ref="DM64" si="2304">CY64+DI64</f>
        <v>0</v>
      </c>
      <c r="DN64" s="313">
        <f t="shared" ref="DN64" ca="1" si="2305">DB64+IF($T64 ="",DJ64,0)</f>
        <v>0</v>
      </c>
      <c r="DO64" s="313">
        <f ca="1">DN64*$Z64</f>
        <v>0</v>
      </c>
      <c r="DP64" s="314">
        <f ca="1">IFERROR(DO64/CY$4,0)</f>
        <v>0</v>
      </c>
      <c r="DQ64" s="315" t="str">
        <f ca="1">IF(SUM(DD64,DL64,DP64)&lt;&gt;0,"V","")</f>
        <v/>
      </c>
      <c r="DR64" s="197"/>
      <c r="DS64" s="312" t="str">
        <f t="shared" ref="DS64" ca="1" si="2306">IFERROR($X64/DT64-1,"")</f>
        <v/>
      </c>
      <c r="DT64" s="199"/>
      <c r="DU64" s="199">
        <f t="shared" ref="DU64" ca="1" si="2307">DR64*$X64</f>
        <v>0</v>
      </c>
      <c r="DV64" s="199">
        <f t="shared" ref="DV64" ca="1" si="2308">DU64*$Z64</f>
        <v>0</v>
      </c>
      <c r="DW64" s="216">
        <f t="shared" ref="DW64" ca="1" si="2309">IFERROR(DV64/DR$4,0)</f>
        <v>0</v>
      </c>
      <c r="DX64" s="202">
        <f t="shared" ref="DX64" ca="1" si="2310">DY64/$X64</f>
        <v>0</v>
      </c>
      <c r="DY64" s="203">
        <f t="shared" ref="DY64" ca="1" si="2311">DZ64/$Z64</f>
        <v>0</v>
      </c>
      <c r="DZ64" s="203">
        <f t="shared" ref="DZ64" ca="1" si="2312">EA64*DR$4</f>
        <v>0</v>
      </c>
      <c r="EA64" s="204">
        <f ca="1">IF(DR$6&lt;&gt;"",$O64,$N64)-DW64</f>
        <v>0</v>
      </c>
      <c r="EB64" s="205"/>
      <c r="EC64" s="206">
        <f t="shared" ref="EC64" ca="1" si="2313">EB64*$X64</f>
        <v>0</v>
      </c>
      <c r="ED64" s="206">
        <f t="shared" ref="ED64" ca="1" si="2314">EC64*$Z64</f>
        <v>0</v>
      </c>
      <c r="EE64" s="207">
        <f t="shared" ref="EE64" ca="1" si="2315">IFERROR(ED64/DR$4,0)</f>
        <v>0</v>
      </c>
      <c r="EF64" s="313">
        <f t="shared" ref="EF64" si="2316">DR64+EB64</f>
        <v>0</v>
      </c>
      <c r="EG64" s="313">
        <f t="shared" ref="EG64" ca="1" si="2317">DU64+IF($T64 ="",EC64,0)</f>
        <v>0</v>
      </c>
      <c r="EH64" s="313">
        <f ca="1">EG64*$Z64</f>
        <v>0</v>
      </c>
      <c r="EI64" s="314">
        <f ca="1">IFERROR(EH64/DR$4,0)</f>
        <v>0</v>
      </c>
      <c r="EJ64" s="214"/>
      <c r="EK64" s="312" t="str">
        <f t="shared" ref="EK64" ca="1" si="2318">IFERROR($X64/EL64-1,"")</f>
        <v/>
      </c>
      <c r="EL64" s="222"/>
      <c r="EM64" s="199">
        <f ca="1">EJ64*$X64</f>
        <v>0</v>
      </c>
      <c r="EN64" s="199">
        <f ca="1">EM64*$Z64</f>
        <v>0</v>
      </c>
      <c r="EO64" s="216">
        <f t="shared" ref="EO64" ca="1" si="2319">IFERROR(EN64/EJ$4,0)</f>
        <v>0</v>
      </c>
      <c r="EP64" s="202">
        <f ca="1">EQ64/$X64</f>
        <v>0</v>
      </c>
      <c r="EQ64" s="203">
        <f ca="1">ER64/$Z64</f>
        <v>0</v>
      </c>
      <c r="ER64" s="203">
        <f t="shared" ref="ER64" ca="1" si="2320">ES64*EJ$4</f>
        <v>0</v>
      </c>
      <c r="ES64" s="204">
        <f ca="1">IF(EJ$6&lt;&gt;"",$O64,$N64)-EO64</f>
        <v>0</v>
      </c>
      <c r="ET64" s="205"/>
      <c r="EU64" s="206">
        <f ca="1">ET64*$X64</f>
        <v>0</v>
      </c>
      <c r="EV64" s="206">
        <f ca="1">EU64*$Z64</f>
        <v>0</v>
      </c>
      <c r="EW64" s="207">
        <f t="shared" ref="EW64" ca="1" si="2321">IFERROR(EV64/EJ$4,0)</f>
        <v>0</v>
      </c>
      <c r="EX64" s="313">
        <f t="shared" ref="EX64" si="2322">EJ64+ET64</f>
        <v>0</v>
      </c>
      <c r="EY64" s="313">
        <f t="shared" ref="EY64" ca="1" si="2323">EM64+IF($T64 ="",EU64,0)</f>
        <v>0</v>
      </c>
      <c r="EZ64" s="313">
        <f ca="1">EY64*$Z64</f>
        <v>0</v>
      </c>
      <c r="FA64" s="314">
        <f t="shared" ref="FA64" ca="1" si="2324">IFERROR(EZ64/EJ$4,0)</f>
        <v>0</v>
      </c>
      <c r="FB64" s="211" t="str">
        <f ca="1">IF(SUM(EO64,EW64,FA64)&lt;&gt;0,"V","")</f>
        <v/>
      </c>
      <c r="FC64" s="214"/>
      <c r="FD64" s="312" t="str">
        <f t="shared" ref="FD64" ca="1" si="2325">IFERROR($X64/FE64-1,"")</f>
        <v/>
      </c>
      <c r="FE64" s="215"/>
      <c r="FF64" s="199">
        <f ca="1">FC64*$X64</f>
        <v>0</v>
      </c>
      <c r="FG64" s="199">
        <f ca="1">FF64*$Z64</f>
        <v>0</v>
      </c>
      <c r="FH64" s="216">
        <f t="shared" ref="FH64" ca="1" si="2326">IFERROR(FG64/FC$4,0)</f>
        <v>0</v>
      </c>
      <c r="FI64" s="202">
        <f ca="1">FJ64/$X64</f>
        <v>0</v>
      </c>
      <c r="FJ64" s="203">
        <f ca="1">FK64/$Z64</f>
        <v>0</v>
      </c>
      <c r="FK64" s="203">
        <f t="shared" ref="FK64" ca="1" si="2327">FL64*FC$4</f>
        <v>0</v>
      </c>
      <c r="FL64" s="204">
        <f ca="1">IF(FC$6&lt;&gt;"",$O64,$N64)-FH64</f>
        <v>0</v>
      </c>
      <c r="FM64" s="205"/>
      <c r="FN64" s="206">
        <f ca="1">FM64*$X64</f>
        <v>0</v>
      </c>
      <c r="FO64" s="206">
        <f ca="1">FN64*$Z64</f>
        <v>0</v>
      </c>
      <c r="FP64" s="207">
        <f t="shared" ref="FP64" ca="1" si="2328">IFERROR(FO64/FC$4,0)</f>
        <v>0</v>
      </c>
      <c r="FQ64" s="313">
        <f t="shared" ref="FQ64" si="2329">FC64+FM64</f>
        <v>0</v>
      </c>
      <c r="FR64" s="313">
        <f t="shared" ref="FR64" ca="1" si="2330">FF64+IF($T64 ="",FN64,0)</f>
        <v>0</v>
      </c>
      <c r="FS64" s="313">
        <f ca="1">FR64*$Z64</f>
        <v>0</v>
      </c>
      <c r="FT64" s="314">
        <f t="shared" ref="FT64" ca="1" si="2331">IFERROR(FS64/FC$4,0)</f>
        <v>0</v>
      </c>
      <c r="FU64" s="315" t="str">
        <f ca="1">IF(SUM(FH64,FP64,FT64)&lt;&gt;0,"V","")</f>
        <v/>
      </c>
    </row>
    <row r="65" spans="1:177" outlineLevel="2" x14ac:dyDescent="0.2">
      <c r="A65" s="298"/>
      <c r="B65" s="298"/>
      <c r="C65" s="299" t="str">
        <f t="shared" ca="1" si="2184"/>
        <v>IE00BK7Y2R57:CHF</v>
      </c>
      <c r="D65" s="300" t="str">
        <f t="shared" ca="1" si="2184"/>
        <v>IE00BK7Y2R57</v>
      </c>
      <c r="E65" s="301" t="str">
        <f t="shared" ca="1" si="2184"/>
        <v>48370001</v>
      </c>
      <c r="F65" s="299" t="s">
        <v>746</v>
      </c>
      <c r="G65" s="316" t="str">
        <f t="shared" ca="1" si="2185"/>
        <v/>
      </c>
      <c r="H65" s="1708" t="str">
        <f ca="1">IF(OFFSET(Origine,MATCH($F65,Descrizioni,0),MATCH(H$15,Intestazioni,0)-1,1,1)&lt;&gt;"",HYPERLINK(OFFSET(Origine,MATCH($F65,Descrizioni,0),MATCH(H$15,Intestazioni,0)-1,1,1),""),"")</f>
        <v></v>
      </c>
      <c r="I65" s="1680" t="str">
        <f ca="1">IF(OFFSET(Origine,MATCH($F65,Descrizioni,0),MATCH(I$15,Intestazioni,0)-1,1,1)&lt;&gt;"",HYPERLINK(OFFSET(Origine,MATCH($F65,Descrizioni,0),MATCH(I$15,Intestazioni,0)-1,1,1),"i"),"")</f>
        <v>i</v>
      </c>
      <c r="J65" s="1708" t="str">
        <f t="shared" ca="1" si="1069"/>
        <v/>
      </c>
      <c r="K65" s="1709" t="str">
        <f t="shared" ca="1" si="1069"/>
        <v></v>
      </c>
      <c r="L65" s="1710" t="str">
        <f ca="1">IF(OFFSET(Origine,MATCH($F65,Descrizioni,0),MATCH(L$15,Intestazioni,0)-1,1,1)&lt;&gt;"",HYPERLINK("https://www.zonebourse.com/mods_a/charts/TV/inc_dyna_graph.php?c="&amp;OFFSET(Origine,MATCH($F65,Descrizioni,0),MATCH(L$15,Intestazioni,0)-1,1,1)&amp;"&amp;style=TradingView.CANDLES&amp;showAT=1",""),"")</f>
        <v></v>
      </c>
      <c r="M65" s="298" t="str">
        <f ca="1">(OFFSET(Origine,MATCH($F65,Descrizioni,0),MATCH(M$15,Intestazioni,0)-1,1,1))</f>
        <v>Unit</v>
      </c>
      <c r="N65" s="321"/>
      <c r="O65" s="321"/>
      <c r="P65" s="322">
        <f t="shared" ca="1" si="1539"/>
        <v>0</v>
      </c>
      <c r="Q65" s="307">
        <f t="array" aca="1" ref="Q65" ca="1">SUM(IF($AA$15:$FT$15="I_pos",AA65:FT65))</f>
        <v>0</v>
      </c>
      <c r="R65" s="307">
        <f t="array" aca="1" ref="R65" ca="1">SUM(IF($AA$15:$FT$15="P_Pos",AA65:FT65))</f>
        <v>0</v>
      </c>
      <c r="S65" s="304"/>
      <c r="T65" s="307"/>
      <c r="U65" s="308">
        <f ca="1">OFFSET(Origine,MATCH($F65,Descrizioni,0),MATCH(U$15,Intestazioni,0)-1,1,1)</f>
        <v>-2.5274201239867001E-3</v>
      </c>
      <c r="V65" s="307">
        <f t="array" aca="1" ref="V65" ca="1">SUM(IF($AA$15:$FT$15="O_Pos",AA65:FT65))</f>
        <v>0</v>
      </c>
      <c r="W65" s="299" t="str">
        <f ca="1">OFFSET(Origine,MATCH($F65,Descrizioni,0),MATCH(W$15,Intestazioni,0)-1,1,1)</f>
        <v>CHF</v>
      </c>
      <c r="X65" s="309">
        <f t="shared" ca="1" si="496"/>
        <v>4.1833999999999998</v>
      </c>
      <c r="Y65" s="310">
        <f t="shared" ca="1" si="496"/>
        <v>0</v>
      </c>
      <c r="Z65" s="311">
        <f ca="1">_xlfn.NUMBERVALUE(OFFSET(Origine,MATCH(W65&amp;"/"&amp;MRif,LUKB_Name,0),MATCH("Price",Intestazioni,0)-1,1,1))</f>
        <v>1.0000001300000001</v>
      </c>
      <c r="AA65" s="214"/>
      <c r="AB65" s="312" t="str">
        <f t="shared" ref="AB65" ca="1" si="2332">IFERROR($X65/AC65-1,"")</f>
        <v/>
      </c>
      <c r="AC65" s="215"/>
      <c r="AD65" s="199">
        <f ca="1">AA65*$X65</f>
        <v>0</v>
      </c>
      <c r="AE65" s="199">
        <f ca="1">AD65*$Z65</f>
        <v>0</v>
      </c>
      <c r="AF65" s="216">
        <f t="shared" ref="AF65:AF66" ca="1" si="2333">IFERROR(AE65/AA$4,0)</f>
        <v>0</v>
      </c>
      <c r="AG65" s="202">
        <f ca="1">AH65/$X65</f>
        <v>0</v>
      </c>
      <c r="AH65" s="203">
        <f ca="1">AI65/$Z65</f>
        <v>0</v>
      </c>
      <c r="AI65" s="203">
        <f t="shared" ref="AI65" ca="1" si="2334">AJ65*AA$4</f>
        <v>0</v>
      </c>
      <c r="AJ65" s="204">
        <f ca="1">IF(AA$6&lt;&gt;"",$O65,$N65)-AF65</f>
        <v>0</v>
      </c>
      <c r="AK65" s="205"/>
      <c r="AL65" s="206">
        <f ca="1">AK65*$X65</f>
        <v>0</v>
      </c>
      <c r="AM65" s="206">
        <f ca="1">AL65*$Z65</f>
        <v>0</v>
      </c>
      <c r="AN65" s="207">
        <f t="shared" ref="AN65:AN66" ca="1" si="2335">IFERROR(AM65/AA$4,0)</f>
        <v>0</v>
      </c>
      <c r="AO65" s="313">
        <f t="shared" ref="AO65" si="2336">AA65+AK65</f>
        <v>0</v>
      </c>
      <c r="AP65" s="313">
        <f t="shared" ca="1" si="601"/>
        <v>0</v>
      </c>
      <c r="AQ65" s="313">
        <f ca="1">AP65*$Z65</f>
        <v>0</v>
      </c>
      <c r="AR65" s="314">
        <f t="shared" ref="AR65:AR66" ca="1" si="2337">IFERROR(AQ65/AA$4,0)</f>
        <v>0</v>
      </c>
      <c r="AS65" s="315" t="str">
        <f ca="1">IF(SUM(AF65,AN65,AR65)&lt;&gt;0,"V","")</f>
        <v/>
      </c>
      <c r="AT65" s="214"/>
      <c r="AU65" s="312" t="str">
        <f t="shared" ref="AU65" ca="1" si="2338">IFERROR($X65/AV65-1,"")</f>
        <v/>
      </c>
      <c r="AV65" s="215"/>
      <c r="AW65" s="199">
        <f ca="1">AT65*$X65</f>
        <v>0</v>
      </c>
      <c r="AX65" s="199">
        <f ca="1">AW65*$Z65</f>
        <v>0</v>
      </c>
      <c r="AY65" s="216">
        <f t="shared" ref="AY65:AY66" ca="1" si="2339">IFERROR(AX65/AT$4,0)</f>
        <v>0</v>
      </c>
      <c r="AZ65" s="202">
        <f ca="1">BA65/$X65</f>
        <v>0</v>
      </c>
      <c r="BA65" s="203">
        <f ca="1">BB65/$Z65</f>
        <v>0</v>
      </c>
      <c r="BB65" s="203">
        <f t="shared" ref="BB65" ca="1" si="2340">BC65*AT$4</f>
        <v>0</v>
      </c>
      <c r="BC65" s="204">
        <f ca="1">IF(AT$6&lt;&gt;"",$O65,$N65)-AY65</f>
        <v>0</v>
      </c>
      <c r="BD65" s="205"/>
      <c r="BE65" s="206">
        <f ca="1">BD65*$X65</f>
        <v>0</v>
      </c>
      <c r="BF65" s="206">
        <f ca="1">BE65*$Z65</f>
        <v>0</v>
      </c>
      <c r="BG65" s="207">
        <f t="shared" ref="BG65:BG66" ca="1" si="2341">IFERROR(BF65/AT$4,0)</f>
        <v>0</v>
      </c>
      <c r="BH65" s="313">
        <f>AT65+BD65</f>
        <v>0</v>
      </c>
      <c r="BI65" s="313">
        <f t="shared" ca="1" si="615"/>
        <v>0</v>
      </c>
      <c r="BJ65" s="313">
        <f ca="1">BI65*$Z65</f>
        <v>0</v>
      </c>
      <c r="BK65" s="314">
        <f t="shared" ref="BK65:BK66" ca="1" si="2342">IFERROR(BJ65/AT$4,0)</f>
        <v>0</v>
      </c>
      <c r="BL65" s="211" t="str">
        <f ca="1">IF(SUM(AY65,BG65,BK65)&lt;&gt;0,"V","")</f>
        <v/>
      </c>
      <c r="BM65" s="214"/>
      <c r="BN65" s="312" t="str">
        <f t="shared" ref="BN65" ca="1" si="2343">IFERROR($X65/BO65-1,"")</f>
        <v/>
      </c>
      <c r="BO65" s="215"/>
      <c r="BP65" s="199">
        <f ca="1">BM65*$X65</f>
        <v>0</v>
      </c>
      <c r="BQ65" s="199">
        <f ca="1">BP65*$Z65</f>
        <v>0</v>
      </c>
      <c r="BR65" s="216">
        <f t="shared" ref="BR65:BR66" ca="1" si="2344">IFERROR(BQ65/BM$4,0)</f>
        <v>0</v>
      </c>
      <c r="BS65" s="202">
        <f ca="1">BT65/$X65</f>
        <v>0</v>
      </c>
      <c r="BT65" s="203">
        <f ca="1">BU65/$Z65</f>
        <v>0</v>
      </c>
      <c r="BU65" s="203">
        <f t="shared" ref="BU65" ca="1" si="2345">BV65*BM$4</f>
        <v>0</v>
      </c>
      <c r="BV65" s="204">
        <f ca="1">IF(BM$6&lt;&gt;"",$O65,$N65)-BR65</f>
        <v>0</v>
      </c>
      <c r="BW65" s="205"/>
      <c r="BX65" s="206">
        <f ca="1">BW65*$X65</f>
        <v>0</v>
      </c>
      <c r="BY65" s="206">
        <f ca="1">BX65*$Z65</f>
        <v>0</v>
      </c>
      <c r="BZ65" s="207">
        <f t="shared" ref="BZ65:BZ66" ca="1" si="2346">IFERROR(BY65/BM$4,0)</f>
        <v>0</v>
      </c>
      <c r="CA65" s="313">
        <f t="shared" ref="CA65" si="2347">BM65+BW65</f>
        <v>0</v>
      </c>
      <c r="CB65" s="313">
        <f t="shared" ca="1" si="629"/>
        <v>0</v>
      </c>
      <c r="CC65" s="313">
        <f ca="1">CB65*$Z65</f>
        <v>0</v>
      </c>
      <c r="CD65" s="314">
        <f t="shared" ref="CD65:CD66" ca="1" si="2348">IFERROR(CC65/BM$4,0)</f>
        <v>0</v>
      </c>
      <c r="CE65" s="211" t="str">
        <f ca="1">IF(SUM(BR65,BZ65,CD65)&lt;&gt;0,"V","")</f>
        <v/>
      </c>
      <c r="CF65" s="214"/>
      <c r="CG65" s="312" t="str">
        <f t="shared" ref="CG65" ca="1" si="2349">IFERROR($X65/CH65-1,"")</f>
        <v/>
      </c>
      <c r="CH65" s="215"/>
      <c r="CI65" s="199">
        <f ca="1">CF65*$X65</f>
        <v>0</v>
      </c>
      <c r="CJ65" s="199">
        <f ca="1">CI65*$Z65</f>
        <v>0</v>
      </c>
      <c r="CK65" s="216">
        <f ca="1">IFERROR(CJ65/CF$4,0)</f>
        <v>0</v>
      </c>
      <c r="CL65" s="202">
        <f ca="1">CM65/$X65</f>
        <v>0</v>
      </c>
      <c r="CM65" s="203">
        <f ca="1">CN65/$Z65</f>
        <v>0</v>
      </c>
      <c r="CN65" s="203">
        <f ca="1">CO65*CF$4</f>
        <v>0</v>
      </c>
      <c r="CO65" s="204">
        <f ca="1">IF(CF$6&lt;&gt;"",$O65,$N65)-CK65</f>
        <v>0</v>
      </c>
      <c r="CP65" s="205"/>
      <c r="CQ65" s="206">
        <f ca="1">CP65*$X65</f>
        <v>0</v>
      </c>
      <c r="CR65" s="206">
        <f ca="1">CQ65*$Z65</f>
        <v>0</v>
      </c>
      <c r="CS65" s="207">
        <f ca="1">IFERROR(CR65/CF$4,0)</f>
        <v>0</v>
      </c>
      <c r="CT65" s="313">
        <f t="shared" ref="CT65" si="2350">CF65+CP65</f>
        <v>0</v>
      </c>
      <c r="CU65" s="313">
        <f t="shared" ca="1" si="643"/>
        <v>0</v>
      </c>
      <c r="CV65" s="313">
        <f ca="1">CU65*$Z65</f>
        <v>0</v>
      </c>
      <c r="CW65" s="314">
        <f ca="1">IFERROR(CV65/CF$4,0)</f>
        <v>0</v>
      </c>
      <c r="CX65" s="211" t="str">
        <f ca="1">IF(SUM(CK65,CS65,CW65)&lt;&gt;0,"V","")</f>
        <v/>
      </c>
      <c r="CY65" s="197"/>
      <c r="CZ65" s="312" t="str">
        <f t="shared" ref="CZ65" ca="1" si="2351">IFERROR($X65/DA65-1,"")</f>
        <v/>
      </c>
      <c r="DA65" s="199"/>
      <c r="DB65" s="199">
        <f t="shared" ca="1" si="2035"/>
        <v>0</v>
      </c>
      <c r="DC65" s="199">
        <f t="shared" ca="1" si="2036"/>
        <v>0</v>
      </c>
      <c r="DD65" s="216">
        <f t="shared" ref="DD65:DD66" ca="1" si="2352">IFERROR(DC65/CY$4,0)</f>
        <v>0</v>
      </c>
      <c r="DE65" s="202">
        <f t="shared" ca="1" si="2038"/>
        <v>0</v>
      </c>
      <c r="DF65" s="203">
        <f t="shared" ca="1" si="2039"/>
        <v>0</v>
      </c>
      <c r="DG65" s="203">
        <f t="shared" ref="DG65" ca="1" si="2353">DH65*CY$4</f>
        <v>0</v>
      </c>
      <c r="DH65" s="204">
        <f ca="1">IF(CY$6&lt;&gt;"",$O65,$N65)-DD65</f>
        <v>0</v>
      </c>
      <c r="DI65" s="205"/>
      <c r="DJ65" s="206">
        <f t="shared" ca="1" si="2041"/>
        <v>0</v>
      </c>
      <c r="DK65" s="206">
        <f t="shared" ca="1" si="2042"/>
        <v>0</v>
      </c>
      <c r="DL65" s="207">
        <f t="shared" ref="DL65:DL66" ca="1" si="2354">IFERROR(DK65/CY$4,0)</f>
        <v>0</v>
      </c>
      <c r="DM65" s="313">
        <f t="shared" ref="DM65" si="2355">CY65+DI65</f>
        <v>0</v>
      </c>
      <c r="DN65" s="313">
        <f t="shared" ca="1" si="655"/>
        <v>0</v>
      </c>
      <c r="DO65" s="313">
        <f ca="1">DN65*$Z65</f>
        <v>0</v>
      </c>
      <c r="DP65" s="314">
        <f ca="1">IFERROR(DO65/CY$4,0)</f>
        <v>0</v>
      </c>
      <c r="DQ65" s="315" t="str">
        <f ca="1">IF(SUM(DD65,DL65,DP65)&lt;&gt;0,"V","")</f>
        <v/>
      </c>
      <c r="DR65" s="197"/>
      <c r="DS65" s="312" t="str">
        <f t="shared" ref="DS65" ca="1" si="2356">IFERROR($X65/DT65-1,"")</f>
        <v/>
      </c>
      <c r="DT65" s="199"/>
      <c r="DU65" s="199">
        <f t="shared" ref="DU65" ca="1" si="2357">DR65*$X65</f>
        <v>0</v>
      </c>
      <c r="DV65" s="199">
        <f t="shared" ref="DV65" ca="1" si="2358">DU65*$Z65</f>
        <v>0</v>
      </c>
      <c r="DW65" s="216">
        <f t="shared" ca="1" si="1645"/>
        <v>0</v>
      </c>
      <c r="DX65" s="202">
        <f t="shared" ref="DX65" ca="1" si="2359">DY65/$X65</f>
        <v>0</v>
      </c>
      <c r="DY65" s="203">
        <f t="shared" ref="DY65" ca="1" si="2360">DZ65/$Z65</f>
        <v>0</v>
      </c>
      <c r="DZ65" s="203">
        <f t="shared" ref="DZ65" ca="1" si="2361">EA65*DR$4</f>
        <v>0</v>
      </c>
      <c r="EA65" s="204">
        <f ca="1">IF(DR$6&lt;&gt;"",$O65,$N65)-DW65</f>
        <v>0</v>
      </c>
      <c r="EB65" s="205"/>
      <c r="EC65" s="206">
        <f t="shared" ref="EC65" ca="1" si="2362">EB65*$X65</f>
        <v>0</v>
      </c>
      <c r="ED65" s="206">
        <f t="shared" ref="ED65" ca="1" si="2363">EC65*$Z65</f>
        <v>0</v>
      </c>
      <c r="EE65" s="207">
        <f t="shared" ca="1" si="1651"/>
        <v>0</v>
      </c>
      <c r="EF65" s="313">
        <f t="shared" ref="EF65" si="2364">DR65+EB65</f>
        <v>0</v>
      </c>
      <c r="EG65" s="313">
        <f t="shared" ref="EG65" ca="1" si="2365">DU65+IF($T65 ="",EC65,0)</f>
        <v>0</v>
      </c>
      <c r="EH65" s="313">
        <f ca="1">EG65*$Z65</f>
        <v>0</v>
      </c>
      <c r="EI65" s="314">
        <f ca="1">IFERROR(EH65/DR$4,0)</f>
        <v>0</v>
      </c>
      <c r="EJ65" s="214"/>
      <c r="EK65" s="312" t="str">
        <f t="shared" ref="EK65" ca="1" si="2366">IFERROR($X65/EL65-1,"")</f>
        <v/>
      </c>
      <c r="EL65" s="222"/>
      <c r="EM65" s="199">
        <f ca="1">EJ65*$X65</f>
        <v>0</v>
      </c>
      <c r="EN65" s="199">
        <f ca="1">EM65*$Z65</f>
        <v>0</v>
      </c>
      <c r="EO65" s="216">
        <f t="shared" ref="EO65:EO66" ca="1" si="2367">IFERROR(EN65/EJ$4,0)</f>
        <v>0</v>
      </c>
      <c r="EP65" s="202">
        <f ca="1">EQ65/$X65</f>
        <v>0</v>
      </c>
      <c r="EQ65" s="203">
        <f ca="1">ER65/$Z65</f>
        <v>0</v>
      </c>
      <c r="ER65" s="203">
        <f t="shared" ref="ER65" ca="1" si="2368">ES65*EJ$4</f>
        <v>0</v>
      </c>
      <c r="ES65" s="204">
        <f ca="1">IF(EJ$6&lt;&gt;"",$O65,$N65)-EO65</f>
        <v>0</v>
      </c>
      <c r="ET65" s="205"/>
      <c r="EU65" s="206">
        <f ca="1">ET65*$X65</f>
        <v>0</v>
      </c>
      <c r="EV65" s="206">
        <f ca="1">EU65*$Z65</f>
        <v>0</v>
      </c>
      <c r="EW65" s="207">
        <f t="shared" ref="EW65:EW66" ca="1" si="2369">IFERROR(EV65/EJ$4,0)</f>
        <v>0</v>
      </c>
      <c r="EX65" s="313">
        <f t="shared" ref="EX65" si="2370">EJ65+ET65</f>
        <v>0</v>
      </c>
      <c r="EY65" s="313">
        <f t="shared" ca="1" si="669"/>
        <v>0</v>
      </c>
      <c r="EZ65" s="313">
        <f ca="1">EY65*$Z65</f>
        <v>0</v>
      </c>
      <c r="FA65" s="314">
        <f t="shared" ref="FA65:FA66" ca="1" si="2371">IFERROR(EZ65/EJ$4,0)</f>
        <v>0</v>
      </c>
      <c r="FB65" s="211" t="str">
        <f ca="1">IF(SUM(EO65,EW65,FA65)&lt;&gt;0,"V","")</f>
        <v/>
      </c>
      <c r="FC65" s="214"/>
      <c r="FD65" s="312" t="str">
        <f t="shared" ref="FD65" ca="1" si="2372">IFERROR($X65/FE65-1,"")</f>
        <v/>
      </c>
      <c r="FE65" s="215"/>
      <c r="FF65" s="199">
        <f ca="1">FC65*$X65</f>
        <v>0</v>
      </c>
      <c r="FG65" s="199">
        <f ca="1">FF65*$Z65</f>
        <v>0</v>
      </c>
      <c r="FH65" s="216">
        <f t="shared" ref="FH65:FH66" ca="1" si="2373">IFERROR(FG65/FC$4,0)</f>
        <v>0</v>
      </c>
      <c r="FI65" s="202">
        <f ca="1">FJ65/$X65</f>
        <v>0</v>
      </c>
      <c r="FJ65" s="203">
        <f ca="1">FK65/$Z65</f>
        <v>0</v>
      </c>
      <c r="FK65" s="203">
        <f t="shared" ref="FK65" ca="1" si="2374">FL65*FC$4</f>
        <v>0</v>
      </c>
      <c r="FL65" s="204">
        <f ca="1">IF(FC$6&lt;&gt;"",$O65,$N65)-FH65</f>
        <v>0</v>
      </c>
      <c r="FM65" s="205"/>
      <c r="FN65" s="206">
        <f ca="1">FM65*$X65</f>
        <v>0</v>
      </c>
      <c r="FO65" s="206">
        <f ca="1">FN65*$Z65</f>
        <v>0</v>
      </c>
      <c r="FP65" s="207">
        <f t="shared" ref="FP65:FP66" ca="1" si="2375">IFERROR(FO65/FC$4,0)</f>
        <v>0</v>
      </c>
      <c r="FQ65" s="313">
        <f t="shared" ref="FQ65" si="2376">FC65+FM65</f>
        <v>0</v>
      </c>
      <c r="FR65" s="313">
        <f t="shared" ca="1" si="683"/>
        <v>0</v>
      </c>
      <c r="FS65" s="313">
        <f ca="1">FR65*$Z65</f>
        <v>0</v>
      </c>
      <c r="FT65" s="314">
        <f t="shared" ref="FT65:FT66" ca="1" si="2377">IFERROR(FS65/FC$4,0)</f>
        <v>0</v>
      </c>
      <c r="FU65" s="315" t="str">
        <f ca="1">IF(SUM(FH65,FP65,FT65)&lt;&gt;0,"V","")</f>
        <v/>
      </c>
    </row>
    <row r="66" spans="1:177" outlineLevel="1" x14ac:dyDescent="0.2">
      <c r="A66" s="273"/>
      <c r="B66" s="274" t="s">
        <v>747</v>
      </c>
      <c r="C66" s="275"/>
      <c r="D66" s="276"/>
      <c r="E66" s="277"/>
      <c r="F66" s="275"/>
      <c r="G66" s="278"/>
      <c r="H66" s="1679"/>
      <c r="I66" s="1679"/>
      <c r="J66" s="1707"/>
      <c r="K66" s="1679"/>
      <c r="L66" s="1679"/>
      <c r="M66" s="280"/>
      <c r="N66" s="281">
        <f>SUM(N$67:N$69)</f>
        <v>0</v>
      </c>
      <c r="O66" s="281">
        <v>0</v>
      </c>
      <c r="P66" s="282">
        <f t="shared" ca="1" si="1539"/>
        <v>0</v>
      </c>
      <c r="Q66" s="283"/>
      <c r="R66" s="283"/>
      <c r="S66" s="275"/>
      <c r="T66" s="283"/>
      <c r="U66" s="284"/>
      <c r="V66" s="283"/>
      <c r="W66" s="275"/>
      <c r="X66" s="286"/>
      <c r="Y66" s="286"/>
      <c r="Z66" s="287"/>
      <c r="AA66" s="288"/>
      <c r="AB66" s="289"/>
      <c r="AC66" s="289"/>
      <c r="AD66" s="275"/>
      <c r="AE66" s="290">
        <f ca="1">SUM(AE$67:AE$69)</f>
        <v>0</v>
      </c>
      <c r="AF66" s="291">
        <f t="shared" ca="1" si="2333"/>
        <v>0</v>
      </c>
      <c r="AG66" s="292"/>
      <c r="AH66" s="275"/>
      <c r="AI66" s="290">
        <f ca="1">SUM(AI$67:AI$69)</f>
        <v>0</v>
      </c>
      <c r="AJ66" s="293">
        <f ca="1">IFERROR(AI66/AA$4,0)</f>
        <v>0</v>
      </c>
      <c r="AK66" s="292"/>
      <c r="AL66" s="275"/>
      <c r="AM66" s="290">
        <f ca="1">SUM(AM$67:AM$69)</f>
        <v>0</v>
      </c>
      <c r="AN66" s="293">
        <f t="shared" ca="1" si="2335"/>
        <v>0</v>
      </c>
      <c r="AO66" s="275"/>
      <c r="AP66" s="275"/>
      <c r="AQ66" s="290">
        <f ca="1">SUM(AQ$67:AQ$69)</f>
        <v>0</v>
      </c>
      <c r="AR66" s="291">
        <f t="shared" ca="1" si="2337"/>
        <v>0</v>
      </c>
      <c r="AS66" s="294" t="str">
        <f t="shared" ref="AS66" ca="1" si="2378">IF(SUM(AF66,AN66,AR66)&lt;&gt;0,"V","")</f>
        <v/>
      </c>
      <c r="AT66" s="288"/>
      <c r="AU66" s="289"/>
      <c r="AV66" s="289"/>
      <c r="AW66" s="275"/>
      <c r="AX66" s="290">
        <f ca="1">SUM(AX$67:AX$69)</f>
        <v>0</v>
      </c>
      <c r="AY66" s="291">
        <f t="shared" ca="1" si="2339"/>
        <v>0</v>
      </c>
      <c r="AZ66" s="292"/>
      <c r="BA66" s="275"/>
      <c r="BB66" s="290">
        <f ca="1">SUM(BB$67:BB$69)</f>
        <v>0</v>
      </c>
      <c r="BC66" s="293">
        <f ca="1">IFERROR(BB66/AT$4,0)</f>
        <v>0</v>
      </c>
      <c r="BD66" s="292"/>
      <c r="BE66" s="275"/>
      <c r="BF66" s="290">
        <f ca="1">SUM(BF$67:BF$69)</f>
        <v>0</v>
      </c>
      <c r="BG66" s="293">
        <f t="shared" ca="1" si="2341"/>
        <v>0</v>
      </c>
      <c r="BH66" s="275"/>
      <c r="BI66" s="275"/>
      <c r="BJ66" s="290">
        <f ca="1">SUM(BJ$67:BJ$69)</f>
        <v>0</v>
      </c>
      <c r="BK66" s="291">
        <f t="shared" ca="1" si="2342"/>
        <v>0</v>
      </c>
      <c r="BL66" s="295" t="str">
        <f t="shared" ref="BL66" ca="1" si="2379">IF(SUM(AY66,BG66,BK66)&lt;&gt;0,"V","")</f>
        <v/>
      </c>
      <c r="BM66" s="288"/>
      <c r="BN66" s="289"/>
      <c r="BO66" s="289"/>
      <c r="BP66" s="275"/>
      <c r="BQ66" s="290">
        <f ca="1">SUM(BQ$67:BQ$69)</f>
        <v>0</v>
      </c>
      <c r="BR66" s="291">
        <f t="shared" ca="1" si="2344"/>
        <v>0</v>
      </c>
      <c r="BS66" s="292"/>
      <c r="BT66" s="275"/>
      <c r="BU66" s="290">
        <f ca="1">SUM(BU$67:BU$69)</f>
        <v>0</v>
      </c>
      <c r="BV66" s="293">
        <f ca="1">IFERROR(BU66/BM$4,0)</f>
        <v>0</v>
      </c>
      <c r="BW66" s="292"/>
      <c r="BX66" s="275"/>
      <c r="BY66" s="290">
        <f ca="1">SUM(BY$67:BY$69)</f>
        <v>0</v>
      </c>
      <c r="BZ66" s="293">
        <f t="shared" ca="1" si="2346"/>
        <v>0</v>
      </c>
      <c r="CA66" s="275"/>
      <c r="CB66" s="275"/>
      <c r="CC66" s="290">
        <f ca="1">SUM(CC$67:CC$69)</f>
        <v>0</v>
      </c>
      <c r="CD66" s="291">
        <f t="shared" ca="1" si="2348"/>
        <v>0</v>
      </c>
      <c r="CE66" s="295" t="str">
        <f t="shared" ref="CE66" ca="1" si="2380">IF(SUM(BR66,BZ66,CD66)&lt;&gt;0,"V","")</f>
        <v/>
      </c>
      <c r="CF66" s="288"/>
      <c r="CG66" s="289"/>
      <c r="CH66" s="289"/>
      <c r="CI66" s="275"/>
      <c r="CJ66" s="290">
        <f ca="1">SUM(CJ$67:CJ$69)</f>
        <v>0</v>
      </c>
      <c r="CK66" s="291">
        <f t="shared" ref="CK66" ca="1" si="2381">IFERROR(CJ66/CF$4,0)</f>
        <v>0</v>
      </c>
      <c r="CL66" s="292"/>
      <c r="CM66" s="275"/>
      <c r="CN66" s="290">
        <f ca="1">SUM(CN$67:CN$69)</f>
        <v>0</v>
      </c>
      <c r="CO66" s="293">
        <f ca="1">IFERROR(CN66/CF$4,0)</f>
        <v>0</v>
      </c>
      <c r="CP66" s="292"/>
      <c r="CQ66" s="275"/>
      <c r="CR66" s="290">
        <f ca="1">SUM(CR$67:CR$69)</f>
        <v>0</v>
      </c>
      <c r="CS66" s="293">
        <f t="shared" ref="CS66" ca="1" si="2382">IFERROR(CR66/CF$4,0)</f>
        <v>0</v>
      </c>
      <c r="CT66" s="275"/>
      <c r="CU66" s="275"/>
      <c r="CV66" s="290">
        <f ca="1">SUM(CV$67:CV$69)</f>
        <v>0</v>
      </c>
      <c r="CW66" s="291">
        <f t="shared" ref="CW66" ca="1" si="2383">IFERROR(CV66/CF$4,0)</f>
        <v>0</v>
      </c>
      <c r="CX66" s="295" t="str">
        <f t="shared" ref="CX66" ca="1" si="2384">IF(SUM(CK66,CS66,CW66)&lt;&gt;0,"V","")</f>
        <v/>
      </c>
      <c r="CY66" s="288"/>
      <c r="CZ66" s="289"/>
      <c r="DA66" s="275"/>
      <c r="DB66" s="290"/>
      <c r="DC66" s="290">
        <f ca="1">SUM(DC$67:DC$69)</f>
        <v>0</v>
      </c>
      <c r="DD66" s="291">
        <f t="shared" ca="1" si="2352"/>
        <v>0</v>
      </c>
      <c r="DE66" s="292"/>
      <c r="DF66" s="275"/>
      <c r="DG66" s="290">
        <f ca="1">SUM(DG$67:DG$69)</f>
        <v>0</v>
      </c>
      <c r="DH66" s="293">
        <f ca="1">IFERROR(DG66/CY$4,0)</f>
        <v>0</v>
      </c>
      <c r="DI66" s="292"/>
      <c r="DJ66" s="275"/>
      <c r="DK66" s="290">
        <f ca="1">SUM(DK$67:DK$69)</f>
        <v>0</v>
      </c>
      <c r="DL66" s="293">
        <f t="shared" ca="1" si="2354"/>
        <v>0</v>
      </c>
      <c r="DM66" s="275"/>
      <c r="DN66" s="275"/>
      <c r="DO66" s="290">
        <f ca="1">SUM(DO$67:DO$69)</f>
        <v>0</v>
      </c>
      <c r="DP66" s="291">
        <f t="shared" ref="DP66" ca="1" si="2385">IFERROR(DO66/CY$4,0)</f>
        <v>0</v>
      </c>
      <c r="DQ66" s="294" t="str">
        <f t="shared" ref="DQ66" ca="1" si="2386">IF(SUM(DD66,DL66,DP66)&lt;&gt;0,"V","")</f>
        <v/>
      </c>
      <c r="DR66" s="288"/>
      <c r="DS66" s="289"/>
      <c r="DT66" s="275"/>
      <c r="DU66" s="290"/>
      <c r="DV66" s="290">
        <f ca="1">SUM(DV$67:DV$69)</f>
        <v>0</v>
      </c>
      <c r="DW66" s="291">
        <f t="shared" ca="1" si="1645"/>
        <v>0</v>
      </c>
      <c r="DX66" s="292"/>
      <c r="DY66" s="275"/>
      <c r="DZ66" s="290">
        <f ca="1">SUM(DZ$67:DZ$69)</f>
        <v>0</v>
      </c>
      <c r="EA66" s="293">
        <f ca="1">IFERROR(DZ66/DR$4,0)</f>
        <v>0</v>
      </c>
      <c r="EB66" s="292"/>
      <c r="EC66" s="275"/>
      <c r="ED66" s="290">
        <f ca="1">SUM(ED$67:ED$69)</f>
        <v>0</v>
      </c>
      <c r="EE66" s="293">
        <f t="shared" ca="1" si="1651"/>
        <v>0</v>
      </c>
      <c r="EF66" s="275"/>
      <c r="EG66" s="275"/>
      <c r="EH66" s="290">
        <f ca="1">SUM(EH$67:EH$69)</f>
        <v>0</v>
      </c>
      <c r="EI66" s="291">
        <f t="shared" ref="EI66" ca="1" si="2387">IFERROR(EH66/DR$4,0)</f>
        <v>0</v>
      </c>
      <c r="EJ66" s="288"/>
      <c r="EK66" s="289"/>
      <c r="EL66" s="296"/>
      <c r="EM66" s="275"/>
      <c r="EN66" s="290">
        <f ca="1">SUM(EN$67:EN$69)</f>
        <v>0</v>
      </c>
      <c r="EO66" s="291">
        <f t="shared" ca="1" si="2367"/>
        <v>0</v>
      </c>
      <c r="EP66" s="292"/>
      <c r="EQ66" s="275"/>
      <c r="ER66" s="290">
        <f ca="1">SUM(ER$67:ER$69)</f>
        <v>0</v>
      </c>
      <c r="ES66" s="293">
        <f ca="1">IFERROR(ER66/EJ$4,0)</f>
        <v>0</v>
      </c>
      <c r="ET66" s="292"/>
      <c r="EU66" s="275"/>
      <c r="EV66" s="290">
        <f ca="1">SUM(EV$67:EV$69)</f>
        <v>0</v>
      </c>
      <c r="EW66" s="293">
        <f t="shared" ca="1" si="2369"/>
        <v>0</v>
      </c>
      <c r="EX66" s="275"/>
      <c r="EY66" s="275"/>
      <c r="EZ66" s="290">
        <f ca="1">SUM(EZ$67:EZ$69)</f>
        <v>0</v>
      </c>
      <c r="FA66" s="291">
        <f t="shared" ca="1" si="2371"/>
        <v>0</v>
      </c>
      <c r="FB66" s="295" t="str">
        <f t="shared" ref="FB66" ca="1" si="2388">IF(SUM(EO66,EW66,FA66)&lt;&gt;0,"V","")</f>
        <v/>
      </c>
      <c r="FC66" s="288"/>
      <c r="FD66" s="289"/>
      <c r="FE66" s="289"/>
      <c r="FF66" s="275"/>
      <c r="FG66" s="290">
        <f ca="1">SUM(FG$67:FG$69)</f>
        <v>0</v>
      </c>
      <c r="FH66" s="291">
        <f t="shared" ca="1" si="2373"/>
        <v>0</v>
      </c>
      <c r="FI66" s="292"/>
      <c r="FJ66" s="275"/>
      <c r="FK66" s="290">
        <f ca="1">SUM(FK$67:FK$69)</f>
        <v>0</v>
      </c>
      <c r="FL66" s="293">
        <f ca="1">IFERROR(FK66/FC$4,0)</f>
        <v>0</v>
      </c>
      <c r="FM66" s="292"/>
      <c r="FN66" s="275"/>
      <c r="FO66" s="290">
        <f ca="1">SUM(FO$67:FO$69)</f>
        <v>0</v>
      </c>
      <c r="FP66" s="293">
        <f t="shared" ca="1" si="2375"/>
        <v>0</v>
      </c>
      <c r="FQ66" s="275"/>
      <c r="FR66" s="275"/>
      <c r="FS66" s="290">
        <f ca="1">SUM(FS$67:FS$69)</f>
        <v>0</v>
      </c>
      <c r="FT66" s="291">
        <f t="shared" ca="1" si="2377"/>
        <v>0</v>
      </c>
      <c r="FU66" s="297"/>
    </row>
    <row r="67" spans="1:177" outlineLevel="2" x14ac:dyDescent="0.2">
      <c r="A67" s="298"/>
      <c r="B67" s="298"/>
      <c r="C67" s="299" t="str">
        <f t="shared" ref="C67:E69" ca="1" si="2389">OFFSET(Origine,MATCH($F67,Descrizioni,0),MATCH(C$15,Intestazioni,0)-1,1,1)</f>
        <v>LU0071006638:CHF</v>
      </c>
      <c r="D67" s="300" t="str">
        <f t="shared" ca="1" si="2389"/>
        <v>LU0071006638</v>
      </c>
      <c r="E67" s="301" t="str">
        <f t="shared" ca="1" si="2389"/>
        <v>529250</v>
      </c>
      <c r="F67" s="299" t="s">
        <v>748</v>
      </c>
      <c r="G67" s="316" t="str">
        <f t="shared" ref="G67:G69" ca="1" si="2390">OFFSET(Origine,MATCH($F67,Descrizioni,0),MATCH(G$15,Intestazioni,0)-1,1,1)</f>
        <v/>
      </c>
      <c r="H67" s="1708" t="str">
        <f ca="1">IF(OFFSET(Origine,MATCH($F67,Descrizioni,0),MATCH(H$15,Intestazioni,0)-1,1,1)&lt;&gt;"",HYPERLINK(OFFSET(Origine,MATCH($F67,Descrizioni,0),MATCH(H$15,Intestazioni,0)-1,1,1),""),"")</f>
        <v></v>
      </c>
      <c r="I67" s="1680" t="str">
        <f ca="1">IF(OFFSET(Origine,MATCH($F67,Descrizioni,0),MATCH(I$15,Intestazioni,0)-1,1,1)&lt;&gt;"",HYPERLINK(OFFSET(Origine,MATCH($F67,Descrizioni,0),MATCH(I$15,Intestazioni,0)-1,1,1),"i"),"")</f>
        <v>i</v>
      </c>
      <c r="J67" s="1708" t="str">
        <f t="shared" ref="J67:K69" ca="1" si="2391">IF(OFFSET(Origine,MATCH($F67,Descrizioni,0),MATCH(J$15,Intestazioni,0)-1,1,1)&lt;&gt;"",HYPERLINK(OFFSET(Origine,MATCH($F67,Descrizioni,0),MATCH(J$15,Intestazioni,0)-1,1,1),""),"")</f>
        <v></v>
      </c>
      <c r="K67" s="1709" t="str">
        <f t="shared" ca="1" si="2391"/>
        <v/>
      </c>
      <c r="L67" s="1710" t="str">
        <f ca="1">IF(OFFSET(Origine,MATCH($F67,Descrizioni,0),MATCH(L$15,Intestazioni,0)-1,1,1)&lt;&gt;"",HYPERLINK("https://www.zonebourse.com/mods_a/charts/TV/inc_dyna_graph.php?c="&amp;OFFSET(Origine,MATCH($F67,Descrizioni,0),MATCH(L$15,Intestazioni,0)-1,1,1)&amp;"&amp;style=TradingView.CANDLES&amp;showAT=1",""),"")</f>
        <v/>
      </c>
      <c r="M67" s="298" t="str">
        <f ca="1">(OFFSET(Origine,MATCH($F67,Descrizioni,0),MATCH(M$15,Intestazioni,0)-1,1,1))</f>
        <v>Unit</v>
      </c>
      <c r="N67" s="305"/>
      <c r="O67" s="305"/>
      <c r="P67" s="306">
        <f t="shared" ca="1" si="1539"/>
        <v>0</v>
      </c>
      <c r="Q67" s="307">
        <f t="array" aca="1" ref="Q67" ca="1">SUM(IF($AA$15:$FT$15="I_pos",AA67:FT67))</f>
        <v>0</v>
      </c>
      <c r="R67" s="307">
        <f t="array" aca="1" ref="R67" ca="1">SUM(IF($AA$15:$FT$15="P_Pos",AA67:FT67))</f>
        <v>0</v>
      </c>
      <c r="S67" s="304"/>
      <c r="T67" s="307"/>
      <c r="U67" s="308">
        <f ca="1">OFFSET(Origine,MATCH($F67,Descrizioni,0),MATCH(U$15,Intestazioni,0)-1,1,1)</f>
        <v>-3.8195994014647936E-3</v>
      </c>
      <c r="V67" s="307">
        <f t="array" aca="1" ref="V67" ca="1">SUM(IF($AA$15:$FT$15="O_Pos",AA67:FT67))</f>
        <v>0</v>
      </c>
      <c r="W67" s="299" t="str">
        <f ca="1">OFFSET(Origine,MATCH($F67,Descrizioni,0),MATCH(W$15,Intestazioni,0)-1,1,1)</f>
        <v>CHF</v>
      </c>
      <c r="X67" s="309">
        <f t="shared" ref="X67:Y69" ca="1" si="2392">_xlfn.NUMBERVALUE(OFFSET(Origine,MATCH($F67,Descrizioni,0),MATCH(X$15,Intestazioni,0)-1,1,1))</f>
        <v>758.95</v>
      </c>
      <c r="Y67" s="310">
        <f t="shared" ca="1" si="2392"/>
        <v>0</v>
      </c>
      <c r="Z67" s="311">
        <f ca="1">_xlfn.NUMBERVALUE(OFFSET(Origine,MATCH(W67&amp;"/"&amp;MRif,LUKB_Name,0),MATCH("Price",Intestazioni,0)-1,1,1))</f>
        <v>1.0000001300000001</v>
      </c>
      <c r="AA67" s="214">
        <f>15+-15</f>
        <v>0</v>
      </c>
      <c r="AB67" s="312" t="str">
        <f t="shared" ref="AB67:AB69" ca="1" si="2393">IFERROR($X67/AC67-1,"")</f>
        <v/>
      </c>
      <c r="AC67" s="215"/>
      <c r="AD67" s="199">
        <f ca="1">AA67*$X67</f>
        <v>0</v>
      </c>
      <c r="AE67" s="199">
        <f ca="1">AD67*$Z67</f>
        <v>0</v>
      </c>
      <c r="AF67" s="216">
        <f ca="1">IFERROR(AE67/AA$4,0)</f>
        <v>0</v>
      </c>
      <c r="AG67" s="202">
        <f ca="1">AH67/$X67</f>
        <v>0</v>
      </c>
      <c r="AH67" s="203">
        <f ca="1">AI67/$Z67</f>
        <v>0</v>
      </c>
      <c r="AI67" s="203">
        <f ca="1">AJ67*AA$4</f>
        <v>0</v>
      </c>
      <c r="AJ67" s="204">
        <f ca="1">IF(AA$6&lt;&gt;"",$O67,$N67)-AF67</f>
        <v>0</v>
      </c>
      <c r="AK67" s="205"/>
      <c r="AL67" s="206">
        <f ca="1">AK67*$X67</f>
        <v>0</v>
      </c>
      <c r="AM67" s="206">
        <f ca="1">AL67*$Z67</f>
        <v>0</v>
      </c>
      <c r="AN67" s="207">
        <f ca="1">IFERROR(AM67/AA$4,0)</f>
        <v>0</v>
      </c>
      <c r="AO67" s="313">
        <f>AA67+AK67</f>
        <v>0</v>
      </c>
      <c r="AP67" s="313">
        <f t="shared" ca="1" si="601"/>
        <v>0</v>
      </c>
      <c r="AQ67" s="313">
        <f ca="1">AP67*$Z67</f>
        <v>0</v>
      </c>
      <c r="AR67" s="314">
        <f ca="1">IFERROR(AQ67/AA$4,0)</f>
        <v>0</v>
      </c>
      <c r="AS67" s="315" t="str">
        <f ca="1">IF(SUM(AF67,AN67,AR67)&lt;&gt;0,"V","")</f>
        <v/>
      </c>
      <c r="AT67" s="214">
        <f>35+-35</f>
        <v>0</v>
      </c>
      <c r="AU67" s="312" t="str">
        <f t="shared" ref="AU67:AU69" ca="1" si="2394">IFERROR($X67/AV67-1,"")</f>
        <v/>
      </c>
      <c r="AV67" s="215"/>
      <c r="AW67" s="199">
        <f ca="1">AT67*$X67</f>
        <v>0</v>
      </c>
      <c r="AX67" s="199">
        <f ca="1">AW67*$Z67</f>
        <v>0</v>
      </c>
      <c r="AY67" s="216">
        <f ca="1">IFERROR(AX67/AT$4,0)</f>
        <v>0</v>
      </c>
      <c r="AZ67" s="202">
        <f ca="1">BA67/$X67</f>
        <v>0</v>
      </c>
      <c r="BA67" s="203">
        <f ca="1">BB67/$Z67</f>
        <v>0</v>
      </c>
      <c r="BB67" s="203">
        <f ca="1">BC67*AT$4</f>
        <v>0</v>
      </c>
      <c r="BC67" s="204">
        <f ca="1">IF(AT$6&lt;&gt;"",$O67,$N67)-AY67</f>
        <v>0</v>
      </c>
      <c r="BD67" s="205"/>
      <c r="BE67" s="206">
        <f ca="1">BD67*$X67</f>
        <v>0</v>
      </c>
      <c r="BF67" s="206">
        <f ca="1">BE67*$Z67</f>
        <v>0</v>
      </c>
      <c r="BG67" s="207">
        <f ca="1">IFERROR(BF67/AT$4,0)</f>
        <v>0</v>
      </c>
      <c r="BH67" s="313"/>
      <c r="BI67" s="313">
        <f t="shared" ca="1" si="615"/>
        <v>0</v>
      </c>
      <c r="BJ67" s="313">
        <f ca="1">BI67*$Z67</f>
        <v>0</v>
      </c>
      <c r="BK67" s="314">
        <f ca="1">IFERROR(BJ67/AT$4,0)</f>
        <v>0</v>
      </c>
      <c r="BL67" s="211" t="str">
        <f ca="1">IF(SUM(AY67,BG67,BK67)&lt;&gt;0,"V","")</f>
        <v/>
      </c>
      <c r="BM67" s="214">
        <f>20+-20</f>
        <v>0</v>
      </c>
      <c r="BN67" s="312" t="str">
        <f t="shared" ref="BN67:BN69" ca="1" si="2395">IFERROR($X67/BO67-1,"")</f>
        <v/>
      </c>
      <c r="BO67" s="215"/>
      <c r="BP67" s="199">
        <f ca="1">BM67*$X67</f>
        <v>0</v>
      </c>
      <c r="BQ67" s="199">
        <f ca="1">BP67*$Z67</f>
        <v>0</v>
      </c>
      <c r="BR67" s="216">
        <f ca="1">IFERROR(BQ67/BM$4,0)</f>
        <v>0</v>
      </c>
      <c r="BS67" s="202">
        <f ca="1">BT67/$X67</f>
        <v>0</v>
      </c>
      <c r="BT67" s="203">
        <f ca="1">BU67/$Z67</f>
        <v>0</v>
      </c>
      <c r="BU67" s="203">
        <f ca="1">BV67*BM$4</f>
        <v>0</v>
      </c>
      <c r="BV67" s="204">
        <f ca="1">IF(BM$6&lt;&gt;"",$O67,$N67)-BR67</f>
        <v>0</v>
      </c>
      <c r="BW67" s="205"/>
      <c r="BX67" s="206">
        <f ca="1">BW67*$X67</f>
        <v>0</v>
      </c>
      <c r="BY67" s="206">
        <f ca="1">BX67*$Z67</f>
        <v>0</v>
      </c>
      <c r="BZ67" s="207">
        <f ca="1">IFERROR(BY67/BM$4,0)</f>
        <v>0</v>
      </c>
      <c r="CA67" s="313">
        <f>BM67+BW67</f>
        <v>0</v>
      </c>
      <c r="CB67" s="313">
        <f t="shared" ca="1" si="629"/>
        <v>0</v>
      </c>
      <c r="CC67" s="313">
        <f ca="1">CB67*$Z67</f>
        <v>0</v>
      </c>
      <c r="CD67" s="314">
        <f ca="1">IFERROR(CC67/BM$4,0)</f>
        <v>0</v>
      </c>
      <c r="CE67" s="211" t="str">
        <f ca="1">IF(SUM(BR67,BZ67,CD67)&lt;&gt;0,"V","")</f>
        <v/>
      </c>
      <c r="CF67" s="214">
        <f>50+-50</f>
        <v>0</v>
      </c>
      <c r="CG67" s="312" t="str">
        <f t="shared" ref="CG67:CG69" ca="1" si="2396">IFERROR($X67/CH67-1,"")</f>
        <v/>
      </c>
      <c r="CH67" s="215"/>
      <c r="CI67" s="199">
        <f ca="1">CF67*$X67</f>
        <v>0</v>
      </c>
      <c r="CJ67" s="199">
        <f ca="1">CI67*$Z67</f>
        <v>0</v>
      </c>
      <c r="CK67" s="216">
        <f ca="1">IFERROR(CJ67/CF$4,0)</f>
        <v>0</v>
      </c>
      <c r="CL67" s="202">
        <f ca="1">CM67/$X67</f>
        <v>0</v>
      </c>
      <c r="CM67" s="203">
        <f ca="1">CN67/$Z67</f>
        <v>0</v>
      </c>
      <c r="CN67" s="203">
        <f ca="1">CO67*CF$4</f>
        <v>0</v>
      </c>
      <c r="CO67" s="204">
        <f ca="1">IF(CF$6&lt;&gt;"",$O67,$N67)-CK67</f>
        <v>0</v>
      </c>
      <c r="CP67" s="205"/>
      <c r="CQ67" s="206">
        <f ca="1">CP67*$X67</f>
        <v>0</v>
      </c>
      <c r="CR67" s="206">
        <f ca="1">CQ67*$Z67</f>
        <v>0</v>
      </c>
      <c r="CS67" s="207">
        <f ca="1">IFERROR(CR67/CF$4,0)</f>
        <v>0</v>
      </c>
      <c r="CT67" s="313">
        <f>CF67+CP67</f>
        <v>0</v>
      </c>
      <c r="CU67" s="313">
        <f t="shared" ca="1" si="643"/>
        <v>0</v>
      </c>
      <c r="CV67" s="313">
        <f ca="1">CU67*$Z67</f>
        <v>0</v>
      </c>
      <c r="CW67" s="314">
        <f ca="1">IFERROR(CV67/CF$4,0)</f>
        <v>0</v>
      </c>
      <c r="CX67" s="211" t="str">
        <f ca="1">IF(SUM(CK67,CS67,CW67)&lt;&gt;0,"V","")</f>
        <v/>
      </c>
      <c r="CY67" s="197"/>
      <c r="CZ67" s="312" t="str">
        <f t="shared" ref="CZ67:CZ69" ca="1" si="2397">IFERROR($X67/DA67-1,"")</f>
        <v/>
      </c>
      <c r="DA67" s="199"/>
      <c r="DB67" s="199">
        <f ca="1">CY67*$X67</f>
        <v>0</v>
      </c>
      <c r="DC67" s="199">
        <f ca="1">DB67*$Z67</f>
        <v>0</v>
      </c>
      <c r="DD67" s="216">
        <f ca="1">IFERROR(DC67/CY$4,0)</f>
        <v>0</v>
      </c>
      <c r="DE67" s="202">
        <f ca="1">DF67/$X67</f>
        <v>0</v>
      </c>
      <c r="DF67" s="203">
        <f ca="1">DG67/$Z67</f>
        <v>0</v>
      </c>
      <c r="DG67" s="203">
        <f ca="1">DH67*CY$4</f>
        <v>0</v>
      </c>
      <c r="DH67" s="204">
        <f ca="1">IF(CY$6&lt;&gt;"",$O67,$N67)-DD67</f>
        <v>0</v>
      </c>
      <c r="DI67" s="205"/>
      <c r="DJ67" s="206">
        <f ca="1">DI67*$X67</f>
        <v>0</v>
      </c>
      <c r="DK67" s="206">
        <f ca="1">DJ67*$Z67</f>
        <v>0</v>
      </c>
      <c r="DL67" s="207">
        <f ca="1">IFERROR(DK67/CY$4,0)</f>
        <v>0</v>
      </c>
      <c r="DM67" s="313">
        <f>CY67+DI67</f>
        <v>0</v>
      </c>
      <c r="DN67" s="313">
        <f t="shared" ca="1" si="655"/>
        <v>0</v>
      </c>
      <c r="DO67" s="313">
        <f ca="1">DN67*$Z67</f>
        <v>0</v>
      </c>
      <c r="DP67" s="314">
        <f ca="1">IFERROR(DO67/CY$4,0)</f>
        <v>0</v>
      </c>
      <c r="DQ67" s="315" t="str">
        <f ca="1">IF(SUM(DD67,DL67,DP67)&lt;&gt;0,"V","")</f>
        <v/>
      </c>
      <c r="DR67" s="197"/>
      <c r="DS67" s="312" t="str">
        <f t="shared" ref="DS67:DS69" ca="1" si="2398">IFERROR($X67/DT67-1,"")</f>
        <v/>
      </c>
      <c r="DT67" s="199"/>
      <c r="DU67" s="199">
        <f ca="1">DR67*$X67</f>
        <v>0</v>
      </c>
      <c r="DV67" s="199">
        <f ca="1">DU67*$Z67</f>
        <v>0</v>
      </c>
      <c r="DW67" s="216">
        <f ca="1">IFERROR(DV67/DR$4,0)</f>
        <v>0</v>
      </c>
      <c r="DX67" s="202">
        <f ca="1">DY67/$X67</f>
        <v>0</v>
      </c>
      <c r="DY67" s="203">
        <f ca="1">DZ67/$Z67</f>
        <v>0</v>
      </c>
      <c r="DZ67" s="203">
        <f ca="1">EA67*DR$4</f>
        <v>0</v>
      </c>
      <c r="EA67" s="204">
        <f ca="1">IF(DR$6&lt;&gt;"",$O67,$N67)-DW67</f>
        <v>0</v>
      </c>
      <c r="EB67" s="205"/>
      <c r="EC67" s="206">
        <f ca="1">EB67*$X67</f>
        <v>0</v>
      </c>
      <c r="ED67" s="206">
        <f ca="1">EC67*$Z67</f>
        <v>0</v>
      </c>
      <c r="EE67" s="207">
        <f ca="1">IFERROR(ED67/DR$4,0)</f>
        <v>0</v>
      </c>
      <c r="EF67" s="313">
        <f>DR67+EB67</f>
        <v>0</v>
      </c>
      <c r="EG67" s="313">
        <f t="shared" ref="EG67:EG69" ca="1" si="2399">DU67+IF($T67 ="",EC67,0)</f>
        <v>0</v>
      </c>
      <c r="EH67" s="313">
        <f ca="1">EG67*$Z67</f>
        <v>0</v>
      </c>
      <c r="EI67" s="314">
        <f ca="1">IFERROR(EH67/DR$4,0)</f>
        <v>0</v>
      </c>
      <c r="EJ67" s="214"/>
      <c r="EK67" s="312" t="str">
        <f t="shared" ref="EK67:EK69" ca="1" si="2400">IFERROR($X67/EL67-1,"")</f>
        <v/>
      </c>
      <c r="EL67" s="222"/>
      <c r="EM67" s="199">
        <f ca="1">EJ67*$X67</f>
        <v>0</v>
      </c>
      <c r="EN67" s="199">
        <f ca="1">EM67*$Z67</f>
        <v>0</v>
      </c>
      <c r="EO67" s="216">
        <f ca="1">IFERROR(EN67/EJ$4,0)</f>
        <v>0</v>
      </c>
      <c r="EP67" s="202">
        <f ca="1">EQ67/$X67</f>
        <v>0</v>
      </c>
      <c r="EQ67" s="203">
        <f ca="1">ER67/$Z67</f>
        <v>0</v>
      </c>
      <c r="ER67" s="203">
        <f ca="1">ES67*EJ$4</f>
        <v>0</v>
      </c>
      <c r="ES67" s="204">
        <f ca="1">IF(EJ$6&lt;&gt;"",$O67,$N67)-EO67</f>
        <v>0</v>
      </c>
      <c r="ET67" s="205"/>
      <c r="EU67" s="206">
        <f ca="1">ET67*$X67</f>
        <v>0</v>
      </c>
      <c r="EV67" s="206">
        <f ca="1">EU67*$Z67</f>
        <v>0</v>
      </c>
      <c r="EW67" s="207">
        <f ca="1">IFERROR(EV67/EJ$4,0)</f>
        <v>0</v>
      </c>
      <c r="EX67" s="313">
        <f>EJ67+ET67</f>
        <v>0</v>
      </c>
      <c r="EY67" s="313">
        <f t="shared" ca="1" si="669"/>
        <v>0</v>
      </c>
      <c r="EZ67" s="313">
        <f ca="1">EY67*$Z67</f>
        <v>0</v>
      </c>
      <c r="FA67" s="314">
        <f ca="1">IFERROR(EZ67/EJ$4,0)</f>
        <v>0</v>
      </c>
      <c r="FB67" s="211" t="str">
        <f ca="1">IF(SUM(EO67,EW67,FA67)&lt;&gt;0,"V","")</f>
        <v/>
      </c>
      <c r="FC67" s="214"/>
      <c r="FD67" s="312" t="str">
        <f t="shared" ref="FD67:FD69" ca="1" si="2401">IFERROR($X67/FE67-1,"")</f>
        <v/>
      </c>
      <c r="FE67" s="215"/>
      <c r="FF67" s="199">
        <f ca="1">FC67*$X67</f>
        <v>0</v>
      </c>
      <c r="FG67" s="199">
        <f ca="1">FF67*$Z67</f>
        <v>0</v>
      </c>
      <c r="FH67" s="216">
        <f ca="1">IFERROR(FG67/FC$4,0)</f>
        <v>0</v>
      </c>
      <c r="FI67" s="202">
        <f ca="1">FJ67/$X67</f>
        <v>0</v>
      </c>
      <c r="FJ67" s="203">
        <f ca="1">FK67/$Z67</f>
        <v>0</v>
      </c>
      <c r="FK67" s="203">
        <f ca="1">FL67*FC$4</f>
        <v>0</v>
      </c>
      <c r="FL67" s="204">
        <f ca="1">IF(FC$6&lt;&gt;"",$O67,$N67)-FH67</f>
        <v>0</v>
      </c>
      <c r="FM67" s="205"/>
      <c r="FN67" s="206">
        <f ca="1">FM67*$X67</f>
        <v>0</v>
      </c>
      <c r="FO67" s="206">
        <f ca="1">FN67*$Z67</f>
        <v>0</v>
      </c>
      <c r="FP67" s="207">
        <f ca="1">IFERROR(FO67/FC$4,0)</f>
        <v>0</v>
      </c>
      <c r="FQ67" s="313">
        <f>FC67+FM67</f>
        <v>0</v>
      </c>
      <c r="FR67" s="313">
        <f t="shared" ca="1" si="683"/>
        <v>0</v>
      </c>
      <c r="FS67" s="313">
        <f ca="1">FR67*$Z67</f>
        <v>0</v>
      </c>
      <c r="FT67" s="314">
        <f ca="1">IFERROR(FS67/FC$4,0)</f>
        <v>0</v>
      </c>
      <c r="FU67" s="315" t="str">
        <f ca="1">IF(SUM(FH67,FP67,FT67)&lt;&gt;0,"V","")</f>
        <v/>
      </c>
    </row>
    <row r="68" spans="1:177" outlineLevel="2" x14ac:dyDescent="0.2">
      <c r="A68" s="298"/>
      <c r="B68" s="298"/>
      <c r="C68" s="299" t="str">
        <f t="shared" ca="1" si="2389"/>
        <v>LU0942970442:CHF</v>
      </c>
      <c r="D68" s="300" t="str">
        <f t="shared" ca="1" si="2389"/>
        <v>LU0942970442</v>
      </c>
      <c r="E68" s="301" t="str">
        <f t="shared" ca="1" si="2389"/>
        <v>23971272</v>
      </c>
      <c r="F68" s="299" t="s">
        <v>749</v>
      </c>
      <c r="G68" s="316" t="str">
        <f t="shared" ca="1" si="2390"/>
        <v/>
      </c>
      <c r="H68" s="1708" t="str">
        <f ca="1">IF(OFFSET(Origine,MATCH($F68,Descrizioni,0),MATCH(H$15,Intestazioni,0)-1,1,1)&lt;&gt;"",HYPERLINK(OFFSET(Origine,MATCH($F68,Descrizioni,0),MATCH(H$15,Intestazioni,0)-1,1,1),""),"")</f>
        <v></v>
      </c>
      <c r="I68" s="1680" t="str">
        <f ca="1">IF(OFFSET(Origine,MATCH($F68,Descrizioni,0),MATCH(I$15,Intestazioni,0)-1,1,1)&lt;&gt;"",HYPERLINK(OFFSET(Origine,MATCH($F68,Descrizioni,0),MATCH(I$15,Intestazioni,0)-1,1,1),"i"),"")</f>
        <v>i</v>
      </c>
      <c r="J68" s="1708" t="str">
        <f t="shared" ca="1" si="2391"/>
        <v></v>
      </c>
      <c r="K68" s="1709" t="str">
        <f t="shared" ca="1" si="2391"/>
        <v></v>
      </c>
      <c r="L68" s="1710" t="str">
        <f ca="1">IF(OFFSET(Origine,MATCH($F68,Descrizioni,0),MATCH(L$15,Intestazioni,0)-1,1,1)&lt;&gt;"",HYPERLINK("https://www.zonebourse.com/mods_a/charts/TV/inc_dyna_graph.php?c="&amp;OFFSET(Origine,MATCH($F68,Descrizioni,0),MATCH(L$15,Intestazioni,0)-1,1,1)&amp;"&amp;style=TradingView.CANDLES&amp;showAT=1",""),"")</f>
        <v></v>
      </c>
      <c r="M68" s="298" t="str">
        <f ca="1">(OFFSET(Origine,MATCH($F68,Descrizioni,0),MATCH(M$15,Intestazioni,0)-1,1,1))</f>
        <v>Unit</v>
      </c>
      <c r="N68" s="321"/>
      <c r="O68" s="321"/>
      <c r="P68" s="322">
        <f t="shared" ca="1" si="1539"/>
        <v>0</v>
      </c>
      <c r="Q68" s="307">
        <f t="array" aca="1" ref="Q68" ca="1">SUM(IF($AA$15:$FT$15="I_pos",AA68:FT68))</f>
        <v>0</v>
      </c>
      <c r="R68" s="307">
        <f t="array" aca="1" ref="R68" ca="1">SUM(IF($AA$15:$FT$15="P_Pos",AA68:FT68))</f>
        <v>0</v>
      </c>
      <c r="S68" s="304"/>
      <c r="T68" s="307"/>
      <c r="U68" s="308">
        <f ca="1">OFFSET(Origine,MATCH($F68,Descrizioni,0),MATCH(U$15,Intestazioni,0)-1,1,1)</f>
        <v>-9.6414291242099999E-3</v>
      </c>
      <c r="V68" s="307">
        <f t="array" aca="1" ref="V68" ca="1">SUM(IF($AA$15:$FT$15="O_Pos",AA68:FT68))</f>
        <v>0</v>
      </c>
      <c r="W68" s="299" t="str">
        <f ca="1">OFFSET(Origine,MATCH($F68,Descrizioni,0),MATCH(W$15,Intestazioni,0)-1,1,1)</f>
        <v>CHF</v>
      </c>
      <c r="X68" s="309">
        <f t="shared" ca="1" si="2392"/>
        <v>15.3565</v>
      </c>
      <c r="Y68" s="310">
        <f t="shared" ca="1" si="2392"/>
        <v>0</v>
      </c>
      <c r="Z68" s="311">
        <f ca="1">_xlfn.NUMBERVALUE(OFFSET(Origine,MATCH(W68&amp;"/"&amp;MRif,LUKB_Name,0),MATCH("Price",Intestazioni,0)-1,1,1))</f>
        <v>1.0000001300000001</v>
      </c>
      <c r="AA68" s="214"/>
      <c r="AB68" s="312" t="str">
        <f t="shared" ca="1" si="2393"/>
        <v/>
      </c>
      <c r="AC68" s="215"/>
      <c r="AD68" s="199">
        <f ca="1">AA68*$X68</f>
        <v>0</v>
      </c>
      <c r="AE68" s="199">
        <f ca="1">AD68*$Z68</f>
        <v>0</v>
      </c>
      <c r="AF68" s="216">
        <f ca="1">IFERROR(AE68/AA$4,0)</f>
        <v>0</v>
      </c>
      <c r="AG68" s="202">
        <f ca="1">AH68/$X68</f>
        <v>0</v>
      </c>
      <c r="AH68" s="203">
        <f ca="1">AI68/$Z68</f>
        <v>0</v>
      </c>
      <c r="AI68" s="203">
        <f ca="1">AJ68*AA$4</f>
        <v>0</v>
      </c>
      <c r="AJ68" s="204">
        <f ca="1">IF(AA$6&lt;&gt;"",$O68,$N68)-AF68</f>
        <v>0</v>
      </c>
      <c r="AK68" s="205"/>
      <c r="AL68" s="206">
        <f ca="1">AK68*$X68</f>
        <v>0</v>
      </c>
      <c r="AM68" s="206">
        <f ca="1">AL68*$Z68</f>
        <v>0</v>
      </c>
      <c r="AN68" s="207">
        <f ca="1">IFERROR(AM68/AA$4,0)</f>
        <v>0</v>
      </c>
      <c r="AO68" s="313">
        <f>AA68+AK68</f>
        <v>0</v>
      </c>
      <c r="AP68" s="313">
        <f t="shared" ca="1" si="601"/>
        <v>0</v>
      </c>
      <c r="AQ68" s="313">
        <f ca="1">AP68*$Z68</f>
        <v>0</v>
      </c>
      <c r="AR68" s="314">
        <f ca="1">IFERROR(AQ68/AA$4,0)</f>
        <v>0</v>
      </c>
      <c r="AS68" s="315" t="str">
        <f ca="1">IF(SUM(AF68,AN68,AR68)&lt;&gt;0,"V","")</f>
        <v/>
      </c>
      <c r="AT68" s="214">
        <f>1650+-1650</f>
        <v>0</v>
      </c>
      <c r="AU68" s="312" t="str">
        <f t="shared" ca="1" si="2394"/>
        <v/>
      </c>
      <c r="AV68" s="215"/>
      <c r="AW68" s="199">
        <f ca="1">AT68*$X68</f>
        <v>0</v>
      </c>
      <c r="AX68" s="199">
        <f ca="1">AW68*$Z68</f>
        <v>0</v>
      </c>
      <c r="AY68" s="216">
        <f ca="1">IFERROR(AX68/AT$4,0)</f>
        <v>0</v>
      </c>
      <c r="AZ68" s="202">
        <f ca="1">BA68/$X68</f>
        <v>0</v>
      </c>
      <c r="BA68" s="203">
        <f ca="1">BB68/$Z68</f>
        <v>0</v>
      </c>
      <c r="BB68" s="203">
        <f ca="1">BC68*AT$4</f>
        <v>0</v>
      </c>
      <c r="BC68" s="204">
        <f ca="1">IF(AT$6&lt;&gt;"",$O68,$N68)-AY68</f>
        <v>0</v>
      </c>
      <c r="BD68" s="205"/>
      <c r="BE68" s="206">
        <f ca="1">BD68*$X68</f>
        <v>0</v>
      </c>
      <c r="BF68" s="206">
        <f ca="1">BE68*$Z68</f>
        <v>0</v>
      </c>
      <c r="BG68" s="207">
        <f ca="1">IFERROR(BF68/AT$4,0)</f>
        <v>0</v>
      </c>
      <c r="BH68" s="313">
        <f>AT68+BD68</f>
        <v>0</v>
      </c>
      <c r="BI68" s="313">
        <f t="shared" ca="1" si="615"/>
        <v>0</v>
      </c>
      <c r="BJ68" s="313">
        <f ca="1">BI68*$Z68</f>
        <v>0</v>
      </c>
      <c r="BK68" s="314">
        <f ca="1">IFERROR(BJ68/AT$4,0)</f>
        <v>0</v>
      </c>
      <c r="BL68" s="211" t="str">
        <f ca="1">IF(SUM(AY68,BG68,BK68)&lt;&gt;0,"V","")</f>
        <v/>
      </c>
      <c r="BM68" s="214"/>
      <c r="BN68" s="312" t="str">
        <f t="shared" ca="1" si="2395"/>
        <v/>
      </c>
      <c r="BO68" s="215"/>
      <c r="BP68" s="199">
        <f ca="1">BM68*$X68</f>
        <v>0</v>
      </c>
      <c r="BQ68" s="199">
        <f ca="1">BP68*$Z68</f>
        <v>0</v>
      </c>
      <c r="BR68" s="216">
        <f ca="1">IFERROR(BQ68/BM$4,0)</f>
        <v>0</v>
      </c>
      <c r="BS68" s="202">
        <f ca="1">BT68/$X68</f>
        <v>0</v>
      </c>
      <c r="BT68" s="203">
        <f ca="1">BU68/$Z68</f>
        <v>0</v>
      </c>
      <c r="BU68" s="203">
        <f ca="1">BV68*BM$4</f>
        <v>0</v>
      </c>
      <c r="BV68" s="204">
        <f ca="1">IF(BM$6&lt;&gt;"",$O68,$N68)-BR68</f>
        <v>0</v>
      </c>
      <c r="BW68" s="205"/>
      <c r="BX68" s="206">
        <f ca="1">BW68*$X68</f>
        <v>0</v>
      </c>
      <c r="BY68" s="206">
        <f ca="1">BX68*$Z68</f>
        <v>0</v>
      </c>
      <c r="BZ68" s="207">
        <f ca="1">IFERROR(BY68/BM$4,0)</f>
        <v>0</v>
      </c>
      <c r="CA68" s="313">
        <f>BM68+BW68</f>
        <v>0</v>
      </c>
      <c r="CB68" s="313">
        <f t="shared" ca="1" si="629"/>
        <v>0</v>
      </c>
      <c r="CC68" s="313">
        <f ca="1">CB68*$Z68</f>
        <v>0</v>
      </c>
      <c r="CD68" s="314">
        <f ca="1">IFERROR(CC68/BM$4,0)</f>
        <v>0</v>
      </c>
      <c r="CE68" s="211" t="str">
        <f ca="1">IF(SUM(BR68,BZ68,CD68)&lt;&gt;0,"V","")</f>
        <v/>
      </c>
      <c r="CF68" s="214"/>
      <c r="CG68" s="312" t="str">
        <f t="shared" ca="1" si="2396"/>
        <v/>
      </c>
      <c r="CH68" s="215"/>
      <c r="CI68" s="199">
        <f ca="1">CF68*$X68</f>
        <v>0</v>
      </c>
      <c r="CJ68" s="199">
        <f ca="1">CI68*$Z68</f>
        <v>0</v>
      </c>
      <c r="CK68" s="216">
        <f ca="1">IFERROR(CJ68/CF$4,0)</f>
        <v>0</v>
      </c>
      <c r="CL68" s="202">
        <f ca="1">CM68/$X68</f>
        <v>0</v>
      </c>
      <c r="CM68" s="203">
        <f ca="1">CN68/$Z68</f>
        <v>0</v>
      </c>
      <c r="CN68" s="203">
        <f ca="1">CO68*CF$4</f>
        <v>0</v>
      </c>
      <c r="CO68" s="204">
        <f ca="1">IF(CF$6&lt;&gt;"",$O68,$N68)-CK68</f>
        <v>0</v>
      </c>
      <c r="CP68" s="205"/>
      <c r="CQ68" s="206">
        <f ca="1">CP68*$X68</f>
        <v>0</v>
      </c>
      <c r="CR68" s="206">
        <f ca="1">CQ68*$Z68</f>
        <v>0</v>
      </c>
      <c r="CS68" s="207">
        <f ca="1">IFERROR(CR68/CF$4,0)</f>
        <v>0</v>
      </c>
      <c r="CT68" s="313">
        <f>CF68+CP68</f>
        <v>0</v>
      </c>
      <c r="CU68" s="313">
        <f t="shared" ca="1" si="643"/>
        <v>0</v>
      </c>
      <c r="CV68" s="313">
        <f ca="1">CU68*$Z68</f>
        <v>0</v>
      </c>
      <c r="CW68" s="314">
        <f ca="1">IFERROR(CV68/CF$4,0)</f>
        <v>0</v>
      </c>
      <c r="CX68" s="211" t="str">
        <f ca="1">IF(SUM(CK68,CS68,CW68)&lt;&gt;0,"V","")</f>
        <v/>
      </c>
      <c r="CY68" s="197"/>
      <c r="CZ68" s="312" t="str">
        <f t="shared" ca="1" si="2397"/>
        <v/>
      </c>
      <c r="DA68" s="199"/>
      <c r="DB68" s="199">
        <f ca="1">CY68*$X68</f>
        <v>0</v>
      </c>
      <c r="DC68" s="199">
        <f ca="1">DB68*$Z68</f>
        <v>0</v>
      </c>
      <c r="DD68" s="216">
        <f ca="1">IFERROR(DC68/CY$4,0)</f>
        <v>0</v>
      </c>
      <c r="DE68" s="202">
        <f ca="1">DF68/$X68</f>
        <v>0</v>
      </c>
      <c r="DF68" s="203">
        <f ca="1">DG68/$Z68</f>
        <v>0</v>
      </c>
      <c r="DG68" s="203">
        <f ca="1">DH68*CY$4</f>
        <v>0</v>
      </c>
      <c r="DH68" s="204">
        <f ca="1">IF(CY$6&lt;&gt;"",$O68,$N68)-DD68</f>
        <v>0</v>
      </c>
      <c r="DI68" s="205"/>
      <c r="DJ68" s="206">
        <f ca="1">DI68*$X68</f>
        <v>0</v>
      </c>
      <c r="DK68" s="206">
        <f ca="1">DJ68*$Z68</f>
        <v>0</v>
      </c>
      <c r="DL68" s="207">
        <f ca="1">IFERROR(DK68/CY$4,0)</f>
        <v>0</v>
      </c>
      <c r="DM68" s="313">
        <f>CY68+DI68</f>
        <v>0</v>
      </c>
      <c r="DN68" s="313">
        <f t="shared" ca="1" si="655"/>
        <v>0</v>
      </c>
      <c r="DO68" s="313">
        <f ca="1">DN68*$Z68</f>
        <v>0</v>
      </c>
      <c r="DP68" s="314">
        <f ca="1">IFERROR(DO68/CY$4,0)</f>
        <v>0</v>
      </c>
      <c r="DQ68" s="315" t="str">
        <f ca="1">IF(SUM(DD68,DL68,DP68)&lt;&gt;0,"V","")</f>
        <v/>
      </c>
      <c r="DR68" s="197"/>
      <c r="DS68" s="312" t="str">
        <f t="shared" ca="1" si="2398"/>
        <v/>
      </c>
      <c r="DT68" s="199"/>
      <c r="DU68" s="199">
        <f ca="1">DR68*$X68</f>
        <v>0</v>
      </c>
      <c r="DV68" s="199">
        <f ca="1">DU68*$Z68</f>
        <v>0</v>
      </c>
      <c r="DW68" s="216">
        <f ca="1">IFERROR(DV68/DR$4,0)</f>
        <v>0</v>
      </c>
      <c r="DX68" s="202">
        <f ca="1">DY68/$X68</f>
        <v>0</v>
      </c>
      <c r="DY68" s="203">
        <f ca="1">DZ68/$Z68</f>
        <v>0</v>
      </c>
      <c r="DZ68" s="203">
        <f ca="1">EA68*DR$4</f>
        <v>0</v>
      </c>
      <c r="EA68" s="204">
        <f ca="1">IF(DR$6&lt;&gt;"",$O68,$N68)-DW68</f>
        <v>0</v>
      </c>
      <c r="EB68" s="205"/>
      <c r="EC68" s="206">
        <f ca="1">EB68*$X68</f>
        <v>0</v>
      </c>
      <c r="ED68" s="206">
        <f ca="1">EC68*$Z68</f>
        <v>0</v>
      </c>
      <c r="EE68" s="207">
        <f ca="1">IFERROR(ED68/DR$4,0)</f>
        <v>0</v>
      </c>
      <c r="EF68" s="313">
        <f>DR68+EB68</f>
        <v>0</v>
      </c>
      <c r="EG68" s="313">
        <f t="shared" ca="1" si="2399"/>
        <v>0</v>
      </c>
      <c r="EH68" s="313">
        <f ca="1">EG68*$Z68</f>
        <v>0</v>
      </c>
      <c r="EI68" s="314">
        <f ca="1">IFERROR(EH68/DR$4,0)</f>
        <v>0</v>
      </c>
      <c r="EJ68" s="214"/>
      <c r="EK68" s="312" t="str">
        <f t="shared" ca="1" si="2400"/>
        <v/>
      </c>
      <c r="EL68" s="222"/>
      <c r="EM68" s="199">
        <f ca="1">EJ68*$X68</f>
        <v>0</v>
      </c>
      <c r="EN68" s="199">
        <f ca="1">EM68*$Z68</f>
        <v>0</v>
      </c>
      <c r="EO68" s="216">
        <f ca="1">IFERROR(EN68/EJ$4,0)</f>
        <v>0</v>
      </c>
      <c r="EP68" s="202">
        <f ca="1">EQ68/$X68</f>
        <v>0</v>
      </c>
      <c r="EQ68" s="203">
        <f ca="1">ER68/$Z68</f>
        <v>0</v>
      </c>
      <c r="ER68" s="203">
        <f ca="1">ES68*EJ$4</f>
        <v>0</v>
      </c>
      <c r="ES68" s="204">
        <f ca="1">IF(EJ$6&lt;&gt;"",$O68,$N68)-EO68</f>
        <v>0</v>
      </c>
      <c r="ET68" s="205"/>
      <c r="EU68" s="206">
        <f ca="1">ET68*$X68</f>
        <v>0</v>
      </c>
      <c r="EV68" s="206">
        <f ca="1">EU68*$Z68</f>
        <v>0</v>
      </c>
      <c r="EW68" s="207">
        <f ca="1">IFERROR(EV68/EJ$4,0)</f>
        <v>0</v>
      </c>
      <c r="EX68" s="313">
        <f>EJ68+ET68</f>
        <v>0</v>
      </c>
      <c r="EY68" s="313">
        <f t="shared" ca="1" si="669"/>
        <v>0</v>
      </c>
      <c r="EZ68" s="313">
        <f ca="1">EY68*$Z68</f>
        <v>0</v>
      </c>
      <c r="FA68" s="314">
        <f ca="1">IFERROR(EZ68/EJ$4,0)</f>
        <v>0</v>
      </c>
      <c r="FB68" s="211" t="str">
        <f ca="1">IF(SUM(EO68,EW68,FA68)&lt;&gt;0,"V","")</f>
        <v/>
      </c>
      <c r="FC68" s="214"/>
      <c r="FD68" s="312" t="str">
        <f t="shared" ca="1" si="2401"/>
        <v/>
      </c>
      <c r="FE68" s="215"/>
      <c r="FF68" s="199">
        <f ca="1">FC68*$X68</f>
        <v>0</v>
      </c>
      <c r="FG68" s="199">
        <f ca="1">FF68*$Z68</f>
        <v>0</v>
      </c>
      <c r="FH68" s="216">
        <f ca="1">IFERROR(FG68/FC$4,0)</f>
        <v>0</v>
      </c>
      <c r="FI68" s="202">
        <f ca="1">FJ68/$X68</f>
        <v>0</v>
      </c>
      <c r="FJ68" s="203">
        <f ca="1">FK68/$Z68</f>
        <v>0</v>
      </c>
      <c r="FK68" s="203">
        <f ca="1">FL68*FC$4</f>
        <v>0</v>
      </c>
      <c r="FL68" s="204">
        <f ca="1">IF(FC$6&lt;&gt;"",$O68,$N68)-FH68</f>
        <v>0</v>
      </c>
      <c r="FM68" s="205"/>
      <c r="FN68" s="206">
        <f ca="1">FM68*$X68</f>
        <v>0</v>
      </c>
      <c r="FO68" s="206">
        <f ca="1">FN68*$Z68</f>
        <v>0</v>
      </c>
      <c r="FP68" s="207">
        <f ca="1">IFERROR(FO68/FC$4,0)</f>
        <v>0</v>
      </c>
      <c r="FQ68" s="313">
        <f>FC68+FM68</f>
        <v>0</v>
      </c>
      <c r="FR68" s="313">
        <f t="shared" ca="1" si="683"/>
        <v>0</v>
      </c>
      <c r="FS68" s="313">
        <f ca="1">FR68*$Z68</f>
        <v>0</v>
      </c>
      <c r="FT68" s="314">
        <f ca="1">IFERROR(FS68/FC$4,0)</f>
        <v>0</v>
      </c>
      <c r="FU68" s="315" t="str">
        <f ca="1">IF(SUM(FH68,FP68,FT68)&lt;&gt;0,"V","")</f>
        <v/>
      </c>
    </row>
    <row r="69" spans="1:177" outlineLevel="2" x14ac:dyDescent="0.2">
      <c r="A69" s="298"/>
      <c r="B69" s="298"/>
      <c r="C69" s="299" t="str">
        <f t="shared" ca="1" si="2389"/>
        <v>IE00B988C465:CHF</v>
      </c>
      <c r="D69" s="300" t="str">
        <f t="shared" ca="1" si="2389"/>
        <v>IE00B988C465</v>
      </c>
      <c r="E69" s="301" t="str">
        <f t="shared" ca="1" si="2389"/>
        <v>22134231</v>
      </c>
      <c r="F69" s="299" t="s">
        <v>750</v>
      </c>
      <c r="G69" s="316" t="str">
        <f t="shared" ca="1" si="2390"/>
        <v/>
      </c>
      <c r="H69" s="1708" t="str">
        <f ca="1">IF(OFFSET(Origine,MATCH($F69,Descrizioni,0),MATCH(H$15,Intestazioni,0)-1,1,1)&lt;&gt;"",HYPERLINK(OFFSET(Origine,MATCH($F69,Descrizioni,0),MATCH(H$15,Intestazioni,0)-1,1,1),""),"")</f>
        <v></v>
      </c>
      <c r="I69" s="1680" t="str">
        <f ca="1">IF(OFFSET(Origine,MATCH($F69,Descrizioni,0),MATCH(I$15,Intestazioni,0)-1,1,1)&lt;&gt;"",HYPERLINK(OFFSET(Origine,MATCH($F69,Descrizioni,0),MATCH(I$15,Intestazioni,0)-1,1,1),"i"),"")</f>
        <v>i</v>
      </c>
      <c r="J69" s="1708" t="str">
        <f t="shared" ca="1" si="2391"/>
        <v></v>
      </c>
      <c r="K69" s="1709" t="str">
        <f t="shared" ca="1" si="2391"/>
        <v></v>
      </c>
      <c r="L69" s="1710" t="str">
        <f ca="1">IF(OFFSET(Origine,MATCH($F69,Descrizioni,0),MATCH(L$15,Intestazioni,0)-1,1,1)&lt;&gt;"",HYPERLINK("https://www.zonebourse.com/mods_a/charts/TV/inc_dyna_graph.php?c="&amp;OFFSET(Origine,MATCH($F69,Descrizioni,0),MATCH(L$15,Intestazioni,0)-1,1,1)&amp;"&amp;style=TradingView.CANDLES&amp;showAT=1",""),"")</f>
        <v></v>
      </c>
      <c r="M69" s="298" t="str">
        <f ca="1">(OFFSET(Origine,MATCH($F69,Descrizioni,0),MATCH(M$15,Intestazioni,0)-1,1,1))</f>
        <v>Unit</v>
      </c>
      <c r="N69" s="305"/>
      <c r="O69" s="305"/>
      <c r="P69" s="306">
        <f t="shared" ca="1" si="1539"/>
        <v>0</v>
      </c>
      <c r="Q69" s="307">
        <f t="array" aca="1" ref="Q69" ca="1">SUM(IF($AA$15:$FT$15="I_pos",AA69:FT69))</f>
        <v>0</v>
      </c>
      <c r="R69" s="307">
        <f t="array" aca="1" ref="R69" ca="1">SUM(IF($AA$15:$FT$15="P_Pos",AA69:FT69))</f>
        <v>0</v>
      </c>
      <c r="S69" s="304"/>
      <c r="T69" s="307"/>
      <c r="U69" s="308"/>
      <c r="V69" s="307">
        <f t="array" aca="1" ref="V69" ca="1">SUM(IF($AA$15:$FT$15="O_Pos",AA69:FT69))</f>
        <v>0</v>
      </c>
      <c r="W69" s="299" t="str">
        <f ca="1">OFFSET(Origine,MATCH($F69,Descrizioni,0),MATCH(W$15,Intestazioni,0)-1,1,1)</f>
        <v>CHF</v>
      </c>
      <c r="X69" s="309">
        <f t="shared" ca="1" si="2392"/>
        <v>69.650000000000006</v>
      </c>
      <c r="Y69" s="310">
        <f t="shared" ca="1" si="2392"/>
        <v>0</v>
      </c>
      <c r="Z69" s="311">
        <f ca="1">_xlfn.NUMBERVALUE(OFFSET(Origine,MATCH(W69&amp;"/"&amp;MRif,LUKB_Name,0),MATCH("Price",Intestazioni,0)-1,1,1))</f>
        <v>1.0000001300000001</v>
      </c>
      <c r="AA69" s="214">
        <f>265+-130+-135</f>
        <v>0</v>
      </c>
      <c r="AB69" s="312" t="str">
        <f t="shared" ca="1" si="2393"/>
        <v/>
      </c>
      <c r="AC69" s="215"/>
      <c r="AD69" s="199">
        <f ca="1">AA69*$X69</f>
        <v>0</v>
      </c>
      <c r="AE69" s="199">
        <f ca="1">AD69*$Z69</f>
        <v>0</v>
      </c>
      <c r="AF69" s="216">
        <f ca="1">IFERROR(AE69/AA$4,0)</f>
        <v>0</v>
      </c>
      <c r="AG69" s="202">
        <f ca="1">AH69/$X69</f>
        <v>0</v>
      </c>
      <c r="AH69" s="203">
        <f ca="1">AI69/$Z69</f>
        <v>0</v>
      </c>
      <c r="AI69" s="203">
        <f ca="1">AJ69*AA$4</f>
        <v>0</v>
      </c>
      <c r="AJ69" s="204">
        <f ca="1">IF(AA$6&lt;&gt;"",$O69,$N69)-AF69</f>
        <v>0</v>
      </c>
      <c r="AK69" s="205"/>
      <c r="AL69" s="206">
        <f ca="1">AK69*$X69</f>
        <v>0</v>
      </c>
      <c r="AM69" s="206">
        <f ca="1">AL69*$Z69</f>
        <v>0</v>
      </c>
      <c r="AN69" s="207">
        <f ca="1">IFERROR(AM69/AA$4,0)</f>
        <v>0</v>
      </c>
      <c r="AO69" s="313">
        <f>AA69+AK69</f>
        <v>0</v>
      </c>
      <c r="AP69" s="313">
        <f t="shared" ca="1" si="601"/>
        <v>0</v>
      </c>
      <c r="AQ69" s="313">
        <f ca="1">AP69*$Z69</f>
        <v>0</v>
      </c>
      <c r="AR69" s="314">
        <f ca="1">IFERROR(AQ69/AA$4,0)</f>
        <v>0</v>
      </c>
      <c r="AS69" s="315" t="str">
        <f ca="1">IF(SUM(AF69,AN69,AR69)&lt;&gt;0,"V","")</f>
        <v/>
      </c>
      <c r="AT69" s="214">
        <f>900+-420+-480</f>
        <v>0</v>
      </c>
      <c r="AU69" s="312" t="str">
        <f t="shared" ca="1" si="2394"/>
        <v/>
      </c>
      <c r="AV69" s="215"/>
      <c r="AW69" s="199">
        <f ca="1">AT69*$X69</f>
        <v>0</v>
      </c>
      <c r="AX69" s="199">
        <f ca="1">AW69*$Z69</f>
        <v>0</v>
      </c>
      <c r="AY69" s="216">
        <f ca="1">IFERROR(AX69/AT$4,0)</f>
        <v>0</v>
      </c>
      <c r="AZ69" s="202">
        <f ca="1">BA69/$X69</f>
        <v>0</v>
      </c>
      <c r="BA69" s="203">
        <f ca="1">BB69/$Z69</f>
        <v>0</v>
      </c>
      <c r="BB69" s="203">
        <f ca="1">BC69*AT$4</f>
        <v>0</v>
      </c>
      <c r="BC69" s="204">
        <f ca="1">IF(AT$6&lt;&gt;"",$O69,$N69)-AY69</f>
        <v>0</v>
      </c>
      <c r="BD69" s="205"/>
      <c r="BE69" s="206">
        <f ca="1">BD69*$X69</f>
        <v>0</v>
      </c>
      <c r="BF69" s="206">
        <f ca="1">BE69*$Z69</f>
        <v>0</v>
      </c>
      <c r="BG69" s="207">
        <f ca="1">IFERROR(BF69/AT$4,0)</f>
        <v>0</v>
      </c>
      <c r="BH69" s="313">
        <f>AT69+BD69</f>
        <v>0</v>
      </c>
      <c r="BI69" s="313">
        <f t="shared" ca="1" si="615"/>
        <v>0</v>
      </c>
      <c r="BJ69" s="313">
        <f ca="1">BI69*$Z69</f>
        <v>0</v>
      </c>
      <c r="BK69" s="314">
        <f ca="1">IFERROR(BJ69/AT$4,0)</f>
        <v>0</v>
      </c>
      <c r="BL69" s="211" t="str">
        <f ca="1">IF(SUM(AY69,BG69,BK69)&lt;&gt;0,"V","")</f>
        <v/>
      </c>
      <c r="BM69" s="214">
        <f>180+-80+-100</f>
        <v>0</v>
      </c>
      <c r="BN69" s="312" t="str">
        <f t="shared" ca="1" si="2395"/>
        <v/>
      </c>
      <c r="BO69" s="215"/>
      <c r="BP69" s="199">
        <f ca="1">BM69*$X69</f>
        <v>0</v>
      </c>
      <c r="BQ69" s="199">
        <f ca="1">BP69*$Z69</f>
        <v>0</v>
      </c>
      <c r="BR69" s="216">
        <f ca="1">IFERROR(BQ69/BM$4,0)</f>
        <v>0</v>
      </c>
      <c r="BS69" s="202">
        <f ca="1">BT69/$X69</f>
        <v>0</v>
      </c>
      <c r="BT69" s="203">
        <f ca="1">BU69/$Z69</f>
        <v>0</v>
      </c>
      <c r="BU69" s="203">
        <f ca="1">BV69*BM$4</f>
        <v>0</v>
      </c>
      <c r="BV69" s="204">
        <f ca="1">IF(BM$6&lt;&gt;"",$O69,$N69)-BR69</f>
        <v>0</v>
      </c>
      <c r="BW69" s="205"/>
      <c r="BX69" s="206">
        <f ca="1">BW69*$X69</f>
        <v>0</v>
      </c>
      <c r="BY69" s="206">
        <f ca="1">BX69*$Z69</f>
        <v>0</v>
      </c>
      <c r="BZ69" s="207">
        <f ca="1">IFERROR(BY69/BM$4,0)</f>
        <v>0</v>
      </c>
      <c r="CA69" s="313">
        <f>BM69+BW69</f>
        <v>0</v>
      </c>
      <c r="CB69" s="313">
        <f t="shared" ca="1" si="629"/>
        <v>0</v>
      </c>
      <c r="CC69" s="313">
        <f ca="1">CB69*$Z69</f>
        <v>0</v>
      </c>
      <c r="CD69" s="314">
        <f ca="1">IFERROR(CC69/BM$4,0)</f>
        <v>0</v>
      </c>
      <c r="CE69" s="211" t="str">
        <f ca="1">IF(SUM(BR69,BZ69,CD69)&lt;&gt;0,"V","")</f>
        <v/>
      </c>
      <c r="CF69" s="214">
        <f>470+-220+-250</f>
        <v>0</v>
      </c>
      <c r="CG69" s="312" t="str">
        <f t="shared" ca="1" si="2396"/>
        <v/>
      </c>
      <c r="CH69" s="215"/>
      <c r="CI69" s="199">
        <f ca="1">CF69*$X69</f>
        <v>0</v>
      </c>
      <c r="CJ69" s="199">
        <f ca="1">CI69*$Z69</f>
        <v>0</v>
      </c>
      <c r="CK69" s="216">
        <f ca="1">IFERROR(CJ69/CF$4,0)</f>
        <v>0</v>
      </c>
      <c r="CL69" s="202">
        <f ca="1">CM69/$X69</f>
        <v>0</v>
      </c>
      <c r="CM69" s="203">
        <f ca="1">CN69/$Z69</f>
        <v>0</v>
      </c>
      <c r="CN69" s="203">
        <f ca="1">CO69*CF$4</f>
        <v>0</v>
      </c>
      <c r="CO69" s="204">
        <f ca="1">IF(CF$6&lt;&gt;"",$O69,$N69)-CK69</f>
        <v>0</v>
      </c>
      <c r="CP69" s="205"/>
      <c r="CQ69" s="206">
        <f ca="1">CP69*$X69</f>
        <v>0</v>
      </c>
      <c r="CR69" s="206">
        <f ca="1">CQ69*$Z69</f>
        <v>0</v>
      </c>
      <c r="CS69" s="207">
        <f ca="1">IFERROR(CR69/CF$4,0)</f>
        <v>0</v>
      </c>
      <c r="CT69" s="313">
        <f>CF69+CP69</f>
        <v>0</v>
      </c>
      <c r="CU69" s="313">
        <f t="shared" ca="1" si="643"/>
        <v>0</v>
      </c>
      <c r="CV69" s="313">
        <f ca="1">CU69*$Z69</f>
        <v>0</v>
      </c>
      <c r="CW69" s="314">
        <f ca="1">IFERROR(CV69/CF$4,0)</f>
        <v>0</v>
      </c>
      <c r="CX69" s="211" t="str">
        <f ca="1">IF(SUM(CK69,CS69,CW69)&lt;&gt;0,"V","")</f>
        <v/>
      </c>
      <c r="CY69" s="197">
        <f>830+-420+-410</f>
        <v>0</v>
      </c>
      <c r="CZ69" s="312" t="str">
        <f t="shared" ca="1" si="2397"/>
        <v/>
      </c>
      <c r="DA69" s="199"/>
      <c r="DB69" s="199">
        <f ca="1">CY69*$X69</f>
        <v>0</v>
      </c>
      <c r="DC69" s="199">
        <f ca="1">DB69*$Z69</f>
        <v>0</v>
      </c>
      <c r="DD69" s="216">
        <f ca="1">IFERROR(DC69/CY$4,0)</f>
        <v>0</v>
      </c>
      <c r="DE69" s="202">
        <f ca="1">DF69/$X69</f>
        <v>0</v>
      </c>
      <c r="DF69" s="203">
        <f ca="1">DG69/$Z69</f>
        <v>0</v>
      </c>
      <c r="DG69" s="203">
        <f ca="1">DH69*CY$4</f>
        <v>0</v>
      </c>
      <c r="DH69" s="204">
        <f ca="1">IF(CY$6&lt;&gt;"",$O69,$N69)-DD69</f>
        <v>0</v>
      </c>
      <c r="DI69" s="205"/>
      <c r="DJ69" s="206">
        <f ca="1">DI69*$X69</f>
        <v>0</v>
      </c>
      <c r="DK69" s="206">
        <f ca="1">DJ69*$Z69</f>
        <v>0</v>
      </c>
      <c r="DL69" s="207">
        <f ca="1">IFERROR(DK69/CY$4,0)</f>
        <v>0</v>
      </c>
      <c r="DM69" s="313">
        <f>CY69+DI69</f>
        <v>0</v>
      </c>
      <c r="DN69" s="313">
        <f t="shared" ca="1" si="655"/>
        <v>0</v>
      </c>
      <c r="DO69" s="313">
        <f ca="1">DN69*$Z69</f>
        <v>0</v>
      </c>
      <c r="DP69" s="314">
        <f ca="1">IFERROR(DO69/CY$4,0)</f>
        <v>0</v>
      </c>
      <c r="DQ69" s="315" t="str">
        <f ca="1">IF(SUM(DD69,DL69,DP69)&lt;&gt;0,"V","")</f>
        <v/>
      </c>
      <c r="DR69" s="197">
        <f>830+-420+-410</f>
        <v>0</v>
      </c>
      <c r="DS69" s="312" t="str">
        <f t="shared" ca="1" si="2398"/>
        <v/>
      </c>
      <c r="DT69" s="199"/>
      <c r="DU69" s="199">
        <f ca="1">DR69*$X69</f>
        <v>0</v>
      </c>
      <c r="DV69" s="199">
        <f ca="1">DU69*$Z69</f>
        <v>0</v>
      </c>
      <c r="DW69" s="216">
        <f ca="1">IFERROR(DV69/DR$4,0)</f>
        <v>0</v>
      </c>
      <c r="DX69" s="202">
        <f ca="1">DY69/$X69</f>
        <v>0</v>
      </c>
      <c r="DY69" s="203">
        <f ca="1">DZ69/$Z69</f>
        <v>0</v>
      </c>
      <c r="DZ69" s="203">
        <f ca="1">EA69*DR$4</f>
        <v>0</v>
      </c>
      <c r="EA69" s="204">
        <f ca="1">IF(DR$6&lt;&gt;"",$O69,$N69)-DW69</f>
        <v>0</v>
      </c>
      <c r="EB69" s="205"/>
      <c r="EC69" s="206">
        <f ca="1">EB69*$X69</f>
        <v>0</v>
      </c>
      <c r="ED69" s="206">
        <f ca="1">EC69*$Z69</f>
        <v>0</v>
      </c>
      <c r="EE69" s="207">
        <f ca="1">IFERROR(ED69/DR$4,0)</f>
        <v>0</v>
      </c>
      <c r="EF69" s="313">
        <f>DR69+EB69</f>
        <v>0</v>
      </c>
      <c r="EG69" s="313">
        <f t="shared" ca="1" si="2399"/>
        <v>0</v>
      </c>
      <c r="EH69" s="313">
        <f ca="1">EG69*$Z69</f>
        <v>0</v>
      </c>
      <c r="EI69" s="314">
        <f ca="1">IFERROR(EH69/DR$4,0)</f>
        <v>0</v>
      </c>
      <c r="EJ69" s="214"/>
      <c r="EK69" s="312" t="str">
        <f t="shared" ca="1" si="2400"/>
        <v/>
      </c>
      <c r="EL69" s="222"/>
      <c r="EM69" s="199">
        <f ca="1">EJ69*$X69</f>
        <v>0</v>
      </c>
      <c r="EN69" s="199">
        <f ca="1">EM69*$Z69</f>
        <v>0</v>
      </c>
      <c r="EO69" s="216">
        <f ca="1">IFERROR(EN69/EJ$4,0)</f>
        <v>0</v>
      </c>
      <c r="EP69" s="202">
        <f ca="1">EQ69/$X69</f>
        <v>0</v>
      </c>
      <c r="EQ69" s="203">
        <f ca="1">ER69/$Z69</f>
        <v>0</v>
      </c>
      <c r="ER69" s="203">
        <f ca="1">ES69*EJ$4</f>
        <v>0</v>
      </c>
      <c r="ES69" s="204">
        <f ca="1">IF(EJ$6&lt;&gt;"",$O69,$N69)-EO69</f>
        <v>0</v>
      </c>
      <c r="ET69" s="205"/>
      <c r="EU69" s="206">
        <f ca="1">ET69*$X69</f>
        <v>0</v>
      </c>
      <c r="EV69" s="206">
        <f ca="1">EU69*$Z69</f>
        <v>0</v>
      </c>
      <c r="EW69" s="207">
        <f ca="1">IFERROR(EV69/EJ$4,0)</f>
        <v>0</v>
      </c>
      <c r="EX69" s="313">
        <f>EJ69+ET69</f>
        <v>0</v>
      </c>
      <c r="EY69" s="313">
        <f t="shared" ca="1" si="669"/>
        <v>0</v>
      </c>
      <c r="EZ69" s="313">
        <f ca="1">EY69*$Z69</f>
        <v>0</v>
      </c>
      <c r="FA69" s="314">
        <f ca="1">IFERROR(EZ69/EJ$4,0)</f>
        <v>0</v>
      </c>
      <c r="FB69" s="211" t="str">
        <f ca="1">IF(SUM(EO69,EW69,FA69)&lt;&gt;0,"V","")</f>
        <v/>
      </c>
      <c r="FC69" s="214"/>
      <c r="FD69" s="312" t="str">
        <f t="shared" ca="1" si="2401"/>
        <v/>
      </c>
      <c r="FE69" s="215"/>
      <c r="FF69" s="199">
        <f ca="1">FC69*$X69</f>
        <v>0</v>
      </c>
      <c r="FG69" s="199">
        <f ca="1">FF69*$Z69</f>
        <v>0</v>
      </c>
      <c r="FH69" s="216">
        <f ca="1">IFERROR(FG69/FC$4,0)</f>
        <v>0</v>
      </c>
      <c r="FI69" s="202">
        <f ca="1">FJ69/$X69</f>
        <v>0</v>
      </c>
      <c r="FJ69" s="203">
        <f ca="1">FK69/$Z69</f>
        <v>0</v>
      </c>
      <c r="FK69" s="203">
        <f ca="1">FL69*FC$4</f>
        <v>0</v>
      </c>
      <c r="FL69" s="204">
        <f ca="1">IF(FC$6&lt;&gt;"",$O69,$N69)-FH69</f>
        <v>0</v>
      </c>
      <c r="FM69" s="205"/>
      <c r="FN69" s="206">
        <f ca="1">FM69*$X69</f>
        <v>0</v>
      </c>
      <c r="FO69" s="206">
        <f ca="1">FN69*$Z69</f>
        <v>0</v>
      </c>
      <c r="FP69" s="207">
        <f ca="1">IFERROR(FO69/FC$4,0)</f>
        <v>0</v>
      </c>
      <c r="FQ69" s="313">
        <f>FC69+FM69</f>
        <v>0</v>
      </c>
      <c r="FR69" s="313">
        <f t="shared" ca="1" si="683"/>
        <v>0</v>
      </c>
      <c r="FS69" s="313">
        <f ca="1">FR69*$Z69</f>
        <v>0</v>
      </c>
      <c r="FT69" s="314">
        <f ca="1">IFERROR(FS69/FC$4,0)</f>
        <v>0</v>
      </c>
      <c r="FU69" s="315" t="str">
        <f ca="1">IF(SUM(FH69,FP69,FT69)&lt;&gt;0,"V","")</f>
        <v/>
      </c>
    </row>
    <row r="70" spans="1:177" outlineLevel="1" x14ac:dyDescent="0.2">
      <c r="A70" s="273"/>
      <c r="B70" s="274" t="s">
        <v>568</v>
      </c>
      <c r="C70" s="275"/>
      <c r="D70" s="276"/>
      <c r="E70" s="277"/>
      <c r="F70" s="275"/>
      <c r="G70" s="278"/>
      <c r="H70" s="1679"/>
      <c r="I70" s="1679"/>
      <c r="J70" s="1707"/>
      <c r="K70" s="1679"/>
      <c r="L70" s="1679"/>
      <c r="M70" s="280"/>
      <c r="N70" s="281">
        <f>SUM(N$71:N$76)</f>
        <v>0</v>
      </c>
      <c r="O70" s="281">
        <v>0</v>
      </c>
      <c r="P70" s="282">
        <f t="shared" ca="1" si="1539"/>
        <v>0</v>
      </c>
      <c r="Q70" s="283"/>
      <c r="R70" s="283"/>
      <c r="S70" s="275"/>
      <c r="T70" s="283"/>
      <c r="U70" s="284"/>
      <c r="V70" s="283"/>
      <c r="W70" s="275"/>
      <c r="X70" s="286"/>
      <c r="Y70" s="286"/>
      <c r="Z70" s="287"/>
      <c r="AA70" s="288"/>
      <c r="AB70" s="289"/>
      <c r="AC70" s="289"/>
      <c r="AD70" s="275"/>
      <c r="AE70" s="290">
        <f ca="1">SUM(AE$71:AE$76)</f>
        <v>0</v>
      </c>
      <c r="AF70" s="291">
        <f t="shared" ref="AF70" ca="1" si="2402">IFERROR(AE70/AA$4,0)</f>
        <v>0</v>
      </c>
      <c r="AG70" s="292"/>
      <c r="AH70" s="275"/>
      <c r="AI70" s="290">
        <f ca="1">SUM(AI$71:AI$76)</f>
        <v>0</v>
      </c>
      <c r="AJ70" s="293">
        <f ca="1">IFERROR(AI70/AA$4,0)</f>
        <v>0</v>
      </c>
      <c r="AK70" s="292"/>
      <c r="AL70" s="275"/>
      <c r="AM70" s="290">
        <f ca="1">SUM(AM$71:AM$76)</f>
        <v>0</v>
      </c>
      <c r="AN70" s="293">
        <f t="shared" ref="AN70" ca="1" si="2403">IFERROR(AM70/AA$4,0)</f>
        <v>0</v>
      </c>
      <c r="AO70" s="275"/>
      <c r="AP70" s="275"/>
      <c r="AQ70" s="290">
        <f ca="1">SUM(AQ$71:AQ$76)</f>
        <v>0</v>
      </c>
      <c r="AR70" s="291">
        <f t="shared" ref="AR70:AR71" ca="1" si="2404">IFERROR(AQ70/AA$4,0)</f>
        <v>0</v>
      </c>
      <c r="AS70" s="294" t="str">
        <f t="shared" ref="AS70" ca="1" si="2405">IF(SUM(AF70,AN70,AR70)&lt;&gt;0,"V","")</f>
        <v/>
      </c>
      <c r="AT70" s="288"/>
      <c r="AU70" s="289"/>
      <c r="AV70" s="289"/>
      <c r="AW70" s="275"/>
      <c r="AX70" s="290">
        <f ca="1">SUM(AX$71:AX$76)</f>
        <v>0</v>
      </c>
      <c r="AY70" s="291">
        <f t="shared" ref="AY70" ca="1" si="2406">IFERROR(AX70/AT$4,0)</f>
        <v>0</v>
      </c>
      <c r="AZ70" s="292"/>
      <c r="BA70" s="275"/>
      <c r="BB70" s="290">
        <f ca="1">SUM(BB$71:BB$76)</f>
        <v>0</v>
      </c>
      <c r="BC70" s="293">
        <f ca="1">IFERROR(BB70/AT$4,0)</f>
        <v>0</v>
      </c>
      <c r="BD70" s="292"/>
      <c r="BE70" s="275"/>
      <c r="BF70" s="290">
        <f ca="1">SUM(BF$71:BF$76)</f>
        <v>0</v>
      </c>
      <c r="BG70" s="293">
        <f t="shared" ref="BG70" ca="1" si="2407">IFERROR(BF70/AT$4,0)</f>
        <v>0</v>
      </c>
      <c r="BH70" s="275"/>
      <c r="BI70" s="275"/>
      <c r="BJ70" s="290">
        <f ca="1">SUM(BJ$71:BJ$76)</f>
        <v>0</v>
      </c>
      <c r="BK70" s="291">
        <f t="shared" ref="BK70:BK71" ca="1" si="2408">IFERROR(BJ70/AT$4,0)</f>
        <v>0</v>
      </c>
      <c r="BL70" s="295" t="str">
        <f t="shared" ref="BL70" ca="1" si="2409">IF(SUM(AY70,BG70,BK70)&lt;&gt;0,"V","")</f>
        <v/>
      </c>
      <c r="BM70" s="288"/>
      <c r="BN70" s="289"/>
      <c r="BO70" s="289"/>
      <c r="BP70" s="275"/>
      <c r="BQ70" s="290">
        <f ca="1">SUM(BQ$71:BQ$76)</f>
        <v>0</v>
      </c>
      <c r="BR70" s="291">
        <f t="shared" ref="BR70:BR71" ca="1" si="2410">IFERROR(BQ70/BM$4,0)</f>
        <v>0</v>
      </c>
      <c r="BS70" s="292"/>
      <c r="BT70" s="275"/>
      <c r="BU70" s="290">
        <f ca="1">SUM(BU$71:BU$76)</f>
        <v>0</v>
      </c>
      <c r="BV70" s="293">
        <f ca="1">IFERROR(BU70/BM$4,0)</f>
        <v>0</v>
      </c>
      <c r="BW70" s="292"/>
      <c r="BX70" s="275"/>
      <c r="BY70" s="290">
        <f ca="1">SUM(BY$71:BY$76)</f>
        <v>0</v>
      </c>
      <c r="BZ70" s="293">
        <f t="shared" ref="BZ70:BZ71" ca="1" si="2411">IFERROR(BY70/BM$4,0)</f>
        <v>0</v>
      </c>
      <c r="CA70" s="275"/>
      <c r="CB70" s="275"/>
      <c r="CC70" s="290">
        <f ca="1">SUM(CC$71:CC$76)</f>
        <v>0</v>
      </c>
      <c r="CD70" s="291">
        <f t="shared" ref="CD70:CD71" ca="1" si="2412">IFERROR(CC70/BM$4,0)</f>
        <v>0</v>
      </c>
      <c r="CE70" s="295" t="str">
        <f t="shared" ref="CE70" ca="1" si="2413">IF(SUM(BR70,BZ70,CD70)&lt;&gt;0,"V","")</f>
        <v/>
      </c>
      <c r="CF70" s="288"/>
      <c r="CG70" s="289"/>
      <c r="CH70" s="289"/>
      <c r="CI70" s="275"/>
      <c r="CJ70" s="290">
        <f ca="1">SUM(CJ$71:CJ$76)</f>
        <v>0</v>
      </c>
      <c r="CK70" s="291">
        <f t="shared" ref="CK70" ca="1" si="2414">IFERROR(CJ70/CF$4,0)</f>
        <v>0</v>
      </c>
      <c r="CL70" s="292"/>
      <c r="CM70" s="275"/>
      <c r="CN70" s="290">
        <f ca="1">SUM(CN$71:CN$76)</f>
        <v>0</v>
      </c>
      <c r="CO70" s="293">
        <f ca="1">IFERROR(CN70/CF$4,0)</f>
        <v>0</v>
      </c>
      <c r="CP70" s="292"/>
      <c r="CQ70" s="275"/>
      <c r="CR70" s="290">
        <f ca="1">SUM(CR$71:CR$76)</f>
        <v>0</v>
      </c>
      <c r="CS70" s="293">
        <f t="shared" ref="CS70" ca="1" si="2415">IFERROR(CR70/CF$4,0)</f>
        <v>0</v>
      </c>
      <c r="CT70" s="275"/>
      <c r="CU70" s="275"/>
      <c r="CV70" s="290">
        <f ca="1">SUM(CV$71:CV$76)</f>
        <v>0</v>
      </c>
      <c r="CW70" s="291">
        <f t="shared" ref="CW70" ca="1" si="2416">IFERROR(CV70/CF$4,0)</f>
        <v>0</v>
      </c>
      <c r="CX70" s="295" t="str">
        <f t="shared" ref="CX70" ca="1" si="2417">IF(SUM(CK70,CS70,CW70)&lt;&gt;0,"V","")</f>
        <v/>
      </c>
      <c r="CY70" s="288"/>
      <c r="CZ70" s="289"/>
      <c r="DA70" s="275"/>
      <c r="DB70" s="290"/>
      <c r="DC70" s="290">
        <f ca="1">SUM(DC$71:DC$76)</f>
        <v>0</v>
      </c>
      <c r="DD70" s="291">
        <f t="shared" ref="DD70" ca="1" si="2418">IFERROR(DC70/CY$4,0)</f>
        <v>0</v>
      </c>
      <c r="DE70" s="292"/>
      <c r="DF70" s="275"/>
      <c r="DG70" s="290">
        <f ca="1">SUM(DG$71:DG$76)</f>
        <v>0</v>
      </c>
      <c r="DH70" s="293">
        <f ca="1">IFERROR(DG70/CY$4,0)</f>
        <v>0</v>
      </c>
      <c r="DI70" s="292"/>
      <c r="DJ70" s="275"/>
      <c r="DK70" s="290">
        <f ca="1">SUM(DK$71:DK$76)</f>
        <v>0</v>
      </c>
      <c r="DL70" s="293">
        <f t="shared" ref="DL70" ca="1" si="2419">IFERROR(DK70/CY$4,0)</f>
        <v>0</v>
      </c>
      <c r="DM70" s="275"/>
      <c r="DN70" s="275"/>
      <c r="DO70" s="290">
        <f ca="1">SUM(DO$71:DO$76)</f>
        <v>0</v>
      </c>
      <c r="DP70" s="291">
        <f t="shared" ref="DP70" ca="1" si="2420">IFERROR(DO70/CY$4,0)</f>
        <v>0</v>
      </c>
      <c r="DQ70" s="294" t="str">
        <f t="shared" ref="DQ70" ca="1" si="2421">IF(SUM(DD70,DL70,DP70)&lt;&gt;0,"V","")</f>
        <v/>
      </c>
      <c r="DR70" s="288"/>
      <c r="DS70" s="289"/>
      <c r="DT70" s="275"/>
      <c r="DU70" s="290"/>
      <c r="DV70" s="290">
        <f ca="1">SUM(DV$71:DV$76)</f>
        <v>0</v>
      </c>
      <c r="DW70" s="291">
        <f t="shared" ref="DW70" ca="1" si="2422">IFERROR(DV70/DR$4,0)</f>
        <v>0</v>
      </c>
      <c r="DX70" s="292"/>
      <c r="DY70" s="275"/>
      <c r="DZ70" s="290">
        <f ca="1">SUM(DZ$71:DZ$76)</f>
        <v>0</v>
      </c>
      <c r="EA70" s="293">
        <f ca="1">IFERROR(DZ70/DR$4,0)</f>
        <v>0</v>
      </c>
      <c r="EB70" s="292"/>
      <c r="EC70" s="275"/>
      <c r="ED70" s="290">
        <f ca="1">SUM(ED$71:ED$76)</f>
        <v>0</v>
      </c>
      <c r="EE70" s="293">
        <f t="shared" ref="EE70" ca="1" si="2423">IFERROR(ED70/DR$4,0)</f>
        <v>0</v>
      </c>
      <c r="EF70" s="275"/>
      <c r="EG70" s="275"/>
      <c r="EH70" s="290">
        <f ca="1">SUM(EH$71:EH$76)</f>
        <v>0</v>
      </c>
      <c r="EI70" s="291">
        <f t="shared" ref="EI70" ca="1" si="2424">IFERROR(EH70/DR$4,0)</f>
        <v>0</v>
      </c>
      <c r="EJ70" s="288"/>
      <c r="EK70" s="289"/>
      <c r="EL70" s="296"/>
      <c r="EM70" s="275"/>
      <c r="EN70" s="290">
        <f ca="1">SUM(EN$71:EN$76)</f>
        <v>18205.452999999998</v>
      </c>
      <c r="EO70" s="291">
        <f t="shared" ref="EO70" ca="1" si="2425">IFERROR(EN70/EJ$4,0)</f>
        <v>2.5650579707718807E-2</v>
      </c>
      <c r="EP70" s="292"/>
      <c r="EQ70" s="275"/>
      <c r="ER70" s="290">
        <f ca="1">SUM(ER$71:ER$76)</f>
        <v>-18205.452999999998</v>
      </c>
      <c r="ES70" s="293">
        <f ca="1">IFERROR(ER70/EJ$4,0)</f>
        <v>-2.5650579707718807E-2</v>
      </c>
      <c r="ET70" s="292"/>
      <c r="EU70" s="275"/>
      <c r="EV70" s="290">
        <f ca="1">SUM(EV$71:EV$76)</f>
        <v>0</v>
      </c>
      <c r="EW70" s="293">
        <f t="shared" ref="EW70" ca="1" si="2426">IFERROR(EV70/EJ$4,0)</f>
        <v>0</v>
      </c>
      <c r="EX70" s="275"/>
      <c r="EY70" s="275"/>
      <c r="EZ70" s="290">
        <f ca="1">SUM(EZ$71:EZ$76)</f>
        <v>18205.452999999998</v>
      </c>
      <c r="FA70" s="291">
        <f t="shared" ref="FA70:FA71" ca="1" si="2427">IFERROR(EZ70/EJ$4,0)</f>
        <v>2.5650579707718807E-2</v>
      </c>
      <c r="FB70" s="295" t="str">
        <f t="shared" ref="FB70" ca="1" si="2428">IF(SUM(EO70,EW70,FA70)&lt;&gt;0,"V","")</f>
        <v>V</v>
      </c>
      <c r="FC70" s="288"/>
      <c r="FD70" s="289"/>
      <c r="FE70" s="289"/>
      <c r="FF70" s="275"/>
      <c r="FG70" s="290">
        <f ca="1">SUM(FG$71:FG$76)</f>
        <v>0</v>
      </c>
      <c r="FH70" s="291">
        <f t="shared" ref="FH70" ca="1" si="2429">IFERROR(FG70/FC$4,0)</f>
        <v>0</v>
      </c>
      <c r="FI70" s="292"/>
      <c r="FJ70" s="275"/>
      <c r="FK70" s="290">
        <f ca="1">SUM(FK$71:FK$76)</f>
        <v>0</v>
      </c>
      <c r="FL70" s="293">
        <f ca="1">IFERROR(FK70/FC$4,0)</f>
        <v>0</v>
      </c>
      <c r="FM70" s="292"/>
      <c r="FN70" s="275"/>
      <c r="FO70" s="290">
        <f ca="1">SUM(FO$71:FO$76)</f>
        <v>0</v>
      </c>
      <c r="FP70" s="293">
        <f t="shared" ref="FP70" ca="1" si="2430">IFERROR(FO70/FC$4,0)</f>
        <v>0</v>
      </c>
      <c r="FQ70" s="275"/>
      <c r="FR70" s="275"/>
      <c r="FS70" s="290">
        <f ca="1">SUM(FS$71:FS$76)</f>
        <v>0</v>
      </c>
      <c r="FT70" s="291">
        <f t="shared" ref="FT70:FT71" ca="1" si="2431">IFERROR(FS70/FC$4,0)</f>
        <v>0</v>
      </c>
      <c r="FU70" s="297"/>
    </row>
    <row r="71" spans="1:177" outlineLevel="2" x14ac:dyDescent="0.2">
      <c r="A71" s="298"/>
      <c r="B71" s="298"/>
      <c r="C71" s="299" t="str">
        <f t="shared" ref="C71:C76" ca="1" si="2432">OFFSET(Origine,MATCH($F71,Descrizioni,0),MATCH(C$15,Intestazioni,0)-1,1,1)</f>
        <v>LU0512127977:USD</v>
      </c>
      <c r="D71" s="300" t="str">
        <f t="shared" ref="D71:E76" ca="1" si="2433">OFFSET(Origine,MATCH($F71,Descrizioni,0),MATCH(D$15,Intestazioni,0)-1,1,1)</f>
        <v>LU0512127977</v>
      </c>
      <c r="E71" s="301" t="str">
        <f t="shared" ca="1" si="2433"/>
        <v>11358600</v>
      </c>
      <c r="F71" s="299" t="s">
        <v>569</v>
      </c>
      <c r="G71" s="316" t="str">
        <f t="shared" ref="G71:G76" ca="1" si="2434">OFFSET(Origine,MATCH($F71,Descrizioni,0),MATCH(G$15,Intestazioni,0)-1,1,1)</f>
        <v/>
      </c>
      <c r="H71" s="1708" t="str">
        <f t="shared" ref="H71:H76" ca="1" si="2435">IF(OFFSET(Origine,MATCH($F71,Descrizioni,0),MATCH(H$15,Intestazioni,0)-1,1,1)&lt;&gt;"",HYPERLINK(OFFSET(Origine,MATCH($F71,Descrizioni,0),MATCH(H$15,Intestazioni,0)-1,1,1),""),"")</f>
        <v></v>
      </c>
      <c r="I71" s="1680" t="str">
        <f ca="1">IF(OFFSET(Origine,MATCH($F71,Descrizioni,0),MATCH(I$15,Intestazioni,0)-1,1,1)&lt;&gt;"",HYPERLINK(OFFSET(Origine,MATCH($F71,Descrizioni,0),MATCH(I$15,Intestazioni,0)-1,1,1),"i"),"")</f>
        <v/>
      </c>
      <c r="J71" s="1708" t="str">
        <f t="shared" ref="J71:K74" ca="1" si="2436">IF(OFFSET(Origine,MATCH($F71,Descrizioni,0),MATCH(J$15,Intestazioni,0)-1,1,1)&lt;&gt;"",HYPERLINK(OFFSET(Origine,MATCH($F71,Descrizioni,0),MATCH(J$15,Intestazioni,0)-1,1,1),""),"")</f>
        <v/>
      </c>
      <c r="K71" s="1709" t="str">
        <f t="shared" ca="1" si="2436"/>
        <v/>
      </c>
      <c r="L71" s="1710" t="str">
        <f ca="1">IF(OFFSET(Origine,MATCH($F71,Descrizioni,0),MATCH(L$15,Intestazioni,0)-1,1,1)&lt;&gt;"",HYPERLINK("https://www.zonebourse.com/mods_a/charts/TV/inc_dyna_graph.php?c="&amp;OFFSET(Origine,MATCH($F71,Descrizioni,0),MATCH(L$15,Intestazioni,0)-1,1,1)&amp;"&amp;style=TradingView.CANDLES&amp;showAT=1",""),"")</f>
        <v/>
      </c>
      <c r="M71" s="298" t="str">
        <f t="shared" ref="M71:M76" ca="1" si="2437">(OFFSET(Origine,MATCH($F71,Descrizioni,0),MATCH(M$15,Intestazioni,0)-1,1,1))</f>
        <v>Unit</v>
      </c>
      <c r="N71" s="305"/>
      <c r="O71" s="305"/>
      <c r="P71" s="306">
        <f t="shared" ca="1" si="1539"/>
        <v>0</v>
      </c>
      <c r="Q71" s="307">
        <f t="array" aca="1" ref="Q71" ca="1">SUM(IF($AA$15:$FT$15="I_pos",AA71:FT71))</f>
        <v>0</v>
      </c>
      <c r="R71" s="307">
        <f t="array" aca="1" ref="R71" ca="1">SUM(IF($AA$15:$FT$15="P_Pos",AA71:FT71))</f>
        <v>0</v>
      </c>
      <c r="S71" s="304"/>
      <c r="T71" s="307"/>
      <c r="U71" s="308">
        <f ca="1">OFFSET(Origine,MATCH($F71,Descrizioni,0),MATCH(U$15,Intestazioni,0)-1,1,1)</f>
        <v>-1.765536723163813E-3</v>
      </c>
      <c r="V71" s="307">
        <f t="array" aca="1" ref="V71" ca="1">SUM(IF($AA$15:$FT$15="O_Pos",AA71:FT71))</f>
        <v>0</v>
      </c>
      <c r="W71" s="299" t="str">
        <f ca="1">OFFSET(Origine,MATCH($F71,Descrizioni,0),MATCH(W$15,Intestazioni,0)-1,1,1)</f>
        <v>USD</v>
      </c>
      <c r="X71" s="309">
        <f t="shared" ref="X71:Y74" ca="1" si="2438">_xlfn.NUMBERVALUE(OFFSET(Origine,MATCH($F71,Descrizioni,0),MATCH(X$15,Intestazioni,0)-1,1,1))</f>
        <v>197.89</v>
      </c>
      <c r="Y71" s="310">
        <f t="shared" ca="1" si="2438"/>
        <v>0</v>
      </c>
      <c r="Z71" s="311">
        <f t="shared" ref="Z71:Z76" ca="1" si="2439">_xlfn.NUMBERVALUE(OFFSET(Origine,MATCH(W71&amp;"/"&amp;MRif,LUKB_Name,0),MATCH("Price",Intestazioni,0)-1,1,1))</f>
        <v>0.78225</v>
      </c>
      <c r="AA71" s="214"/>
      <c r="AB71" s="312" t="str">
        <f t="shared" ref="AB71:AB76" ca="1" si="2440">IFERROR($X71/AC71-1,"")</f>
        <v/>
      </c>
      <c r="AC71" s="215"/>
      <c r="AD71" s="199">
        <f ca="1">AA71*$X71</f>
        <v>0</v>
      </c>
      <c r="AE71" s="199">
        <f ca="1">AD71*$Z71</f>
        <v>0</v>
      </c>
      <c r="AF71" s="216">
        <f ca="1">IFERROR(AE71/AA$4,0)</f>
        <v>0</v>
      </c>
      <c r="AG71" s="202">
        <f ca="1">AH71/$X71</f>
        <v>0</v>
      </c>
      <c r="AH71" s="203">
        <f ca="1">AI71/$Z71</f>
        <v>0</v>
      </c>
      <c r="AI71" s="203">
        <f t="shared" ref="AI71" ca="1" si="2441">AJ71*AA$4</f>
        <v>0</v>
      </c>
      <c r="AJ71" s="204">
        <f t="shared" ref="AJ71:AJ76" ca="1" si="2442">IF(AA$6&lt;&gt;"",$O71,$N71)-AF71</f>
        <v>0</v>
      </c>
      <c r="AK71" s="205"/>
      <c r="AL71" s="206">
        <f ca="1">AK71*$X71</f>
        <v>0</v>
      </c>
      <c r="AM71" s="206">
        <f ca="1">AL71*$Z71</f>
        <v>0</v>
      </c>
      <c r="AN71" s="207">
        <f ca="1">IFERROR(AM71/AA$4,0)</f>
        <v>0</v>
      </c>
      <c r="AO71" s="313">
        <f t="shared" ref="AO71" si="2443">AA71+AK71</f>
        <v>0</v>
      </c>
      <c r="AP71" s="313">
        <f t="shared" ca="1" si="601"/>
        <v>0</v>
      </c>
      <c r="AQ71" s="313">
        <f ca="1">AP71*$Z71</f>
        <v>0</v>
      </c>
      <c r="AR71" s="314">
        <f t="shared" ca="1" si="2404"/>
        <v>0</v>
      </c>
      <c r="AS71" s="315" t="str">
        <f ca="1">IF(SUM(AF71,AN71,AR71)&lt;&gt;0,"V","")</f>
        <v/>
      </c>
      <c r="AT71" s="214"/>
      <c r="AU71" s="312" t="str">
        <f t="shared" ref="AU71" ca="1" si="2444">IFERROR($X71/AV71-1,"")</f>
        <v/>
      </c>
      <c r="AV71" s="215"/>
      <c r="AW71" s="199">
        <f ca="1">AT71*$X71</f>
        <v>0</v>
      </c>
      <c r="AX71" s="199">
        <f ca="1">AW71*$Z71</f>
        <v>0</v>
      </c>
      <c r="AY71" s="216">
        <f ca="1">IFERROR(AX71/AT$4,0)</f>
        <v>0</v>
      </c>
      <c r="AZ71" s="202">
        <f ca="1">BA71/$X71</f>
        <v>0</v>
      </c>
      <c r="BA71" s="203">
        <f ca="1">BB71/$Z71</f>
        <v>0</v>
      </c>
      <c r="BB71" s="203">
        <f t="shared" ref="BB71" ca="1" si="2445">BC71*AT$4</f>
        <v>0</v>
      </c>
      <c r="BC71" s="204">
        <f t="shared" ref="BC71:BC76" ca="1" si="2446">IF(AT$6&lt;&gt;"",$O71,$N71)-AY71</f>
        <v>0</v>
      </c>
      <c r="BD71" s="205"/>
      <c r="BE71" s="206">
        <f ca="1">BD71*$X71</f>
        <v>0</v>
      </c>
      <c r="BF71" s="206">
        <f ca="1">BE71*$Z71</f>
        <v>0</v>
      </c>
      <c r="BG71" s="207">
        <f ca="1">IFERROR(BF71/AT$4,0)</f>
        <v>0</v>
      </c>
      <c r="BH71" s="313">
        <f t="shared" ref="BH71" si="2447">AT71+BD71</f>
        <v>0</v>
      </c>
      <c r="BI71" s="313">
        <f t="shared" ca="1" si="615"/>
        <v>0</v>
      </c>
      <c r="BJ71" s="313">
        <f ca="1">BI71*$Z71</f>
        <v>0</v>
      </c>
      <c r="BK71" s="314">
        <f t="shared" ca="1" si="2408"/>
        <v>0</v>
      </c>
      <c r="BL71" s="211" t="str">
        <f ca="1">IF(SUM(AY71,BG71,BK71)&lt;&gt;0,"V","")</f>
        <v/>
      </c>
      <c r="BM71" s="214"/>
      <c r="BN71" s="312" t="str">
        <f t="shared" ref="BN71" ca="1" si="2448">IFERROR($X71/BO71-1,"")</f>
        <v/>
      </c>
      <c r="BO71" s="215"/>
      <c r="BP71" s="199">
        <f ca="1">BM71*$X71</f>
        <v>0</v>
      </c>
      <c r="BQ71" s="199">
        <f ca="1">BP71*$Z71</f>
        <v>0</v>
      </c>
      <c r="BR71" s="216">
        <f t="shared" ca="1" si="2410"/>
        <v>0</v>
      </c>
      <c r="BS71" s="202">
        <f ca="1">BT71/$X71</f>
        <v>0</v>
      </c>
      <c r="BT71" s="203">
        <f ca="1">BU71/$Z71</f>
        <v>0</v>
      </c>
      <c r="BU71" s="203">
        <f t="shared" ref="BU71" ca="1" si="2449">BV71*BM$4</f>
        <v>0</v>
      </c>
      <c r="BV71" s="204">
        <f t="shared" ref="BV71:BV76" ca="1" si="2450">IF(BM$6&lt;&gt;"",$O71,$N71)-BR71</f>
        <v>0</v>
      </c>
      <c r="BW71" s="205"/>
      <c r="BX71" s="206">
        <f ca="1">BW71*$X71</f>
        <v>0</v>
      </c>
      <c r="BY71" s="206">
        <f ca="1">BX71*$Z71</f>
        <v>0</v>
      </c>
      <c r="BZ71" s="207">
        <f t="shared" ca="1" si="2411"/>
        <v>0</v>
      </c>
      <c r="CA71" s="313">
        <f t="shared" ref="CA71" si="2451">BM71+BW71</f>
        <v>0</v>
      </c>
      <c r="CB71" s="313">
        <f t="shared" ca="1" si="629"/>
        <v>0</v>
      </c>
      <c r="CC71" s="313">
        <f ca="1">CB71*$Z71</f>
        <v>0</v>
      </c>
      <c r="CD71" s="314">
        <f t="shared" ca="1" si="2412"/>
        <v>0</v>
      </c>
      <c r="CE71" s="211" t="str">
        <f ca="1">IF(SUM(BR71,BZ71,CD71)&lt;&gt;0,"V","")</f>
        <v/>
      </c>
      <c r="CF71" s="214"/>
      <c r="CG71" s="312" t="str">
        <f t="shared" ref="CG71" ca="1" si="2452">IFERROR($X71/CH71-1,"")</f>
        <v/>
      </c>
      <c r="CH71" s="215"/>
      <c r="CI71" s="199">
        <f ca="1">CF71*$X71</f>
        <v>0</v>
      </c>
      <c r="CJ71" s="199">
        <f ca="1">CI71*$Z71</f>
        <v>0</v>
      </c>
      <c r="CK71" s="216">
        <f ca="1">IFERROR(CJ71/CF$4,0)</f>
        <v>0</v>
      </c>
      <c r="CL71" s="202">
        <f ca="1">CM71/$X71</f>
        <v>0</v>
      </c>
      <c r="CM71" s="203">
        <f ca="1">CN71/$Z71</f>
        <v>0</v>
      </c>
      <c r="CN71" s="203">
        <f ca="1">CO71*CF$4</f>
        <v>0</v>
      </c>
      <c r="CO71" s="204">
        <f t="shared" ref="CO71:CO76" ca="1" si="2453">IF(CF$6&lt;&gt;"",$O71,$N71)-CK71</f>
        <v>0</v>
      </c>
      <c r="CP71" s="205"/>
      <c r="CQ71" s="206">
        <f ca="1">CP71*$X71</f>
        <v>0</v>
      </c>
      <c r="CR71" s="206">
        <f ca="1">CQ71*$Z71</f>
        <v>0</v>
      </c>
      <c r="CS71" s="207">
        <f ca="1">IFERROR(CR71/CF$4,0)</f>
        <v>0</v>
      </c>
      <c r="CT71" s="313">
        <f t="shared" ref="CT71" si="2454">CF71+CP71</f>
        <v>0</v>
      </c>
      <c r="CU71" s="313">
        <f t="shared" ca="1" si="643"/>
        <v>0</v>
      </c>
      <c r="CV71" s="313">
        <f ca="1">CU71*$Z71</f>
        <v>0</v>
      </c>
      <c r="CW71" s="314">
        <f ca="1">IFERROR(CV71/CF$4,0)</f>
        <v>0</v>
      </c>
      <c r="CX71" s="211" t="str">
        <f ca="1">IF(SUM(CK71,CS71,CW71)&lt;&gt;0,"V","")</f>
        <v/>
      </c>
      <c r="CY71" s="197"/>
      <c r="CZ71" s="312" t="str">
        <f t="shared" ref="CZ71" ca="1" si="2455">IFERROR($X71/DA71-1,"")</f>
        <v/>
      </c>
      <c r="DA71" s="199"/>
      <c r="DB71" s="199">
        <f ca="1">CY71*$X71</f>
        <v>0</v>
      </c>
      <c r="DC71" s="199">
        <f ca="1">DB71*$Z71</f>
        <v>0</v>
      </c>
      <c r="DD71" s="216">
        <f ca="1">IFERROR(DC71/CY$4,0)</f>
        <v>0</v>
      </c>
      <c r="DE71" s="202">
        <f ca="1">DF71/$X71</f>
        <v>0</v>
      </c>
      <c r="DF71" s="203">
        <f ca="1">DG71/$Z71</f>
        <v>0</v>
      </c>
      <c r="DG71" s="203">
        <f ca="1">DH71*CY$4</f>
        <v>0</v>
      </c>
      <c r="DH71" s="204">
        <f t="shared" ref="DH71:DH76" ca="1" si="2456">IF(CY$6&lt;&gt;"",$O71,$N71)-DD71</f>
        <v>0</v>
      </c>
      <c r="DI71" s="205"/>
      <c r="DJ71" s="206">
        <f ca="1">DI71*$X71</f>
        <v>0</v>
      </c>
      <c r="DK71" s="206">
        <f ca="1">DJ71*$Z71</f>
        <v>0</v>
      </c>
      <c r="DL71" s="207">
        <f ca="1">IFERROR(DK71/CY$4,0)</f>
        <v>0</v>
      </c>
      <c r="DM71" s="313">
        <f t="shared" ref="DM71" si="2457">CY71+DI71</f>
        <v>0</v>
      </c>
      <c r="DN71" s="313">
        <f t="shared" ca="1" si="655"/>
        <v>0</v>
      </c>
      <c r="DO71" s="313">
        <f ca="1">DN71*$Z71</f>
        <v>0</v>
      </c>
      <c r="DP71" s="314">
        <f ca="1">IFERROR(DO71/CY$4,0)</f>
        <v>0</v>
      </c>
      <c r="DQ71" s="315" t="str">
        <f ca="1">IF(SUM(DD71,DL71,DP71)&lt;&gt;0,"V","")</f>
        <v/>
      </c>
      <c r="DR71" s="197"/>
      <c r="DS71" s="312" t="str">
        <f t="shared" ref="DS71:DS76" ca="1" si="2458">IFERROR($X71/DT71-1,"")</f>
        <v/>
      </c>
      <c r="DT71" s="199"/>
      <c r="DU71" s="199">
        <f ca="1">DR71*$X71</f>
        <v>0</v>
      </c>
      <c r="DV71" s="199">
        <f ca="1">DU71*$Z71</f>
        <v>0</v>
      </c>
      <c r="DW71" s="216">
        <f ca="1">IFERROR(DV71/DR$4,0)</f>
        <v>0</v>
      </c>
      <c r="DX71" s="202">
        <f ca="1">DY71/$X71</f>
        <v>0</v>
      </c>
      <c r="DY71" s="203">
        <f ca="1">DZ71/$Z71</f>
        <v>0</v>
      </c>
      <c r="DZ71" s="203">
        <f ca="1">EA71*DR$4</f>
        <v>0</v>
      </c>
      <c r="EA71" s="204">
        <f t="shared" ref="EA71:EA76" ca="1" si="2459">IF(DR$6&lt;&gt;"",$O71,$N71)-DW71</f>
        <v>0</v>
      </c>
      <c r="EB71" s="205"/>
      <c r="EC71" s="206">
        <f ca="1">EB71*$X71</f>
        <v>0</v>
      </c>
      <c r="ED71" s="206">
        <f ca="1">EC71*$Z71</f>
        <v>0</v>
      </c>
      <c r="EE71" s="207">
        <f ca="1">IFERROR(ED71/DR$4,0)</f>
        <v>0</v>
      </c>
      <c r="EF71" s="313">
        <f t="shared" ref="EF71:EF76" si="2460">DR71+EB71</f>
        <v>0</v>
      </c>
      <c r="EG71" s="313">
        <f t="shared" ref="EG71:EG76" ca="1" si="2461">DU71+IF($T71 ="",EC71,0)</f>
        <v>0</v>
      </c>
      <c r="EH71" s="313">
        <f ca="1">EG71*$Z71</f>
        <v>0</v>
      </c>
      <c r="EI71" s="314">
        <f ca="1">IFERROR(EH71/DR$4,0)</f>
        <v>0</v>
      </c>
      <c r="EJ71" s="214"/>
      <c r="EK71" s="312" t="str">
        <f t="shared" ref="EK71" ca="1" si="2462">IFERROR($X71/EL71-1,"")</f>
        <v/>
      </c>
      <c r="EL71" s="222"/>
      <c r="EM71" s="199">
        <f ca="1">EJ71*$X71</f>
        <v>0</v>
      </c>
      <c r="EN71" s="199">
        <f ca="1">EM71*$Z71</f>
        <v>0</v>
      </c>
      <c r="EO71" s="216">
        <f ca="1">IFERROR(EN71/EJ$4,0)</f>
        <v>0</v>
      </c>
      <c r="EP71" s="202">
        <f ca="1">EQ71/$X71</f>
        <v>0</v>
      </c>
      <c r="EQ71" s="203">
        <f ca="1">ER71/$Z71</f>
        <v>0</v>
      </c>
      <c r="ER71" s="203">
        <f t="shared" ref="ER71" ca="1" si="2463">ES71*EJ$4</f>
        <v>0</v>
      </c>
      <c r="ES71" s="204">
        <f t="shared" ref="ES71:ES76" ca="1" si="2464">IF(EJ$6&lt;&gt;"",$O71,$N71)-EO71</f>
        <v>0</v>
      </c>
      <c r="ET71" s="205"/>
      <c r="EU71" s="206">
        <f ca="1">ET71*$X71</f>
        <v>0</v>
      </c>
      <c r="EV71" s="206">
        <f ca="1">EU71*$Z71</f>
        <v>0</v>
      </c>
      <c r="EW71" s="207">
        <f ca="1">IFERROR(EV71/EJ$4,0)</f>
        <v>0</v>
      </c>
      <c r="EX71" s="313">
        <f t="shared" ref="EX71" si="2465">EJ71+ET71</f>
        <v>0</v>
      </c>
      <c r="EY71" s="313">
        <f t="shared" ca="1" si="669"/>
        <v>0</v>
      </c>
      <c r="EZ71" s="313">
        <f ca="1">EY71*$Z71</f>
        <v>0</v>
      </c>
      <c r="FA71" s="314">
        <f t="shared" ca="1" si="2427"/>
        <v>0</v>
      </c>
      <c r="FB71" s="211" t="str">
        <f ca="1">IF(SUM(EO71,EW71,FA71)&lt;&gt;0,"V","")</f>
        <v/>
      </c>
      <c r="FC71" s="214"/>
      <c r="FD71" s="312" t="str">
        <f t="shared" ref="FD71" ca="1" si="2466">IFERROR($X71/FE71-1,"")</f>
        <v/>
      </c>
      <c r="FE71" s="215"/>
      <c r="FF71" s="199">
        <f ca="1">FC71*$X71</f>
        <v>0</v>
      </c>
      <c r="FG71" s="199">
        <f ca="1">FF71*$Z71</f>
        <v>0</v>
      </c>
      <c r="FH71" s="216">
        <f ca="1">IFERROR(FG71/FC$4,0)</f>
        <v>0</v>
      </c>
      <c r="FI71" s="202">
        <f ca="1">FJ71/$X71</f>
        <v>0</v>
      </c>
      <c r="FJ71" s="203">
        <f ca="1">FK71/$Z71</f>
        <v>0</v>
      </c>
      <c r="FK71" s="203">
        <f t="shared" ref="FK71" ca="1" si="2467">FL71*FC$4</f>
        <v>0</v>
      </c>
      <c r="FL71" s="204">
        <f t="shared" ref="FL71:FL76" ca="1" si="2468">IF(FC$6&lt;&gt;"",$O71,$N71)-FH71</f>
        <v>0</v>
      </c>
      <c r="FM71" s="205"/>
      <c r="FN71" s="206">
        <f ca="1">FM71*$X71</f>
        <v>0</v>
      </c>
      <c r="FO71" s="206">
        <f ca="1">FN71*$Z71</f>
        <v>0</v>
      </c>
      <c r="FP71" s="207">
        <f ca="1">IFERROR(FO71/FC$4,0)</f>
        <v>0</v>
      </c>
      <c r="FQ71" s="313">
        <f t="shared" ref="FQ71" si="2469">FC71+FM71</f>
        <v>0</v>
      </c>
      <c r="FR71" s="313">
        <f t="shared" ca="1" si="683"/>
        <v>0</v>
      </c>
      <c r="FS71" s="313">
        <f ca="1">FR71*$Z71</f>
        <v>0</v>
      </c>
      <c r="FT71" s="314">
        <f t="shared" ca="1" si="2431"/>
        <v>0</v>
      </c>
      <c r="FU71" s="315" t="str">
        <f ca="1">IF(SUM(FH71,FP71,FT71)&lt;&gt;0,"V","")</f>
        <v/>
      </c>
    </row>
    <row r="72" spans="1:177" outlineLevel="2" x14ac:dyDescent="0.2">
      <c r="A72" s="298"/>
      <c r="B72" s="298"/>
      <c r="C72" s="299" t="str">
        <f t="shared" ca="1" si="2432"/>
        <v>IE00B2NPKV68:EUR</v>
      </c>
      <c r="D72" s="300" t="str">
        <f t="shared" ca="1" si="2433"/>
        <v>IE00B2NPKV68</v>
      </c>
      <c r="E72" s="301" t="str">
        <f t="shared" ca="1" si="2433"/>
        <v>3801845</v>
      </c>
      <c r="F72" s="299" t="s">
        <v>751</v>
      </c>
      <c r="G72" s="316" t="str">
        <f t="shared" ca="1" si="2434"/>
        <v/>
      </c>
      <c r="H72" s="1708" t="str">
        <f t="shared" ca="1" si="2435"/>
        <v></v>
      </c>
      <c r="I72" s="1680" t="str">
        <f ca="1">IF(OFFSET(Origine,MATCH($F72,Descrizioni,0),MATCH(I$15,Intestazioni,0)-1,1,1)&lt;&gt;"",HYPERLINK(OFFSET(Origine,MATCH($F72,Descrizioni,0),MATCH(I$15,Intestazioni,0)-1,1,1),"i"),"")</f>
        <v>i</v>
      </c>
      <c r="J72" s="1708" t="str">
        <f t="shared" ca="1" si="2436"/>
        <v></v>
      </c>
      <c r="K72" s="1709" t="str">
        <f t="shared" ca="1" si="2436"/>
        <v></v>
      </c>
      <c r="L72" s="1710" t="str">
        <f ca="1">IF(OFFSET(Origine,MATCH($F72,Descrizioni,0),MATCH(L$15,Intestazioni,0)-1,1,1)&lt;&gt;"",HYPERLINK("https://www.zonebourse.com/mods_a/charts/TV/inc_dyna_graph.php?c="&amp;OFFSET(Origine,MATCH($F72,Descrizioni,0),MATCH(L$15,Intestazioni,0)-1,1,1)&amp;"&amp;style=TradingView.CANDLES&amp;showAT=1",""),"")</f>
        <v></v>
      </c>
      <c r="M72" s="298" t="str">
        <f t="shared" ca="1" si="2437"/>
        <v>Unit</v>
      </c>
      <c r="N72" s="305"/>
      <c r="O72" s="305"/>
      <c r="P72" s="306">
        <f t="shared" ca="1" si="1539"/>
        <v>0</v>
      </c>
      <c r="Q72" s="307">
        <f t="array" aca="1" ref="Q72" ca="1">SUM(IF($AA$15:$FT$15="I_pos",AA72:FT72))</f>
        <v>250</v>
      </c>
      <c r="R72" s="307">
        <f t="array" aca="1" ref="R72" ca="1">SUM(IF($AA$15:$FT$15="P_Pos",AA72:FT72))</f>
        <v>-249.99999999999997</v>
      </c>
      <c r="S72" s="304"/>
      <c r="T72" s="307"/>
      <c r="U72" s="308">
        <f ca="1">OFFSET(Origine,MATCH($F72,Descrizioni,0),MATCH(U$15,Intestazioni,0)-1,1,1)</f>
        <v>6.0180541624873995E-3</v>
      </c>
      <c r="V72" s="307">
        <f t="array" aca="1" ref="V72" ca="1">SUM(IF($AA$15:$FT$15="O_Pos",AA72:FT72))</f>
        <v>0</v>
      </c>
      <c r="W72" s="299" t="str">
        <f ca="1">OFFSET(Origine,MATCH($F72,Descrizioni,0),MATCH(W$15,Intestazioni,0)-1,1,1)</f>
        <v>EUR</v>
      </c>
      <c r="X72" s="309">
        <f t="shared" ca="1" si="2438"/>
        <v>80.239999999999995</v>
      </c>
      <c r="Y72" s="310">
        <f t="shared" ca="1" si="2438"/>
        <v>0</v>
      </c>
      <c r="Z72" s="311">
        <f t="shared" ca="1" si="2439"/>
        <v>0.90754999999999997</v>
      </c>
      <c r="AA72" s="214"/>
      <c r="AB72" s="312" t="str">
        <f t="shared" ca="1" si="2440"/>
        <v/>
      </c>
      <c r="AC72" s="215"/>
      <c r="AD72" s="199">
        <f ca="1">AA72*$X72</f>
        <v>0</v>
      </c>
      <c r="AE72" s="199">
        <f ca="1">AD72*$Z72</f>
        <v>0</v>
      </c>
      <c r="AF72" s="216">
        <f ca="1">IFERROR(AE72/AA$4,0)</f>
        <v>0</v>
      </c>
      <c r="AG72" s="202">
        <f ca="1">AH72/$X72</f>
        <v>0</v>
      </c>
      <c r="AH72" s="203">
        <f ca="1">AI72/$Z72</f>
        <v>0</v>
      </c>
      <c r="AI72" s="203">
        <f t="shared" ref="AI72:AI75" ca="1" si="2470">AJ72*AA$4</f>
        <v>0</v>
      </c>
      <c r="AJ72" s="204">
        <f t="shared" ca="1" si="2442"/>
        <v>0</v>
      </c>
      <c r="AK72" s="205"/>
      <c r="AL72" s="206">
        <f ca="1">AK72*$X72</f>
        <v>0</v>
      </c>
      <c r="AM72" s="206">
        <f ca="1">AL72*$Z72</f>
        <v>0</v>
      </c>
      <c r="AN72" s="207">
        <f ca="1">IFERROR(AM72/AA$4,0)</f>
        <v>0</v>
      </c>
      <c r="AO72" s="313">
        <f t="shared" ref="AO72:AO76" si="2471">AA72+AK72</f>
        <v>0</v>
      </c>
      <c r="AP72" s="313">
        <f t="shared" ca="1" si="601"/>
        <v>0</v>
      </c>
      <c r="AQ72" s="313">
        <f ca="1">AP72*$Z72</f>
        <v>0</v>
      </c>
      <c r="AR72" s="314">
        <f t="shared" ref="AR72:AR75" ca="1" si="2472">IFERROR(AQ72/AA$4,0)</f>
        <v>0</v>
      </c>
      <c r="AS72" s="315" t="str">
        <f ca="1">IF(SUM(AF72,AN72,AR72)&lt;&gt;0,"V","")</f>
        <v/>
      </c>
      <c r="AT72" s="214"/>
      <c r="AU72" s="312" t="str">
        <f t="shared" ref="AU72:AU76" ca="1" si="2473">IFERROR($X72/AV72-1,"")</f>
        <v/>
      </c>
      <c r="AV72" s="215"/>
      <c r="AW72" s="199">
        <f ca="1">AT72*$X72</f>
        <v>0</v>
      </c>
      <c r="AX72" s="199">
        <f ca="1">AW72*$Z72</f>
        <v>0</v>
      </c>
      <c r="AY72" s="216">
        <f ca="1">IFERROR(AX72/AT$4,0)</f>
        <v>0</v>
      </c>
      <c r="AZ72" s="202">
        <f ca="1">BA72/$X72</f>
        <v>0</v>
      </c>
      <c r="BA72" s="203">
        <f ca="1">BB72/$Z72</f>
        <v>0</v>
      </c>
      <c r="BB72" s="203">
        <f t="shared" ref="BB72:BB75" ca="1" si="2474">BC72*AT$4</f>
        <v>0</v>
      </c>
      <c r="BC72" s="204">
        <f t="shared" ca="1" si="2446"/>
        <v>0</v>
      </c>
      <c r="BD72" s="205"/>
      <c r="BE72" s="206">
        <f ca="1">BD72*$X72</f>
        <v>0</v>
      </c>
      <c r="BF72" s="206">
        <f ca="1">BE72*$Z72</f>
        <v>0</v>
      </c>
      <c r="BG72" s="207">
        <f ca="1">IFERROR(BF72/AT$4,0)</f>
        <v>0</v>
      </c>
      <c r="BH72" s="313">
        <f t="shared" ref="BH72:BH76" si="2475">AT72+BD72</f>
        <v>0</v>
      </c>
      <c r="BI72" s="313">
        <f t="shared" ca="1" si="615"/>
        <v>0</v>
      </c>
      <c r="BJ72" s="313">
        <f ca="1">BI72*$Z72</f>
        <v>0</v>
      </c>
      <c r="BK72" s="314">
        <f t="shared" ref="BK72:BK75" ca="1" si="2476">IFERROR(BJ72/AT$4,0)</f>
        <v>0</v>
      </c>
      <c r="BL72" s="211" t="str">
        <f ca="1">IF(SUM(AY72,BG72,BK72)&lt;&gt;0,"V","")</f>
        <v/>
      </c>
      <c r="BM72" s="214"/>
      <c r="BN72" s="312" t="str">
        <f t="shared" ref="BN72:BN76" ca="1" si="2477">IFERROR($X72/BO72-1,"")</f>
        <v/>
      </c>
      <c r="BO72" s="215"/>
      <c r="BP72" s="199">
        <f ca="1">BM72*$X72</f>
        <v>0</v>
      </c>
      <c r="BQ72" s="199">
        <f ca="1">BP72*$Z72</f>
        <v>0</v>
      </c>
      <c r="BR72" s="216">
        <f t="shared" ref="BR72:BR79" ca="1" si="2478">IFERROR(BQ72/BM$4,0)</f>
        <v>0</v>
      </c>
      <c r="BS72" s="202">
        <f ca="1">BT72/$X72</f>
        <v>0</v>
      </c>
      <c r="BT72" s="203">
        <f ca="1">BU72/$Z72</f>
        <v>0</v>
      </c>
      <c r="BU72" s="203">
        <f t="shared" ref="BU72:BU75" ca="1" si="2479">BV72*BM$4</f>
        <v>0</v>
      </c>
      <c r="BV72" s="204">
        <f t="shared" ca="1" si="2450"/>
        <v>0</v>
      </c>
      <c r="BW72" s="205"/>
      <c r="BX72" s="206">
        <f ca="1">BW72*$X72</f>
        <v>0</v>
      </c>
      <c r="BY72" s="206">
        <f ca="1">BX72*$Z72</f>
        <v>0</v>
      </c>
      <c r="BZ72" s="207">
        <f t="shared" ref="BZ72:BZ79" ca="1" si="2480">IFERROR(BY72/BM$4,0)</f>
        <v>0</v>
      </c>
      <c r="CA72" s="313">
        <f t="shared" ref="CA72:CA76" si="2481">BM72+BW72</f>
        <v>0</v>
      </c>
      <c r="CB72" s="313">
        <f t="shared" ca="1" si="629"/>
        <v>0</v>
      </c>
      <c r="CC72" s="313">
        <f ca="1">CB72*$Z72</f>
        <v>0</v>
      </c>
      <c r="CD72" s="314">
        <f t="shared" ref="CD72:CD75" ca="1" si="2482">IFERROR(CC72/BM$4,0)</f>
        <v>0</v>
      </c>
      <c r="CE72" s="211" t="str">
        <f ca="1">IF(SUM(BR72,BZ72,CD72)&lt;&gt;0,"V","")</f>
        <v/>
      </c>
      <c r="CF72" s="214"/>
      <c r="CG72" s="312" t="str">
        <f t="shared" ref="CG72:CG76" ca="1" si="2483">IFERROR($X72/CH72-1,"")</f>
        <v/>
      </c>
      <c r="CH72" s="215"/>
      <c r="CI72" s="199">
        <f ca="1">CF72*$X72</f>
        <v>0</v>
      </c>
      <c r="CJ72" s="199">
        <f ca="1">CI72*$Z72</f>
        <v>0</v>
      </c>
      <c r="CK72" s="216">
        <f ca="1">IFERROR(CJ72/CF$4,0)</f>
        <v>0</v>
      </c>
      <c r="CL72" s="202">
        <f ca="1">CM72/$X72</f>
        <v>0</v>
      </c>
      <c r="CM72" s="203">
        <f ca="1">CN72/$Z72</f>
        <v>0</v>
      </c>
      <c r="CN72" s="203">
        <f ca="1">CO72*CF$4</f>
        <v>0</v>
      </c>
      <c r="CO72" s="204">
        <f t="shared" ca="1" si="2453"/>
        <v>0</v>
      </c>
      <c r="CP72" s="205"/>
      <c r="CQ72" s="206">
        <f ca="1">CP72*$X72</f>
        <v>0</v>
      </c>
      <c r="CR72" s="206">
        <f ca="1">CQ72*$Z72</f>
        <v>0</v>
      </c>
      <c r="CS72" s="207">
        <f ca="1">IFERROR(CR72/CF$4,0)</f>
        <v>0</v>
      </c>
      <c r="CT72" s="313">
        <f t="shared" ref="CT72:CT76" si="2484">CF72+CP72</f>
        <v>0</v>
      </c>
      <c r="CU72" s="313">
        <f t="shared" ca="1" si="643"/>
        <v>0</v>
      </c>
      <c r="CV72" s="313">
        <f ca="1">CU72*$Z72</f>
        <v>0</v>
      </c>
      <c r="CW72" s="314">
        <f ca="1">IFERROR(CV72/CF$4,0)</f>
        <v>0</v>
      </c>
      <c r="CX72" s="211" t="str">
        <f ca="1">IF(SUM(CK72,CS72,CW72)&lt;&gt;0,"V","")</f>
        <v/>
      </c>
      <c r="CY72" s="197"/>
      <c r="CZ72" s="312" t="str">
        <f t="shared" ref="CZ72:CZ76" ca="1" si="2485">IFERROR($X72/DA72-1,"")</f>
        <v/>
      </c>
      <c r="DA72" s="199"/>
      <c r="DB72" s="199">
        <f ca="1">CY72*$X72</f>
        <v>0</v>
      </c>
      <c r="DC72" s="199">
        <f ca="1">DB72*$Z72</f>
        <v>0</v>
      </c>
      <c r="DD72" s="216">
        <f ca="1">IFERROR(DC72/CY$4,0)</f>
        <v>0</v>
      </c>
      <c r="DE72" s="202">
        <f ca="1">DF72/$X72</f>
        <v>0</v>
      </c>
      <c r="DF72" s="203">
        <f ca="1">DG72/$Z72</f>
        <v>0</v>
      </c>
      <c r="DG72" s="203">
        <f ca="1">DH72*CY$4</f>
        <v>0</v>
      </c>
      <c r="DH72" s="204">
        <f t="shared" ca="1" si="2456"/>
        <v>0</v>
      </c>
      <c r="DI72" s="205"/>
      <c r="DJ72" s="206">
        <f ca="1">DI72*$X72</f>
        <v>0</v>
      </c>
      <c r="DK72" s="206">
        <f ca="1">DJ72*$Z72</f>
        <v>0</v>
      </c>
      <c r="DL72" s="207">
        <f ca="1">IFERROR(DK72/CY$4,0)</f>
        <v>0</v>
      </c>
      <c r="DM72" s="313">
        <f t="shared" ref="DM72:DM76" si="2486">CY72+DI72</f>
        <v>0</v>
      </c>
      <c r="DN72" s="313">
        <f t="shared" ca="1" si="655"/>
        <v>0</v>
      </c>
      <c r="DO72" s="313">
        <f ca="1">DN72*$Z72</f>
        <v>0</v>
      </c>
      <c r="DP72" s="314">
        <f ca="1">IFERROR(DO72/CY$4,0)</f>
        <v>0</v>
      </c>
      <c r="DQ72" s="315" t="str">
        <f ca="1">IF(SUM(DD72,DL72,DP72)&lt;&gt;0,"V","")</f>
        <v/>
      </c>
      <c r="DR72" s="197"/>
      <c r="DS72" s="312" t="str">
        <f t="shared" ca="1" si="2458"/>
        <v/>
      </c>
      <c r="DT72" s="199"/>
      <c r="DU72" s="199">
        <f ca="1">DR72*$X72</f>
        <v>0</v>
      </c>
      <c r="DV72" s="199">
        <f ca="1">DU72*$Z72</f>
        <v>0</v>
      </c>
      <c r="DW72" s="216">
        <f ca="1">IFERROR(DV72/DR$4,0)</f>
        <v>0</v>
      </c>
      <c r="DX72" s="202">
        <f ca="1">DY72/$X72</f>
        <v>0</v>
      </c>
      <c r="DY72" s="203">
        <f ca="1">DZ72/$Z72</f>
        <v>0</v>
      </c>
      <c r="DZ72" s="203">
        <f ca="1">EA72*DR$4</f>
        <v>0</v>
      </c>
      <c r="EA72" s="204">
        <f t="shared" ca="1" si="2459"/>
        <v>0</v>
      </c>
      <c r="EB72" s="205"/>
      <c r="EC72" s="206">
        <f ca="1">EB72*$X72</f>
        <v>0</v>
      </c>
      <c r="ED72" s="206">
        <f ca="1">EC72*$Z72</f>
        <v>0</v>
      </c>
      <c r="EE72" s="207">
        <f ca="1">IFERROR(ED72/DR$4,0)</f>
        <v>0</v>
      </c>
      <c r="EF72" s="313">
        <f t="shared" si="2460"/>
        <v>0</v>
      </c>
      <c r="EG72" s="313">
        <f t="shared" ca="1" si="2461"/>
        <v>0</v>
      </c>
      <c r="EH72" s="313">
        <f ca="1">EG72*$Z72</f>
        <v>0</v>
      </c>
      <c r="EI72" s="314">
        <f ca="1">IFERROR(EH72/DR$4,0)</f>
        <v>0</v>
      </c>
      <c r="EJ72" s="214">
        <v>250</v>
      </c>
      <c r="EK72" s="312">
        <f t="shared" ref="EK72:EK76" ca="1" si="2487">IFERROR($X72/EL72-1,"")</f>
        <v>-5.8233180522859751E-3</v>
      </c>
      <c r="EL72" s="222">
        <v>80.709999999999994</v>
      </c>
      <c r="EM72" s="199">
        <f ca="1">EJ72*$X72</f>
        <v>20060</v>
      </c>
      <c r="EN72" s="199">
        <f ca="1">EM72*$Z72</f>
        <v>18205.452999999998</v>
      </c>
      <c r="EO72" s="216">
        <f ca="1">IFERROR(EN72/EJ$4,0)</f>
        <v>2.5650579707718807E-2</v>
      </c>
      <c r="EP72" s="202">
        <f ca="1">EQ72/$X72</f>
        <v>-249.99999999999997</v>
      </c>
      <c r="EQ72" s="203">
        <f ca="1">ER72/$Z72</f>
        <v>-20059.999999999996</v>
      </c>
      <c r="ER72" s="203">
        <f t="shared" ref="ER72:ER75" ca="1" si="2488">ES72*EJ$4</f>
        <v>-18205.452999999998</v>
      </c>
      <c r="ES72" s="204">
        <f t="shared" ca="1" si="2464"/>
        <v>-2.5650579707718807E-2</v>
      </c>
      <c r="ET72" s="205"/>
      <c r="EU72" s="206">
        <f ca="1">ET72*$X72</f>
        <v>0</v>
      </c>
      <c r="EV72" s="206">
        <f ca="1">EU72*$Z72</f>
        <v>0</v>
      </c>
      <c r="EW72" s="207">
        <f ca="1">IFERROR(EV72/EJ$4,0)</f>
        <v>0</v>
      </c>
      <c r="EX72" s="313">
        <f t="shared" ref="EX72:EX76" si="2489">EJ72+ET72</f>
        <v>250</v>
      </c>
      <c r="EY72" s="313">
        <f t="shared" ca="1" si="669"/>
        <v>20060</v>
      </c>
      <c r="EZ72" s="313">
        <f ca="1">EY72*$Z72</f>
        <v>18205.452999999998</v>
      </c>
      <c r="FA72" s="314">
        <f t="shared" ref="FA72:FA75" ca="1" si="2490">IFERROR(EZ72/EJ$4,0)</f>
        <v>2.5650579707718807E-2</v>
      </c>
      <c r="FB72" s="211" t="str">
        <f ca="1">IF(SUM(EO72,EW72,FA72)&lt;&gt;0,"V","")</f>
        <v>V</v>
      </c>
      <c r="FC72" s="214"/>
      <c r="FD72" s="312" t="str">
        <f t="shared" ref="FD72:FD76" ca="1" si="2491">IFERROR($X72/FE72-1,"")</f>
        <v/>
      </c>
      <c r="FE72" s="215"/>
      <c r="FF72" s="199">
        <f ca="1">FC72*$X72</f>
        <v>0</v>
      </c>
      <c r="FG72" s="199">
        <f ca="1">FF72*$Z72</f>
        <v>0</v>
      </c>
      <c r="FH72" s="216">
        <f ca="1">IFERROR(FG72/FC$4,0)</f>
        <v>0</v>
      </c>
      <c r="FI72" s="202">
        <f ca="1">FJ72/$X72</f>
        <v>0</v>
      </c>
      <c r="FJ72" s="203">
        <f ca="1">FK72/$Z72</f>
        <v>0</v>
      </c>
      <c r="FK72" s="203">
        <f t="shared" ref="FK72:FK75" ca="1" si="2492">FL72*FC$4</f>
        <v>0</v>
      </c>
      <c r="FL72" s="204">
        <f t="shared" ca="1" si="2468"/>
        <v>0</v>
      </c>
      <c r="FM72" s="205"/>
      <c r="FN72" s="206">
        <f ca="1">FM72*$X72</f>
        <v>0</v>
      </c>
      <c r="FO72" s="206">
        <f ca="1">FN72*$Z72</f>
        <v>0</v>
      </c>
      <c r="FP72" s="207">
        <f ca="1">IFERROR(FO72/FC$4,0)</f>
        <v>0</v>
      </c>
      <c r="FQ72" s="313">
        <f t="shared" ref="FQ72:FQ76" si="2493">FC72+FM72</f>
        <v>0</v>
      </c>
      <c r="FR72" s="313">
        <f t="shared" ca="1" si="683"/>
        <v>0</v>
      </c>
      <c r="FS72" s="313">
        <f ca="1">FR72*$Z72</f>
        <v>0</v>
      </c>
      <c r="FT72" s="314">
        <f t="shared" ref="FT72:FT75" ca="1" si="2494">IFERROR(FS72/FC$4,0)</f>
        <v>0</v>
      </c>
      <c r="FU72" s="315" t="str">
        <f ca="1">IF(SUM(FH72,FP72,FT72)&lt;&gt;0,"V","")</f>
        <v/>
      </c>
    </row>
    <row r="73" spans="1:177" outlineLevel="2" x14ac:dyDescent="0.2">
      <c r="A73" s="298"/>
      <c r="B73" s="298"/>
      <c r="C73" s="299" t="str">
        <f t="shared" ca="1" si="2432"/>
        <v>IE00BKPSFD61:USD:P</v>
      </c>
      <c r="D73" s="300" t="str">
        <f t="shared" ca="1" si="2433"/>
        <v>IE00BKPSFD61</v>
      </c>
      <c r="E73" s="301" t="str">
        <f t="shared" ca="1" si="2433"/>
        <v>54540945</v>
      </c>
      <c r="F73" s="302" t="s">
        <v>574</v>
      </c>
      <c r="G73" s="323" t="str">
        <f t="shared" ca="1" si="2434"/>
        <v/>
      </c>
      <c r="H73" s="1708" t="str">
        <f t="shared" ca="1" si="2435"/>
        <v></v>
      </c>
      <c r="I73" s="1680" t="str">
        <f ca="1">IF(OFFSET(Origine,MATCH($F73,Descrizioni,0),MATCH(I$15,Intestazioni,0)-1,1,1)&lt;&gt;"",HYPERLINK(OFFSET(Origine,MATCH($F73,Descrizioni,0),MATCH(I$15,Intestazioni,0)-1,1,1),"i"),"")</f>
        <v>i</v>
      </c>
      <c r="J73" s="1708" t="str">
        <f t="shared" ca="1" si="2436"/>
        <v/>
      </c>
      <c r="K73" s="1709" t="str">
        <f t="shared" ca="1" si="2436"/>
        <v></v>
      </c>
      <c r="L73" s="1710" t="str">
        <f ca="1">IF(OFFSET(Origine,MATCH($F73,Descrizioni,0),MATCH(L$15,Intestazioni,0)-1,1,1)&lt;&gt;"",HYPERLINK("https://www.zonebourse.com/mods_a/charts/TV/inc_dyna_graph.php?c="&amp;OFFSET(Origine,MATCH($F73,Descrizioni,0),MATCH(L$15,Intestazioni,0)-1,1,1)&amp;"&amp;style=TradingView.CANDLES&amp;showAT=1",""),"")</f>
        <v></v>
      </c>
      <c r="M73" s="298" t="str">
        <f t="shared" ca="1" si="2437"/>
        <v>Unit</v>
      </c>
      <c r="N73" s="305"/>
      <c r="O73" s="305"/>
      <c r="P73" s="306">
        <f t="shared" ca="1" si="1539"/>
        <v>0</v>
      </c>
      <c r="Q73" s="307">
        <f t="array" aca="1" ref="Q73" ca="1">SUM(IF($AA$15:$FT$15="I_pos",AA73:FT73))</f>
        <v>0</v>
      </c>
      <c r="R73" s="307">
        <f t="array" aca="1" ref="R73" ca="1">SUM(IF($AA$15:$FT$15="P_Pos",AA73:FT73))</f>
        <v>0</v>
      </c>
      <c r="S73" s="304"/>
      <c r="T73" s="307"/>
      <c r="U73" s="308"/>
      <c r="V73" s="307">
        <f t="array" aca="1" ref="V73" ca="1">SUM(IF($AA$15:$FT$15="O_Pos",AA73:FT73))</f>
        <v>0</v>
      </c>
      <c r="W73" s="299" t="str">
        <f ca="1">OFFSET(Origine,MATCH($F73,Descrizioni,0),MATCH(W$15,Intestazioni,0)-1,1,1)</f>
        <v>USD</v>
      </c>
      <c r="X73" s="309">
        <f t="shared" ca="1" si="2438"/>
        <v>6.2729999999999997</v>
      </c>
      <c r="Y73" s="310">
        <f t="shared" ca="1" si="2438"/>
        <v>0</v>
      </c>
      <c r="Z73" s="311">
        <f t="shared" ca="1" si="2439"/>
        <v>0.78225</v>
      </c>
      <c r="AA73" s="214">
        <f>2000+-2000</f>
        <v>0</v>
      </c>
      <c r="AB73" s="312" t="str">
        <f t="shared" ca="1" si="2440"/>
        <v/>
      </c>
      <c r="AC73" s="215"/>
      <c r="AD73" s="199">
        <f ca="1">AA73*$X73</f>
        <v>0</v>
      </c>
      <c r="AE73" s="199">
        <f ca="1">AD73*$Z73</f>
        <v>0</v>
      </c>
      <c r="AF73" s="216">
        <f ca="1">IFERROR(AE73/AA$4,0)</f>
        <v>0</v>
      </c>
      <c r="AG73" s="202">
        <f ca="1">AH73/$X73</f>
        <v>0</v>
      </c>
      <c r="AH73" s="203">
        <f ca="1">AI73/$Z73</f>
        <v>0</v>
      </c>
      <c r="AI73" s="203">
        <f t="shared" ca="1" si="2470"/>
        <v>0</v>
      </c>
      <c r="AJ73" s="204">
        <f t="shared" ca="1" si="2442"/>
        <v>0</v>
      </c>
      <c r="AK73" s="205"/>
      <c r="AL73" s="206">
        <f ca="1">AK73*$X73</f>
        <v>0</v>
      </c>
      <c r="AM73" s="206">
        <f ca="1">AL73*$Z73</f>
        <v>0</v>
      </c>
      <c r="AN73" s="207">
        <f ca="1">IFERROR(AM73/AA$4,0)</f>
        <v>0</v>
      </c>
      <c r="AO73" s="313">
        <f t="shared" si="2471"/>
        <v>0</v>
      </c>
      <c r="AP73" s="313">
        <f t="shared" ca="1" si="601"/>
        <v>0</v>
      </c>
      <c r="AQ73" s="313">
        <f ca="1">AP73*$Z73</f>
        <v>0</v>
      </c>
      <c r="AR73" s="314">
        <f t="shared" ca="1" si="2472"/>
        <v>0</v>
      </c>
      <c r="AS73" s="315" t="str">
        <f ca="1">IF(SUM(AF73,AN73,AR73)&lt;&gt;0,"V","")</f>
        <v/>
      </c>
      <c r="AT73" s="214">
        <f>7150+-7150</f>
        <v>0</v>
      </c>
      <c r="AU73" s="312" t="str">
        <f t="shared" ca="1" si="2473"/>
        <v/>
      </c>
      <c r="AV73" s="215"/>
      <c r="AW73" s="199">
        <f ca="1">AT73*$X73</f>
        <v>0</v>
      </c>
      <c r="AX73" s="199">
        <f ca="1">AW73*$Z73</f>
        <v>0</v>
      </c>
      <c r="AY73" s="216">
        <f ca="1">IFERROR(AX73/AT$4,0)</f>
        <v>0</v>
      </c>
      <c r="AZ73" s="202">
        <f ca="1">BA73/$X73</f>
        <v>0</v>
      </c>
      <c r="BA73" s="203">
        <f ca="1">BB73/$Z73</f>
        <v>0</v>
      </c>
      <c r="BB73" s="203">
        <f t="shared" ca="1" si="2474"/>
        <v>0</v>
      </c>
      <c r="BC73" s="204">
        <f t="shared" ca="1" si="2446"/>
        <v>0</v>
      </c>
      <c r="BD73" s="205"/>
      <c r="BE73" s="206">
        <f ca="1">BD73*$X73</f>
        <v>0</v>
      </c>
      <c r="BF73" s="206">
        <f ca="1">BE73*$Z73</f>
        <v>0</v>
      </c>
      <c r="BG73" s="207">
        <f ca="1">IFERROR(BF73/AT$4,0)</f>
        <v>0</v>
      </c>
      <c r="BH73" s="313">
        <f t="shared" si="2475"/>
        <v>0</v>
      </c>
      <c r="BI73" s="313">
        <f t="shared" ca="1" si="615"/>
        <v>0</v>
      </c>
      <c r="BJ73" s="313">
        <f ca="1">BI73*$Z73</f>
        <v>0</v>
      </c>
      <c r="BK73" s="314">
        <f t="shared" ca="1" si="2476"/>
        <v>0</v>
      </c>
      <c r="BL73" s="211" t="str">
        <f ca="1">IF(SUM(AY73,BG73,BK73)&lt;&gt;0,"V","")</f>
        <v/>
      </c>
      <c r="BM73" s="214">
        <f>1400+-1400</f>
        <v>0</v>
      </c>
      <c r="BN73" s="312" t="str">
        <f t="shared" ca="1" si="2477"/>
        <v/>
      </c>
      <c r="BO73" s="215"/>
      <c r="BP73" s="199">
        <f ca="1">BM73*$X73</f>
        <v>0</v>
      </c>
      <c r="BQ73" s="199">
        <f ca="1">BP73*$Z73</f>
        <v>0</v>
      </c>
      <c r="BR73" s="216">
        <f t="shared" ca="1" si="2478"/>
        <v>0</v>
      </c>
      <c r="BS73" s="202">
        <f ca="1">BT73/$X73</f>
        <v>0</v>
      </c>
      <c r="BT73" s="203">
        <f ca="1">BU73/$Z73</f>
        <v>0</v>
      </c>
      <c r="BU73" s="203">
        <f t="shared" ca="1" si="2479"/>
        <v>0</v>
      </c>
      <c r="BV73" s="204">
        <f t="shared" ca="1" si="2450"/>
        <v>0</v>
      </c>
      <c r="BW73" s="205"/>
      <c r="BX73" s="206">
        <f ca="1">BW73*$X73</f>
        <v>0</v>
      </c>
      <c r="BY73" s="206">
        <f ca="1">BX73*$Z73</f>
        <v>0</v>
      </c>
      <c r="BZ73" s="207">
        <f t="shared" ca="1" si="2480"/>
        <v>0</v>
      </c>
      <c r="CA73" s="313">
        <f t="shared" si="2481"/>
        <v>0</v>
      </c>
      <c r="CB73" s="313">
        <f t="shared" ca="1" si="629"/>
        <v>0</v>
      </c>
      <c r="CC73" s="313">
        <f ca="1">CB73*$Z73</f>
        <v>0</v>
      </c>
      <c r="CD73" s="314">
        <f t="shared" ca="1" si="2482"/>
        <v>0</v>
      </c>
      <c r="CE73" s="211" t="str">
        <f ca="1">IF(SUM(BR73,BZ73,CD73)&lt;&gt;0,"V","")</f>
        <v/>
      </c>
      <c r="CF73" s="214">
        <f>3600+-3600</f>
        <v>0</v>
      </c>
      <c r="CG73" s="312" t="str">
        <f t="shared" ca="1" si="2483"/>
        <v/>
      </c>
      <c r="CH73" s="215"/>
      <c r="CI73" s="199">
        <f ca="1">CF73*$X73</f>
        <v>0</v>
      </c>
      <c r="CJ73" s="199">
        <f ca="1">CI73*$Z73</f>
        <v>0</v>
      </c>
      <c r="CK73" s="216">
        <f ca="1">IFERROR(CJ73/CF$4,0)</f>
        <v>0</v>
      </c>
      <c r="CL73" s="202">
        <f ca="1">CM73/$X73</f>
        <v>0</v>
      </c>
      <c r="CM73" s="203">
        <f ca="1">CN73/$Z73</f>
        <v>0</v>
      </c>
      <c r="CN73" s="203">
        <f ca="1">CO73*CF$4</f>
        <v>0</v>
      </c>
      <c r="CO73" s="204">
        <f t="shared" ca="1" si="2453"/>
        <v>0</v>
      </c>
      <c r="CP73" s="205"/>
      <c r="CQ73" s="206">
        <f ca="1">CP73*$X73</f>
        <v>0</v>
      </c>
      <c r="CR73" s="206">
        <f ca="1">CQ73*$Z73</f>
        <v>0</v>
      </c>
      <c r="CS73" s="207">
        <f ca="1">IFERROR(CR73/CF$4,0)</f>
        <v>0</v>
      </c>
      <c r="CT73" s="313">
        <f t="shared" si="2484"/>
        <v>0</v>
      </c>
      <c r="CU73" s="313">
        <f t="shared" ca="1" si="643"/>
        <v>0</v>
      </c>
      <c r="CV73" s="313">
        <f ca="1">CU73*$Z73</f>
        <v>0</v>
      </c>
      <c r="CW73" s="314">
        <f ca="1">IFERROR(CV73/CF$4,0)</f>
        <v>0</v>
      </c>
      <c r="CX73" s="211" t="str">
        <f ca="1">IF(SUM(CK73,CS73,CW73)&lt;&gt;0,"V","")</f>
        <v/>
      </c>
      <c r="CY73" s="197">
        <f>6000+-6000</f>
        <v>0</v>
      </c>
      <c r="CZ73" s="312" t="str">
        <f t="shared" ca="1" si="2485"/>
        <v/>
      </c>
      <c r="DA73" s="199"/>
      <c r="DB73" s="199">
        <f ca="1">CY73*$X73</f>
        <v>0</v>
      </c>
      <c r="DC73" s="199">
        <f ca="1">DB73*$Z73</f>
        <v>0</v>
      </c>
      <c r="DD73" s="216">
        <f ca="1">IFERROR(DC73/CY$4,0)</f>
        <v>0</v>
      </c>
      <c r="DE73" s="202">
        <f ca="1">DF73/$X73</f>
        <v>0</v>
      </c>
      <c r="DF73" s="203">
        <f ca="1">DG73/$Z73</f>
        <v>0</v>
      </c>
      <c r="DG73" s="203">
        <f ca="1">DH73*CY$4</f>
        <v>0</v>
      </c>
      <c r="DH73" s="204">
        <f t="shared" ca="1" si="2456"/>
        <v>0</v>
      </c>
      <c r="DI73" s="205"/>
      <c r="DJ73" s="206">
        <f ca="1">DI73*$X73</f>
        <v>0</v>
      </c>
      <c r="DK73" s="206">
        <f ca="1">DJ73*$Z73</f>
        <v>0</v>
      </c>
      <c r="DL73" s="207">
        <f ca="1">IFERROR(DK73/CY$4,0)</f>
        <v>0</v>
      </c>
      <c r="DM73" s="313">
        <f t="shared" si="2486"/>
        <v>0</v>
      </c>
      <c r="DN73" s="313">
        <f t="shared" ca="1" si="655"/>
        <v>0</v>
      </c>
      <c r="DO73" s="313">
        <f ca="1">DN73*$Z73</f>
        <v>0</v>
      </c>
      <c r="DP73" s="314">
        <f ca="1">IFERROR(DO73/CY$4,0)</f>
        <v>0</v>
      </c>
      <c r="DQ73" s="315" t="str">
        <f ca="1">IF(SUM(DD73,DL73,DP73)&lt;&gt;0,"V","")</f>
        <v/>
      </c>
      <c r="DR73" s="197">
        <f>6000+-6000</f>
        <v>0</v>
      </c>
      <c r="DS73" s="312" t="str">
        <f t="shared" ca="1" si="2458"/>
        <v/>
      </c>
      <c r="DT73" s="199"/>
      <c r="DU73" s="199">
        <f ca="1">DR73*$X73</f>
        <v>0</v>
      </c>
      <c r="DV73" s="199">
        <f ca="1">DU73*$Z73</f>
        <v>0</v>
      </c>
      <c r="DW73" s="216">
        <f ca="1">IFERROR(DV73/DR$4,0)</f>
        <v>0</v>
      </c>
      <c r="DX73" s="202">
        <f ca="1">DY73/$X73</f>
        <v>0</v>
      </c>
      <c r="DY73" s="203">
        <f ca="1">DZ73/$Z73</f>
        <v>0</v>
      </c>
      <c r="DZ73" s="203">
        <f ca="1">EA73*DR$4</f>
        <v>0</v>
      </c>
      <c r="EA73" s="204">
        <f t="shared" ca="1" si="2459"/>
        <v>0</v>
      </c>
      <c r="EB73" s="205"/>
      <c r="EC73" s="206">
        <f ca="1">EB73*$X73</f>
        <v>0</v>
      </c>
      <c r="ED73" s="206">
        <f ca="1">EC73*$Z73</f>
        <v>0</v>
      </c>
      <c r="EE73" s="207">
        <f ca="1">IFERROR(ED73/DR$4,0)</f>
        <v>0</v>
      </c>
      <c r="EF73" s="313">
        <f t="shared" si="2460"/>
        <v>0</v>
      </c>
      <c r="EG73" s="313">
        <f t="shared" ca="1" si="2461"/>
        <v>0</v>
      </c>
      <c r="EH73" s="313">
        <f ca="1">EG73*$Z73</f>
        <v>0</v>
      </c>
      <c r="EI73" s="314">
        <f ca="1">IFERROR(EH73/DR$4,0)</f>
        <v>0</v>
      </c>
      <c r="EJ73" s="214"/>
      <c r="EK73" s="312" t="str">
        <f t="shared" ca="1" si="2487"/>
        <v/>
      </c>
      <c r="EL73" s="222"/>
      <c r="EM73" s="199">
        <f ca="1">EJ73*$X73</f>
        <v>0</v>
      </c>
      <c r="EN73" s="199">
        <f ca="1">EM73*$Z73</f>
        <v>0</v>
      </c>
      <c r="EO73" s="216">
        <f ca="1">IFERROR(EN73/EJ$4,0)</f>
        <v>0</v>
      </c>
      <c r="EP73" s="202">
        <f ca="1">EQ73/$X73</f>
        <v>0</v>
      </c>
      <c r="EQ73" s="203">
        <f ca="1">ER73/$Z73</f>
        <v>0</v>
      </c>
      <c r="ER73" s="203">
        <f t="shared" ca="1" si="2488"/>
        <v>0</v>
      </c>
      <c r="ES73" s="204">
        <f t="shared" ca="1" si="2464"/>
        <v>0</v>
      </c>
      <c r="ET73" s="205"/>
      <c r="EU73" s="206">
        <f ca="1">ET73*$X73</f>
        <v>0</v>
      </c>
      <c r="EV73" s="206">
        <f ca="1">EU73*$Z73</f>
        <v>0</v>
      </c>
      <c r="EW73" s="207">
        <f ca="1">IFERROR(EV73/EJ$4,0)</f>
        <v>0</v>
      </c>
      <c r="EX73" s="313">
        <f t="shared" si="2489"/>
        <v>0</v>
      </c>
      <c r="EY73" s="313">
        <f t="shared" ca="1" si="669"/>
        <v>0</v>
      </c>
      <c r="EZ73" s="313">
        <f ca="1">EY73*$Z73</f>
        <v>0</v>
      </c>
      <c r="FA73" s="314">
        <f t="shared" ca="1" si="2490"/>
        <v>0</v>
      </c>
      <c r="FB73" s="211" t="str">
        <f ca="1">IF(SUM(EO73,EW73,FA73)&lt;&gt;0,"V","")</f>
        <v/>
      </c>
      <c r="FC73" s="214"/>
      <c r="FD73" s="312" t="str">
        <f t="shared" ca="1" si="2491"/>
        <v/>
      </c>
      <c r="FE73" s="215"/>
      <c r="FF73" s="199">
        <f ca="1">FC73*$X73</f>
        <v>0</v>
      </c>
      <c r="FG73" s="199">
        <f ca="1">FF73*$Z73</f>
        <v>0</v>
      </c>
      <c r="FH73" s="216">
        <f ca="1">IFERROR(FG73/FC$4,0)</f>
        <v>0</v>
      </c>
      <c r="FI73" s="202">
        <f ca="1">FJ73/$X73</f>
        <v>0</v>
      </c>
      <c r="FJ73" s="203">
        <f ca="1">FK73/$Z73</f>
        <v>0</v>
      </c>
      <c r="FK73" s="203">
        <f t="shared" ca="1" si="2492"/>
        <v>0</v>
      </c>
      <c r="FL73" s="204">
        <f t="shared" ca="1" si="2468"/>
        <v>0</v>
      </c>
      <c r="FM73" s="205"/>
      <c r="FN73" s="206">
        <f ca="1">FM73*$X73</f>
        <v>0</v>
      </c>
      <c r="FO73" s="206">
        <f ca="1">FN73*$Z73</f>
        <v>0</v>
      </c>
      <c r="FP73" s="207">
        <f ca="1">IFERROR(FO73/FC$4,0)</f>
        <v>0</v>
      </c>
      <c r="FQ73" s="313">
        <f t="shared" si="2493"/>
        <v>0</v>
      </c>
      <c r="FR73" s="313">
        <f t="shared" ca="1" si="683"/>
        <v>0</v>
      </c>
      <c r="FS73" s="313">
        <f ca="1">FR73*$Z73</f>
        <v>0</v>
      </c>
      <c r="FT73" s="314">
        <f t="shared" ca="1" si="2494"/>
        <v>0</v>
      </c>
      <c r="FU73" s="315" t="str">
        <f ca="1">IF(SUM(FH73,FP73,FT73)&lt;&gt;0,"V","")</f>
        <v/>
      </c>
    </row>
    <row r="74" spans="1:177" outlineLevel="2" x14ac:dyDescent="0.2">
      <c r="A74" s="298"/>
      <c r="B74" s="298"/>
      <c r="C74" s="299" t="str">
        <f t="shared" ca="1" si="2432"/>
        <v>IE00B6QGFW01:CHF</v>
      </c>
      <c r="D74" s="300" t="str">
        <f t="shared" ca="1" si="2433"/>
        <v>IE00B6QGFW01</v>
      </c>
      <c r="E74" s="301" t="str">
        <f t="shared" ca="1" si="2433"/>
        <v>18127378</v>
      </c>
      <c r="F74" s="302" t="s">
        <v>579</v>
      </c>
      <c r="G74" s="323" t="str">
        <f t="shared" ca="1" si="2434"/>
        <v/>
      </c>
      <c r="H74" s="1708" t="str">
        <f t="shared" ca="1" si="2435"/>
        <v></v>
      </c>
      <c r="I74" s="1680" t="str">
        <f ca="1">IF(OFFSET(Origine,MATCH($F74,Descrizioni,0),MATCH(I$15,Intestazioni,0)-1,1,1)&lt;&gt;"",HYPERLINK(OFFSET(Origine,MATCH($F74,Descrizioni,0),MATCH(I$15,Intestazioni,0)-1,1,1),"i"),"")</f>
        <v>i</v>
      </c>
      <c r="J74" s="1708" t="str">
        <f t="shared" ca="1" si="2436"/>
        <v></v>
      </c>
      <c r="K74" s="1709" t="str">
        <f t="shared" ca="1" si="2436"/>
        <v></v>
      </c>
      <c r="L74" s="1710" t="str">
        <f ca="1">IF(OFFSET(Origine,MATCH($F74,Descrizioni,0),MATCH(L$15,Intestazioni,0)-1,1,1)&lt;&gt;"",HYPERLINK("https://www.zonebourse.com/mods_a/charts/TV/inc_dyna_graph.php?c="&amp;OFFSET(Origine,MATCH($F74,Descrizioni,0),MATCH(L$15,Intestazioni,0)-1,1,1)&amp;"&amp;style=TradingView.CANDLES&amp;showAT=1",""),"")</f>
        <v></v>
      </c>
      <c r="M74" s="298" t="str">
        <f t="shared" ca="1" si="2437"/>
        <v>Unit</v>
      </c>
      <c r="N74" s="305"/>
      <c r="O74" s="305"/>
      <c r="P74" s="306">
        <f t="shared" ca="1" si="1539"/>
        <v>0</v>
      </c>
      <c r="Q74" s="307">
        <f t="array" aca="1" ref="Q74" ca="1">SUM(IF($AA$15:$FT$15="I_pos",AA74:FT74))</f>
        <v>0</v>
      </c>
      <c r="R74" s="307">
        <f t="array" aca="1" ref="R74" ca="1">SUM(IF($AA$15:$FT$15="P_Pos",AA74:FT74))</f>
        <v>0</v>
      </c>
      <c r="S74" s="304"/>
      <c r="T74" s="307"/>
      <c r="U74" s="308">
        <f ca="1">OFFSET(Origine,MATCH($F74,Descrizioni,0),MATCH(U$15,Intestazioni,0)-1,1,1)</f>
        <v>1.527446300716E-2</v>
      </c>
      <c r="V74" s="307">
        <f t="array" aca="1" ref="V74" ca="1">SUM(IF($AA$15:$FT$15="O_Pos",AA74:FT74))</f>
        <v>0</v>
      </c>
      <c r="W74" s="299" t="str">
        <f ca="1">OFFSET(Origine,MATCH($F74,Descrizioni,0),MATCH(W$15,Intestazioni,0)-1,1,1)</f>
        <v>CHF</v>
      </c>
      <c r="X74" s="309">
        <f t="shared" ca="1" si="2438"/>
        <v>68.063999999999993</v>
      </c>
      <c r="Y74" s="310">
        <f t="shared" ca="1" si="2438"/>
        <v>0</v>
      </c>
      <c r="Z74" s="311">
        <f t="shared" ca="1" si="2439"/>
        <v>1.0000001300000001</v>
      </c>
      <c r="AA74" s="214">
        <f>145+115+-260</f>
        <v>0</v>
      </c>
      <c r="AB74" s="312" t="str">
        <f t="shared" ca="1" si="2440"/>
        <v/>
      </c>
      <c r="AC74" s="215"/>
      <c r="AD74" s="199">
        <f ca="1">AA74*$X74</f>
        <v>0</v>
      </c>
      <c r="AE74" s="199">
        <f ca="1">AD74*$Z74</f>
        <v>0</v>
      </c>
      <c r="AF74" s="216">
        <f ca="1">IFERROR(AE74/AA$4,0)</f>
        <v>0</v>
      </c>
      <c r="AG74" s="202">
        <f ca="1">AH74/$X74</f>
        <v>0</v>
      </c>
      <c r="AH74" s="203">
        <f ca="1">AI74/$Z74</f>
        <v>0</v>
      </c>
      <c r="AI74" s="203">
        <f t="shared" ca="1" si="2470"/>
        <v>0</v>
      </c>
      <c r="AJ74" s="204">
        <f t="shared" ca="1" si="2442"/>
        <v>0</v>
      </c>
      <c r="AK74" s="205"/>
      <c r="AL74" s="206">
        <f ca="1">AK74*$X74</f>
        <v>0</v>
      </c>
      <c r="AM74" s="206">
        <f ca="1">AL74*$Z74</f>
        <v>0</v>
      </c>
      <c r="AN74" s="207">
        <f ca="1">IFERROR(AM74/AA$4,0)</f>
        <v>0</v>
      </c>
      <c r="AO74" s="313">
        <f t="shared" si="2471"/>
        <v>0</v>
      </c>
      <c r="AP74" s="313">
        <f t="shared" ca="1" si="601"/>
        <v>0</v>
      </c>
      <c r="AQ74" s="313">
        <f ca="1">AP74*$Z74</f>
        <v>0</v>
      </c>
      <c r="AR74" s="314">
        <f t="shared" ca="1" si="2472"/>
        <v>0</v>
      </c>
      <c r="AS74" s="315" t="str">
        <f ca="1">IF(SUM(AF74,AN74,AR74)&lt;&gt;0,"V","")</f>
        <v/>
      </c>
      <c r="AT74" s="214">
        <f>850+-850</f>
        <v>0</v>
      </c>
      <c r="AU74" s="312" t="str">
        <f t="shared" ca="1" si="2473"/>
        <v/>
      </c>
      <c r="AV74" s="215"/>
      <c r="AW74" s="199">
        <f ca="1">AT74*$X74</f>
        <v>0</v>
      </c>
      <c r="AX74" s="199">
        <f ca="1">AW74*$Z74</f>
        <v>0</v>
      </c>
      <c r="AY74" s="216">
        <f ca="1">IFERROR(AX74/AT$4,0)</f>
        <v>0</v>
      </c>
      <c r="AZ74" s="202">
        <f ca="1">BA74/$X74</f>
        <v>0</v>
      </c>
      <c r="BA74" s="203">
        <f ca="1">BB74/$Z74</f>
        <v>0</v>
      </c>
      <c r="BB74" s="203">
        <f t="shared" ca="1" si="2474"/>
        <v>0</v>
      </c>
      <c r="BC74" s="204">
        <f t="shared" ca="1" si="2446"/>
        <v>0</v>
      </c>
      <c r="BD74" s="205"/>
      <c r="BE74" s="206">
        <f ca="1">BD74*$X74</f>
        <v>0</v>
      </c>
      <c r="BF74" s="206">
        <f ca="1">BE74*$Z74</f>
        <v>0</v>
      </c>
      <c r="BG74" s="207">
        <f ca="1">IFERROR(BF74/AT$4,0)</f>
        <v>0</v>
      </c>
      <c r="BH74" s="313">
        <f t="shared" si="2475"/>
        <v>0</v>
      </c>
      <c r="BI74" s="313">
        <f t="shared" ca="1" si="615"/>
        <v>0</v>
      </c>
      <c r="BJ74" s="313">
        <f ca="1">BI74*$Z74</f>
        <v>0</v>
      </c>
      <c r="BK74" s="314">
        <f t="shared" ca="1" si="2476"/>
        <v>0</v>
      </c>
      <c r="BL74" s="211" t="str">
        <f ca="1">IF(SUM(AY74,BG74,BK74)&lt;&gt;0,"V","")</f>
        <v/>
      </c>
      <c r="BM74" s="214">
        <f>180+-180</f>
        <v>0</v>
      </c>
      <c r="BN74" s="312" t="str">
        <f t="shared" ca="1" si="2477"/>
        <v/>
      </c>
      <c r="BO74" s="215"/>
      <c r="BP74" s="199">
        <f ca="1">BM74*$X74</f>
        <v>0</v>
      </c>
      <c r="BQ74" s="199">
        <f ca="1">BP74*$Z74</f>
        <v>0</v>
      </c>
      <c r="BR74" s="216">
        <f t="shared" ca="1" si="2478"/>
        <v>0</v>
      </c>
      <c r="BS74" s="202">
        <f ca="1">BT74/$X74</f>
        <v>0</v>
      </c>
      <c r="BT74" s="203">
        <f ca="1">BU74/$Z74</f>
        <v>0</v>
      </c>
      <c r="BU74" s="203">
        <f t="shared" ca="1" si="2479"/>
        <v>0</v>
      </c>
      <c r="BV74" s="204">
        <f t="shared" ca="1" si="2450"/>
        <v>0</v>
      </c>
      <c r="BW74" s="205"/>
      <c r="BX74" s="206">
        <f ca="1">BW74*$X74</f>
        <v>0</v>
      </c>
      <c r="BY74" s="206">
        <f ca="1">BX74*$Z74</f>
        <v>0</v>
      </c>
      <c r="BZ74" s="207">
        <f t="shared" ca="1" si="2480"/>
        <v>0</v>
      </c>
      <c r="CA74" s="313">
        <f t="shared" si="2481"/>
        <v>0</v>
      </c>
      <c r="CB74" s="313">
        <f t="shared" ca="1" si="629"/>
        <v>0</v>
      </c>
      <c r="CC74" s="313">
        <f ca="1">CB74*$Z74</f>
        <v>0</v>
      </c>
      <c r="CD74" s="314">
        <f t="shared" ca="1" si="2482"/>
        <v>0</v>
      </c>
      <c r="CE74" s="211" t="str">
        <f ca="1">IF(SUM(BR74,BZ74,CD74)&lt;&gt;0,"V","")</f>
        <v/>
      </c>
      <c r="CF74" s="214">
        <f>450+-450</f>
        <v>0</v>
      </c>
      <c r="CG74" s="312" t="str">
        <f t="shared" ca="1" si="2483"/>
        <v/>
      </c>
      <c r="CH74" s="215"/>
      <c r="CI74" s="199">
        <f ca="1">CF74*$X74</f>
        <v>0</v>
      </c>
      <c r="CJ74" s="199">
        <f ca="1">CI74*$Z74</f>
        <v>0</v>
      </c>
      <c r="CK74" s="216">
        <f ca="1">IFERROR(CJ74/CF$4,0)</f>
        <v>0</v>
      </c>
      <c r="CL74" s="202">
        <f ca="1">CM74/$X74</f>
        <v>0</v>
      </c>
      <c r="CM74" s="203">
        <f ca="1">CN74/$Z74</f>
        <v>0</v>
      </c>
      <c r="CN74" s="203">
        <f ca="1">CO74*CF$4</f>
        <v>0</v>
      </c>
      <c r="CO74" s="204">
        <f t="shared" ca="1" si="2453"/>
        <v>0</v>
      </c>
      <c r="CP74" s="205"/>
      <c r="CQ74" s="206">
        <f ca="1">CP74*$X74</f>
        <v>0</v>
      </c>
      <c r="CR74" s="206">
        <f ca="1">CQ74*$Z74</f>
        <v>0</v>
      </c>
      <c r="CS74" s="207">
        <f ca="1">IFERROR(CR74/CF$4,0)</f>
        <v>0</v>
      </c>
      <c r="CT74" s="313">
        <f t="shared" si="2484"/>
        <v>0</v>
      </c>
      <c r="CU74" s="313">
        <f t="shared" ca="1" si="643"/>
        <v>0</v>
      </c>
      <c r="CV74" s="313">
        <f ca="1">CU74*$Z74</f>
        <v>0</v>
      </c>
      <c r="CW74" s="314">
        <f ca="1">IFERROR(CV74/CF$4,0)</f>
        <v>0</v>
      </c>
      <c r="CX74" s="211" t="str">
        <f ca="1">IF(SUM(CK74,CS74,CW74)&lt;&gt;0,"V","")</f>
        <v/>
      </c>
      <c r="CY74" s="197"/>
      <c r="CZ74" s="312" t="str">
        <f t="shared" ca="1" si="2485"/>
        <v/>
      </c>
      <c r="DA74" s="199"/>
      <c r="DB74" s="199">
        <f t="shared" ca="1" si="2035"/>
        <v>0</v>
      </c>
      <c r="DC74" s="199">
        <f t="shared" ca="1" si="2036"/>
        <v>0</v>
      </c>
      <c r="DD74" s="216">
        <f t="shared" ca="1" si="10"/>
        <v>0</v>
      </c>
      <c r="DE74" s="202">
        <f t="shared" ca="1" si="2038"/>
        <v>0</v>
      </c>
      <c r="DF74" s="203">
        <f t="shared" ca="1" si="2039"/>
        <v>0</v>
      </c>
      <c r="DG74" s="203">
        <f t="shared" ca="1" si="2062"/>
        <v>0</v>
      </c>
      <c r="DH74" s="204">
        <f t="shared" ca="1" si="2456"/>
        <v>0</v>
      </c>
      <c r="DI74" s="205"/>
      <c r="DJ74" s="206">
        <f t="shared" ca="1" si="2041"/>
        <v>0</v>
      </c>
      <c r="DK74" s="206">
        <f t="shared" ca="1" si="2042"/>
        <v>0</v>
      </c>
      <c r="DL74" s="207">
        <f t="shared" ca="1" si="11"/>
        <v>0</v>
      </c>
      <c r="DM74" s="313">
        <f t="shared" si="2486"/>
        <v>0</v>
      </c>
      <c r="DN74" s="313">
        <f t="shared" ca="1" si="655"/>
        <v>0</v>
      </c>
      <c r="DO74" s="313">
        <f ca="1">DN74*$Z74</f>
        <v>0</v>
      </c>
      <c r="DP74" s="314">
        <f ca="1">IFERROR(DO74/CY$4,0)</f>
        <v>0</v>
      </c>
      <c r="DQ74" s="315" t="str">
        <f ca="1">IF(SUM(DD74,DL74,DP74)&lt;&gt;0,"V","")</f>
        <v/>
      </c>
      <c r="DR74" s="197"/>
      <c r="DS74" s="312" t="str">
        <f t="shared" ca="1" si="2458"/>
        <v/>
      </c>
      <c r="DT74" s="199"/>
      <c r="DU74" s="199">
        <f t="shared" ref="DU74:DU76" ca="1" si="2495">DR74*$X74</f>
        <v>0</v>
      </c>
      <c r="DV74" s="199">
        <f t="shared" ref="DV74:DV76" ca="1" si="2496">DU74*$Z74</f>
        <v>0</v>
      </c>
      <c r="DW74" s="216">
        <f t="shared" ref="DW74:DW78" ca="1" si="2497">IFERROR(DV74/DR$4,0)</f>
        <v>0</v>
      </c>
      <c r="DX74" s="202">
        <f t="shared" ref="DX74:DX76" ca="1" si="2498">DY74/$X74</f>
        <v>0</v>
      </c>
      <c r="DY74" s="203">
        <f t="shared" ref="DY74:DY76" ca="1" si="2499">DZ74/$Z74</f>
        <v>0</v>
      </c>
      <c r="DZ74" s="203">
        <f t="shared" ref="DZ74:DZ76" ca="1" si="2500">EA74*DR$4</f>
        <v>0</v>
      </c>
      <c r="EA74" s="204">
        <f t="shared" ca="1" si="2459"/>
        <v>0</v>
      </c>
      <c r="EB74" s="205"/>
      <c r="EC74" s="206">
        <f t="shared" ref="EC74:EC76" ca="1" si="2501">EB74*$X74</f>
        <v>0</v>
      </c>
      <c r="ED74" s="206">
        <f t="shared" ref="ED74:ED76" ca="1" si="2502">EC74*$Z74</f>
        <v>0</v>
      </c>
      <c r="EE74" s="207">
        <f t="shared" ref="EE74:EE78" ca="1" si="2503">IFERROR(ED74/DR$4,0)</f>
        <v>0</v>
      </c>
      <c r="EF74" s="313">
        <f t="shared" si="2460"/>
        <v>0</v>
      </c>
      <c r="EG74" s="313">
        <f t="shared" ca="1" si="2461"/>
        <v>0</v>
      </c>
      <c r="EH74" s="313">
        <f ca="1">EG74*$Z74</f>
        <v>0</v>
      </c>
      <c r="EI74" s="314">
        <f ca="1">IFERROR(EH74/DR$4,0)</f>
        <v>0</v>
      </c>
      <c r="EJ74" s="214"/>
      <c r="EK74" s="312" t="str">
        <f t="shared" ca="1" si="2487"/>
        <v/>
      </c>
      <c r="EL74" s="222"/>
      <c r="EM74" s="199">
        <f ca="1">EJ74*$X74</f>
        <v>0</v>
      </c>
      <c r="EN74" s="199">
        <f ca="1">EM74*$Z74</f>
        <v>0</v>
      </c>
      <c r="EO74" s="216">
        <f ca="1">IFERROR(EN74/EJ$4,0)</f>
        <v>0</v>
      </c>
      <c r="EP74" s="202">
        <f ca="1">EQ74/$X74</f>
        <v>0</v>
      </c>
      <c r="EQ74" s="203">
        <f ca="1">ER74/$Z74</f>
        <v>0</v>
      </c>
      <c r="ER74" s="203">
        <f t="shared" ca="1" si="2488"/>
        <v>0</v>
      </c>
      <c r="ES74" s="204">
        <f t="shared" ca="1" si="2464"/>
        <v>0</v>
      </c>
      <c r="ET74" s="205"/>
      <c r="EU74" s="206">
        <f ca="1">ET74*$X74</f>
        <v>0</v>
      </c>
      <c r="EV74" s="206">
        <f ca="1">EU74*$Z74</f>
        <v>0</v>
      </c>
      <c r="EW74" s="207">
        <f ca="1">IFERROR(EV74/EJ$4,0)</f>
        <v>0</v>
      </c>
      <c r="EX74" s="313">
        <f t="shared" si="2489"/>
        <v>0</v>
      </c>
      <c r="EY74" s="313">
        <f t="shared" ca="1" si="669"/>
        <v>0</v>
      </c>
      <c r="EZ74" s="313">
        <f ca="1">EY74*$Z74</f>
        <v>0</v>
      </c>
      <c r="FA74" s="314">
        <f t="shared" ca="1" si="2490"/>
        <v>0</v>
      </c>
      <c r="FB74" s="211" t="str">
        <f ca="1">IF(SUM(EO74,EW74,FA74)&lt;&gt;0,"V","")</f>
        <v/>
      </c>
      <c r="FC74" s="214"/>
      <c r="FD74" s="312" t="str">
        <f t="shared" ca="1" si="2491"/>
        <v/>
      </c>
      <c r="FE74" s="215"/>
      <c r="FF74" s="199">
        <f ca="1">FC74*$X74</f>
        <v>0</v>
      </c>
      <c r="FG74" s="199">
        <f ca="1">FF74*$Z74</f>
        <v>0</v>
      </c>
      <c r="FH74" s="216">
        <f ca="1">IFERROR(FG74/FC$4,0)</f>
        <v>0</v>
      </c>
      <c r="FI74" s="202">
        <f ca="1">FJ74/$X74</f>
        <v>0</v>
      </c>
      <c r="FJ74" s="203">
        <f ca="1">FK74/$Z74</f>
        <v>0</v>
      </c>
      <c r="FK74" s="203">
        <f t="shared" ca="1" si="2492"/>
        <v>0</v>
      </c>
      <c r="FL74" s="204">
        <f t="shared" ca="1" si="2468"/>
        <v>0</v>
      </c>
      <c r="FM74" s="205"/>
      <c r="FN74" s="206">
        <f ca="1">FM74*$X74</f>
        <v>0</v>
      </c>
      <c r="FO74" s="206">
        <f ca="1">FN74*$Z74</f>
        <v>0</v>
      </c>
      <c r="FP74" s="207">
        <f ca="1">IFERROR(FO74/FC$4,0)</f>
        <v>0</v>
      </c>
      <c r="FQ74" s="313">
        <f t="shared" si="2493"/>
        <v>0</v>
      </c>
      <c r="FR74" s="313">
        <f t="shared" ca="1" si="683"/>
        <v>0</v>
      </c>
      <c r="FS74" s="313">
        <f ca="1">FR74*$Z74</f>
        <v>0</v>
      </c>
      <c r="FT74" s="314">
        <f t="shared" ca="1" si="2494"/>
        <v>0</v>
      </c>
      <c r="FU74" s="315" t="str">
        <f ca="1">IF(SUM(FH74,FP74,FT74)&lt;&gt;0,"V","")</f>
        <v/>
      </c>
    </row>
    <row r="75" spans="1:177" outlineLevel="2" x14ac:dyDescent="0.2">
      <c r="A75" s="298"/>
      <c r="B75" s="298"/>
      <c r="C75" s="299" t="str">
        <f t="shared" ca="1" si="2432"/>
        <v>IE00B6QGFW01:USD</v>
      </c>
      <c r="D75" s="300" t="str">
        <f t="shared" ca="1" si="2433"/>
        <v>IE00B6QGFW01</v>
      </c>
      <c r="E75" s="301" t="str">
        <f t="shared" ca="1" si="2433"/>
        <v>18127378</v>
      </c>
      <c r="F75" s="299" t="s">
        <v>752</v>
      </c>
      <c r="G75" s="316" t="str">
        <f t="shared" ca="1" si="2434"/>
        <v/>
      </c>
      <c r="H75" s="1708" t="str">
        <f t="shared" ca="1" si="2435"/>
        <v></v>
      </c>
      <c r="I75" s="1680" t="str">
        <f t="shared" ca="1" si="490"/>
        <v>i</v>
      </c>
      <c r="J75" s="1708" t="str">
        <f t="shared" ref="J75:K76" ca="1" si="2504">IF(OFFSET(Origine,MATCH($F75,Descrizioni,0),MATCH(J$15,Intestazioni,0)-1,1,1)&lt;&gt;"",HYPERLINK(OFFSET(Origine,MATCH($F75,Descrizioni,0),MATCH(J$15,Intestazioni,0)-1,1,1),""),"")</f>
        <v></v>
      </c>
      <c r="K75" s="1709" t="str">
        <f t="shared" ca="1" si="2504"/>
        <v></v>
      </c>
      <c r="L75" s="1710" t="str">
        <f t="shared" ca="1" si="1927"/>
        <v></v>
      </c>
      <c r="M75" s="298" t="str">
        <f t="shared" ca="1" si="2437"/>
        <v>Unit</v>
      </c>
      <c r="N75" s="305"/>
      <c r="O75" s="305"/>
      <c r="P75" s="306">
        <f t="shared" ca="1" si="1539"/>
        <v>0</v>
      </c>
      <c r="Q75" s="307">
        <f t="array" aca="1" ref="Q75" ca="1">SUM(IF($AA$15:$FT$15="I_pos",AA75:FT75))</f>
        <v>0</v>
      </c>
      <c r="R75" s="307">
        <f t="array" aca="1" ref="R75" ca="1">SUM(IF($AA$15:$FT$15="P_Pos",AA75:FT75))</f>
        <v>0</v>
      </c>
      <c r="S75" s="304"/>
      <c r="T75" s="307"/>
      <c r="U75" s="308">
        <f ca="1">OFFSET(Origine,MATCH($F75,Descrizioni,0),MATCH(U$15,Intestazioni,0)-1,1,1)</f>
        <v>-6.8168688619294005E-3</v>
      </c>
      <c r="V75" s="307">
        <f t="array" aca="1" ref="V75" ca="1">SUM(IF($AA$15:$FT$15="O_Pos",AA75:FT75))</f>
        <v>0</v>
      </c>
      <c r="W75" s="299" t="str">
        <f t="shared" ref="W75" ca="1" si="2505">OFFSET(Origine,MATCH($F75,Descrizioni,0),MATCH(W$15,Intestazioni,0)-1,1,1)</f>
        <v>USD</v>
      </c>
      <c r="X75" s="309">
        <f t="shared" ca="1" si="496"/>
        <v>85.98</v>
      </c>
      <c r="Y75" s="310">
        <f t="shared" ca="1" si="496"/>
        <v>0</v>
      </c>
      <c r="Z75" s="311">
        <f t="shared" ca="1" si="2439"/>
        <v>0.78225</v>
      </c>
      <c r="AA75" s="214"/>
      <c r="AB75" s="312" t="str">
        <f t="shared" ca="1" si="2440"/>
        <v/>
      </c>
      <c r="AC75" s="215"/>
      <c r="AD75" s="199">
        <f t="shared" ca="1" si="1955"/>
        <v>0</v>
      </c>
      <c r="AE75" s="199">
        <f t="shared" ca="1" si="1956"/>
        <v>0</v>
      </c>
      <c r="AF75" s="216">
        <f t="shared" ref="AF75:AF98" ca="1" si="2506">IFERROR(AE75/AA$4,0)</f>
        <v>0</v>
      </c>
      <c r="AG75" s="202">
        <f t="shared" ca="1" si="1958"/>
        <v>0</v>
      </c>
      <c r="AH75" s="203">
        <f t="shared" ca="1" si="1959"/>
        <v>0</v>
      </c>
      <c r="AI75" s="203">
        <f t="shared" ca="1" si="2470"/>
        <v>0</v>
      </c>
      <c r="AJ75" s="204">
        <f t="shared" ca="1" si="2442"/>
        <v>0</v>
      </c>
      <c r="AK75" s="205"/>
      <c r="AL75" s="206">
        <f t="shared" ca="1" si="1961"/>
        <v>0</v>
      </c>
      <c r="AM75" s="206">
        <f t="shared" ca="1" si="1962"/>
        <v>0</v>
      </c>
      <c r="AN75" s="207">
        <f t="shared" ref="AN75:AN98" ca="1" si="2507">IFERROR(AM75/AA$4,0)</f>
        <v>0</v>
      </c>
      <c r="AO75" s="313">
        <f t="shared" si="2471"/>
        <v>0</v>
      </c>
      <c r="AP75" s="313">
        <f t="shared" ca="1" si="601"/>
        <v>0</v>
      </c>
      <c r="AQ75" s="313">
        <f t="shared" ca="1" si="1964"/>
        <v>0</v>
      </c>
      <c r="AR75" s="314">
        <f t="shared" ca="1" si="2472"/>
        <v>0</v>
      </c>
      <c r="AS75" s="315" t="str">
        <f t="shared" ca="1" si="29"/>
        <v/>
      </c>
      <c r="AT75" s="214"/>
      <c r="AU75" s="312" t="str">
        <f t="shared" ca="1" si="2473"/>
        <v/>
      </c>
      <c r="AV75" s="215"/>
      <c r="AW75" s="199">
        <f t="shared" ca="1" si="1966"/>
        <v>0</v>
      </c>
      <c r="AX75" s="199">
        <f t="shared" ca="1" si="1967"/>
        <v>0</v>
      </c>
      <c r="AY75" s="216">
        <f t="shared" ref="AY75:AY98" ca="1" si="2508">IFERROR(AX75/AT$4,0)</f>
        <v>0</v>
      </c>
      <c r="AZ75" s="202">
        <f t="shared" ca="1" si="1969"/>
        <v>0</v>
      </c>
      <c r="BA75" s="203">
        <f t="shared" ca="1" si="1970"/>
        <v>0</v>
      </c>
      <c r="BB75" s="203">
        <f t="shared" ca="1" si="2474"/>
        <v>0</v>
      </c>
      <c r="BC75" s="204">
        <f t="shared" ca="1" si="2446"/>
        <v>0</v>
      </c>
      <c r="BD75" s="205"/>
      <c r="BE75" s="206">
        <f t="shared" ca="1" si="1972"/>
        <v>0</v>
      </c>
      <c r="BF75" s="206">
        <f t="shared" ca="1" si="1973"/>
        <v>0</v>
      </c>
      <c r="BG75" s="207">
        <f t="shared" ref="BG75:BG98" ca="1" si="2509">IFERROR(BF75/AT$4,0)</f>
        <v>0</v>
      </c>
      <c r="BH75" s="313">
        <f t="shared" si="2475"/>
        <v>0</v>
      </c>
      <c r="BI75" s="313">
        <f t="shared" ca="1" si="615"/>
        <v>0</v>
      </c>
      <c r="BJ75" s="313">
        <f t="shared" ca="1" si="1975"/>
        <v>0</v>
      </c>
      <c r="BK75" s="314">
        <f t="shared" ca="1" si="2476"/>
        <v>0</v>
      </c>
      <c r="BL75" s="211" t="str">
        <f t="shared" ca="1" si="34"/>
        <v/>
      </c>
      <c r="BM75" s="214"/>
      <c r="BN75" s="312" t="str">
        <f t="shared" ca="1" si="2477"/>
        <v/>
      </c>
      <c r="BO75" s="215"/>
      <c r="BP75" s="199">
        <f t="shared" ca="1" si="1977"/>
        <v>0</v>
      </c>
      <c r="BQ75" s="199">
        <f t="shared" ca="1" si="1978"/>
        <v>0</v>
      </c>
      <c r="BR75" s="216">
        <f t="shared" ca="1" si="2478"/>
        <v>0</v>
      </c>
      <c r="BS75" s="202">
        <f t="shared" ca="1" si="1980"/>
        <v>0</v>
      </c>
      <c r="BT75" s="203">
        <f t="shared" ca="1" si="1981"/>
        <v>0</v>
      </c>
      <c r="BU75" s="203">
        <f t="shared" ca="1" si="2479"/>
        <v>0</v>
      </c>
      <c r="BV75" s="204">
        <f t="shared" ca="1" si="2450"/>
        <v>0</v>
      </c>
      <c r="BW75" s="205"/>
      <c r="BX75" s="206">
        <f t="shared" ca="1" si="1983"/>
        <v>0</v>
      </c>
      <c r="BY75" s="206">
        <f t="shared" ca="1" si="1984"/>
        <v>0</v>
      </c>
      <c r="BZ75" s="207">
        <f t="shared" ca="1" si="2480"/>
        <v>0</v>
      </c>
      <c r="CA75" s="313">
        <f t="shared" si="2481"/>
        <v>0</v>
      </c>
      <c r="CB75" s="313">
        <f t="shared" ca="1" si="629"/>
        <v>0</v>
      </c>
      <c r="CC75" s="313">
        <f t="shared" ca="1" si="1986"/>
        <v>0</v>
      </c>
      <c r="CD75" s="314">
        <f t="shared" ca="1" si="2482"/>
        <v>0</v>
      </c>
      <c r="CE75" s="211" t="str">
        <f t="shared" ca="1" si="39"/>
        <v/>
      </c>
      <c r="CF75" s="214"/>
      <c r="CG75" s="312" t="str">
        <f t="shared" ca="1" si="2483"/>
        <v/>
      </c>
      <c r="CH75" s="215"/>
      <c r="CI75" s="199">
        <f t="shared" ca="1" si="1988"/>
        <v>0</v>
      </c>
      <c r="CJ75" s="199">
        <f t="shared" ca="1" si="1989"/>
        <v>0</v>
      </c>
      <c r="CK75" s="216">
        <f t="shared" ca="1" si="8"/>
        <v>0</v>
      </c>
      <c r="CL75" s="202">
        <f t="shared" ca="1" si="1990"/>
        <v>0</v>
      </c>
      <c r="CM75" s="203">
        <f t="shared" ca="1" si="1991"/>
        <v>0</v>
      </c>
      <c r="CN75" s="203">
        <f t="shared" ca="1" si="1992"/>
        <v>0</v>
      </c>
      <c r="CO75" s="204">
        <f t="shared" ca="1" si="2453"/>
        <v>0</v>
      </c>
      <c r="CP75" s="205"/>
      <c r="CQ75" s="206">
        <f t="shared" ca="1" si="1993"/>
        <v>0</v>
      </c>
      <c r="CR75" s="206">
        <f t="shared" ca="1" si="1994"/>
        <v>0</v>
      </c>
      <c r="CS75" s="207">
        <f t="shared" ca="1" si="9"/>
        <v>0</v>
      </c>
      <c r="CT75" s="313">
        <f t="shared" si="2484"/>
        <v>0</v>
      </c>
      <c r="CU75" s="313">
        <f t="shared" ca="1" si="643"/>
        <v>0</v>
      </c>
      <c r="CV75" s="313">
        <f t="shared" ca="1" si="1995"/>
        <v>0</v>
      </c>
      <c r="CW75" s="314">
        <f t="shared" ca="1" si="1996"/>
        <v>0</v>
      </c>
      <c r="CX75" s="211" t="str">
        <f t="shared" ca="1" si="47"/>
        <v/>
      </c>
      <c r="CY75" s="197"/>
      <c r="CZ75" s="312" t="str">
        <f t="shared" ca="1" si="2485"/>
        <v/>
      </c>
      <c r="DA75" s="199"/>
      <c r="DB75" s="199">
        <f t="shared" ca="1" si="2035"/>
        <v>0</v>
      </c>
      <c r="DC75" s="199">
        <f t="shared" ca="1" si="2036"/>
        <v>0</v>
      </c>
      <c r="DD75" s="216">
        <f t="shared" ca="1" si="10"/>
        <v>0</v>
      </c>
      <c r="DE75" s="202">
        <f t="shared" ca="1" si="2038"/>
        <v>0</v>
      </c>
      <c r="DF75" s="203">
        <f t="shared" ca="1" si="2039"/>
        <v>0</v>
      </c>
      <c r="DG75" s="203">
        <f t="shared" ca="1" si="2062"/>
        <v>0</v>
      </c>
      <c r="DH75" s="204">
        <f t="shared" ca="1" si="2456"/>
        <v>0</v>
      </c>
      <c r="DI75" s="205"/>
      <c r="DJ75" s="206">
        <f t="shared" ca="1" si="2041"/>
        <v>0</v>
      </c>
      <c r="DK75" s="206">
        <f t="shared" ca="1" si="2042"/>
        <v>0</v>
      </c>
      <c r="DL75" s="207">
        <f t="shared" ca="1" si="11"/>
        <v>0</v>
      </c>
      <c r="DM75" s="313">
        <f t="shared" si="2486"/>
        <v>0</v>
      </c>
      <c r="DN75" s="313">
        <f t="shared" ca="1" si="655"/>
        <v>0</v>
      </c>
      <c r="DO75" s="313">
        <f t="shared" ref="DO75:DO76" ca="1" si="2510">DN75*$Z75</f>
        <v>0</v>
      </c>
      <c r="DP75" s="314">
        <f t="shared" ref="DP75:DP85" ca="1" si="2511">IFERROR(DO75/CY$4,0)</f>
        <v>0</v>
      </c>
      <c r="DQ75" s="315" t="str">
        <f t="shared" ca="1" si="55"/>
        <v/>
      </c>
      <c r="DR75" s="197"/>
      <c r="DS75" s="312" t="str">
        <f t="shared" ca="1" si="2458"/>
        <v/>
      </c>
      <c r="DT75" s="199"/>
      <c r="DU75" s="199">
        <f t="shared" ca="1" si="2495"/>
        <v>0</v>
      </c>
      <c r="DV75" s="199">
        <f t="shared" ca="1" si="2496"/>
        <v>0</v>
      </c>
      <c r="DW75" s="216">
        <f t="shared" ca="1" si="2497"/>
        <v>0</v>
      </c>
      <c r="DX75" s="202">
        <f t="shared" ca="1" si="2498"/>
        <v>0</v>
      </c>
      <c r="DY75" s="203">
        <f t="shared" ca="1" si="2499"/>
        <v>0</v>
      </c>
      <c r="DZ75" s="203">
        <f t="shared" ca="1" si="2500"/>
        <v>0</v>
      </c>
      <c r="EA75" s="204">
        <f t="shared" ca="1" si="2459"/>
        <v>0</v>
      </c>
      <c r="EB75" s="205"/>
      <c r="EC75" s="206">
        <f t="shared" ca="1" si="2501"/>
        <v>0</v>
      </c>
      <c r="ED75" s="206">
        <f t="shared" ca="1" si="2502"/>
        <v>0</v>
      </c>
      <c r="EE75" s="207">
        <f t="shared" ca="1" si="2503"/>
        <v>0</v>
      </c>
      <c r="EF75" s="313">
        <f t="shared" si="2460"/>
        <v>0</v>
      </c>
      <c r="EG75" s="313">
        <f t="shared" ca="1" si="2461"/>
        <v>0</v>
      </c>
      <c r="EH75" s="313">
        <f t="shared" ref="EH75:EH76" ca="1" si="2512">EG75*$Z75</f>
        <v>0</v>
      </c>
      <c r="EI75" s="314">
        <f t="shared" ref="EI75:EI78" ca="1" si="2513">IFERROR(EH75/DR$4,0)</f>
        <v>0</v>
      </c>
      <c r="EJ75" s="214"/>
      <c r="EK75" s="312" t="str">
        <f t="shared" ca="1" si="2487"/>
        <v/>
      </c>
      <c r="EL75" s="222"/>
      <c r="EM75" s="199">
        <f t="shared" ca="1" si="2000"/>
        <v>0</v>
      </c>
      <c r="EN75" s="199">
        <f t="shared" ca="1" si="2001"/>
        <v>0</v>
      </c>
      <c r="EO75" s="216">
        <f t="shared" ref="EO75:EO98" ca="1" si="2514">IFERROR(EN75/EJ$4,0)</f>
        <v>0</v>
      </c>
      <c r="EP75" s="202">
        <f t="shared" ca="1" si="2003"/>
        <v>0</v>
      </c>
      <c r="EQ75" s="203">
        <f t="shared" ca="1" si="2004"/>
        <v>0</v>
      </c>
      <c r="ER75" s="203">
        <f t="shared" ca="1" si="2488"/>
        <v>0</v>
      </c>
      <c r="ES75" s="204">
        <f t="shared" ca="1" si="2464"/>
        <v>0</v>
      </c>
      <c r="ET75" s="205"/>
      <c r="EU75" s="206">
        <f t="shared" ca="1" si="2006"/>
        <v>0</v>
      </c>
      <c r="EV75" s="206">
        <f t="shared" ca="1" si="2007"/>
        <v>0</v>
      </c>
      <c r="EW75" s="207">
        <f t="shared" ref="EW75:EW98" ca="1" si="2515">IFERROR(EV75/EJ$4,0)</f>
        <v>0</v>
      </c>
      <c r="EX75" s="313">
        <f t="shared" si="2489"/>
        <v>0</v>
      </c>
      <c r="EY75" s="313">
        <f t="shared" ca="1" si="669"/>
        <v>0</v>
      </c>
      <c r="EZ75" s="313">
        <f t="shared" ca="1" si="2009"/>
        <v>0</v>
      </c>
      <c r="FA75" s="314">
        <f t="shared" ca="1" si="2490"/>
        <v>0</v>
      </c>
      <c r="FB75" s="211" t="str">
        <f t="shared" ca="1" si="66"/>
        <v/>
      </c>
      <c r="FC75" s="214"/>
      <c r="FD75" s="312" t="str">
        <f t="shared" ca="1" si="2491"/>
        <v/>
      </c>
      <c r="FE75" s="215"/>
      <c r="FF75" s="199">
        <f t="shared" ca="1" si="2011"/>
        <v>0</v>
      </c>
      <c r="FG75" s="199">
        <f t="shared" ca="1" si="2012"/>
        <v>0</v>
      </c>
      <c r="FH75" s="216">
        <f t="shared" ref="FH75:FH98" ca="1" si="2516">IFERROR(FG75/FC$4,0)</f>
        <v>0</v>
      </c>
      <c r="FI75" s="202">
        <f t="shared" ca="1" si="2014"/>
        <v>0</v>
      </c>
      <c r="FJ75" s="203">
        <f t="shared" ca="1" si="2015"/>
        <v>0</v>
      </c>
      <c r="FK75" s="203">
        <f t="shared" ca="1" si="2492"/>
        <v>0</v>
      </c>
      <c r="FL75" s="204">
        <f t="shared" ca="1" si="2468"/>
        <v>0</v>
      </c>
      <c r="FM75" s="205"/>
      <c r="FN75" s="206">
        <f t="shared" ca="1" si="2017"/>
        <v>0</v>
      </c>
      <c r="FO75" s="206">
        <f t="shared" ca="1" si="2018"/>
        <v>0</v>
      </c>
      <c r="FP75" s="207">
        <f t="shared" ref="FP75:FP98" ca="1" si="2517">IFERROR(FO75/FC$4,0)</f>
        <v>0</v>
      </c>
      <c r="FQ75" s="313">
        <f t="shared" si="2493"/>
        <v>0</v>
      </c>
      <c r="FR75" s="313">
        <f t="shared" ca="1" si="683"/>
        <v>0</v>
      </c>
      <c r="FS75" s="313">
        <f t="shared" ca="1" si="2020"/>
        <v>0</v>
      </c>
      <c r="FT75" s="314">
        <f t="shared" ca="1" si="2494"/>
        <v>0</v>
      </c>
      <c r="FU75" s="315" t="str">
        <f t="shared" ca="1" si="71"/>
        <v/>
      </c>
    </row>
    <row r="76" spans="1:177" outlineLevel="2" x14ac:dyDescent="0.2">
      <c r="A76" s="298"/>
      <c r="B76" s="298"/>
      <c r="C76" s="299" t="str">
        <f t="shared" ca="1" si="2432"/>
        <v>LU0623004180:CHF</v>
      </c>
      <c r="D76" s="300" t="str">
        <f t="shared" ca="1" si="2433"/>
        <v>LU0623004180</v>
      </c>
      <c r="E76" s="301" t="str">
        <f t="shared" ca="1" si="2433"/>
        <v>13040599</v>
      </c>
      <c r="F76" s="324" t="s">
        <v>581</v>
      </c>
      <c r="G76" s="325" t="str">
        <f t="shared" ca="1" si="2434"/>
        <v/>
      </c>
      <c r="H76" s="1708" t="str">
        <f t="shared" ca="1" si="2435"/>
        <v></v>
      </c>
      <c r="I76" s="1680" t="str">
        <f t="shared" ca="1" si="490"/>
        <v>i</v>
      </c>
      <c r="J76" s="1708" t="str">
        <f t="shared" ca="1" si="2504"/>
        <v></v>
      </c>
      <c r="K76" s="1709" t="str">
        <f t="shared" ca="1" si="2504"/>
        <v/>
      </c>
      <c r="L76" s="1710" t="str">
        <f t="shared" ca="1" si="1927"/>
        <v></v>
      </c>
      <c r="M76" s="298" t="str">
        <f t="shared" ca="1" si="2437"/>
        <v>Unit</v>
      </c>
      <c r="N76" s="305"/>
      <c r="O76" s="305"/>
      <c r="P76" s="306">
        <f t="shared" ca="1" si="1539"/>
        <v>0</v>
      </c>
      <c r="Q76" s="307">
        <f t="array" aca="1" ref="Q76" ca="1">SUM(IF($AA$15:$FT$15="I_pos",AA76:FT76))</f>
        <v>0</v>
      </c>
      <c r="R76" s="307">
        <f t="array" aca="1" ref="R76" ca="1">SUM(IF($AA$15:$FT$15="P_Pos",AA76:FT76))</f>
        <v>0</v>
      </c>
      <c r="S76" s="304"/>
      <c r="T76" s="307"/>
      <c r="U76" s="308">
        <f ca="1">OFFSET(Origine,MATCH($F76,Descrizioni,0),MATCH(U$15,Intestazioni,0)-1,1,1)</f>
        <v>-1.1173184357541908E-2</v>
      </c>
      <c r="V76" s="307">
        <f t="array" aca="1" ref="V76" ca="1">SUM(IF($AA$15:$FT$15="O_Pos",AA76:FT76))</f>
        <v>0</v>
      </c>
      <c r="W76" s="299" t="str">
        <f t="shared" ref="W76" ca="1" si="2518">OFFSET(Origine,MATCH($F76,Descrizioni,0),MATCH(W$15,Intestazioni,0)-1,1,1)</f>
        <v>CHF</v>
      </c>
      <c r="X76" s="309">
        <f t="shared" ca="1" si="496"/>
        <v>7.08</v>
      </c>
      <c r="Y76" s="310">
        <f t="shared" ca="1" si="496"/>
        <v>0</v>
      </c>
      <c r="Z76" s="311">
        <f t="shared" ca="1" si="2439"/>
        <v>1.0000001300000001</v>
      </c>
      <c r="AA76" s="214">
        <f>2000+-2000</f>
        <v>0</v>
      </c>
      <c r="AB76" s="312" t="str">
        <f t="shared" ca="1" si="2440"/>
        <v/>
      </c>
      <c r="AC76" s="215"/>
      <c r="AD76" s="199">
        <f t="shared" ca="1" si="1955"/>
        <v>0</v>
      </c>
      <c r="AE76" s="199">
        <f t="shared" ca="1" si="1956"/>
        <v>0</v>
      </c>
      <c r="AF76" s="216">
        <f t="shared" ca="1" si="2506"/>
        <v>0</v>
      </c>
      <c r="AG76" s="202">
        <f t="shared" ca="1" si="1958"/>
        <v>0</v>
      </c>
      <c r="AH76" s="203">
        <f t="shared" ca="1" si="1959"/>
        <v>0</v>
      </c>
      <c r="AI76" s="203">
        <f t="shared" ref="AI76" ca="1" si="2519">AJ76*AA$4</f>
        <v>0</v>
      </c>
      <c r="AJ76" s="204">
        <f t="shared" ca="1" si="2442"/>
        <v>0</v>
      </c>
      <c r="AK76" s="205"/>
      <c r="AL76" s="206">
        <f t="shared" ca="1" si="1961"/>
        <v>0</v>
      </c>
      <c r="AM76" s="206">
        <f t="shared" ca="1" si="1962"/>
        <v>0</v>
      </c>
      <c r="AN76" s="207">
        <f t="shared" ca="1" si="2507"/>
        <v>0</v>
      </c>
      <c r="AO76" s="313">
        <f t="shared" si="2471"/>
        <v>0</v>
      </c>
      <c r="AP76" s="313">
        <f t="shared" ca="1" si="601"/>
        <v>0</v>
      </c>
      <c r="AQ76" s="313">
        <f t="shared" ca="1" si="1964"/>
        <v>0</v>
      </c>
      <c r="AR76" s="314">
        <f t="shared" ref="AR76:AR98" ca="1" si="2520">IFERROR(AQ76/AA$4,0)</f>
        <v>0</v>
      </c>
      <c r="AS76" s="315" t="str">
        <f t="shared" ca="1" si="29"/>
        <v/>
      </c>
      <c r="AT76" s="214">
        <f>9600+-9600</f>
        <v>0</v>
      </c>
      <c r="AU76" s="312" t="str">
        <f t="shared" ca="1" si="2473"/>
        <v/>
      </c>
      <c r="AV76" s="215"/>
      <c r="AW76" s="199">
        <f t="shared" ca="1" si="1966"/>
        <v>0</v>
      </c>
      <c r="AX76" s="199">
        <f t="shared" ca="1" si="1967"/>
        <v>0</v>
      </c>
      <c r="AY76" s="216">
        <f t="shared" ca="1" si="2508"/>
        <v>0</v>
      </c>
      <c r="AZ76" s="202">
        <f t="shared" ca="1" si="1969"/>
        <v>0</v>
      </c>
      <c r="BA76" s="203">
        <f t="shared" ca="1" si="1970"/>
        <v>0</v>
      </c>
      <c r="BB76" s="203">
        <f t="shared" ref="BB76" ca="1" si="2521">BC76*AT$4</f>
        <v>0</v>
      </c>
      <c r="BC76" s="204">
        <f t="shared" ca="1" si="2446"/>
        <v>0</v>
      </c>
      <c r="BD76" s="205"/>
      <c r="BE76" s="206">
        <f t="shared" ca="1" si="1972"/>
        <v>0</v>
      </c>
      <c r="BF76" s="206">
        <f t="shared" ca="1" si="1973"/>
        <v>0</v>
      </c>
      <c r="BG76" s="207">
        <f t="shared" ca="1" si="2509"/>
        <v>0</v>
      </c>
      <c r="BH76" s="313">
        <f t="shared" si="2475"/>
        <v>0</v>
      </c>
      <c r="BI76" s="313">
        <f t="shared" ca="1" si="615"/>
        <v>0</v>
      </c>
      <c r="BJ76" s="313">
        <f t="shared" ca="1" si="1975"/>
        <v>0</v>
      </c>
      <c r="BK76" s="314">
        <f t="shared" ref="BK76:BK98" ca="1" si="2522">IFERROR(BJ76/AT$4,0)</f>
        <v>0</v>
      </c>
      <c r="BL76" s="211" t="str">
        <f t="shared" ca="1" si="34"/>
        <v/>
      </c>
      <c r="BM76" s="214">
        <f>3000+-3000</f>
        <v>0</v>
      </c>
      <c r="BN76" s="312" t="str">
        <f t="shared" ca="1" si="2477"/>
        <v/>
      </c>
      <c r="BO76" s="215"/>
      <c r="BP76" s="199">
        <f t="shared" ca="1" si="1977"/>
        <v>0</v>
      </c>
      <c r="BQ76" s="199">
        <f t="shared" ca="1" si="1978"/>
        <v>0</v>
      </c>
      <c r="BR76" s="216">
        <f t="shared" ca="1" si="2478"/>
        <v>0</v>
      </c>
      <c r="BS76" s="202">
        <f t="shared" ca="1" si="1980"/>
        <v>0</v>
      </c>
      <c r="BT76" s="203">
        <f t="shared" ca="1" si="1981"/>
        <v>0</v>
      </c>
      <c r="BU76" s="203">
        <f t="shared" ref="BU76" ca="1" si="2523">BV76*BM$4</f>
        <v>0</v>
      </c>
      <c r="BV76" s="204">
        <f t="shared" ca="1" si="2450"/>
        <v>0</v>
      </c>
      <c r="BW76" s="205"/>
      <c r="BX76" s="206">
        <f t="shared" ca="1" si="1983"/>
        <v>0</v>
      </c>
      <c r="BY76" s="206">
        <f t="shared" ca="1" si="1984"/>
        <v>0</v>
      </c>
      <c r="BZ76" s="207">
        <f t="shared" ca="1" si="2480"/>
        <v>0</v>
      </c>
      <c r="CA76" s="313">
        <f t="shared" si="2481"/>
        <v>0</v>
      </c>
      <c r="CB76" s="313">
        <f t="shared" ca="1" si="629"/>
        <v>0</v>
      </c>
      <c r="CC76" s="313">
        <f t="shared" ca="1" si="1986"/>
        <v>0</v>
      </c>
      <c r="CD76" s="314">
        <f t="shared" ref="CD76:CD83" ca="1" si="2524">IFERROR(CC76/BM$4,0)</f>
        <v>0</v>
      </c>
      <c r="CE76" s="211" t="str">
        <f t="shared" ca="1" si="39"/>
        <v/>
      </c>
      <c r="CF76" s="214">
        <f>6400+-6400</f>
        <v>0</v>
      </c>
      <c r="CG76" s="312" t="str">
        <f t="shared" ca="1" si="2483"/>
        <v/>
      </c>
      <c r="CH76" s="215"/>
      <c r="CI76" s="199">
        <f t="shared" ca="1" si="1988"/>
        <v>0</v>
      </c>
      <c r="CJ76" s="199">
        <f t="shared" ca="1" si="1989"/>
        <v>0</v>
      </c>
      <c r="CK76" s="216">
        <f t="shared" ca="1" si="8"/>
        <v>0</v>
      </c>
      <c r="CL76" s="202">
        <f t="shared" ca="1" si="1990"/>
        <v>0</v>
      </c>
      <c r="CM76" s="203">
        <f t="shared" ca="1" si="1991"/>
        <v>0</v>
      </c>
      <c r="CN76" s="203">
        <f t="shared" ca="1" si="1992"/>
        <v>0</v>
      </c>
      <c r="CO76" s="204">
        <f t="shared" ca="1" si="2453"/>
        <v>0</v>
      </c>
      <c r="CP76" s="205"/>
      <c r="CQ76" s="206">
        <f t="shared" ca="1" si="1993"/>
        <v>0</v>
      </c>
      <c r="CR76" s="206">
        <f t="shared" ca="1" si="1994"/>
        <v>0</v>
      </c>
      <c r="CS76" s="207">
        <f t="shared" ca="1" si="9"/>
        <v>0</v>
      </c>
      <c r="CT76" s="313">
        <f t="shared" si="2484"/>
        <v>0</v>
      </c>
      <c r="CU76" s="313">
        <f t="shared" ca="1" si="643"/>
        <v>0</v>
      </c>
      <c r="CV76" s="313">
        <f t="shared" ca="1" si="1995"/>
        <v>0</v>
      </c>
      <c r="CW76" s="314">
        <f t="shared" ca="1" si="1996"/>
        <v>0</v>
      </c>
      <c r="CX76" s="211" t="str">
        <f t="shared" ca="1" si="47"/>
        <v/>
      </c>
      <c r="CY76" s="197">
        <f>15000+-15000</f>
        <v>0</v>
      </c>
      <c r="CZ76" s="312" t="str">
        <f t="shared" ca="1" si="2485"/>
        <v/>
      </c>
      <c r="DA76" s="199"/>
      <c r="DB76" s="199">
        <f t="shared" ca="1" si="2035"/>
        <v>0</v>
      </c>
      <c r="DC76" s="199">
        <f t="shared" ca="1" si="2036"/>
        <v>0</v>
      </c>
      <c r="DD76" s="216">
        <f t="shared" ca="1" si="10"/>
        <v>0</v>
      </c>
      <c r="DE76" s="202">
        <f t="shared" ca="1" si="2038"/>
        <v>0</v>
      </c>
      <c r="DF76" s="203">
        <f t="shared" ca="1" si="2039"/>
        <v>0</v>
      </c>
      <c r="DG76" s="203">
        <f t="shared" ca="1" si="2062"/>
        <v>0</v>
      </c>
      <c r="DH76" s="204">
        <f t="shared" ca="1" si="2456"/>
        <v>0</v>
      </c>
      <c r="DI76" s="205"/>
      <c r="DJ76" s="206">
        <f t="shared" ca="1" si="2041"/>
        <v>0</v>
      </c>
      <c r="DK76" s="206">
        <f t="shared" ca="1" si="2042"/>
        <v>0</v>
      </c>
      <c r="DL76" s="207">
        <f t="shared" ca="1" si="11"/>
        <v>0</v>
      </c>
      <c r="DM76" s="313">
        <f t="shared" si="2486"/>
        <v>0</v>
      </c>
      <c r="DN76" s="313">
        <f t="shared" ca="1" si="655"/>
        <v>0</v>
      </c>
      <c r="DO76" s="313">
        <f t="shared" ca="1" si="2510"/>
        <v>0</v>
      </c>
      <c r="DP76" s="314">
        <f t="shared" ca="1" si="2511"/>
        <v>0</v>
      </c>
      <c r="DQ76" s="315" t="str">
        <f t="shared" ca="1" si="55"/>
        <v/>
      </c>
      <c r="DR76" s="197">
        <f>15000+-15000</f>
        <v>0</v>
      </c>
      <c r="DS76" s="312" t="str">
        <f t="shared" ca="1" si="2458"/>
        <v/>
      </c>
      <c r="DT76" s="199"/>
      <c r="DU76" s="199">
        <f t="shared" ca="1" si="2495"/>
        <v>0</v>
      </c>
      <c r="DV76" s="199">
        <f t="shared" ca="1" si="2496"/>
        <v>0</v>
      </c>
      <c r="DW76" s="216">
        <f t="shared" ca="1" si="2497"/>
        <v>0</v>
      </c>
      <c r="DX76" s="202">
        <f t="shared" ca="1" si="2498"/>
        <v>0</v>
      </c>
      <c r="DY76" s="203">
        <f t="shared" ca="1" si="2499"/>
        <v>0</v>
      </c>
      <c r="DZ76" s="203">
        <f t="shared" ca="1" si="2500"/>
        <v>0</v>
      </c>
      <c r="EA76" s="204">
        <f t="shared" ca="1" si="2459"/>
        <v>0</v>
      </c>
      <c r="EB76" s="205"/>
      <c r="EC76" s="206">
        <f t="shared" ca="1" si="2501"/>
        <v>0</v>
      </c>
      <c r="ED76" s="206">
        <f t="shared" ca="1" si="2502"/>
        <v>0</v>
      </c>
      <c r="EE76" s="207">
        <f t="shared" ca="1" si="2503"/>
        <v>0</v>
      </c>
      <c r="EF76" s="313">
        <f t="shared" si="2460"/>
        <v>0</v>
      </c>
      <c r="EG76" s="313">
        <f t="shared" ca="1" si="2461"/>
        <v>0</v>
      </c>
      <c r="EH76" s="313">
        <f t="shared" ca="1" si="2512"/>
        <v>0</v>
      </c>
      <c r="EI76" s="314">
        <f t="shared" ca="1" si="2513"/>
        <v>0</v>
      </c>
      <c r="EJ76" s="214"/>
      <c r="EK76" s="312" t="str">
        <f t="shared" ca="1" si="2487"/>
        <v/>
      </c>
      <c r="EL76" s="222"/>
      <c r="EM76" s="199">
        <f t="shared" ca="1" si="2000"/>
        <v>0</v>
      </c>
      <c r="EN76" s="199">
        <f t="shared" ca="1" si="2001"/>
        <v>0</v>
      </c>
      <c r="EO76" s="216">
        <f t="shared" ca="1" si="2514"/>
        <v>0</v>
      </c>
      <c r="EP76" s="202">
        <f t="shared" ca="1" si="2003"/>
        <v>0</v>
      </c>
      <c r="EQ76" s="203">
        <f t="shared" ca="1" si="2004"/>
        <v>0</v>
      </c>
      <c r="ER76" s="203">
        <f t="shared" ref="ER76" ca="1" si="2525">ES76*EJ$4</f>
        <v>0</v>
      </c>
      <c r="ES76" s="204">
        <f t="shared" ca="1" si="2464"/>
        <v>0</v>
      </c>
      <c r="ET76" s="205"/>
      <c r="EU76" s="206">
        <f t="shared" ca="1" si="2006"/>
        <v>0</v>
      </c>
      <c r="EV76" s="206">
        <f t="shared" ca="1" si="2007"/>
        <v>0</v>
      </c>
      <c r="EW76" s="207">
        <f t="shared" ca="1" si="2515"/>
        <v>0</v>
      </c>
      <c r="EX76" s="313">
        <f t="shared" si="2489"/>
        <v>0</v>
      </c>
      <c r="EY76" s="313">
        <f t="shared" ca="1" si="669"/>
        <v>0</v>
      </c>
      <c r="EZ76" s="313">
        <f t="shared" ca="1" si="2009"/>
        <v>0</v>
      </c>
      <c r="FA76" s="314">
        <f t="shared" ref="FA76:FA98" ca="1" si="2526">IFERROR(EZ76/EJ$4,0)</f>
        <v>0</v>
      </c>
      <c r="FB76" s="211" t="str">
        <f t="shared" ca="1" si="66"/>
        <v/>
      </c>
      <c r="FC76" s="214"/>
      <c r="FD76" s="312" t="str">
        <f t="shared" ca="1" si="2491"/>
        <v/>
      </c>
      <c r="FE76" s="215"/>
      <c r="FF76" s="199">
        <f t="shared" ca="1" si="2011"/>
        <v>0</v>
      </c>
      <c r="FG76" s="199">
        <f t="shared" ca="1" si="2012"/>
        <v>0</v>
      </c>
      <c r="FH76" s="216">
        <f t="shared" ca="1" si="2516"/>
        <v>0</v>
      </c>
      <c r="FI76" s="202">
        <f t="shared" ca="1" si="2014"/>
        <v>0</v>
      </c>
      <c r="FJ76" s="203">
        <f t="shared" ca="1" si="2015"/>
        <v>0</v>
      </c>
      <c r="FK76" s="203">
        <f t="shared" ref="FK76" ca="1" si="2527">FL76*FC$4</f>
        <v>0</v>
      </c>
      <c r="FL76" s="204">
        <f t="shared" ca="1" si="2468"/>
        <v>0</v>
      </c>
      <c r="FM76" s="205"/>
      <c r="FN76" s="206">
        <f t="shared" ca="1" si="2017"/>
        <v>0</v>
      </c>
      <c r="FO76" s="206">
        <f t="shared" ca="1" si="2018"/>
        <v>0</v>
      </c>
      <c r="FP76" s="207">
        <f t="shared" ca="1" si="2517"/>
        <v>0</v>
      </c>
      <c r="FQ76" s="313">
        <f t="shared" si="2493"/>
        <v>0</v>
      </c>
      <c r="FR76" s="313">
        <f t="shared" ca="1" si="683"/>
        <v>0</v>
      </c>
      <c r="FS76" s="313">
        <f t="shared" ca="1" si="2020"/>
        <v>0</v>
      </c>
      <c r="FT76" s="314">
        <f t="shared" ref="FT76:FT98" ca="1" si="2528">IFERROR(FS76/FC$4,0)</f>
        <v>0</v>
      </c>
      <c r="FU76" s="315" t="str">
        <f t="shared" ca="1" si="71"/>
        <v/>
      </c>
    </row>
    <row r="77" spans="1:177" x14ac:dyDescent="0.2">
      <c r="A77" s="326" t="s">
        <v>388</v>
      </c>
      <c r="B77" s="326"/>
      <c r="C77" s="327"/>
      <c r="D77" s="328"/>
      <c r="E77" s="329"/>
      <c r="F77" s="327"/>
      <c r="G77" s="330"/>
      <c r="H77" s="1711"/>
      <c r="I77" s="1681"/>
      <c r="J77" s="1711"/>
      <c r="K77" s="1681"/>
      <c r="L77" s="1681"/>
      <c r="M77" s="326"/>
      <c r="N77" s="332">
        <f>SUM($N155,N$152,N$141,N$135,N$118,N$114,N$109,N$97,N$78)</f>
        <v>0.56000000000000005</v>
      </c>
      <c r="O77" s="332">
        <f>SUM($N155,O$152,O$141,O$135,O$118,O$114,O$109,O$97,O$78)</f>
        <v>0.27500000000000002</v>
      </c>
      <c r="P77" s="333">
        <f t="shared" ca="1" si="1539"/>
        <v>0.47293727534084018</v>
      </c>
      <c r="Q77" s="334"/>
      <c r="R77" s="334"/>
      <c r="S77" s="327"/>
      <c r="T77" s="334"/>
      <c r="U77" s="335"/>
      <c r="V77" s="334"/>
      <c r="W77" s="327"/>
      <c r="X77" s="336"/>
      <c r="Y77" s="336"/>
      <c r="Z77" s="337"/>
      <c r="AA77" s="338"/>
      <c r="AB77" s="339"/>
      <c r="AC77" s="339"/>
      <c r="AD77" s="327"/>
      <c r="AE77" s="340" cm="1">
        <f t="array" aca="1" ref="AE77" ca="1">SUM(IF($B$78:$B$159="",AE$78:AE$159))</f>
        <v>268216.29270894849</v>
      </c>
      <c r="AF77" s="341">
        <f t="shared" ca="1" si="2506"/>
        <v>0.4776815598092502</v>
      </c>
      <c r="AG77" s="342"/>
      <c r="AH77" s="331"/>
      <c r="AI77" s="340" cm="1">
        <f t="array" aca="1" ref="AI77" ca="1">SUM(IF($B$78:$B$159="",AI$78:AI$159))</f>
        <v>46221.476203441794</v>
      </c>
      <c r="AJ77" s="343">
        <f ca="1">IFERROR(AI77/AA$4,0)</f>
        <v>8.2318440190749798E-2</v>
      </c>
      <c r="AK77" s="342"/>
      <c r="AL77" s="331"/>
      <c r="AM77" s="340" cm="1">
        <f t="array" aca="1" ref="AM77" ca="1">SUM(IF($B$78:$B$159="",AM$78:AM$159))</f>
        <v>8285.3182125000003</v>
      </c>
      <c r="AN77" s="343">
        <f t="shared" ca="1" si="2507"/>
        <v>1.4755791631038925E-2</v>
      </c>
      <c r="AO77" s="331"/>
      <c r="AP77" s="331"/>
      <c r="AQ77" s="340" cm="1">
        <f t="array" aca="1" ref="AQ77" ca="1">SUM(IF($B$78:$B$159="",AQ$78:AQ$159))</f>
        <v>268216.29270894849</v>
      </c>
      <c r="AR77" s="341">
        <f t="shared" ca="1" si="2520"/>
        <v>0.4776815598092502</v>
      </c>
      <c r="AS77" s="52" t="str">
        <f t="shared" ca="1" si="29"/>
        <v>V</v>
      </c>
      <c r="AT77" s="338"/>
      <c r="AU77" s="339"/>
      <c r="AV77" s="339"/>
      <c r="AW77" s="327"/>
      <c r="AX77" s="340" cm="1">
        <f t="array" aca="1" ref="AX77" ca="1">SUM(IF($B$78:$B$159="",AX$78:AX$159))</f>
        <v>817872.04099992209</v>
      </c>
      <c r="AY77" s="341">
        <f t="shared" ca="1" si="2508"/>
        <v>0.47225556715029993</v>
      </c>
      <c r="AZ77" s="342"/>
      <c r="BA77" s="331"/>
      <c r="BB77" s="340" cm="1">
        <f t="array" aca="1" ref="BB77" ca="1">SUM(IF($B$78:$B$159="",BB$78:BB$159))</f>
        <v>151959.49687624397</v>
      </c>
      <c r="BC77" s="343">
        <f ca="1">IFERROR(BB77/AT$4,0)</f>
        <v>8.7744432849700099E-2</v>
      </c>
      <c r="BD77" s="342"/>
      <c r="BE77" s="331"/>
      <c r="BF77" s="340" cm="1">
        <f t="array" aca="1" ref="BF77" ca="1">SUM(IF($B$78:$B$159="",BF$78:BF$159))</f>
        <v>12888.272775000001</v>
      </c>
      <c r="BG77" s="343">
        <f t="shared" ca="1" si="2509"/>
        <v>7.4419447833233556E-3</v>
      </c>
      <c r="BH77" s="331"/>
      <c r="BI77" s="331"/>
      <c r="BJ77" s="340" cm="1">
        <f t="array" aca="1" ref="BJ77" ca="1">SUM(IF($B$78:$B$159="",BJ$78:BJ$159))</f>
        <v>817872.04099992209</v>
      </c>
      <c r="BK77" s="341">
        <f t="shared" ca="1" si="2522"/>
        <v>0.47225556715029993</v>
      </c>
      <c r="BL77" s="53" t="str">
        <f t="shared" ca="1" si="34"/>
        <v>V</v>
      </c>
      <c r="BM77" s="338"/>
      <c r="BN77" s="339"/>
      <c r="BO77" s="339"/>
      <c r="BP77" s="327"/>
      <c r="BQ77" s="340" cm="1">
        <f t="array" aca="1" ref="BQ77" ca="1">SUM(IF($B$78:$B$159="",BQ$78:BQ$159))</f>
        <v>133290.71021889502</v>
      </c>
      <c r="BR77" s="341">
        <f t="shared" ca="1" si="2478"/>
        <v>0.46773225637505145</v>
      </c>
      <c r="BS77" s="342"/>
      <c r="BT77" s="331"/>
      <c r="BU77" s="340" cm="1">
        <f t="array" aca="1" ref="BU77" ca="1">SUM(IF($B$78:$B$159="",BU$78:BU$159))</f>
        <v>26293.745856609945</v>
      </c>
      <c r="BV77" s="343">
        <f ca="1">IFERROR(BU77/BM$4,0)</f>
        <v>9.2267743624948648E-2</v>
      </c>
      <c r="BW77" s="342"/>
      <c r="BX77" s="331"/>
      <c r="BY77" s="340" cm="1">
        <f t="array" aca="1" ref="BY77" ca="1">SUM(IF($B$78:$B$159="",BY$78:BY$159))</f>
        <v>13180.286700000001</v>
      </c>
      <c r="BZ77" s="343">
        <f t="shared" ca="1" si="2480"/>
        <v>4.6251124536263177E-2</v>
      </c>
      <c r="CA77" s="331"/>
      <c r="CB77" s="331"/>
      <c r="CC77" s="340" cm="1">
        <f t="array" aca="1" ref="CC77" ca="1">SUM(IF($B$78:$B$159="",CC$78:CC$159))</f>
        <v>133290.71021889502</v>
      </c>
      <c r="CD77" s="341">
        <f t="shared" ca="1" si="2524"/>
        <v>0.46773225637505145</v>
      </c>
      <c r="CE77" s="54" t="str">
        <f t="shared" ca="1" si="39"/>
        <v>V</v>
      </c>
      <c r="CF77" s="338"/>
      <c r="CG77" s="339"/>
      <c r="CH77" s="339"/>
      <c r="CI77" s="327"/>
      <c r="CJ77" s="340" cm="1">
        <f t="array" aca="1" ref="CJ77" ca="1">SUM(IF($B$78:$B$159="",CJ$78:CJ$159))</f>
        <v>392153.38672138395</v>
      </c>
      <c r="CK77" s="341">
        <f t="shared" ca="1" si="8"/>
        <v>0.44313141464303207</v>
      </c>
      <c r="CL77" s="342"/>
      <c r="CM77" s="331"/>
      <c r="CN77" s="340" cm="1">
        <f t="array" aca="1" ref="CN77" ca="1">SUM(IF($B$78:$B$159="",CN$78:CN$159))</f>
        <v>103423.97319312405</v>
      </c>
      <c r="CO77" s="343">
        <f ca="1">IFERROR(CN77/CF$4,0)</f>
        <v>0.11686858535696787</v>
      </c>
      <c r="CP77" s="342"/>
      <c r="CQ77" s="331"/>
      <c r="CR77" s="340" cm="1">
        <f t="array" aca="1" ref="CR77" ca="1">SUM(IF($B$78:$B$159="",CR$78:CR$159))</f>
        <v>18411.81825</v>
      </c>
      <c r="CS77" s="343">
        <f t="shared" ca="1" si="9"/>
        <v>2.0805264836510455E-2</v>
      </c>
      <c r="CT77" s="331"/>
      <c r="CU77" s="331"/>
      <c r="CV77" s="340" cm="1">
        <f t="array" aca="1" ref="CV77" ca="1">SUM(IF($B$78:$B$159="",CV$78:CV$159))</f>
        <v>392153.38672138395</v>
      </c>
      <c r="CW77" s="341">
        <f t="shared" ca="1" si="1996"/>
        <v>0.44313141464303207</v>
      </c>
      <c r="CX77" s="53" t="str">
        <f t="shared" ca="1" si="47"/>
        <v>V</v>
      </c>
      <c r="CY77" s="344"/>
      <c r="CZ77" s="339"/>
      <c r="DA77" s="339"/>
      <c r="DB77" s="327"/>
      <c r="DC77" s="340" cm="1">
        <f t="array" aca="1" ref="DC77" ca="1">SUM(IF($B$78:$B$159="",DC$78:DC$159))</f>
        <v>1534841.504510904</v>
      </c>
      <c r="DD77" s="341">
        <f t="shared" ca="1" si="10"/>
        <v>0.42807868706807078</v>
      </c>
      <c r="DE77" s="342"/>
      <c r="DF77" s="331"/>
      <c r="DG77" s="340" cm="1">
        <f t="array" aca="1" ref="DG77" ca="1">SUM(IF($B$78:$B$159="",DG$78:DG$159))</f>
        <v>472993.1961908185</v>
      </c>
      <c r="DH77" s="343">
        <f ca="1">IFERROR(DG77/CY$4,0)</f>
        <v>0.13192131293192921</v>
      </c>
      <c r="DI77" s="342"/>
      <c r="DJ77" s="331"/>
      <c r="DK77" s="340" cm="1">
        <f t="array" aca="1" ref="DK77" ca="1">SUM(IF($B$78:$B$159="",DK$78:DK$159))</f>
        <v>55680.007238400009</v>
      </c>
      <c r="DL77" s="343">
        <f t="shared" ca="1" si="11"/>
        <v>1.5529567270954406E-2</v>
      </c>
      <c r="DM77" s="331"/>
      <c r="DN77" s="331"/>
      <c r="DO77" s="340" cm="1">
        <f t="array" aca="1" ref="DO77" ca="1">SUM(IF($B$78:$B$159="",DO$78:DO$159))</f>
        <v>1590521.5117493041</v>
      </c>
      <c r="DP77" s="341">
        <f t="shared" ca="1" si="2511"/>
        <v>0.44360825433902523</v>
      </c>
      <c r="DQ77" s="52" t="str">
        <f t="shared" ca="1" si="55"/>
        <v>V</v>
      </c>
      <c r="DR77" s="344"/>
      <c r="DS77" s="339"/>
      <c r="DT77" s="339"/>
      <c r="DU77" s="327"/>
      <c r="DV77" s="340" cm="1">
        <f t="array" aca="1" ref="DV77" ca="1">SUM(IF($B$78:$B$159="",DV$78:DV$159))</f>
        <v>205963.268014648</v>
      </c>
      <c r="DW77" s="341">
        <f t="shared" ca="1" si="2497"/>
        <v>0.29349538446756873</v>
      </c>
      <c r="DX77" s="342"/>
      <c r="DY77" s="331"/>
      <c r="DZ77" s="340" cm="1">
        <f t="array" aca="1" ref="DZ77" ca="1">SUM(IF($B$78:$B$159="",DZ$78:DZ$159))</f>
        <v>187022.23087979166</v>
      </c>
      <c r="EA77" s="343">
        <f ca="1">IFERROR(DZ77/DR$4,0)</f>
        <v>0.26650461553243127</v>
      </c>
      <c r="EB77" s="342"/>
      <c r="EC77" s="331"/>
      <c r="ED77" s="340" cm="1">
        <f t="array" aca="1" ref="ED77" ca="1">SUM(IF($B$78:$B$159="",ED$78:ED$159))</f>
        <v>32874.093525503995</v>
      </c>
      <c r="EE77" s="343">
        <f t="shared" ca="1" si="2503"/>
        <v>4.6845220564301876E-2</v>
      </c>
      <c r="EF77" s="331"/>
      <c r="EG77" s="331"/>
      <c r="EH77" s="340" cm="1">
        <f t="array" aca="1" ref="EH77" ca="1">SUM(IF($B$78:$B$159="",EH$78:EH$159))</f>
        <v>210544.068610152</v>
      </c>
      <c r="EI77" s="341">
        <f t="shared" ca="1" si="2513"/>
        <v>0.30002297477484186</v>
      </c>
      <c r="EJ77" s="338"/>
      <c r="EK77" s="339"/>
      <c r="EL77" s="339"/>
      <c r="EM77" s="327"/>
      <c r="EN77" s="340" cm="1">
        <f t="array" aca="1" ref="EN77" ca="1">SUM(IF($B$78:$B$159="",EN$78:EN$159))</f>
        <v>198948.14771935611</v>
      </c>
      <c r="EO77" s="341">
        <f t="shared" ca="1" si="2514"/>
        <v>0.28030806598321723</v>
      </c>
      <c r="EP77" s="342"/>
      <c r="EQ77" s="331"/>
      <c r="ER77" s="340" cm="1">
        <f t="array" aca="1" ref="ER77" ca="1">SUM(IF($B$78:$B$159="",ER$78:ER$159))</f>
        <v>198510.84915984847</v>
      </c>
      <c r="ES77" s="343">
        <f ca="1">IFERROR(ER77/EJ$4,0)</f>
        <v>0.27969193401678272</v>
      </c>
      <c r="ET77" s="342"/>
      <c r="EU77" s="331"/>
      <c r="EV77" s="340" cm="1">
        <f t="array" aca="1" ref="EV77" ca="1">SUM(IF($B$78:$B$159="",EV$78:EV$159))</f>
        <v>0</v>
      </c>
      <c r="EW77" s="343">
        <f t="shared" ca="1" si="2515"/>
        <v>0</v>
      </c>
      <c r="EX77" s="331"/>
      <c r="EY77" s="331"/>
      <c r="EZ77" s="340" cm="1">
        <f t="array" aca="1" ref="EZ77" ca="1">SUM(IF($B$78:$B$159="",EZ$78:EZ$159))</f>
        <v>198948.14771935611</v>
      </c>
      <c r="FA77" s="341">
        <f t="shared" ca="1" si="2526"/>
        <v>0.28030806598321723</v>
      </c>
      <c r="FB77" s="54" t="str">
        <f t="shared" ca="1" si="66"/>
        <v>V</v>
      </c>
      <c r="FC77" s="338"/>
      <c r="FD77" s="339"/>
      <c r="FE77" s="339"/>
      <c r="FF77" s="327"/>
      <c r="FG77" s="340" cm="1">
        <f t="array" aca="1" ref="FG77" ca="1">SUM(IF($B$78:$B$159="",FG$78:FG$159))</f>
        <v>306900.03989700001</v>
      </c>
      <c r="FH77" s="341">
        <f t="shared" ca="1" si="2516"/>
        <v>6.7337677486048894E-2</v>
      </c>
      <c r="FI77" s="342"/>
      <c r="FJ77" s="331"/>
      <c r="FK77" s="340" cm="1">
        <f t="array" aca="1" ref="FK77" ca="1">SUM(IF($B$78:$B$159="",FK$78:FK$159))</f>
        <v>2245371.2702907762</v>
      </c>
      <c r="FL77" s="343">
        <f ca="1">IFERROR(FK77/FC$4,0)</f>
        <v>0.49266232251395087</v>
      </c>
      <c r="FM77" s="342"/>
      <c r="FN77" s="331"/>
      <c r="FO77" s="340" cm="1">
        <f t="array" aca="1" ref="FO77" ca="1">SUM(IF($B$78:$B$159="",FO$78:FO$159))</f>
        <v>0</v>
      </c>
      <c r="FP77" s="343">
        <f t="shared" ca="1" si="2517"/>
        <v>0</v>
      </c>
      <c r="FQ77" s="331"/>
      <c r="FR77" s="331"/>
      <c r="FS77" s="340" cm="1">
        <f t="array" aca="1" ref="FS77" ca="1">SUM(IF($B$78:$B$159="",FS$78:FS$159))</f>
        <v>306900.03989700001</v>
      </c>
      <c r="FT77" s="341">
        <f t="shared" ca="1" si="2528"/>
        <v>6.7337677486048894E-2</v>
      </c>
      <c r="FU77" s="52" t="str">
        <f t="shared" ca="1" si="71"/>
        <v>V</v>
      </c>
    </row>
    <row r="78" spans="1:177" outlineLevel="1" x14ac:dyDescent="0.2">
      <c r="A78" s="345"/>
      <c r="B78" s="345" t="s">
        <v>397</v>
      </c>
      <c r="C78" s="346"/>
      <c r="D78" s="347"/>
      <c r="E78" s="348"/>
      <c r="F78" s="346"/>
      <c r="G78" s="349"/>
      <c r="H78" s="1682"/>
      <c r="I78" s="1682"/>
      <c r="J78" s="1712"/>
      <c r="K78" s="1682"/>
      <c r="L78" s="1682"/>
      <c r="M78" s="345"/>
      <c r="N78" s="350">
        <f>SUM(N$79:N$96)</f>
        <v>0.18</v>
      </c>
      <c r="O78" s="350">
        <f>SUM(O$79:O$96)</f>
        <v>0.1</v>
      </c>
      <c r="P78" s="351">
        <f t="shared" ca="1" si="1539"/>
        <v>0.15520688237010896</v>
      </c>
      <c r="Q78" s="352"/>
      <c r="R78" s="352"/>
      <c r="S78" s="346"/>
      <c r="T78" s="352"/>
      <c r="U78" s="353"/>
      <c r="V78" s="352"/>
      <c r="W78" s="354"/>
      <c r="X78" s="355"/>
      <c r="Y78" s="355"/>
      <c r="Z78" s="356"/>
      <c r="AA78" s="357"/>
      <c r="AB78" s="358"/>
      <c r="AC78" s="358"/>
      <c r="AD78" s="359"/>
      <c r="AE78" s="360">
        <f ca="1">SUM(AE$79:AE$96)</f>
        <v>89240.961601323506</v>
      </c>
      <c r="AF78" s="361">
        <f t="shared" ca="1" si="2506"/>
        <v>0.15893427392517007</v>
      </c>
      <c r="AG78" s="362"/>
      <c r="AH78" s="359"/>
      <c r="AI78" s="360">
        <f ca="1">SUM(AI$79:AI$96)</f>
        <v>11828.321263373373</v>
      </c>
      <c r="AJ78" s="363">
        <f ca="1">IFERROR(AI78/AA$4,0)</f>
        <v>2.1065726074829934E-2</v>
      </c>
      <c r="AK78" s="362"/>
      <c r="AL78" s="359"/>
      <c r="AM78" s="360">
        <f ca="1">SUM(AM$79:AM$96)</f>
        <v>0</v>
      </c>
      <c r="AN78" s="363">
        <f t="shared" ca="1" si="2507"/>
        <v>0</v>
      </c>
      <c r="AO78" s="359"/>
      <c r="AP78" s="359"/>
      <c r="AQ78" s="360">
        <f ca="1">SUM(AQ$79:AQ$96)</f>
        <v>89240.961601323506</v>
      </c>
      <c r="AR78" s="361">
        <f t="shared" ca="1" si="2520"/>
        <v>0.15893427392517007</v>
      </c>
      <c r="AS78" s="364" t="str">
        <f t="shared" ca="1" si="29"/>
        <v>V</v>
      </c>
      <c r="AT78" s="357"/>
      <c r="AU78" s="358"/>
      <c r="AV78" s="358"/>
      <c r="AW78" s="359"/>
      <c r="AX78" s="360">
        <f ca="1">SUM(AX$79:AX$96)</f>
        <v>267649.43479442206</v>
      </c>
      <c r="AY78" s="361">
        <f t="shared" ca="1" si="2508"/>
        <v>0.15454610170041141</v>
      </c>
      <c r="AZ78" s="362"/>
      <c r="BA78" s="359"/>
      <c r="BB78" s="360">
        <f ca="1">SUM(BB$79:BB$96)</f>
        <v>44082.130951488478</v>
      </c>
      <c r="BC78" s="363">
        <f ca="1">IFERROR(BB78/AT$4,0)</f>
        <v>2.545389829958861E-2</v>
      </c>
      <c r="BD78" s="362"/>
      <c r="BE78" s="359"/>
      <c r="BF78" s="360">
        <f ca="1">SUM(BF$79:BF$96)</f>
        <v>0</v>
      </c>
      <c r="BG78" s="363">
        <f t="shared" ca="1" si="2509"/>
        <v>0</v>
      </c>
      <c r="BH78" s="359"/>
      <c r="BI78" s="359"/>
      <c r="BJ78" s="360">
        <f ca="1">SUM(BJ$79:BJ$96)</f>
        <v>267649.43479442206</v>
      </c>
      <c r="BK78" s="361">
        <f t="shared" ca="1" si="2522"/>
        <v>0.15454610170041141</v>
      </c>
      <c r="BL78" s="295" t="str">
        <f t="shared" ca="1" si="34"/>
        <v>V</v>
      </c>
      <c r="BM78" s="357"/>
      <c r="BN78" s="358"/>
      <c r="BO78" s="358"/>
      <c r="BP78" s="359"/>
      <c r="BQ78" s="360">
        <f ca="1">SUM(BQ$79:BQ$96)</f>
        <v>43281.105626543009</v>
      </c>
      <c r="BR78" s="361">
        <f t="shared" ca="1" si="2478"/>
        <v>0.15187832040105786</v>
      </c>
      <c r="BS78" s="362"/>
      <c r="BT78" s="359"/>
      <c r="BU78" s="360">
        <f ca="1">SUM(BU$79:BU$96)</f>
        <v>8013.898112012158</v>
      </c>
      <c r="BV78" s="363">
        <f ca="1">IFERROR(BU78/BM$4,0)</f>
        <v>2.812167959894216E-2</v>
      </c>
      <c r="BW78" s="362"/>
      <c r="BX78" s="359"/>
      <c r="BY78" s="360">
        <f ca="1">SUM(BY$79:BY$96)</f>
        <v>0</v>
      </c>
      <c r="BZ78" s="363">
        <f t="shared" ca="1" si="2480"/>
        <v>0</v>
      </c>
      <c r="CA78" s="359"/>
      <c r="CB78" s="359"/>
      <c r="CC78" s="360">
        <f ca="1">SUM(CC$79:CC$96)</f>
        <v>43281.105626543009</v>
      </c>
      <c r="CD78" s="361">
        <f t="shared" ca="1" si="2524"/>
        <v>0.15187832040105786</v>
      </c>
      <c r="CE78" s="295" t="str">
        <f t="shared" ca="1" si="39"/>
        <v>V</v>
      </c>
      <c r="CF78" s="357"/>
      <c r="CG78" s="358"/>
      <c r="CH78" s="358"/>
      <c r="CI78" s="359"/>
      <c r="CJ78" s="360">
        <f ca="1">SUM(CJ$79:CJ$96)</f>
        <v>132597.21723763601</v>
      </c>
      <c r="CK78" s="361">
        <f t="shared" ca="1" si="8"/>
        <v>0.14983420886274099</v>
      </c>
      <c r="CL78" s="362"/>
      <c r="CM78" s="359"/>
      <c r="CN78" s="360">
        <f ca="1">SUM(CN$79:CN$96)</f>
        <v>26695.505592027293</v>
      </c>
      <c r="CO78" s="363">
        <f ca="1">IFERROR(CN78/CF$4,0)</f>
        <v>3.0165791137259007E-2</v>
      </c>
      <c r="CP78" s="362"/>
      <c r="CQ78" s="359"/>
      <c r="CR78" s="360">
        <f ca="1">SUM(CR$79:CR$96)</f>
        <v>0</v>
      </c>
      <c r="CS78" s="363">
        <f t="shared" ca="1" si="9"/>
        <v>0</v>
      </c>
      <c r="CT78" s="359"/>
      <c r="CU78" s="359"/>
      <c r="CV78" s="360">
        <f ca="1">SUM(CV$79:CV$96)</f>
        <v>132597.21723763601</v>
      </c>
      <c r="CW78" s="361">
        <f t="shared" ca="1" si="1996"/>
        <v>0.14983420886274099</v>
      </c>
      <c r="CX78" s="295" t="str">
        <f t="shared" ca="1" si="47"/>
        <v>V</v>
      </c>
      <c r="CY78" s="357"/>
      <c r="CZ78" s="358"/>
      <c r="DA78" s="359"/>
      <c r="DB78" s="360"/>
      <c r="DC78" s="360">
        <f ca="1">SUM(DC$79:DC$96)</f>
        <v>558810.07264530007</v>
      </c>
      <c r="DD78" s="361">
        <f t="shared" ca="1" si="10"/>
        <v>0.15585627670046751</v>
      </c>
      <c r="DE78" s="362"/>
      <c r="DF78" s="359"/>
      <c r="DG78" s="360">
        <f ca="1">SUM(DG$79:DG$96)</f>
        <v>86565.366865967895</v>
      </c>
      <c r="DH78" s="363">
        <f ca="1">IFERROR(DG78/CY$4,0)</f>
        <v>2.4143723299532488E-2</v>
      </c>
      <c r="DI78" s="362"/>
      <c r="DJ78" s="359"/>
      <c r="DK78" s="360">
        <f ca="1">SUM(DK$79:DK$96)</f>
        <v>55680.007238400009</v>
      </c>
      <c r="DL78" s="363">
        <f t="shared" ca="1" si="11"/>
        <v>1.5529567270954406E-2</v>
      </c>
      <c r="DM78" s="359"/>
      <c r="DN78" s="359"/>
      <c r="DO78" s="360">
        <f ca="1">SUM(DO$79:DO$96)</f>
        <v>614490.07988370012</v>
      </c>
      <c r="DP78" s="361">
        <f t="shared" ca="1" si="2511"/>
        <v>0.17138584397142193</v>
      </c>
      <c r="DQ78" s="364" t="str">
        <f t="shared" ca="1" si="55"/>
        <v>V</v>
      </c>
      <c r="DR78" s="357"/>
      <c r="DS78" s="358"/>
      <c r="DT78" s="359"/>
      <c r="DU78" s="360"/>
      <c r="DV78" s="360">
        <f ca="1">SUM(DV$79:DV$96)</f>
        <v>67595.608787428006</v>
      </c>
      <c r="DW78" s="361">
        <f t="shared" ca="1" si="2497"/>
        <v>9.6322996719854975E-2</v>
      </c>
      <c r="DX78" s="362"/>
      <c r="DY78" s="359"/>
      <c r="DZ78" s="360">
        <f ca="1">SUM(DZ$79:DZ$96)</f>
        <v>58721.158714356185</v>
      </c>
      <c r="EA78" s="363">
        <f ca="1">IFERROR(DZ78/DR$4,0)</f>
        <v>8.3677003280145046E-2</v>
      </c>
      <c r="EB78" s="362"/>
      <c r="EC78" s="359"/>
      <c r="ED78" s="360">
        <f ca="1">SUM(ED$79:ED$96)</f>
        <v>4580.8005955040007</v>
      </c>
      <c r="EE78" s="363">
        <f t="shared" ca="1" si="2503"/>
        <v>6.5275903072731321E-3</v>
      </c>
      <c r="EF78" s="359"/>
      <c r="EG78" s="359"/>
      <c r="EH78" s="360">
        <f ca="1">SUM(EH$79:EH$96)</f>
        <v>72176.409382932005</v>
      </c>
      <c r="EI78" s="361">
        <f t="shared" ca="1" si="2513"/>
        <v>0.1028505870271281</v>
      </c>
      <c r="EJ78" s="357"/>
      <c r="EK78" s="358"/>
      <c r="EL78" s="365"/>
      <c r="EM78" s="359"/>
      <c r="EN78" s="360">
        <f ca="1">SUM(EN$79:EN$96)</f>
        <v>80151.610419708013</v>
      </c>
      <c r="EO78" s="361">
        <f t="shared" ca="1" si="2514"/>
        <v>0.11292964101320335</v>
      </c>
      <c r="EP78" s="362"/>
      <c r="EQ78" s="359"/>
      <c r="ER78" s="360">
        <f ca="1">SUM(ER$79:ER$96)</f>
        <v>47603.067148607763</v>
      </c>
      <c r="ES78" s="363">
        <f ca="1">IFERROR(ER78/EJ$4,0)</f>
        <v>6.7070358986796669E-2</v>
      </c>
      <c r="ET78" s="362"/>
      <c r="EU78" s="359"/>
      <c r="EV78" s="360">
        <f ca="1">SUM(EV$79:EV$96)</f>
        <v>0</v>
      </c>
      <c r="EW78" s="363">
        <f t="shared" ca="1" si="2515"/>
        <v>0</v>
      </c>
      <c r="EX78" s="359"/>
      <c r="EY78" s="359"/>
      <c r="EZ78" s="360">
        <f ca="1">SUM(EZ$79:EZ$96)</f>
        <v>80151.610419708013</v>
      </c>
      <c r="FA78" s="361">
        <f t="shared" ca="1" si="2526"/>
        <v>0.11292964101320335</v>
      </c>
      <c r="FB78" s="295" t="str">
        <f t="shared" ca="1" si="66"/>
        <v>V</v>
      </c>
      <c r="FC78" s="357"/>
      <c r="FD78" s="358"/>
      <c r="FE78" s="358"/>
      <c r="FF78" s="359"/>
      <c r="FG78" s="360">
        <f ca="1">SUM(FG$79:FG$96)</f>
        <v>0</v>
      </c>
      <c r="FH78" s="361">
        <f t="shared" ca="1" si="2516"/>
        <v>0</v>
      </c>
      <c r="FI78" s="362"/>
      <c r="FJ78" s="359"/>
      <c r="FK78" s="360">
        <f ca="1">SUM(FK$79:FK$96)</f>
        <v>820372.92113178549</v>
      </c>
      <c r="FL78" s="363">
        <f ca="1">IFERROR(FK78/FC$4,0)</f>
        <v>0.18</v>
      </c>
      <c r="FM78" s="362"/>
      <c r="FN78" s="359"/>
      <c r="FO78" s="360">
        <f ca="1">SUM(FO$79:FO$96)</f>
        <v>0</v>
      </c>
      <c r="FP78" s="363">
        <f t="shared" ca="1" si="2517"/>
        <v>0</v>
      </c>
      <c r="FQ78" s="359"/>
      <c r="FR78" s="359"/>
      <c r="FS78" s="360">
        <f ca="1">SUM(FS$79:FS$96)</f>
        <v>0</v>
      </c>
      <c r="FT78" s="361">
        <f t="shared" ca="1" si="2528"/>
        <v>0</v>
      </c>
      <c r="FU78" s="364" t="str">
        <f t="shared" ca="1" si="71"/>
        <v/>
      </c>
    </row>
    <row r="79" spans="1:177" outlineLevel="2" x14ac:dyDescent="0.2">
      <c r="A79" s="366"/>
      <c r="B79" s="366"/>
      <c r="C79" s="367" t="str">
        <f t="shared" ref="C79:E80" ca="1" si="2529">OFFSET(Origine,MATCH($F79,Descrizioni,0),MATCH(C$15,Intestazioni,0)-1,1,1)</f>
        <v>CH1169360919:CHF</v>
      </c>
      <c r="D79" s="368" t="str">
        <f t="shared" ca="1" si="2529"/>
        <v>CH1169360919</v>
      </c>
      <c r="E79" s="369" t="str">
        <f t="shared" ca="1" si="2529"/>
        <v>116936091</v>
      </c>
      <c r="F79" s="390" t="s">
        <v>4411</v>
      </c>
      <c r="G79" s="371"/>
      <c r="H79" s="1713" t="str">
        <f t="shared" ref="H79:H96" ca="1" si="2530">IF(OFFSET(Origine,MATCH($F79,Descrizioni,0),MATCH(H$15,Intestazioni,0)-1,1,1)&lt;&gt;"",HYPERLINK(OFFSET(Origine,MATCH($F79,Descrizioni,0),MATCH(H$15,Intestazioni,0)-1,1,1),""),"")</f>
        <v></v>
      </c>
      <c r="I79" s="1683" t="str">
        <f ca="1">IF(OFFSET(Origine,MATCH($F79,Descrizioni,0),MATCH(I$15,Intestazioni,0)-1,1,1)&lt;&gt;"",HYPERLINK(OFFSET(Origine,MATCH($F79,Descrizioni,0),MATCH(I$15,Intestazioni,0)-1,1,1),"i"),"")</f>
        <v/>
      </c>
      <c r="J79" s="1713" t="str">
        <f t="shared" ref="J79:K80" ca="1" si="2531">IF(OFFSET(Origine,MATCH($F79,Descrizioni,0),MATCH(J$15,Intestazioni,0)-1,1,1)&lt;&gt;"",HYPERLINK(OFFSET(Origine,MATCH($F79,Descrizioni,0),MATCH(J$15,Intestazioni,0)-1,1,1),""),"")</f>
        <v/>
      </c>
      <c r="K79" s="1714" t="str">
        <f t="shared" ca="1" si="2531"/>
        <v/>
      </c>
      <c r="L79" s="1715" t="str">
        <f ca="1">IF(OFFSET(Origine,MATCH($F79,Descrizioni,0),MATCH(L$15,Intestazioni,0)-1,1,1)&lt;&gt;"",HYPERLINK("https://www.zonebourse.com/mods_a/charts/TV/inc_dyna_graph.php?c="&amp;OFFSET(Origine,MATCH($F79,Descrizioni,0),MATCH(L$15,Intestazioni,0)-1,1,1)&amp;"&amp;style=TradingView.CANDLES&amp;showAT=1",""),"")</f>
        <v/>
      </c>
      <c r="M79" s="366" t="str">
        <f ca="1">(OFFSET(Origine,MATCH($F79,Descrizioni,0),MATCH(M$15,Intestazioni,0)-1,1,1))</f>
        <v>Unit</v>
      </c>
      <c r="N79" s="372">
        <v>1.4999999999999999E-2</v>
      </c>
      <c r="O79" s="372"/>
      <c r="P79" s="373">
        <f t="shared" ref="P79:P111" ca="1" si="2532">SUMIF($AA$15:$CD$15,"I_Ctrlv",$AA79:$CD79)/$Q$2</f>
        <v>1.4805143934062241E-2</v>
      </c>
      <c r="Q79" s="374">
        <f t="array" aca="1" ref="Q79" ca="1">SUM(IF($AA$15:$FT$15="I_pos",AA79:FT79))</f>
        <v>1555</v>
      </c>
      <c r="R79" s="374">
        <f t="array" aca="1" ref="R79" ca="1">SUM(IF($AA$15:$FT$15="P_Pos",AA79:FT79))</f>
        <v>1181.7531841566565</v>
      </c>
      <c r="S79" s="367"/>
      <c r="T79" s="374"/>
      <c r="U79" s="375">
        <f ca="1">OFFSET(Origine,MATCH($F79,Descrizioni,0),MATCH(U$15,Intestazioni,0)-1,1,1)</f>
        <v>-2.66030013642564E-2</v>
      </c>
      <c r="V79" s="374">
        <f t="array" aca="1" ref="V79" ca="1">SUM(IF($AA$15:$FT$15="O_Pos",AA79:FT79))</f>
        <v>0</v>
      </c>
      <c r="W79" s="367" t="str">
        <f ca="1">OFFSET(Origine,MATCH($F79,Descrizioni,0),MATCH(W$15,Intestazioni,0)-1,1,1)</f>
        <v>CHF</v>
      </c>
      <c r="X79" s="376">
        <f t="shared" ref="X79:X84" ca="1" si="2533">_xlfn.NUMBERVALUE(OFFSET(Origine,MATCH($F79,Descrizioni,0),MATCH(X$15,Intestazioni,0)-1,1,1))</f>
        <v>71.349999999999994</v>
      </c>
      <c r="Y79" s="377">
        <f ca="1">_xlfn.NUMBERVALUE(OFFSET(Origine,MATCH($F79,Descrizioni,0),MATCH(Y$15,Intestazioni,0)-1,1,1))</f>
        <v>1.751927E-2</v>
      </c>
      <c r="Z79" s="378">
        <f t="shared" ref="Z79" ca="1" si="2534">_xlfn.NUMBERVALUE(OFFSET(Origine,MATCH(W79&amp;"/"&amp;MRif,LUKB_Name,0),MATCH("Price",Intestazioni,0)-1,1,1))</f>
        <v>1.0000001300000001</v>
      </c>
      <c r="AA79" s="214">
        <f>115</f>
        <v>115</v>
      </c>
      <c r="AB79" s="379">
        <f ca="1">IFERROR($X79/AC79-1,"")</f>
        <v>-1.8873113548076637E-2</v>
      </c>
      <c r="AC79" s="380">
        <v>72.722499999999997</v>
      </c>
      <c r="AD79" s="381">
        <f ca="1">AA79*$X79</f>
        <v>8205.25</v>
      </c>
      <c r="AE79" s="381">
        <f ca="1">AD79*$Z79</f>
        <v>8205.2510666825001</v>
      </c>
      <c r="AF79" s="382">
        <f ca="1">IFERROR(AE79/AA$4,0)</f>
        <v>1.4613195524302482E-2</v>
      </c>
      <c r="AG79" s="202">
        <f ca="1">AH79/$X79</f>
        <v>3.0439964093574057</v>
      </c>
      <c r="AH79" s="383">
        <f ca="1">AI79/$Z79</f>
        <v>217.18914380765088</v>
      </c>
      <c r="AI79" s="383">
        <f ca="1">AJ79*AA$4</f>
        <v>217.18917204223959</v>
      </c>
      <c r="AJ79" s="204">
        <f t="shared" ref="AJ79:AJ96" ca="1" si="2535">IF(AA$6&lt;&gt;"",$O79,$N79)-AF79</f>
        <v>3.8680447569751711E-4</v>
      </c>
      <c r="AK79" s="205"/>
      <c r="AL79" s="384">
        <f ca="1">AK79*$X79</f>
        <v>0</v>
      </c>
      <c r="AM79" s="384">
        <f ca="1">AL79*$Z79</f>
        <v>0</v>
      </c>
      <c r="AN79" s="207">
        <f ca="1">IFERROR(AM79/AA$4,0)</f>
        <v>0</v>
      </c>
      <c r="AO79" s="374">
        <f t="shared" ref="AO79" si="2536">AA79+AK79</f>
        <v>115</v>
      </c>
      <c r="AP79" s="374">
        <f ca="1">AD79+IF($T79 ="",AL79,0)</f>
        <v>8205.25</v>
      </c>
      <c r="AQ79" s="374">
        <f ca="1">AP79*$Z79</f>
        <v>8205.2510666825001</v>
      </c>
      <c r="AR79" s="385">
        <f ca="1">IFERROR(AQ79/AA$4,0)</f>
        <v>1.4613195524302482E-2</v>
      </c>
      <c r="AS79" s="386" t="str">
        <f ca="1">IF(SUM(AF79,AN79,AR79)&lt;&gt;0,"V","")</f>
        <v>V</v>
      </c>
      <c r="AT79" s="214">
        <f>360</f>
        <v>360</v>
      </c>
      <c r="AU79" s="379">
        <f ca="1">IFERROR($X79/AV79-1,"")</f>
        <v>-1.8873113548076637E-2</v>
      </c>
      <c r="AV79" s="380">
        <v>72.722499999999997</v>
      </c>
      <c r="AW79" s="381">
        <f ca="1">AT79*$X79</f>
        <v>25685.999999999996</v>
      </c>
      <c r="AX79" s="381">
        <f ca="1">AW79*$Z79</f>
        <v>25686.003339179999</v>
      </c>
      <c r="AY79" s="382">
        <f ca="1">IFERROR(AX79/AT$4,0)</f>
        <v>1.4831608695094279E-2</v>
      </c>
      <c r="AZ79" s="202">
        <f ca="1">BA79/$X79</f>
        <v>4.0872754272508915</v>
      </c>
      <c r="BA79" s="383">
        <f ca="1">BB79/$Z79</f>
        <v>291.62710173435107</v>
      </c>
      <c r="BB79" s="383">
        <f ca="1">BC79*AT$4</f>
        <v>291.62713964587431</v>
      </c>
      <c r="BC79" s="204">
        <f t="shared" ref="BC79:BC96" ca="1" si="2537">IF(AT$6&lt;&gt;"",$O79,$N79)-AY79</f>
        <v>1.6839130490572084E-4</v>
      </c>
      <c r="BD79" s="205"/>
      <c r="BE79" s="384">
        <f ca="1">BD79*$X79</f>
        <v>0</v>
      </c>
      <c r="BF79" s="384">
        <f ca="1">BE79*$Z79</f>
        <v>0</v>
      </c>
      <c r="BG79" s="207">
        <f ca="1">IFERROR(BF79/AT$4,0)</f>
        <v>0</v>
      </c>
      <c r="BH79" s="374">
        <f t="shared" ref="BH79" si="2538">AT79+BD79</f>
        <v>360</v>
      </c>
      <c r="BI79" s="374">
        <f ca="1">AW79+IF($T79 ="",BE79,0)</f>
        <v>25685.999999999996</v>
      </c>
      <c r="BJ79" s="374">
        <f ca="1">BI79*$Z79</f>
        <v>25686.003339179999</v>
      </c>
      <c r="BK79" s="385">
        <f ca="1">IFERROR(BJ79/AT$4,0)</f>
        <v>1.4831608695094279E-2</v>
      </c>
      <c r="BL79" s="387" t="str">
        <f ca="1">IF(SUM(AY79,BG79,BK79)&lt;&gt;0,"V","")</f>
        <v>V</v>
      </c>
      <c r="BM79" s="214">
        <f>60</f>
        <v>60</v>
      </c>
      <c r="BN79" s="379">
        <f ca="1">IFERROR($X79/BO79-1,"")</f>
        <v>-1.8873113548076637E-2</v>
      </c>
      <c r="BO79" s="380">
        <v>72.722499999999997</v>
      </c>
      <c r="BP79" s="381">
        <f t="shared" ref="BP79" ca="1" si="2539">BM79*$X79</f>
        <v>4281</v>
      </c>
      <c r="BQ79" s="381">
        <f ca="1">BP79*$Z79</f>
        <v>4281.0005565300007</v>
      </c>
      <c r="BR79" s="382">
        <f t="shared" ca="1" si="2478"/>
        <v>1.5022517672539022E-2</v>
      </c>
      <c r="BS79" s="202">
        <f ca="1">BT79/$X79</f>
        <v>-8.9935680675621146E-2</v>
      </c>
      <c r="BT79" s="383">
        <f ca="1">BU79/$Z79</f>
        <v>-6.4169108162055686</v>
      </c>
      <c r="BU79" s="383">
        <f t="shared" ref="BU79" ca="1" si="2540">BV79*BM$4</f>
        <v>-6.4169116504039749</v>
      </c>
      <c r="BV79" s="204">
        <f t="shared" ref="BV79:BV96" ca="1" si="2541">IF(BM$6&lt;&gt;"",$O79,$N79)-BR79</f>
        <v>-2.2517672539022413E-5</v>
      </c>
      <c r="BW79" s="205"/>
      <c r="BX79" s="384">
        <f ca="1">BW79*$X79</f>
        <v>0</v>
      </c>
      <c r="BY79" s="384">
        <f ca="1">BX79*$Z79</f>
        <v>0</v>
      </c>
      <c r="BZ79" s="207">
        <f t="shared" ca="1" si="2480"/>
        <v>0</v>
      </c>
      <c r="CA79" s="374">
        <f t="shared" ref="CA79" si="2542">BM79+BW79</f>
        <v>60</v>
      </c>
      <c r="CB79" s="374">
        <f ca="1">BP79+IF($T79 ="",BX79,0)</f>
        <v>4281</v>
      </c>
      <c r="CC79" s="374">
        <f ca="1">CB79*$Z79</f>
        <v>4281.0005565300007</v>
      </c>
      <c r="CD79" s="385">
        <f t="shared" ca="1" si="2524"/>
        <v>1.5022517672539022E-2</v>
      </c>
      <c r="CE79" s="388" t="str">
        <f ca="1">IF(SUM(BR79,BZ79,CD79)&lt;&gt;0,"V","")</f>
        <v>V</v>
      </c>
      <c r="CF79" s="214">
        <f>180</f>
        <v>180</v>
      </c>
      <c r="CG79" s="379">
        <f ca="1">IFERROR($X79/CH79-1,"")</f>
        <v>-1.8873113548076637E-2</v>
      </c>
      <c r="CH79" s="380">
        <v>72.722499999999997</v>
      </c>
      <c r="CI79" s="381">
        <f ca="1">CF79*$X79</f>
        <v>12842.999999999998</v>
      </c>
      <c r="CJ79" s="381">
        <f ca="1">CI79*$Z79</f>
        <v>12843.001669589999</v>
      </c>
      <c r="CK79" s="382">
        <f ca="1">IFERROR(CJ79/CF$4,0)</f>
        <v>1.4512529257210426E-2</v>
      </c>
      <c r="CL79" s="202">
        <f ca="1">CM79/$X79</f>
        <v>6.0461365587620044</v>
      </c>
      <c r="CM79" s="383">
        <f ca="1">CN79/$Z79</f>
        <v>431.39184346766899</v>
      </c>
      <c r="CN79" s="383">
        <f ca="1">CO79*CF$4</f>
        <v>431.39189954860871</v>
      </c>
      <c r="CO79" s="204">
        <f t="shared" ref="CO79:CO96" ca="1" si="2543">IF(CF$6&lt;&gt;"",$O79,$N79)-CK79</f>
        <v>4.8747074278957317E-4</v>
      </c>
      <c r="CP79" s="205"/>
      <c r="CQ79" s="384">
        <f ca="1">CP79*$X79</f>
        <v>0</v>
      </c>
      <c r="CR79" s="384">
        <f ca="1">CQ79*$Z79</f>
        <v>0</v>
      </c>
      <c r="CS79" s="207">
        <f ca="1">IFERROR(CR79/CF$4,0)</f>
        <v>0</v>
      </c>
      <c r="CT79" s="374">
        <f t="shared" ref="CT79" si="2544">CF79+CP79</f>
        <v>180</v>
      </c>
      <c r="CU79" s="374">
        <f ca="1">CI79+IF($T79 ="",CQ79,0)</f>
        <v>12842.999999999998</v>
      </c>
      <c r="CV79" s="374">
        <f ca="1">CU79*$Z79</f>
        <v>12843.001669589999</v>
      </c>
      <c r="CW79" s="385">
        <f ca="1">IFERROR(CV79/CF$4,0)</f>
        <v>1.4512529257210426E-2</v>
      </c>
      <c r="CX79" s="387" t="str">
        <f ca="1">IF(SUM(CK79,CS79,CW79)&lt;&gt;0,"V","")</f>
        <v>V</v>
      </c>
      <c r="CY79" s="197">
        <f>740</f>
        <v>740</v>
      </c>
      <c r="CZ79" s="379">
        <f ca="1">IFERROR($X79/DA79-1,"")</f>
        <v>-1.8873113548076637E-2</v>
      </c>
      <c r="DA79" s="380">
        <v>72.722499999999997</v>
      </c>
      <c r="DB79" s="381">
        <f ca="1">CY79*$X79</f>
        <v>52798.999999999993</v>
      </c>
      <c r="DC79" s="381">
        <f ca="1">DB79*$Z79</f>
        <v>52799.006863869996</v>
      </c>
      <c r="DD79" s="382">
        <f ca="1">IFERROR(DC79/CY$4,0)</f>
        <v>1.4726034883964106E-2</v>
      </c>
      <c r="DE79" s="202">
        <f ca="1">DF79/$X79</f>
        <v>13.767058645727399</v>
      </c>
      <c r="DF79" s="383">
        <f ca="1">DG79/$Z79</f>
        <v>982.27963437264987</v>
      </c>
      <c r="DG79" s="383">
        <f ca="1">DH79*CY$4</f>
        <v>982.27976206900246</v>
      </c>
      <c r="DH79" s="204">
        <f t="shared" ref="DH79:DH96" ca="1" si="2545">IF(CY$6&lt;&gt;"",$O79,$N79)-DD79</f>
        <v>2.7396511603589371E-4</v>
      </c>
      <c r="DI79" s="205"/>
      <c r="DJ79" s="384">
        <f ca="1">DI79*$X79</f>
        <v>0</v>
      </c>
      <c r="DK79" s="384">
        <f ca="1">DJ79*$Z79</f>
        <v>0</v>
      </c>
      <c r="DL79" s="207">
        <f ca="1">IFERROR(DK79/CY$4,0)</f>
        <v>0</v>
      </c>
      <c r="DM79" s="374">
        <f>CY79+DI79</f>
        <v>740</v>
      </c>
      <c r="DN79" s="374">
        <f ca="1">DB79+IF($T79 ="",DJ79,0)</f>
        <v>52798.999999999993</v>
      </c>
      <c r="DO79" s="374">
        <f ca="1">DN79*$Z79</f>
        <v>52799.006863869996</v>
      </c>
      <c r="DP79" s="385">
        <f ca="1">IFERROR(DO79/CY$4,0)</f>
        <v>1.4726034883964106E-2</v>
      </c>
      <c r="DQ79" s="386" t="str">
        <f ca="1">IF(SUM(DD79,DL79,DP79)&lt;&gt;0,"V","")</f>
        <v>V</v>
      </c>
      <c r="DR79" s="197">
        <f>100</f>
        <v>100</v>
      </c>
      <c r="DS79" s="379">
        <f ca="1">IFERROR($X79/DT79-1,"")</f>
        <v>-1.8873113548076637E-2</v>
      </c>
      <c r="DT79" s="380">
        <v>72.722499999999997</v>
      </c>
      <c r="DU79" s="381">
        <f ca="1">DR79*$X79</f>
        <v>7134.9999999999991</v>
      </c>
      <c r="DV79" s="381">
        <f ca="1">DU79*$Z79</f>
        <v>7135.0009275499997</v>
      </c>
      <c r="DW79" s="382">
        <f ca="1">IFERROR(DV79/DR$4,0)</f>
        <v>1.0167297599195289E-2</v>
      </c>
      <c r="DX79" s="202">
        <f ca="1">DY79/$X79</f>
        <v>47.531827938106218</v>
      </c>
      <c r="DY79" s="383">
        <f ca="1">DZ79/$Z79</f>
        <v>3391.3959233838787</v>
      </c>
      <c r="DZ79" s="383">
        <f ca="1">EA79*DR$4</f>
        <v>3391.3963642653489</v>
      </c>
      <c r="EA79" s="204">
        <f t="shared" ref="EA79:EA96" ca="1" si="2546">IF(DR$6&lt;&gt;"",$O79,$N79)-DW79</f>
        <v>4.8327024008047101E-3</v>
      </c>
      <c r="EB79" s="205"/>
      <c r="EC79" s="384">
        <f ca="1">EB79*$X79</f>
        <v>0</v>
      </c>
      <c r="ED79" s="384">
        <f ca="1">EC79*$Z79</f>
        <v>0</v>
      </c>
      <c r="EE79" s="207">
        <f ca="1">IFERROR(ED79/DR$4,0)</f>
        <v>0</v>
      </c>
      <c r="EF79" s="374">
        <f>DR79+EB79</f>
        <v>100</v>
      </c>
      <c r="EG79" s="374">
        <f ca="1">DU79+IF($T79 ="",EC79,0)</f>
        <v>7134.9999999999991</v>
      </c>
      <c r="EH79" s="374">
        <f ca="1">EG79*$Z79</f>
        <v>7135.0009275499997</v>
      </c>
      <c r="EI79" s="385">
        <f ca="1">IFERROR(EH79/DR$4,0)</f>
        <v>1.0167297599195289E-2</v>
      </c>
      <c r="EJ79" s="214"/>
      <c r="EK79" s="379" t="str">
        <f ca="1">IFERROR($X79/EL79-1,"")</f>
        <v/>
      </c>
      <c r="EL79" s="380"/>
      <c r="EM79" s="381">
        <f ca="1">EJ79*$X79</f>
        <v>0</v>
      </c>
      <c r="EN79" s="381">
        <f ca="1">EM79*$Z79</f>
        <v>0</v>
      </c>
      <c r="EO79" s="382">
        <f ca="1">IFERROR(EN79/EJ$4,0)</f>
        <v>0</v>
      </c>
      <c r="EP79" s="202">
        <f ca="1">EQ79/$X79</f>
        <v>149.21123681407363</v>
      </c>
      <c r="EQ79" s="383">
        <f ca="1">ER79/$Z79</f>
        <v>10646.221746684152</v>
      </c>
      <c r="ER79" s="383">
        <f ca="1">ES79*EJ$4</f>
        <v>10646.223130692981</v>
      </c>
      <c r="ES79" s="204">
        <f t="shared" ref="ES79:ES96" ca="1" si="2547">IF(EJ$6&lt;&gt;"",$O79,$N79)-EO79</f>
        <v>1.4999999999999999E-2</v>
      </c>
      <c r="ET79" s="205"/>
      <c r="EU79" s="384">
        <f ca="1">ET79*$X79</f>
        <v>0</v>
      </c>
      <c r="EV79" s="384">
        <f ca="1">EU79*$Z79</f>
        <v>0</v>
      </c>
      <c r="EW79" s="207">
        <f ca="1">IFERROR(EV79/EJ$4,0)</f>
        <v>0</v>
      </c>
      <c r="EX79" s="374">
        <f t="shared" ref="EX79" si="2548">EJ79+ET79</f>
        <v>0</v>
      </c>
      <c r="EY79" s="374">
        <f ca="1">EM79+IF($T79 ="",EU79,0)</f>
        <v>0</v>
      </c>
      <c r="EZ79" s="374">
        <f ca="1">EY79*$Z79</f>
        <v>0</v>
      </c>
      <c r="FA79" s="385">
        <f ca="1">IFERROR(EZ79/EJ$4,0)</f>
        <v>0</v>
      </c>
      <c r="FB79" s="388" t="str">
        <f ca="1">IF(SUM(EO79,EW79,FA79)&lt;&gt;0,"V","")</f>
        <v/>
      </c>
      <c r="FC79" s="214"/>
      <c r="FD79" s="379" t="str">
        <f ca="1">IFERROR($X79/FE79-1,"")</f>
        <v/>
      </c>
      <c r="FE79" s="389"/>
      <c r="FF79" s="381">
        <f ca="1">FC79*$X79</f>
        <v>0</v>
      </c>
      <c r="FG79" s="381">
        <f ca="1">FF79*$Z79</f>
        <v>0</v>
      </c>
      <c r="FH79" s="382">
        <f ca="1">IFERROR(FG79/FC$4,0)</f>
        <v>0</v>
      </c>
      <c r="FI79" s="202">
        <f ca="1">FJ79/$X79</f>
        <v>958.15558804405464</v>
      </c>
      <c r="FJ79" s="383">
        <f ca="1">FK79/$Z79</f>
        <v>68364.401206943294</v>
      </c>
      <c r="FK79" s="383">
        <f ca="1">FL79*FC$4</f>
        <v>68364.410094315463</v>
      </c>
      <c r="FL79" s="204">
        <f t="shared" ref="FL79:FL96" ca="1" si="2549">IF(FC$6&lt;&gt;"",$O79,$N79)-FH79</f>
        <v>1.4999999999999999E-2</v>
      </c>
      <c r="FM79" s="205"/>
      <c r="FN79" s="384">
        <f ca="1">FM79*$X79</f>
        <v>0</v>
      </c>
      <c r="FO79" s="384">
        <f ca="1">FN79*$Z79</f>
        <v>0</v>
      </c>
      <c r="FP79" s="207">
        <f ca="1">IFERROR(FO79/FC$4,0)</f>
        <v>0</v>
      </c>
      <c r="FQ79" s="374">
        <f t="shared" ref="FQ79" si="2550">FC79+FM79</f>
        <v>0</v>
      </c>
      <c r="FR79" s="374">
        <f ca="1">FF79+IF($T79 ="",FN79,0)</f>
        <v>0</v>
      </c>
      <c r="FS79" s="374">
        <f ca="1">FR79*$Z79</f>
        <v>0</v>
      </c>
      <c r="FT79" s="385">
        <f ca="1">IFERROR(FS79/FC$4,0)</f>
        <v>0</v>
      </c>
      <c r="FU79" s="386" t="str">
        <f ca="1">IF(SUM(FH79,FP79,FT79)&lt;&gt;0,"V","")</f>
        <v/>
      </c>
    </row>
    <row r="80" spans="1:177" outlineLevel="2" x14ac:dyDescent="0.2">
      <c r="A80" s="366"/>
      <c r="B80" s="366"/>
      <c r="C80" s="367" t="str">
        <f t="shared" ca="1" si="2529"/>
        <v>CH0009002962:CHF:P</v>
      </c>
      <c r="D80" s="368" t="str">
        <f t="shared" ca="1" si="2529"/>
        <v>CH0009002962</v>
      </c>
      <c r="E80" s="369" t="str">
        <f t="shared" ca="1" si="2529"/>
        <v>900296</v>
      </c>
      <c r="F80" s="390" t="s">
        <v>476</v>
      </c>
      <c r="G80" s="371"/>
      <c r="H80" s="1713" t="str">
        <f t="shared" ca="1" si="2530"/>
        <v></v>
      </c>
      <c r="I80" s="1683" t="str">
        <f ca="1">IF(OFFSET(Origine,MATCH($F80,Descrizioni,0),MATCH(I$15,Intestazioni,0)-1,1,1)&lt;&gt;"",HYPERLINK(OFFSET(Origine,MATCH($F80,Descrizioni,0),MATCH(I$15,Intestazioni,0)-1,1,1),"i"),"")</f>
        <v/>
      </c>
      <c r="J80" s="1713" t="str">
        <f t="shared" ca="1" si="2531"/>
        <v/>
      </c>
      <c r="K80" s="1714" t="str">
        <f t="shared" ca="1" si="2531"/>
        <v/>
      </c>
      <c r="L80" s="1715" t="str">
        <f ca="1">IF(OFFSET(Origine,MATCH($F80,Descrizioni,0),MATCH(L$15,Intestazioni,0)-1,1,1)&lt;&gt;"",HYPERLINK("https://www.zonebourse.com/mods_a/charts/TV/inc_dyna_graph.php?c="&amp;OFFSET(Origine,MATCH($F80,Descrizioni,0),MATCH(L$15,Intestazioni,0)-1,1,1)&amp;"&amp;style=TradingView.CANDLES&amp;showAT=1",""),"")</f>
        <v/>
      </c>
      <c r="M80" s="366" t="str">
        <f ca="1">(OFFSET(Origine,MATCH($F80,Descrizioni,0),MATCH(M$15,Intestazioni,0)-1,1,1))</f>
        <v>Unit</v>
      </c>
      <c r="N80" s="372">
        <v>1.4999999999999999E-2</v>
      </c>
      <c r="O80" s="372"/>
      <c r="P80" s="373">
        <f t="shared" ca="1" si="2532"/>
        <v>0</v>
      </c>
      <c r="Q80" s="374">
        <f t="array" aca="1" ref="Q80" ca="1">SUM(IF($AA$15:$FT$15="I_pos",AA80:FT80))</f>
        <v>8</v>
      </c>
      <c r="R80" s="374">
        <f t="array" aca="1" ref="R80" ca="1">SUM(IF($AA$15:$FT$15="P_Pos",AA80:FT80))</f>
        <v>132.27826127124814</v>
      </c>
      <c r="S80" s="367"/>
      <c r="T80" s="374"/>
      <c r="U80" s="375">
        <f ca="1">OFFSET(Origine,MATCH($F80,Descrizioni,0),MATCH(U$15,Intestazioni,0)-1,1,1)</f>
        <v>-2.1505376344086997E-3</v>
      </c>
      <c r="V80" s="374">
        <f t="array" aca="1" ref="V80" ca="1">SUM(IF($AA$15:$FT$15="O_Pos",AA80:FT80))</f>
        <v>40</v>
      </c>
      <c r="W80" s="367" t="str">
        <f ca="1">OFFSET(Origine,MATCH($F80,Descrizioni,0),MATCH(W$15,Intestazioni,0)-1,1,1)</f>
        <v>CHF</v>
      </c>
      <c r="X80" s="376">
        <f t="shared" ca="1" si="2533"/>
        <v>1392</v>
      </c>
      <c r="Y80" s="377">
        <f ca="1">_xlfn.NUMBERVALUE(OFFSET(Origine,MATCH($F80,Descrizioni,0),MATCH(Y$15,Intestazioni,0)-1,1,1))</f>
        <v>2.0833330000000001E-2</v>
      </c>
      <c r="Z80" s="378">
        <f t="shared" ref="Z80" ca="1" si="2551">_xlfn.NUMBERVALUE(OFFSET(Origine,MATCH(W80&amp;"/"&amp;MRif,LUKB_Name,0),MATCH("Price",Intestazioni,0)-1,1,1))</f>
        <v>1.0000001300000001</v>
      </c>
      <c r="AA80" s="214"/>
      <c r="AB80" s="379" t="str">
        <f ca="1">IFERROR($X80/AC80-1,"")</f>
        <v/>
      </c>
      <c r="AC80" s="380"/>
      <c r="AD80" s="381">
        <f ca="1">AA80*$X80</f>
        <v>0</v>
      </c>
      <c r="AE80" s="381">
        <f ca="1">AD80*$Z80</f>
        <v>0</v>
      </c>
      <c r="AF80" s="382">
        <f ca="1">IFERROR(AE80/AA$4,0)</f>
        <v>0</v>
      </c>
      <c r="AG80" s="202">
        <f ca="1">AH80/$X80</f>
        <v>6.0506028331951498</v>
      </c>
      <c r="AH80" s="383">
        <f ca="1">AI80/$Z80</f>
        <v>8422.4391438076491</v>
      </c>
      <c r="AI80" s="383">
        <f ca="1">AJ80*AA$4</f>
        <v>8422.4402387247392</v>
      </c>
      <c r="AJ80" s="204">
        <f t="shared" ref="AJ80" ca="1" si="2552">IF(AA$6&lt;&gt;"",$O80,$N80)-AF80</f>
        <v>1.4999999999999999E-2</v>
      </c>
      <c r="AK80" s="205"/>
      <c r="AL80" s="384">
        <f ca="1">AK80*$X80</f>
        <v>0</v>
      </c>
      <c r="AM80" s="384">
        <f ca="1">AL80*$Z80</f>
        <v>0</v>
      </c>
      <c r="AN80" s="207">
        <f ca="1">IFERROR(AM80/AA$4,0)</f>
        <v>0</v>
      </c>
      <c r="AO80" s="374">
        <f t="shared" ref="AO80" si="2553">AA80+AK80</f>
        <v>0</v>
      </c>
      <c r="AP80" s="374">
        <f ca="1">AD80+IF($T80 ="",AL80,0)</f>
        <v>0</v>
      </c>
      <c r="AQ80" s="374">
        <f ca="1">AP80*$Z80</f>
        <v>0</v>
      </c>
      <c r="AR80" s="385">
        <f ca="1">IFERROR(AQ80/AA$4,0)</f>
        <v>0</v>
      </c>
      <c r="AS80" s="386" t="str">
        <f ca="1">IF(SUM(AF80,AN80,AR80)&lt;&gt;0,"V","")</f>
        <v/>
      </c>
      <c r="AT80" s="214"/>
      <c r="AU80" s="379" t="str">
        <f ca="1">IFERROR($X80/AV80-1,"")</f>
        <v/>
      </c>
      <c r="AV80" s="380"/>
      <c r="AW80" s="381">
        <f ca="1">AT80*$X80</f>
        <v>0</v>
      </c>
      <c r="AX80" s="381">
        <f ca="1">AW80*$Z80</f>
        <v>0</v>
      </c>
      <c r="AY80" s="382">
        <f ca="1">IFERROR(AX80/AT$4,0)</f>
        <v>0</v>
      </c>
      <c r="AZ80" s="202">
        <f ca="1">BA80/$X80</f>
        <v>18.662088435153986</v>
      </c>
      <c r="BA80" s="383">
        <f ca="1">BB80/$Z80</f>
        <v>25977.62710173435</v>
      </c>
      <c r="BB80" s="383">
        <f ca="1">BC80*AT$4</f>
        <v>25977.630478825875</v>
      </c>
      <c r="BC80" s="204">
        <f t="shared" ref="BC80" ca="1" si="2554">IF(AT$6&lt;&gt;"",$O80,$N80)-AY80</f>
        <v>1.4999999999999999E-2</v>
      </c>
      <c r="BD80" s="205"/>
      <c r="BE80" s="384">
        <f ca="1">BD80*$X80</f>
        <v>0</v>
      </c>
      <c r="BF80" s="384">
        <f ca="1">BE80*$Z80</f>
        <v>0</v>
      </c>
      <c r="BG80" s="207">
        <f ca="1">IFERROR(BF80/AT$4,0)</f>
        <v>0</v>
      </c>
      <c r="BH80" s="374">
        <f t="shared" ref="BH80" si="2555">AT80+BD80</f>
        <v>0</v>
      </c>
      <c r="BI80" s="374">
        <f ca="1">AW80+IF($T80 ="",BE80,0)</f>
        <v>0</v>
      </c>
      <c r="BJ80" s="374">
        <f ca="1">BI80*$Z80</f>
        <v>0</v>
      </c>
      <c r="BK80" s="385">
        <f ca="1">IFERROR(BJ80/AT$4,0)</f>
        <v>0</v>
      </c>
      <c r="BL80" s="387" t="str">
        <f ca="1">IF(SUM(AY80,BG80,BK80)&lt;&gt;0,"V","")</f>
        <v/>
      </c>
      <c r="BM80" s="214"/>
      <c r="BN80" s="379" t="str">
        <f ca="1">IFERROR($X80/BO80-1,"")</f>
        <v/>
      </c>
      <c r="BO80" s="380"/>
      <c r="BP80" s="381">
        <f t="shared" ref="BP80" ca="1" si="2556">BM80*$X80</f>
        <v>0</v>
      </c>
      <c r="BQ80" s="381">
        <f ca="1">BP80*$Z80</f>
        <v>0</v>
      </c>
      <c r="BR80" s="382">
        <f t="shared" ref="BR80" ca="1" si="2557">IFERROR(BQ80/BM$4,0)</f>
        <v>0</v>
      </c>
      <c r="BS80" s="202">
        <f ca="1">BT80/$X80</f>
        <v>3.0708211847584725</v>
      </c>
      <c r="BT80" s="383">
        <f ca="1">BU80/$Z80</f>
        <v>4274.5830891837941</v>
      </c>
      <c r="BU80" s="383">
        <f t="shared" ref="BU80" ca="1" si="2558">BV80*BM$4</f>
        <v>4274.5836448795962</v>
      </c>
      <c r="BV80" s="204">
        <f t="shared" ref="BV80" ca="1" si="2559">IF(BM$6&lt;&gt;"",$O80,$N80)-BR80</f>
        <v>1.4999999999999999E-2</v>
      </c>
      <c r="BW80" s="205"/>
      <c r="BX80" s="384">
        <f ca="1">BW80*$X80</f>
        <v>0</v>
      </c>
      <c r="BY80" s="384">
        <f ca="1">BX80*$Z80</f>
        <v>0</v>
      </c>
      <c r="BZ80" s="207">
        <f t="shared" ref="BZ80" ca="1" si="2560">IFERROR(BY80/BM$4,0)</f>
        <v>0</v>
      </c>
      <c r="CA80" s="374">
        <f t="shared" ref="CA80" si="2561">BM80+BW80</f>
        <v>0</v>
      </c>
      <c r="CB80" s="374">
        <f ca="1">BP80+IF($T80 ="",BX80,0)</f>
        <v>0</v>
      </c>
      <c r="CC80" s="374">
        <f ca="1">CB80*$Z80</f>
        <v>0</v>
      </c>
      <c r="CD80" s="385">
        <f t="shared" ref="CD80" ca="1" si="2562">IFERROR(CC80/BM$4,0)</f>
        <v>0</v>
      </c>
      <c r="CE80" s="388" t="str">
        <f ca="1">IF(SUM(BR80,BZ80,CD80)&lt;&gt;0,"V","")</f>
        <v/>
      </c>
      <c r="CF80" s="214"/>
      <c r="CG80" s="379" t="str">
        <f ca="1">IFERROR($X80/CH80-1,"")</f>
        <v/>
      </c>
      <c r="CH80" s="380"/>
      <c r="CI80" s="381">
        <f ca="1">CF80*$X80</f>
        <v>0</v>
      </c>
      <c r="CJ80" s="381">
        <f ca="1">CI80*$Z80</f>
        <v>0</v>
      </c>
      <c r="CK80" s="382">
        <f ca="1">IFERROR(CJ80/CF$4,0)</f>
        <v>0</v>
      </c>
      <c r="CL80" s="202">
        <f ca="1">CM80/$X80</f>
        <v>9.5362010369738979</v>
      </c>
      <c r="CM80" s="383">
        <f ca="1">CN80/$Z80</f>
        <v>13274.391843467667</v>
      </c>
      <c r="CN80" s="383">
        <f ca="1">CO80*CF$4</f>
        <v>13274.393569138609</v>
      </c>
      <c r="CO80" s="204">
        <f t="shared" ref="CO80" ca="1" si="2563">IF(CF$6&lt;&gt;"",$O80,$N80)-CK80</f>
        <v>1.4999999999999999E-2</v>
      </c>
      <c r="CP80" s="205"/>
      <c r="CQ80" s="384">
        <f ca="1">CP80*$X80</f>
        <v>0</v>
      </c>
      <c r="CR80" s="384">
        <f ca="1">CQ80*$Z80</f>
        <v>0</v>
      </c>
      <c r="CS80" s="207">
        <f ca="1">IFERROR(CR80/CF$4,0)</f>
        <v>0</v>
      </c>
      <c r="CT80" s="374">
        <f t="shared" ref="CT80" si="2564">CF80+CP80</f>
        <v>0</v>
      </c>
      <c r="CU80" s="374">
        <f ca="1">CI80+IF($T80 ="",CQ80,0)</f>
        <v>0</v>
      </c>
      <c r="CV80" s="374">
        <f ca="1">CU80*$Z80</f>
        <v>0</v>
      </c>
      <c r="CW80" s="385">
        <f ca="1">IFERROR(CV80/CF$4,0)</f>
        <v>0</v>
      </c>
      <c r="CX80" s="387" t="str">
        <f ca="1">IF(SUM(CK80,CS80,CW80)&lt;&gt;0,"V","")</f>
        <v/>
      </c>
      <c r="CY80" s="197"/>
      <c r="CZ80" s="379" t="str">
        <f ca="1">IFERROR($X80/DA80-1,"")</f>
        <v/>
      </c>
      <c r="DA80" s="380"/>
      <c r="DB80" s="381">
        <f ca="1">CY80*$X80</f>
        <v>0</v>
      </c>
      <c r="DC80" s="381">
        <f ca="1">DB80*$Z80</f>
        <v>0</v>
      </c>
      <c r="DD80" s="382">
        <f ca="1">IFERROR(DC80/CY$4,0)</f>
        <v>0</v>
      </c>
      <c r="DE80" s="202">
        <f ca="1">DF80/$X80</f>
        <v>38.63597674883092</v>
      </c>
      <c r="DF80" s="383">
        <f ca="1">DG80/$Z80</f>
        <v>53781.279634372637</v>
      </c>
      <c r="DG80" s="383">
        <f ca="1">DH80*CY$4</f>
        <v>53781.286625938992</v>
      </c>
      <c r="DH80" s="204">
        <f t="shared" ref="DH80" ca="1" si="2565">IF(CY$6&lt;&gt;"",$O80,$N80)-DD80</f>
        <v>1.4999999999999999E-2</v>
      </c>
      <c r="DI80" s="205">
        <v>40</v>
      </c>
      <c r="DJ80" s="384">
        <f ca="1">DI80*$X80</f>
        <v>55680</v>
      </c>
      <c r="DK80" s="384">
        <f ca="1">DJ80*$Z80</f>
        <v>55680.007238400009</v>
      </c>
      <c r="DL80" s="207">
        <f ca="1">IFERROR(DK80/CY$4,0)</f>
        <v>1.5529567270954406E-2</v>
      </c>
      <c r="DM80" s="374">
        <f>CY80+DI80</f>
        <v>40</v>
      </c>
      <c r="DN80" s="374">
        <f ca="1">DB80+IF($T80 ="",DJ80,0)</f>
        <v>55680</v>
      </c>
      <c r="DO80" s="374">
        <f ca="1">DN80*$Z80</f>
        <v>55680.007238400009</v>
      </c>
      <c r="DP80" s="385">
        <f ca="1">IFERROR(DO80/CY$4,0)</f>
        <v>1.5529567270954406E-2</v>
      </c>
      <c r="DQ80" s="386" t="str">
        <f ca="1">IF(SUM(DD80,DL80,DP80)&lt;&gt;0,"V","")</f>
        <v>V</v>
      </c>
      <c r="DR80" s="197">
        <f>0+8</f>
        <v>8</v>
      </c>
      <c r="DS80" s="379">
        <f ca="1">IFERROR($X80/DT80-1,"")</f>
        <v>0</v>
      </c>
      <c r="DT80" s="380">
        <v>1392</v>
      </c>
      <c r="DU80" s="381">
        <f ca="1">DR80*$X80</f>
        <v>11136</v>
      </c>
      <c r="DV80" s="381">
        <f ca="1">DU80*$Z80</f>
        <v>11136.001447680001</v>
      </c>
      <c r="DW80" s="382">
        <f ca="1">IFERROR(DV80/DR$4,0)</f>
        <v>1.5868679196165209E-2</v>
      </c>
      <c r="DX80" s="202">
        <f ca="1">DY80/$X80</f>
        <v>-0.4379339630862954</v>
      </c>
      <c r="DY80" s="383">
        <f ca="1">DZ80/$Z80</f>
        <v>-609.60407661612317</v>
      </c>
      <c r="DZ80" s="383">
        <f ca="1">EA80*DR$4</f>
        <v>-609.60415586465319</v>
      </c>
      <c r="EA80" s="204">
        <f t="shared" ref="EA80" ca="1" si="2566">IF(DR$6&lt;&gt;"",$O80,$N80)-DW80</f>
        <v>-8.6867919616520975E-4</v>
      </c>
      <c r="EB80" s="205"/>
      <c r="EC80" s="384">
        <f ca="1">EB80*$X80</f>
        <v>0</v>
      </c>
      <c r="ED80" s="384">
        <f ca="1">EC80*$Z80</f>
        <v>0</v>
      </c>
      <c r="EE80" s="207">
        <f ca="1">IFERROR(ED80/DR$4,0)</f>
        <v>0</v>
      </c>
      <c r="EF80" s="374">
        <f>DR80+EB80</f>
        <v>8</v>
      </c>
      <c r="EG80" s="374">
        <f ca="1">DU80+IF($T80 ="",EC80,0)</f>
        <v>11136</v>
      </c>
      <c r="EH80" s="374">
        <f ca="1">EG80*$Z80</f>
        <v>11136.001447680001</v>
      </c>
      <c r="EI80" s="385">
        <f ca="1">IFERROR(EH80/DR$4,0)</f>
        <v>1.5868679196165209E-2</v>
      </c>
      <c r="EJ80" s="214"/>
      <c r="EK80" s="379" t="str">
        <f ca="1">IFERROR($X80/EL80-1,"")</f>
        <v/>
      </c>
      <c r="EL80" s="380"/>
      <c r="EM80" s="381">
        <f ca="1">EJ80*$X80</f>
        <v>0</v>
      </c>
      <c r="EN80" s="381">
        <f ca="1">EM80*$Z80</f>
        <v>0</v>
      </c>
      <c r="EO80" s="382">
        <f ca="1">IFERROR(EN80/EJ$4,0)</f>
        <v>0</v>
      </c>
      <c r="EP80" s="202">
        <f ca="1">EQ80/$X80</f>
        <v>7.6481478065259711</v>
      </c>
      <c r="EQ80" s="383">
        <f ca="1">ER80/$Z80</f>
        <v>10646.221746684152</v>
      </c>
      <c r="ER80" s="383">
        <f ca="1">ES80*EJ$4</f>
        <v>10646.223130692981</v>
      </c>
      <c r="ES80" s="204">
        <f t="shared" ref="ES80" ca="1" si="2567">IF(EJ$6&lt;&gt;"",$O80,$N80)-EO80</f>
        <v>1.4999999999999999E-2</v>
      </c>
      <c r="ET80" s="205"/>
      <c r="EU80" s="384">
        <f ca="1">ET80*$X80</f>
        <v>0</v>
      </c>
      <c r="EV80" s="384">
        <f ca="1">EU80*$Z80</f>
        <v>0</v>
      </c>
      <c r="EW80" s="207">
        <f ca="1">IFERROR(EV80/EJ$4,0)</f>
        <v>0</v>
      </c>
      <c r="EX80" s="374">
        <f t="shared" ref="EX80" si="2568">EJ80+ET80</f>
        <v>0</v>
      </c>
      <c r="EY80" s="374">
        <f ca="1">EM80+IF($T80 ="",EU80,0)</f>
        <v>0</v>
      </c>
      <c r="EZ80" s="374">
        <f ca="1">EY80*$Z80</f>
        <v>0</v>
      </c>
      <c r="FA80" s="385">
        <f ca="1">IFERROR(EZ80/EJ$4,0)</f>
        <v>0</v>
      </c>
      <c r="FB80" s="388" t="str">
        <f ca="1">IF(SUM(EO80,EW80,FA80)&lt;&gt;0,"V","")</f>
        <v/>
      </c>
      <c r="FC80" s="214"/>
      <c r="FD80" s="379" t="str">
        <f ca="1">IFERROR($X80/FE80-1,"")</f>
        <v/>
      </c>
      <c r="FE80" s="389"/>
      <c r="FF80" s="381">
        <f ca="1">FC80*$X80</f>
        <v>0</v>
      </c>
      <c r="FG80" s="381">
        <f ca="1">FF80*$Z80</f>
        <v>0</v>
      </c>
      <c r="FH80" s="382">
        <f ca="1">IFERROR(FG80/FC$4,0)</f>
        <v>0</v>
      </c>
      <c r="FI80" s="202">
        <f ca="1">FJ80/$X80</f>
        <v>49.112357188896041</v>
      </c>
      <c r="FJ80" s="383">
        <f ca="1">FK80/$Z80</f>
        <v>68364.401206943294</v>
      </c>
      <c r="FK80" s="383">
        <f ca="1">FL80*FC$4</f>
        <v>68364.410094315463</v>
      </c>
      <c r="FL80" s="204">
        <f t="shared" ref="FL80" ca="1" si="2569">IF(FC$6&lt;&gt;"",$O80,$N80)-FH80</f>
        <v>1.4999999999999999E-2</v>
      </c>
      <c r="FM80" s="205"/>
      <c r="FN80" s="384">
        <f ca="1">FM80*$X80</f>
        <v>0</v>
      </c>
      <c r="FO80" s="384">
        <f ca="1">FN80*$Z80</f>
        <v>0</v>
      </c>
      <c r="FP80" s="207">
        <f ca="1">IFERROR(FO80/FC$4,0)</f>
        <v>0</v>
      </c>
      <c r="FQ80" s="374">
        <f t="shared" ref="FQ80" si="2570">FC80+FM80</f>
        <v>0</v>
      </c>
      <c r="FR80" s="374">
        <f ca="1">FF80+IF($T80 ="",FN80,0)</f>
        <v>0</v>
      </c>
      <c r="FS80" s="374">
        <f ca="1">FR80*$Z80</f>
        <v>0</v>
      </c>
      <c r="FT80" s="385">
        <f ca="1">IFERROR(FS80/FC$4,0)</f>
        <v>0</v>
      </c>
      <c r="FU80" s="386" t="str">
        <f ca="1">IF(SUM(FH80,FP80,FT80)&lt;&gt;0,"V","")</f>
        <v/>
      </c>
    </row>
    <row r="81" spans="1:177" outlineLevel="2" x14ac:dyDescent="0.2">
      <c r="A81" s="366"/>
      <c r="B81" s="366"/>
      <c r="C81" s="367" t="str">
        <f t="shared" ref="C81:C96" ca="1" si="2571">OFFSET(Origine,MATCH($F81,Descrizioni,0),MATCH(C$15,Intestazioni,0)-1,1,1)</f>
        <v>CH1335392721:CHF:P</v>
      </c>
      <c r="D81" s="368" t="str">
        <f t="shared" ref="D81:E96" ca="1" si="2572">OFFSET(Origine,MATCH($F81,Descrizioni,0),MATCH(D$15,Intestazioni,0)-1,1,1)</f>
        <v>CH1335392721</v>
      </c>
      <c r="E81" s="369" t="str">
        <f t="shared" ca="1" si="2572"/>
        <v>133539272</v>
      </c>
      <c r="F81" s="390" t="s">
        <v>4272</v>
      </c>
      <c r="G81" s="371"/>
      <c r="H81" s="1713" t="str">
        <f t="shared" ca="1" si="2530"/>
        <v></v>
      </c>
      <c r="I81" s="1683" t="str">
        <f t="shared" ref="I81:I96" ca="1" si="2573">IF(OFFSET(Origine,MATCH($F81,Descrizioni,0),MATCH(I$15,Intestazioni,0)-1,1,1)&lt;&gt;"",HYPERLINK(OFFSET(Origine,MATCH($F81,Descrizioni,0),MATCH(I$15,Intestazioni,0)-1,1,1),"i"),"")</f>
        <v/>
      </c>
      <c r="J81" s="1713" t="str">
        <f t="shared" ref="J81:K96" ca="1" si="2574">IF(OFFSET(Origine,MATCH($F81,Descrizioni,0),MATCH(J$15,Intestazioni,0)-1,1,1)&lt;&gt;"",HYPERLINK(OFFSET(Origine,MATCH($F81,Descrizioni,0),MATCH(J$15,Intestazioni,0)-1,1,1),""),"")</f>
        <v/>
      </c>
      <c r="K81" s="1716" t="str">
        <f t="shared" ca="1" si="2574"/>
        <v/>
      </c>
      <c r="L81" s="1717" t="str">
        <f t="shared" ref="L81:L96" ca="1" si="2575">IF(OFFSET(Origine,MATCH($F81,Descrizioni,0),MATCH(L$15,Intestazioni,0)-1,1,1)&lt;&gt;"",HYPERLINK("https://www.zonebourse.com/mods_a/charts/TV/inc_dyna_graph.php?c="&amp;OFFSET(Origine,MATCH($F81,Descrizioni,0),MATCH(L$15,Intestazioni,0)-1,1,1)&amp;"&amp;style=TradingView.CANDLES&amp;showAT=1",""),"")</f>
        <v/>
      </c>
      <c r="M81" s="366" t="str">
        <f t="shared" ref="M81:M96" ca="1" si="2576">(OFFSET(Origine,MATCH($F81,Descrizioni,0),MATCH(M$15,Intestazioni,0)-1,1,1))</f>
        <v>Unit</v>
      </c>
      <c r="N81" s="372">
        <v>1.4999999999999999E-2</v>
      </c>
      <c r="O81" s="372"/>
      <c r="P81" s="373">
        <f t="shared" ca="1" si="2532"/>
        <v>1.4222106973472311E-2</v>
      </c>
      <c r="Q81" s="391">
        <f t="array" aca="1" ref="Q81" ca="1">SUM(IF($AA$15:$FT$15="I_pos",AA81:FT81))</f>
        <v>775</v>
      </c>
      <c r="R81" s="391">
        <f t="array" aca="1" ref="R81" ca="1">SUM(IF($AA$15:$FT$15="P_Pos",AA81:FT81))</f>
        <v>582.90917725714462</v>
      </c>
      <c r="S81" s="367"/>
      <c r="T81" s="391"/>
      <c r="U81" s="375">
        <f t="shared" ref="U81:U96" ca="1" si="2577">OFFSET(Origine,MATCH($F81,Descrizioni,0),MATCH(U$15,Intestazioni,0)-1,1,1)</f>
        <v>-2.5745257452574499E-2</v>
      </c>
      <c r="V81" s="391">
        <f t="array" aca="1" ref="V81" ca="1">SUM(IF($AA$15:$FT$15="O_Pos",AA81:FT81))</f>
        <v>0</v>
      </c>
      <c r="W81" s="367" t="str">
        <f t="shared" ref="W81:W84" ca="1" si="2578">OFFSET(Origine,MATCH($F81,Descrizioni,0),MATCH(W$15,Intestazioni,0)-1,1,1)</f>
        <v>CHF</v>
      </c>
      <c r="X81" s="376">
        <f t="shared" ca="1" si="2533"/>
        <v>143.80000000000001</v>
      </c>
      <c r="Y81" s="393">
        <f t="shared" ref="Y81:Y87" ca="1" si="2579">_xlfn.NUMBERVALUE(OFFSET(Origine,MATCH($F81,Descrizioni,0),MATCH(Y$15,Intestazioni,0)-1,1,1))</f>
        <v>1.04312E-3</v>
      </c>
      <c r="Z81" s="378">
        <f t="shared" ref="Z81" ca="1" si="2580">_xlfn.NUMBERVALUE(OFFSET(Origine,MATCH(W81&amp;"/"&amp;MRif,LUKB_Name,0),MATCH("Price",Intestazioni,0)-1,1,1))</f>
        <v>1.0000001300000001</v>
      </c>
      <c r="AA81" s="214">
        <f>55</f>
        <v>55</v>
      </c>
      <c r="AB81" s="312">
        <f t="shared" ref="AB81" ca="1" si="2581">IFERROR($X81/AC81-1,"")</f>
        <v>-5.5190538764783081E-2</v>
      </c>
      <c r="AC81" s="215">
        <v>152.19999999999999</v>
      </c>
      <c r="AD81" s="199">
        <f t="shared" ref="AD81" ca="1" si="2582">AA81*$X81</f>
        <v>7909.0000000000009</v>
      </c>
      <c r="AE81" s="199">
        <f t="shared" ref="AE81" ca="1" si="2583">AD81*$Z81</f>
        <v>7909.0010281700015</v>
      </c>
      <c r="AF81" s="216">
        <f t="shared" ref="AF81" ca="1" si="2584">IFERROR(AE81/AA$4,0)</f>
        <v>1.4085587081649963E-2</v>
      </c>
      <c r="AG81" s="202">
        <f t="shared" ref="AG81" ca="1" si="2585">AH81/$X81</f>
        <v>3.5705086495664049</v>
      </c>
      <c r="AH81" s="203">
        <f t="shared" ref="AH81" ca="1" si="2586">AI81/$Z81</f>
        <v>513.43914380764909</v>
      </c>
      <c r="AI81" s="203">
        <f t="shared" ref="AI81" ca="1" si="2587">AJ81*AA$4</f>
        <v>513.43921055473788</v>
      </c>
      <c r="AJ81" s="204">
        <f t="shared" ref="AJ81" ca="1" si="2588">IF(AA$6&lt;&gt;"",$O81,$N81)-AF81</f>
        <v>9.144129183500365E-4</v>
      </c>
      <c r="AK81" s="205"/>
      <c r="AL81" s="206">
        <f t="shared" ref="AL81" ca="1" si="2589">AK81*$X81</f>
        <v>0</v>
      </c>
      <c r="AM81" s="206">
        <f t="shared" ref="AM81" ca="1" si="2590">AL81*$Z81</f>
        <v>0</v>
      </c>
      <c r="AN81" s="207">
        <f t="shared" ref="AN81" ca="1" si="2591">IFERROR(AM81/AA$4,0)</f>
        <v>0</v>
      </c>
      <c r="AO81" s="391">
        <f t="shared" ref="AO81" si="2592">AA81+AK81</f>
        <v>55</v>
      </c>
      <c r="AP81" s="391">
        <f t="shared" ref="AP81" ca="1" si="2593">AD81+IF($T81 ="",AL81,0)</f>
        <v>7909.0000000000009</v>
      </c>
      <c r="AQ81" s="391">
        <f t="shared" ref="AQ81" ca="1" si="2594">AP81*$Z81</f>
        <v>7909.0010281700015</v>
      </c>
      <c r="AR81" s="394">
        <f t="shared" ref="AR81" ca="1" si="2595">IFERROR(AQ81/AA$4,0)</f>
        <v>1.4085587081649963E-2</v>
      </c>
      <c r="AS81" s="209" t="str">
        <f t="shared" ref="AS81" ca="1" si="2596">IF(SUM(AF81,AN81,AR81)&lt;&gt;0,"V","")</f>
        <v>V</v>
      </c>
      <c r="AT81" s="214">
        <f>170</f>
        <v>170</v>
      </c>
      <c r="AU81" s="312">
        <f t="shared" ref="AU81" ca="1" si="2597">IFERROR($X81/AV81-1,"")</f>
        <v>-5.5190538764783081E-2</v>
      </c>
      <c r="AV81" s="215">
        <v>152.19999999999999</v>
      </c>
      <c r="AW81" s="199">
        <f t="shared" ref="AW81" ca="1" si="2598">AT81*$X81</f>
        <v>24446.000000000004</v>
      </c>
      <c r="AX81" s="199">
        <f t="shared" ref="AX81" ca="1" si="2599">AW81*$Z81</f>
        <v>24446.003177980005</v>
      </c>
      <c r="AY81" s="216">
        <f t="shared" ref="AY81" ca="1" si="2600">IFERROR(AX81/AT$4,0)</f>
        <v>1.4115607963882068E-2</v>
      </c>
      <c r="AZ81" s="202">
        <f t="shared" ref="AZ81" ca="1" si="2601">BA81/$X81</f>
        <v>10.651092501629664</v>
      </c>
      <c r="BA81" s="203">
        <f t="shared" ref="BA81" ca="1" si="2602">BB81/$Z81</f>
        <v>1531.6271017343458</v>
      </c>
      <c r="BB81" s="203">
        <f t="shared" ref="BB81" ca="1" si="2603">BC81*AT$4</f>
        <v>1531.6273008458693</v>
      </c>
      <c r="BC81" s="204">
        <f t="shared" ref="BC81" ca="1" si="2604">IF(AT$6&lt;&gt;"",$O81,$N81)-AY81</f>
        <v>8.8439203611793103E-4</v>
      </c>
      <c r="BD81" s="205"/>
      <c r="BE81" s="206">
        <f t="shared" ref="BE81" ca="1" si="2605">BD81*$X81</f>
        <v>0</v>
      </c>
      <c r="BF81" s="206">
        <f t="shared" ref="BF81" ca="1" si="2606">BE81*$Z81</f>
        <v>0</v>
      </c>
      <c r="BG81" s="207">
        <f t="shared" ref="BG81" ca="1" si="2607">IFERROR(BF81/AT$4,0)</f>
        <v>0</v>
      </c>
      <c r="BH81" s="391">
        <f t="shared" ref="BH81" si="2608">AT81+BD81</f>
        <v>170</v>
      </c>
      <c r="BI81" s="391">
        <f t="shared" ref="BI81" ca="1" si="2609">AW81+IF($T81 ="",BE81,0)</f>
        <v>24446.000000000004</v>
      </c>
      <c r="BJ81" s="391">
        <f t="shared" ref="BJ81" ca="1" si="2610">BI81*$Z81</f>
        <v>24446.003177980005</v>
      </c>
      <c r="BK81" s="394">
        <f t="shared" ref="BK81" ca="1" si="2611">IFERROR(BJ81/AT$4,0)</f>
        <v>1.4115607963882068E-2</v>
      </c>
      <c r="BL81" s="211" t="str">
        <f t="shared" ref="BL81" ca="1" si="2612">IF(SUM(AY81,BG81,BK81)&lt;&gt;0,"V","")</f>
        <v>V</v>
      </c>
      <c r="BM81" s="214">
        <f>30</f>
        <v>30</v>
      </c>
      <c r="BN81" s="312">
        <f t="shared" ref="BN81" ca="1" si="2613">IFERROR($X81/BO81-1,"")</f>
        <v>-5.5190538764783081E-2</v>
      </c>
      <c r="BO81" s="215">
        <v>152.19999999999999</v>
      </c>
      <c r="BP81" s="199">
        <f t="shared" ref="BP81" ca="1" si="2614">BM81*$X81</f>
        <v>4314</v>
      </c>
      <c r="BQ81" s="199">
        <f t="shared" ref="BQ81" ca="1" si="2615">BP81*$Z81</f>
        <v>4314.0005608200008</v>
      </c>
      <c r="BR81" s="216">
        <f t="shared" ref="BR81" ca="1" si="2616">IFERROR(BQ81/BM$4,0)</f>
        <v>1.5138318439461187E-2</v>
      </c>
      <c r="BS81" s="202">
        <f t="shared" ref="BS81" ca="1" si="2617">BT81/$X81</f>
        <v>-0.27410925463286362</v>
      </c>
      <c r="BT81" s="203">
        <f t="shared" ref="BT81" ca="1" si="2618">BU81/$Z81</f>
        <v>-39.416910816205792</v>
      </c>
      <c r="BU81" s="203">
        <f t="shared" ref="BU81" ca="1" si="2619">BV81*BM$4</f>
        <v>-39.416915940404202</v>
      </c>
      <c r="BV81" s="204">
        <f t="shared" ref="BV81" ca="1" si="2620">IF(BM$6&lt;&gt;"",$O81,$N81)-BR81</f>
        <v>-1.3831843946118805E-4</v>
      </c>
      <c r="BW81" s="205"/>
      <c r="BX81" s="206">
        <f t="shared" ref="BX81" ca="1" si="2621">BW81*$X81</f>
        <v>0</v>
      </c>
      <c r="BY81" s="206">
        <f t="shared" ref="BY81" ca="1" si="2622">BX81*$Z81</f>
        <v>0</v>
      </c>
      <c r="BZ81" s="207">
        <f t="shared" ref="BZ81" ca="1" si="2623">IFERROR(BY81/BM$4,0)</f>
        <v>0</v>
      </c>
      <c r="CA81" s="391">
        <f t="shared" ref="CA81" si="2624">BM81+BW81</f>
        <v>30</v>
      </c>
      <c r="CB81" s="391">
        <f t="shared" ref="CB81" ca="1" si="2625">BP81+IF($T81 ="",BX81,0)</f>
        <v>4314</v>
      </c>
      <c r="CC81" s="391">
        <f t="shared" ref="CC81" ca="1" si="2626">CB81*$Z81</f>
        <v>4314.0005608200008</v>
      </c>
      <c r="CD81" s="394">
        <f t="shared" ref="CD81" ca="1" si="2627">IFERROR(CC81/BM$4,0)</f>
        <v>1.5138318439461187E-2</v>
      </c>
      <c r="CE81" s="212" t="str">
        <f t="shared" ref="CE81" ca="1" si="2628">IF(SUM(BR81,BZ81,CD81)&lt;&gt;0,"V","")</f>
        <v>V</v>
      </c>
      <c r="CF81" s="214">
        <f>100</f>
        <v>100</v>
      </c>
      <c r="CG81" s="312">
        <f t="shared" ref="CG81" ca="1" si="2629">IFERROR($X81/CH81-1,"")</f>
        <v>-5.5190538764783081E-2</v>
      </c>
      <c r="CH81" s="215">
        <v>152.19999999999999</v>
      </c>
      <c r="CI81" s="199">
        <f t="shared" ref="CI81" ca="1" si="2630">CF81*$X81</f>
        <v>14380.000000000002</v>
      </c>
      <c r="CJ81" s="199">
        <f t="shared" ref="CJ81" ca="1" si="2631">CI81*$Z81</f>
        <v>14380.001869400003</v>
      </c>
      <c r="CK81" s="216">
        <f t="shared" ref="CK81" ca="1" si="2632">IFERROR(CJ81/CF$4,0)</f>
        <v>1.6249331987750991E-2</v>
      </c>
      <c r="CL81" s="202">
        <f t="shared" ref="CL81" ca="1" si="2633">CM81/$X81</f>
        <v>-7.6885129105169243</v>
      </c>
      <c r="CM81" s="203">
        <f t="shared" ref="CM81" ca="1" si="2634">CN81/$Z81</f>
        <v>-1105.6081565323339</v>
      </c>
      <c r="CN81" s="203">
        <f t="shared" ref="CN81" ca="1" si="2635">CO81*CF$4</f>
        <v>-1105.6083002613943</v>
      </c>
      <c r="CO81" s="204">
        <f t="shared" ref="CO81" ca="1" si="2636">IF(CF$6&lt;&gt;"",$O81,$N81)-CK81</f>
        <v>-1.2493319877509915E-3</v>
      </c>
      <c r="CP81" s="205"/>
      <c r="CQ81" s="206">
        <f t="shared" ref="CQ81" ca="1" si="2637">CP81*$X81</f>
        <v>0</v>
      </c>
      <c r="CR81" s="206">
        <f t="shared" ref="CR81" ca="1" si="2638">CQ81*$Z81</f>
        <v>0</v>
      </c>
      <c r="CS81" s="207">
        <f t="shared" ref="CS81" ca="1" si="2639">IFERROR(CR81/CF$4,0)</f>
        <v>0</v>
      </c>
      <c r="CT81" s="391">
        <f t="shared" ref="CT81" si="2640">CF81+CP81</f>
        <v>100</v>
      </c>
      <c r="CU81" s="391">
        <f t="shared" ref="CU81" ca="1" si="2641">CI81+IF($T81 ="",CQ81,0)</f>
        <v>14380.000000000002</v>
      </c>
      <c r="CV81" s="391">
        <f t="shared" ref="CV81" ca="1" si="2642">CU81*$Z81</f>
        <v>14380.001869400003</v>
      </c>
      <c r="CW81" s="394">
        <f t="shared" ref="CW81" ca="1" si="2643">IFERROR(CV81/CF$4,0)</f>
        <v>1.6249331987750991E-2</v>
      </c>
      <c r="CX81" s="211" t="str">
        <f t="shared" ref="CX81" ca="1" si="2644">IF(SUM(CK81,CS81,CW81)&lt;&gt;0,"V","")</f>
        <v>V</v>
      </c>
      <c r="CY81" s="197">
        <f>350</f>
        <v>350</v>
      </c>
      <c r="CZ81" s="312">
        <f t="shared" ref="CZ81" ca="1" si="2645">IFERROR($X81/DA81-1,"")</f>
        <v>-6.1325228614305893E-2</v>
      </c>
      <c r="DA81" s="395">
        <v>153.19470000000001</v>
      </c>
      <c r="DB81" s="199">
        <f t="shared" ref="DB81" ca="1" si="2646">CY81*$X81</f>
        <v>50330.000000000007</v>
      </c>
      <c r="DC81" s="199">
        <f t="shared" ref="DC81" ca="1" si="2647">DB81*$Z81</f>
        <v>50330.00654290001</v>
      </c>
      <c r="DD81" s="216">
        <f t="shared" ref="DD81" ca="1" si="2648">IFERROR(DC81/CY$4,0)</f>
        <v>1.4037412369740217E-2</v>
      </c>
      <c r="DE81" s="202">
        <f t="shared" ref="DE81" ca="1" si="2649">DF81/$X81</f>
        <v>24.000553785623303</v>
      </c>
      <c r="DF81" s="203">
        <f t="shared" ref="DF81" ca="1" si="2650">DG81/$Z81</f>
        <v>3451.2796343726313</v>
      </c>
      <c r="DG81" s="203">
        <f t="shared" ref="DG81" ca="1" si="2651">DH81*CY$4</f>
        <v>3451.2800830389842</v>
      </c>
      <c r="DH81" s="204">
        <f t="shared" ref="DH81" ca="1" si="2652">IF(CY$6&lt;&gt;"",$O81,$N81)-DD81</f>
        <v>9.6258763025978272E-4</v>
      </c>
      <c r="DI81" s="205"/>
      <c r="DJ81" s="206">
        <f t="shared" ref="DJ81" ca="1" si="2653">DI81*$X81</f>
        <v>0</v>
      </c>
      <c r="DK81" s="206">
        <f t="shared" ref="DK81" ca="1" si="2654">DJ81*$Z81</f>
        <v>0</v>
      </c>
      <c r="DL81" s="207">
        <f t="shared" ref="DL81" ca="1" si="2655">IFERROR(DK81/CY$4,0)</f>
        <v>0</v>
      </c>
      <c r="DM81" s="391">
        <f t="shared" ref="DM81" si="2656">CY81+DI81</f>
        <v>350</v>
      </c>
      <c r="DN81" s="391">
        <f t="shared" ref="DN81" ca="1" si="2657">DB81+IF($T81 ="",DJ81,0)</f>
        <v>50330.000000000007</v>
      </c>
      <c r="DO81" s="391">
        <f t="shared" ref="DO81" ca="1" si="2658">DN81*$Z81</f>
        <v>50330.00654290001</v>
      </c>
      <c r="DP81" s="394">
        <f t="shared" ref="DP81" ca="1" si="2659">IFERROR(DO81/CY$4,0)</f>
        <v>1.4037412369740217E-2</v>
      </c>
      <c r="DQ81" s="209" t="str">
        <f t="shared" ref="DQ81" ca="1" si="2660">IF(SUM(DD81,DL81,DP81)&lt;&gt;0,"V","")</f>
        <v>V</v>
      </c>
      <c r="DR81" s="197">
        <f>70</f>
        <v>70</v>
      </c>
      <c r="DS81" s="312">
        <f t="shared" ref="DS81" ca="1" si="2661">IFERROR($X81/DT81-1,"")</f>
        <v>-6.2031178657621755E-2</v>
      </c>
      <c r="DT81" s="395">
        <v>153.31</v>
      </c>
      <c r="DU81" s="199">
        <f t="shared" ref="DU81" ca="1" si="2662">DR81*$X81</f>
        <v>10066</v>
      </c>
      <c r="DV81" s="199">
        <f t="shared" ref="DV81" ca="1" si="2663">DU81*$Z81</f>
        <v>10066.00130858</v>
      </c>
      <c r="DW81" s="216">
        <f t="shared" ref="DW81" ca="1" si="2664">IFERROR(DV81/DR$4,0)</f>
        <v>1.4343940803573903E-2</v>
      </c>
      <c r="DX81" s="202">
        <f t="shared" ref="DX81" ca="1" si="2665">DY81/$X81</f>
        <v>3.2016406354928892</v>
      </c>
      <c r="DY81" s="203">
        <f t="shared" ref="DY81" ca="1" si="2666">DZ81/$Z81</f>
        <v>460.39592338387752</v>
      </c>
      <c r="DZ81" s="203">
        <f t="shared" ref="DZ81" ca="1" si="2667">EA81*DR$4</f>
        <v>460.39598323534761</v>
      </c>
      <c r="EA81" s="204">
        <f t="shared" ref="EA81" ca="1" si="2668">IF(DR$6&lt;&gt;"",$O81,$N81)-DW81</f>
        <v>6.5605919642609638E-4</v>
      </c>
      <c r="EB81" s="205"/>
      <c r="EC81" s="206">
        <f t="shared" ref="EC81" ca="1" si="2669">EB81*$X81</f>
        <v>0</v>
      </c>
      <c r="ED81" s="206">
        <f t="shared" ref="ED81" ca="1" si="2670">EC81*$Z81</f>
        <v>0</v>
      </c>
      <c r="EE81" s="207">
        <f t="shared" ref="EE81" ca="1" si="2671">IFERROR(ED81/DR$4,0)</f>
        <v>0</v>
      </c>
      <c r="EF81" s="391">
        <f t="shared" ref="EF81" si="2672">DR81+EB81</f>
        <v>70</v>
      </c>
      <c r="EG81" s="391">
        <f t="shared" ref="EG81" ca="1" si="2673">DU81+IF($T81 ="",EC81,0)</f>
        <v>10066</v>
      </c>
      <c r="EH81" s="391">
        <f t="shared" ref="EH81" ca="1" si="2674">EG81*$Z81</f>
        <v>10066.00130858</v>
      </c>
      <c r="EI81" s="394">
        <f t="shared" ref="EI81" ca="1" si="2675">IFERROR(EH81/DR$4,0)</f>
        <v>1.4343940803573903E-2</v>
      </c>
      <c r="EJ81" s="214"/>
      <c r="EK81" s="312" t="str">
        <f t="shared" ref="EK81" ca="1" si="2676">IFERROR($X81/EL81-1,"")</f>
        <v/>
      </c>
      <c r="EL81" s="222"/>
      <c r="EM81" s="199">
        <f t="shared" ref="EM81" ca="1" si="2677">EJ81*$X81</f>
        <v>0</v>
      </c>
      <c r="EN81" s="199">
        <f t="shared" ref="EN81" ca="1" si="2678">EM81*$Z81</f>
        <v>0</v>
      </c>
      <c r="EO81" s="216">
        <f t="shared" ref="EO81" ca="1" si="2679">IFERROR(EN81/EJ$4,0)</f>
        <v>0</v>
      </c>
      <c r="EP81" s="202">
        <f t="shared" ref="EP81" ca="1" si="2680">EQ81/$X81</f>
        <v>74.034921743283391</v>
      </c>
      <c r="EQ81" s="203">
        <f t="shared" ref="EQ81" ca="1" si="2681">ER81/$Z81</f>
        <v>10646.221746684152</v>
      </c>
      <c r="ER81" s="203">
        <f t="shared" ref="ER81" ca="1" si="2682">ES81*EJ$4</f>
        <v>10646.223130692981</v>
      </c>
      <c r="ES81" s="204">
        <f t="shared" ref="ES81" ca="1" si="2683">IF(EJ$6&lt;&gt;"",$O81,$N81)-EO81</f>
        <v>1.4999999999999999E-2</v>
      </c>
      <c r="ET81" s="205"/>
      <c r="EU81" s="206">
        <f t="shared" ref="EU81" ca="1" si="2684">ET81*$X81</f>
        <v>0</v>
      </c>
      <c r="EV81" s="206">
        <f t="shared" ref="EV81" ca="1" si="2685">EU81*$Z81</f>
        <v>0</v>
      </c>
      <c r="EW81" s="207">
        <f t="shared" ref="EW81" ca="1" si="2686">IFERROR(EV81/EJ$4,0)</f>
        <v>0</v>
      </c>
      <c r="EX81" s="391">
        <f t="shared" ref="EX81" si="2687">EJ81+ET81</f>
        <v>0</v>
      </c>
      <c r="EY81" s="391">
        <f t="shared" ref="EY81" ca="1" si="2688">EM81+IF($T81 ="",EU81,0)</f>
        <v>0</v>
      </c>
      <c r="EZ81" s="391">
        <f t="shared" ref="EZ81" ca="1" si="2689">EY81*$Z81</f>
        <v>0</v>
      </c>
      <c r="FA81" s="394">
        <f t="shared" ref="FA81" ca="1" si="2690">IFERROR(EZ81/EJ$4,0)</f>
        <v>0</v>
      </c>
      <c r="FB81" s="212" t="str">
        <f t="shared" ref="FB81" ca="1" si="2691">IF(SUM(EO81,EW81,FA81)&lt;&gt;0,"V","")</f>
        <v/>
      </c>
      <c r="FC81" s="214"/>
      <c r="FD81" s="312" t="str">
        <f t="shared" ref="FD81" ca="1" si="2692">IFERROR($X81/FE81-1,"")</f>
        <v/>
      </c>
      <c r="FE81" s="215"/>
      <c r="FF81" s="199">
        <f t="shared" ref="FF81" ca="1" si="2693">FC81*$X81</f>
        <v>0</v>
      </c>
      <c r="FG81" s="199">
        <f t="shared" ref="FG81" ca="1" si="2694">FF81*$Z81</f>
        <v>0</v>
      </c>
      <c r="FH81" s="216">
        <f t="shared" ref="FH81" ca="1" si="2695">IFERROR(FG81/FC$4,0)</f>
        <v>0</v>
      </c>
      <c r="FI81" s="202">
        <f t="shared" ref="FI81" ca="1" si="2696">FJ81/$X81</f>
        <v>475.41308210669882</v>
      </c>
      <c r="FJ81" s="203">
        <f t="shared" ref="FJ81" ca="1" si="2697">FK81/$Z81</f>
        <v>68364.401206943294</v>
      </c>
      <c r="FK81" s="203">
        <f t="shared" ref="FK81" ca="1" si="2698">FL81*FC$4</f>
        <v>68364.410094315463</v>
      </c>
      <c r="FL81" s="204">
        <f t="shared" ref="FL81" ca="1" si="2699">IF(FC$6&lt;&gt;"",$O81,$N81)-FH81</f>
        <v>1.4999999999999999E-2</v>
      </c>
      <c r="FM81" s="205"/>
      <c r="FN81" s="206">
        <f t="shared" ref="FN81" ca="1" si="2700">FM81*$X81</f>
        <v>0</v>
      </c>
      <c r="FO81" s="206">
        <f t="shared" ref="FO81" ca="1" si="2701">FN81*$Z81</f>
        <v>0</v>
      </c>
      <c r="FP81" s="207">
        <f t="shared" ref="FP81" ca="1" si="2702">IFERROR(FO81/FC$4,0)</f>
        <v>0</v>
      </c>
      <c r="FQ81" s="391">
        <f t="shared" ref="FQ81" si="2703">FC81+FM81</f>
        <v>0</v>
      </c>
      <c r="FR81" s="391">
        <f t="shared" ref="FR81" ca="1" si="2704">FF81+IF($T81 ="",FN81,0)</f>
        <v>0</v>
      </c>
      <c r="FS81" s="391">
        <f t="shared" ref="FS81" ca="1" si="2705">FR81*$Z81</f>
        <v>0</v>
      </c>
      <c r="FT81" s="394">
        <f t="shared" ref="FT81" ca="1" si="2706">IFERROR(FS81/FC$4,0)</f>
        <v>0</v>
      </c>
      <c r="FU81" s="209" t="str">
        <f t="shared" ref="FU81" ca="1" si="2707">IF(SUM(FH81,FP81,FT81)&lt;&gt;0,"V","")</f>
        <v/>
      </c>
    </row>
    <row r="82" spans="1:177" outlineLevel="2" x14ac:dyDescent="0.2">
      <c r="A82" s="366"/>
      <c r="B82" s="366"/>
      <c r="C82" s="367" t="str">
        <f t="shared" ca="1" si="2571"/>
        <v>CH0360674466:CHF</v>
      </c>
      <c r="D82" s="368" t="str">
        <f t="shared" ca="1" si="2572"/>
        <v>CH0360674466</v>
      </c>
      <c r="E82" s="369" t="str">
        <f t="shared" ca="1" si="2572"/>
        <v>36067446</v>
      </c>
      <c r="F82" s="390" t="s">
        <v>401</v>
      </c>
      <c r="G82" s="371"/>
      <c r="H82" s="1713" t="str">
        <f t="shared" ca="1" si="2530"/>
        <v></v>
      </c>
      <c r="I82" s="1683" t="str">
        <f t="shared" ca="1" si="2573"/>
        <v/>
      </c>
      <c r="J82" s="1713" t="str">
        <f t="shared" ca="1" si="2574"/>
        <v/>
      </c>
      <c r="K82" s="1716" t="str">
        <f t="shared" ca="1" si="2574"/>
        <v/>
      </c>
      <c r="L82" s="1717" t="str">
        <f t="shared" ca="1" si="2575"/>
        <v/>
      </c>
      <c r="M82" s="366" t="str">
        <f t="shared" ca="1" si="2576"/>
        <v>Unit</v>
      </c>
      <c r="N82" s="372">
        <v>1.4999999999999999E-2</v>
      </c>
      <c r="O82" s="372"/>
      <c r="P82" s="373">
        <f t="shared" ca="1" si="2532"/>
        <v>1.5074991241782479E-2</v>
      </c>
      <c r="Q82" s="391">
        <f t="array" aca="1" ref="Q82" ca="1">SUM(IF($AA$15:$FT$15="I_pos",AA82:FT82))</f>
        <v>1230</v>
      </c>
      <c r="R82" s="391">
        <f t="array" aca="1" ref="R82" ca="1">SUM(IF($AA$15:$FT$15="P_Pos",AA82:FT82))</f>
        <v>829.78206423604877</v>
      </c>
      <c r="S82" s="367"/>
      <c r="T82" s="391"/>
      <c r="U82" s="375">
        <f t="shared" ca="1" si="2577"/>
        <v>-4.2016806722688996E-3</v>
      </c>
      <c r="V82" s="391">
        <f t="array" aca="1" ref="V82" ca="1">SUM(IF($AA$15:$FT$15="O_Pos",AA82:FT82))</f>
        <v>0</v>
      </c>
      <c r="W82" s="367" t="str">
        <f t="shared" ca="1" si="2578"/>
        <v>CHF</v>
      </c>
      <c r="X82" s="376">
        <f t="shared" ca="1" si="2533"/>
        <v>94.8</v>
      </c>
      <c r="Y82" s="393">
        <f t="shared" ca="1" si="2579"/>
        <v>2.4261600000000001E-2</v>
      </c>
      <c r="Z82" s="378">
        <f t="shared" ref="Z82" ca="1" si="2708">_xlfn.NUMBERVALUE(OFFSET(Origine,MATCH(W82&amp;"/"&amp;MRif,LUKB_Name,0),MATCH("Price",Intestazioni,0)-1,1,1))</f>
        <v>1.0000001300000001</v>
      </c>
      <c r="AA82" s="214">
        <f>0+90</f>
        <v>90</v>
      </c>
      <c r="AB82" s="312">
        <f t="shared" ref="AB82" ca="1" si="2709">IFERROR($X82/AC82-1,"")</f>
        <v>-1.1658880526448034E-2</v>
      </c>
      <c r="AC82" s="215">
        <v>95.918300000000002</v>
      </c>
      <c r="AD82" s="199">
        <f t="shared" ref="AD82" ca="1" si="2710">AA82*$X82</f>
        <v>8532</v>
      </c>
      <c r="AE82" s="199">
        <f t="shared" ref="AE82" ca="1" si="2711">AD82*$Z82</f>
        <v>8532.0011091600009</v>
      </c>
      <c r="AF82" s="216">
        <f t="shared" ref="AF82" ca="1" si="2712">IFERROR(AE82/AA$4,0)</f>
        <v>1.519512314839265E-2</v>
      </c>
      <c r="AG82" s="202">
        <f t="shared" ref="AG82" ca="1" si="2713">AH82/$X82</f>
        <v>-1.1557052340965195</v>
      </c>
      <c r="AH82" s="203">
        <f t="shared" ref="AH82" ca="1" si="2714">AI82/$Z82</f>
        <v>-109.56085619235004</v>
      </c>
      <c r="AI82" s="203">
        <f t="shared" ref="AI82" ca="1" si="2715">AJ82*AA$4</f>
        <v>-109.56087043526136</v>
      </c>
      <c r="AJ82" s="204">
        <f t="shared" ref="AJ82" ca="1" si="2716">IF(AA$6&lt;&gt;"",$O82,$N82)-AF82</f>
        <v>-1.9512314839265077E-4</v>
      </c>
      <c r="AK82" s="205"/>
      <c r="AL82" s="206">
        <f t="shared" ref="AL82" ca="1" si="2717">AK82*$X82</f>
        <v>0</v>
      </c>
      <c r="AM82" s="206">
        <f t="shared" ref="AM82" ca="1" si="2718">AL82*$Z82</f>
        <v>0</v>
      </c>
      <c r="AN82" s="207">
        <f t="shared" ref="AN82" ca="1" si="2719">IFERROR(AM82/AA$4,0)</f>
        <v>0</v>
      </c>
      <c r="AO82" s="391">
        <f t="shared" ref="AO82" si="2720">AA82+AK82</f>
        <v>90</v>
      </c>
      <c r="AP82" s="391">
        <f t="shared" ref="AP82" ca="1" si="2721">AD82+IF($T82 ="",AL82,0)</f>
        <v>8532</v>
      </c>
      <c r="AQ82" s="391">
        <f t="shared" ref="AQ82" ca="1" si="2722">AP82*$Z82</f>
        <v>8532.0011091600009</v>
      </c>
      <c r="AR82" s="394">
        <f t="shared" ref="AR82" ca="1" si="2723">IFERROR(AQ82/AA$4,0)</f>
        <v>1.519512314839265E-2</v>
      </c>
      <c r="AS82" s="209" t="str">
        <f t="shared" ref="AS82" ca="1" si="2724">IF(SUM(AF82,AN82,AR82)&lt;&gt;0,"V","")</f>
        <v>V</v>
      </c>
      <c r="AT82" s="214">
        <f>0+275</f>
        <v>275</v>
      </c>
      <c r="AU82" s="312">
        <f t="shared" ref="AU82" ca="1" si="2725">IFERROR($X82/AV82-1,"")</f>
        <v>-1.1658880526448034E-2</v>
      </c>
      <c r="AV82" s="215">
        <v>95.918300000000002</v>
      </c>
      <c r="AW82" s="199">
        <f t="shared" ref="AW82" ca="1" si="2726">AT82*$X82</f>
        <v>26070</v>
      </c>
      <c r="AX82" s="199">
        <f t="shared" ref="AX82" ca="1" si="2727">AW82*$Z82</f>
        <v>26070.003389100002</v>
      </c>
      <c r="AY82" s="216">
        <f t="shared" ref="AY82" ca="1" si="2728">IFERROR(AX82/AT$4,0)</f>
        <v>1.5053337953792255E-2</v>
      </c>
      <c r="AZ82" s="202">
        <f t="shared" ref="AZ82" ca="1" si="2729">BA82/$X82</f>
        <v>-0.97439766103006875</v>
      </c>
      <c r="BA82" s="203">
        <f t="shared" ref="BA82" ca="1" si="2730">BB82/$Z82</f>
        <v>-92.37289826565052</v>
      </c>
      <c r="BB82" s="203">
        <f t="shared" ref="BB82" ca="1" si="2731">BC82*AT$4</f>
        <v>-92.372910274127307</v>
      </c>
      <c r="BC82" s="204">
        <f t="shared" ref="BC82" ca="1" si="2732">IF(AT$6&lt;&gt;"",$O82,$N82)-AY82</f>
        <v>-5.3337953792255768E-5</v>
      </c>
      <c r="BD82" s="205"/>
      <c r="BE82" s="206">
        <f t="shared" ref="BE82" ca="1" si="2733">BD82*$X82</f>
        <v>0</v>
      </c>
      <c r="BF82" s="206">
        <f t="shared" ref="BF82" ca="1" si="2734">BE82*$Z82</f>
        <v>0</v>
      </c>
      <c r="BG82" s="207">
        <f t="shared" ref="BG82" ca="1" si="2735">IFERROR(BF82/AT$4,0)</f>
        <v>0</v>
      </c>
      <c r="BH82" s="391">
        <f t="shared" ref="BH82" si="2736">AT82+BD82</f>
        <v>275</v>
      </c>
      <c r="BI82" s="391">
        <f t="shared" ref="BI82" ca="1" si="2737">AW82+IF($T82 ="",BE82,0)</f>
        <v>26070</v>
      </c>
      <c r="BJ82" s="391">
        <f t="shared" ref="BJ82" ca="1" si="2738">BI82*$Z82</f>
        <v>26070.003389100002</v>
      </c>
      <c r="BK82" s="394">
        <f t="shared" ref="BK82" ca="1" si="2739">IFERROR(BJ82/AT$4,0)</f>
        <v>1.5053337953792255E-2</v>
      </c>
      <c r="BL82" s="211" t="str">
        <f t="shared" ref="BL82" ca="1" si="2740">IF(SUM(AY82,BG82,BK82)&lt;&gt;0,"V","")</f>
        <v>V</v>
      </c>
      <c r="BM82" s="214">
        <f>0+45</f>
        <v>45</v>
      </c>
      <c r="BN82" s="312">
        <f t="shared" ref="BN82" ca="1" si="2741">IFERROR($X82/BO82-1,"")</f>
        <v>-1.1658880526448034E-2</v>
      </c>
      <c r="BO82" s="215">
        <v>95.918300000000002</v>
      </c>
      <c r="BP82" s="199">
        <f t="shared" ref="BP82" ca="1" si="2742">BM82*$X82</f>
        <v>4266</v>
      </c>
      <c r="BQ82" s="199">
        <f t="shared" ref="BQ82" ca="1" si="2743">BP82*$Z82</f>
        <v>4266.0005545800004</v>
      </c>
      <c r="BR82" s="216">
        <f t="shared" ref="BR82" ca="1" si="2744">IFERROR(BQ82/BM$4,0)</f>
        <v>1.4969880960301673E-2</v>
      </c>
      <c r="BS82" s="202">
        <f t="shared" ref="BS82" ca="1" si="2745">BT82/$X82</f>
        <v>9.0538915440873446E-2</v>
      </c>
      <c r="BT82" s="203">
        <f t="shared" ref="BT82" ca="1" si="2746">BU82/$Z82</f>
        <v>8.5830891837948027</v>
      </c>
      <c r="BU82" s="203">
        <f t="shared" ref="BU82" ca="1" si="2747">BV82*BM$4</f>
        <v>8.5830902995963978</v>
      </c>
      <c r="BV82" s="204">
        <f t="shared" ref="BV82" ca="1" si="2748">IF(BM$6&lt;&gt;"",$O82,$N82)-BR82</f>
        <v>3.011903969832655E-5</v>
      </c>
      <c r="BW82" s="205"/>
      <c r="BX82" s="206">
        <f t="shared" ref="BX82" ca="1" si="2749">BW82*$X82</f>
        <v>0</v>
      </c>
      <c r="BY82" s="206">
        <f t="shared" ref="BY82" ca="1" si="2750">BX82*$Z82</f>
        <v>0</v>
      </c>
      <c r="BZ82" s="207">
        <f t="shared" ref="BZ82" ca="1" si="2751">IFERROR(BY82/BM$4,0)</f>
        <v>0</v>
      </c>
      <c r="CA82" s="391">
        <f t="shared" ref="CA82" si="2752">BM82+BW82</f>
        <v>45</v>
      </c>
      <c r="CB82" s="391">
        <f t="shared" ref="CB82" ca="1" si="2753">BP82+IF($T82 ="",BX82,0)</f>
        <v>4266</v>
      </c>
      <c r="CC82" s="391">
        <f t="shared" ref="CC82" ca="1" si="2754">CB82*$Z82</f>
        <v>4266.0005545800004</v>
      </c>
      <c r="CD82" s="394">
        <f t="shared" ref="CD82" ca="1" si="2755">IFERROR(CC82/BM$4,0)</f>
        <v>1.4969880960301673E-2</v>
      </c>
      <c r="CE82" s="212" t="str">
        <f t="shared" ref="CE82" ca="1" si="2756">IF(SUM(BR82,BZ82,CD82)&lt;&gt;0,"V","")</f>
        <v>V</v>
      </c>
      <c r="CF82" s="214">
        <f>0+140</f>
        <v>140</v>
      </c>
      <c r="CG82" s="312">
        <f t="shared" ref="CG82" ca="1" si="2757">IFERROR($X82/CH82-1,"")</f>
        <v>-1.1658880526448034E-2</v>
      </c>
      <c r="CH82" s="215">
        <v>95.918300000000002</v>
      </c>
      <c r="CI82" s="199">
        <f t="shared" ref="CI82" ca="1" si="2758">CF82*$X82</f>
        <v>13272</v>
      </c>
      <c r="CJ82" s="199">
        <f t="shared" ref="CJ82" ca="1" si="2759">CI82*$Z82</f>
        <v>13272.001725360002</v>
      </c>
      <c r="CK82" s="216">
        <f t="shared" ref="CK82" ca="1" si="2760">IFERROR(CJ82/CF$4,0)</f>
        <v>1.4997297228194099E-2</v>
      </c>
      <c r="CL82" s="202">
        <f t="shared" ref="CL82" ca="1" si="2761">CM82/$X82</f>
        <v>2.5230416325599598E-2</v>
      </c>
      <c r="CM82" s="203">
        <f t="shared" ref="CM82" ca="1" si="2762">CN82/$Z82</f>
        <v>2.3918434676668419</v>
      </c>
      <c r="CN82" s="203">
        <f t="shared" ref="CN82" ca="1" si="2763">CO82*CF$4</f>
        <v>2.3918437786064928</v>
      </c>
      <c r="CO82" s="204">
        <f t="shared" ref="CO82" ca="1" si="2764">IF(CF$6&lt;&gt;"",$O82,$N82)-CK82</f>
        <v>2.7027718059007E-6</v>
      </c>
      <c r="CP82" s="205"/>
      <c r="CQ82" s="206">
        <f t="shared" ref="CQ82" ca="1" si="2765">CP82*$X82</f>
        <v>0</v>
      </c>
      <c r="CR82" s="206">
        <f t="shared" ref="CR82" ca="1" si="2766">CQ82*$Z82</f>
        <v>0</v>
      </c>
      <c r="CS82" s="207">
        <f t="shared" ref="CS82" ca="1" si="2767">IFERROR(CR82/CF$4,0)</f>
        <v>0</v>
      </c>
      <c r="CT82" s="391">
        <f t="shared" ref="CT82" si="2768">CF82+CP82</f>
        <v>140</v>
      </c>
      <c r="CU82" s="391">
        <f t="shared" ref="CU82" ca="1" si="2769">CI82+IF($T82 ="",CQ82,0)</f>
        <v>13272</v>
      </c>
      <c r="CV82" s="391">
        <f t="shared" ref="CV82" ca="1" si="2770">CU82*$Z82</f>
        <v>13272.001725360002</v>
      </c>
      <c r="CW82" s="394">
        <f t="shared" ref="CW82" ca="1" si="2771">IFERROR(CV82/CF$4,0)</f>
        <v>1.4997297228194099E-2</v>
      </c>
      <c r="CX82" s="211" t="str">
        <f t="shared" ref="CX82" ca="1" si="2772">IF(SUM(CK82,CS82,CW82)&lt;&gt;0,"V","")</f>
        <v>V</v>
      </c>
      <c r="CY82" s="197">
        <f>0+570</f>
        <v>570</v>
      </c>
      <c r="CZ82" s="312">
        <f t="shared" ref="CZ82" ca="1" si="2773">IFERROR($X82/DA82-1,"")</f>
        <v>-9.4043887147335914E-3</v>
      </c>
      <c r="DA82" s="395">
        <v>95.7</v>
      </c>
      <c r="DB82" s="199">
        <f t="shared" ref="DB82" ca="1" si="2774">CY82*$X82</f>
        <v>54036</v>
      </c>
      <c r="DC82" s="199">
        <f t="shared" ref="DC82" ca="1" si="2775">DB82*$Z82</f>
        <v>54036.007024680002</v>
      </c>
      <c r="DD82" s="216">
        <f t="shared" ref="DD82" ca="1" si="2776">IFERROR(DC82/CY$4,0)</f>
        <v>1.5071043409721482E-2</v>
      </c>
      <c r="DE82" s="202">
        <f t="shared" ref="DE82" ca="1" si="2777">DF82/$X82</f>
        <v>-2.6869236880522811</v>
      </c>
      <c r="DF82" s="203">
        <f t="shared" ref="DF82" ca="1" si="2778">DG82/$Z82</f>
        <v>-254.72036562735624</v>
      </c>
      <c r="DG82" s="203">
        <f t="shared" ref="DG82" ca="1" si="2779">DH82*CY$4</f>
        <v>-254.72039874100381</v>
      </c>
      <c r="DH82" s="204">
        <f t="shared" ref="DH82" ca="1" si="2780">IF(CY$6&lt;&gt;"",$O82,$N82)-DD82</f>
        <v>-7.1043409721482237E-5</v>
      </c>
      <c r="DI82" s="205"/>
      <c r="DJ82" s="206">
        <f t="shared" ref="DJ82" ca="1" si="2781">DI82*$X82</f>
        <v>0</v>
      </c>
      <c r="DK82" s="206">
        <f t="shared" ref="DK82" ca="1" si="2782">DJ82*$Z82</f>
        <v>0</v>
      </c>
      <c r="DL82" s="207">
        <f t="shared" ref="DL82" ca="1" si="2783">IFERROR(DK82/CY$4,0)</f>
        <v>0</v>
      </c>
      <c r="DM82" s="391">
        <f t="shared" ref="DM82" si="2784">CY82+DI82</f>
        <v>570</v>
      </c>
      <c r="DN82" s="391">
        <f t="shared" ref="DN82" ca="1" si="2785">DB82+IF($T82 ="",DJ82,0)</f>
        <v>54036</v>
      </c>
      <c r="DO82" s="391">
        <f t="shared" ref="DO82" ca="1" si="2786">DN82*$Z82</f>
        <v>54036.007024680002</v>
      </c>
      <c r="DP82" s="394">
        <f t="shared" ref="DP82" ca="1" si="2787">IFERROR(DO82/CY$4,0)</f>
        <v>1.5071043409721482E-2</v>
      </c>
      <c r="DQ82" s="209" t="str">
        <f t="shared" ref="DQ82" ca="1" si="2788">IF(SUM(DD82,DL82,DP82)&lt;&gt;0,"V","")</f>
        <v>V</v>
      </c>
      <c r="DR82" s="197">
        <f>0+110</f>
        <v>110</v>
      </c>
      <c r="DS82" s="312">
        <f t="shared" ref="DS82" ca="1" si="2789">IFERROR($X82/DT82-1,"")</f>
        <v>-1.2191309784307602E-2</v>
      </c>
      <c r="DT82" s="395">
        <v>95.97</v>
      </c>
      <c r="DU82" s="199">
        <f t="shared" ref="DU82" ca="1" si="2790">DR82*$X82</f>
        <v>10428</v>
      </c>
      <c r="DV82" s="199">
        <f t="shared" ref="DV82" ca="1" si="2791">DU82*$Z82</f>
        <v>10428.001355640001</v>
      </c>
      <c r="DW82" s="216">
        <f t="shared" ref="DW82" ca="1" si="2792">IFERROR(DV82/DR$4,0)</f>
        <v>1.4859786876581429E-2</v>
      </c>
      <c r="DX82" s="202">
        <f t="shared" ref="DX82" ca="1" si="2793">DY82/$X82</f>
        <v>1.0379316812645305</v>
      </c>
      <c r="DY82" s="203">
        <f t="shared" ref="DY82" ca="1" si="2794">DZ82/$Z82</f>
        <v>98.395923383877488</v>
      </c>
      <c r="DZ82" s="203">
        <f t="shared" ref="DZ82" ca="1" si="2795">EA82*DR$4</f>
        <v>98.395936175347543</v>
      </c>
      <c r="EA82" s="204">
        <f t="shared" ref="EA82" ca="1" si="2796">IF(DR$6&lt;&gt;"",$O82,$N82)-DW82</f>
        <v>1.4021312341857065E-4</v>
      </c>
      <c r="EB82" s="205"/>
      <c r="EC82" s="206">
        <f t="shared" ref="EC82" ca="1" si="2797">EB82*$X82</f>
        <v>0</v>
      </c>
      <c r="ED82" s="206">
        <f t="shared" ref="ED82" ca="1" si="2798">EC82*$Z82</f>
        <v>0</v>
      </c>
      <c r="EE82" s="207">
        <f t="shared" ref="EE82" ca="1" si="2799">IFERROR(ED82/DR$4,0)</f>
        <v>0</v>
      </c>
      <c r="EF82" s="391">
        <f t="shared" ref="EF82" si="2800">DR82+EB82</f>
        <v>110</v>
      </c>
      <c r="EG82" s="391">
        <f t="shared" ref="EG82" ca="1" si="2801">DU82+IF($T82 ="",EC82,0)</f>
        <v>10428</v>
      </c>
      <c r="EH82" s="391">
        <f t="shared" ref="EH82" ca="1" si="2802">EG82*$Z82</f>
        <v>10428.001355640001</v>
      </c>
      <c r="EI82" s="394">
        <f t="shared" ref="EI82" ca="1" si="2803">IFERROR(EH82/DR$4,0)</f>
        <v>1.4859786876581429E-2</v>
      </c>
      <c r="EJ82" s="214"/>
      <c r="EK82" s="312" t="str">
        <f t="shared" ref="EK82" ca="1" si="2804">IFERROR($X82/EL82-1,"")</f>
        <v/>
      </c>
      <c r="EL82" s="222"/>
      <c r="EM82" s="199">
        <f t="shared" ref="EM82" ca="1" si="2805">EJ82*$X82</f>
        <v>0</v>
      </c>
      <c r="EN82" s="199">
        <f t="shared" ref="EN82" ca="1" si="2806">EM82*$Z82</f>
        <v>0</v>
      </c>
      <c r="EO82" s="216">
        <f t="shared" ref="EO82" ca="1" si="2807">IFERROR(EN82/EJ$4,0)</f>
        <v>0</v>
      </c>
      <c r="EP82" s="202">
        <f t="shared" ref="EP82" ca="1" si="2808">EQ82/$X82</f>
        <v>112.30191715911553</v>
      </c>
      <c r="EQ82" s="203">
        <f t="shared" ref="EQ82" ca="1" si="2809">ER82/$Z82</f>
        <v>10646.221746684152</v>
      </c>
      <c r="ER82" s="203">
        <f t="shared" ref="ER82" ca="1" si="2810">ES82*EJ$4</f>
        <v>10646.223130692981</v>
      </c>
      <c r="ES82" s="204">
        <f t="shared" ref="ES82" ca="1" si="2811">IF(EJ$6&lt;&gt;"",$O82,$N82)-EO82</f>
        <v>1.4999999999999999E-2</v>
      </c>
      <c r="ET82" s="205"/>
      <c r="EU82" s="206">
        <f t="shared" ref="EU82" ca="1" si="2812">ET82*$X82</f>
        <v>0</v>
      </c>
      <c r="EV82" s="206">
        <f t="shared" ref="EV82" ca="1" si="2813">EU82*$Z82</f>
        <v>0</v>
      </c>
      <c r="EW82" s="207">
        <f t="shared" ref="EW82" ca="1" si="2814">IFERROR(EV82/EJ$4,0)</f>
        <v>0</v>
      </c>
      <c r="EX82" s="391">
        <f t="shared" ref="EX82" si="2815">EJ82+ET82</f>
        <v>0</v>
      </c>
      <c r="EY82" s="391">
        <f t="shared" ref="EY82" ca="1" si="2816">EM82+IF($T82 ="",EU82,0)</f>
        <v>0</v>
      </c>
      <c r="EZ82" s="391">
        <f t="shared" ref="EZ82" ca="1" si="2817">EY82*$Z82</f>
        <v>0</v>
      </c>
      <c r="FA82" s="394">
        <f t="shared" ref="FA82" ca="1" si="2818">IFERROR(EZ82/EJ$4,0)</f>
        <v>0</v>
      </c>
      <c r="FB82" s="212" t="str">
        <f t="shared" ref="FB82" ca="1" si="2819">IF(SUM(EO82,EW82,FA82)&lt;&gt;0,"V","")</f>
        <v/>
      </c>
      <c r="FC82" s="214"/>
      <c r="FD82" s="312" t="str">
        <f t="shared" ref="FD82" ca="1" si="2820">IFERROR($X82/FE82-1,"")</f>
        <v/>
      </c>
      <c r="FE82" s="215"/>
      <c r="FF82" s="199">
        <f t="shared" ref="FF82" ca="1" si="2821">FC82*$X82</f>
        <v>0</v>
      </c>
      <c r="FG82" s="199">
        <f t="shared" ref="FG82" ca="1" si="2822">FF82*$Z82</f>
        <v>0</v>
      </c>
      <c r="FH82" s="216">
        <f t="shared" ref="FH82" ca="1" si="2823">IFERROR(FG82/FC$4,0)</f>
        <v>0</v>
      </c>
      <c r="FI82" s="202">
        <f t="shared" ref="FI82" ca="1" si="2824">FJ82/$X82</f>
        <v>721.14347264708113</v>
      </c>
      <c r="FJ82" s="203">
        <f t="shared" ref="FJ82" ca="1" si="2825">FK82/$Z82</f>
        <v>68364.401206943294</v>
      </c>
      <c r="FK82" s="203">
        <f t="shared" ref="FK82" ca="1" si="2826">FL82*FC$4</f>
        <v>68364.410094315463</v>
      </c>
      <c r="FL82" s="204">
        <f t="shared" ref="FL82" ca="1" si="2827">IF(FC$6&lt;&gt;"",$O82,$N82)-FH82</f>
        <v>1.4999999999999999E-2</v>
      </c>
      <c r="FM82" s="205"/>
      <c r="FN82" s="206">
        <f t="shared" ref="FN82" ca="1" si="2828">FM82*$X82</f>
        <v>0</v>
      </c>
      <c r="FO82" s="206">
        <f t="shared" ref="FO82" ca="1" si="2829">FN82*$Z82</f>
        <v>0</v>
      </c>
      <c r="FP82" s="207">
        <f t="shared" ref="FP82" ca="1" si="2830">IFERROR(FO82/FC$4,0)</f>
        <v>0</v>
      </c>
      <c r="FQ82" s="391">
        <f t="shared" ref="FQ82" si="2831">FC82+FM82</f>
        <v>0</v>
      </c>
      <c r="FR82" s="391">
        <f t="shared" ref="FR82" ca="1" si="2832">FF82+IF($T82 ="",FN82,0)</f>
        <v>0</v>
      </c>
      <c r="FS82" s="391">
        <f t="shared" ref="FS82" ca="1" si="2833">FR82*$Z82</f>
        <v>0</v>
      </c>
      <c r="FT82" s="394">
        <f t="shared" ref="FT82" ca="1" si="2834">IFERROR(FS82/FC$4,0)</f>
        <v>0</v>
      </c>
      <c r="FU82" s="209" t="str">
        <f t="shared" ref="FU82" ca="1" si="2835">IF(SUM(FH82,FP82,FT82)&lt;&gt;0,"V","")</f>
        <v/>
      </c>
    </row>
    <row r="83" spans="1:177" outlineLevel="2" x14ac:dyDescent="0.2">
      <c r="A83" s="366"/>
      <c r="B83" s="366"/>
      <c r="C83" s="367" t="str">
        <f t="shared" ca="1" si="2571"/>
        <v>CH0012214059:CHF</v>
      </c>
      <c r="D83" s="368" t="str">
        <f t="shared" ca="1" si="2572"/>
        <v>CH0012214059</v>
      </c>
      <c r="E83" s="369" t="str">
        <f t="shared" ca="1" si="2572"/>
        <v>1221405</v>
      </c>
      <c r="F83" s="390" t="s">
        <v>485</v>
      </c>
      <c r="G83" s="371"/>
      <c r="H83" s="1713" t="str">
        <f t="shared" ca="1" si="2530"/>
        <v></v>
      </c>
      <c r="I83" s="1683" t="str">
        <f t="shared" ca="1" si="2573"/>
        <v>i</v>
      </c>
      <c r="J83" s="1713" t="str">
        <f t="shared" ca="1" si="2574"/>
        <v></v>
      </c>
      <c r="K83" s="1716" t="str">
        <f t="shared" ca="1" si="2574"/>
        <v></v>
      </c>
      <c r="L83" s="1717" t="str">
        <f t="shared" ca="1" si="2575"/>
        <v></v>
      </c>
      <c r="M83" s="366" t="str">
        <f t="shared" ca="1" si="2576"/>
        <v>Unit</v>
      </c>
      <c r="N83" s="372">
        <v>0</v>
      </c>
      <c r="O83" s="372"/>
      <c r="P83" s="373">
        <f t="shared" ca="1" si="2532"/>
        <v>0</v>
      </c>
      <c r="Q83" s="391">
        <f t="array" aca="1" ref="Q83" ca="1">SUM(IF($AA$15:$FT$15="I_pos",AA83:FT83))</f>
        <v>160</v>
      </c>
      <c r="R83" s="391">
        <f t="array" aca="1" ref="R83" ca="1">SUM(IF($AA$15:$FT$15="P_Pos",AA83:FT83))</f>
        <v>-160</v>
      </c>
      <c r="S83" s="367"/>
      <c r="T83" s="391"/>
      <c r="U83" s="375">
        <f t="shared" ca="1" si="2577"/>
        <v>-3.0127462340672002E-2</v>
      </c>
      <c r="V83" s="391">
        <f t="array" aca="1" ref="V83" ca="1">SUM(IF($AA$15:$FT$15="O_Pos",AA83:FT83))</f>
        <v>0</v>
      </c>
      <c r="W83" s="367" t="str">
        <f t="shared" ca="1" si="2578"/>
        <v>CHF</v>
      </c>
      <c r="X83" s="376">
        <f t="shared" ca="1" si="2533"/>
        <v>66.959999999999994</v>
      </c>
      <c r="Y83" s="393">
        <f t="shared" ca="1" si="2579"/>
        <v>2.3563279999999999E-2</v>
      </c>
      <c r="Z83" s="378">
        <f t="shared" ref="Z83:Z96" ca="1" si="2836">_xlfn.NUMBERVALUE(OFFSET(Origine,MATCH(W83&amp;"/"&amp;MRif,LUKB_Name,0),MATCH("Price",Intestazioni,0)-1,1,1))</f>
        <v>1.0000001300000001</v>
      </c>
      <c r="AA83" s="214">
        <f>200+-75+-125</f>
        <v>0</v>
      </c>
      <c r="AB83" s="312" t="str">
        <f t="shared" ref="AB83:AB96" ca="1" si="2837">IFERROR($X83/AC83-1,"")</f>
        <v/>
      </c>
      <c r="AC83" s="215"/>
      <c r="AD83" s="199">
        <f t="shared" ref="AD83:AD96" ca="1" si="2838">AA83*$X83</f>
        <v>0</v>
      </c>
      <c r="AE83" s="199">
        <f t="shared" ref="AE83:AE96" ca="1" si="2839">AD83*$Z83</f>
        <v>0</v>
      </c>
      <c r="AF83" s="216">
        <f t="shared" ca="1" si="2506"/>
        <v>0</v>
      </c>
      <c r="AG83" s="202">
        <f t="shared" ref="AG83:AG96" ca="1" si="2840">AH83/$X83</f>
        <v>0</v>
      </c>
      <c r="AH83" s="203">
        <f t="shared" ref="AH83:AH96" ca="1" si="2841">AI83/$Z83</f>
        <v>0</v>
      </c>
      <c r="AI83" s="203">
        <f t="shared" ref="AI83:AI96" ca="1" si="2842">AJ83*AA$4</f>
        <v>0</v>
      </c>
      <c r="AJ83" s="204">
        <f t="shared" ca="1" si="2535"/>
        <v>0</v>
      </c>
      <c r="AK83" s="205"/>
      <c r="AL83" s="206">
        <f t="shared" ref="AL83:AL96" ca="1" si="2843">AK83*$X83</f>
        <v>0</v>
      </c>
      <c r="AM83" s="206">
        <f t="shared" ref="AM83:AM96" ca="1" si="2844">AL83*$Z83</f>
        <v>0</v>
      </c>
      <c r="AN83" s="207">
        <f t="shared" ca="1" si="2507"/>
        <v>0</v>
      </c>
      <c r="AO83" s="391">
        <f t="shared" ref="AO83:AO88" si="2845">AA83+AK83</f>
        <v>0</v>
      </c>
      <c r="AP83" s="391">
        <f t="shared" ref="AP83:AP125" ca="1" si="2846">AD83+IF($T83 ="",AL83,0)</f>
        <v>0</v>
      </c>
      <c r="AQ83" s="391">
        <f t="shared" ref="AQ83:AQ96" ca="1" si="2847">AP83*$Z83</f>
        <v>0</v>
      </c>
      <c r="AR83" s="394">
        <f t="shared" ca="1" si="2520"/>
        <v>0</v>
      </c>
      <c r="AS83" s="209" t="str">
        <f t="shared" ca="1" si="29"/>
        <v/>
      </c>
      <c r="AT83" s="214">
        <f>700+-300+-400</f>
        <v>0</v>
      </c>
      <c r="AU83" s="312" t="str">
        <f t="shared" ref="AU83:AU96" ca="1" si="2848">IFERROR($X83/AV83-1,"")</f>
        <v/>
      </c>
      <c r="AV83" s="215"/>
      <c r="AW83" s="199">
        <f t="shared" ref="AW83:AW96" ca="1" si="2849">AT83*$X83</f>
        <v>0</v>
      </c>
      <c r="AX83" s="199">
        <f t="shared" ref="AX83:AX96" ca="1" si="2850">AW83*$Z83</f>
        <v>0</v>
      </c>
      <c r="AY83" s="216">
        <f t="shared" ca="1" si="2508"/>
        <v>0</v>
      </c>
      <c r="AZ83" s="202">
        <f t="shared" ref="AZ83:AZ96" ca="1" si="2851">BA83/$X83</f>
        <v>0</v>
      </c>
      <c r="BA83" s="203">
        <f t="shared" ref="BA83:BA96" ca="1" si="2852">BB83/$Z83</f>
        <v>0</v>
      </c>
      <c r="BB83" s="203">
        <f t="shared" ref="BB83:BB96" ca="1" si="2853">BC83*AT$4</f>
        <v>0</v>
      </c>
      <c r="BC83" s="204">
        <f t="shared" ca="1" si="2537"/>
        <v>0</v>
      </c>
      <c r="BD83" s="205"/>
      <c r="BE83" s="206">
        <f t="shared" ref="BE83:BE96" ca="1" si="2854">BD83*$X83</f>
        <v>0</v>
      </c>
      <c r="BF83" s="206">
        <f t="shared" ref="BF83:BF96" ca="1" si="2855">BE83*$Z83</f>
        <v>0</v>
      </c>
      <c r="BG83" s="207">
        <f t="shared" ca="1" si="2509"/>
        <v>0</v>
      </c>
      <c r="BH83" s="391">
        <f t="shared" ref="BH83:BH86" si="2856">AT83+BD83</f>
        <v>0</v>
      </c>
      <c r="BI83" s="391">
        <f t="shared" ref="BI83:BI125" ca="1" si="2857">AW83+IF($T83 ="",BE83,0)</f>
        <v>0</v>
      </c>
      <c r="BJ83" s="391">
        <f t="shared" ref="BJ83:BJ96" ca="1" si="2858">BI83*$Z83</f>
        <v>0</v>
      </c>
      <c r="BK83" s="394">
        <f t="shared" ca="1" si="2522"/>
        <v>0</v>
      </c>
      <c r="BL83" s="211" t="str">
        <f t="shared" ca="1" si="34"/>
        <v/>
      </c>
      <c r="BM83" s="214">
        <f>135+-65+-70</f>
        <v>0</v>
      </c>
      <c r="BN83" s="312" t="str">
        <f t="shared" ref="BN83:BN96" ca="1" si="2859">IFERROR($X83/BO83-1,"")</f>
        <v/>
      </c>
      <c r="BO83" s="215"/>
      <c r="BP83" s="199">
        <f t="shared" ref="BP83:BP86" ca="1" si="2860">BM83*$X83</f>
        <v>0</v>
      </c>
      <c r="BQ83" s="199">
        <f t="shared" ref="BQ83:BQ96" ca="1" si="2861">BP83*$Z83</f>
        <v>0</v>
      </c>
      <c r="BR83" s="216">
        <f t="shared" ref="BR83:BR86" ca="1" si="2862">IFERROR(BQ83/BM$4,0)</f>
        <v>0</v>
      </c>
      <c r="BS83" s="202">
        <f t="shared" ref="BS83:BS96" ca="1" si="2863">BT83/$X83</f>
        <v>0</v>
      </c>
      <c r="BT83" s="203">
        <f t="shared" ref="BT83:BT96" ca="1" si="2864">BU83/$Z83</f>
        <v>0</v>
      </c>
      <c r="BU83" s="203">
        <f t="shared" ref="BU83:BU86" ca="1" si="2865">BV83*BM$4</f>
        <v>0</v>
      </c>
      <c r="BV83" s="204">
        <f t="shared" ca="1" si="2541"/>
        <v>0</v>
      </c>
      <c r="BW83" s="205"/>
      <c r="BX83" s="206">
        <f t="shared" ref="BX83:BX96" ca="1" si="2866">BW83*$X83</f>
        <v>0</v>
      </c>
      <c r="BY83" s="206">
        <f t="shared" ref="BY83:BY96" ca="1" si="2867">BX83*$Z83</f>
        <v>0</v>
      </c>
      <c r="BZ83" s="207">
        <f t="shared" ref="BZ83:BZ86" ca="1" si="2868">IFERROR(BY83/BM$4,0)</f>
        <v>0</v>
      </c>
      <c r="CA83" s="391">
        <f t="shared" ref="CA83:CA86" si="2869">BM83+BW83</f>
        <v>0</v>
      </c>
      <c r="CB83" s="391">
        <f t="shared" ref="CB83:CB125" ca="1" si="2870">BP83+IF($T83 ="",BX83,0)</f>
        <v>0</v>
      </c>
      <c r="CC83" s="391">
        <f t="shared" ref="CC83:CC96" ca="1" si="2871">CB83*$Z83</f>
        <v>0</v>
      </c>
      <c r="CD83" s="394">
        <f t="shared" ca="1" si="2524"/>
        <v>0</v>
      </c>
      <c r="CE83" s="212" t="str">
        <f t="shared" ca="1" si="39"/>
        <v/>
      </c>
      <c r="CF83" s="214">
        <f>275+125+-200+-200</f>
        <v>0</v>
      </c>
      <c r="CG83" s="312" t="str">
        <f t="shared" ref="CG83:CG96" ca="1" si="2872">IFERROR($X83/CH83-1,"")</f>
        <v/>
      </c>
      <c r="CH83" s="215"/>
      <c r="CI83" s="199">
        <f t="shared" ref="CI83:CI96" ca="1" si="2873">CF83*$X83</f>
        <v>0</v>
      </c>
      <c r="CJ83" s="199">
        <f t="shared" ref="CJ83:CJ96" ca="1" si="2874">CI83*$Z83</f>
        <v>0</v>
      </c>
      <c r="CK83" s="216">
        <f t="shared" ca="1" si="8"/>
        <v>0</v>
      </c>
      <c r="CL83" s="202">
        <f t="shared" ref="CL83:CL96" ca="1" si="2875">CM83/$X83</f>
        <v>0</v>
      </c>
      <c r="CM83" s="203">
        <f t="shared" ref="CM83:CM96" ca="1" si="2876">CN83/$Z83</f>
        <v>0</v>
      </c>
      <c r="CN83" s="203">
        <f t="shared" ref="CN83:CN96" ca="1" si="2877">CO83*CF$4</f>
        <v>0</v>
      </c>
      <c r="CO83" s="204">
        <f t="shared" ca="1" si="2543"/>
        <v>0</v>
      </c>
      <c r="CP83" s="205"/>
      <c r="CQ83" s="206">
        <f t="shared" ref="CQ83:CQ96" ca="1" si="2878">CP83*$X83</f>
        <v>0</v>
      </c>
      <c r="CR83" s="206">
        <f t="shared" ref="CR83:CR96" ca="1" si="2879">CQ83*$Z83</f>
        <v>0</v>
      </c>
      <c r="CS83" s="207">
        <f t="shared" ca="1" si="9"/>
        <v>0</v>
      </c>
      <c r="CT83" s="391">
        <f t="shared" ref="CT83:CT86" si="2880">CF83+CP83</f>
        <v>0</v>
      </c>
      <c r="CU83" s="391">
        <f t="shared" ref="CU83:CU125" ca="1" si="2881">CI83+IF($T83 ="",CQ83,0)</f>
        <v>0</v>
      </c>
      <c r="CV83" s="391">
        <f t="shared" ref="CV83:CV96" ca="1" si="2882">CU83*$Z83</f>
        <v>0</v>
      </c>
      <c r="CW83" s="394">
        <f t="shared" ca="1" si="1996"/>
        <v>0</v>
      </c>
      <c r="CX83" s="211" t="str">
        <f t="shared" ca="1" si="47"/>
        <v/>
      </c>
      <c r="CY83" s="197">
        <f>600+-600+875+-875</f>
        <v>0</v>
      </c>
      <c r="CZ83" s="312" t="str">
        <f t="shared" ref="CZ83:CZ96" ca="1" si="2883">IFERROR($X83/DA83-1,"")</f>
        <v/>
      </c>
      <c r="DA83" s="395"/>
      <c r="DB83" s="199">
        <f t="shared" ref="DB83:DB96" ca="1" si="2884">CY83*$X83</f>
        <v>0</v>
      </c>
      <c r="DC83" s="199">
        <f t="shared" ref="DC83:DC96" ca="1" si="2885">DB83*$Z83</f>
        <v>0</v>
      </c>
      <c r="DD83" s="216">
        <f t="shared" ref="DD83:DD117" ca="1" si="2886">IFERROR(DC83/CY$4,0)</f>
        <v>0</v>
      </c>
      <c r="DE83" s="202">
        <f t="shared" ref="DE83:DE96" ca="1" si="2887">DF83/$X83</f>
        <v>0</v>
      </c>
      <c r="DF83" s="203">
        <f t="shared" ref="DF83:DF96" ca="1" si="2888">DG83/$Z83</f>
        <v>0</v>
      </c>
      <c r="DG83" s="203">
        <f t="shared" ref="DG83:DG96" ca="1" si="2889">DH83*CY$4</f>
        <v>0</v>
      </c>
      <c r="DH83" s="204">
        <f t="shared" ca="1" si="2545"/>
        <v>0</v>
      </c>
      <c r="DI83" s="205"/>
      <c r="DJ83" s="206">
        <f t="shared" ref="DJ83:DJ96" ca="1" si="2890">DI83*$X83</f>
        <v>0</v>
      </c>
      <c r="DK83" s="206">
        <f t="shared" ref="DK83:DK96" ca="1" si="2891">DJ83*$Z83</f>
        <v>0</v>
      </c>
      <c r="DL83" s="207">
        <f t="shared" ref="DL83:DL117" ca="1" si="2892">IFERROR(DK83/CY$4,0)</f>
        <v>0</v>
      </c>
      <c r="DM83" s="391">
        <f t="shared" ref="DM83" si="2893">CY83+DI83</f>
        <v>0</v>
      </c>
      <c r="DN83" s="391">
        <f t="shared" ref="DN83:DN125" ca="1" si="2894">DB83+IF($T83 ="",DJ83,0)</f>
        <v>0</v>
      </c>
      <c r="DO83" s="391">
        <f t="shared" ref="DO83:DO85" ca="1" si="2895">DN83*$Z83</f>
        <v>0</v>
      </c>
      <c r="DP83" s="394">
        <f t="shared" ca="1" si="2511"/>
        <v>0</v>
      </c>
      <c r="DQ83" s="209" t="str">
        <f t="shared" ca="1" si="55"/>
        <v/>
      </c>
      <c r="DR83" s="197">
        <f>90+-90</f>
        <v>0</v>
      </c>
      <c r="DS83" s="312" t="str">
        <f t="shared" ref="DS83:DS93" ca="1" si="2896">IFERROR($X83/DT83-1,"")</f>
        <v/>
      </c>
      <c r="DT83" s="395"/>
      <c r="DU83" s="199">
        <f t="shared" ref="DU83:DU90" ca="1" si="2897">DR83*$X83</f>
        <v>0</v>
      </c>
      <c r="DV83" s="199">
        <f t="shared" ref="DV83:DV93" ca="1" si="2898">DU83*$Z83</f>
        <v>0</v>
      </c>
      <c r="DW83" s="216">
        <f t="shared" ref="DW83:DW93" ca="1" si="2899">IFERROR(DV83/DR$4,0)</f>
        <v>0</v>
      </c>
      <c r="DX83" s="202">
        <f t="shared" ref="DX83:DX93" ca="1" si="2900">DY83/$X83</f>
        <v>0</v>
      </c>
      <c r="DY83" s="203">
        <f t="shared" ref="DY83:DY93" ca="1" si="2901">DZ83/$Z83</f>
        <v>0</v>
      </c>
      <c r="DZ83" s="203">
        <f t="shared" ref="DZ83:DZ93" ca="1" si="2902">EA83*DR$4</f>
        <v>0</v>
      </c>
      <c r="EA83" s="204">
        <f t="shared" ca="1" si="2546"/>
        <v>0</v>
      </c>
      <c r="EB83" s="205"/>
      <c r="EC83" s="206">
        <f t="shared" ref="EC83:EC93" ca="1" si="2903">EB83*$X83</f>
        <v>0</v>
      </c>
      <c r="ED83" s="206">
        <f t="shared" ref="ED83:ED93" ca="1" si="2904">EC83*$Z83</f>
        <v>0</v>
      </c>
      <c r="EE83" s="207">
        <f t="shared" ref="EE83:EE93" ca="1" si="2905">IFERROR(ED83/DR$4,0)</f>
        <v>0</v>
      </c>
      <c r="EF83" s="391">
        <f t="shared" ref="EF83" si="2906">DR83+EB83</f>
        <v>0</v>
      </c>
      <c r="EG83" s="391">
        <f t="shared" ref="EG83:EG93" ca="1" si="2907">DU83+IF($T83 ="",EC83,0)</f>
        <v>0</v>
      </c>
      <c r="EH83" s="391">
        <f t="shared" ref="EH83:EH93" ca="1" si="2908">EG83*$Z83</f>
        <v>0</v>
      </c>
      <c r="EI83" s="394">
        <f t="shared" ref="EI83:EI93" ca="1" si="2909">IFERROR(EH83/DR$4,0)</f>
        <v>0</v>
      </c>
      <c r="EJ83" s="214">
        <f>315+-155</f>
        <v>160</v>
      </c>
      <c r="EK83" s="312">
        <f t="shared" ref="EK83:EK96" ca="1" si="2910">IFERROR($X83/EL83-1,"")</f>
        <v>0.46485849108199551</v>
      </c>
      <c r="EL83" s="222">
        <v>45.710900000000002</v>
      </c>
      <c r="EM83" s="199">
        <f t="shared" ref="EM83:EM96" ca="1" si="2911">EJ83*$X83</f>
        <v>10713.599999999999</v>
      </c>
      <c r="EN83" s="199">
        <f t="shared" ref="EN83:EN96" ca="1" si="2912">EM83*$Z83</f>
        <v>10713.601392768</v>
      </c>
      <c r="EO83" s="216">
        <f t="shared" ca="1" si="2514"/>
        <v>1.5094932627159722E-2</v>
      </c>
      <c r="EP83" s="202">
        <f t="shared" ref="EP83:EP96" ca="1" si="2913">EQ83/$X83</f>
        <v>-160</v>
      </c>
      <c r="EQ83" s="203">
        <f t="shared" ref="EQ83:EQ96" ca="1" si="2914">ER83/$Z83</f>
        <v>-10713.599999999999</v>
      </c>
      <c r="ER83" s="203">
        <f t="shared" ref="ER83:ER96" ca="1" si="2915">ES83*EJ$4</f>
        <v>-10713.601392768</v>
      </c>
      <c r="ES83" s="204">
        <f t="shared" ca="1" si="2547"/>
        <v>-1.5094932627159722E-2</v>
      </c>
      <c r="ET83" s="205"/>
      <c r="EU83" s="206">
        <f t="shared" ref="EU83:EU96" ca="1" si="2916">ET83*$X83</f>
        <v>0</v>
      </c>
      <c r="EV83" s="206">
        <f t="shared" ref="EV83:EV96" ca="1" si="2917">EU83*$Z83</f>
        <v>0</v>
      </c>
      <c r="EW83" s="207">
        <f t="shared" ca="1" si="2515"/>
        <v>0</v>
      </c>
      <c r="EX83" s="391">
        <f t="shared" ref="EX83:EX86" si="2918">EJ83+ET83</f>
        <v>160</v>
      </c>
      <c r="EY83" s="391">
        <f t="shared" ref="EY83:EY125" ca="1" si="2919">EM83+IF($T83 ="",EU83,0)</f>
        <v>10713.599999999999</v>
      </c>
      <c r="EZ83" s="391">
        <f t="shared" ref="EZ83:EZ96" ca="1" si="2920">EY83*$Z83</f>
        <v>10713.601392768</v>
      </c>
      <c r="FA83" s="394">
        <f t="shared" ca="1" si="2526"/>
        <v>1.5094932627159722E-2</v>
      </c>
      <c r="FB83" s="212" t="str">
        <f t="shared" ca="1" si="66"/>
        <v>V</v>
      </c>
      <c r="FC83" s="214"/>
      <c r="FD83" s="312" t="str">
        <f t="shared" ref="FD83:FD96" ca="1" si="2921">IFERROR($X83/FE83-1,"")</f>
        <v/>
      </c>
      <c r="FE83" s="215"/>
      <c r="FF83" s="199">
        <f t="shared" ref="FF83:FF96" ca="1" si="2922">FC83*$X83</f>
        <v>0</v>
      </c>
      <c r="FG83" s="199">
        <f t="shared" ref="FG83:FG96" ca="1" si="2923">FF83*$Z83</f>
        <v>0</v>
      </c>
      <c r="FH83" s="216">
        <f t="shared" ca="1" si="2516"/>
        <v>0</v>
      </c>
      <c r="FI83" s="202">
        <f t="shared" ref="FI83:FI96" ca="1" si="2924">FJ83/$X83</f>
        <v>0</v>
      </c>
      <c r="FJ83" s="203">
        <f t="shared" ref="FJ83:FJ96" ca="1" si="2925">FK83/$Z83</f>
        <v>0</v>
      </c>
      <c r="FK83" s="203">
        <f t="shared" ref="FK83:FK96" ca="1" si="2926">FL83*FC$4</f>
        <v>0</v>
      </c>
      <c r="FL83" s="204">
        <f t="shared" ca="1" si="2549"/>
        <v>0</v>
      </c>
      <c r="FM83" s="205"/>
      <c r="FN83" s="206">
        <f t="shared" ref="FN83:FN96" ca="1" si="2927">FM83*$X83</f>
        <v>0</v>
      </c>
      <c r="FO83" s="206">
        <f t="shared" ref="FO83:FO96" ca="1" si="2928">FN83*$Z83</f>
        <v>0</v>
      </c>
      <c r="FP83" s="207">
        <f t="shared" ca="1" si="2517"/>
        <v>0</v>
      </c>
      <c r="FQ83" s="391">
        <f t="shared" ref="FQ83:FQ86" si="2929">FC83+FM83</f>
        <v>0</v>
      </c>
      <c r="FR83" s="391">
        <f t="shared" ref="FR83:FR125" ca="1" si="2930">FF83+IF($T83 ="",FN83,0)</f>
        <v>0</v>
      </c>
      <c r="FS83" s="391">
        <f t="shared" ref="FS83:FS96" ca="1" si="2931">FR83*$Z83</f>
        <v>0</v>
      </c>
      <c r="FT83" s="394">
        <f t="shared" ca="1" si="2528"/>
        <v>0</v>
      </c>
      <c r="FU83" s="209" t="str">
        <f t="shared" ca="1" si="71"/>
        <v/>
      </c>
    </row>
    <row r="84" spans="1:177" s="413" customFormat="1" outlineLevel="2" x14ac:dyDescent="0.2">
      <c r="A84" s="396"/>
      <c r="B84" s="396"/>
      <c r="C84" s="390" t="str">
        <f t="shared" ca="1" si="2571"/>
        <v>CH0030380734:CHF</v>
      </c>
      <c r="D84" s="397" t="str">
        <f t="shared" ca="1" si="2572"/>
        <v>CH0030380734</v>
      </c>
      <c r="E84" s="398" t="str">
        <f t="shared" ca="1" si="2572"/>
        <v>3038073</v>
      </c>
      <c r="F84" s="390" t="s">
        <v>4417</v>
      </c>
      <c r="G84" s="371"/>
      <c r="H84" s="1718" t="str">
        <f t="shared" ca="1" si="2530"/>
        <v></v>
      </c>
      <c r="I84" s="1684" t="str">
        <f t="shared" ca="1" si="2573"/>
        <v/>
      </c>
      <c r="J84" s="1718" t="str">
        <f t="shared" ca="1" si="2574"/>
        <v/>
      </c>
      <c r="K84" s="1719" t="str">
        <f t="shared" ca="1" si="2574"/>
        <v/>
      </c>
      <c r="L84" s="1720" t="str">
        <f t="shared" ca="1" si="2575"/>
        <v/>
      </c>
      <c r="M84" s="396" t="str">
        <f t="shared" ca="1" si="2576"/>
        <v>Unit</v>
      </c>
      <c r="N84" s="372">
        <v>1.4999999999999999E-2</v>
      </c>
      <c r="O84" s="372"/>
      <c r="P84" s="373">
        <f t="shared" ca="1" si="2532"/>
        <v>1.7472685896940947E-2</v>
      </c>
      <c r="Q84" s="399">
        <f t="array" aca="1" ref="Q84" ca="1">SUM(IF($AA$15:$FT$15="I_pos",AA84:FT84))</f>
        <v>725</v>
      </c>
      <c r="R84" s="399">
        <f t="array" aca="1" ref="R84" ca="1">SUM(IF($AA$15:$FT$15="P_Pos",AA84:FT84))</f>
        <v>358.61453767801027</v>
      </c>
      <c r="S84" s="390"/>
      <c r="T84" s="399"/>
      <c r="U84" s="400">
        <f t="shared" ca="1" si="2577"/>
        <v>-6.1458333333333302E-2</v>
      </c>
      <c r="V84" s="399">
        <f t="array" aca="1" ref="V84" ca="1">SUM(IF($AA$15:$FT$15="O_Pos",AA84:FT84))</f>
        <v>0</v>
      </c>
      <c r="W84" s="390" t="str">
        <f t="shared" ca="1" si="2578"/>
        <v>CHF</v>
      </c>
      <c r="X84" s="376">
        <f t="shared" ca="1" si="2533"/>
        <v>180.2</v>
      </c>
      <c r="Y84" s="401">
        <f t="shared" ca="1" si="2579"/>
        <v>1.0543840000000001E-2</v>
      </c>
      <c r="Z84" s="402">
        <f t="shared" ref="Z84" ca="1" si="2932">_xlfn.NUMBERVALUE(OFFSET(Origine,MATCH(W84&amp;"/"&amp;MRif,LUKB_Name,0),MATCH("Price",Intestazioni,0)-1,1,1))</f>
        <v>1.0000001300000001</v>
      </c>
      <c r="AA84" s="197">
        <f>55</f>
        <v>55</v>
      </c>
      <c r="AB84" s="403">
        <f t="shared" ref="AB84" ca="1" si="2933">IFERROR($X84/AC84-1,"")</f>
        <v>0.1566704323713668</v>
      </c>
      <c r="AC84" s="198">
        <v>155.792</v>
      </c>
      <c r="AD84" s="200">
        <f t="shared" ref="AD84" ca="1" si="2934">AA84*$X84</f>
        <v>9911</v>
      </c>
      <c r="AE84" s="200">
        <f t="shared" ref="AE84" ca="1" si="2935">AD84*$Z84</f>
        <v>9911.0012884300013</v>
      </c>
      <c r="AF84" s="201">
        <f t="shared" ref="AF84" ca="1" si="2936">IFERROR(AE84/AA$4,0)</f>
        <v>1.7651062532081523E-2</v>
      </c>
      <c r="AG84" s="404">
        <f t="shared" ref="AG84" ca="1" si="2937">AH84/$X84</f>
        <v>-8.2606040854181462</v>
      </c>
      <c r="AH84" s="405">
        <f t="shared" ref="AH84" ca="1" si="2938">AI84/$Z84</f>
        <v>-1488.56085619235</v>
      </c>
      <c r="AI84" s="405">
        <f t="shared" ref="AI84" ca="1" si="2939">AJ84*AA$4</f>
        <v>-1488.5610497052614</v>
      </c>
      <c r="AJ84" s="406">
        <f t="shared" ref="AJ84" ca="1" si="2940">IF(AA$6&lt;&gt;"",$O84,$N84)-AF84</f>
        <v>-2.6510625320815238E-3</v>
      </c>
      <c r="AK84" s="407"/>
      <c r="AL84" s="408">
        <f t="shared" ref="AL84" ca="1" si="2941">AK84*$X84</f>
        <v>0</v>
      </c>
      <c r="AM84" s="408">
        <f t="shared" ref="AM84" ca="1" si="2942">AL84*$Z84</f>
        <v>0</v>
      </c>
      <c r="AN84" s="409">
        <f t="shared" ref="AN84" ca="1" si="2943">IFERROR(AM84/AA$4,0)</f>
        <v>0</v>
      </c>
      <c r="AO84" s="399">
        <f t="shared" ref="AO84" si="2944">AA84+AK84</f>
        <v>55</v>
      </c>
      <c r="AP84" s="399">
        <f t="shared" ref="AP84" ca="1" si="2945">AD84+IF($T84 ="",AL84,0)</f>
        <v>9911</v>
      </c>
      <c r="AQ84" s="399">
        <f t="shared" ref="AQ84" ca="1" si="2946">AP84*$Z84</f>
        <v>9911.0012884300013</v>
      </c>
      <c r="AR84" s="410">
        <f t="shared" ref="AR84" ca="1" si="2947">IFERROR(AQ84/AA$4,0)</f>
        <v>1.7651062532081523E-2</v>
      </c>
      <c r="AS84" s="315" t="str">
        <f t="shared" ref="AS84" ca="1" si="2948">IF(SUM(AF84,AN84,AR84)&lt;&gt;0,"V","")</f>
        <v>V</v>
      </c>
      <c r="AT84" s="197">
        <f>165</f>
        <v>165</v>
      </c>
      <c r="AU84" s="403">
        <f t="shared" ref="AU84" ca="1" si="2949">IFERROR($X84/AV84-1,"")</f>
        <v>0.1566704323713668</v>
      </c>
      <c r="AV84" s="198">
        <v>155.792</v>
      </c>
      <c r="AW84" s="200">
        <f t="shared" ref="AW84" ca="1" si="2950">AT84*$X84</f>
        <v>29732.999999999996</v>
      </c>
      <c r="AX84" s="200">
        <f t="shared" ref="AX84" ca="1" si="2951">AW84*$Z84</f>
        <v>29733.00386529</v>
      </c>
      <c r="AY84" s="201">
        <f t="shared" ref="AY84" ca="1" si="2952">IFERROR(AX84/AT$4,0)</f>
        <v>1.7168427210590913E-2</v>
      </c>
      <c r="AZ84" s="404">
        <f t="shared" ref="AZ84" ca="1" si="2953">BA84/$X84</f>
        <v>-20.840027182384286</v>
      </c>
      <c r="BA84" s="405">
        <f t="shared" ref="BA84" ca="1" si="2954">BB84/$Z84</f>
        <v>-3755.3728982656485</v>
      </c>
      <c r="BB84" s="405">
        <f t="shared" ref="BB84" ca="1" si="2955">BC84*AT$4</f>
        <v>-3755.3733864641258</v>
      </c>
      <c r="BC84" s="406">
        <f t="shared" ref="BC84" ca="1" si="2956">IF(AT$6&lt;&gt;"",$O84,$N84)-AY84</f>
        <v>-2.1684272105909133E-3</v>
      </c>
      <c r="BD84" s="407"/>
      <c r="BE84" s="408">
        <f t="shared" ref="BE84" ca="1" si="2957">BD84*$X84</f>
        <v>0</v>
      </c>
      <c r="BF84" s="408">
        <f t="shared" ref="BF84" ca="1" si="2958">BE84*$Z84</f>
        <v>0</v>
      </c>
      <c r="BG84" s="409">
        <f t="shared" ref="BG84" ca="1" si="2959">IFERROR(BF84/AT$4,0)</f>
        <v>0</v>
      </c>
      <c r="BH84" s="399">
        <f t="shared" ref="BH84" si="2960">AT84+BD84</f>
        <v>165</v>
      </c>
      <c r="BI84" s="399">
        <f t="shared" ref="BI84" ca="1" si="2961">AW84+IF($T84 ="",BE84,0)</f>
        <v>29732.999999999996</v>
      </c>
      <c r="BJ84" s="399">
        <f t="shared" ref="BJ84" ca="1" si="2962">BI84*$Z84</f>
        <v>29733.00386529</v>
      </c>
      <c r="BK84" s="410">
        <f t="shared" ref="BK84" ca="1" si="2963">IFERROR(BJ84/AT$4,0)</f>
        <v>1.7168427210590913E-2</v>
      </c>
      <c r="BL84" s="211" t="str">
        <f t="shared" ref="BL84" ca="1" si="2964">IF(SUM(AY84,BG84,BK84)&lt;&gt;0,"V","")</f>
        <v>V</v>
      </c>
      <c r="BM84" s="197">
        <f>30</f>
        <v>30</v>
      </c>
      <c r="BN84" s="403">
        <f t="shared" ref="BN84" ca="1" si="2965">IFERROR($X84/BO84-1,"")</f>
        <v>0.1566704323713668</v>
      </c>
      <c r="BO84" s="198">
        <v>155.792</v>
      </c>
      <c r="BP84" s="200">
        <f t="shared" ref="BP84" ca="1" si="2966">BM84*$X84</f>
        <v>5406</v>
      </c>
      <c r="BQ84" s="200">
        <f t="shared" ref="BQ84" ca="1" si="2967">BP84*$Z84</f>
        <v>5406.0007027800002</v>
      </c>
      <c r="BR84" s="201">
        <f t="shared" ref="BR84" ca="1" si="2968">IFERROR(BQ84/BM$4,0)</f>
        <v>1.8970271090340093E-2</v>
      </c>
      <c r="BS84" s="404">
        <f t="shared" ref="BS84" ca="1" si="2969">BT84/$X84</f>
        <v>-6.2786732009778294</v>
      </c>
      <c r="BT84" s="405">
        <f t="shared" ref="BT84" ca="1" si="2970">BU84/$Z84</f>
        <v>-1131.4169108162048</v>
      </c>
      <c r="BU84" s="405">
        <f t="shared" ref="BU84" ca="1" si="2971">BV84*BM$4</f>
        <v>-1131.4170579004033</v>
      </c>
      <c r="BV84" s="406">
        <f t="shared" ref="BV84" ca="1" si="2972">IF(BM$6&lt;&gt;"",$O84,$N84)-BR84</f>
        <v>-3.970271090340094E-3</v>
      </c>
      <c r="BW84" s="407"/>
      <c r="BX84" s="408">
        <f t="shared" ref="BX84" ca="1" si="2973">BW84*$X84</f>
        <v>0</v>
      </c>
      <c r="BY84" s="408">
        <f t="shared" ref="BY84" ca="1" si="2974">BX84*$Z84</f>
        <v>0</v>
      </c>
      <c r="BZ84" s="409">
        <f t="shared" ref="BZ84" ca="1" si="2975">IFERROR(BY84/BM$4,0)</f>
        <v>0</v>
      </c>
      <c r="CA84" s="399">
        <f t="shared" ref="CA84" si="2976">BM84+BW84</f>
        <v>30</v>
      </c>
      <c r="CB84" s="399">
        <f t="shared" ref="CB84" ca="1" si="2977">BP84+IF($T84 ="",BX84,0)</f>
        <v>5406</v>
      </c>
      <c r="CC84" s="399">
        <f t="shared" ref="CC84" ca="1" si="2978">CB84*$Z84</f>
        <v>5406.0007027800002</v>
      </c>
      <c r="CD84" s="410">
        <f t="shared" ref="CD84" ca="1" si="2979">IFERROR(CC84/BM$4,0)</f>
        <v>1.8970271090340093E-2</v>
      </c>
      <c r="CE84" s="211" t="str">
        <f t="shared" ref="CE84" ca="1" si="2980">IF(SUM(BR84,BZ84,CD84)&lt;&gt;0,"V","")</f>
        <v>V</v>
      </c>
      <c r="CF84" s="197">
        <f>80</f>
        <v>80</v>
      </c>
      <c r="CG84" s="403">
        <f t="shared" ref="CG84" ca="1" si="2981">IFERROR($X84/CH84-1,"")</f>
        <v>0.1566704323713668</v>
      </c>
      <c r="CH84" s="198">
        <v>155.792</v>
      </c>
      <c r="CI84" s="200">
        <f t="shared" ref="CI84" ca="1" si="2982">CF84*$X84</f>
        <v>14416</v>
      </c>
      <c r="CJ84" s="200">
        <f t="shared" ref="CJ84" ca="1" si="2983">CI84*$Z84</f>
        <v>14416.001874080001</v>
      </c>
      <c r="CK84" s="201">
        <f t="shared" ref="CK84" ca="1" si="2984">IFERROR(CJ84/CF$4,0)</f>
        <v>1.6290011817483883E-2</v>
      </c>
      <c r="CL84" s="404">
        <f t="shared" ref="CL84" ca="1" si="2985">CM84/$X84</f>
        <v>-6.3352283936311364</v>
      </c>
      <c r="CM84" s="405">
        <f t="shared" ref="CM84" ca="1" si="2986">CN84/$Z84</f>
        <v>-1141.6081565323307</v>
      </c>
      <c r="CN84" s="405">
        <f t="shared" ref="CN84" ca="1" si="2987">CO84*CF$4</f>
        <v>-1141.6083049413912</v>
      </c>
      <c r="CO84" s="406">
        <f t="shared" ref="CO84" ca="1" si="2988">IF(CF$6&lt;&gt;"",$O84,$N84)-CK84</f>
        <v>-1.2900118174838833E-3</v>
      </c>
      <c r="CP84" s="407"/>
      <c r="CQ84" s="408">
        <f t="shared" ref="CQ84" ca="1" si="2989">CP84*$X84</f>
        <v>0</v>
      </c>
      <c r="CR84" s="408">
        <f t="shared" ref="CR84" ca="1" si="2990">CQ84*$Z84</f>
        <v>0</v>
      </c>
      <c r="CS84" s="409">
        <f t="shared" ref="CS84" ca="1" si="2991">IFERROR(CR84/CF$4,0)</f>
        <v>0</v>
      </c>
      <c r="CT84" s="399">
        <f t="shared" ref="CT84" si="2992">CF84+CP84</f>
        <v>80</v>
      </c>
      <c r="CU84" s="399">
        <f t="shared" ref="CU84" ca="1" si="2993">CI84+IF($T84 ="",CQ84,0)</f>
        <v>14416</v>
      </c>
      <c r="CV84" s="399">
        <f t="shared" ref="CV84" ca="1" si="2994">CU84*$Z84</f>
        <v>14416.001874080001</v>
      </c>
      <c r="CW84" s="410">
        <f t="shared" ref="CW84" ca="1" si="2995">IFERROR(CV84/CF$4,0)</f>
        <v>1.6290011817483883E-2</v>
      </c>
      <c r="CX84" s="211" t="str">
        <f t="shared" ref="CX84" ca="1" si="2996">IF(SUM(CK84,CS84,CW84)&lt;&gt;0,"V","")</f>
        <v>V</v>
      </c>
      <c r="CY84" s="197">
        <f>350</f>
        <v>350</v>
      </c>
      <c r="CZ84" s="403">
        <f t="shared" ref="CZ84" ca="1" si="2997">IFERROR($X84/DA84-1,"")</f>
        <v>0.1566704323713668</v>
      </c>
      <c r="DA84" s="411">
        <v>155.792</v>
      </c>
      <c r="DB84" s="200">
        <f t="shared" ref="DB84" ca="1" si="2998">CY84*$X84</f>
        <v>63069.999999999993</v>
      </c>
      <c r="DC84" s="200">
        <f t="shared" ref="DC84" ca="1" si="2999">DB84*$Z84</f>
        <v>63070.008199099997</v>
      </c>
      <c r="DD84" s="201">
        <f t="shared" ref="DD84" ca="1" si="3000">IFERROR(DC84/CY$4,0)</f>
        <v>1.7590693386837178E-2</v>
      </c>
      <c r="DE84" s="404">
        <f t="shared" ref="DE84" ca="1" si="3001">DF84/$X84</f>
        <v>-51.546727889163968</v>
      </c>
      <c r="DF84" s="405">
        <f t="shared" ref="DF84" ca="1" si="3002">DG84/$Z84</f>
        <v>-9288.7203656273468</v>
      </c>
      <c r="DG84" s="405">
        <f t="shared" ref="DG84" ca="1" si="3003">DH84*CY$4</f>
        <v>-9288.7215731609958</v>
      </c>
      <c r="DH84" s="406">
        <f t="shared" ref="DH84" ca="1" si="3004">IF(CY$6&lt;&gt;"",$O84,$N84)-DD84</f>
        <v>-2.5906933868371784E-3</v>
      </c>
      <c r="DI84" s="407"/>
      <c r="DJ84" s="408">
        <f t="shared" ref="DJ84" ca="1" si="3005">DI84*$X84</f>
        <v>0</v>
      </c>
      <c r="DK84" s="408">
        <f t="shared" ref="DK84" ca="1" si="3006">DJ84*$Z84</f>
        <v>0</v>
      </c>
      <c r="DL84" s="409">
        <f t="shared" ref="DL84" ca="1" si="3007">IFERROR(DK84/CY$4,0)</f>
        <v>0</v>
      </c>
      <c r="DM84" s="399">
        <f t="shared" ref="DM84" si="3008">CY84+DI84</f>
        <v>350</v>
      </c>
      <c r="DN84" s="399">
        <f t="shared" ref="DN84" ca="1" si="3009">DB84+IF($T84 ="",DJ84,0)</f>
        <v>63069.999999999993</v>
      </c>
      <c r="DO84" s="399">
        <f t="shared" ref="DO84" ca="1" si="3010">DN84*$Z84</f>
        <v>63070.008199099997</v>
      </c>
      <c r="DP84" s="410">
        <f t="shared" ref="DP84" ca="1" si="3011">IFERROR(DO84/CY$4,0)</f>
        <v>1.7590693386837178E-2</v>
      </c>
      <c r="DQ84" s="315" t="str">
        <f t="shared" ref="DQ84" ca="1" si="3012">IF(SUM(DD84,DL84,DP84)&lt;&gt;0,"V","")</f>
        <v>V</v>
      </c>
      <c r="DR84" s="197">
        <f>45</f>
        <v>45</v>
      </c>
      <c r="DS84" s="403">
        <f t="shared" ref="DS84" ca="1" si="3013">IFERROR($X84/DT84-1,"")</f>
        <v>0.1566704323713668</v>
      </c>
      <c r="DT84" s="411">
        <v>155.792</v>
      </c>
      <c r="DU84" s="200">
        <f t="shared" ref="DU84" ca="1" si="3014">DR84*$X84</f>
        <v>8108.9999999999991</v>
      </c>
      <c r="DV84" s="200">
        <f t="shared" ref="DV84" ca="1" si="3015">DU84*$Z84</f>
        <v>8109.0010541700003</v>
      </c>
      <c r="DW84" s="201">
        <f t="shared" ref="DW84" ca="1" si="3016">IFERROR(DV84/DR$4,0)</f>
        <v>1.1555237033198966E-2</v>
      </c>
      <c r="DX84" s="404">
        <f t="shared" ref="DX84" ca="1" si="3017">DY84/$X84</f>
        <v>13.415071716891662</v>
      </c>
      <c r="DY84" s="405">
        <f t="shared" ref="DY84" ca="1" si="3018">DZ84/$Z84</f>
        <v>2417.3959233838773</v>
      </c>
      <c r="DZ84" s="405">
        <f t="shared" ref="DZ84" ca="1" si="3019">EA84*DR$4</f>
        <v>2417.3962376453474</v>
      </c>
      <c r="EA84" s="406">
        <f t="shared" ref="EA84" ca="1" si="3020">IF(DR$6&lt;&gt;"",$O84,$N84)-DW84</f>
        <v>3.4447629668010338E-3</v>
      </c>
      <c r="EB84" s="407"/>
      <c r="EC84" s="408">
        <f t="shared" ref="EC84" ca="1" si="3021">EB84*$X84</f>
        <v>0</v>
      </c>
      <c r="ED84" s="408">
        <f t="shared" ref="ED84" ca="1" si="3022">EC84*$Z84</f>
        <v>0</v>
      </c>
      <c r="EE84" s="409">
        <f t="shared" ref="EE84" ca="1" si="3023">IFERROR(ED84/DR$4,0)</f>
        <v>0</v>
      </c>
      <c r="EF84" s="399">
        <f t="shared" ref="EF84" si="3024">DR84+EB84</f>
        <v>45</v>
      </c>
      <c r="EG84" s="399">
        <f t="shared" ref="EG84" ca="1" si="3025">DU84+IF($T84 ="",EC84,0)</f>
        <v>8108.9999999999991</v>
      </c>
      <c r="EH84" s="399">
        <f t="shared" ref="EH84" ca="1" si="3026">EG84*$Z84</f>
        <v>8109.0010541700003</v>
      </c>
      <c r="EI84" s="410">
        <f t="shared" ref="EI84" ca="1" si="3027">IFERROR(EH84/DR$4,0)</f>
        <v>1.1555237033198966E-2</v>
      </c>
      <c r="EJ84" s="197"/>
      <c r="EK84" s="403" t="str">
        <f t="shared" ref="EK84" ca="1" si="3028">IFERROR($X84/EL84-1,"")</f>
        <v/>
      </c>
      <c r="EL84" s="412"/>
      <c r="EM84" s="200">
        <f t="shared" ref="EM84" ca="1" si="3029">EJ84*$X84</f>
        <v>0</v>
      </c>
      <c r="EN84" s="200">
        <f t="shared" ref="EN84" ca="1" si="3030">EM84*$Z84</f>
        <v>0</v>
      </c>
      <c r="EO84" s="201">
        <f t="shared" ref="EO84" ca="1" si="3031">IFERROR(EN84/EJ$4,0)</f>
        <v>0</v>
      </c>
      <c r="EP84" s="404">
        <f t="shared" ref="EP84" ca="1" si="3032">EQ84/$X84</f>
        <v>59.080031890589083</v>
      </c>
      <c r="EQ84" s="405">
        <f t="shared" ref="EQ84" ca="1" si="3033">ER84/$Z84</f>
        <v>10646.221746684152</v>
      </c>
      <c r="ER84" s="405">
        <f t="shared" ref="ER84" ca="1" si="3034">ES84*EJ$4</f>
        <v>10646.223130692981</v>
      </c>
      <c r="ES84" s="406">
        <f t="shared" ref="ES84" ca="1" si="3035">IF(EJ$6&lt;&gt;"",$O84,$N84)-EO84</f>
        <v>1.4999999999999999E-2</v>
      </c>
      <c r="ET84" s="407"/>
      <c r="EU84" s="408">
        <f t="shared" ref="EU84" ca="1" si="3036">ET84*$X84</f>
        <v>0</v>
      </c>
      <c r="EV84" s="408">
        <f t="shared" ref="EV84" ca="1" si="3037">EU84*$Z84</f>
        <v>0</v>
      </c>
      <c r="EW84" s="409">
        <f t="shared" ref="EW84" ca="1" si="3038">IFERROR(EV84/EJ$4,0)</f>
        <v>0</v>
      </c>
      <c r="EX84" s="399">
        <f t="shared" ref="EX84" si="3039">EJ84+ET84</f>
        <v>0</v>
      </c>
      <c r="EY84" s="399">
        <f t="shared" ref="EY84" ca="1" si="3040">EM84+IF($T84 ="",EU84,0)</f>
        <v>0</v>
      </c>
      <c r="EZ84" s="399">
        <f t="shared" ref="EZ84" ca="1" si="3041">EY84*$Z84</f>
        <v>0</v>
      </c>
      <c r="FA84" s="410">
        <f t="shared" ref="FA84" ca="1" si="3042">IFERROR(EZ84/EJ$4,0)</f>
        <v>0</v>
      </c>
      <c r="FB84" s="211" t="str">
        <f t="shared" ref="FB84" ca="1" si="3043">IF(SUM(EO84,EW84,FA84)&lt;&gt;0,"V","")</f>
        <v/>
      </c>
      <c r="FC84" s="197"/>
      <c r="FD84" s="403" t="str">
        <f t="shared" ref="FD84" ca="1" si="3044">IFERROR($X84/FE84-1,"")</f>
        <v/>
      </c>
      <c r="FE84" s="198"/>
      <c r="FF84" s="200">
        <f t="shared" ref="FF84" ca="1" si="3045">FC84*$X84</f>
        <v>0</v>
      </c>
      <c r="FG84" s="200">
        <f t="shared" ref="FG84" ca="1" si="3046">FF84*$Z84</f>
        <v>0</v>
      </c>
      <c r="FH84" s="201">
        <f t="shared" ref="FH84" ca="1" si="3047">IFERROR(FG84/FC$4,0)</f>
        <v>0</v>
      </c>
      <c r="FI84" s="404">
        <f t="shared" ref="FI84" ca="1" si="3048">FJ84/$X84</f>
        <v>379.38069482210489</v>
      </c>
      <c r="FJ84" s="405">
        <f t="shared" ref="FJ84" ca="1" si="3049">FK84/$Z84</f>
        <v>68364.401206943294</v>
      </c>
      <c r="FK84" s="405">
        <f t="shared" ref="FK84" ca="1" si="3050">FL84*FC$4</f>
        <v>68364.410094315463</v>
      </c>
      <c r="FL84" s="406">
        <f t="shared" ref="FL84" ca="1" si="3051">IF(FC$6&lt;&gt;"",$O84,$N84)-FH84</f>
        <v>1.4999999999999999E-2</v>
      </c>
      <c r="FM84" s="407"/>
      <c r="FN84" s="408">
        <f t="shared" ref="FN84" ca="1" si="3052">FM84*$X84</f>
        <v>0</v>
      </c>
      <c r="FO84" s="408">
        <f t="shared" ref="FO84" ca="1" si="3053">FN84*$Z84</f>
        <v>0</v>
      </c>
      <c r="FP84" s="409">
        <f t="shared" ref="FP84" ca="1" si="3054">IFERROR(FO84/FC$4,0)</f>
        <v>0</v>
      </c>
      <c r="FQ84" s="399">
        <f t="shared" ref="FQ84" si="3055">FC84+FM84</f>
        <v>0</v>
      </c>
      <c r="FR84" s="399">
        <f t="shared" ref="FR84" ca="1" si="3056">FF84+IF($T84 ="",FN84,0)</f>
        <v>0</v>
      </c>
      <c r="FS84" s="399">
        <f t="shared" ref="FS84" ca="1" si="3057">FR84*$Z84</f>
        <v>0</v>
      </c>
      <c r="FT84" s="410">
        <f t="shared" ref="FT84" ca="1" si="3058">IFERROR(FS84/FC$4,0)</f>
        <v>0</v>
      </c>
      <c r="FU84" s="315" t="str">
        <f t="shared" ref="FU84" ca="1" si="3059">IF(SUM(FH84,FP84,FT84)&lt;&gt;0,"V","")</f>
        <v/>
      </c>
    </row>
    <row r="85" spans="1:177" outlineLevel="2" x14ac:dyDescent="0.2">
      <c r="A85" s="366"/>
      <c r="B85" s="366"/>
      <c r="C85" s="367" t="str">
        <f t="shared" ca="1" si="2571"/>
        <v>CH0013841017:CHF</v>
      </c>
      <c r="D85" s="368" t="str">
        <f t="shared" ca="1" si="2572"/>
        <v>CH0013841017</v>
      </c>
      <c r="E85" s="369" t="str">
        <f t="shared" ca="1" si="2572"/>
        <v>1384101</v>
      </c>
      <c r="F85" s="1317" t="s">
        <v>475</v>
      </c>
      <c r="G85" s="371"/>
      <c r="H85" s="1713" t="str">
        <f t="shared" ca="1" si="2530"/>
        <v></v>
      </c>
      <c r="I85" s="1683" t="str">
        <f t="shared" ca="1" si="2573"/>
        <v>i</v>
      </c>
      <c r="J85" s="1713" t="str">
        <f t="shared" ca="1" si="2574"/>
        <v/>
      </c>
      <c r="K85" s="1716" t="str">
        <f t="shared" ca="1" si="2574"/>
        <v></v>
      </c>
      <c r="L85" s="1717" t="str">
        <f t="shared" ca="1" si="2575"/>
        <v></v>
      </c>
      <c r="M85" s="366" t="str">
        <f t="shared" ca="1" si="2576"/>
        <v>Unit</v>
      </c>
      <c r="N85" s="372">
        <v>1.4999999999999999E-2</v>
      </c>
      <c r="O85" s="372"/>
      <c r="P85" s="373">
        <f t="shared" ca="1" si="2532"/>
        <v>1.7083671380744906E-2</v>
      </c>
      <c r="Q85" s="391">
        <f t="array" aca="1" ref="Q85" ca="1">SUM(IF($AA$15:$FT$15="I_pos",AA85:FT85))</f>
        <v>225</v>
      </c>
      <c r="R85" s="391">
        <f t="array" aca="1" ref="R85" ca="1">SUM(IF($AA$15:$FT$15="P_Pos",AA85:FT85))</f>
        <v>151.81848647158895</v>
      </c>
      <c r="S85" s="367"/>
      <c r="T85" s="391"/>
      <c r="U85" s="375">
        <f t="shared" ca="1" si="2577"/>
        <v>-2.2632968691060001E-2</v>
      </c>
      <c r="V85" s="391">
        <f t="array" aca="1" ref="V85" ca="1">SUM(IF($AA$15:$FT$15="O_Pos",AA85:FT85))</f>
        <v>0</v>
      </c>
      <c r="W85" s="367" t="str">
        <f t="shared" ref="W85" ca="1" si="3060">OFFSET(Origine,MATCH($F85,Descrizioni,0),MATCH(W$15,Intestazioni,0)-1,1,1)</f>
        <v>CHF</v>
      </c>
      <c r="X85" s="392">
        <f t="shared" ref="X85" ca="1" si="3061">_xlfn.NUMBERVALUE(OFFSET(Origine,MATCH($F85,Descrizioni,0),MATCH(X$15,Intestazioni,0)-1,1,1))</f>
        <v>518.20000000000005</v>
      </c>
      <c r="Y85" s="393">
        <f t="shared" ca="1" si="2579"/>
        <v>7.71903E-3</v>
      </c>
      <c r="Z85" s="378">
        <f t="shared" ref="Z85" ca="1" si="3062">_xlfn.NUMBERVALUE(OFFSET(Origine,MATCH(W85&amp;"/"&amp;MRif,LUKB_Name,0),MATCH("Price",Intestazioni,0)-1,1,1))</f>
        <v>1.0000001300000001</v>
      </c>
      <c r="AA85" s="214">
        <f>20</f>
        <v>20</v>
      </c>
      <c r="AB85" s="312">
        <f t="shared" ref="AB85" ca="1" si="3063">IFERROR($X85/AC85-1,"")</f>
        <v>-0.12318104906937388</v>
      </c>
      <c r="AC85" s="215">
        <v>591</v>
      </c>
      <c r="AD85" s="199">
        <f t="shared" ref="AD85" ca="1" si="3064">AA85*$X85</f>
        <v>10364</v>
      </c>
      <c r="AE85" s="199">
        <f t="shared" ref="AE85" ca="1" si="3065">AD85*$Z85</f>
        <v>10364.001347320002</v>
      </c>
      <c r="AF85" s="216">
        <f t="shared" ref="AF85" ca="1" si="3066">IFERROR(AE85/AA$4,0)</f>
        <v>1.8457835948188166E-2</v>
      </c>
      <c r="AG85" s="202">
        <f t="shared" ref="AG85" ca="1" si="3067">AH85/$X85</f>
        <v>-3.7467403631654768</v>
      </c>
      <c r="AH85" s="203">
        <f t="shared" ref="AH85" ca="1" si="3068">AI85/$Z85</f>
        <v>-1941.5608561923502</v>
      </c>
      <c r="AI85" s="203">
        <f t="shared" ref="AI85" ca="1" si="3069">AJ85*AA$4</f>
        <v>-1941.5611085952617</v>
      </c>
      <c r="AJ85" s="204">
        <f t="shared" ca="1" si="2535"/>
        <v>-3.4578359481881663E-3</v>
      </c>
      <c r="AK85" s="205"/>
      <c r="AL85" s="206">
        <f t="shared" ref="AL85" ca="1" si="3070">AK85*$X85</f>
        <v>0</v>
      </c>
      <c r="AM85" s="206">
        <f t="shared" ref="AM85" ca="1" si="3071">AL85*$Z85</f>
        <v>0</v>
      </c>
      <c r="AN85" s="207">
        <f t="shared" ref="AN85" ca="1" si="3072">IFERROR(AM85/AA$4,0)</f>
        <v>0</v>
      </c>
      <c r="AO85" s="391">
        <f t="shared" ref="AO85" si="3073">AA85+AK85</f>
        <v>20</v>
      </c>
      <c r="AP85" s="391">
        <f t="shared" ref="AP85" ca="1" si="3074">AD85+IF($T85 ="",AL85,0)</f>
        <v>10364</v>
      </c>
      <c r="AQ85" s="391">
        <f t="shared" ref="AQ85" ca="1" si="3075">AP85*$Z85</f>
        <v>10364.001347320002</v>
      </c>
      <c r="AR85" s="394">
        <f t="shared" ref="AR85" ca="1" si="3076">IFERROR(AQ85/AA$4,0)</f>
        <v>1.8457835948188166E-2</v>
      </c>
      <c r="AS85" s="209" t="str">
        <f t="shared" ref="AS85" ca="1" si="3077">IF(SUM(AF85,AN85,AR85)&lt;&gt;0,"V","")</f>
        <v>V</v>
      </c>
      <c r="AT85" s="214">
        <f>55</f>
        <v>55</v>
      </c>
      <c r="AU85" s="312">
        <f t="shared" ref="AU85" ca="1" si="3078">IFERROR($X85/AV85-1,"")</f>
        <v>-0.12318104906937388</v>
      </c>
      <c r="AV85" s="215">
        <v>591</v>
      </c>
      <c r="AW85" s="199">
        <f t="shared" ref="AW85" ca="1" si="3079">AT85*$X85</f>
        <v>28501.000000000004</v>
      </c>
      <c r="AX85" s="199">
        <f t="shared" ref="AX85" ca="1" si="3080">AW85*$Z85</f>
        <v>28501.003705130006</v>
      </c>
      <c r="AY85" s="216">
        <f t="shared" ref="AY85" ca="1" si="3081">IFERROR(AX85/AT$4,0)</f>
        <v>1.6457045838934911E-2</v>
      </c>
      <c r="AZ85" s="202">
        <f t="shared" ref="AZ85" ca="1" si="3082">BA85/$X85</f>
        <v>-4.8694961371394339</v>
      </c>
      <c r="BA85" s="203">
        <f t="shared" ref="BA85" ca="1" si="3083">BB85/$Z85</f>
        <v>-2523.3728982656548</v>
      </c>
      <c r="BB85" s="203">
        <f t="shared" ref="BB85" ca="1" si="3084">BC85*AT$4</f>
        <v>-2523.373226304132</v>
      </c>
      <c r="BC85" s="204">
        <f t="shared" ca="1" si="2537"/>
        <v>-1.4570458389349117E-3</v>
      </c>
      <c r="BD85" s="205"/>
      <c r="BE85" s="206">
        <f t="shared" ref="BE85" ca="1" si="3085">BD85*$X85</f>
        <v>0</v>
      </c>
      <c r="BF85" s="206">
        <f t="shared" ref="BF85" ca="1" si="3086">BE85*$Z85</f>
        <v>0</v>
      </c>
      <c r="BG85" s="207">
        <f t="shared" ref="BG85" ca="1" si="3087">IFERROR(BF85/AT$4,0)</f>
        <v>0</v>
      </c>
      <c r="BH85" s="391">
        <f t="shared" ref="BH85" si="3088">AT85+BD85</f>
        <v>55</v>
      </c>
      <c r="BI85" s="391">
        <f t="shared" ref="BI85" ca="1" si="3089">AW85+IF($T85 ="",BE85,0)</f>
        <v>28501.000000000004</v>
      </c>
      <c r="BJ85" s="391">
        <f t="shared" ref="BJ85" ca="1" si="3090">BI85*$Z85</f>
        <v>28501.003705130006</v>
      </c>
      <c r="BK85" s="394">
        <f t="shared" ref="BK85" ca="1" si="3091">IFERROR(BJ85/AT$4,0)</f>
        <v>1.6457045838934911E-2</v>
      </c>
      <c r="BL85" s="211" t="str">
        <f t="shared" ref="BL85" ca="1" si="3092">IF(SUM(AY85,BG85,BK85)&lt;&gt;0,"V","")</f>
        <v>V</v>
      </c>
      <c r="BM85" s="214">
        <f>10</f>
        <v>10</v>
      </c>
      <c r="BN85" s="312">
        <f t="shared" ref="BN85" ca="1" si="3093">IFERROR($X85/BO85-1,"")</f>
        <v>-0.12318104906937388</v>
      </c>
      <c r="BO85" s="215">
        <v>591</v>
      </c>
      <c r="BP85" s="199">
        <f t="shared" ref="BP85" ca="1" si="3094">BM85*$X85</f>
        <v>5182</v>
      </c>
      <c r="BQ85" s="199">
        <f t="shared" ref="BQ85" ca="1" si="3095">BP85*$Z85</f>
        <v>5182.0006736600008</v>
      </c>
      <c r="BR85" s="216">
        <f t="shared" ref="BR85" ca="1" si="3096">IFERROR(BQ85/BM$4,0)</f>
        <v>1.8184229520929039E-2</v>
      </c>
      <c r="BS85" s="202">
        <f t="shared" ref="BS85" ca="1" si="3097">BT85/$X85</f>
        <v>-1.7510940000312736</v>
      </c>
      <c r="BT85" s="203">
        <f t="shared" ref="BT85" ca="1" si="3098">BU85/$Z85</f>
        <v>-907.41691081620604</v>
      </c>
      <c r="BU85" s="203">
        <f t="shared" ref="BU85" ca="1" si="3099">BV85*BM$4</f>
        <v>-907.41702878040451</v>
      </c>
      <c r="BV85" s="204">
        <f t="shared" ca="1" si="2541"/>
        <v>-3.1842295209290397E-3</v>
      </c>
      <c r="BW85" s="205"/>
      <c r="BX85" s="206">
        <f t="shared" ref="BX85" ca="1" si="3100">BW85*$X85</f>
        <v>0</v>
      </c>
      <c r="BY85" s="206">
        <f t="shared" ref="BY85" ca="1" si="3101">BX85*$Z85</f>
        <v>0</v>
      </c>
      <c r="BZ85" s="207">
        <f t="shared" ref="BZ85" ca="1" si="3102">IFERROR(BY85/BM$4,0)</f>
        <v>0</v>
      </c>
      <c r="CA85" s="391">
        <f t="shared" ref="CA85" si="3103">BM85+BW85</f>
        <v>10</v>
      </c>
      <c r="CB85" s="391">
        <f t="shared" ref="CB85" ca="1" si="3104">BP85+IF($T85 ="",BX85,0)</f>
        <v>5182</v>
      </c>
      <c r="CC85" s="391">
        <f t="shared" ref="CC85" ca="1" si="3105">CB85*$Z85</f>
        <v>5182.0006736600008</v>
      </c>
      <c r="CD85" s="394">
        <f ca="1">IFERROR(CC85/BM$4,0)</f>
        <v>1.8184229520929039E-2</v>
      </c>
      <c r="CE85" s="212" t="str">
        <f t="shared" ref="CE85" ca="1" si="3106">IF(SUM(BR85,BZ85,CD85)&lt;&gt;0,"V","")</f>
        <v>V</v>
      </c>
      <c r="CF85" s="214">
        <f>20</f>
        <v>20</v>
      </c>
      <c r="CG85" s="312">
        <f t="shared" ref="CG85" ca="1" si="3107">IFERROR($X85/CH85-1,"")</f>
        <v>-0.12318104906937388</v>
      </c>
      <c r="CH85" s="215">
        <v>591</v>
      </c>
      <c r="CI85" s="199">
        <f t="shared" ref="CI85" ca="1" si="3108">CF85*$X85</f>
        <v>10364</v>
      </c>
      <c r="CJ85" s="199">
        <f t="shared" ref="CJ85" ca="1" si="3109">CI85*$Z85</f>
        <v>10364.001347320002</v>
      </c>
      <c r="CK85" s="216">
        <f t="shared" ref="CK85" ca="1" si="3110">IFERROR(CJ85/CF$4,0)</f>
        <v>1.1711270981992438E-2</v>
      </c>
      <c r="CL85" s="202">
        <f t="shared" ref="CL85" ca="1" si="3111">CM85/$X85</f>
        <v>5.6163485979692522</v>
      </c>
      <c r="CM85" s="203">
        <f t="shared" ref="CM85" ca="1" si="3112">CN85/$Z85</f>
        <v>2910.3918434676666</v>
      </c>
      <c r="CN85" s="203">
        <f t="shared" ref="CN85" ca="1" si="3113">CO85*CF$4</f>
        <v>2910.3922218186067</v>
      </c>
      <c r="CO85" s="204">
        <f t="shared" ca="1" si="2543"/>
        <v>3.2887290180075614E-3</v>
      </c>
      <c r="CP85" s="205"/>
      <c r="CQ85" s="206">
        <f t="shared" ref="CQ85" ca="1" si="3114">CP85*$X85</f>
        <v>0</v>
      </c>
      <c r="CR85" s="206">
        <f t="shared" ref="CR85" ca="1" si="3115">CQ85*$Z85</f>
        <v>0</v>
      </c>
      <c r="CS85" s="207">
        <f t="shared" ref="CS85" ca="1" si="3116">IFERROR(CR85/CF$4,0)</f>
        <v>0</v>
      </c>
      <c r="CT85" s="391">
        <f t="shared" ref="CT85" si="3117">CF85+CP85</f>
        <v>20</v>
      </c>
      <c r="CU85" s="391">
        <f t="shared" ref="CU85" ca="1" si="3118">CI85+IF($T85 ="",CQ85,0)</f>
        <v>10364</v>
      </c>
      <c r="CV85" s="391">
        <f t="shared" ref="CV85" ca="1" si="3119">CU85*$Z85</f>
        <v>10364.001347320002</v>
      </c>
      <c r="CW85" s="394">
        <f t="shared" ref="CW85" ca="1" si="3120">IFERROR(CV85/CF$4,0)</f>
        <v>1.1711270981992438E-2</v>
      </c>
      <c r="CX85" s="211" t="str">
        <f t="shared" ref="CX85" ca="1" si="3121">IF(SUM(CK85,CS85,CW85)&lt;&gt;0,"V","")</f>
        <v>V</v>
      </c>
      <c r="CY85" s="197">
        <f>120</f>
        <v>120</v>
      </c>
      <c r="CZ85" s="312">
        <f t="shared" ref="CZ85" ca="1" si="3122">IFERROR($X85/DA85-1,"")</f>
        <v>-0.12318104906937388</v>
      </c>
      <c r="DA85" s="395">
        <v>591</v>
      </c>
      <c r="DB85" s="199">
        <f t="shared" ref="DB85" ca="1" si="3123">CY85*$X85</f>
        <v>62184.000000000007</v>
      </c>
      <c r="DC85" s="199">
        <f t="shared" ref="DC85" ca="1" si="3124">DB85*$Z85</f>
        <v>62184.008083920016</v>
      </c>
      <c r="DD85" s="216">
        <f t="shared" ref="DD85" ca="1" si="3125">IFERROR(DC85/CY$4,0)</f>
        <v>1.7343581378897788E-2</v>
      </c>
      <c r="DE85" s="202">
        <f t="shared" ref="DE85" ca="1" si="3126">DF85/$X85</f>
        <v>-16.215207189554945</v>
      </c>
      <c r="DF85" s="203">
        <f t="shared" ref="DF85" ca="1" si="3127">DG85/$Z85</f>
        <v>-8402.7203656273741</v>
      </c>
      <c r="DG85" s="203">
        <f t="shared" ref="DG85" ca="1" si="3128">DH85*CY$4</f>
        <v>-8402.7214579810225</v>
      </c>
      <c r="DH85" s="204">
        <f t="shared" ca="1" si="2545"/>
        <v>-2.343581378897789E-3</v>
      </c>
      <c r="DI85" s="205"/>
      <c r="DJ85" s="206">
        <f t="shared" ref="DJ85" ca="1" si="3129">DI85*$X85</f>
        <v>0</v>
      </c>
      <c r="DK85" s="206">
        <f t="shared" ref="DK85" ca="1" si="3130">DJ85*$Z85</f>
        <v>0</v>
      </c>
      <c r="DL85" s="207">
        <f t="shared" ref="DL85" ca="1" si="3131">IFERROR(DK85/CY$4,0)</f>
        <v>0</v>
      </c>
      <c r="DM85" s="391">
        <f>CY85+DI85</f>
        <v>120</v>
      </c>
      <c r="DN85" s="391">
        <f t="shared" ref="DN85" ca="1" si="3132">DB85+IF($T85 ="",DJ85,0)</f>
        <v>62184.000000000007</v>
      </c>
      <c r="DO85" s="391">
        <f t="shared" ca="1" si="2895"/>
        <v>62184.008083920016</v>
      </c>
      <c r="DP85" s="394">
        <f t="shared" ca="1" si="2511"/>
        <v>1.7343581378897788E-2</v>
      </c>
      <c r="DQ85" s="209" t="str">
        <f t="shared" ref="DQ85" ca="1" si="3133">IF(SUM(DD85,DL85,DP85)&lt;&gt;0,"V","")</f>
        <v>V</v>
      </c>
      <c r="DR85" s="197"/>
      <c r="DS85" s="312" t="str">
        <f t="shared" ca="1" si="2896"/>
        <v/>
      </c>
      <c r="DT85" s="395"/>
      <c r="DU85" s="199">
        <f t="shared" ca="1" si="2897"/>
        <v>0</v>
      </c>
      <c r="DV85" s="199">
        <f t="shared" ca="1" si="2898"/>
        <v>0</v>
      </c>
      <c r="DW85" s="216">
        <f t="shared" ca="1" si="2899"/>
        <v>0</v>
      </c>
      <c r="DX85" s="202">
        <f t="shared" ca="1" si="2900"/>
        <v>20.313384645665529</v>
      </c>
      <c r="DY85" s="203">
        <f t="shared" ca="1" si="2901"/>
        <v>10526.395923383878</v>
      </c>
      <c r="DZ85" s="203">
        <f t="shared" ca="1" si="2902"/>
        <v>10526.397291815349</v>
      </c>
      <c r="EA85" s="204">
        <f t="shared" ca="1" si="2546"/>
        <v>1.4999999999999999E-2</v>
      </c>
      <c r="EB85" s="205"/>
      <c r="EC85" s="206">
        <f t="shared" ca="1" si="2903"/>
        <v>0</v>
      </c>
      <c r="ED85" s="206">
        <f t="shared" ca="1" si="2904"/>
        <v>0</v>
      </c>
      <c r="EE85" s="207">
        <f t="shared" ca="1" si="2905"/>
        <v>0</v>
      </c>
      <c r="EF85" s="391">
        <f>DR85+EB85</f>
        <v>0</v>
      </c>
      <c r="EG85" s="391">
        <f t="shared" ca="1" si="2907"/>
        <v>0</v>
      </c>
      <c r="EH85" s="391">
        <f t="shared" ca="1" si="2908"/>
        <v>0</v>
      </c>
      <c r="EI85" s="394">
        <f t="shared" ca="1" si="2909"/>
        <v>0</v>
      </c>
      <c r="EJ85" s="214"/>
      <c r="EK85" s="312" t="str">
        <f t="shared" ref="EK85" ca="1" si="3134">IFERROR($X85/EL85-1,"")</f>
        <v/>
      </c>
      <c r="EL85" s="222"/>
      <c r="EM85" s="199">
        <f t="shared" ref="EM85" ca="1" si="3135">EJ85*$X85</f>
        <v>0</v>
      </c>
      <c r="EN85" s="199">
        <f t="shared" ref="EN85" ca="1" si="3136">EM85*$Z85</f>
        <v>0</v>
      </c>
      <c r="EO85" s="216">
        <f t="shared" ref="EO85" ca="1" si="3137">IFERROR(EN85/EJ$4,0)</f>
        <v>0</v>
      </c>
      <c r="EP85" s="202">
        <f t="shared" ref="EP85" ca="1" si="3138">EQ85/$X85</f>
        <v>20.54461934906243</v>
      </c>
      <c r="EQ85" s="203">
        <f t="shared" ref="EQ85" ca="1" si="3139">ER85/$Z85</f>
        <v>10646.221746684152</v>
      </c>
      <c r="ER85" s="203">
        <f t="shared" ref="ER85" ca="1" si="3140">ES85*EJ$4</f>
        <v>10646.223130692981</v>
      </c>
      <c r="ES85" s="204">
        <f t="shared" ca="1" si="2547"/>
        <v>1.4999999999999999E-2</v>
      </c>
      <c r="ET85" s="205"/>
      <c r="EU85" s="206">
        <f t="shared" ref="EU85" ca="1" si="3141">ET85*$X85</f>
        <v>0</v>
      </c>
      <c r="EV85" s="206">
        <f t="shared" ref="EV85" ca="1" si="3142">EU85*$Z85</f>
        <v>0</v>
      </c>
      <c r="EW85" s="207">
        <f t="shared" ref="EW85" ca="1" si="3143">IFERROR(EV85/EJ$4,0)</f>
        <v>0</v>
      </c>
      <c r="EX85" s="391">
        <f t="shared" si="2918"/>
        <v>0</v>
      </c>
      <c r="EY85" s="391">
        <f t="shared" ref="EY85" ca="1" si="3144">EM85+IF($T85 ="",EU85,0)</f>
        <v>0</v>
      </c>
      <c r="EZ85" s="391">
        <f t="shared" ref="EZ85" ca="1" si="3145">EY85*$Z85</f>
        <v>0</v>
      </c>
      <c r="FA85" s="394">
        <f t="shared" ref="FA85" ca="1" si="3146">IFERROR(EZ85/EJ$4,0)</f>
        <v>0</v>
      </c>
      <c r="FB85" s="212" t="str">
        <f t="shared" ref="FB85" ca="1" si="3147">IF(SUM(EO85,EW85,FA85)&lt;&gt;0,"V","")</f>
        <v/>
      </c>
      <c r="FC85" s="214"/>
      <c r="FD85" s="312" t="str">
        <f t="shared" ref="FD85" ca="1" si="3148">IFERROR($X85/FE85-1,"")</f>
        <v/>
      </c>
      <c r="FE85" s="215"/>
      <c r="FF85" s="199">
        <f t="shared" ref="FF85" ca="1" si="3149">FC85*$X85</f>
        <v>0</v>
      </c>
      <c r="FG85" s="199">
        <f t="shared" ref="FG85" ca="1" si="3150">FF85*$Z85</f>
        <v>0</v>
      </c>
      <c r="FH85" s="216">
        <f t="shared" ref="FH85" ca="1" si="3151">IFERROR(FG85/FC$4,0)</f>
        <v>0</v>
      </c>
      <c r="FI85" s="202">
        <f t="shared" ref="FI85" ca="1" si="3152">FJ85/$X85</f>
        <v>131.92667156878287</v>
      </c>
      <c r="FJ85" s="203">
        <f t="shared" ref="FJ85" ca="1" si="3153">FK85/$Z85</f>
        <v>68364.401206943294</v>
      </c>
      <c r="FK85" s="203">
        <f t="shared" ref="FK85" ca="1" si="3154">FL85*FC$4</f>
        <v>68364.410094315463</v>
      </c>
      <c r="FL85" s="204">
        <f t="shared" ca="1" si="2549"/>
        <v>1.4999999999999999E-2</v>
      </c>
      <c r="FM85" s="205"/>
      <c r="FN85" s="206">
        <f t="shared" ref="FN85" ca="1" si="3155">FM85*$X85</f>
        <v>0</v>
      </c>
      <c r="FO85" s="206">
        <f t="shared" ref="FO85" ca="1" si="3156">FN85*$Z85</f>
        <v>0</v>
      </c>
      <c r="FP85" s="207">
        <f t="shared" ref="FP85" ca="1" si="3157">IFERROR(FO85/FC$4,0)</f>
        <v>0</v>
      </c>
      <c r="FQ85" s="391">
        <f t="shared" ref="FQ85" si="3158">FC85+FM85</f>
        <v>0</v>
      </c>
      <c r="FR85" s="391">
        <f t="shared" ref="FR85" ca="1" si="3159">FF85+IF($T85 ="",FN85,0)</f>
        <v>0</v>
      </c>
      <c r="FS85" s="391">
        <f t="shared" ref="FS85" ca="1" si="3160">FR85*$Z85</f>
        <v>0</v>
      </c>
      <c r="FT85" s="394">
        <f t="shared" ref="FT85" ca="1" si="3161">IFERROR(FS85/FC$4,0)</f>
        <v>0</v>
      </c>
      <c r="FU85" s="209" t="str">
        <f t="shared" ref="FU85" ca="1" si="3162">IF(SUM(FH85,FP85,FT85)&lt;&gt;0,"V","")</f>
        <v/>
      </c>
    </row>
    <row r="86" spans="1:177" outlineLevel="2" x14ac:dyDescent="0.2">
      <c r="A86" s="366"/>
      <c r="B86" s="366"/>
      <c r="C86" s="367" t="str">
        <f t="shared" ca="1" si="2571"/>
        <v>CH0012005267:CHF</v>
      </c>
      <c r="D86" s="368" t="str">
        <f t="shared" ca="1" si="2572"/>
        <v>CH0012005267</v>
      </c>
      <c r="E86" s="369" t="str">
        <f t="shared" ca="1" si="2572"/>
        <v>1200526</v>
      </c>
      <c r="F86" s="390" t="s">
        <v>443</v>
      </c>
      <c r="G86" s="371"/>
      <c r="H86" s="1713" t="str">
        <f t="shared" ca="1" si="2530"/>
        <v></v>
      </c>
      <c r="I86" s="1683" t="str">
        <f t="shared" ca="1" si="2573"/>
        <v>i</v>
      </c>
      <c r="J86" s="1713" t="str">
        <f t="shared" ca="1" si="2574"/>
        <v></v>
      </c>
      <c r="K86" s="1716" t="str">
        <f t="shared" ca="1" si="2574"/>
        <v></v>
      </c>
      <c r="L86" s="1717" t="str">
        <f t="shared" ca="1" si="2575"/>
        <v></v>
      </c>
      <c r="M86" s="366" t="str">
        <f t="shared" ca="1" si="2576"/>
        <v>Unit</v>
      </c>
      <c r="N86" s="372"/>
      <c r="O86" s="372"/>
      <c r="P86" s="373">
        <f t="shared" ca="1" si="2532"/>
        <v>0</v>
      </c>
      <c r="Q86" s="391">
        <f t="array" aca="1" ref="Q86" ca="1">SUM(IF($AA$15:$FT$15="I_pos",AA86:FT86))</f>
        <v>160</v>
      </c>
      <c r="R86" s="391">
        <f t="array" aca="1" ref="R86" ca="1">SUM(IF($AA$15:$FT$15="P_Pos",AA86:FT86))</f>
        <v>-160</v>
      </c>
      <c r="S86" s="367"/>
      <c r="T86" s="391"/>
      <c r="U86" s="375">
        <f t="shared" ca="1" si="2577"/>
        <v>-2.73930440135427E-2</v>
      </c>
      <c r="V86" s="391">
        <f t="array" aca="1" ref="V86" ca="1">SUM(IF($AA$15:$FT$15="O_Pos",AA86:FT86))</f>
        <v>0</v>
      </c>
      <c r="W86" s="367" t="str">
        <f t="shared" ref="W86" ca="1" si="3163">OFFSET(Origine,MATCH($F86,Descrizioni,0),MATCH(W$15,Intestazioni,0)-1,1,1)</f>
        <v>CHF</v>
      </c>
      <c r="X86" s="392">
        <f t="shared" ref="X86" ca="1" si="3164">_xlfn.NUMBERVALUE(OFFSET(Origine,MATCH($F86,Descrizioni,0),MATCH(X$15,Intestazioni,0)-1,1,1))</f>
        <v>126.4</v>
      </c>
      <c r="Y86" s="393">
        <f t="shared" ca="1" si="2579"/>
        <v>2.7689869999999998E-2</v>
      </c>
      <c r="Z86" s="378">
        <f t="shared" ca="1" si="2836"/>
        <v>1.0000001300000001</v>
      </c>
      <c r="AA86" s="214">
        <f>85+60+-145+60+-60</f>
        <v>0</v>
      </c>
      <c r="AB86" s="312" t="str">
        <f t="shared" ca="1" si="2837"/>
        <v/>
      </c>
      <c r="AC86" s="215"/>
      <c r="AD86" s="199">
        <f t="shared" ca="1" si="2838"/>
        <v>0</v>
      </c>
      <c r="AE86" s="199">
        <f t="shared" ca="1" si="2839"/>
        <v>0</v>
      </c>
      <c r="AF86" s="216">
        <f t="shared" ca="1" si="2506"/>
        <v>0</v>
      </c>
      <c r="AG86" s="202">
        <f t="shared" ca="1" si="2840"/>
        <v>0</v>
      </c>
      <c r="AH86" s="203">
        <f t="shared" ca="1" si="2841"/>
        <v>0</v>
      </c>
      <c r="AI86" s="203">
        <f t="shared" ca="1" si="2842"/>
        <v>0</v>
      </c>
      <c r="AJ86" s="204">
        <f t="shared" ca="1" si="2535"/>
        <v>0</v>
      </c>
      <c r="AK86" s="205"/>
      <c r="AL86" s="206">
        <f t="shared" ca="1" si="2843"/>
        <v>0</v>
      </c>
      <c r="AM86" s="206">
        <f t="shared" ca="1" si="2844"/>
        <v>0</v>
      </c>
      <c r="AN86" s="207">
        <f t="shared" ca="1" si="2507"/>
        <v>0</v>
      </c>
      <c r="AO86" s="391">
        <f t="shared" si="2845"/>
        <v>0</v>
      </c>
      <c r="AP86" s="391">
        <f t="shared" ca="1" si="2846"/>
        <v>0</v>
      </c>
      <c r="AQ86" s="391">
        <f t="shared" ca="1" si="2847"/>
        <v>0</v>
      </c>
      <c r="AR86" s="394">
        <f t="shared" ca="1" si="2520"/>
        <v>0</v>
      </c>
      <c r="AS86" s="209" t="str">
        <f t="shared" ref="AS86:AS119" ca="1" si="3165">IF(SUM(AF86,AN86,AR86)&lt;&gt;0,"V","")</f>
        <v/>
      </c>
      <c r="AT86" s="214">
        <f>300+185+-485+180+-180</f>
        <v>0</v>
      </c>
      <c r="AU86" s="312" t="str">
        <f t="shared" ca="1" si="2848"/>
        <v/>
      </c>
      <c r="AV86" s="215"/>
      <c r="AW86" s="199">
        <f t="shared" ca="1" si="2849"/>
        <v>0</v>
      </c>
      <c r="AX86" s="199">
        <f t="shared" ca="1" si="2850"/>
        <v>0</v>
      </c>
      <c r="AY86" s="216">
        <f t="shared" ca="1" si="2508"/>
        <v>0</v>
      </c>
      <c r="AZ86" s="202">
        <f t="shared" ca="1" si="2851"/>
        <v>0</v>
      </c>
      <c r="BA86" s="203">
        <f t="shared" ca="1" si="2852"/>
        <v>0</v>
      </c>
      <c r="BB86" s="203">
        <f t="shared" ca="1" si="2853"/>
        <v>0</v>
      </c>
      <c r="BC86" s="204">
        <f t="shared" ca="1" si="2537"/>
        <v>0</v>
      </c>
      <c r="BD86" s="205"/>
      <c r="BE86" s="206">
        <f t="shared" ca="1" si="2854"/>
        <v>0</v>
      </c>
      <c r="BF86" s="206">
        <f t="shared" ca="1" si="2855"/>
        <v>0</v>
      </c>
      <c r="BG86" s="207">
        <f t="shared" ca="1" si="2509"/>
        <v>0</v>
      </c>
      <c r="BH86" s="391">
        <f t="shared" si="2856"/>
        <v>0</v>
      </c>
      <c r="BI86" s="391">
        <f t="shared" ca="1" si="2857"/>
        <v>0</v>
      </c>
      <c r="BJ86" s="391">
        <f t="shared" ca="1" si="2858"/>
        <v>0</v>
      </c>
      <c r="BK86" s="394">
        <f t="shared" ca="1" si="2522"/>
        <v>0</v>
      </c>
      <c r="BL86" s="211" t="str">
        <f t="shared" ref="BL86:BL119" ca="1" si="3166">IF(SUM(AY86,BG86,BK86)&lt;&gt;0,"V","")</f>
        <v/>
      </c>
      <c r="BM86" s="214">
        <f>135+-65+-70</f>
        <v>0</v>
      </c>
      <c r="BN86" s="312" t="str">
        <f t="shared" ca="1" si="2859"/>
        <v/>
      </c>
      <c r="BO86" s="215"/>
      <c r="BP86" s="199">
        <f t="shared" ca="1" si="2860"/>
        <v>0</v>
      </c>
      <c r="BQ86" s="199">
        <f t="shared" ca="1" si="2861"/>
        <v>0</v>
      </c>
      <c r="BR86" s="216">
        <f t="shared" ca="1" si="2862"/>
        <v>0</v>
      </c>
      <c r="BS86" s="202">
        <f t="shared" ca="1" si="2863"/>
        <v>0</v>
      </c>
      <c r="BT86" s="203">
        <f t="shared" ca="1" si="2864"/>
        <v>0</v>
      </c>
      <c r="BU86" s="203">
        <f t="shared" ca="1" si="2865"/>
        <v>0</v>
      </c>
      <c r="BV86" s="204">
        <f t="shared" ca="1" si="2541"/>
        <v>0</v>
      </c>
      <c r="BW86" s="205"/>
      <c r="BX86" s="206">
        <f t="shared" ca="1" si="2866"/>
        <v>0</v>
      </c>
      <c r="BY86" s="206">
        <f t="shared" ca="1" si="2867"/>
        <v>0</v>
      </c>
      <c r="BZ86" s="207">
        <f t="shared" ca="1" si="2868"/>
        <v>0</v>
      </c>
      <c r="CA86" s="391">
        <f t="shared" si="2869"/>
        <v>0</v>
      </c>
      <c r="CB86" s="391">
        <f t="shared" ca="1" si="2870"/>
        <v>0</v>
      </c>
      <c r="CC86" s="391">
        <f t="shared" ca="1" si="2871"/>
        <v>0</v>
      </c>
      <c r="CD86" s="394">
        <f ca="1">IFERROR(CC86/BM$4,0)</f>
        <v>0</v>
      </c>
      <c r="CE86" s="212" t="str">
        <f t="shared" ref="CE86:CE119" ca="1" si="3167">IF(SUM(BR86,BZ86,CD86)&lt;&gt;0,"V","")</f>
        <v/>
      </c>
      <c r="CF86" s="214">
        <f>210+-210+100+-100</f>
        <v>0</v>
      </c>
      <c r="CG86" s="312" t="str">
        <f t="shared" ca="1" si="2872"/>
        <v/>
      </c>
      <c r="CH86" s="215"/>
      <c r="CI86" s="199">
        <f t="shared" ca="1" si="2873"/>
        <v>0</v>
      </c>
      <c r="CJ86" s="199">
        <f t="shared" ca="1" si="2874"/>
        <v>0</v>
      </c>
      <c r="CK86" s="216">
        <f t="shared" ca="1" si="8"/>
        <v>0</v>
      </c>
      <c r="CL86" s="202">
        <f t="shared" ca="1" si="2875"/>
        <v>0</v>
      </c>
      <c r="CM86" s="203">
        <f t="shared" ca="1" si="2876"/>
        <v>0</v>
      </c>
      <c r="CN86" s="203">
        <f t="shared" ca="1" si="2877"/>
        <v>0</v>
      </c>
      <c r="CO86" s="204">
        <f t="shared" ca="1" si="2543"/>
        <v>0</v>
      </c>
      <c r="CP86" s="205"/>
      <c r="CQ86" s="206">
        <f t="shared" ca="1" si="2878"/>
        <v>0</v>
      </c>
      <c r="CR86" s="206">
        <f t="shared" ca="1" si="2879"/>
        <v>0</v>
      </c>
      <c r="CS86" s="207">
        <f t="shared" ca="1" si="9"/>
        <v>0</v>
      </c>
      <c r="CT86" s="391">
        <f t="shared" si="2880"/>
        <v>0</v>
      </c>
      <c r="CU86" s="391">
        <f t="shared" ca="1" si="2881"/>
        <v>0</v>
      </c>
      <c r="CV86" s="391">
        <f t="shared" ca="1" si="2882"/>
        <v>0</v>
      </c>
      <c r="CW86" s="394">
        <f t="shared" ca="1" si="1996"/>
        <v>0</v>
      </c>
      <c r="CX86" s="211" t="str">
        <f t="shared" ref="CX86:CX119" ca="1" si="3168">IF(SUM(CK86,CS86,CW86)&lt;&gt;0,"V","")</f>
        <v/>
      </c>
      <c r="CY86" s="197">
        <f>360+-360+450+-450</f>
        <v>0</v>
      </c>
      <c r="CZ86" s="312" t="str">
        <f t="shared" ca="1" si="2883"/>
        <v/>
      </c>
      <c r="DA86" s="395"/>
      <c r="DB86" s="199">
        <f t="shared" ca="1" si="2884"/>
        <v>0</v>
      </c>
      <c r="DC86" s="199">
        <f t="shared" ca="1" si="2885"/>
        <v>0</v>
      </c>
      <c r="DD86" s="216">
        <f t="shared" ca="1" si="2886"/>
        <v>0</v>
      </c>
      <c r="DE86" s="202">
        <f t="shared" ca="1" si="2887"/>
        <v>0</v>
      </c>
      <c r="DF86" s="203">
        <f t="shared" ca="1" si="2888"/>
        <v>0</v>
      </c>
      <c r="DG86" s="203">
        <f t="shared" ca="1" si="2889"/>
        <v>0</v>
      </c>
      <c r="DH86" s="204">
        <f t="shared" ca="1" si="2545"/>
        <v>0</v>
      </c>
      <c r="DI86" s="205"/>
      <c r="DJ86" s="206">
        <f t="shared" ca="1" si="2890"/>
        <v>0</v>
      </c>
      <c r="DK86" s="206">
        <f t="shared" ca="1" si="2891"/>
        <v>0</v>
      </c>
      <c r="DL86" s="207">
        <f t="shared" ca="1" si="2892"/>
        <v>0</v>
      </c>
      <c r="DM86" s="391">
        <f>CY86+DI86</f>
        <v>0</v>
      </c>
      <c r="DN86" s="391">
        <f t="shared" ca="1" si="2894"/>
        <v>0</v>
      </c>
      <c r="DO86" s="391">
        <f t="shared" ref="DO86:DO96" ca="1" si="3169">DN86*$Z86</f>
        <v>0</v>
      </c>
      <c r="DP86" s="394">
        <f t="shared" ref="DP86:DP125" ca="1" si="3170">IFERROR(DO86/CY$4,0)</f>
        <v>0</v>
      </c>
      <c r="DQ86" s="209" t="str">
        <f t="shared" ref="DQ86:DQ119" ca="1" si="3171">IF(SUM(DD86,DL86,DP86)&lt;&gt;0,"V","")</f>
        <v/>
      </c>
      <c r="DR86" s="197"/>
      <c r="DS86" s="312" t="str">
        <f t="shared" ca="1" si="2896"/>
        <v/>
      </c>
      <c r="DT86" s="395"/>
      <c r="DU86" s="199">
        <f t="shared" ca="1" si="2897"/>
        <v>0</v>
      </c>
      <c r="DV86" s="199">
        <f t="shared" ca="1" si="2898"/>
        <v>0</v>
      </c>
      <c r="DW86" s="216">
        <f t="shared" ca="1" si="2899"/>
        <v>0</v>
      </c>
      <c r="DX86" s="202">
        <f t="shared" ca="1" si="2900"/>
        <v>0</v>
      </c>
      <c r="DY86" s="203">
        <f t="shared" ca="1" si="2901"/>
        <v>0</v>
      </c>
      <c r="DZ86" s="203">
        <f t="shared" ca="1" si="2902"/>
        <v>0</v>
      </c>
      <c r="EA86" s="204">
        <f t="shared" ca="1" si="2546"/>
        <v>0</v>
      </c>
      <c r="EB86" s="205"/>
      <c r="EC86" s="206">
        <f t="shared" ca="1" si="2903"/>
        <v>0</v>
      </c>
      <c r="ED86" s="206">
        <f t="shared" ca="1" si="2904"/>
        <v>0</v>
      </c>
      <c r="EE86" s="207">
        <f t="shared" ca="1" si="2905"/>
        <v>0</v>
      </c>
      <c r="EF86" s="391">
        <f>DR86+EB86</f>
        <v>0</v>
      </c>
      <c r="EG86" s="391">
        <f t="shared" ca="1" si="2907"/>
        <v>0</v>
      </c>
      <c r="EH86" s="391">
        <f t="shared" ca="1" si="2908"/>
        <v>0</v>
      </c>
      <c r="EI86" s="394">
        <f t="shared" ca="1" si="2909"/>
        <v>0</v>
      </c>
      <c r="EJ86" s="214">
        <f>160</f>
        <v>160</v>
      </c>
      <c r="EK86" s="312">
        <f t="shared" ca="1" si="2910"/>
        <v>1.0188597275817126</v>
      </c>
      <c r="EL86" s="222">
        <v>62.6096</v>
      </c>
      <c r="EM86" s="199">
        <f t="shared" ca="1" si="2911"/>
        <v>20224</v>
      </c>
      <c r="EN86" s="199">
        <f t="shared" ca="1" si="2912"/>
        <v>20224.002629120001</v>
      </c>
      <c r="EO86" s="216">
        <f t="shared" ca="1" si="2514"/>
        <v>2.8494615950910827E-2</v>
      </c>
      <c r="EP86" s="202">
        <f t="shared" ca="1" si="2913"/>
        <v>-160</v>
      </c>
      <c r="EQ86" s="203">
        <f t="shared" ca="1" si="2914"/>
        <v>-20224</v>
      </c>
      <c r="ER86" s="203">
        <f t="shared" ca="1" si="2915"/>
        <v>-20224.002629120001</v>
      </c>
      <c r="ES86" s="204">
        <f t="shared" ca="1" si="2547"/>
        <v>-2.8494615950910827E-2</v>
      </c>
      <c r="ET86" s="205"/>
      <c r="EU86" s="206">
        <f t="shared" ca="1" si="2916"/>
        <v>0</v>
      </c>
      <c r="EV86" s="206">
        <f t="shared" ca="1" si="2917"/>
        <v>0</v>
      </c>
      <c r="EW86" s="207">
        <f t="shared" ca="1" si="2515"/>
        <v>0</v>
      </c>
      <c r="EX86" s="391">
        <f t="shared" si="2918"/>
        <v>160</v>
      </c>
      <c r="EY86" s="391">
        <f t="shared" ca="1" si="2919"/>
        <v>20224</v>
      </c>
      <c r="EZ86" s="391">
        <f t="shared" ca="1" si="2920"/>
        <v>20224.002629120001</v>
      </c>
      <c r="FA86" s="394">
        <f t="shared" ca="1" si="2526"/>
        <v>2.8494615950910827E-2</v>
      </c>
      <c r="FB86" s="212" t="str">
        <f t="shared" ref="FB86:FB119" ca="1" si="3172">IF(SUM(EO86,EW86,FA86)&lt;&gt;0,"V","")</f>
        <v>V</v>
      </c>
      <c r="FC86" s="214"/>
      <c r="FD86" s="312" t="str">
        <f t="shared" ca="1" si="2921"/>
        <v/>
      </c>
      <c r="FE86" s="215"/>
      <c r="FF86" s="199">
        <f t="shared" ca="1" si="2922"/>
        <v>0</v>
      </c>
      <c r="FG86" s="199">
        <f t="shared" ca="1" si="2923"/>
        <v>0</v>
      </c>
      <c r="FH86" s="216">
        <f t="shared" ca="1" si="2516"/>
        <v>0</v>
      </c>
      <c r="FI86" s="202">
        <f t="shared" ca="1" si="2924"/>
        <v>0</v>
      </c>
      <c r="FJ86" s="203">
        <f t="shared" ca="1" si="2925"/>
        <v>0</v>
      </c>
      <c r="FK86" s="203">
        <f t="shared" ca="1" si="2926"/>
        <v>0</v>
      </c>
      <c r="FL86" s="204">
        <f t="shared" ca="1" si="2549"/>
        <v>0</v>
      </c>
      <c r="FM86" s="205"/>
      <c r="FN86" s="206">
        <f t="shared" ca="1" si="2927"/>
        <v>0</v>
      </c>
      <c r="FO86" s="206">
        <f t="shared" ca="1" si="2928"/>
        <v>0</v>
      </c>
      <c r="FP86" s="207">
        <f t="shared" ca="1" si="2517"/>
        <v>0</v>
      </c>
      <c r="FQ86" s="391">
        <f t="shared" si="2929"/>
        <v>0</v>
      </c>
      <c r="FR86" s="391">
        <f t="shared" ca="1" si="2930"/>
        <v>0</v>
      </c>
      <c r="FS86" s="391">
        <f t="shared" ca="1" si="2931"/>
        <v>0</v>
      </c>
      <c r="FT86" s="394">
        <f t="shared" ca="1" si="2528"/>
        <v>0</v>
      </c>
      <c r="FU86" s="209" t="str">
        <f t="shared" ref="FU86:FU119" ca="1" si="3173">IF(SUM(FH86,FP86,FT86)&lt;&gt;0,"V","")</f>
        <v/>
      </c>
    </row>
    <row r="87" spans="1:177" outlineLevel="2" x14ac:dyDescent="0.2">
      <c r="A87" s="366"/>
      <c r="B87" s="366"/>
      <c r="C87" s="367" t="str">
        <f t="shared" ca="1" si="2571"/>
        <v>CH0012032048:CHF</v>
      </c>
      <c r="D87" s="368" t="str">
        <f t="shared" ca="1" si="2572"/>
        <v>CH0012032048</v>
      </c>
      <c r="E87" s="369" t="str">
        <f t="shared" ca="1" si="2572"/>
        <v>1203204</v>
      </c>
      <c r="F87" s="390" t="s">
        <v>525</v>
      </c>
      <c r="G87" s="371"/>
      <c r="H87" s="1713" t="str">
        <f t="shared" ca="1" si="2530"/>
        <v></v>
      </c>
      <c r="I87" s="1683" t="str">
        <f t="shared" ca="1" si="2573"/>
        <v>i</v>
      </c>
      <c r="J87" s="1713" t="str">
        <f t="shared" ca="1" si="2574"/>
        <v></v>
      </c>
      <c r="K87" s="1716" t="str">
        <f t="shared" ca="1" si="2574"/>
        <v></v>
      </c>
      <c r="L87" s="1717" t="str">
        <f t="shared" ca="1" si="2575"/>
        <v></v>
      </c>
      <c r="M87" s="366" t="str">
        <f t="shared" ca="1" si="2576"/>
        <v>Unit</v>
      </c>
      <c r="N87" s="372">
        <v>0.02</v>
      </c>
      <c r="O87" s="372"/>
      <c r="P87" s="373">
        <f t="shared" ca="1" si="2532"/>
        <v>2.7568446471799388E-2</v>
      </c>
      <c r="Q87" s="391">
        <f t="array" aca="1" ref="Q87" ca="1">SUM(IF($AA$15:$FT$15="I_pos",AA87:FT87))</f>
        <v>555</v>
      </c>
      <c r="R87" s="391">
        <f t="array" aca="1" ref="R87" ca="1">SUM(IF($AA$15:$FT$15="P_Pos",AA87:FT87))</f>
        <v>177.57302453414911</v>
      </c>
      <c r="S87" s="367"/>
      <c r="T87" s="391"/>
      <c r="U87" s="375">
        <f t="shared" ca="1" si="2577"/>
        <v>-2.0666850372003397E-2</v>
      </c>
      <c r="V87" s="391">
        <f t="array" aca="1" ref="V87" ca="1">SUM(IF($AA$15:$FT$15="O_Pos",AA87:FT87))</f>
        <v>0</v>
      </c>
      <c r="W87" s="367" t="str">
        <f t="shared" ref="W87" ca="1" si="3174">OFFSET(Origine,MATCH($F87,Descrizioni,0),MATCH(W$15,Intestazioni,0)-1,1,1)</f>
        <v>CHF</v>
      </c>
      <c r="X87" s="392">
        <f t="shared" ref="X87:X89" ca="1" si="3175">_xlfn.NUMBERVALUE(OFFSET(Origine,MATCH($F87,Descrizioni,0),MATCH(X$15,Intestazioni,0)-1,1,1))</f>
        <v>355.4</v>
      </c>
      <c r="Y87" s="393">
        <f t="shared" ca="1" si="2579"/>
        <v>2.7574560000000001E-2</v>
      </c>
      <c r="Z87" s="378">
        <f t="shared" ca="1" si="2836"/>
        <v>1.0000001300000001</v>
      </c>
      <c r="AA87" s="214">
        <v>45</v>
      </c>
      <c r="AB87" s="312">
        <f t="shared" ca="1" si="2837"/>
        <v>0.45032277231197515</v>
      </c>
      <c r="AC87" s="215">
        <v>245.0489</v>
      </c>
      <c r="AD87" s="199">
        <f t="shared" ref="AD87:AD90" ca="1" si="3176">AA87*$X87</f>
        <v>15992.999999999998</v>
      </c>
      <c r="AE87" s="199">
        <f t="shared" ref="AE87:AE90" ca="1" si="3177">AD87*$Z87</f>
        <v>15993.00207909</v>
      </c>
      <c r="AF87" s="216">
        <f t="shared" ref="AF87:AF90" ca="1" si="3178">IFERROR(AE87/AA$4,0)</f>
        <v>2.8482841597778204E-2</v>
      </c>
      <c r="AG87" s="202">
        <f t="shared" ref="AG87:AG90" ca="1" si="3179">AH87/$X87</f>
        <v>-13.402029098451882</v>
      </c>
      <c r="AH87" s="203">
        <f t="shared" ref="AH87:AH90" ca="1" si="3180">AI87/$Z87</f>
        <v>-4763.0811415897988</v>
      </c>
      <c r="AI87" s="203">
        <f t="shared" ref="AI87:AI90" ca="1" si="3181">AJ87*AA$4</f>
        <v>-4763.0817607903473</v>
      </c>
      <c r="AJ87" s="204">
        <f t="shared" ca="1" si="2535"/>
        <v>-8.4828415977782033E-3</v>
      </c>
      <c r="AK87" s="205"/>
      <c r="AL87" s="206">
        <f t="shared" ref="AL87:AL90" ca="1" si="3182">AK87*$X87</f>
        <v>0</v>
      </c>
      <c r="AM87" s="206">
        <f t="shared" ref="AM87:AM90" ca="1" si="3183">AL87*$Z87</f>
        <v>0</v>
      </c>
      <c r="AN87" s="207">
        <f t="shared" ref="AN87:AN90" ca="1" si="3184">IFERROR(AM87/AA$4,0)</f>
        <v>0</v>
      </c>
      <c r="AO87" s="391">
        <f t="shared" si="2845"/>
        <v>45</v>
      </c>
      <c r="AP87" s="391">
        <f t="shared" ca="1" si="2846"/>
        <v>15992.999999999998</v>
      </c>
      <c r="AQ87" s="391">
        <f t="shared" ref="AQ87:AQ90" ca="1" si="3185">AP87*$Z87</f>
        <v>15993.00207909</v>
      </c>
      <c r="AR87" s="394">
        <f t="shared" ref="AR87:AR90" ca="1" si="3186">IFERROR(AQ87/AA$4,0)</f>
        <v>2.8482841597778204E-2</v>
      </c>
      <c r="AS87" s="209" t="str">
        <f t="shared" ca="1" si="3165"/>
        <v>V</v>
      </c>
      <c r="AT87" s="214">
        <v>130</v>
      </c>
      <c r="AU87" s="312">
        <f t="shared" ca="1" si="2848"/>
        <v>0.45032277231197515</v>
      </c>
      <c r="AV87" s="215">
        <v>245.0489</v>
      </c>
      <c r="AW87" s="199">
        <f t="shared" ref="AW87:AW90" ca="1" si="3187">AT87*$X87</f>
        <v>46202</v>
      </c>
      <c r="AX87" s="199">
        <f t="shared" ref="AX87:AX90" ca="1" si="3188">AW87*$Z87</f>
        <v>46202.006006260002</v>
      </c>
      <c r="AY87" s="216">
        <f t="shared" ref="AY87:AY90" ca="1" si="3189">IFERROR(AX87/AT$4,0)</f>
        <v>2.667795627698925E-2</v>
      </c>
      <c r="AZ87" s="202">
        <f t="shared" ref="AZ87:AZ90" ca="1" si="3190">BA87/$X87</f>
        <v>-32.541260169820475</v>
      </c>
      <c r="BA87" s="203">
        <f t="shared" ref="BA87:BA90" ca="1" si="3191">BB87/$Z87</f>
        <v>-11565.163864354197</v>
      </c>
      <c r="BB87" s="203">
        <f t="shared" ref="BB87:BB90" ca="1" si="3192">BC87*AT$4</f>
        <v>-11565.165367825501</v>
      </c>
      <c r="BC87" s="204">
        <f t="shared" ca="1" si="2537"/>
        <v>-6.6779562769892498E-3</v>
      </c>
      <c r="BD87" s="205"/>
      <c r="BE87" s="206">
        <f t="shared" ref="BE87:BE90" ca="1" si="3193">BD87*$X87</f>
        <v>0</v>
      </c>
      <c r="BF87" s="206">
        <f t="shared" ref="BF87:BF90" ca="1" si="3194">BE87*$Z87</f>
        <v>0</v>
      </c>
      <c r="BG87" s="207">
        <f t="shared" ref="BG87:BG90" ca="1" si="3195">IFERROR(BF87/AT$4,0)</f>
        <v>0</v>
      </c>
      <c r="BH87" s="391">
        <f t="shared" ref="BH87:BH90" si="3196">AT87+BD87</f>
        <v>130</v>
      </c>
      <c r="BI87" s="391">
        <f t="shared" ca="1" si="2857"/>
        <v>46202</v>
      </c>
      <c r="BJ87" s="391">
        <f t="shared" ref="BJ87:BJ90" ca="1" si="3197">BI87*$Z87</f>
        <v>46202.006006260002</v>
      </c>
      <c r="BK87" s="394">
        <f t="shared" ref="BK87:BK90" ca="1" si="3198">IFERROR(BJ87/AT$4,0)</f>
        <v>2.667795627698925E-2</v>
      </c>
      <c r="BL87" s="211" t="str">
        <f t="shared" ca="1" si="3166"/>
        <v>V</v>
      </c>
      <c r="BM87" s="214">
        <v>25</v>
      </c>
      <c r="BN87" s="312">
        <f t="shared" ca="1" si="2859"/>
        <v>0.45032277231197515</v>
      </c>
      <c r="BO87" s="215">
        <v>245.0489</v>
      </c>
      <c r="BP87" s="199">
        <f t="shared" ref="BP87:BP90" ca="1" si="3199">BM87*$X87</f>
        <v>8885</v>
      </c>
      <c r="BQ87" s="199">
        <f t="shared" ref="BQ87:BQ90" ca="1" si="3200">BP87*$Z87</f>
        <v>8885.0011550500003</v>
      </c>
      <c r="BR87" s="216">
        <f t="shared" ref="BR87:BR90" ca="1" si="3201">IFERROR(BQ87/BM$4,0)</f>
        <v>3.1178479215255593E-2</v>
      </c>
      <c r="BS87" s="202">
        <f t="shared" ref="BS87:BS90" ca="1" si="3202">BT87/$X87</f>
        <v>-8.9632973581549606</v>
      </c>
      <c r="BT87" s="203">
        <f t="shared" ref="BT87:BT90" ca="1" si="3203">BU87/$Z87</f>
        <v>-3185.5558810882731</v>
      </c>
      <c r="BU87" s="203">
        <f t="shared" ref="BU87:BU90" ca="1" si="3204">BV87*BM$4</f>
        <v>-3185.5562952105379</v>
      </c>
      <c r="BV87" s="204">
        <f t="shared" ca="1" si="2541"/>
        <v>-1.1178479215255593E-2</v>
      </c>
      <c r="BW87" s="205"/>
      <c r="BX87" s="206">
        <f t="shared" ref="BX87:BX90" ca="1" si="3205">BW87*$X87</f>
        <v>0</v>
      </c>
      <c r="BY87" s="206">
        <f t="shared" ref="BY87:BY90" ca="1" si="3206">BX87*$Z87</f>
        <v>0</v>
      </c>
      <c r="BZ87" s="207">
        <f t="shared" ref="BZ87:BZ90" ca="1" si="3207">IFERROR(BY87/BM$4,0)</f>
        <v>0</v>
      </c>
      <c r="CA87" s="391">
        <f t="shared" ref="CA87:CA90" si="3208">BM87+BW87</f>
        <v>25</v>
      </c>
      <c r="CB87" s="391">
        <f t="shared" ca="1" si="2870"/>
        <v>8885</v>
      </c>
      <c r="CC87" s="391">
        <f t="shared" ref="CC87:CC90" ca="1" si="3209">CB87*$Z87</f>
        <v>8885.0011550500003</v>
      </c>
      <c r="CD87" s="394">
        <f t="shared" ref="CD87:CD90" ca="1" si="3210">IFERROR(CC87/BM$4,0)</f>
        <v>3.1178479215255593E-2</v>
      </c>
      <c r="CE87" s="212" t="str">
        <f t="shared" ca="1" si="3167"/>
        <v>V</v>
      </c>
      <c r="CF87" s="214">
        <v>65</v>
      </c>
      <c r="CG87" s="312">
        <f t="shared" ca="1" si="2872"/>
        <v>0.45032277231197515</v>
      </c>
      <c r="CH87" s="215">
        <v>245.0489</v>
      </c>
      <c r="CI87" s="199">
        <f t="shared" ref="CI87:CI90" ca="1" si="3211">CF87*$X87</f>
        <v>23101</v>
      </c>
      <c r="CJ87" s="199">
        <f t="shared" ref="CJ87:CJ90" ca="1" si="3212">CI87*$Z87</f>
        <v>23101.003003130001</v>
      </c>
      <c r="CK87" s="216">
        <f t="shared" ref="CK87:CK90" ca="1" si="3213">IFERROR(CJ87/CF$4,0)</f>
        <v>2.6104020740544895E-2</v>
      </c>
      <c r="CL87" s="202">
        <f t="shared" ref="CL87:CL90" ca="1" si="3214">CM87/$X87</f>
        <v>-15.199242755701864</v>
      </c>
      <c r="CM87" s="203">
        <f t="shared" ref="CM87:CM90" ca="1" si="3215">CN87/$Z87</f>
        <v>-5401.8108753764418</v>
      </c>
      <c r="CN87" s="203">
        <f t="shared" ref="CN87:CN90" ca="1" si="3216">CO87*CF$4</f>
        <v>-5401.8115776118557</v>
      </c>
      <c r="CO87" s="204">
        <f t="shared" ca="1" si="2543"/>
        <v>-6.1040207405448944E-3</v>
      </c>
      <c r="CP87" s="205"/>
      <c r="CQ87" s="206">
        <f t="shared" ref="CQ87:CQ90" ca="1" si="3217">CP87*$X87</f>
        <v>0</v>
      </c>
      <c r="CR87" s="206">
        <f t="shared" ref="CR87:CR90" ca="1" si="3218">CQ87*$Z87</f>
        <v>0</v>
      </c>
      <c r="CS87" s="207">
        <f t="shared" ref="CS87:CS90" ca="1" si="3219">IFERROR(CR87/CF$4,0)</f>
        <v>0</v>
      </c>
      <c r="CT87" s="391">
        <f t="shared" ref="CT87:CT90" si="3220">CF87+CP87</f>
        <v>65</v>
      </c>
      <c r="CU87" s="391">
        <f t="shared" ca="1" si="2881"/>
        <v>23101</v>
      </c>
      <c r="CV87" s="391">
        <f t="shared" ref="CV87:CV90" ca="1" si="3221">CU87*$Z87</f>
        <v>23101.003003130001</v>
      </c>
      <c r="CW87" s="394">
        <f t="shared" ref="CW87:CW90" ca="1" si="3222">IFERROR(CV87/CF$4,0)</f>
        <v>2.6104020740544895E-2</v>
      </c>
      <c r="CX87" s="211" t="str">
        <f t="shared" ca="1" si="3168"/>
        <v>V</v>
      </c>
      <c r="CY87" s="197">
        <v>290</v>
      </c>
      <c r="CZ87" s="312">
        <f t="shared" ca="1" si="2883"/>
        <v>0.48342933466900395</v>
      </c>
      <c r="DA87" s="395">
        <v>239.58</v>
      </c>
      <c r="DB87" s="199">
        <f t="shared" ca="1" si="2884"/>
        <v>103066</v>
      </c>
      <c r="DC87" s="199">
        <f t="shared" ca="1" si="2885"/>
        <v>103066.01339858001</v>
      </c>
      <c r="DD87" s="216">
        <f t="shared" ca="1" si="2886"/>
        <v>2.8745876083839557E-2</v>
      </c>
      <c r="DE87" s="202">
        <f t="shared" ca="1" si="2887"/>
        <v>-88.231927839532389</v>
      </c>
      <c r="DF87" s="203">
        <f t="shared" ca="1" si="2888"/>
        <v>-31357.627154169808</v>
      </c>
      <c r="DG87" s="203">
        <f t="shared" ca="1" si="2889"/>
        <v>-31357.63123066134</v>
      </c>
      <c r="DH87" s="204">
        <f t="shared" ca="1" si="2545"/>
        <v>-8.7458760838395565E-3</v>
      </c>
      <c r="DI87" s="205"/>
      <c r="DJ87" s="206">
        <f t="shared" ca="1" si="2890"/>
        <v>0</v>
      </c>
      <c r="DK87" s="206">
        <f t="shared" ca="1" si="2891"/>
        <v>0</v>
      </c>
      <c r="DL87" s="207">
        <f t="shared" ca="1" si="2892"/>
        <v>0</v>
      </c>
      <c r="DM87" s="391">
        <f t="shared" ref="DM87:DM90" si="3223">CY87+DI87</f>
        <v>290</v>
      </c>
      <c r="DN87" s="391">
        <f t="shared" ca="1" si="2894"/>
        <v>103066</v>
      </c>
      <c r="DO87" s="391">
        <f t="shared" ca="1" si="3169"/>
        <v>103066.01339858001</v>
      </c>
      <c r="DP87" s="394">
        <f t="shared" ca="1" si="3170"/>
        <v>2.8745876083839557E-2</v>
      </c>
      <c r="DQ87" s="209" t="str">
        <f t="shared" ca="1" si="3171"/>
        <v>V</v>
      </c>
      <c r="DR87" s="197"/>
      <c r="DS87" s="312" t="str">
        <f t="shared" ca="1" si="2896"/>
        <v/>
      </c>
      <c r="DT87" s="395"/>
      <c r="DU87" s="199">
        <f t="shared" ca="1" si="2897"/>
        <v>0</v>
      </c>
      <c r="DV87" s="199">
        <f t="shared" ca="1" si="2898"/>
        <v>0</v>
      </c>
      <c r="DW87" s="216">
        <f t="shared" ca="1" si="2899"/>
        <v>0</v>
      </c>
      <c r="DX87" s="202">
        <f t="shared" ca="1" si="2900"/>
        <v>39.491262139875744</v>
      </c>
      <c r="DY87" s="203">
        <f t="shared" ca="1" si="2901"/>
        <v>14035.194564511838</v>
      </c>
      <c r="DZ87" s="203">
        <f t="shared" ca="1" si="2902"/>
        <v>14035.196389087132</v>
      </c>
      <c r="EA87" s="204">
        <f t="shared" ca="1" si="2546"/>
        <v>0.02</v>
      </c>
      <c r="EB87" s="205"/>
      <c r="EC87" s="206">
        <f t="shared" ca="1" si="2903"/>
        <v>0</v>
      </c>
      <c r="ED87" s="206">
        <f t="shared" ca="1" si="2904"/>
        <v>0</v>
      </c>
      <c r="EE87" s="207">
        <f t="shared" ca="1" si="2905"/>
        <v>0</v>
      </c>
      <c r="EF87" s="391">
        <f t="shared" ref="EF87:EF93" si="3224">DR87+EB87</f>
        <v>0</v>
      </c>
      <c r="EG87" s="391">
        <f t="shared" ca="1" si="2907"/>
        <v>0</v>
      </c>
      <c r="EH87" s="391">
        <f t="shared" ca="1" si="2908"/>
        <v>0</v>
      </c>
      <c r="EI87" s="394">
        <f t="shared" ca="1" si="2909"/>
        <v>0</v>
      </c>
      <c r="EJ87" s="214"/>
      <c r="EK87" s="312" t="str">
        <f t="shared" ca="1" si="2910"/>
        <v/>
      </c>
      <c r="EL87" s="222"/>
      <c r="EM87" s="199">
        <f t="shared" ref="EM87:EM90" ca="1" si="3225">EJ87*$X87</f>
        <v>0</v>
      </c>
      <c r="EN87" s="199">
        <f t="shared" ref="EN87:EN90" ca="1" si="3226">EM87*$Z87</f>
        <v>0</v>
      </c>
      <c r="EO87" s="216">
        <f t="shared" ref="EO87:EO90" ca="1" si="3227">IFERROR(EN87/EJ$4,0)</f>
        <v>0</v>
      </c>
      <c r="EP87" s="202">
        <f t="shared" ref="EP87:EP90" ca="1" si="3228">EQ87/$X87</f>
        <v>39.940805652538558</v>
      </c>
      <c r="EQ87" s="203">
        <f t="shared" ref="EQ87:EQ90" ca="1" si="3229">ER87/$Z87</f>
        <v>14194.962328912203</v>
      </c>
      <c r="ER87" s="203">
        <f t="shared" ref="ER87:ER90" ca="1" si="3230">ES87*EJ$4</f>
        <v>14194.964174257308</v>
      </c>
      <c r="ES87" s="204">
        <f t="shared" ca="1" si="2547"/>
        <v>0.02</v>
      </c>
      <c r="ET87" s="205"/>
      <c r="EU87" s="206">
        <f t="shared" ref="EU87:EU90" ca="1" si="3231">ET87*$X87</f>
        <v>0</v>
      </c>
      <c r="EV87" s="206">
        <f t="shared" ref="EV87:EV90" ca="1" si="3232">EU87*$Z87</f>
        <v>0</v>
      </c>
      <c r="EW87" s="207">
        <f t="shared" ref="EW87:EW90" ca="1" si="3233">IFERROR(EV87/EJ$4,0)</f>
        <v>0</v>
      </c>
      <c r="EX87" s="391">
        <f t="shared" ref="EX87:EX90" si="3234">EJ87+ET87</f>
        <v>0</v>
      </c>
      <c r="EY87" s="391">
        <f t="shared" ca="1" si="2919"/>
        <v>0</v>
      </c>
      <c r="EZ87" s="391">
        <f t="shared" ref="EZ87:EZ90" ca="1" si="3235">EY87*$Z87</f>
        <v>0</v>
      </c>
      <c r="FA87" s="394">
        <f t="shared" ref="FA87:FA90" ca="1" si="3236">IFERROR(EZ87/EJ$4,0)</f>
        <v>0</v>
      </c>
      <c r="FB87" s="212" t="str">
        <f t="shared" ca="1" si="3172"/>
        <v/>
      </c>
      <c r="FC87" s="214"/>
      <c r="FD87" s="312" t="str">
        <f t="shared" ca="1" si="2921"/>
        <v/>
      </c>
      <c r="FE87" s="215"/>
      <c r="FF87" s="199">
        <f t="shared" ref="FF87:FF90" ca="1" si="3237">FC87*$X87</f>
        <v>0</v>
      </c>
      <c r="FG87" s="199">
        <f t="shared" ref="FG87:FG90" ca="1" si="3238">FF87*$Z87</f>
        <v>0</v>
      </c>
      <c r="FH87" s="216">
        <f t="shared" ref="FH87:FH90" ca="1" si="3239">IFERROR(FG87/FC$4,0)</f>
        <v>0</v>
      </c>
      <c r="FI87" s="202">
        <f t="shared" ref="FI87:FI90" ca="1" si="3240">FJ87/$X87</f>
        <v>256.47871396339639</v>
      </c>
      <c r="FJ87" s="203">
        <f t="shared" ref="FJ87:FJ90" ca="1" si="3241">FK87/$Z87</f>
        <v>91152.534942591068</v>
      </c>
      <c r="FK87" s="203">
        <f t="shared" ref="FK87:FK90" ca="1" si="3242">FL87*FC$4</f>
        <v>91152.546792420617</v>
      </c>
      <c r="FL87" s="204">
        <f t="shared" ca="1" si="2549"/>
        <v>0.02</v>
      </c>
      <c r="FM87" s="205"/>
      <c r="FN87" s="206">
        <f t="shared" ref="FN87:FN90" ca="1" si="3243">FM87*$X87</f>
        <v>0</v>
      </c>
      <c r="FO87" s="206">
        <f t="shared" ref="FO87:FO90" ca="1" si="3244">FN87*$Z87</f>
        <v>0</v>
      </c>
      <c r="FP87" s="207">
        <f t="shared" ref="FP87:FP90" ca="1" si="3245">IFERROR(FO87/FC$4,0)</f>
        <v>0</v>
      </c>
      <c r="FQ87" s="391">
        <f t="shared" ref="FQ87:FQ90" si="3246">FC87+FM87</f>
        <v>0</v>
      </c>
      <c r="FR87" s="391">
        <f t="shared" ca="1" si="2930"/>
        <v>0</v>
      </c>
      <c r="FS87" s="391">
        <f t="shared" ref="FS87:FS90" ca="1" si="3247">FR87*$Z87</f>
        <v>0</v>
      </c>
      <c r="FT87" s="394">
        <f t="shared" ref="FT87:FT90" ca="1" si="3248">IFERROR(FS87/FC$4,0)</f>
        <v>0</v>
      </c>
      <c r="FU87" s="209" t="str">
        <f t="shared" ca="1" si="3173"/>
        <v/>
      </c>
    </row>
    <row r="88" spans="1:177" outlineLevel="2" x14ac:dyDescent="0.2">
      <c r="A88" s="366"/>
      <c r="B88" s="366"/>
      <c r="C88" s="367" t="str">
        <f t="shared" ca="1" si="2571"/>
        <v>CH1243598427:CHF</v>
      </c>
      <c r="D88" s="368" t="str">
        <f t="shared" ca="1" si="2572"/>
        <v>CH1243598427</v>
      </c>
      <c r="E88" s="369" t="str">
        <f t="shared" ca="1" si="2572"/>
        <v>124359842</v>
      </c>
      <c r="F88" s="390" t="s">
        <v>486</v>
      </c>
      <c r="G88" s="414"/>
      <c r="H88" s="1713" t="str">
        <f t="shared" ca="1" si="2530"/>
        <v></v>
      </c>
      <c r="I88" s="1683" t="str">
        <f t="shared" ca="1" si="2573"/>
        <v/>
      </c>
      <c r="J88" s="1713" t="str">
        <f t="shared" ca="1" si="2574"/>
        <v/>
      </c>
      <c r="K88" s="1716" t="str">
        <f t="shared" ca="1" si="2574"/>
        <v/>
      </c>
      <c r="L88" s="1717" t="str">
        <f t="shared" ca="1" si="2575"/>
        <v/>
      </c>
      <c r="M88" s="366" t="str">
        <f t="shared" ca="1" si="2576"/>
        <v>Unit</v>
      </c>
      <c r="N88" s="372">
        <v>0.02</v>
      </c>
      <c r="O88" s="372"/>
      <c r="P88" s="373">
        <f t="shared" ca="1" si="2532"/>
        <v>2.1066202642164859E-2</v>
      </c>
      <c r="Q88" s="391">
        <f t="array" aca="1" ref="Q88" ca="1">SUM(IF($AA$15:$FT$15="I_pos",AA88:FT88))</f>
        <v>2250</v>
      </c>
      <c r="R88" s="391">
        <f t="array" aca="1" ref="R88" ca="1">SUM(IF($AA$15:$FT$15="P_Pos",AA88:FT88))</f>
        <v>1728.5521534143732</v>
      </c>
      <c r="S88" s="367"/>
      <c r="T88" s="391"/>
      <c r="U88" s="375">
        <f t="shared" ca="1" si="2577"/>
        <v>-3.1952662721893697E-2</v>
      </c>
      <c r="V88" s="391">
        <f t="array" aca="1" ref="V88" ca="1">SUM(IF($AA$15:$FT$15="O_Pos",AA88:FT88))</f>
        <v>70</v>
      </c>
      <c r="W88" s="367" t="str">
        <f t="shared" ref="W88:W93" ca="1" si="3249">OFFSET(Origine,MATCH($F88,Descrizioni,0),MATCH(W$15,Intestazioni,0)-1,1,1)</f>
        <v>CHF</v>
      </c>
      <c r="X88" s="392">
        <f t="shared" ca="1" si="3175"/>
        <v>65.44</v>
      </c>
      <c r="Y88" s="393">
        <f t="shared" ref="X88:Y96" ca="1" si="3250">_xlfn.NUMBERVALUE(OFFSET(Origine,MATCH($F88,Descrizioni,0),MATCH(Y$15,Intestazioni,0)-1,1,1))</f>
        <v>1.222494E-2</v>
      </c>
      <c r="Z88" s="378">
        <f t="shared" ref="Z88" ca="1" si="3251">_xlfn.NUMBERVALUE(OFFSET(Origine,MATCH(W88&amp;"/"&amp;MRif,LUKB_Name,0),MATCH("Price",Intestazioni,0)-1,1,1))</f>
        <v>1.0000001300000001</v>
      </c>
      <c r="AA88" s="214">
        <f>180</f>
        <v>180</v>
      </c>
      <c r="AB88" s="312">
        <f t="shared" ref="AB88" ca="1" si="3252">IFERROR($X88/AC88-1,"")</f>
        <v>6.1534618292006238E-2</v>
      </c>
      <c r="AC88" s="215">
        <v>61.646599999999999</v>
      </c>
      <c r="AD88" s="199">
        <f t="shared" ref="AD88" ca="1" si="3253">AA88*$X88</f>
        <v>11779.199999999999</v>
      </c>
      <c r="AE88" s="199">
        <f t="shared" ref="AE88" ca="1" si="3254">AD88*$Z88</f>
        <v>11779.201531295999</v>
      </c>
      <c r="AF88" s="216">
        <f t="shared" ref="AF88" ca="1" si="3255">IFERROR(AE88/AA$4,0)</f>
        <v>2.0978245966894828E-2</v>
      </c>
      <c r="AG88" s="202">
        <f t="shared" ref="AG88" ca="1" si="3256">AH88/$X88</f>
        <v>-8.3936604766167022</v>
      </c>
      <c r="AH88" s="203">
        <f t="shared" ref="AH88" ca="1" si="3257">AI88/$Z88</f>
        <v>-549.28114158979702</v>
      </c>
      <c r="AI88" s="203">
        <f t="shared" ref="AI88" ca="1" si="3258">AJ88*AA$4</f>
        <v>-549.28121299634552</v>
      </c>
      <c r="AJ88" s="204">
        <f t="shared" ref="AJ88" ca="1" si="3259">IF(AA$6&lt;&gt;"",$O88,$N88)-AF88</f>
        <v>-9.7824596689482721E-4</v>
      </c>
      <c r="AK88" s="205"/>
      <c r="AL88" s="206">
        <f t="shared" ref="AL88" ca="1" si="3260">AK88*$X88</f>
        <v>0</v>
      </c>
      <c r="AM88" s="206">
        <f t="shared" ref="AM88" ca="1" si="3261">AL88*$Z88</f>
        <v>0</v>
      </c>
      <c r="AN88" s="207">
        <f t="shared" ref="AN88" ca="1" si="3262">IFERROR(AM88/AA$4,0)</f>
        <v>0</v>
      </c>
      <c r="AO88" s="391">
        <f t="shared" si="2845"/>
        <v>180</v>
      </c>
      <c r="AP88" s="391">
        <f t="shared" ref="AP88" ca="1" si="3263">AD88+IF($T88 ="",AL88,0)</f>
        <v>11779.199999999999</v>
      </c>
      <c r="AQ88" s="391">
        <f t="shared" ref="AQ88" ca="1" si="3264">AP88*$Z88</f>
        <v>11779.201531295999</v>
      </c>
      <c r="AR88" s="394">
        <f t="shared" ref="AR88" ca="1" si="3265">IFERROR(AQ88/AA$4,0)</f>
        <v>2.0978245966894828E-2</v>
      </c>
      <c r="AS88" s="209" t="str">
        <f t="shared" ref="AS88" ca="1" si="3266">IF(SUM(AF88,AN88,AR88)&lt;&gt;0,"V","")</f>
        <v>V</v>
      </c>
      <c r="AT88" s="214">
        <f>560</f>
        <v>560</v>
      </c>
      <c r="AU88" s="312">
        <f t="shared" ref="AU88" ca="1" si="3267">IFERROR($X88/AV88-1,"")</f>
        <v>6.1534618292006238E-2</v>
      </c>
      <c r="AV88" s="215">
        <v>61.646599999999999</v>
      </c>
      <c r="AW88" s="199">
        <f t="shared" ref="AW88" ca="1" si="3268">AT88*$X88</f>
        <v>36646.400000000001</v>
      </c>
      <c r="AX88" s="199">
        <f t="shared" ref="AX88" ca="1" si="3269">AW88*$Z88</f>
        <v>36646.404764032006</v>
      </c>
      <c r="AY88" s="216">
        <f t="shared" ref="AY88" ca="1" si="3270">IFERROR(AX88/AT$4,0)</f>
        <v>2.1160362255076816E-2</v>
      </c>
      <c r="AZ88" s="202">
        <f t="shared" ref="AZ88" ca="1" si="3271">BA88/$X88</f>
        <v>-30.708494259691388</v>
      </c>
      <c r="BA88" s="203">
        <f t="shared" ref="BA88" ca="1" si="3272">BB88/$Z88</f>
        <v>-2009.5638643542045</v>
      </c>
      <c r="BB88" s="203">
        <f t="shared" ref="BB88" ca="1" si="3273">BC88*AT$4</f>
        <v>-2009.564125597507</v>
      </c>
      <c r="BC88" s="204">
        <f t="shared" ref="BC88" ca="1" si="3274">IF(AT$6&lt;&gt;"",$O88,$N88)-AY88</f>
        <v>-1.1603622550768154E-3</v>
      </c>
      <c r="BD88" s="205"/>
      <c r="BE88" s="206">
        <f t="shared" ref="BE88" ca="1" si="3275">BD88*$X88</f>
        <v>0</v>
      </c>
      <c r="BF88" s="206">
        <f t="shared" ref="BF88" ca="1" si="3276">BE88*$Z88</f>
        <v>0</v>
      </c>
      <c r="BG88" s="207">
        <f t="shared" ref="BG88" ca="1" si="3277">IFERROR(BF88/AT$4,0)</f>
        <v>0</v>
      </c>
      <c r="BH88" s="391">
        <f t="shared" ref="BH88" si="3278">AT88+BD88</f>
        <v>560</v>
      </c>
      <c r="BI88" s="391">
        <f t="shared" ref="BI88" ca="1" si="3279">AW88+IF($T88 ="",BE88,0)</f>
        <v>36646.400000000001</v>
      </c>
      <c r="BJ88" s="391">
        <f t="shared" ref="BJ88" ca="1" si="3280">BI88*$Z88</f>
        <v>36646.404764032006</v>
      </c>
      <c r="BK88" s="394">
        <f t="shared" ref="BK88" ca="1" si="3281">IFERROR(BJ88/AT$4,0)</f>
        <v>2.1160362255076816E-2</v>
      </c>
      <c r="BL88" s="211" t="str">
        <f t="shared" ref="BL88" ca="1" si="3282">IF(SUM(AY88,BG88,BK88)&lt;&gt;0,"V","")</f>
        <v>V</v>
      </c>
      <c r="BM88" s="214">
        <f>90</f>
        <v>90</v>
      </c>
      <c r="BN88" s="312">
        <f t="shared" ref="BN88" ca="1" si="3283">IFERROR($X88/BO88-1,"")</f>
        <v>6.1534618292006238E-2</v>
      </c>
      <c r="BO88" s="215">
        <v>61.646599999999999</v>
      </c>
      <c r="BP88" s="199">
        <f t="shared" ref="BP88" ca="1" si="3284">BM88*$X88</f>
        <v>5889.5999999999995</v>
      </c>
      <c r="BQ88" s="199">
        <f t="shared" ref="BQ88" ca="1" si="3285">BP88*$Z88</f>
        <v>5889.6007656479997</v>
      </c>
      <c r="BR88" s="216">
        <f t="shared" ref="BR88" ca="1" si="3286">IFERROR(BQ88/BM$4,0)</f>
        <v>2.0667278692872181E-2</v>
      </c>
      <c r="BS88" s="202">
        <f t="shared" ref="BS88" ca="1" si="3287">BT88/$X88</f>
        <v>-2.905805028855021</v>
      </c>
      <c r="BT88" s="203">
        <f t="shared" ref="BT88" ca="1" si="3288">BU88/$Z88</f>
        <v>-190.15588108827257</v>
      </c>
      <c r="BU88" s="203">
        <f t="shared" ref="BU88" ca="1" si="3289">BV88*BM$4</f>
        <v>-190.15590580853711</v>
      </c>
      <c r="BV88" s="204">
        <f t="shared" ref="BV88" ca="1" si="3290">IF(BM$6&lt;&gt;"",$O88,$N88)-BR88</f>
        <v>-6.6727869287218008E-4</v>
      </c>
      <c r="BW88" s="205"/>
      <c r="BX88" s="206">
        <f t="shared" ref="BX88" ca="1" si="3291">BW88*$X88</f>
        <v>0</v>
      </c>
      <c r="BY88" s="206">
        <f t="shared" ref="BY88" ca="1" si="3292">BX88*$Z88</f>
        <v>0</v>
      </c>
      <c r="BZ88" s="207">
        <f t="shared" ref="BZ88" ca="1" si="3293">IFERROR(BY88/BM$4,0)</f>
        <v>0</v>
      </c>
      <c r="CA88" s="391">
        <f t="shared" ref="CA88" si="3294">BM88+BW88</f>
        <v>90</v>
      </c>
      <c r="CB88" s="391">
        <f t="shared" ref="CB88" ca="1" si="3295">BP88+IF($T88 ="",BX88,0)</f>
        <v>5889.5999999999995</v>
      </c>
      <c r="CC88" s="391">
        <f t="shared" ref="CC88" ca="1" si="3296">CB88*$Z88</f>
        <v>5889.6007656479997</v>
      </c>
      <c r="CD88" s="394">
        <f t="shared" ref="CD88" ca="1" si="3297">IFERROR(CC88/BM$4,0)</f>
        <v>2.0667278692872181E-2</v>
      </c>
      <c r="CE88" s="212" t="str">
        <f t="shared" ref="CE88" ca="1" si="3298">IF(SUM(BR88,BZ88,CD88)&lt;&gt;0,"V","")</f>
        <v>V</v>
      </c>
      <c r="CF88" s="214">
        <f>280</f>
        <v>280</v>
      </c>
      <c r="CG88" s="312">
        <f t="shared" ref="CG88" ca="1" si="3299">IFERROR($X88/CH88-1,"")</f>
        <v>6.1534618292006238E-2</v>
      </c>
      <c r="CH88" s="215">
        <v>61.646599999999999</v>
      </c>
      <c r="CI88" s="199">
        <f t="shared" ref="CI88" ca="1" si="3300">CF88*$X88</f>
        <v>18323.2</v>
      </c>
      <c r="CJ88" s="199">
        <f t="shared" ref="CJ88" ca="1" si="3301">CI88*$Z88</f>
        <v>18323.202382016003</v>
      </c>
      <c r="CK88" s="216">
        <f t="shared" ref="CK88" ca="1" si="3302">IFERROR(CJ88/CF$4,0)</f>
        <v>2.0705129337827467E-2</v>
      </c>
      <c r="CL88" s="202">
        <f t="shared" ref="CL88" ca="1" si="3303">CM88/$X88</f>
        <v>-9.5356185112537446</v>
      </c>
      <c r="CM88" s="203">
        <f t="shared" ref="CM88" ca="1" si="3304">CN88/$Z88</f>
        <v>-624.01087537644503</v>
      </c>
      <c r="CN88" s="203">
        <f t="shared" ref="CN88" ca="1" si="3305">CO88*CF$4</f>
        <v>-624.01095649785884</v>
      </c>
      <c r="CO88" s="204">
        <f t="shared" ref="CO88" ca="1" si="3306">IF(CF$6&lt;&gt;"",$O88,$N88)-CK88</f>
        <v>-7.0512933782746617E-4</v>
      </c>
      <c r="CP88" s="205"/>
      <c r="CQ88" s="206">
        <f t="shared" ref="CQ88" ca="1" si="3307">CP88*$X88</f>
        <v>0</v>
      </c>
      <c r="CR88" s="206">
        <f t="shared" ref="CR88" ca="1" si="3308">CQ88*$Z88</f>
        <v>0</v>
      </c>
      <c r="CS88" s="207">
        <f t="shared" ref="CS88" ca="1" si="3309">IFERROR(CR88/CF$4,0)</f>
        <v>0</v>
      </c>
      <c r="CT88" s="391">
        <f t="shared" ref="CT88" si="3310">CF88+CP88</f>
        <v>280</v>
      </c>
      <c r="CU88" s="391">
        <f t="shared" ref="CU88" ca="1" si="3311">CI88+IF($T88 ="",CQ88,0)</f>
        <v>18323.2</v>
      </c>
      <c r="CV88" s="391">
        <f t="shared" ref="CV88" ca="1" si="3312">CU88*$Z88</f>
        <v>18323.202382016003</v>
      </c>
      <c r="CW88" s="394">
        <f t="shared" ref="CW88" ca="1" si="3313">IFERROR(CV88/CF$4,0)</f>
        <v>2.0705129337827467E-2</v>
      </c>
      <c r="CX88" s="211" t="str">
        <f t="shared" ref="CX88" ca="1" si="3314">IF(SUM(CK88,CS88,CW88)&lt;&gt;0,"V","")</f>
        <v>V</v>
      </c>
      <c r="CY88" s="197">
        <f>1000</f>
        <v>1000</v>
      </c>
      <c r="CZ88" s="312">
        <f t="shared" ref="CZ88" ca="1" si="3315">IFERROR($X88/DA88-1,"")</f>
        <v>6.1534618292006238E-2</v>
      </c>
      <c r="DA88" s="395">
        <v>61.646599999999999</v>
      </c>
      <c r="DB88" s="199">
        <f t="shared" ref="DB88" ca="1" si="3316">CY88*$X88</f>
        <v>65440</v>
      </c>
      <c r="DC88" s="199">
        <f t="shared" ref="DC88" ca="1" si="3317">DB88*$Z88</f>
        <v>65440.008507200007</v>
      </c>
      <c r="DD88" s="216">
        <f t="shared" ref="DD88" ca="1" si="3318">IFERROR(DC88/CY$4,0)</f>
        <v>1.825170406270216E-2</v>
      </c>
      <c r="DE88" s="202">
        <f t="shared" ref="DE88" ca="1" si="3319">DF88/$X88</f>
        <v>95.788093609874466</v>
      </c>
      <c r="DF88" s="203">
        <f t="shared" ref="DF88" ca="1" si="3320">DG88/$Z88</f>
        <v>6268.3728458301848</v>
      </c>
      <c r="DG88" s="203">
        <f t="shared" ref="DG88" ca="1" si="3321">DH88*CY$4</f>
        <v>6268.3736607186556</v>
      </c>
      <c r="DH88" s="204">
        <f t="shared" ref="DH88" ca="1" si="3322">IF(CY$6&lt;&gt;"",$O88,$N88)-DD88</f>
        <v>1.7482959372978404E-3</v>
      </c>
      <c r="DI88" s="205"/>
      <c r="DJ88" s="206">
        <f t="shared" ref="DJ88" ca="1" si="3323">DI88*$X88</f>
        <v>0</v>
      </c>
      <c r="DK88" s="206">
        <f t="shared" ref="DK88" ca="1" si="3324">DJ88*$Z88</f>
        <v>0</v>
      </c>
      <c r="DL88" s="207">
        <f t="shared" ref="DL88" ca="1" si="3325">IFERROR(DK88/CY$4,0)</f>
        <v>0</v>
      </c>
      <c r="DM88" s="391">
        <f t="shared" ref="DM88" si="3326">CY88+DI88</f>
        <v>1000</v>
      </c>
      <c r="DN88" s="391">
        <f t="shared" ref="DN88" ca="1" si="3327">DB88+IF($T88 ="",DJ88,0)</f>
        <v>65440</v>
      </c>
      <c r="DO88" s="391">
        <f t="shared" ref="DO88" ca="1" si="3328">DN88*$Z88</f>
        <v>65440.008507200007</v>
      </c>
      <c r="DP88" s="394">
        <f t="shared" ref="DP88" ca="1" si="3329">IFERROR(DO88/CY$4,0)</f>
        <v>1.825170406270216E-2</v>
      </c>
      <c r="DQ88" s="209" t="str">
        <f t="shared" ref="DQ88" ca="1" si="3330">IF(SUM(DD88,DL88,DP88)&lt;&gt;0,"V","")</f>
        <v>V</v>
      </c>
      <c r="DR88" s="197">
        <f>140</f>
        <v>140</v>
      </c>
      <c r="DS88" s="312">
        <f t="shared" ca="1" si="2896"/>
        <v>6.1534618292006238E-2</v>
      </c>
      <c r="DT88" s="395">
        <v>61.646599999999999</v>
      </c>
      <c r="DU88" s="199">
        <f t="shared" ref="DU88" ca="1" si="3331">DR88*$X88</f>
        <v>9161.6</v>
      </c>
      <c r="DV88" s="199">
        <f t="shared" ca="1" si="2898"/>
        <v>9161.6011910080015</v>
      </c>
      <c r="DW88" s="216">
        <f t="shared" ca="1" si="2899"/>
        <v>1.3055180614546264E-2</v>
      </c>
      <c r="DX88" s="202">
        <f t="shared" ca="1" si="2900"/>
        <v>74.474244567723645</v>
      </c>
      <c r="DY88" s="203">
        <f t="shared" ca="1" si="2901"/>
        <v>4873.5945645118354</v>
      </c>
      <c r="DZ88" s="203">
        <f t="shared" ca="1" si="2902"/>
        <v>4873.5951980791297</v>
      </c>
      <c r="EA88" s="204">
        <f t="shared" ref="EA88" ca="1" si="3332">IF(DR$6&lt;&gt;"",$O88,$N88)-DW88</f>
        <v>6.9448193854537363E-3</v>
      </c>
      <c r="EB88" s="205">
        <v>70</v>
      </c>
      <c r="EC88" s="206">
        <f t="shared" ca="1" si="2903"/>
        <v>4580.8</v>
      </c>
      <c r="ED88" s="206">
        <f t="shared" ca="1" si="2904"/>
        <v>4580.8005955040007</v>
      </c>
      <c r="EE88" s="207">
        <f t="shared" ca="1" si="2905"/>
        <v>6.5275903072731321E-3</v>
      </c>
      <c r="EF88" s="391">
        <f t="shared" si="3224"/>
        <v>210</v>
      </c>
      <c r="EG88" s="391">
        <f t="shared" ca="1" si="2907"/>
        <v>13742.400000000001</v>
      </c>
      <c r="EH88" s="391">
        <f t="shared" ca="1" si="2908"/>
        <v>13742.401786512002</v>
      </c>
      <c r="EI88" s="394">
        <f t="shared" ca="1" si="2909"/>
        <v>1.9582770921819394E-2</v>
      </c>
      <c r="EJ88" s="214"/>
      <c r="EK88" s="312" t="str">
        <f t="shared" ref="EK88" ca="1" si="3333">IFERROR($X88/EL88-1,"")</f>
        <v/>
      </c>
      <c r="EL88" s="222"/>
      <c r="EM88" s="199">
        <f t="shared" ref="EM88" ca="1" si="3334">EJ88*$X88</f>
        <v>0</v>
      </c>
      <c r="EN88" s="199">
        <f t="shared" ref="EN88" ca="1" si="3335">EM88*$Z88</f>
        <v>0</v>
      </c>
      <c r="EO88" s="216">
        <f t="shared" ref="EO88" ca="1" si="3336">IFERROR(EN88/EJ$4,0)</f>
        <v>0</v>
      </c>
      <c r="EP88" s="202">
        <f t="shared" ref="EP88" ca="1" si="3337">EQ88/$X88</f>
        <v>216.91568351027206</v>
      </c>
      <c r="EQ88" s="203">
        <f t="shared" ref="EQ88" ca="1" si="3338">ER88/$Z88</f>
        <v>14194.962328912203</v>
      </c>
      <c r="ER88" s="203">
        <f t="shared" ref="ER88" ca="1" si="3339">ES88*EJ$4</f>
        <v>14194.964174257308</v>
      </c>
      <c r="ES88" s="204">
        <f t="shared" ref="ES88" ca="1" si="3340">IF(EJ$6&lt;&gt;"",$O88,$N88)-EO88</f>
        <v>0.02</v>
      </c>
      <c r="ET88" s="205"/>
      <c r="EU88" s="206">
        <f t="shared" ref="EU88" ca="1" si="3341">ET88*$X88</f>
        <v>0</v>
      </c>
      <c r="EV88" s="206">
        <f t="shared" ref="EV88" ca="1" si="3342">EU88*$Z88</f>
        <v>0</v>
      </c>
      <c r="EW88" s="207">
        <f t="shared" ref="EW88" ca="1" si="3343">IFERROR(EV88/EJ$4,0)</f>
        <v>0</v>
      </c>
      <c r="EX88" s="391">
        <f t="shared" ref="EX88" si="3344">EJ88+ET88</f>
        <v>0</v>
      </c>
      <c r="EY88" s="391">
        <f t="shared" ref="EY88" ca="1" si="3345">EM88+IF($T88 ="",EU88,0)</f>
        <v>0</v>
      </c>
      <c r="EZ88" s="391">
        <f t="shared" ref="EZ88" ca="1" si="3346">EY88*$Z88</f>
        <v>0</v>
      </c>
      <c r="FA88" s="394">
        <f t="shared" ref="FA88" ca="1" si="3347">IFERROR(EZ88/EJ$4,0)</f>
        <v>0</v>
      </c>
      <c r="FB88" s="212" t="str">
        <f t="shared" ref="FB88" ca="1" si="3348">IF(SUM(EO88,EW88,FA88)&lt;&gt;0,"V","")</f>
        <v/>
      </c>
      <c r="FC88" s="214"/>
      <c r="FD88" s="312" t="str">
        <f t="shared" ref="FD88" ca="1" si="3349">IFERROR($X88/FE88-1,"")</f>
        <v/>
      </c>
      <c r="FE88" s="215"/>
      <c r="FF88" s="199">
        <f t="shared" ref="FF88" ca="1" si="3350">FC88*$X88</f>
        <v>0</v>
      </c>
      <c r="FG88" s="199">
        <f t="shared" ref="FG88" ca="1" si="3351">FF88*$Z88</f>
        <v>0</v>
      </c>
      <c r="FH88" s="216">
        <f t="shared" ref="FH88" ca="1" si="3352">IFERROR(FG88/FC$4,0)</f>
        <v>0</v>
      </c>
      <c r="FI88" s="202">
        <f t="shared" ref="FI88" ca="1" si="3353">FJ88/$X88</f>
        <v>1392.9177100029199</v>
      </c>
      <c r="FJ88" s="203">
        <f t="shared" ref="FJ88" ca="1" si="3354">FK88/$Z88</f>
        <v>91152.534942591068</v>
      </c>
      <c r="FK88" s="203">
        <f t="shared" ref="FK88" ca="1" si="3355">FL88*FC$4</f>
        <v>91152.546792420617</v>
      </c>
      <c r="FL88" s="204">
        <f t="shared" ref="FL88" ca="1" si="3356">IF(FC$6&lt;&gt;"",$O88,$N88)-FH88</f>
        <v>0.02</v>
      </c>
      <c r="FM88" s="205"/>
      <c r="FN88" s="206">
        <f t="shared" ref="FN88" ca="1" si="3357">FM88*$X88</f>
        <v>0</v>
      </c>
      <c r="FO88" s="206">
        <f t="shared" ref="FO88" ca="1" si="3358">FN88*$Z88</f>
        <v>0</v>
      </c>
      <c r="FP88" s="207">
        <f t="shared" ref="FP88" ca="1" si="3359">IFERROR(FO88/FC$4,0)</f>
        <v>0</v>
      </c>
      <c r="FQ88" s="391">
        <f t="shared" ref="FQ88" si="3360">FC88+FM88</f>
        <v>0</v>
      </c>
      <c r="FR88" s="391">
        <f t="shared" ref="FR88" ca="1" si="3361">FF88+IF($T88 ="",FN88,0)</f>
        <v>0</v>
      </c>
      <c r="FS88" s="391">
        <f t="shared" ref="FS88" ca="1" si="3362">FR88*$Z88</f>
        <v>0</v>
      </c>
      <c r="FT88" s="394">
        <f t="shared" ref="FT88" ca="1" si="3363">IFERROR(FS88/FC$4,0)</f>
        <v>0</v>
      </c>
      <c r="FU88" s="209" t="str">
        <f t="shared" ref="FU88" ca="1" si="3364">IF(SUM(FH88,FP88,FT88)&lt;&gt;0,"V","")</f>
        <v/>
      </c>
    </row>
    <row r="89" spans="1:177" outlineLevel="2" x14ac:dyDescent="0.2">
      <c r="A89" s="366"/>
      <c r="B89" s="366"/>
      <c r="C89" s="367" t="str">
        <f t="shared" ca="1" si="2571"/>
        <v>CH0024638212:CHF</v>
      </c>
      <c r="D89" s="368" t="str">
        <f t="shared" ca="1" si="2572"/>
        <v>CH0024638212</v>
      </c>
      <c r="E89" s="369" t="str">
        <f t="shared" ca="1" si="2572"/>
        <v>2463821</v>
      </c>
      <c r="F89" s="367" t="s">
        <v>573</v>
      </c>
      <c r="G89" s="414"/>
      <c r="H89" s="1713" t="str">
        <f t="shared" ca="1" si="2530"/>
        <v></v>
      </c>
      <c r="I89" s="1683" t="str">
        <f t="shared" ca="1" si="2573"/>
        <v>i</v>
      </c>
      <c r="J89" s="1713" t="str">
        <f t="shared" ca="1" si="2574"/>
        <v></v>
      </c>
      <c r="K89" s="1716" t="str">
        <f t="shared" ca="1" si="2574"/>
        <v></v>
      </c>
      <c r="L89" s="1717" t="str">
        <f t="shared" ca="1" si="2575"/>
        <v></v>
      </c>
      <c r="M89" s="366" t="str">
        <f t="shared" ca="1" si="2576"/>
        <v>Unit</v>
      </c>
      <c r="N89" s="372">
        <v>0.02</v>
      </c>
      <c r="O89" s="372"/>
      <c r="P89" s="373">
        <f t="shared" ca="1" si="2532"/>
        <v>0</v>
      </c>
      <c r="Q89" s="391">
        <f t="array" aca="1" ref="Q89" ca="1">SUM(IF($AA$15:$FT$15="I_pos",AA89:FT89))</f>
        <v>0</v>
      </c>
      <c r="R89" s="391">
        <f t="array" aca="1" ref="R89" ca="1">SUM(IF($AA$15:$FT$15="P_Pos",AA89:FT89))</f>
        <v>945.03249698525087</v>
      </c>
      <c r="S89" s="367"/>
      <c r="T89" s="391"/>
      <c r="U89" s="375">
        <f t="shared" ca="1" si="2577"/>
        <v>-1.9572953736654897E-2</v>
      </c>
      <c r="V89" s="391">
        <f t="array" aca="1" ref="V89" ca="1">SUM(IF($AA$15:$FT$15="O_Pos",AA89:FT89))</f>
        <v>0</v>
      </c>
      <c r="W89" s="367" t="str">
        <f t="shared" ca="1" si="3249"/>
        <v>CHF</v>
      </c>
      <c r="X89" s="392">
        <f t="shared" ca="1" si="3175"/>
        <v>275.5</v>
      </c>
      <c r="Y89" s="393">
        <f t="shared" ca="1" si="3250"/>
        <v>2.1778579999999999E-2</v>
      </c>
      <c r="Z89" s="378">
        <f t="shared" ca="1" si="2836"/>
        <v>1.0000001300000001</v>
      </c>
      <c r="AA89" s="214">
        <f>35+-35</f>
        <v>0</v>
      </c>
      <c r="AB89" s="312" t="str">
        <f t="shared" ca="1" si="2837"/>
        <v/>
      </c>
      <c r="AC89" s="215"/>
      <c r="AD89" s="199">
        <f t="shared" ca="1" si="3176"/>
        <v>0</v>
      </c>
      <c r="AE89" s="199">
        <f t="shared" ca="1" si="3177"/>
        <v>0</v>
      </c>
      <c r="AF89" s="216">
        <f t="shared" ca="1" si="3178"/>
        <v>0</v>
      </c>
      <c r="AG89" s="202">
        <f t="shared" ca="1" si="3179"/>
        <v>40.761955928893656</v>
      </c>
      <c r="AH89" s="203">
        <f t="shared" ca="1" si="3180"/>
        <v>11229.918858410201</v>
      </c>
      <c r="AI89" s="203">
        <f t="shared" ca="1" si="3181"/>
        <v>11229.920318299653</v>
      </c>
      <c r="AJ89" s="204">
        <f t="shared" ca="1" si="2535"/>
        <v>0.02</v>
      </c>
      <c r="AK89" s="205"/>
      <c r="AL89" s="206">
        <f t="shared" ca="1" si="3182"/>
        <v>0</v>
      </c>
      <c r="AM89" s="206">
        <f t="shared" ca="1" si="3183"/>
        <v>0</v>
      </c>
      <c r="AN89" s="207">
        <f t="shared" ca="1" si="3184"/>
        <v>0</v>
      </c>
      <c r="AO89" s="391">
        <f t="shared" ref="AO89:AO96" si="3365">AA89+AK89</f>
        <v>0</v>
      </c>
      <c r="AP89" s="391">
        <f t="shared" ca="1" si="2846"/>
        <v>0</v>
      </c>
      <c r="AQ89" s="391">
        <f t="shared" ca="1" si="3185"/>
        <v>0</v>
      </c>
      <c r="AR89" s="394">
        <f t="shared" ca="1" si="3186"/>
        <v>0</v>
      </c>
      <c r="AS89" s="209" t="str">
        <f t="shared" ca="1" si="3165"/>
        <v/>
      </c>
      <c r="AT89" s="214">
        <f>100+-100</f>
        <v>0</v>
      </c>
      <c r="AU89" s="312" t="str">
        <f t="shared" ca="1" si="2848"/>
        <v/>
      </c>
      <c r="AV89" s="215"/>
      <c r="AW89" s="199">
        <f t="shared" ca="1" si="3187"/>
        <v>0</v>
      </c>
      <c r="AX89" s="199">
        <f t="shared" ca="1" si="3188"/>
        <v>0</v>
      </c>
      <c r="AY89" s="216">
        <f t="shared" ca="1" si="3189"/>
        <v>0</v>
      </c>
      <c r="AZ89" s="202">
        <f t="shared" ca="1" si="3190"/>
        <v>125.72354314209001</v>
      </c>
      <c r="BA89" s="203">
        <f t="shared" ca="1" si="3191"/>
        <v>34636.836135645797</v>
      </c>
      <c r="BB89" s="203">
        <f t="shared" ca="1" si="3192"/>
        <v>34636.8406384345</v>
      </c>
      <c r="BC89" s="204">
        <f t="shared" ca="1" si="2537"/>
        <v>0.02</v>
      </c>
      <c r="BD89" s="205"/>
      <c r="BE89" s="206">
        <f t="shared" ca="1" si="3193"/>
        <v>0</v>
      </c>
      <c r="BF89" s="206">
        <f t="shared" ca="1" si="3194"/>
        <v>0</v>
      </c>
      <c r="BG89" s="207">
        <f t="shared" ca="1" si="3195"/>
        <v>0</v>
      </c>
      <c r="BH89" s="391">
        <f t="shared" si="3196"/>
        <v>0</v>
      </c>
      <c r="BI89" s="391">
        <f t="shared" ca="1" si="2857"/>
        <v>0</v>
      </c>
      <c r="BJ89" s="391">
        <f t="shared" ca="1" si="3197"/>
        <v>0</v>
      </c>
      <c r="BK89" s="394">
        <f t="shared" ca="1" si="3198"/>
        <v>0</v>
      </c>
      <c r="BL89" s="211" t="str">
        <f t="shared" ca="1" si="3166"/>
        <v/>
      </c>
      <c r="BM89" s="214">
        <f>20+-20</f>
        <v>0</v>
      </c>
      <c r="BN89" s="312" t="str">
        <f t="shared" ca="1" si="2859"/>
        <v/>
      </c>
      <c r="BO89" s="215"/>
      <c r="BP89" s="199">
        <f t="shared" ca="1" si="3199"/>
        <v>0</v>
      </c>
      <c r="BQ89" s="199">
        <f t="shared" ca="1" si="3200"/>
        <v>0</v>
      </c>
      <c r="BR89" s="216">
        <f t="shared" ca="1" si="3201"/>
        <v>0</v>
      </c>
      <c r="BS89" s="202">
        <f t="shared" ca="1" si="3202"/>
        <v>20.687637455214979</v>
      </c>
      <c r="BT89" s="203">
        <f t="shared" ca="1" si="3203"/>
        <v>5699.4441189117269</v>
      </c>
      <c r="BU89" s="203">
        <f t="shared" ca="1" si="3204"/>
        <v>5699.4448598394629</v>
      </c>
      <c r="BV89" s="204">
        <f t="shared" ca="1" si="2541"/>
        <v>0.02</v>
      </c>
      <c r="BW89" s="205"/>
      <c r="BX89" s="206">
        <f t="shared" ca="1" si="3205"/>
        <v>0</v>
      </c>
      <c r="BY89" s="206">
        <f t="shared" ca="1" si="3206"/>
        <v>0</v>
      </c>
      <c r="BZ89" s="207">
        <f t="shared" ca="1" si="3207"/>
        <v>0</v>
      </c>
      <c r="CA89" s="391">
        <f t="shared" si="3208"/>
        <v>0</v>
      </c>
      <c r="CB89" s="391">
        <f t="shared" ca="1" si="2870"/>
        <v>0</v>
      </c>
      <c r="CC89" s="391">
        <f t="shared" ca="1" si="3209"/>
        <v>0</v>
      </c>
      <c r="CD89" s="394">
        <f t="shared" ca="1" si="3210"/>
        <v>0</v>
      </c>
      <c r="CE89" s="212" t="str">
        <f t="shared" ca="1" si="3167"/>
        <v/>
      </c>
      <c r="CF89" s="214">
        <f>60+-60</f>
        <v>0</v>
      </c>
      <c r="CG89" s="312" t="str">
        <f t="shared" ca="1" si="2872"/>
        <v/>
      </c>
      <c r="CH89" s="215"/>
      <c r="CI89" s="199">
        <f t="shared" ca="1" si="3211"/>
        <v>0</v>
      </c>
      <c r="CJ89" s="199">
        <f t="shared" ca="1" si="3212"/>
        <v>0</v>
      </c>
      <c r="CK89" s="216">
        <f t="shared" ca="1" si="3213"/>
        <v>0</v>
      </c>
      <c r="CL89" s="202">
        <f t="shared" ca="1" si="3214"/>
        <v>64.243880670139959</v>
      </c>
      <c r="CM89" s="203">
        <f t="shared" ca="1" si="3215"/>
        <v>17699.189124623557</v>
      </c>
      <c r="CN89" s="203">
        <f t="shared" ca="1" si="3216"/>
        <v>17699.191425518144</v>
      </c>
      <c r="CO89" s="204">
        <f t="shared" ca="1" si="2543"/>
        <v>0.02</v>
      </c>
      <c r="CP89" s="205"/>
      <c r="CQ89" s="206">
        <f t="shared" ca="1" si="3217"/>
        <v>0</v>
      </c>
      <c r="CR89" s="206">
        <f t="shared" ca="1" si="3218"/>
        <v>0</v>
      </c>
      <c r="CS89" s="207">
        <f t="shared" ca="1" si="3219"/>
        <v>0</v>
      </c>
      <c r="CT89" s="391">
        <f t="shared" si="3220"/>
        <v>0</v>
      </c>
      <c r="CU89" s="391">
        <f t="shared" ca="1" si="2881"/>
        <v>0</v>
      </c>
      <c r="CV89" s="391">
        <f t="shared" ca="1" si="3221"/>
        <v>0</v>
      </c>
      <c r="CW89" s="394">
        <f t="shared" ca="1" si="3222"/>
        <v>0</v>
      </c>
      <c r="CX89" s="211" t="str">
        <f t="shared" ca="1" si="3168"/>
        <v/>
      </c>
      <c r="CY89" s="197">
        <f>180+-180</f>
        <v>0</v>
      </c>
      <c r="CZ89" s="312" t="str">
        <f t="shared" ca="1" si="2883"/>
        <v/>
      </c>
      <c r="DA89" s="395"/>
      <c r="DB89" s="199">
        <f t="shared" ca="1" si="2884"/>
        <v>0</v>
      </c>
      <c r="DC89" s="199">
        <f t="shared" ca="1" si="2885"/>
        <v>0</v>
      </c>
      <c r="DD89" s="216">
        <f t="shared" ca="1" si="2886"/>
        <v>0</v>
      </c>
      <c r="DE89" s="202">
        <f t="shared" ca="1" si="2887"/>
        <v>260.28447493949255</v>
      </c>
      <c r="DF89" s="203">
        <f t="shared" ca="1" si="2888"/>
        <v>71708.372845830192</v>
      </c>
      <c r="DG89" s="203">
        <f t="shared" ca="1" si="2889"/>
        <v>71708.382167918666</v>
      </c>
      <c r="DH89" s="204">
        <f t="shared" ca="1" si="2545"/>
        <v>0.02</v>
      </c>
      <c r="DI89" s="205"/>
      <c r="DJ89" s="206">
        <f t="shared" ca="1" si="2890"/>
        <v>0</v>
      </c>
      <c r="DK89" s="206">
        <f t="shared" ca="1" si="2891"/>
        <v>0</v>
      </c>
      <c r="DL89" s="207">
        <f t="shared" ca="1" si="2892"/>
        <v>0</v>
      </c>
      <c r="DM89" s="391">
        <f t="shared" si="3223"/>
        <v>0</v>
      </c>
      <c r="DN89" s="391">
        <f t="shared" ca="1" si="2894"/>
        <v>0</v>
      </c>
      <c r="DO89" s="391">
        <f t="shared" ca="1" si="3169"/>
        <v>0</v>
      </c>
      <c r="DP89" s="394">
        <f t="shared" ca="1" si="3170"/>
        <v>0</v>
      </c>
      <c r="DQ89" s="209" t="str">
        <f t="shared" ca="1" si="3171"/>
        <v/>
      </c>
      <c r="DR89" s="197">
        <f>50+-50</f>
        <v>0</v>
      </c>
      <c r="DS89" s="312" t="str">
        <f t="shared" ref="DS89:DS90" ca="1" si="3366">IFERROR($X89/DT89-1,"")</f>
        <v/>
      </c>
      <c r="DT89" s="395"/>
      <c r="DU89" s="199">
        <f t="shared" ca="1" si="2897"/>
        <v>0</v>
      </c>
      <c r="DV89" s="199">
        <f t="shared" ref="DV89:DV90" ca="1" si="3367">DU89*$Z89</f>
        <v>0</v>
      </c>
      <c r="DW89" s="216">
        <f t="shared" ref="DW89:DW90" ca="1" si="3368">IFERROR(DV89/DR$4,0)</f>
        <v>0</v>
      </c>
      <c r="DX89" s="202">
        <f t="shared" ref="DX89:DX90" ca="1" si="3369">DY89/$X89</f>
        <v>50.944444880260754</v>
      </c>
      <c r="DY89" s="203">
        <f t="shared" ref="DY89:DY90" ca="1" si="3370">DZ89/$Z89</f>
        <v>14035.194564511838</v>
      </c>
      <c r="DZ89" s="203">
        <f t="shared" ref="DZ89:DZ90" ca="1" si="3371">EA89*DR$4</f>
        <v>14035.196389087132</v>
      </c>
      <c r="EA89" s="204">
        <f t="shared" ca="1" si="2546"/>
        <v>0.02</v>
      </c>
      <c r="EB89" s="205"/>
      <c r="EC89" s="206">
        <f t="shared" ref="EC89:EC90" ca="1" si="3372">EB89*$X89</f>
        <v>0</v>
      </c>
      <c r="ED89" s="206">
        <f t="shared" ref="ED89:ED90" ca="1" si="3373">EC89*$Z89</f>
        <v>0</v>
      </c>
      <c r="EE89" s="207">
        <f t="shared" ref="EE89:EE90" ca="1" si="3374">IFERROR(ED89/DR$4,0)</f>
        <v>0</v>
      </c>
      <c r="EF89" s="391">
        <f t="shared" ref="EF89:EF90" si="3375">DR89+EB89</f>
        <v>0</v>
      </c>
      <c r="EG89" s="391">
        <f t="shared" ref="EG89:EG90" ca="1" si="3376">DU89+IF($T89 ="",EC89,0)</f>
        <v>0</v>
      </c>
      <c r="EH89" s="391">
        <f t="shared" ref="EH89:EH90" ca="1" si="3377">EG89*$Z89</f>
        <v>0</v>
      </c>
      <c r="EI89" s="394">
        <f t="shared" ref="EI89:EI90" ca="1" si="3378">IFERROR(EH89/DR$4,0)</f>
        <v>0</v>
      </c>
      <c r="EJ89" s="214"/>
      <c r="EK89" s="312" t="str">
        <f t="shared" ca="1" si="2910"/>
        <v/>
      </c>
      <c r="EL89" s="222"/>
      <c r="EM89" s="199">
        <f t="shared" ca="1" si="3225"/>
        <v>0</v>
      </c>
      <c r="EN89" s="199">
        <f t="shared" ca="1" si="3226"/>
        <v>0</v>
      </c>
      <c r="EO89" s="216">
        <f t="shared" ca="1" si="3227"/>
        <v>0</v>
      </c>
      <c r="EP89" s="202">
        <f t="shared" ca="1" si="3228"/>
        <v>51.524364170280229</v>
      </c>
      <c r="EQ89" s="203">
        <f t="shared" ca="1" si="3229"/>
        <v>14194.962328912203</v>
      </c>
      <c r="ER89" s="203">
        <f t="shared" ca="1" si="3230"/>
        <v>14194.964174257308</v>
      </c>
      <c r="ES89" s="204">
        <f t="shared" ca="1" si="2547"/>
        <v>0.02</v>
      </c>
      <c r="ET89" s="205"/>
      <c r="EU89" s="206">
        <f t="shared" ca="1" si="3231"/>
        <v>0</v>
      </c>
      <c r="EV89" s="206">
        <f t="shared" ca="1" si="3232"/>
        <v>0</v>
      </c>
      <c r="EW89" s="207">
        <f t="shared" ca="1" si="3233"/>
        <v>0</v>
      </c>
      <c r="EX89" s="391">
        <f t="shared" si="3234"/>
        <v>0</v>
      </c>
      <c r="EY89" s="391">
        <f t="shared" ca="1" si="2919"/>
        <v>0</v>
      </c>
      <c r="EZ89" s="391">
        <f t="shared" ca="1" si="3235"/>
        <v>0</v>
      </c>
      <c r="FA89" s="394">
        <f t="shared" ca="1" si="3236"/>
        <v>0</v>
      </c>
      <c r="FB89" s="212" t="str">
        <f t="shared" ca="1" si="3172"/>
        <v/>
      </c>
      <c r="FC89" s="214"/>
      <c r="FD89" s="312" t="str">
        <f t="shared" ca="1" si="2921"/>
        <v/>
      </c>
      <c r="FE89" s="215"/>
      <c r="FF89" s="199">
        <f t="shared" ca="1" si="3237"/>
        <v>0</v>
      </c>
      <c r="FG89" s="199">
        <f t="shared" ca="1" si="3238"/>
        <v>0</v>
      </c>
      <c r="FH89" s="216">
        <f t="shared" ca="1" si="3239"/>
        <v>0</v>
      </c>
      <c r="FI89" s="202">
        <f t="shared" ca="1" si="3240"/>
        <v>330.86219579887864</v>
      </c>
      <c r="FJ89" s="203">
        <f t="shared" ca="1" si="3241"/>
        <v>91152.534942591068</v>
      </c>
      <c r="FK89" s="203">
        <f t="shared" ca="1" si="3242"/>
        <v>91152.546792420617</v>
      </c>
      <c r="FL89" s="204">
        <f t="shared" ca="1" si="2549"/>
        <v>0.02</v>
      </c>
      <c r="FM89" s="205"/>
      <c r="FN89" s="206">
        <f t="shared" ca="1" si="3243"/>
        <v>0</v>
      </c>
      <c r="FO89" s="206">
        <f t="shared" ca="1" si="3244"/>
        <v>0</v>
      </c>
      <c r="FP89" s="207">
        <f t="shared" ca="1" si="3245"/>
        <v>0</v>
      </c>
      <c r="FQ89" s="391">
        <f t="shared" si="3246"/>
        <v>0</v>
      </c>
      <c r="FR89" s="391">
        <f t="shared" ca="1" si="2930"/>
        <v>0</v>
      </c>
      <c r="FS89" s="391">
        <f t="shared" ca="1" si="3247"/>
        <v>0</v>
      </c>
      <c r="FT89" s="394">
        <f t="shared" ca="1" si="3248"/>
        <v>0</v>
      </c>
      <c r="FU89" s="209" t="str">
        <f t="shared" ca="1" si="3173"/>
        <v/>
      </c>
    </row>
    <row r="90" spans="1:177" outlineLevel="2" x14ac:dyDescent="0.2">
      <c r="A90" s="366"/>
      <c r="B90" s="366"/>
      <c r="C90" s="367" t="str">
        <f t="shared" ca="1" si="2571"/>
        <v>CH1386220409:CHF</v>
      </c>
      <c r="D90" s="368" t="str">
        <f t="shared" ca="1" si="2572"/>
        <v>CH1386220409</v>
      </c>
      <c r="E90" s="369" t="str">
        <f t="shared" ca="1" si="2572"/>
        <v>138622040</v>
      </c>
      <c r="F90" s="370" t="s">
        <v>4426</v>
      </c>
      <c r="G90" s="414"/>
      <c r="H90" s="1713" t="str">
        <f t="shared" ca="1" si="2530"/>
        <v></v>
      </c>
      <c r="I90" s="1683" t="str">
        <f t="shared" ca="1" si="2573"/>
        <v/>
      </c>
      <c r="J90" s="1713" t="str">
        <f t="shared" ca="1" si="2574"/>
        <v/>
      </c>
      <c r="K90" s="1716" t="str">
        <f t="shared" ca="1" si="2574"/>
        <v/>
      </c>
      <c r="L90" s="1717" t="str">
        <f t="shared" ca="1" si="2575"/>
        <v/>
      </c>
      <c r="M90" s="366" t="str">
        <f t="shared" ca="1" si="2576"/>
        <v>Unit</v>
      </c>
      <c r="N90" s="372">
        <v>1.4999999999999999E-2</v>
      </c>
      <c r="O90" s="372"/>
      <c r="P90" s="373">
        <f t="shared" ca="1" si="2532"/>
        <v>0</v>
      </c>
      <c r="Q90" s="391">
        <f t="array" aca="1" ref="Q90" ca="1">SUM(IF($AA$15:$FT$15="I_pos",AA90:FT90))</f>
        <v>0</v>
      </c>
      <c r="R90" s="391">
        <f t="array" aca="1" ref="R90" ca="1">SUM(IF($AA$15:$FT$15="P_Pos",AA90:FT90))</f>
        <v>4012.8923076361989</v>
      </c>
      <c r="S90" s="367"/>
      <c r="T90" s="391"/>
      <c r="U90" s="375">
        <f t="shared" ca="1" si="2577"/>
        <v>-1.7366720516962898E-2</v>
      </c>
      <c r="V90" s="391">
        <f t="array" aca="1" ref="V90" ca="1">SUM(IF($AA$15:$FT$15="O_Pos",AA90:FT90))</f>
        <v>0</v>
      </c>
      <c r="W90" s="367" t="str">
        <f t="shared" ca="1" si="3249"/>
        <v>CHF</v>
      </c>
      <c r="X90" s="392">
        <f t="shared" ca="1" si="3250"/>
        <v>48.66</v>
      </c>
      <c r="Y90" s="393">
        <f t="shared" ca="1" si="3250"/>
        <v>7.0283600000000002E-2</v>
      </c>
      <c r="Z90" s="378">
        <f t="shared" ca="1" si="2836"/>
        <v>1.0000001300000001</v>
      </c>
      <c r="AA90" s="214"/>
      <c r="AB90" s="312" t="str">
        <f t="shared" ca="1" si="2837"/>
        <v/>
      </c>
      <c r="AC90" s="215"/>
      <c r="AD90" s="199">
        <f t="shared" ca="1" si="3176"/>
        <v>0</v>
      </c>
      <c r="AE90" s="199">
        <f t="shared" ca="1" si="3177"/>
        <v>0</v>
      </c>
      <c r="AF90" s="216">
        <f t="shared" ca="1" si="3178"/>
        <v>0</v>
      </c>
      <c r="AG90" s="202">
        <f t="shared" ca="1" si="3179"/>
        <v>173.08752864380702</v>
      </c>
      <c r="AH90" s="203">
        <f t="shared" ca="1" si="3180"/>
        <v>8422.4391438076491</v>
      </c>
      <c r="AI90" s="203">
        <f t="shared" ca="1" si="3181"/>
        <v>8422.4402387247392</v>
      </c>
      <c r="AJ90" s="204">
        <f t="shared" ref="AJ90" ca="1" si="3379">IF(AA$6&lt;&gt;"",$O90,$N90)-AF90</f>
        <v>1.4999999999999999E-2</v>
      </c>
      <c r="AK90" s="205"/>
      <c r="AL90" s="206">
        <f t="shared" ca="1" si="3182"/>
        <v>0</v>
      </c>
      <c r="AM90" s="206">
        <f t="shared" ca="1" si="3183"/>
        <v>0</v>
      </c>
      <c r="AN90" s="207">
        <f t="shared" ca="1" si="3184"/>
        <v>0</v>
      </c>
      <c r="AO90" s="391">
        <f t="shared" ref="AO90" si="3380">AA90+AK90</f>
        <v>0</v>
      </c>
      <c r="AP90" s="391">
        <f t="shared" ca="1" si="2846"/>
        <v>0</v>
      </c>
      <c r="AQ90" s="391">
        <f t="shared" ca="1" si="3185"/>
        <v>0</v>
      </c>
      <c r="AR90" s="394">
        <f t="shared" ca="1" si="3186"/>
        <v>0</v>
      </c>
      <c r="AS90" s="209" t="str">
        <f t="shared" ca="1" si="3165"/>
        <v/>
      </c>
      <c r="AT90" s="214"/>
      <c r="AU90" s="312" t="str">
        <f t="shared" ca="1" si="2848"/>
        <v/>
      </c>
      <c r="AV90" s="215"/>
      <c r="AW90" s="199">
        <f t="shared" ca="1" si="3187"/>
        <v>0</v>
      </c>
      <c r="AX90" s="199">
        <f t="shared" ca="1" si="3188"/>
        <v>0</v>
      </c>
      <c r="AY90" s="216">
        <f t="shared" ca="1" si="3189"/>
        <v>0</v>
      </c>
      <c r="AZ90" s="202">
        <f t="shared" ca="1" si="3190"/>
        <v>533.85998976026201</v>
      </c>
      <c r="BA90" s="203">
        <f t="shared" ca="1" si="3191"/>
        <v>25977.62710173435</v>
      </c>
      <c r="BB90" s="203">
        <f t="shared" ca="1" si="3192"/>
        <v>25977.630478825875</v>
      </c>
      <c r="BC90" s="204">
        <f t="shared" ref="BC90" ca="1" si="3381">IF(AT$6&lt;&gt;"",$O90,$N90)-AY90</f>
        <v>1.4999999999999999E-2</v>
      </c>
      <c r="BD90" s="205"/>
      <c r="BE90" s="206">
        <f t="shared" ca="1" si="3193"/>
        <v>0</v>
      </c>
      <c r="BF90" s="206">
        <f t="shared" ca="1" si="3194"/>
        <v>0</v>
      </c>
      <c r="BG90" s="207">
        <f t="shared" ca="1" si="3195"/>
        <v>0</v>
      </c>
      <c r="BH90" s="391">
        <f t="shared" si="3196"/>
        <v>0</v>
      </c>
      <c r="BI90" s="391">
        <f t="shared" ca="1" si="2857"/>
        <v>0</v>
      </c>
      <c r="BJ90" s="391">
        <f t="shared" ca="1" si="3197"/>
        <v>0</v>
      </c>
      <c r="BK90" s="394">
        <f t="shared" ca="1" si="3198"/>
        <v>0</v>
      </c>
      <c r="BL90" s="211" t="str">
        <f t="shared" ca="1" si="3166"/>
        <v/>
      </c>
      <c r="BM90" s="214"/>
      <c r="BN90" s="312" t="str">
        <f t="shared" ca="1" si="2859"/>
        <v/>
      </c>
      <c r="BO90" s="215"/>
      <c r="BP90" s="199">
        <f t="shared" ca="1" si="3199"/>
        <v>0</v>
      </c>
      <c r="BQ90" s="199">
        <f t="shared" ca="1" si="3200"/>
        <v>0</v>
      </c>
      <c r="BR90" s="216">
        <f t="shared" ca="1" si="3201"/>
        <v>0</v>
      </c>
      <c r="BS90" s="202">
        <f t="shared" ca="1" si="3202"/>
        <v>87.845932782239913</v>
      </c>
      <c r="BT90" s="203">
        <f t="shared" ca="1" si="3203"/>
        <v>4274.5830891837941</v>
      </c>
      <c r="BU90" s="203">
        <f t="shared" ca="1" si="3204"/>
        <v>4274.5836448795962</v>
      </c>
      <c r="BV90" s="204">
        <f t="shared" ref="BV90" ca="1" si="3382">IF(BM$6&lt;&gt;"",$O90,$N90)-BR90</f>
        <v>1.4999999999999999E-2</v>
      </c>
      <c r="BW90" s="205"/>
      <c r="BX90" s="206">
        <f t="shared" ca="1" si="3205"/>
        <v>0</v>
      </c>
      <c r="BY90" s="206">
        <f t="shared" ca="1" si="3206"/>
        <v>0</v>
      </c>
      <c r="BZ90" s="207">
        <f t="shared" ca="1" si="3207"/>
        <v>0</v>
      </c>
      <c r="CA90" s="391">
        <f t="shared" si="3208"/>
        <v>0</v>
      </c>
      <c r="CB90" s="391">
        <f t="shared" ca="1" si="2870"/>
        <v>0</v>
      </c>
      <c r="CC90" s="391">
        <f t="shared" ca="1" si="3209"/>
        <v>0</v>
      </c>
      <c r="CD90" s="394">
        <f t="shared" ca="1" si="3210"/>
        <v>0</v>
      </c>
      <c r="CE90" s="212" t="str">
        <f t="shared" ca="1" si="3167"/>
        <v/>
      </c>
      <c r="CF90" s="214"/>
      <c r="CG90" s="312" t="str">
        <f t="shared" ca="1" si="2872"/>
        <v/>
      </c>
      <c r="CH90" s="215"/>
      <c r="CI90" s="199">
        <f t="shared" ca="1" si="3211"/>
        <v>0</v>
      </c>
      <c r="CJ90" s="199">
        <f t="shared" ca="1" si="3212"/>
        <v>0</v>
      </c>
      <c r="CK90" s="216">
        <f t="shared" ca="1" si="3213"/>
        <v>0</v>
      </c>
      <c r="CL90" s="202">
        <f t="shared" ca="1" si="3214"/>
        <v>272.7988459405604</v>
      </c>
      <c r="CM90" s="203">
        <f t="shared" ca="1" si="3215"/>
        <v>13274.391843467667</v>
      </c>
      <c r="CN90" s="203">
        <f t="shared" ca="1" si="3216"/>
        <v>13274.393569138609</v>
      </c>
      <c r="CO90" s="204">
        <f t="shared" ref="CO90" ca="1" si="3383">IF(CF$6&lt;&gt;"",$O90,$N90)-CK90</f>
        <v>1.4999999999999999E-2</v>
      </c>
      <c r="CP90" s="205"/>
      <c r="CQ90" s="206">
        <f t="shared" ca="1" si="3217"/>
        <v>0</v>
      </c>
      <c r="CR90" s="206">
        <f t="shared" ca="1" si="3218"/>
        <v>0</v>
      </c>
      <c r="CS90" s="207">
        <f t="shared" ca="1" si="3219"/>
        <v>0</v>
      </c>
      <c r="CT90" s="391">
        <f t="shared" si="3220"/>
        <v>0</v>
      </c>
      <c r="CU90" s="391">
        <f t="shared" ca="1" si="2881"/>
        <v>0</v>
      </c>
      <c r="CV90" s="391">
        <f t="shared" ca="1" si="3221"/>
        <v>0</v>
      </c>
      <c r="CW90" s="394">
        <f t="shared" ca="1" si="3222"/>
        <v>0</v>
      </c>
      <c r="CX90" s="211" t="str">
        <f t="shared" ca="1" si="3168"/>
        <v/>
      </c>
      <c r="CY90" s="197"/>
      <c r="CZ90" s="312" t="str">
        <f t="shared" ca="1" si="2883"/>
        <v/>
      </c>
      <c r="DA90" s="395"/>
      <c r="DB90" s="199">
        <f t="shared" ca="1" si="2884"/>
        <v>0</v>
      </c>
      <c r="DC90" s="199">
        <f t="shared" ca="1" si="2885"/>
        <v>0</v>
      </c>
      <c r="DD90" s="216">
        <f t="shared" ca="1" si="2886"/>
        <v>0</v>
      </c>
      <c r="DE90" s="202">
        <f t="shared" ca="1" si="2887"/>
        <v>1105.2461905954099</v>
      </c>
      <c r="DF90" s="203">
        <f t="shared" ca="1" si="2888"/>
        <v>53781.279634372637</v>
      </c>
      <c r="DG90" s="203">
        <f t="shared" ca="1" si="2889"/>
        <v>53781.286625938992</v>
      </c>
      <c r="DH90" s="204">
        <f t="shared" ref="DH90" ca="1" si="3384">IF(CY$6&lt;&gt;"",$O90,$N90)-DD90</f>
        <v>1.4999999999999999E-2</v>
      </c>
      <c r="DI90" s="205"/>
      <c r="DJ90" s="206">
        <f t="shared" ca="1" si="2890"/>
        <v>0</v>
      </c>
      <c r="DK90" s="206">
        <f t="shared" ca="1" si="2891"/>
        <v>0</v>
      </c>
      <c r="DL90" s="207">
        <f t="shared" ca="1" si="2892"/>
        <v>0</v>
      </c>
      <c r="DM90" s="391">
        <f t="shared" si="3223"/>
        <v>0</v>
      </c>
      <c r="DN90" s="391">
        <f t="shared" ca="1" si="2894"/>
        <v>0</v>
      </c>
      <c r="DO90" s="391">
        <f t="shared" ca="1" si="3169"/>
        <v>0</v>
      </c>
      <c r="DP90" s="394">
        <f t="shared" ca="1" si="3170"/>
        <v>0</v>
      </c>
      <c r="DQ90" s="209" t="str">
        <f t="shared" ca="1" si="3171"/>
        <v/>
      </c>
      <c r="DR90" s="197"/>
      <c r="DS90" s="312" t="str">
        <f t="shared" ca="1" si="3366"/>
        <v/>
      </c>
      <c r="DT90" s="395"/>
      <c r="DU90" s="199">
        <f t="shared" ca="1" si="2897"/>
        <v>0</v>
      </c>
      <c r="DV90" s="199">
        <f t="shared" ca="1" si="3367"/>
        <v>0</v>
      </c>
      <c r="DW90" s="216">
        <f t="shared" ca="1" si="3368"/>
        <v>0</v>
      </c>
      <c r="DX90" s="202">
        <f t="shared" ca="1" si="3369"/>
        <v>216.32544026682856</v>
      </c>
      <c r="DY90" s="203">
        <f t="shared" ca="1" si="3370"/>
        <v>10526.395923383878</v>
      </c>
      <c r="DZ90" s="203">
        <f t="shared" ca="1" si="3371"/>
        <v>10526.397291815349</v>
      </c>
      <c r="EA90" s="204">
        <f t="shared" ref="EA90" ca="1" si="3385">IF(DR$6&lt;&gt;"",$O90,$N90)-DW90</f>
        <v>1.4999999999999999E-2</v>
      </c>
      <c r="EB90" s="205"/>
      <c r="EC90" s="206">
        <f t="shared" ca="1" si="3372"/>
        <v>0</v>
      </c>
      <c r="ED90" s="206">
        <f t="shared" ca="1" si="3373"/>
        <v>0</v>
      </c>
      <c r="EE90" s="207">
        <f t="shared" ca="1" si="3374"/>
        <v>0</v>
      </c>
      <c r="EF90" s="391">
        <f t="shared" si="3375"/>
        <v>0</v>
      </c>
      <c r="EG90" s="391">
        <f t="shared" ca="1" si="3376"/>
        <v>0</v>
      </c>
      <c r="EH90" s="391">
        <f t="shared" ca="1" si="3377"/>
        <v>0</v>
      </c>
      <c r="EI90" s="394">
        <f t="shared" ca="1" si="3378"/>
        <v>0</v>
      </c>
      <c r="EJ90" s="214"/>
      <c r="EK90" s="312" t="str">
        <f t="shared" ca="1" si="2910"/>
        <v/>
      </c>
      <c r="EL90" s="222"/>
      <c r="EM90" s="199">
        <f t="shared" ca="1" si="3225"/>
        <v>0</v>
      </c>
      <c r="EN90" s="199">
        <f t="shared" ca="1" si="3226"/>
        <v>0</v>
      </c>
      <c r="EO90" s="216">
        <f t="shared" ca="1" si="3227"/>
        <v>0</v>
      </c>
      <c r="EP90" s="202">
        <f t="shared" ca="1" si="3228"/>
        <v>218.78795204858514</v>
      </c>
      <c r="EQ90" s="203">
        <f t="shared" ca="1" si="3229"/>
        <v>10646.221746684152</v>
      </c>
      <c r="ER90" s="203">
        <f t="shared" ca="1" si="3230"/>
        <v>10646.223130692981</v>
      </c>
      <c r="ES90" s="204">
        <f t="shared" ref="ES90" ca="1" si="3386">IF(EJ$6&lt;&gt;"",$O90,$N90)-EO90</f>
        <v>1.4999999999999999E-2</v>
      </c>
      <c r="ET90" s="205"/>
      <c r="EU90" s="206">
        <f t="shared" ca="1" si="3231"/>
        <v>0</v>
      </c>
      <c r="EV90" s="206">
        <f t="shared" ca="1" si="3232"/>
        <v>0</v>
      </c>
      <c r="EW90" s="207">
        <f t="shared" ca="1" si="3233"/>
        <v>0</v>
      </c>
      <c r="EX90" s="391">
        <f t="shared" si="3234"/>
        <v>0</v>
      </c>
      <c r="EY90" s="391">
        <f t="shared" ca="1" si="2919"/>
        <v>0</v>
      </c>
      <c r="EZ90" s="391">
        <f t="shared" ca="1" si="3235"/>
        <v>0</v>
      </c>
      <c r="FA90" s="394">
        <f t="shared" ca="1" si="3236"/>
        <v>0</v>
      </c>
      <c r="FB90" s="212" t="str">
        <f t="shared" ca="1" si="3172"/>
        <v/>
      </c>
      <c r="FC90" s="214"/>
      <c r="FD90" s="312" t="str">
        <f t="shared" ca="1" si="2921"/>
        <v/>
      </c>
      <c r="FE90" s="215"/>
      <c r="FF90" s="199">
        <f t="shared" ca="1" si="3237"/>
        <v>0</v>
      </c>
      <c r="FG90" s="199">
        <f t="shared" ca="1" si="3238"/>
        <v>0</v>
      </c>
      <c r="FH90" s="216">
        <f t="shared" ca="1" si="3239"/>
        <v>0</v>
      </c>
      <c r="FI90" s="202">
        <f t="shared" ca="1" si="3240"/>
        <v>1404.9404275985059</v>
      </c>
      <c r="FJ90" s="203">
        <f t="shared" ca="1" si="3241"/>
        <v>68364.401206943294</v>
      </c>
      <c r="FK90" s="203">
        <f t="shared" ca="1" si="3242"/>
        <v>68364.410094315463</v>
      </c>
      <c r="FL90" s="204">
        <f t="shared" ref="FL90" ca="1" si="3387">IF(FC$6&lt;&gt;"",$O90,$N90)-FH90</f>
        <v>1.4999999999999999E-2</v>
      </c>
      <c r="FM90" s="205"/>
      <c r="FN90" s="206">
        <f t="shared" ca="1" si="3243"/>
        <v>0</v>
      </c>
      <c r="FO90" s="206">
        <f t="shared" ca="1" si="3244"/>
        <v>0</v>
      </c>
      <c r="FP90" s="207">
        <f t="shared" ca="1" si="3245"/>
        <v>0</v>
      </c>
      <c r="FQ90" s="391">
        <f t="shared" si="3246"/>
        <v>0</v>
      </c>
      <c r="FR90" s="391">
        <f t="shared" ca="1" si="2930"/>
        <v>0</v>
      </c>
      <c r="FS90" s="391">
        <f t="shared" ca="1" si="3247"/>
        <v>0</v>
      </c>
      <c r="FT90" s="394">
        <f t="shared" ca="1" si="3248"/>
        <v>0</v>
      </c>
      <c r="FU90" s="209" t="str">
        <f t="shared" ca="1" si="3173"/>
        <v/>
      </c>
    </row>
    <row r="91" spans="1:177" outlineLevel="2" x14ac:dyDescent="0.2">
      <c r="A91" s="366"/>
      <c r="B91" s="366"/>
      <c r="C91" s="367" t="str">
        <f t="shared" ca="1" si="2571"/>
        <v>CH0008742519:CHF:P</v>
      </c>
      <c r="D91" s="368" t="str">
        <f t="shared" ca="1" si="2572"/>
        <v>CH0008742519</v>
      </c>
      <c r="E91" s="369" t="str">
        <f t="shared" ca="1" si="2572"/>
        <v>874251</v>
      </c>
      <c r="F91" s="367" t="s">
        <v>435</v>
      </c>
      <c r="G91" s="414"/>
      <c r="H91" s="1713" t="str">
        <f t="shared" ca="1" si="2530"/>
        <v></v>
      </c>
      <c r="I91" s="1683" t="str">
        <f t="shared" ca="1" si="2573"/>
        <v>i</v>
      </c>
      <c r="J91" s="1713" t="str">
        <f t="shared" ca="1" si="2574"/>
        <v></v>
      </c>
      <c r="K91" s="1716" t="str">
        <f t="shared" ca="1" si="2574"/>
        <v></v>
      </c>
      <c r="L91" s="1717" t="str">
        <f t="shared" ca="1" si="2575"/>
        <v></v>
      </c>
      <c r="M91" s="366" t="str">
        <f t="shared" ca="1" si="2576"/>
        <v>Unit</v>
      </c>
      <c r="N91" s="372"/>
      <c r="O91" s="372"/>
      <c r="P91" s="373">
        <f t="shared" ca="1" si="2532"/>
        <v>1.1100294569821307E-2</v>
      </c>
      <c r="Q91" s="391">
        <f t="array" aca="1" ref="Q91" ca="1">SUM(IF($AA$15:$FT$15="I_pos",AA91:FT91))</f>
        <v>126</v>
      </c>
      <c r="R91" s="391">
        <f t="array" aca="1" ref="R91" ca="1">SUM(IF($AA$15:$FT$15="P_Pos",AA91:FT91))</f>
        <v>-126</v>
      </c>
      <c r="S91" s="367"/>
      <c r="T91" s="391"/>
      <c r="U91" s="375">
        <f t="shared" ca="1" si="2577"/>
        <v>-2.0920502092049999E-3</v>
      </c>
      <c r="V91" s="391">
        <f t="array" aca="1" ref="V91" ca="1">SUM(IF($AA$15:$FT$15="O_Pos",AA91:FT91))</f>
        <v>0</v>
      </c>
      <c r="W91" s="367" t="str">
        <f t="shared" ca="1" si="3249"/>
        <v>CHF</v>
      </c>
      <c r="X91" s="392">
        <f t="shared" ca="1" si="3250"/>
        <v>715.5</v>
      </c>
      <c r="Y91" s="393">
        <f t="shared" ca="1" si="3250"/>
        <v>3.6338229999999999E-2</v>
      </c>
      <c r="Z91" s="378">
        <f t="shared" ref="Z91" ca="1" si="3388">_xlfn.NUMBERVALUE(OFFSET(Origine,MATCH(W91&amp;"/"&amp;MRif,LUKB_Name,0),MATCH("Price",Intestazioni,0)-1,1,1))</f>
        <v>1.0000001300000001</v>
      </c>
      <c r="AA91" s="214">
        <f>10</f>
        <v>10</v>
      </c>
      <c r="AB91" s="312">
        <f t="shared" ref="AB91" ca="1" si="3389">IFERROR($X91/AC91-1,"")</f>
        <v>0.3311627906976744</v>
      </c>
      <c r="AC91" s="215">
        <v>537.5</v>
      </c>
      <c r="AD91" s="199">
        <f t="shared" ref="AD91" ca="1" si="3390">AA91*$X91</f>
        <v>7155</v>
      </c>
      <c r="AE91" s="199">
        <f t="shared" ref="AE91" ca="1" si="3391">AD91*$Z91</f>
        <v>7155.0009301500004</v>
      </c>
      <c r="AF91" s="216">
        <f t="shared" ref="AF91" ca="1" si="3392">IFERROR(AE91/AA$4,0)</f>
        <v>1.2742745678240672E-2</v>
      </c>
      <c r="AG91" s="202">
        <f t="shared" ref="AG91" ca="1" si="3393">AH91/$X91</f>
        <v>-10</v>
      </c>
      <c r="AH91" s="203">
        <f t="shared" ref="AH91" ca="1" si="3394">AI91/$Z91</f>
        <v>-7155</v>
      </c>
      <c r="AI91" s="203">
        <f t="shared" ref="AI91" ca="1" si="3395">AJ91*AA$4</f>
        <v>-7155.0009301500004</v>
      </c>
      <c r="AJ91" s="204">
        <f t="shared" ca="1" si="2535"/>
        <v>-1.2742745678240672E-2</v>
      </c>
      <c r="AK91" s="205"/>
      <c r="AL91" s="206">
        <f t="shared" ref="AL91" ca="1" si="3396">AK91*$X91</f>
        <v>0</v>
      </c>
      <c r="AM91" s="206">
        <f t="shared" ref="AM91" ca="1" si="3397">AL91*$Z91</f>
        <v>0</v>
      </c>
      <c r="AN91" s="207">
        <f t="shared" ref="AN91" ca="1" si="3398">IFERROR(AM91/AA$4,0)</f>
        <v>0</v>
      </c>
      <c r="AO91" s="391">
        <f t="shared" si="3365"/>
        <v>10</v>
      </c>
      <c r="AP91" s="391">
        <f t="shared" ref="AP91" ca="1" si="3399">AD91+IF($T91 ="",AL91,0)</f>
        <v>7155</v>
      </c>
      <c r="AQ91" s="391">
        <f t="shared" ref="AQ91" ca="1" si="3400">AP91*$Z91</f>
        <v>7155.0009301500004</v>
      </c>
      <c r="AR91" s="394">
        <f t="shared" ref="AR91" ca="1" si="3401">IFERROR(AQ91/AA$4,0)</f>
        <v>1.2742745678240672E-2</v>
      </c>
      <c r="AS91" s="209" t="str">
        <f t="shared" ref="AS91" ca="1" si="3402">IF(SUM(AF91,AN91,AR91)&lt;&gt;0,"V","")</f>
        <v>V</v>
      </c>
      <c r="AT91" s="214">
        <f>30</f>
        <v>30</v>
      </c>
      <c r="AU91" s="312">
        <f t="shared" ref="AU91" ca="1" si="3403">IFERROR($X91/AV91-1,"")</f>
        <v>0.3311627906976744</v>
      </c>
      <c r="AV91" s="215">
        <v>537.5</v>
      </c>
      <c r="AW91" s="199">
        <f t="shared" ref="AW91" ca="1" si="3404">AT91*$X91</f>
        <v>21465</v>
      </c>
      <c r="AX91" s="199">
        <f t="shared" ref="AX91" ca="1" si="3405">AW91*$Z91</f>
        <v>21465.002790450002</v>
      </c>
      <c r="AY91" s="216">
        <f t="shared" ref="AY91" ca="1" si="3406">IFERROR(AX91/AT$4,0)</f>
        <v>1.2394319109250125E-2</v>
      </c>
      <c r="AZ91" s="202">
        <f t="shared" ref="AZ91" ca="1" si="3407">BA91/$X91</f>
        <v>-30</v>
      </c>
      <c r="BA91" s="203">
        <f t="shared" ref="BA91" ca="1" si="3408">BB91/$Z91</f>
        <v>-21465</v>
      </c>
      <c r="BB91" s="203">
        <f t="shared" ref="BB91" ca="1" si="3409">BC91*AT$4</f>
        <v>-21465.002790450002</v>
      </c>
      <c r="BC91" s="204">
        <f t="shared" ca="1" si="2537"/>
        <v>-1.2394319109250125E-2</v>
      </c>
      <c r="BD91" s="205"/>
      <c r="BE91" s="206">
        <f t="shared" ref="BE91" ca="1" si="3410">BD91*$X91</f>
        <v>0</v>
      </c>
      <c r="BF91" s="206">
        <f t="shared" ref="BF91" ca="1" si="3411">BE91*$Z91</f>
        <v>0</v>
      </c>
      <c r="BG91" s="207">
        <f t="shared" ref="BG91" ca="1" si="3412">IFERROR(BF91/AT$4,0)</f>
        <v>0</v>
      </c>
      <c r="BH91" s="391">
        <f t="shared" ref="BH91:BH93" si="3413">AT91+BD91</f>
        <v>30</v>
      </c>
      <c r="BI91" s="391">
        <f t="shared" ref="BI91" ca="1" si="3414">AW91+IF($T91 ="",BE91,0)</f>
        <v>21465</v>
      </c>
      <c r="BJ91" s="391">
        <f t="shared" ref="BJ91" ca="1" si="3415">BI91*$Z91</f>
        <v>21465.002790450002</v>
      </c>
      <c r="BK91" s="394">
        <f t="shared" ref="BK91" ca="1" si="3416">IFERROR(BJ91/AT$4,0)</f>
        <v>1.2394319109250125E-2</v>
      </c>
      <c r="BL91" s="211" t="str">
        <f t="shared" ref="BL91" ca="1" si="3417">IF(SUM(AY91,BG91,BK91)&lt;&gt;0,"V","")</f>
        <v>V</v>
      </c>
      <c r="BM91" s="214"/>
      <c r="BN91" s="312" t="str">
        <f t="shared" ref="BN91" ca="1" si="3418">IFERROR($X91/BO91-1,"")</f>
        <v/>
      </c>
      <c r="BO91" s="215"/>
      <c r="BP91" s="199">
        <f t="shared" ref="BP91:BP93" ca="1" si="3419">BM91*$X91</f>
        <v>0</v>
      </c>
      <c r="BQ91" s="199">
        <f t="shared" ref="BQ91" ca="1" si="3420">BP91*$Z91</f>
        <v>0</v>
      </c>
      <c r="BR91" s="216">
        <f t="shared" ref="BR91:BR93" ca="1" si="3421">IFERROR(BQ91/BM$4,0)</f>
        <v>0</v>
      </c>
      <c r="BS91" s="202">
        <f t="shared" ref="BS91" ca="1" si="3422">BT91/$X91</f>
        <v>0</v>
      </c>
      <c r="BT91" s="203">
        <f t="shared" ref="BT91" ca="1" si="3423">BU91/$Z91</f>
        <v>0</v>
      </c>
      <c r="BU91" s="203">
        <f t="shared" ref="BU91:BU93" ca="1" si="3424">BV91*BM$4</f>
        <v>0</v>
      </c>
      <c r="BV91" s="204">
        <f t="shared" ca="1" si="2541"/>
        <v>0</v>
      </c>
      <c r="BW91" s="205"/>
      <c r="BX91" s="206">
        <f t="shared" ref="BX91" ca="1" si="3425">BW91*$X91</f>
        <v>0</v>
      </c>
      <c r="BY91" s="206">
        <f t="shared" ref="BY91" ca="1" si="3426">BX91*$Z91</f>
        <v>0</v>
      </c>
      <c r="BZ91" s="207">
        <f t="shared" ref="BZ91:BZ93" ca="1" si="3427">IFERROR(BY91/BM$4,0)</f>
        <v>0</v>
      </c>
      <c r="CA91" s="391">
        <f t="shared" ref="CA91:CA93" si="3428">BM91+BW91</f>
        <v>0</v>
      </c>
      <c r="CB91" s="391">
        <f t="shared" ref="CB91" ca="1" si="3429">BP91+IF($T91 ="",BX91,0)</f>
        <v>0</v>
      </c>
      <c r="CC91" s="391">
        <f t="shared" ref="CC91" ca="1" si="3430">CB91*$Z91</f>
        <v>0</v>
      </c>
      <c r="CD91" s="394">
        <f t="shared" ref="CD91:CD93" ca="1" si="3431">IFERROR(CC91/BM$4,0)</f>
        <v>0</v>
      </c>
      <c r="CE91" s="212" t="str">
        <f t="shared" ref="CE91" ca="1" si="3432">IF(SUM(BR91,BZ91,CD91)&lt;&gt;0,"V","")</f>
        <v/>
      </c>
      <c r="CF91" s="214">
        <f>16</f>
        <v>16</v>
      </c>
      <c r="CG91" s="312">
        <f t="shared" ref="CG91" ca="1" si="3433">IFERROR($X91/CH91-1,"")</f>
        <v>0.3311627906976744</v>
      </c>
      <c r="CH91" s="215">
        <v>537.5</v>
      </c>
      <c r="CI91" s="199">
        <f t="shared" ref="CI91" ca="1" si="3434">CF91*$X91</f>
        <v>11448</v>
      </c>
      <c r="CJ91" s="199">
        <f t="shared" ref="CJ91" ca="1" si="3435">CI91*$Z91</f>
        <v>11448.001488240001</v>
      </c>
      <c r="CK91" s="216">
        <f t="shared" ref="CK91" ca="1" si="3436">IFERROR(CJ91/CF$4,0)</f>
        <v>1.2936185855060732E-2</v>
      </c>
      <c r="CL91" s="202">
        <f t="shared" ref="CL91" ca="1" si="3437">CM91/$X91</f>
        <v>-16</v>
      </c>
      <c r="CM91" s="203">
        <f t="shared" ref="CM91" ca="1" si="3438">CN91/$Z91</f>
        <v>-11448</v>
      </c>
      <c r="CN91" s="203">
        <f t="shared" ref="CN91" ca="1" si="3439">CO91*CF$4</f>
        <v>-11448.001488240001</v>
      </c>
      <c r="CO91" s="204">
        <f t="shared" ca="1" si="2543"/>
        <v>-1.2936185855060732E-2</v>
      </c>
      <c r="CP91" s="205"/>
      <c r="CQ91" s="206">
        <f t="shared" ref="CQ91" ca="1" si="3440">CP91*$X91</f>
        <v>0</v>
      </c>
      <c r="CR91" s="206">
        <f t="shared" ref="CR91" ca="1" si="3441">CQ91*$Z91</f>
        <v>0</v>
      </c>
      <c r="CS91" s="207">
        <f t="shared" ref="CS91" ca="1" si="3442">IFERROR(CR91/CF$4,0)</f>
        <v>0</v>
      </c>
      <c r="CT91" s="391">
        <f t="shared" ref="CT91:CT93" si="3443">CF91+CP91</f>
        <v>16</v>
      </c>
      <c r="CU91" s="391">
        <f t="shared" ref="CU91" ca="1" si="3444">CI91+IF($T91 ="",CQ91,0)</f>
        <v>11448</v>
      </c>
      <c r="CV91" s="391">
        <f t="shared" ref="CV91" ca="1" si="3445">CU91*$Z91</f>
        <v>11448.001488240001</v>
      </c>
      <c r="CW91" s="394">
        <f t="shared" ref="CW91" ca="1" si="3446">IFERROR(CV91/CF$4,0)</f>
        <v>1.2936185855060732E-2</v>
      </c>
      <c r="CX91" s="211" t="str">
        <f t="shared" ref="CX91" ca="1" si="3447">IF(SUM(CK91,CS91,CW91)&lt;&gt;0,"V","")</f>
        <v>V</v>
      </c>
      <c r="CY91" s="197">
        <f>70</f>
        <v>70</v>
      </c>
      <c r="CZ91" s="312">
        <f t="shared" ref="CZ91" ca="1" si="3448">IFERROR($X91/DA91-1,"")</f>
        <v>0.3311627906976744</v>
      </c>
      <c r="DA91" s="395">
        <v>537.5</v>
      </c>
      <c r="DB91" s="199">
        <f t="shared" ref="DB91" ca="1" si="3449">CY91*$X91</f>
        <v>50085</v>
      </c>
      <c r="DC91" s="199">
        <f t="shared" ref="DC91" ca="1" si="3450">DB91*$Z91</f>
        <v>50085.006511050007</v>
      </c>
      <c r="DD91" s="216">
        <f t="shared" ref="DD91" ca="1" si="3451">IFERROR(DC91/CY$4,0)</f>
        <v>1.3969080042488351E-2</v>
      </c>
      <c r="DE91" s="202">
        <f t="shared" ref="DE91" ca="1" si="3452">DF91/$X91</f>
        <v>-70</v>
      </c>
      <c r="DF91" s="203">
        <f t="shared" ref="DF91" ca="1" si="3453">DG91/$Z91</f>
        <v>-50085</v>
      </c>
      <c r="DG91" s="203">
        <f t="shared" ref="DG91" ca="1" si="3454">DH91*CY$4</f>
        <v>-50085.006511050007</v>
      </c>
      <c r="DH91" s="204">
        <f t="shared" ca="1" si="2545"/>
        <v>-1.3969080042488351E-2</v>
      </c>
      <c r="DI91" s="205"/>
      <c r="DJ91" s="206">
        <f t="shared" ref="DJ91" ca="1" si="3455">DI91*$X91</f>
        <v>0</v>
      </c>
      <c r="DK91" s="206">
        <f t="shared" ref="DK91" ca="1" si="3456">DJ91*$Z91</f>
        <v>0</v>
      </c>
      <c r="DL91" s="207">
        <f t="shared" ref="DL91" ca="1" si="3457">IFERROR(DK91/CY$4,0)</f>
        <v>0</v>
      </c>
      <c r="DM91" s="391">
        <f t="shared" ref="DM91:DM93" si="3458">CY91+DI91</f>
        <v>70</v>
      </c>
      <c r="DN91" s="391">
        <f t="shared" ref="DN91" ca="1" si="3459">DB91+IF($T91 ="",DJ91,0)</f>
        <v>50085</v>
      </c>
      <c r="DO91" s="391">
        <f t="shared" ref="DO91" ca="1" si="3460">DN91*$Z91</f>
        <v>50085.006511050007</v>
      </c>
      <c r="DP91" s="394">
        <f t="shared" ref="DP91" ca="1" si="3461">IFERROR(DO91/CY$4,0)</f>
        <v>1.3969080042488351E-2</v>
      </c>
      <c r="DQ91" s="209" t="str">
        <f t="shared" ref="DQ91" ca="1" si="3462">IF(SUM(DD91,DL91,DP91)&lt;&gt;0,"V","")</f>
        <v>V</v>
      </c>
      <c r="DR91" s="197"/>
      <c r="DS91" s="312" t="str">
        <f t="shared" ca="1" si="2896"/>
        <v/>
      </c>
      <c r="DT91" s="395"/>
      <c r="DU91" s="199">
        <f t="shared" ref="DU91:DU93" ca="1" si="3463">DR91*$X91</f>
        <v>0</v>
      </c>
      <c r="DV91" s="199">
        <f t="shared" ca="1" si="2898"/>
        <v>0</v>
      </c>
      <c r="DW91" s="216">
        <f t="shared" ca="1" si="2899"/>
        <v>0</v>
      </c>
      <c r="DX91" s="202">
        <f t="shared" ca="1" si="2900"/>
        <v>0</v>
      </c>
      <c r="DY91" s="203">
        <f t="shared" ca="1" si="2901"/>
        <v>0</v>
      </c>
      <c r="DZ91" s="203">
        <f t="shared" ca="1" si="2902"/>
        <v>0</v>
      </c>
      <c r="EA91" s="204">
        <f t="shared" ca="1" si="2546"/>
        <v>0</v>
      </c>
      <c r="EB91" s="205"/>
      <c r="EC91" s="206">
        <f t="shared" ca="1" si="2903"/>
        <v>0</v>
      </c>
      <c r="ED91" s="206">
        <f t="shared" ca="1" si="2904"/>
        <v>0</v>
      </c>
      <c r="EE91" s="207">
        <f t="shared" ca="1" si="2905"/>
        <v>0</v>
      </c>
      <c r="EF91" s="391">
        <f t="shared" si="3224"/>
        <v>0</v>
      </c>
      <c r="EG91" s="391">
        <f t="shared" ca="1" si="2907"/>
        <v>0</v>
      </c>
      <c r="EH91" s="391">
        <f t="shared" ca="1" si="2908"/>
        <v>0</v>
      </c>
      <c r="EI91" s="394">
        <f t="shared" ca="1" si="2909"/>
        <v>0</v>
      </c>
      <c r="EJ91" s="214"/>
      <c r="EK91" s="312" t="str">
        <f t="shared" ref="EK91" ca="1" si="3464">IFERROR($X91/EL91-1,"")</f>
        <v/>
      </c>
      <c r="EL91" s="222"/>
      <c r="EM91" s="199">
        <f t="shared" ref="EM91" ca="1" si="3465">EJ91*$X91</f>
        <v>0</v>
      </c>
      <c r="EN91" s="199">
        <f t="shared" ref="EN91" ca="1" si="3466">EM91*$Z91</f>
        <v>0</v>
      </c>
      <c r="EO91" s="216">
        <f t="shared" ref="EO91" ca="1" si="3467">IFERROR(EN91/EJ$4,0)</f>
        <v>0</v>
      </c>
      <c r="EP91" s="202">
        <f t="shared" ref="EP91" ca="1" si="3468">EQ91/$X91</f>
        <v>0</v>
      </c>
      <c r="EQ91" s="203">
        <f t="shared" ref="EQ91" ca="1" si="3469">ER91/$Z91</f>
        <v>0</v>
      </c>
      <c r="ER91" s="203">
        <f t="shared" ref="ER91" ca="1" si="3470">ES91*EJ$4</f>
        <v>0</v>
      </c>
      <c r="ES91" s="204">
        <f t="shared" ca="1" si="2547"/>
        <v>0</v>
      </c>
      <c r="ET91" s="205"/>
      <c r="EU91" s="206">
        <f t="shared" ref="EU91" ca="1" si="3471">ET91*$X91</f>
        <v>0</v>
      </c>
      <c r="EV91" s="206">
        <f t="shared" ref="EV91" ca="1" si="3472">EU91*$Z91</f>
        <v>0</v>
      </c>
      <c r="EW91" s="207">
        <f t="shared" ref="EW91" ca="1" si="3473">IFERROR(EV91/EJ$4,0)</f>
        <v>0</v>
      </c>
      <c r="EX91" s="391">
        <f t="shared" ref="EX91:EX93" si="3474">EJ91+ET91</f>
        <v>0</v>
      </c>
      <c r="EY91" s="391">
        <f t="shared" ref="EY91" ca="1" si="3475">EM91+IF($T91 ="",EU91,0)</f>
        <v>0</v>
      </c>
      <c r="EZ91" s="391">
        <f t="shared" ref="EZ91" ca="1" si="3476">EY91*$Z91</f>
        <v>0</v>
      </c>
      <c r="FA91" s="394">
        <f t="shared" ref="FA91" ca="1" si="3477">IFERROR(EZ91/EJ$4,0)</f>
        <v>0</v>
      </c>
      <c r="FB91" s="212" t="str">
        <f t="shared" ref="FB91" ca="1" si="3478">IF(SUM(EO91,EW91,FA91)&lt;&gt;0,"V","")</f>
        <v/>
      </c>
      <c r="FC91" s="214"/>
      <c r="FD91" s="312" t="str">
        <f t="shared" ref="FD91" ca="1" si="3479">IFERROR($X91/FE91-1,"")</f>
        <v/>
      </c>
      <c r="FE91" s="215"/>
      <c r="FF91" s="199">
        <f t="shared" ref="FF91" ca="1" si="3480">FC91*$X91</f>
        <v>0</v>
      </c>
      <c r="FG91" s="199">
        <f t="shared" ref="FG91" ca="1" si="3481">FF91*$Z91</f>
        <v>0</v>
      </c>
      <c r="FH91" s="216">
        <f t="shared" ref="FH91" ca="1" si="3482">IFERROR(FG91/FC$4,0)</f>
        <v>0</v>
      </c>
      <c r="FI91" s="202">
        <f t="shared" ref="FI91" ca="1" si="3483">FJ91/$X91</f>
        <v>0</v>
      </c>
      <c r="FJ91" s="203">
        <f t="shared" ref="FJ91" ca="1" si="3484">FK91/$Z91</f>
        <v>0</v>
      </c>
      <c r="FK91" s="203">
        <f t="shared" ref="FK91" ca="1" si="3485">FL91*FC$4</f>
        <v>0</v>
      </c>
      <c r="FL91" s="204">
        <f t="shared" ca="1" si="2549"/>
        <v>0</v>
      </c>
      <c r="FM91" s="205"/>
      <c r="FN91" s="206">
        <f t="shared" ref="FN91" ca="1" si="3486">FM91*$X91</f>
        <v>0</v>
      </c>
      <c r="FO91" s="206">
        <f t="shared" ref="FO91" ca="1" si="3487">FN91*$Z91</f>
        <v>0</v>
      </c>
      <c r="FP91" s="207">
        <f t="shared" ref="FP91" ca="1" si="3488">IFERROR(FO91/FC$4,0)</f>
        <v>0</v>
      </c>
      <c r="FQ91" s="391">
        <f t="shared" ref="FQ91:FQ93" si="3489">FC91+FM91</f>
        <v>0</v>
      </c>
      <c r="FR91" s="391">
        <f t="shared" ref="FR91" ca="1" si="3490">FF91+IF($T91 ="",FN91,0)</f>
        <v>0</v>
      </c>
      <c r="FS91" s="391">
        <f t="shared" ref="FS91" ca="1" si="3491">FR91*$Z91</f>
        <v>0</v>
      </c>
      <c r="FT91" s="394">
        <f t="shared" ref="FT91" ca="1" si="3492">IFERROR(FS91/FC$4,0)</f>
        <v>0</v>
      </c>
      <c r="FU91" s="209" t="str">
        <f t="shared" ref="FU91" ca="1" si="3493">IF(SUM(FH91,FP91,FT91)&lt;&gt;0,"V","")</f>
        <v/>
      </c>
    </row>
    <row r="92" spans="1:177" outlineLevel="2" x14ac:dyDescent="0.2">
      <c r="A92" s="366"/>
      <c r="B92" s="366"/>
      <c r="C92" s="367" t="str">
        <f t="shared" ca="1" si="2571"/>
        <v>CH0008038389:CHF</v>
      </c>
      <c r="D92" s="368" t="str">
        <f t="shared" ca="1" si="2572"/>
        <v>CH0008038389</v>
      </c>
      <c r="E92" s="369" t="str">
        <f t="shared" ca="1" si="2572"/>
        <v>803838</v>
      </c>
      <c r="F92" s="415" t="s">
        <v>440</v>
      </c>
      <c r="G92" s="414"/>
      <c r="H92" s="1713" t="str">
        <f t="shared" ca="1" si="2530"/>
        <v></v>
      </c>
      <c r="I92" s="1683" t="str">
        <f t="shared" ca="1" si="2573"/>
        <v/>
      </c>
      <c r="J92" s="1713" t="str">
        <f t="shared" ca="1" si="2574"/>
        <v/>
      </c>
      <c r="K92" s="1716" t="str">
        <f t="shared" ca="1" si="2574"/>
        <v/>
      </c>
      <c r="L92" s="1717" t="str">
        <f t="shared" ca="1" si="2575"/>
        <v/>
      </c>
      <c r="M92" s="366" t="str">
        <f t="shared" ca="1" si="2576"/>
        <v>Unit</v>
      </c>
      <c r="N92" s="372">
        <v>1.4999999999999999E-2</v>
      </c>
      <c r="O92" s="372"/>
      <c r="P92" s="373">
        <f t="shared" ca="1" si="2532"/>
        <v>1.6813339259320534E-2</v>
      </c>
      <c r="Q92" s="391">
        <f t="array" aca="1" ref="Q92" ca="1">SUM(IF($AA$15:$FT$15="I_pos",AA92:FT92))</f>
        <v>880</v>
      </c>
      <c r="R92" s="391">
        <f t="array" aca="1" ref="R92" ca="1">SUM(IF($AA$15:$FT$15="P_Pos",AA92:FT92))</f>
        <v>471.33107051610671</v>
      </c>
      <c r="S92" s="367"/>
      <c r="T92" s="391"/>
      <c r="U92" s="375">
        <f t="shared" ca="1" si="2577"/>
        <v>-1.3821700069110003E-3</v>
      </c>
      <c r="V92" s="391">
        <f t="array" aca="1" ref="V92" ca="1">SUM(IF($AA$15:$FT$15="O_Pos",AA92:FT92))</f>
        <v>0</v>
      </c>
      <c r="W92" s="367" t="str">
        <f t="shared" ca="1" si="3249"/>
        <v>CHF</v>
      </c>
      <c r="X92" s="392">
        <f t="shared" ca="1" si="3250"/>
        <v>144.5</v>
      </c>
      <c r="Y92" s="393">
        <f t="shared" ca="1" si="3250"/>
        <v>2.4221449999999999E-2</v>
      </c>
      <c r="Z92" s="378">
        <f t="shared" ref="Z92" ca="1" si="3494">_xlfn.NUMBERVALUE(OFFSET(Origine,MATCH(W92&amp;"/"&amp;MRif,LUKB_Name,0),MATCH("Price",Intestazioni,0)-1,1,1))</f>
        <v>1.0000001300000001</v>
      </c>
      <c r="AA92" s="214">
        <f>65</f>
        <v>65</v>
      </c>
      <c r="AB92" s="312">
        <f t="shared" ref="AB92" ca="1" si="3495">IFERROR($X92/AC92-1,"")</f>
        <v>9.8859315589353569E-2</v>
      </c>
      <c r="AC92" s="215">
        <v>131.5</v>
      </c>
      <c r="AD92" s="199">
        <f t="shared" ref="AD92" ca="1" si="3496">AA92*$X92</f>
        <v>9392.5</v>
      </c>
      <c r="AE92" s="199">
        <f t="shared" ref="AE92" ca="1" si="3497">AD92*$Z92</f>
        <v>9392.5012210250006</v>
      </c>
      <c r="AF92" s="216">
        <f t="shared" ref="AF92" ca="1" si="3498">IFERROR(AE92/AA$4,0)</f>
        <v>1.6727636447641581E-2</v>
      </c>
      <c r="AG92" s="202">
        <f t="shared" ref="AG92" ca="1" si="3499">AH92/$X92</f>
        <v>-6.7132239182861584</v>
      </c>
      <c r="AH92" s="203">
        <f t="shared" ref="AH92" ca="1" si="3500">AI92/$Z92</f>
        <v>-970.06085619234989</v>
      </c>
      <c r="AI92" s="203">
        <f t="shared" ref="AI92" ca="1" si="3501">AJ92*AA$4</f>
        <v>-970.06098230026134</v>
      </c>
      <c r="AJ92" s="204">
        <f t="shared" ref="AJ92" ca="1" si="3502">IF(AA$6&lt;&gt;"",$O92,$N92)-AF92</f>
        <v>-1.7276364476415812E-3</v>
      </c>
      <c r="AK92" s="205"/>
      <c r="AL92" s="206">
        <f t="shared" ref="AL92" ca="1" si="3503">AK92*$X92</f>
        <v>0</v>
      </c>
      <c r="AM92" s="206">
        <f t="shared" ref="AM92" ca="1" si="3504">AL92*$Z92</f>
        <v>0</v>
      </c>
      <c r="AN92" s="207">
        <f t="shared" ref="AN92" ca="1" si="3505">IFERROR(AM92/AA$4,0)</f>
        <v>0</v>
      </c>
      <c r="AO92" s="391">
        <f t="shared" ref="AO92" si="3506">AA92+AK92</f>
        <v>65</v>
      </c>
      <c r="AP92" s="391">
        <f t="shared" ref="AP92" ca="1" si="3507">AD92+IF($T92 ="",AL92,0)</f>
        <v>9392.5</v>
      </c>
      <c r="AQ92" s="391">
        <f t="shared" ref="AQ92" ca="1" si="3508">AP92*$Z92</f>
        <v>9392.5012210250006</v>
      </c>
      <c r="AR92" s="394">
        <f t="shared" ref="AR92" ca="1" si="3509">IFERROR(AQ92/AA$4,0)</f>
        <v>1.6727636447641581E-2</v>
      </c>
      <c r="AS92" s="209" t="str">
        <f t="shared" ref="AS92" ca="1" si="3510">IF(SUM(AF92,AN92,AR92)&lt;&gt;0,"V","")</f>
        <v>V</v>
      </c>
      <c r="AT92" s="214">
        <f>200</f>
        <v>200</v>
      </c>
      <c r="AU92" s="312">
        <f t="shared" ref="AU92" ca="1" si="3511">IFERROR($X92/AV92-1,"")</f>
        <v>9.8859315589353569E-2</v>
      </c>
      <c r="AV92" s="215">
        <v>131.5</v>
      </c>
      <c r="AW92" s="199">
        <f t="shared" ref="AW92" ca="1" si="3512">AT92*$X92</f>
        <v>28900</v>
      </c>
      <c r="AX92" s="199">
        <f t="shared" ref="AX92" ca="1" si="3513">AW92*$Z92</f>
        <v>28900.003757000002</v>
      </c>
      <c r="AY92" s="216">
        <f t="shared" ref="AY92" ca="1" si="3514">IFERROR(AX92/AT$4,0)</f>
        <v>1.6687436396800773E-2</v>
      </c>
      <c r="AZ92" s="202">
        <f t="shared" ref="AZ92" ca="1" si="3515">BA92/$X92</f>
        <v>-20.224033898032168</v>
      </c>
      <c r="BA92" s="203">
        <f t="shared" ref="BA92" ca="1" si="3516">BB92/$Z92</f>
        <v>-2922.3728982656485</v>
      </c>
      <c r="BB92" s="203">
        <f t="shared" ref="BB92" ca="1" si="3517">BC92*AT$4</f>
        <v>-2922.3732781741255</v>
      </c>
      <c r="BC92" s="204">
        <f t="shared" ref="BC92" ca="1" si="3518">IF(AT$6&lt;&gt;"",$O92,$N92)-AY92</f>
        <v>-1.6874363968007733E-3</v>
      </c>
      <c r="BD92" s="205"/>
      <c r="BE92" s="206">
        <f t="shared" ref="BE92" ca="1" si="3519">BD92*$X92</f>
        <v>0</v>
      </c>
      <c r="BF92" s="206">
        <f t="shared" ref="BF92" ca="1" si="3520">BE92*$Z92</f>
        <v>0</v>
      </c>
      <c r="BG92" s="207">
        <f t="shared" ref="BG92" ca="1" si="3521">IFERROR(BF92/AT$4,0)</f>
        <v>0</v>
      </c>
      <c r="BH92" s="391">
        <f t="shared" ref="BH92" si="3522">AT92+BD92</f>
        <v>200</v>
      </c>
      <c r="BI92" s="391">
        <f t="shared" ref="BI92" ca="1" si="3523">AW92+IF($T92 ="",BE92,0)</f>
        <v>28900</v>
      </c>
      <c r="BJ92" s="391">
        <f t="shared" ref="BJ92" ca="1" si="3524">BI92*$Z92</f>
        <v>28900.003757000002</v>
      </c>
      <c r="BK92" s="394">
        <f t="shared" ref="BK92" ca="1" si="3525">IFERROR(BJ92/AT$4,0)</f>
        <v>1.6687436396800773E-2</v>
      </c>
      <c r="BL92" s="211" t="str">
        <f t="shared" ref="BL92" ca="1" si="3526">IF(SUM(AY92,BG92,BK92)&lt;&gt;0,"V","")</f>
        <v>V</v>
      </c>
      <c r="BM92" s="214">
        <f>35</f>
        <v>35</v>
      </c>
      <c r="BN92" s="312">
        <f t="shared" ref="BN92" ca="1" si="3527">IFERROR($X92/BO92-1,"")</f>
        <v>9.8859315589353569E-2</v>
      </c>
      <c r="BO92" s="215">
        <v>131.5</v>
      </c>
      <c r="BP92" s="199">
        <f t="shared" ref="BP92" ca="1" si="3528">BM92*$X92</f>
        <v>5057.5</v>
      </c>
      <c r="BQ92" s="199">
        <f t="shared" ref="BQ92" ca="1" si="3529">BP92*$Z92</f>
        <v>5057.5006574750005</v>
      </c>
      <c r="BR92" s="216">
        <f t="shared" ref="BR92" ca="1" si="3530">IFERROR(BQ92/BM$4,0)</f>
        <v>1.774734480935905E-2</v>
      </c>
      <c r="BS92" s="202">
        <f t="shared" ref="BS92" ca="1" si="3531">BT92/$X92</f>
        <v>-5.4181101094547062</v>
      </c>
      <c r="BT92" s="203">
        <f t="shared" ref="BT92" ca="1" si="3532">BU92/$Z92</f>
        <v>-782.91691081620502</v>
      </c>
      <c r="BU92" s="203">
        <f t="shared" ref="BU92" ca="1" si="3533">BV92*BM$4</f>
        <v>-782.91701259540355</v>
      </c>
      <c r="BV92" s="204">
        <f t="shared" ref="BV92" ca="1" si="3534">IF(BM$6&lt;&gt;"",$O92,$N92)-BR92</f>
        <v>-2.7473448093590508E-3</v>
      </c>
      <c r="BW92" s="205"/>
      <c r="BX92" s="206">
        <f t="shared" ref="BX92" ca="1" si="3535">BW92*$X92</f>
        <v>0</v>
      </c>
      <c r="BY92" s="206">
        <f t="shared" ref="BY92" ca="1" si="3536">BX92*$Z92</f>
        <v>0</v>
      </c>
      <c r="BZ92" s="207">
        <f t="shared" ref="BZ92" ca="1" si="3537">IFERROR(BY92/BM$4,0)</f>
        <v>0</v>
      </c>
      <c r="CA92" s="391">
        <f t="shared" ref="CA92" si="3538">BM92+BW92</f>
        <v>35</v>
      </c>
      <c r="CB92" s="391">
        <f t="shared" ref="CB92" ca="1" si="3539">BP92+IF($T92 ="",BX92,0)</f>
        <v>5057.5</v>
      </c>
      <c r="CC92" s="391">
        <f t="shared" ref="CC92" ca="1" si="3540">CB92*$Z92</f>
        <v>5057.5006574750005</v>
      </c>
      <c r="CD92" s="394">
        <f t="shared" ref="CD92" ca="1" si="3541">IFERROR(CC92/BM$4,0)</f>
        <v>1.774734480935905E-2</v>
      </c>
      <c r="CE92" s="212" t="str">
        <f t="shared" ref="CE92" ca="1" si="3542">IF(SUM(BR92,BZ92,CD92)&lt;&gt;0,"V","")</f>
        <v>V</v>
      </c>
      <c r="CF92" s="214">
        <f>100</f>
        <v>100</v>
      </c>
      <c r="CG92" s="312">
        <f t="shared" ref="CG92" ca="1" si="3543">IFERROR($X92/CH92-1,"")</f>
        <v>9.8859315589353569E-2</v>
      </c>
      <c r="CH92" s="215">
        <v>131.5</v>
      </c>
      <c r="CI92" s="199">
        <f t="shared" ref="CI92" ca="1" si="3544">CF92*$X92</f>
        <v>14450</v>
      </c>
      <c r="CJ92" s="199">
        <f t="shared" ref="CJ92" ca="1" si="3545">CI92*$Z92</f>
        <v>14450.001878500001</v>
      </c>
      <c r="CK92" s="216">
        <f t="shared" ref="CK92" ca="1" si="3546">IFERROR(CJ92/CF$4,0)</f>
        <v>1.6328431656676065E-2</v>
      </c>
      <c r="CL92" s="202">
        <f t="shared" ref="CL92" ca="1" si="3547">CM92/$X92</f>
        <v>-8.1356965849988505</v>
      </c>
      <c r="CM92" s="203">
        <f t="shared" ref="CM92" ca="1" si="3548">CN92/$Z92</f>
        <v>-1175.6081565323339</v>
      </c>
      <c r="CN92" s="203">
        <f t="shared" ref="CN92" ca="1" si="3549">CO92*CF$4</f>
        <v>-1175.6083093613943</v>
      </c>
      <c r="CO92" s="204">
        <f t="shared" ref="CO92" ca="1" si="3550">IF(CF$6&lt;&gt;"",$O92,$N92)-CK92</f>
        <v>-1.3284316566760657E-3</v>
      </c>
      <c r="CP92" s="205"/>
      <c r="CQ92" s="206">
        <f t="shared" ref="CQ92" ca="1" si="3551">CP92*$X92</f>
        <v>0</v>
      </c>
      <c r="CR92" s="206">
        <f t="shared" ref="CR92" ca="1" si="3552">CQ92*$Z92</f>
        <v>0</v>
      </c>
      <c r="CS92" s="207">
        <f t="shared" ref="CS92" ca="1" si="3553">IFERROR(CR92/CF$4,0)</f>
        <v>0</v>
      </c>
      <c r="CT92" s="391">
        <f t="shared" ref="CT92" si="3554">CF92+CP92</f>
        <v>100</v>
      </c>
      <c r="CU92" s="391">
        <f t="shared" ref="CU92" ca="1" si="3555">CI92+IF($T92 ="",CQ92,0)</f>
        <v>14450</v>
      </c>
      <c r="CV92" s="391">
        <f t="shared" ref="CV92" ca="1" si="3556">CU92*$Z92</f>
        <v>14450.001878500001</v>
      </c>
      <c r="CW92" s="394">
        <f t="shared" ref="CW92" ca="1" si="3557">IFERROR(CV92/CF$4,0)</f>
        <v>1.6328431656676065E-2</v>
      </c>
      <c r="CX92" s="211" t="str">
        <f t="shared" ref="CX92" ca="1" si="3558">IF(SUM(CK92,CS92,CW92)&lt;&gt;0,"V","")</f>
        <v>V</v>
      </c>
      <c r="CY92" s="197">
        <f>400</f>
        <v>400</v>
      </c>
      <c r="CZ92" s="312">
        <f t="shared" ref="CZ92" ca="1" si="3559">IFERROR($X92/DA92-1,"")</f>
        <v>9.8859315589353569E-2</v>
      </c>
      <c r="DA92" s="395">
        <v>131.5</v>
      </c>
      <c r="DB92" s="199">
        <f t="shared" ref="DB92" ca="1" si="3560">CY92*$X92</f>
        <v>57800</v>
      </c>
      <c r="DC92" s="199">
        <f t="shared" ref="DC92" ca="1" si="3561">DB92*$Z92</f>
        <v>57800.007514000004</v>
      </c>
      <c r="DD92" s="216">
        <f t="shared" ref="DD92" ca="1" si="3562">IFERROR(DC92/CY$4,0)</f>
        <v>1.6120851082276663E-2</v>
      </c>
      <c r="DE92" s="202">
        <f t="shared" ref="DE92" ca="1" si="3563">DF92/$X92</f>
        <v>-27.81121360295754</v>
      </c>
      <c r="DF92" s="203">
        <f t="shared" ref="DF92" ca="1" si="3564">DG92/$Z92</f>
        <v>-4018.7203656273646</v>
      </c>
      <c r="DG92" s="203">
        <f t="shared" ref="DG92" ca="1" si="3565">DH92*CY$4</f>
        <v>-4018.7208880610124</v>
      </c>
      <c r="DH92" s="204">
        <f t="shared" ref="DH92" ca="1" si="3566">IF(CY$6&lt;&gt;"",$O92,$N92)-DD92</f>
        <v>-1.1208510822766637E-3</v>
      </c>
      <c r="DI92" s="205"/>
      <c r="DJ92" s="206">
        <f t="shared" ref="DJ92" ca="1" si="3567">DI92*$X92</f>
        <v>0</v>
      </c>
      <c r="DK92" s="206">
        <f t="shared" ref="DK92" ca="1" si="3568">DJ92*$Z92</f>
        <v>0</v>
      </c>
      <c r="DL92" s="207">
        <f t="shared" ref="DL92" ca="1" si="3569">IFERROR(DK92/CY$4,0)</f>
        <v>0</v>
      </c>
      <c r="DM92" s="391">
        <f t="shared" ref="DM92" si="3570">CY92+DI92</f>
        <v>400</v>
      </c>
      <c r="DN92" s="391">
        <f t="shared" ref="DN92" ca="1" si="3571">DB92+IF($T92 ="",DJ92,0)</f>
        <v>57800</v>
      </c>
      <c r="DO92" s="391">
        <f t="shared" ref="DO92" ca="1" si="3572">DN92*$Z92</f>
        <v>57800.007514000004</v>
      </c>
      <c r="DP92" s="394">
        <f t="shared" ref="DP92" ca="1" si="3573">IFERROR(DO92/CY$4,0)</f>
        <v>1.6120851082276663E-2</v>
      </c>
      <c r="DQ92" s="209" t="str">
        <f t="shared" ref="DQ92" ca="1" si="3574">IF(SUM(DD92,DL92,DP92)&lt;&gt;0,"V","")</f>
        <v>V</v>
      </c>
      <c r="DR92" s="197">
        <f>50+30</f>
        <v>80</v>
      </c>
      <c r="DS92" s="312">
        <f t="shared" ref="DS92" ca="1" si="3575">IFERROR($X92/DT92-1,"")</f>
        <v>8.3716133870816556E-2</v>
      </c>
      <c r="DT92" s="395">
        <v>133.33750000000001</v>
      </c>
      <c r="DU92" s="199">
        <f t="shared" ref="DU92" ca="1" si="3576">DR92*$X92</f>
        <v>11560</v>
      </c>
      <c r="DV92" s="199">
        <f t="shared" ref="DV92" ca="1" si="3577">DU92*$Z92</f>
        <v>11560.001502800002</v>
      </c>
      <c r="DW92" s="216">
        <f t="shared" ref="DW92" ca="1" si="3578">IFERROR(DV92/DR$4,0)</f>
        <v>1.6472874596593915E-2</v>
      </c>
      <c r="DX92" s="202">
        <f t="shared" ref="DX92" ca="1" si="3579">DY92/$X92</f>
        <v>-7.1529693883468806</v>
      </c>
      <c r="DY92" s="203">
        <f t="shared" ref="DY92" ca="1" si="3580">DZ92/$Z92</f>
        <v>-1033.6040766161243</v>
      </c>
      <c r="DZ92" s="203">
        <f t="shared" ref="DZ92" ca="1" si="3581">EA92*DR$4</f>
        <v>-1033.6042109846544</v>
      </c>
      <c r="EA92" s="204">
        <f t="shared" ref="EA92" ca="1" si="3582">IF(DR$6&lt;&gt;"",$O92,$N92)-DW92</f>
        <v>-1.4728745965939156E-3</v>
      </c>
      <c r="EB92" s="205"/>
      <c r="EC92" s="206">
        <f t="shared" ref="EC92" ca="1" si="3583">EB92*$X92</f>
        <v>0</v>
      </c>
      <c r="ED92" s="206">
        <f t="shared" ref="ED92" ca="1" si="3584">EC92*$Z92</f>
        <v>0</v>
      </c>
      <c r="EE92" s="207">
        <f t="shared" ref="EE92" ca="1" si="3585">IFERROR(ED92/DR$4,0)</f>
        <v>0</v>
      </c>
      <c r="EF92" s="391">
        <f t="shared" ref="EF92" si="3586">DR92+EB92</f>
        <v>80</v>
      </c>
      <c r="EG92" s="391">
        <f t="shared" ref="EG92" ca="1" si="3587">DU92+IF($T92 ="",EC92,0)</f>
        <v>11560</v>
      </c>
      <c r="EH92" s="391">
        <f t="shared" ref="EH92" ca="1" si="3588">EG92*$Z92</f>
        <v>11560.001502800002</v>
      </c>
      <c r="EI92" s="394">
        <f t="shared" ref="EI92" ca="1" si="3589">IFERROR(EH92/DR$4,0)</f>
        <v>1.6472874596593915E-2</v>
      </c>
      <c r="EJ92" s="214"/>
      <c r="EK92" s="312" t="str">
        <f t="shared" ref="EK92" ca="1" si="3590">IFERROR($X92/EL92-1,"")</f>
        <v/>
      </c>
      <c r="EL92" s="222"/>
      <c r="EM92" s="199">
        <f t="shared" ref="EM92" ca="1" si="3591">EJ92*$X92</f>
        <v>0</v>
      </c>
      <c r="EN92" s="199">
        <f t="shared" ref="EN92" ca="1" si="3592">EM92*$Z92</f>
        <v>0</v>
      </c>
      <c r="EO92" s="216">
        <f t="shared" ref="EO92" ca="1" si="3593">IFERROR(EN92/EJ$4,0)</f>
        <v>0</v>
      </c>
      <c r="EP92" s="202">
        <f t="shared" ref="EP92" ca="1" si="3594">EQ92/$X92</f>
        <v>73.676275063558151</v>
      </c>
      <c r="EQ92" s="203">
        <f t="shared" ref="EQ92" ca="1" si="3595">ER92/$Z92</f>
        <v>10646.221746684152</v>
      </c>
      <c r="ER92" s="203">
        <f t="shared" ref="ER92" ca="1" si="3596">ES92*EJ$4</f>
        <v>10646.223130692981</v>
      </c>
      <c r="ES92" s="204">
        <f t="shared" ref="ES92" ca="1" si="3597">IF(EJ$6&lt;&gt;"",$O92,$N92)-EO92</f>
        <v>1.4999999999999999E-2</v>
      </c>
      <c r="ET92" s="205"/>
      <c r="EU92" s="206">
        <f t="shared" ref="EU92" ca="1" si="3598">ET92*$X92</f>
        <v>0</v>
      </c>
      <c r="EV92" s="206">
        <f t="shared" ref="EV92" ca="1" si="3599">EU92*$Z92</f>
        <v>0</v>
      </c>
      <c r="EW92" s="207">
        <f t="shared" ref="EW92" ca="1" si="3600">IFERROR(EV92/EJ$4,0)</f>
        <v>0</v>
      </c>
      <c r="EX92" s="391">
        <f t="shared" ref="EX92" si="3601">EJ92+ET92</f>
        <v>0</v>
      </c>
      <c r="EY92" s="391">
        <f t="shared" ref="EY92" ca="1" si="3602">EM92+IF($T92 ="",EU92,0)</f>
        <v>0</v>
      </c>
      <c r="EZ92" s="391">
        <f t="shared" ref="EZ92" ca="1" si="3603">EY92*$Z92</f>
        <v>0</v>
      </c>
      <c r="FA92" s="394">
        <f t="shared" ref="FA92" ca="1" si="3604">IFERROR(EZ92/EJ$4,0)</f>
        <v>0</v>
      </c>
      <c r="FB92" s="212" t="str">
        <f t="shared" ref="FB92" ca="1" si="3605">IF(SUM(EO92,EW92,FA92)&lt;&gt;0,"V","")</f>
        <v/>
      </c>
      <c r="FC92" s="214"/>
      <c r="FD92" s="312" t="str">
        <f t="shared" ref="FD92" ca="1" si="3606">IFERROR($X92/FE92-1,"")</f>
        <v/>
      </c>
      <c r="FE92" s="215"/>
      <c r="FF92" s="199">
        <f t="shared" ref="FF92" ca="1" si="3607">FC92*$X92</f>
        <v>0</v>
      </c>
      <c r="FG92" s="199">
        <f t="shared" ref="FG92" ca="1" si="3608">FF92*$Z92</f>
        <v>0</v>
      </c>
      <c r="FH92" s="216">
        <f t="shared" ref="FH92" ca="1" si="3609">IFERROR(FG92/FC$4,0)</f>
        <v>0</v>
      </c>
      <c r="FI92" s="202">
        <f t="shared" ref="FI92" ca="1" si="3610">FJ92/$X92</f>
        <v>473.11004295462487</v>
      </c>
      <c r="FJ92" s="203">
        <f t="shared" ref="FJ92" ca="1" si="3611">FK92/$Z92</f>
        <v>68364.401206943294</v>
      </c>
      <c r="FK92" s="203">
        <f t="shared" ref="FK92" ca="1" si="3612">FL92*FC$4</f>
        <v>68364.410094315463</v>
      </c>
      <c r="FL92" s="204">
        <f t="shared" ref="FL92" ca="1" si="3613">IF(FC$6&lt;&gt;"",$O92,$N92)-FH92</f>
        <v>1.4999999999999999E-2</v>
      </c>
      <c r="FM92" s="205"/>
      <c r="FN92" s="206">
        <f t="shared" ref="FN92" ca="1" si="3614">FM92*$X92</f>
        <v>0</v>
      </c>
      <c r="FO92" s="206">
        <f t="shared" ref="FO92" ca="1" si="3615">FN92*$Z92</f>
        <v>0</v>
      </c>
      <c r="FP92" s="207">
        <f t="shared" ref="FP92" ca="1" si="3616">IFERROR(FO92/FC$4,0)</f>
        <v>0</v>
      </c>
      <c r="FQ92" s="391">
        <f t="shared" ref="FQ92" si="3617">FC92+FM92</f>
        <v>0</v>
      </c>
      <c r="FR92" s="391">
        <f t="shared" ref="FR92" ca="1" si="3618">FF92+IF($T92 ="",FN92,0)</f>
        <v>0</v>
      </c>
      <c r="FS92" s="391">
        <f t="shared" ref="FS92" ca="1" si="3619">FR92*$Z92</f>
        <v>0</v>
      </c>
      <c r="FT92" s="394">
        <f t="shared" ref="FT92" ca="1" si="3620">IFERROR(FS92/FC$4,0)</f>
        <v>0</v>
      </c>
      <c r="FU92" s="209" t="str">
        <f t="shared" ref="FU92" ca="1" si="3621">IF(SUM(FH92,FP92,FT92)&lt;&gt;0,"V","")</f>
        <v/>
      </c>
    </row>
    <row r="93" spans="1:177" outlineLevel="2" x14ac:dyDescent="0.2">
      <c r="A93" s="366"/>
      <c r="B93" s="366"/>
      <c r="C93" s="367" t="str">
        <f t="shared" ca="1" si="2571"/>
        <v>CH0126881561:CHF</v>
      </c>
      <c r="D93" s="368" t="str">
        <f t="shared" ca="1" si="2572"/>
        <v>CH0126881561</v>
      </c>
      <c r="E93" s="369" t="str">
        <f t="shared" ca="1" si="2572"/>
        <v>12688156</v>
      </c>
      <c r="F93" s="390" t="s">
        <v>474</v>
      </c>
      <c r="G93" s="414"/>
      <c r="H93" s="1713" t="str">
        <f t="shared" ca="1" si="2530"/>
        <v></v>
      </c>
      <c r="I93" s="1683" t="str">
        <f t="shared" ca="1" si="2573"/>
        <v>i</v>
      </c>
      <c r="J93" s="1713" t="str">
        <f t="shared" ca="1" si="2574"/>
        <v></v>
      </c>
      <c r="K93" s="1716" t="str">
        <f t="shared" ca="1" si="2574"/>
        <v></v>
      </c>
      <c r="L93" s="1717" t="str">
        <f t="shared" ca="1" si="2575"/>
        <v></v>
      </c>
      <c r="M93" s="366" t="str">
        <f t="shared" ca="1" si="2576"/>
        <v>Unit</v>
      </c>
      <c r="N93" s="372"/>
      <c r="O93" s="372"/>
      <c r="P93" s="373">
        <f t="shared" ca="1" si="2532"/>
        <v>0</v>
      </c>
      <c r="Q93" s="391">
        <f t="array" aca="1" ref="Q93" ca="1">SUM(IF($AA$15:$FT$15="I_pos",AA93:FT93))</f>
        <v>150</v>
      </c>
      <c r="R93" s="391">
        <f t="array" aca="1" ref="R93" ca="1">SUM(IF($AA$15:$FT$15="P_Pos",AA93:FT93))</f>
        <v>-150</v>
      </c>
      <c r="S93" s="367"/>
      <c r="T93" s="391"/>
      <c r="U93" s="375">
        <f t="shared" ca="1" si="2577"/>
        <v>-4.1044776119403006E-2</v>
      </c>
      <c r="V93" s="391">
        <f t="array" aca="1" ref="V93" ca="1">SUM(IF($AA$15:$FT$15="O_Pos",AA93:FT93))</f>
        <v>0</v>
      </c>
      <c r="W93" s="367" t="str">
        <f t="shared" ca="1" si="3249"/>
        <v>CHF</v>
      </c>
      <c r="X93" s="392">
        <f t="shared" ca="1" si="3250"/>
        <v>128.5</v>
      </c>
      <c r="Y93" s="393">
        <f t="shared" ca="1" si="3250"/>
        <v>4.6751130000000002E-2</v>
      </c>
      <c r="Z93" s="378">
        <f t="shared" ca="1" si="2836"/>
        <v>1.0000001300000001</v>
      </c>
      <c r="AA93" s="214">
        <f>75+-75</f>
        <v>0</v>
      </c>
      <c r="AB93" s="312" t="str">
        <f t="shared" ca="1" si="2837"/>
        <v/>
      </c>
      <c r="AC93" s="215"/>
      <c r="AD93" s="199">
        <f t="shared" ca="1" si="2838"/>
        <v>0</v>
      </c>
      <c r="AE93" s="199">
        <f t="shared" ca="1" si="2839"/>
        <v>0</v>
      </c>
      <c r="AF93" s="216">
        <f t="shared" ca="1" si="2506"/>
        <v>0</v>
      </c>
      <c r="AG93" s="202">
        <f t="shared" ca="1" si="2840"/>
        <v>0</v>
      </c>
      <c r="AH93" s="203">
        <f t="shared" ca="1" si="2841"/>
        <v>0</v>
      </c>
      <c r="AI93" s="203">
        <f t="shared" ca="1" si="2842"/>
        <v>0</v>
      </c>
      <c r="AJ93" s="204">
        <f t="shared" ca="1" si="2535"/>
        <v>0</v>
      </c>
      <c r="AK93" s="205"/>
      <c r="AL93" s="206">
        <f t="shared" ca="1" si="2843"/>
        <v>0</v>
      </c>
      <c r="AM93" s="206">
        <f t="shared" ca="1" si="2844"/>
        <v>0</v>
      </c>
      <c r="AN93" s="207">
        <f t="shared" ca="1" si="2507"/>
        <v>0</v>
      </c>
      <c r="AO93" s="391">
        <f t="shared" si="3365"/>
        <v>0</v>
      </c>
      <c r="AP93" s="391">
        <f t="shared" ca="1" si="2846"/>
        <v>0</v>
      </c>
      <c r="AQ93" s="391">
        <f t="shared" ca="1" si="2847"/>
        <v>0</v>
      </c>
      <c r="AR93" s="394">
        <f t="shared" ca="1" si="2520"/>
        <v>0</v>
      </c>
      <c r="AS93" s="209" t="str">
        <f t="shared" ca="1" si="3165"/>
        <v/>
      </c>
      <c r="AT93" s="214">
        <f>230+-230</f>
        <v>0</v>
      </c>
      <c r="AU93" s="312" t="str">
        <f t="shared" ca="1" si="2848"/>
        <v/>
      </c>
      <c r="AV93" s="215"/>
      <c r="AW93" s="199">
        <f t="shared" ca="1" si="2849"/>
        <v>0</v>
      </c>
      <c r="AX93" s="199">
        <f t="shared" ca="1" si="2850"/>
        <v>0</v>
      </c>
      <c r="AY93" s="216">
        <f t="shared" ca="1" si="2508"/>
        <v>0</v>
      </c>
      <c r="AZ93" s="202">
        <f t="shared" ca="1" si="2851"/>
        <v>0</v>
      </c>
      <c r="BA93" s="203">
        <f t="shared" ca="1" si="2852"/>
        <v>0</v>
      </c>
      <c r="BB93" s="203">
        <f t="shared" ca="1" si="2853"/>
        <v>0</v>
      </c>
      <c r="BC93" s="204">
        <f t="shared" ca="1" si="2537"/>
        <v>0</v>
      </c>
      <c r="BD93" s="205"/>
      <c r="BE93" s="206">
        <f t="shared" ca="1" si="2854"/>
        <v>0</v>
      </c>
      <c r="BF93" s="206">
        <f t="shared" ca="1" si="2855"/>
        <v>0</v>
      </c>
      <c r="BG93" s="207">
        <f t="shared" ca="1" si="2509"/>
        <v>0</v>
      </c>
      <c r="BH93" s="391">
        <f t="shared" si="3413"/>
        <v>0</v>
      </c>
      <c r="BI93" s="391">
        <f t="shared" ca="1" si="2857"/>
        <v>0</v>
      </c>
      <c r="BJ93" s="391">
        <f t="shared" ca="1" si="2858"/>
        <v>0</v>
      </c>
      <c r="BK93" s="394">
        <f t="shared" ca="1" si="2522"/>
        <v>0</v>
      </c>
      <c r="BL93" s="211" t="str">
        <f t="shared" ca="1" si="3166"/>
        <v/>
      </c>
      <c r="BM93" s="214">
        <f>40+-40</f>
        <v>0</v>
      </c>
      <c r="BN93" s="312" t="str">
        <f t="shared" ca="1" si="2859"/>
        <v/>
      </c>
      <c r="BO93" s="215"/>
      <c r="BP93" s="199">
        <f t="shared" ca="1" si="3419"/>
        <v>0</v>
      </c>
      <c r="BQ93" s="199">
        <f t="shared" ca="1" si="2861"/>
        <v>0</v>
      </c>
      <c r="BR93" s="216">
        <f t="shared" ca="1" si="3421"/>
        <v>0</v>
      </c>
      <c r="BS93" s="202">
        <f t="shared" ca="1" si="2863"/>
        <v>0</v>
      </c>
      <c r="BT93" s="203">
        <f t="shared" ca="1" si="2864"/>
        <v>0</v>
      </c>
      <c r="BU93" s="203">
        <f t="shared" ca="1" si="3424"/>
        <v>0</v>
      </c>
      <c r="BV93" s="204">
        <f t="shared" ca="1" si="2541"/>
        <v>0</v>
      </c>
      <c r="BW93" s="205"/>
      <c r="BX93" s="206">
        <f t="shared" ca="1" si="2866"/>
        <v>0</v>
      </c>
      <c r="BY93" s="206">
        <f t="shared" ca="1" si="2867"/>
        <v>0</v>
      </c>
      <c r="BZ93" s="207">
        <f t="shared" ca="1" si="3427"/>
        <v>0</v>
      </c>
      <c r="CA93" s="391">
        <f t="shared" si="3428"/>
        <v>0</v>
      </c>
      <c r="CB93" s="391">
        <f t="shared" ca="1" si="2870"/>
        <v>0</v>
      </c>
      <c r="CC93" s="391">
        <f t="shared" ca="1" si="2871"/>
        <v>0</v>
      </c>
      <c r="CD93" s="394">
        <f t="shared" ca="1" si="3431"/>
        <v>0</v>
      </c>
      <c r="CE93" s="212" t="str">
        <f t="shared" ca="1" si="3167"/>
        <v/>
      </c>
      <c r="CF93" s="214">
        <f>100+-100</f>
        <v>0</v>
      </c>
      <c r="CG93" s="312" t="str">
        <f t="shared" ca="1" si="2872"/>
        <v/>
      </c>
      <c r="CH93" s="215"/>
      <c r="CI93" s="199">
        <f t="shared" ca="1" si="2873"/>
        <v>0</v>
      </c>
      <c r="CJ93" s="199">
        <f t="shared" ca="1" si="2874"/>
        <v>0</v>
      </c>
      <c r="CK93" s="216">
        <f t="shared" ca="1" si="8"/>
        <v>0</v>
      </c>
      <c r="CL93" s="202">
        <f t="shared" ca="1" si="2875"/>
        <v>0</v>
      </c>
      <c r="CM93" s="203">
        <f t="shared" ca="1" si="2876"/>
        <v>0</v>
      </c>
      <c r="CN93" s="203">
        <f t="shared" ca="1" si="2877"/>
        <v>0</v>
      </c>
      <c r="CO93" s="204">
        <f t="shared" ca="1" si="2543"/>
        <v>0</v>
      </c>
      <c r="CP93" s="205"/>
      <c r="CQ93" s="206">
        <f t="shared" ca="1" si="2878"/>
        <v>0</v>
      </c>
      <c r="CR93" s="206">
        <f t="shared" ca="1" si="2879"/>
        <v>0</v>
      </c>
      <c r="CS93" s="207">
        <f t="shared" ca="1" si="9"/>
        <v>0</v>
      </c>
      <c r="CT93" s="391">
        <f t="shared" si="3443"/>
        <v>0</v>
      </c>
      <c r="CU93" s="391">
        <f t="shared" ca="1" si="2881"/>
        <v>0</v>
      </c>
      <c r="CV93" s="391">
        <f t="shared" ca="1" si="2882"/>
        <v>0</v>
      </c>
      <c r="CW93" s="394">
        <f t="shared" ca="1" si="1996"/>
        <v>0</v>
      </c>
      <c r="CX93" s="211" t="str">
        <f t="shared" ca="1" si="3168"/>
        <v/>
      </c>
      <c r="CY93" s="197">
        <f>520+-520</f>
        <v>0</v>
      </c>
      <c r="CZ93" s="312" t="str">
        <f t="shared" ca="1" si="2883"/>
        <v/>
      </c>
      <c r="DA93" s="395"/>
      <c r="DB93" s="199">
        <f t="shared" ca="1" si="2884"/>
        <v>0</v>
      </c>
      <c r="DC93" s="199">
        <f t="shared" ca="1" si="2885"/>
        <v>0</v>
      </c>
      <c r="DD93" s="216">
        <f t="shared" ca="1" si="2886"/>
        <v>0</v>
      </c>
      <c r="DE93" s="202">
        <f t="shared" ca="1" si="2887"/>
        <v>0</v>
      </c>
      <c r="DF93" s="203">
        <f t="shared" ca="1" si="2888"/>
        <v>0</v>
      </c>
      <c r="DG93" s="203">
        <f t="shared" ca="1" si="2889"/>
        <v>0</v>
      </c>
      <c r="DH93" s="204">
        <f t="shared" ca="1" si="2545"/>
        <v>0</v>
      </c>
      <c r="DI93" s="205"/>
      <c r="DJ93" s="206">
        <f t="shared" ca="1" si="2890"/>
        <v>0</v>
      </c>
      <c r="DK93" s="206">
        <f t="shared" ca="1" si="2891"/>
        <v>0</v>
      </c>
      <c r="DL93" s="207">
        <f t="shared" ca="1" si="2892"/>
        <v>0</v>
      </c>
      <c r="DM93" s="391">
        <f t="shared" si="3458"/>
        <v>0</v>
      </c>
      <c r="DN93" s="391">
        <f t="shared" ca="1" si="2894"/>
        <v>0</v>
      </c>
      <c r="DO93" s="391">
        <f t="shared" ca="1" si="3169"/>
        <v>0</v>
      </c>
      <c r="DP93" s="394">
        <f t="shared" ca="1" si="3170"/>
        <v>0</v>
      </c>
      <c r="DQ93" s="209" t="str">
        <f t="shared" ca="1" si="3171"/>
        <v/>
      </c>
      <c r="DR93" s="197"/>
      <c r="DS93" s="312" t="str">
        <f t="shared" ca="1" si="2896"/>
        <v/>
      </c>
      <c r="DT93" s="395"/>
      <c r="DU93" s="199">
        <f t="shared" ca="1" si="3463"/>
        <v>0</v>
      </c>
      <c r="DV93" s="199">
        <f t="shared" ca="1" si="2898"/>
        <v>0</v>
      </c>
      <c r="DW93" s="216">
        <f t="shared" ca="1" si="2899"/>
        <v>0</v>
      </c>
      <c r="DX93" s="202">
        <f t="shared" ca="1" si="2900"/>
        <v>0</v>
      </c>
      <c r="DY93" s="203">
        <f t="shared" ca="1" si="2901"/>
        <v>0</v>
      </c>
      <c r="DZ93" s="203">
        <f t="shared" ca="1" si="2902"/>
        <v>0</v>
      </c>
      <c r="EA93" s="204">
        <f t="shared" ca="1" si="2546"/>
        <v>0</v>
      </c>
      <c r="EB93" s="205"/>
      <c r="EC93" s="206">
        <f t="shared" ca="1" si="2903"/>
        <v>0</v>
      </c>
      <c r="ED93" s="206">
        <f t="shared" ca="1" si="2904"/>
        <v>0</v>
      </c>
      <c r="EE93" s="207">
        <f t="shared" ca="1" si="2905"/>
        <v>0</v>
      </c>
      <c r="EF93" s="391">
        <f t="shared" si="3224"/>
        <v>0</v>
      </c>
      <c r="EG93" s="391">
        <f t="shared" ca="1" si="2907"/>
        <v>0</v>
      </c>
      <c r="EH93" s="391">
        <f t="shared" ca="1" si="2908"/>
        <v>0</v>
      </c>
      <c r="EI93" s="394">
        <f t="shared" ca="1" si="2909"/>
        <v>0</v>
      </c>
      <c r="EJ93" s="214">
        <v>150</v>
      </c>
      <c r="EK93" s="312">
        <f t="shared" ca="1" si="2910"/>
        <v>0.39250108365843084</v>
      </c>
      <c r="EL93" s="222">
        <v>92.28</v>
      </c>
      <c r="EM93" s="199">
        <f t="shared" ca="1" si="2911"/>
        <v>19275</v>
      </c>
      <c r="EN93" s="199">
        <f t="shared" ca="1" si="2912"/>
        <v>19275.002505750002</v>
      </c>
      <c r="EO93" s="216">
        <f t="shared" ca="1" si="2514"/>
        <v>2.7157521877660514E-2</v>
      </c>
      <c r="EP93" s="202">
        <f t="shared" ca="1" si="2913"/>
        <v>-150</v>
      </c>
      <c r="EQ93" s="203">
        <f t="shared" ca="1" si="2914"/>
        <v>-19275</v>
      </c>
      <c r="ER93" s="203">
        <f t="shared" ca="1" si="2915"/>
        <v>-19275.002505750002</v>
      </c>
      <c r="ES93" s="204">
        <f t="shared" ca="1" si="2547"/>
        <v>-2.7157521877660514E-2</v>
      </c>
      <c r="ET93" s="205"/>
      <c r="EU93" s="206">
        <f t="shared" ca="1" si="2916"/>
        <v>0</v>
      </c>
      <c r="EV93" s="206">
        <f t="shared" ca="1" si="2917"/>
        <v>0</v>
      </c>
      <c r="EW93" s="207">
        <f t="shared" ca="1" si="2515"/>
        <v>0</v>
      </c>
      <c r="EX93" s="391">
        <f t="shared" si="3474"/>
        <v>150</v>
      </c>
      <c r="EY93" s="391">
        <f t="shared" ca="1" si="2919"/>
        <v>19275</v>
      </c>
      <c r="EZ93" s="391">
        <f t="shared" ca="1" si="2920"/>
        <v>19275.002505750002</v>
      </c>
      <c r="FA93" s="394">
        <f t="shared" ca="1" si="2526"/>
        <v>2.7157521877660514E-2</v>
      </c>
      <c r="FB93" s="212" t="str">
        <f t="shared" ca="1" si="3172"/>
        <v>V</v>
      </c>
      <c r="FC93" s="214"/>
      <c r="FD93" s="312" t="str">
        <f t="shared" ca="1" si="2921"/>
        <v/>
      </c>
      <c r="FE93" s="215"/>
      <c r="FF93" s="199">
        <f t="shared" ca="1" si="2922"/>
        <v>0</v>
      </c>
      <c r="FG93" s="199">
        <f t="shared" ca="1" si="2923"/>
        <v>0</v>
      </c>
      <c r="FH93" s="216">
        <f t="shared" ca="1" si="2516"/>
        <v>0</v>
      </c>
      <c r="FI93" s="202">
        <f t="shared" ca="1" si="2924"/>
        <v>0</v>
      </c>
      <c r="FJ93" s="203">
        <f t="shared" ca="1" si="2925"/>
        <v>0</v>
      </c>
      <c r="FK93" s="203">
        <f t="shared" ca="1" si="2926"/>
        <v>0</v>
      </c>
      <c r="FL93" s="204">
        <f t="shared" ca="1" si="2549"/>
        <v>0</v>
      </c>
      <c r="FM93" s="205"/>
      <c r="FN93" s="206">
        <f t="shared" ca="1" si="2927"/>
        <v>0</v>
      </c>
      <c r="FO93" s="206">
        <f t="shared" ca="1" si="2928"/>
        <v>0</v>
      </c>
      <c r="FP93" s="207">
        <f t="shared" ca="1" si="2517"/>
        <v>0</v>
      </c>
      <c r="FQ93" s="391">
        <f t="shared" si="3489"/>
        <v>0</v>
      </c>
      <c r="FR93" s="391">
        <f t="shared" ca="1" si="2930"/>
        <v>0</v>
      </c>
      <c r="FS93" s="391">
        <f t="shared" ca="1" si="2931"/>
        <v>0</v>
      </c>
      <c r="FT93" s="394">
        <f t="shared" ca="1" si="2528"/>
        <v>0</v>
      </c>
      <c r="FU93" s="209" t="str">
        <f t="shared" ca="1" si="3173"/>
        <v/>
      </c>
    </row>
    <row r="94" spans="1:177" outlineLevel="2" x14ac:dyDescent="0.2">
      <c r="A94" s="366"/>
      <c r="B94" s="366"/>
      <c r="C94" s="367" t="str">
        <f t="shared" ca="1" si="2571"/>
        <v>CH0017142719:CHF</v>
      </c>
      <c r="D94" s="368" t="str">
        <f t="shared" ca="1" si="2572"/>
        <v>CH0017142719</v>
      </c>
      <c r="E94" s="369" t="str">
        <f t="shared" ca="1" si="2572"/>
        <v>1714271</v>
      </c>
      <c r="F94" s="390" t="s">
        <v>406</v>
      </c>
      <c r="G94" s="371"/>
      <c r="H94" s="1713" t="str">
        <f t="shared" ca="1" si="2530"/>
        <v></v>
      </c>
      <c r="I94" s="1683" t="str">
        <f t="shared" ca="1" si="2573"/>
        <v>i</v>
      </c>
      <c r="J94" s="1713" t="str">
        <f t="shared" ca="1" si="2574"/>
        <v></v>
      </c>
      <c r="K94" s="1716" t="str">
        <f t="shared" ca="1" si="2574"/>
        <v></v>
      </c>
      <c r="L94" s="1717" t="str">
        <f t="shared" ca="1" si="2575"/>
        <v></v>
      </c>
      <c r="M94" s="366" t="str">
        <f t="shared" ca="1" si="2576"/>
        <v>Unit</v>
      </c>
      <c r="N94" s="372"/>
      <c r="O94" s="372"/>
      <c r="P94" s="373">
        <f t="shared" ca="1" si="2532"/>
        <v>0</v>
      </c>
      <c r="Q94" s="391">
        <f t="array" aca="1" ref="Q94" ca="1">SUM(IF($AA$15:$FT$15="I_pos",AA94:FT94))</f>
        <v>0</v>
      </c>
      <c r="R94" s="391">
        <f t="array" aca="1" ref="R94" ca="1">SUM(IF($AA$15:$FT$15="P_Pos",AA94:FT94))</f>
        <v>0</v>
      </c>
      <c r="S94" s="367"/>
      <c r="T94" s="391"/>
      <c r="U94" s="375">
        <f t="shared" ca="1" si="2577"/>
        <v>-3.0810734062189499E-2</v>
      </c>
      <c r="V94" s="391">
        <f t="array" aca="1" ref="V94" ca="1">SUM(IF($AA$15:$FT$15="O_Pos",AA94:FT94))</f>
        <v>0</v>
      </c>
      <c r="W94" s="367" t="str">
        <f t="shared" ref="W94" ca="1" si="3622">OFFSET(Origine,MATCH($F94,Descrizioni,0),MATCH(W$15,Intestazioni,0)-1,1,1)</f>
        <v>CHF</v>
      </c>
      <c r="X94" s="392">
        <f t="shared" ref="X94" ca="1" si="3623">_xlfn.NUMBERVALUE(OFFSET(Origine,MATCH($F94,Descrizioni,0),MATCH(X$15,Intestazioni,0)-1,1,1))</f>
        <v>136.52000000000001</v>
      </c>
      <c r="Y94" s="393">
        <f t="shared" ca="1" si="3250"/>
        <v>0</v>
      </c>
      <c r="Z94" s="378">
        <f t="shared" ca="1" si="2836"/>
        <v>1.0000001300000001</v>
      </c>
      <c r="AA94" s="214">
        <f>125+-125+105+105+-130+-80</f>
        <v>0</v>
      </c>
      <c r="AB94" s="312" t="str">
        <f t="shared" ca="1" si="2837"/>
        <v/>
      </c>
      <c r="AC94" s="215"/>
      <c r="AD94" s="199">
        <f t="shared" ca="1" si="2838"/>
        <v>0</v>
      </c>
      <c r="AE94" s="199">
        <f t="shared" ca="1" si="2839"/>
        <v>0</v>
      </c>
      <c r="AF94" s="216">
        <f t="shared" ca="1" si="2506"/>
        <v>0</v>
      </c>
      <c r="AG94" s="202">
        <f t="shared" ca="1" si="2840"/>
        <v>0</v>
      </c>
      <c r="AH94" s="203">
        <f t="shared" ca="1" si="2841"/>
        <v>0</v>
      </c>
      <c r="AI94" s="203">
        <f t="shared" ca="1" si="2842"/>
        <v>0</v>
      </c>
      <c r="AJ94" s="204">
        <f t="shared" ca="1" si="2535"/>
        <v>0</v>
      </c>
      <c r="AK94" s="205"/>
      <c r="AL94" s="206">
        <f t="shared" ca="1" si="2843"/>
        <v>0</v>
      </c>
      <c r="AM94" s="206">
        <f t="shared" ca="1" si="2844"/>
        <v>0</v>
      </c>
      <c r="AN94" s="207">
        <f t="shared" ca="1" si="2507"/>
        <v>0</v>
      </c>
      <c r="AO94" s="391">
        <f t="shared" si="3365"/>
        <v>0</v>
      </c>
      <c r="AP94" s="391">
        <f t="shared" ca="1" si="2846"/>
        <v>0</v>
      </c>
      <c r="AQ94" s="391">
        <f t="shared" ca="1" si="2847"/>
        <v>0</v>
      </c>
      <c r="AR94" s="394">
        <f t="shared" ca="1" si="2520"/>
        <v>0</v>
      </c>
      <c r="AS94" s="209" t="str">
        <f t="shared" ca="1" si="3165"/>
        <v/>
      </c>
      <c r="AT94" s="214">
        <f>520+-320+120+310+-380+-250</f>
        <v>0</v>
      </c>
      <c r="AU94" s="312" t="str">
        <f t="shared" ca="1" si="2848"/>
        <v/>
      </c>
      <c r="AV94" s="215"/>
      <c r="AW94" s="199">
        <f t="shared" ca="1" si="2849"/>
        <v>0</v>
      </c>
      <c r="AX94" s="199">
        <f t="shared" ca="1" si="2850"/>
        <v>0</v>
      </c>
      <c r="AY94" s="216">
        <f t="shared" ca="1" si="2508"/>
        <v>0</v>
      </c>
      <c r="AZ94" s="202">
        <f t="shared" ca="1" si="2851"/>
        <v>0</v>
      </c>
      <c r="BA94" s="203">
        <f t="shared" ca="1" si="2852"/>
        <v>0</v>
      </c>
      <c r="BB94" s="203">
        <f t="shared" ca="1" si="2853"/>
        <v>0</v>
      </c>
      <c r="BC94" s="204">
        <f t="shared" ca="1" si="2537"/>
        <v>0</v>
      </c>
      <c r="BD94" s="205"/>
      <c r="BE94" s="206">
        <f t="shared" ca="1" si="2854"/>
        <v>0</v>
      </c>
      <c r="BF94" s="206">
        <f t="shared" ca="1" si="2855"/>
        <v>0</v>
      </c>
      <c r="BG94" s="207">
        <f t="shared" ca="1" si="2509"/>
        <v>0</v>
      </c>
      <c r="BH94" s="391">
        <f>AT94+BD94</f>
        <v>0</v>
      </c>
      <c r="BI94" s="391">
        <f t="shared" ca="1" si="2857"/>
        <v>0</v>
      </c>
      <c r="BJ94" s="391">
        <f t="shared" ca="1" si="2858"/>
        <v>0</v>
      </c>
      <c r="BK94" s="394">
        <f t="shared" ca="1" si="2522"/>
        <v>0</v>
      </c>
      <c r="BL94" s="211" t="str">
        <f t="shared" ca="1" si="3166"/>
        <v/>
      </c>
      <c r="BM94" s="214">
        <f>85+-85+115+40+-110+-45</f>
        <v>0</v>
      </c>
      <c r="BN94" s="312" t="str">
        <f t="shared" ca="1" si="2859"/>
        <v/>
      </c>
      <c r="BO94" s="215"/>
      <c r="BP94" s="199">
        <f ca="1">BM94*$X94</f>
        <v>0</v>
      </c>
      <c r="BQ94" s="199">
        <f t="shared" ca="1" si="2861"/>
        <v>0</v>
      </c>
      <c r="BR94" s="216">
        <f ca="1">IFERROR(BQ94/BM$4,0)</f>
        <v>0</v>
      </c>
      <c r="BS94" s="202">
        <f t="shared" ca="1" si="2863"/>
        <v>0</v>
      </c>
      <c r="BT94" s="203">
        <f t="shared" ca="1" si="2864"/>
        <v>0</v>
      </c>
      <c r="BU94" s="203">
        <f ca="1">BV94*BM$4</f>
        <v>0</v>
      </c>
      <c r="BV94" s="204">
        <f t="shared" ca="1" si="2541"/>
        <v>0</v>
      </c>
      <c r="BW94" s="205"/>
      <c r="BX94" s="206">
        <f t="shared" ca="1" si="2866"/>
        <v>0</v>
      </c>
      <c r="BY94" s="206">
        <f t="shared" ca="1" si="2867"/>
        <v>0</v>
      </c>
      <c r="BZ94" s="207">
        <f ca="1">IFERROR(BY94/BM$4,0)</f>
        <v>0</v>
      </c>
      <c r="CA94" s="391">
        <f>BM94+BW94</f>
        <v>0</v>
      </c>
      <c r="CB94" s="391">
        <f t="shared" ca="1" si="2870"/>
        <v>0</v>
      </c>
      <c r="CC94" s="391">
        <f t="shared" ca="1" si="2871"/>
        <v>0</v>
      </c>
      <c r="CD94" s="394">
        <f ca="1">IFERROR(CC94/BM$4,0)</f>
        <v>0</v>
      </c>
      <c r="CE94" s="212" t="str">
        <f t="shared" ca="1" si="3167"/>
        <v/>
      </c>
      <c r="CF94" s="214">
        <f>200+-200+160+160+-190+-130</f>
        <v>0</v>
      </c>
      <c r="CG94" s="312" t="str">
        <f t="shared" ca="1" si="2872"/>
        <v/>
      </c>
      <c r="CH94" s="215"/>
      <c r="CI94" s="199">
        <f t="shared" ca="1" si="2873"/>
        <v>0</v>
      </c>
      <c r="CJ94" s="199">
        <f t="shared" ca="1" si="2874"/>
        <v>0</v>
      </c>
      <c r="CK94" s="216">
        <f t="shared" ca="1" si="8"/>
        <v>0</v>
      </c>
      <c r="CL94" s="202">
        <f t="shared" ca="1" si="2875"/>
        <v>0</v>
      </c>
      <c r="CM94" s="203">
        <f t="shared" ca="1" si="2876"/>
        <v>0</v>
      </c>
      <c r="CN94" s="203">
        <f t="shared" ca="1" si="2877"/>
        <v>0</v>
      </c>
      <c r="CO94" s="204">
        <f t="shared" ca="1" si="2543"/>
        <v>0</v>
      </c>
      <c r="CP94" s="205"/>
      <c r="CQ94" s="206">
        <f t="shared" ca="1" si="2878"/>
        <v>0</v>
      </c>
      <c r="CR94" s="206">
        <f t="shared" ca="1" si="2879"/>
        <v>0</v>
      </c>
      <c r="CS94" s="207">
        <f t="shared" ca="1" si="9"/>
        <v>0</v>
      </c>
      <c r="CT94" s="391">
        <f>CF94+CP94</f>
        <v>0</v>
      </c>
      <c r="CU94" s="391">
        <f t="shared" ca="1" si="2881"/>
        <v>0</v>
      </c>
      <c r="CV94" s="391">
        <f t="shared" ca="1" si="2882"/>
        <v>0</v>
      </c>
      <c r="CW94" s="394">
        <f t="shared" ca="1" si="1996"/>
        <v>0</v>
      </c>
      <c r="CX94" s="211" t="str">
        <f t="shared" ca="1" si="3168"/>
        <v/>
      </c>
      <c r="CY94" s="197">
        <f>300+-300+1400+-870+-530</f>
        <v>0</v>
      </c>
      <c r="CZ94" s="312" t="str">
        <f t="shared" ca="1" si="2883"/>
        <v/>
      </c>
      <c r="DA94" s="395"/>
      <c r="DB94" s="199">
        <f t="shared" ca="1" si="2884"/>
        <v>0</v>
      </c>
      <c r="DC94" s="199">
        <f t="shared" ca="1" si="2885"/>
        <v>0</v>
      </c>
      <c r="DD94" s="216">
        <f t="shared" ca="1" si="2886"/>
        <v>0</v>
      </c>
      <c r="DE94" s="202">
        <f t="shared" ca="1" si="2887"/>
        <v>0</v>
      </c>
      <c r="DF94" s="203">
        <f t="shared" ca="1" si="2888"/>
        <v>0</v>
      </c>
      <c r="DG94" s="203">
        <f t="shared" ca="1" si="2889"/>
        <v>0</v>
      </c>
      <c r="DH94" s="204">
        <f t="shared" ca="1" si="2545"/>
        <v>0</v>
      </c>
      <c r="DI94" s="205"/>
      <c r="DJ94" s="206">
        <f t="shared" ca="1" si="2890"/>
        <v>0</v>
      </c>
      <c r="DK94" s="206">
        <f t="shared" ca="1" si="2891"/>
        <v>0</v>
      </c>
      <c r="DL94" s="207">
        <f t="shared" ca="1" si="2892"/>
        <v>0</v>
      </c>
      <c r="DM94" s="391">
        <f>CY94+DI94</f>
        <v>0</v>
      </c>
      <c r="DN94" s="391">
        <f t="shared" ca="1" si="2894"/>
        <v>0</v>
      </c>
      <c r="DO94" s="391">
        <f t="shared" ca="1" si="3169"/>
        <v>0</v>
      </c>
      <c r="DP94" s="394">
        <f t="shared" ca="1" si="3170"/>
        <v>0</v>
      </c>
      <c r="DQ94" s="209" t="str">
        <f t="shared" ca="1" si="3171"/>
        <v/>
      </c>
      <c r="DR94" s="197"/>
      <c r="DS94" s="312" t="str">
        <f t="shared" ref="DS94:DS96" ca="1" si="3624">IFERROR($X94/DT94-1,"")</f>
        <v/>
      </c>
      <c r="DT94" s="395"/>
      <c r="DU94" s="199">
        <f t="shared" ref="DU94:DU96" ca="1" si="3625">DR94*$X94</f>
        <v>0</v>
      </c>
      <c r="DV94" s="199">
        <f t="shared" ref="DV94:DV96" ca="1" si="3626">DU94*$Z94</f>
        <v>0</v>
      </c>
      <c r="DW94" s="216">
        <f t="shared" ref="DW94:DW125" ca="1" si="3627">IFERROR(DV94/DR$4,0)</f>
        <v>0</v>
      </c>
      <c r="DX94" s="202">
        <f t="shared" ref="DX94:DX96" ca="1" si="3628">DY94/$X94</f>
        <v>0</v>
      </c>
      <c r="DY94" s="203">
        <f t="shared" ref="DY94:DY96" ca="1" si="3629">DZ94/$Z94</f>
        <v>0</v>
      </c>
      <c r="DZ94" s="203">
        <f t="shared" ref="DZ94:DZ96" ca="1" si="3630">EA94*DR$4</f>
        <v>0</v>
      </c>
      <c r="EA94" s="204">
        <f t="shared" ca="1" si="2546"/>
        <v>0</v>
      </c>
      <c r="EB94" s="205"/>
      <c r="EC94" s="206">
        <f t="shared" ref="EC94:EC96" ca="1" si="3631">EB94*$X94</f>
        <v>0</v>
      </c>
      <c r="ED94" s="206">
        <f t="shared" ref="ED94:ED96" ca="1" si="3632">EC94*$Z94</f>
        <v>0</v>
      </c>
      <c r="EE94" s="207">
        <f t="shared" ref="EE94:EE125" ca="1" si="3633">IFERROR(ED94/DR$4,0)</f>
        <v>0</v>
      </c>
      <c r="EF94" s="391">
        <f>DR94+EB94</f>
        <v>0</v>
      </c>
      <c r="EG94" s="391">
        <f t="shared" ref="EG94:EG96" ca="1" si="3634">DU94+IF($T94 ="",EC94,0)</f>
        <v>0</v>
      </c>
      <c r="EH94" s="391">
        <f t="shared" ref="EH94:EH96" ca="1" si="3635">EG94*$Z94</f>
        <v>0</v>
      </c>
      <c r="EI94" s="394">
        <f t="shared" ref="EI94:EI125" ca="1" si="3636">IFERROR(EH94/DR$4,0)</f>
        <v>0</v>
      </c>
      <c r="EJ94" s="214"/>
      <c r="EK94" s="312" t="str">
        <f t="shared" ca="1" si="2910"/>
        <v/>
      </c>
      <c r="EL94" s="222"/>
      <c r="EM94" s="199">
        <f t="shared" ca="1" si="2911"/>
        <v>0</v>
      </c>
      <c r="EN94" s="199">
        <f t="shared" ca="1" si="2912"/>
        <v>0</v>
      </c>
      <c r="EO94" s="216">
        <f t="shared" ca="1" si="2514"/>
        <v>0</v>
      </c>
      <c r="EP94" s="202">
        <f t="shared" ca="1" si="2913"/>
        <v>0</v>
      </c>
      <c r="EQ94" s="203">
        <f t="shared" ca="1" si="2914"/>
        <v>0</v>
      </c>
      <c r="ER94" s="203">
        <f t="shared" ca="1" si="2915"/>
        <v>0</v>
      </c>
      <c r="ES94" s="204">
        <f t="shared" ca="1" si="2547"/>
        <v>0</v>
      </c>
      <c r="ET94" s="205"/>
      <c r="EU94" s="206">
        <f t="shared" ca="1" si="2916"/>
        <v>0</v>
      </c>
      <c r="EV94" s="206">
        <f t="shared" ca="1" si="2917"/>
        <v>0</v>
      </c>
      <c r="EW94" s="207">
        <f t="shared" ca="1" si="2515"/>
        <v>0</v>
      </c>
      <c r="EX94" s="391">
        <f>EJ94+ET94</f>
        <v>0</v>
      </c>
      <c r="EY94" s="391">
        <f t="shared" ca="1" si="2919"/>
        <v>0</v>
      </c>
      <c r="EZ94" s="391">
        <f t="shared" ca="1" si="2920"/>
        <v>0</v>
      </c>
      <c r="FA94" s="394">
        <f t="shared" ca="1" si="2526"/>
        <v>0</v>
      </c>
      <c r="FB94" s="212" t="str">
        <f t="shared" ca="1" si="3172"/>
        <v/>
      </c>
      <c r="FC94" s="214"/>
      <c r="FD94" s="312" t="str">
        <f t="shared" ca="1" si="2921"/>
        <v/>
      </c>
      <c r="FE94" s="215"/>
      <c r="FF94" s="199">
        <f t="shared" ca="1" si="2922"/>
        <v>0</v>
      </c>
      <c r="FG94" s="199">
        <f t="shared" ca="1" si="2923"/>
        <v>0</v>
      </c>
      <c r="FH94" s="216">
        <f t="shared" ca="1" si="2516"/>
        <v>0</v>
      </c>
      <c r="FI94" s="202">
        <f t="shared" ca="1" si="2924"/>
        <v>0</v>
      </c>
      <c r="FJ94" s="203">
        <f t="shared" ca="1" si="2925"/>
        <v>0</v>
      </c>
      <c r="FK94" s="203">
        <f t="shared" ca="1" si="2926"/>
        <v>0</v>
      </c>
      <c r="FL94" s="204">
        <f t="shared" ca="1" si="2549"/>
        <v>0</v>
      </c>
      <c r="FM94" s="205"/>
      <c r="FN94" s="206">
        <f t="shared" ca="1" si="2927"/>
        <v>0</v>
      </c>
      <c r="FO94" s="206">
        <f t="shared" ca="1" si="2928"/>
        <v>0</v>
      </c>
      <c r="FP94" s="207">
        <f t="shared" ca="1" si="2517"/>
        <v>0</v>
      </c>
      <c r="FQ94" s="391">
        <f>FC94+FM94</f>
        <v>0</v>
      </c>
      <c r="FR94" s="391">
        <f t="shared" ca="1" si="2930"/>
        <v>0</v>
      </c>
      <c r="FS94" s="391">
        <f t="shared" ca="1" si="2931"/>
        <v>0</v>
      </c>
      <c r="FT94" s="394">
        <f t="shared" ca="1" si="2528"/>
        <v>0</v>
      </c>
      <c r="FU94" s="209" t="str">
        <f t="shared" ca="1" si="3173"/>
        <v/>
      </c>
    </row>
    <row r="95" spans="1:177" outlineLevel="2" x14ac:dyDescent="0.2">
      <c r="A95" s="366"/>
      <c r="B95" s="366"/>
      <c r="C95" s="367" t="str">
        <f t="shared" ca="1" si="2571"/>
        <v>CH0111762537:CHF</v>
      </c>
      <c r="D95" s="368" t="str">
        <f t="shared" ca="1" si="2572"/>
        <v>CH0111762537</v>
      </c>
      <c r="E95" s="369" t="str">
        <f t="shared" ca="1" si="2572"/>
        <v>11176253</v>
      </c>
      <c r="F95" s="367" t="s">
        <v>516</v>
      </c>
      <c r="G95" s="414"/>
      <c r="H95" s="1713" t="str">
        <f t="shared" ca="1" si="2530"/>
        <v></v>
      </c>
      <c r="I95" s="1683" t="str">
        <f t="shared" ca="1" si="2573"/>
        <v>i</v>
      </c>
      <c r="J95" s="1713" t="str">
        <f t="shared" ca="1" si="2574"/>
        <v></v>
      </c>
      <c r="K95" s="1716" t="str">
        <f t="shared" ca="1" si="2574"/>
        <v></v>
      </c>
      <c r="L95" s="1717" t="str">
        <f t="shared" ca="1" si="2575"/>
        <v></v>
      </c>
      <c r="M95" s="366" t="str">
        <f t="shared" ca="1" si="2576"/>
        <v>Unit</v>
      </c>
      <c r="N95" s="372"/>
      <c r="O95" s="372">
        <v>0.1</v>
      </c>
      <c r="P95" s="373">
        <f t="shared" ca="1" si="2532"/>
        <v>0</v>
      </c>
      <c r="Q95" s="391">
        <f t="array" aca="1" ref="Q95" ca="1">SUM(IF($AA$15:$FT$15="I_pos",AA95:FT95))</f>
        <v>0</v>
      </c>
      <c r="R95" s="391">
        <f t="array" aca="1" ref="R95" ca="1">SUM(IF($AA$15:$FT$15="P_Pos",AA95:FT95))</f>
        <v>0</v>
      </c>
      <c r="S95" s="367"/>
      <c r="T95" s="391"/>
      <c r="U95" s="375">
        <f t="shared" ca="1" si="2577"/>
        <v>-2.9546531837573001E-2</v>
      </c>
      <c r="V95" s="391">
        <f t="array" aca="1" ref="V95" ca="1">SUM(IF($AA$15:$FT$15="O_Pos",AA95:FT95))</f>
        <v>0</v>
      </c>
      <c r="W95" s="367" t="str">
        <f t="shared" ref="W95" ca="1" si="3637">OFFSET(Origine,MATCH($F95,Descrizioni,0),MATCH(W$15,Intestazioni,0)-1,1,1)</f>
        <v>CHF</v>
      </c>
      <c r="X95" s="392">
        <f t="shared" ref="X95" ca="1" si="3638">_xlfn.NUMBERVALUE(OFFSET(Origine,MATCH($F95,Descrizioni,0),MATCH(X$15,Intestazioni,0)-1,1,1))</f>
        <v>307.10000000000002</v>
      </c>
      <c r="Y95" s="393">
        <f t="shared" ca="1" si="3250"/>
        <v>0</v>
      </c>
      <c r="Z95" s="378">
        <f t="shared" ca="1" si="2836"/>
        <v>1.0000001300000001</v>
      </c>
      <c r="AA95" s="214"/>
      <c r="AB95" s="312" t="str">
        <f t="shared" ca="1" si="2837"/>
        <v/>
      </c>
      <c r="AC95" s="215"/>
      <c r="AD95" s="199">
        <f t="shared" ca="1" si="2838"/>
        <v>0</v>
      </c>
      <c r="AE95" s="199">
        <f t="shared" ca="1" si="2839"/>
        <v>0</v>
      </c>
      <c r="AF95" s="216">
        <f t="shared" ca="1" si="2506"/>
        <v>0</v>
      </c>
      <c r="AG95" s="202">
        <f t="shared" ca="1" si="2840"/>
        <v>0</v>
      </c>
      <c r="AH95" s="203">
        <f t="shared" ca="1" si="2841"/>
        <v>0</v>
      </c>
      <c r="AI95" s="203">
        <f t="shared" ca="1" si="2842"/>
        <v>0</v>
      </c>
      <c r="AJ95" s="204">
        <f t="shared" ca="1" si="2535"/>
        <v>0</v>
      </c>
      <c r="AK95" s="205"/>
      <c r="AL95" s="206">
        <f t="shared" ca="1" si="2843"/>
        <v>0</v>
      </c>
      <c r="AM95" s="206">
        <f t="shared" ca="1" si="2844"/>
        <v>0</v>
      </c>
      <c r="AN95" s="207">
        <f t="shared" ca="1" si="2507"/>
        <v>0</v>
      </c>
      <c r="AO95" s="391">
        <f t="shared" si="3365"/>
        <v>0</v>
      </c>
      <c r="AP95" s="391">
        <f t="shared" ca="1" si="2846"/>
        <v>0</v>
      </c>
      <c r="AQ95" s="391">
        <f t="shared" ca="1" si="2847"/>
        <v>0</v>
      </c>
      <c r="AR95" s="394">
        <f t="shared" ca="1" si="2520"/>
        <v>0</v>
      </c>
      <c r="AS95" s="209" t="str">
        <f t="shared" ca="1" si="3165"/>
        <v/>
      </c>
      <c r="AT95" s="214"/>
      <c r="AU95" s="312" t="str">
        <f t="shared" ca="1" si="2848"/>
        <v/>
      </c>
      <c r="AV95" s="215"/>
      <c r="AW95" s="199">
        <f t="shared" ca="1" si="2849"/>
        <v>0</v>
      </c>
      <c r="AX95" s="199">
        <f t="shared" ca="1" si="2850"/>
        <v>0</v>
      </c>
      <c r="AY95" s="216">
        <f t="shared" ca="1" si="2508"/>
        <v>0</v>
      </c>
      <c r="AZ95" s="202">
        <f t="shared" ca="1" si="2851"/>
        <v>0</v>
      </c>
      <c r="BA95" s="203">
        <f t="shared" ca="1" si="2852"/>
        <v>0</v>
      </c>
      <c r="BB95" s="203">
        <f t="shared" ca="1" si="2853"/>
        <v>0</v>
      </c>
      <c r="BC95" s="204">
        <f t="shared" ca="1" si="2537"/>
        <v>0</v>
      </c>
      <c r="BD95" s="205"/>
      <c r="BE95" s="206">
        <f t="shared" ca="1" si="2854"/>
        <v>0</v>
      </c>
      <c r="BF95" s="206">
        <f t="shared" ca="1" si="2855"/>
        <v>0</v>
      </c>
      <c r="BG95" s="207">
        <f t="shared" ca="1" si="2509"/>
        <v>0</v>
      </c>
      <c r="BH95" s="391">
        <f>AT95+BD95</f>
        <v>0</v>
      </c>
      <c r="BI95" s="391">
        <f t="shared" ca="1" si="2857"/>
        <v>0</v>
      </c>
      <c r="BJ95" s="391">
        <f t="shared" ca="1" si="2858"/>
        <v>0</v>
      </c>
      <c r="BK95" s="394">
        <f t="shared" ca="1" si="2522"/>
        <v>0</v>
      </c>
      <c r="BL95" s="211" t="str">
        <f t="shared" ca="1" si="3166"/>
        <v/>
      </c>
      <c r="BM95" s="214">
        <f>20+-20</f>
        <v>0</v>
      </c>
      <c r="BN95" s="312" t="str">
        <f t="shared" ca="1" si="2859"/>
        <v/>
      </c>
      <c r="BO95" s="215"/>
      <c r="BP95" s="199">
        <f ca="1">BM95*$X95</f>
        <v>0</v>
      </c>
      <c r="BQ95" s="199">
        <f t="shared" ca="1" si="2861"/>
        <v>0</v>
      </c>
      <c r="BR95" s="216">
        <f ca="1">IFERROR(BQ95/BM$4,0)</f>
        <v>0</v>
      </c>
      <c r="BS95" s="202">
        <f t="shared" ca="1" si="2863"/>
        <v>0</v>
      </c>
      <c r="BT95" s="203">
        <f t="shared" ca="1" si="2864"/>
        <v>0</v>
      </c>
      <c r="BU95" s="203">
        <f ca="1">BV95*BM$4</f>
        <v>0</v>
      </c>
      <c r="BV95" s="204">
        <f t="shared" ca="1" si="2541"/>
        <v>0</v>
      </c>
      <c r="BW95" s="205"/>
      <c r="BX95" s="206">
        <f t="shared" ca="1" si="2866"/>
        <v>0</v>
      </c>
      <c r="BY95" s="206">
        <f t="shared" ca="1" si="2867"/>
        <v>0</v>
      </c>
      <c r="BZ95" s="207">
        <f ca="1">IFERROR(BY95/BM$4,0)</f>
        <v>0</v>
      </c>
      <c r="CA95" s="391">
        <f>BM95+BW95</f>
        <v>0</v>
      </c>
      <c r="CB95" s="391">
        <f t="shared" ca="1" si="2870"/>
        <v>0</v>
      </c>
      <c r="CC95" s="391">
        <f t="shared" ca="1" si="2871"/>
        <v>0</v>
      </c>
      <c r="CD95" s="394">
        <f ca="1">IFERROR(CC95/BM$4,0)</f>
        <v>0</v>
      </c>
      <c r="CE95" s="212" t="str">
        <f t="shared" ca="1" si="3167"/>
        <v/>
      </c>
      <c r="CF95" s="214"/>
      <c r="CG95" s="312" t="str">
        <f t="shared" ca="1" si="2872"/>
        <v/>
      </c>
      <c r="CH95" s="215"/>
      <c r="CI95" s="199">
        <f t="shared" ca="1" si="2873"/>
        <v>0</v>
      </c>
      <c r="CJ95" s="199">
        <f t="shared" ca="1" si="2874"/>
        <v>0</v>
      </c>
      <c r="CK95" s="216">
        <f t="shared" ca="1" si="8"/>
        <v>0</v>
      </c>
      <c r="CL95" s="202">
        <f t="shared" ca="1" si="2875"/>
        <v>0</v>
      </c>
      <c r="CM95" s="203">
        <f t="shared" ca="1" si="2876"/>
        <v>0</v>
      </c>
      <c r="CN95" s="203">
        <f t="shared" ca="1" si="2877"/>
        <v>0</v>
      </c>
      <c r="CO95" s="204">
        <f t="shared" ca="1" si="2543"/>
        <v>0</v>
      </c>
      <c r="CP95" s="205"/>
      <c r="CQ95" s="206">
        <f t="shared" ca="1" si="2878"/>
        <v>0</v>
      </c>
      <c r="CR95" s="206">
        <f t="shared" ca="1" si="2879"/>
        <v>0</v>
      </c>
      <c r="CS95" s="207">
        <f t="shared" ca="1" si="9"/>
        <v>0</v>
      </c>
      <c r="CT95" s="391">
        <f>CF95+CP95</f>
        <v>0</v>
      </c>
      <c r="CU95" s="391">
        <f t="shared" ca="1" si="2881"/>
        <v>0</v>
      </c>
      <c r="CV95" s="391">
        <f t="shared" ca="1" si="2882"/>
        <v>0</v>
      </c>
      <c r="CW95" s="394">
        <f t="shared" ca="1" si="1996"/>
        <v>0</v>
      </c>
      <c r="CX95" s="211" t="str">
        <f t="shared" ca="1" si="3168"/>
        <v/>
      </c>
      <c r="CY95" s="197"/>
      <c r="CZ95" s="312" t="str">
        <f t="shared" ca="1" si="2883"/>
        <v/>
      </c>
      <c r="DA95" s="395"/>
      <c r="DB95" s="199">
        <f t="shared" ca="1" si="2884"/>
        <v>0</v>
      </c>
      <c r="DC95" s="199">
        <f t="shared" ca="1" si="2885"/>
        <v>0</v>
      </c>
      <c r="DD95" s="216">
        <f t="shared" ca="1" si="2886"/>
        <v>0</v>
      </c>
      <c r="DE95" s="202">
        <f t="shared" ca="1" si="2887"/>
        <v>0</v>
      </c>
      <c r="DF95" s="203">
        <f t="shared" ca="1" si="2888"/>
        <v>0</v>
      </c>
      <c r="DG95" s="203">
        <f t="shared" ca="1" si="2889"/>
        <v>0</v>
      </c>
      <c r="DH95" s="204">
        <f t="shared" ca="1" si="2545"/>
        <v>0</v>
      </c>
      <c r="DI95" s="205"/>
      <c r="DJ95" s="206">
        <f t="shared" ca="1" si="2890"/>
        <v>0</v>
      </c>
      <c r="DK95" s="206">
        <f t="shared" ca="1" si="2891"/>
        <v>0</v>
      </c>
      <c r="DL95" s="207">
        <f t="shared" ca="1" si="2892"/>
        <v>0</v>
      </c>
      <c r="DM95" s="391">
        <f>CY95+DI95</f>
        <v>0</v>
      </c>
      <c r="DN95" s="391">
        <f t="shared" ca="1" si="2894"/>
        <v>0</v>
      </c>
      <c r="DO95" s="391">
        <f t="shared" ca="1" si="3169"/>
        <v>0</v>
      </c>
      <c r="DP95" s="394">
        <f t="shared" ca="1" si="3170"/>
        <v>0</v>
      </c>
      <c r="DQ95" s="209" t="str">
        <f t="shared" ca="1" si="3171"/>
        <v/>
      </c>
      <c r="DR95" s="197"/>
      <c r="DS95" s="312" t="str">
        <f t="shared" ca="1" si="3624"/>
        <v/>
      </c>
      <c r="DT95" s="395"/>
      <c r="DU95" s="199">
        <f t="shared" ca="1" si="3625"/>
        <v>0</v>
      </c>
      <c r="DV95" s="199">
        <f t="shared" ca="1" si="3626"/>
        <v>0</v>
      </c>
      <c r="DW95" s="216">
        <f t="shared" ca="1" si="3627"/>
        <v>0</v>
      </c>
      <c r="DX95" s="202">
        <f t="shared" ca="1" si="3628"/>
        <v>0</v>
      </c>
      <c r="DY95" s="203">
        <f t="shared" ca="1" si="3629"/>
        <v>0</v>
      </c>
      <c r="DZ95" s="203">
        <f t="shared" ca="1" si="3630"/>
        <v>0</v>
      </c>
      <c r="EA95" s="204">
        <f t="shared" ca="1" si="2546"/>
        <v>0</v>
      </c>
      <c r="EB95" s="205"/>
      <c r="EC95" s="206">
        <f t="shared" ca="1" si="3631"/>
        <v>0</v>
      </c>
      <c r="ED95" s="206">
        <f t="shared" ca="1" si="3632"/>
        <v>0</v>
      </c>
      <c r="EE95" s="207">
        <f t="shared" ca="1" si="3633"/>
        <v>0</v>
      </c>
      <c r="EF95" s="391">
        <f>DR95+EB95</f>
        <v>0</v>
      </c>
      <c r="EG95" s="391">
        <f t="shared" ca="1" si="3634"/>
        <v>0</v>
      </c>
      <c r="EH95" s="391">
        <f t="shared" ca="1" si="3635"/>
        <v>0</v>
      </c>
      <c r="EI95" s="394">
        <f t="shared" ca="1" si="3636"/>
        <v>0</v>
      </c>
      <c r="EJ95" s="214"/>
      <c r="EK95" s="312" t="str">
        <f t="shared" ca="1" si="2910"/>
        <v/>
      </c>
      <c r="EL95" s="222"/>
      <c r="EM95" s="199">
        <f t="shared" ca="1" si="2911"/>
        <v>0</v>
      </c>
      <c r="EN95" s="199">
        <f t="shared" ca="1" si="2912"/>
        <v>0</v>
      </c>
      <c r="EO95" s="216">
        <f t="shared" ca="1" si="2514"/>
        <v>0</v>
      </c>
      <c r="EP95" s="202">
        <f t="shared" ca="1" si="2913"/>
        <v>0</v>
      </c>
      <c r="EQ95" s="203">
        <f t="shared" ca="1" si="2914"/>
        <v>0</v>
      </c>
      <c r="ER95" s="203">
        <f t="shared" ca="1" si="2915"/>
        <v>0</v>
      </c>
      <c r="ES95" s="204">
        <f t="shared" ca="1" si="2547"/>
        <v>0</v>
      </c>
      <c r="ET95" s="205"/>
      <c r="EU95" s="206">
        <f t="shared" ca="1" si="2916"/>
        <v>0</v>
      </c>
      <c r="EV95" s="206">
        <f t="shared" ca="1" si="2917"/>
        <v>0</v>
      </c>
      <c r="EW95" s="207">
        <f t="shared" ca="1" si="2515"/>
        <v>0</v>
      </c>
      <c r="EX95" s="391">
        <f>EJ95+ET95</f>
        <v>0</v>
      </c>
      <c r="EY95" s="391">
        <f t="shared" ca="1" si="2919"/>
        <v>0</v>
      </c>
      <c r="EZ95" s="391">
        <f t="shared" ca="1" si="2920"/>
        <v>0</v>
      </c>
      <c r="FA95" s="394">
        <f t="shared" ca="1" si="2526"/>
        <v>0</v>
      </c>
      <c r="FB95" s="212" t="str">
        <f t="shared" ca="1" si="3172"/>
        <v/>
      </c>
      <c r="FC95" s="214"/>
      <c r="FD95" s="312" t="str">
        <f t="shared" ca="1" si="2921"/>
        <v/>
      </c>
      <c r="FE95" s="215"/>
      <c r="FF95" s="199">
        <f t="shared" ca="1" si="2922"/>
        <v>0</v>
      </c>
      <c r="FG95" s="199">
        <f t="shared" ca="1" si="2923"/>
        <v>0</v>
      </c>
      <c r="FH95" s="216">
        <f t="shared" ca="1" si="2516"/>
        <v>0</v>
      </c>
      <c r="FI95" s="202">
        <f t="shared" ca="1" si="2924"/>
        <v>0</v>
      </c>
      <c r="FJ95" s="203">
        <f t="shared" ca="1" si="2925"/>
        <v>0</v>
      </c>
      <c r="FK95" s="203">
        <f t="shared" ca="1" si="2926"/>
        <v>0</v>
      </c>
      <c r="FL95" s="204">
        <f t="shared" ca="1" si="2549"/>
        <v>0</v>
      </c>
      <c r="FM95" s="205"/>
      <c r="FN95" s="206">
        <f t="shared" ca="1" si="2927"/>
        <v>0</v>
      </c>
      <c r="FO95" s="206">
        <f t="shared" ca="1" si="2928"/>
        <v>0</v>
      </c>
      <c r="FP95" s="207">
        <f t="shared" ca="1" si="2517"/>
        <v>0</v>
      </c>
      <c r="FQ95" s="391">
        <f>FC95+FM95</f>
        <v>0</v>
      </c>
      <c r="FR95" s="391">
        <f t="shared" ca="1" si="2930"/>
        <v>0</v>
      </c>
      <c r="FS95" s="391">
        <f t="shared" ca="1" si="2931"/>
        <v>0</v>
      </c>
      <c r="FT95" s="394">
        <f t="shared" ca="1" si="2528"/>
        <v>0</v>
      </c>
      <c r="FU95" s="209" t="str">
        <f t="shared" ca="1" si="3173"/>
        <v/>
      </c>
    </row>
    <row r="96" spans="1:177" outlineLevel="2" x14ac:dyDescent="0.2">
      <c r="A96" s="366"/>
      <c r="B96" s="366"/>
      <c r="C96" s="367" t="str">
        <f t="shared" ca="1" si="2571"/>
        <v>CH0131872431:CHF:P</v>
      </c>
      <c r="D96" s="368" t="str">
        <f t="shared" ca="1" si="2572"/>
        <v>CH0131872431</v>
      </c>
      <c r="E96" s="369" t="str">
        <f t="shared" ca="1" si="2572"/>
        <v>13187243</v>
      </c>
      <c r="F96" s="367" t="s">
        <v>593</v>
      </c>
      <c r="G96" s="414"/>
      <c r="H96" s="1713" t="str">
        <f t="shared" ca="1" si="2530"/>
        <v></v>
      </c>
      <c r="I96" s="1683" t="str">
        <f t="shared" ca="1" si="2573"/>
        <v>i</v>
      </c>
      <c r="J96" s="1713" t="str">
        <f t="shared" ca="1" si="2574"/>
        <v></v>
      </c>
      <c r="K96" s="1716" t="str">
        <f t="shared" ca="1" si="2574"/>
        <v></v>
      </c>
      <c r="L96" s="1717" t="str">
        <f t="shared" ca="1" si="2575"/>
        <v></v>
      </c>
      <c r="M96" s="366" t="str">
        <f t="shared" ca="1" si="2576"/>
        <v>Unit</v>
      </c>
      <c r="N96" s="372"/>
      <c r="O96" s="372"/>
      <c r="P96" s="373">
        <f t="shared" ca="1" si="2532"/>
        <v>0</v>
      </c>
      <c r="Q96" s="391">
        <f t="array" aca="1" ref="Q96" ca="1">SUM(IF($AA$15:$FT$15="I_pos",AA96:FT96))</f>
        <v>350</v>
      </c>
      <c r="R96" s="391">
        <f t="array" aca="1" ref="R96" ca="1">SUM(IF($AA$15:$FT$15="P_Pos",AA96:FT96))</f>
        <v>-350</v>
      </c>
      <c r="S96" s="367"/>
      <c r="T96" s="391"/>
      <c r="U96" s="375">
        <f t="shared" ca="1" si="2577"/>
        <v>-2.8727148858862298E-2</v>
      </c>
      <c r="V96" s="391">
        <f t="array" aca="1" ref="V96" ca="1">SUM(IF($AA$15:$FT$15="O_Pos",AA96:FT96))</f>
        <v>0</v>
      </c>
      <c r="W96" s="367" t="str">
        <f t="shared" ref="W96" ca="1" si="3639">OFFSET(Origine,MATCH($F96,Descrizioni,0),MATCH(W$15,Intestazioni,0)-1,1,1)</f>
        <v>CHF</v>
      </c>
      <c r="X96" s="392">
        <f t="shared" ref="X96" ca="1" si="3640">_xlfn.NUMBERVALUE(OFFSET(Origine,MATCH($F96,Descrizioni,0),MATCH(X$15,Intestazioni,0)-1,1,1))</f>
        <v>85.54</v>
      </c>
      <c r="Y96" s="393">
        <f t="shared" ca="1" si="3250"/>
        <v>0</v>
      </c>
      <c r="Z96" s="378">
        <f t="shared" ca="1" si="2836"/>
        <v>1.0000001300000001</v>
      </c>
      <c r="AA96" s="214"/>
      <c r="AB96" s="312" t="str">
        <f t="shared" ca="1" si="2837"/>
        <v/>
      </c>
      <c r="AC96" s="215"/>
      <c r="AD96" s="199">
        <f t="shared" ca="1" si="2838"/>
        <v>0</v>
      </c>
      <c r="AE96" s="199">
        <f t="shared" ca="1" si="2839"/>
        <v>0</v>
      </c>
      <c r="AF96" s="216">
        <f t="shared" ca="1" si="2506"/>
        <v>0</v>
      </c>
      <c r="AG96" s="202">
        <f t="shared" ca="1" si="2840"/>
        <v>0</v>
      </c>
      <c r="AH96" s="203">
        <f t="shared" ca="1" si="2841"/>
        <v>0</v>
      </c>
      <c r="AI96" s="203">
        <f t="shared" ca="1" si="2842"/>
        <v>0</v>
      </c>
      <c r="AJ96" s="204">
        <f t="shared" ca="1" si="2535"/>
        <v>0</v>
      </c>
      <c r="AK96" s="205"/>
      <c r="AL96" s="206">
        <f t="shared" ca="1" si="2843"/>
        <v>0</v>
      </c>
      <c r="AM96" s="206">
        <f t="shared" ca="1" si="2844"/>
        <v>0</v>
      </c>
      <c r="AN96" s="207">
        <f t="shared" ca="1" si="2507"/>
        <v>0</v>
      </c>
      <c r="AO96" s="391">
        <f t="shared" si="3365"/>
        <v>0</v>
      </c>
      <c r="AP96" s="391">
        <f t="shared" ca="1" si="2846"/>
        <v>0</v>
      </c>
      <c r="AQ96" s="391">
        <f t="shared" ca="1" si="2847"/>
        <v>0</v>
      </c>
      <c r="AR96" s="394">
        <f t="shared" ca="1" si="2520"/>
        <v>0</v>
      </c>
      <c r="AS96" s="209" t="str">
        <f t="shared" ca="1" si="3165"/>
        <v/>
      </c>
      <c r="AT96" s="214"/>
      <c r="AU96" s="312" t="str">
        <f t="shared" ca="1" si="2848"/>
        <v/>
      </c>
      <c r="AV96" s="215"/>
      <c r="AW96" s="199">
        <f t="shared" ca="1" si="2849"/>
        <v>0</v>
      </c>
      <c r="AX96" s="199">
        <f t="shared" ca="1" si="2850"/>
        <v>0</v>
      </c>
      <c r="AY96" s="216">
        <f t="shared" ca="1" si="2508"/>
        <v>0</v>
      </c>
      <c r="AZ96" s="202">
        <f t="shared" ca="1" si="2851"/>
        <v>0</v>
      </c>
      <c r="BA96" s="203">
        <f t="shared" ca="1" si="2852"/>
        <v>0</v>
      </c>
      <c r="BB96" s="203">
        <f t="shared" ca="1" si="2853"/>
        <v>0</v>
      </c>
      <c r="BC96" s="204">
        <f t="shared" ca="1" si="2537"/>
        <v>0</v>
      </c>
      <c r="BD96" s="205"/>
      <c r="BE96" s="206">
        <f t="shared" ca="1" si="2854"/>
        <v>0</v>
      </c>
      <c r="BF96" s="206">
        <f t="shared" ca="1" si="2855"/>
        <v>0</v>
      </c>
      <c r="BG96" s="207">
        <f t="shared" ca="1" si="2509"/>
        <v>0</v>
      </c>
      <c r="BH96" s="391">
        <f>AT96+BD96</f>
        <v>0</v>
      </c>
      <c r="BI96" s="391">
        <f t="shared" ca="1" si="2857"/>
        <v>0</v>
      </c>
      <c r="BJ96" s="391">
        <f t="shared" ca="1" si="2858"/>
        <v>0</v>
      </c>
      <c r="BK96" s="394">
        <f t="shared" ca="1" si="2522"/>
        <v>0</v>
      </c>
      <c r="BL96" s="211" t="str">
        <f t="shared" ca="1" si="3166"/>
        <v/>
      </c>
      <c r="BM96" s="214"/>
      <c r="BN96" s="312" t="str">
        <f t="shared" ca="1" si="2859"/>
        <v/>
      </c>
      <c r="BO96" s="215"/>
      <c r="BP96" s="199">
        <f ca="1">BM96*$X96</f>
        <v>0</v>
      </c>
      <c r="BQ96" s="199">
        <f t="shared" ca="1" si="2861"/>
        <v>0</v>
      </c>
      <c r="BR96" s="216">
        <f ca="1">IFERROR(BQ96/BM$4,0)</f>
        <v>0</v>
      </c>
      <c r="BS96" s="202">
        <f t="shared" ca="1" si="2863"/>
        <v>0</v>
      </c>
      <c r="BT96" s="203">
        <f t="shared" ca="1" si="2864"/>
        <v>0</v>
      </c>
      <c r="BU96" s="203">
        <f ca="1">BV96*BM$4</f>
        <v>0</v>
      </c>
      <c r="BV96" s="204">
        <f t="shared" ca="1" si="2541"/>
        <v>0</v>
      </c>
      <c r="BW96" s="205"/>
      <c r="BX96" s="206">
        <f t="shared" ca="1" si="2866"/>
        <v>0</v>
      </c>
      <c r="BY96" s="206">
        <f t="shared" ca="1" si="2867"/>
        <v>0</v>
      </c>
      <c r="BZ96" s="207">
        <f ca="1">IFERROR(BY96/BM$4,0)</f>
        <v>0</v>
      </c>
      <c r="CA96" s="391">
        <f>BM96+BW96</f>
        <v>0</v>
      </c>
      <c r="CB96" s="391">
        <f t="shared" ca="1" si="2870"/>
        <v>0</v>
      </c>
      <c r="CC96" s="391">
        <f t="shared" ca="1" si="2871"/>
        <v>0</v>
      </c>
      <c r="CD96" s="394">
        <f ca="1">IFERROR(CC96/BM$4,0)</f>
        <v>0</v>
      </c>
      <c r="CE96" s="212" t="str">
        <f t="shared" ca="1" si="3167"/>
        <v/>
      </c>
      <c r="CF96" s="214"/>
      <c r="CG96" s="312" t="str">
        <f t="shared" ca="1" si="2872"/>
        <v/>
      </c>
      <c r="CH96" s="215"/>
      <c r="CI96" s="199">
        <f t="shared" ca="1" si="2873"/>
        <v>0</v>
      </c>
      <c r="CJ96" s="199">
        <f t="shared" ca="1" si="2874"/>
        <v>0</v>
      </c>
      <c r="CK96" s="216">
        <f t="shared" ca="1" si="8"/>
        <v>0</v>
      </c>
      <c r="CL96" s="202">
        <f t="shared" ca="1" si="2875"/>
        <v>0</v>
      </c>
      <c r="CM96" s="203">
        <f t="shared" ca="1" si="2876"/>
        <v>0</v>
      </c>
      <c r="CN96" s="203">
        <f t="shared" ca="1" si="2877"/>
        <v>0</v>
      </c>
      <c r="CO96" s="204">
        <f t="shared" ca="1" si="2543"/>
        <v>0</v>
      </c>
      <c r="CP96" s="205"/>
      <c r="CQ96" s="206">
        <f t="shared" ca="1" si="2878"/>
        <v>0</v>
      </c>
      <c r="CR96" s="206">
        <f t="shared" ca="1" si="2879"/>
        <v>0</v>
      </c>
      <c r="CS96" s="207">
        <f t="shared" ca="1" si="9"/>
        <v>0</v>
      </c>
      <c r="CT96" s="391">
        <f>CF96+CP96</f>
        <v>0</v>
      </c>
      <c r="CU96" s="391">
        <f t="shared" ca="1" si="2881"/>
        <v>0</v>
      </c>
      <c r="CV96" s="391">
        <f t="shared" ca="1" si="2882"/>
        <v>0</v>
      </c>
      <c r="CW96" s="394">
        <f t="shared" ca="1" si="1996"/>
        <v>0</v>
      </c>
      <c r="CX96" s="211" t="str">
        <f t="shared" ca="1" si="3168"/>
        <v/>
      </c>
      <c r="CY96" s="197"/>
      <c r="CZ96" s="312" t="str">
        <f t="shared" ca="1" si="2883"/>
        <v/>
      </c>
      <c r="DA96" s="395"/>
      <c r="DB96" s="199">
        <f t="shared" ca="1" si="2884"/>
        <v>0</v>
      </c>
      <c r="DC96" s="199">
        <f t="shared" ca="1" si="2885"/>
        <v>0</v>
      </c>
      <c r="DD96" s="216">
        <f t="shared" ca="1" si="2886"/>
        <v>0</v>
      </c>
      <c r="DE96" s="202">
        <f t="shared" ca="1" si="2887"/>
        <v>0</v>
      </c>
      <c r="DF96" s="203">
        <f t="shared" ca="1" si="2888"/>
        <v>0</v>
      </c>
      <c r="DG96" s="203">
        <f t="shared" ca="1" si="2889"/>
        <v>0</v>
      </c>
      <c r="DH96" s="204">
        <f t="shared" ca="1" si="2545"/>
        <v>0</v>
      </c>
      <c r="DI96" s="205"/>
      <c r="DJ96" s="206">
        <f t="shared" ca="1" si="2890"/>
        <v>0</v>
      </c>
      <c r="DK96" s="206">
        <f t="shared" ca="1" si="2891"/>
        <v>0</v>
      </c>
      <c r="DL96" s="207">
        <f t="shared" ca="1" si="2892"/>
        <v>0</v>
      </c>
      <c r="DM96" s="391">
        <f>CY96+DI96</f>
        <v>0</v>
      </c>
      <c r="DN96" s="391">
        <f t="shared" ca="1" si="2894"/>
        <v>0</v>
      </c>
      <c r="DO96" s="391">
        <f t="shared" ca="1" si="3169"/>
        <v>0</v>
      </c>
      <c r="DP96" s="394">
        <f t="shared" ca="1" si="3170"/>
        <v>0</v>
      </c>
      <c r="DQ96" s="209" t="str">
        <f t="shared" ca="1" si="3171"/>
        <v/>
      </c>
      <c r="DR96" s="197"/>
      <c r="DS96" s="312" t="str">
        <f t="shared" ca="1" si="3624"/>
        <v/>
      </c>
      <c r="DT96" s="395"/>
      <c r="DU96" s="199">
        <f t="shared" ca="1" si="3625"/>
        <v>0</v>
      </c>
      <c r="DV96" s="199">
        <f t="shared" ca="1" si="3626"/>
        <v>0</v>
      </c>
      <c r="DW96" s="216">
        <f t="shared" ca="1" si="3627"/>
        <v>0</v>
      </c>
      <c r="DX96" s="202">
        <f t="shared" ca="1" si="3628"/>
        <v>0</v>
      </c>
      <c r="DY96" s="203">
        <f t="shared" ca="1" si="3629"/>
        <v>0</v>
      </c>
      <c r="DZ96" s="203">
        <f t="shared" ca="1" si="3630"/>
        <v>0</v>
      </c>
      <c r="EA96" s="204">
        <f t="shared" ca="1" si="2546"/>
        <v>0</v>
      </c>
      <c r="EB96" s="205"/>
      <c r="EC96" s="206">
        <f t="shared" ca="1" si="3631"/>
        <v>0</v>
      </c>
      <c r="ED96" s="206">
        <f t="shared" ca="1" si="3632"/>
        <v>0</v>
      </c>
      <c r="EE96" s="207">
        <f t="shared" ca="1" si="3633"/>
        <v>0</v>
      </c>
      <c r="EF96" s="391">
        <f>DR96+EB96</f>
        <v>0</v>
      </c>
      <c r="EG96" s="391">
        <f t="shared" ca="1" si="3634"/>
        <v>0</v>
      </c>
      <c r="EH96" s="391">
        <f t="shared" ca="1" si="3635"/>
        <v>0</v>
      </c>
      <c r="EI96" s="394">
        <f t="shared" ca="1" si="3636"/>
        <v>0</v>
      </c>
      <c r="EJ96" s="214">
        <f>350</f>
        <v>350</v>
      </c>
      <c r="EK96" s="312">
        <f t="shared" ca="1" si="2910"/>
        <v>0.15867038712648673</v>
      </c>
      <c r="EL96" s="222">
        <v>73.825999999999993</v>
      </c>
      <c r="EM96" s="199">
        <f t="shared" ca="1" si="2911"/>
        <v>29939.000000000004</v>
      </c>
      <c r="EN96" s="199">
        <f t="shared" ca="1" si="2912"/>
        <v>29939.003892070006</v>
      </c>
      <c r="EO96" s="216">
        <f t="shared" ca="1" si="2514"/>
        <v>4.2182570557472279E-2</v>
      </c>
      <c r="EP96" s="202">
        <f t="shared" ca="1" si="2913"/>
        <v>-350</v>
      </c>
      <c r="EQ96" s="203">
        <f t="shared" ca="1" si="2914"/>
        <v>-29939.000000000004</v>
      </c>
      <c r="ER96" s="203">
        <f t="shared" ca="1" si="2915"/>
        <v>-29939.003892070006</v>
      </c>
      <c r="ES96" s="204">
        <f t="shared" ca="1" si="2547"/>
        <v>-4.2182570557472279E-2</v>
      </c>
      <c r="ET96" s="205"/>
      <c r="EU96" s="206">
        <f t="shared" ca="1" si="2916"/>
        <v>0</v>
      </c>
      <c r="EV96" s="206">
        <f t="shared" ca="1" si="2917"/>
        <v>0</v>
      </c>
      <c r="EW96" s="207">
        <f t="shared" ca="1" si="2515"/>
        <v>0</v>
      </c>
      <c r="EX96" s="391">
        <f>EJ96+ET96</f>
        <v>350</v>
      </c>
      <c r="EY96" s="391">
        <f t="shared" ca="1" si="2919"/>
        <v>29939.000000000004</v>
      </c>
      <c r="EZ96" s="391">
        <f t="shared" ca="1" si="2920"/>
        <v>29939.003892070006</v>
      </c>
      <c r="FA96" s="394">
        <f t="shared" ca="1" si="2526"/>
        <v>4.2182570557472279E-2</v>
      </c>
      <c r="FB96" s="212" t="str">
        <f t="shared" ca="1" si="3172"/>
        <v>V</v>
      </c>
      <c r="FC96" s="214">
        <f>5000+-5000</f>
        <v>0</v>
      </c>
      <c r="FD96" s="312" t="str">
        <f t="shared" ca="1" si="2921"/>
        <v/>
      </c>
      <c r="FE96" s="215"/>
      <c r="FF96" s="199">
        <f t="shared" ca="1" si="2922"/>
        <v>0</v>
      </c>
      <c r="FG96" s="199">
        <f t="shared" ca="1" si="2923"/>
        <v>0</v>
      </c>
      <c r="FH96" s="216">
        <f t="shared" ca="1" si="2516"/>
        <v>0</v>
      </c>
      <c r="FI96" s="202">
        <f t="shared" ca="1" si="2924"/>
        <v>0</v>
      </c>
      <c r="FJ96" s="203">
        <f t="shared" ca="1" si="2925"/>
        <v>0</v>
      </c>
      <c r="FK96" s="203">
        <f t="shared" ca="1" si="2926"/>
        <v>0</v>
      </c>
      <c r="FL96" s="204">
        <f t="shared" ca="1" si="2549"/>
        <v>0</v>
      </c>
      <c r="FM96" s="205"/>
      <c r="FN96" s="206">
        <f t="shared" ca="1" si="2927"/>
        <v>0</v>
      </c>
      <c r="FO96" s="206">
        <f t="shared" ca="1" si="2928"/>
        <v>0</v>
      </c>
      <c r="FP96" s="207">
        <f t="shared" ca="1" si="2517"/>
        <v>0</v>
      </c>
      <c r="FQ96" s="391">
        <f>FC96+FM96</f>
        <v>0</v>
      </c>
      <c r="FR96" s="391">
        <f t="shared" ca="1" si="2930"/>
        <v>0</v>
      </c>
      <c r="FS96" s="391">
        <f t="shared" ca="1" si="2931"/>
        <v>0</v>
      </c>
      <c r="FT96" s="394">
        <f t="shared" ca="1" si="2528"/>
        <v>0</v>
      </c>
      <c r="FU96" s="209" t="str">
        <f t="shared" ca="1" si="3173"/>
        <v/>
      </c>
    </row>
    <row r="97" spans="1:177" outlineLevel="1" x14ac:dyDescent="0.2">
      <c r="A97" s="345"/>
      <c r="B97" s="345" t="s">
        <v>403</v>
      </c>
      <c r="C97" s="346"/>
      <c r="D97" s="347"/>
      <c r="E97" s="348"/>
      <c r="F97" s="346"/>
      <c r="G97" s="349"/>
      <c r="H97" s="1682"/>
      <c r="I97" s="1682"/>
      <c r="J97" s="1712"/>
      <c r="K97" s="1682"/>
      <c r="L97" s="1682"/>
      <c r="M97" s="345"/>
      <c r="N97" s="350">
        <f>SUM(N$98:N$108)</f>
        <v>0.125</v>
      </c>
      <c r="O97" s="350">
        <f>SUM(O$98:O$108)</f>
        <v>0.1</v>
      </c>
      <c r="P97" s="351">
        <f t="shared" ca="1" si="2532"/>
        <v>0.11240348905187567</v>
      </c>
      <c r="Q97" s="352"/>
      <c r="R97" s="352"/>
      <c r="S97" s="346"/>
      <c r="T97" s="352"/>
      <c r="U97" s="353"/>
      <c r="V97" s="352"/>
      <c r="W97" s="354"/>
      <c r="X97" s="355"/>
      <c r="Y97" s="355"/>
      <c r="Z97" s="356"/>
      <c r="AA97" s="357"/>
      <c r="AB97" s="358"/>
      <c r="AC97" s="358"/>
      <c r="AD97" s="359"/>
      <c r="AE97" s="360">
        <f ca="1">SUM(AE$98:AE$108)</f>
        <v>62367.516662499998</v>
      </c>
      <c r="AF97" s="361">
        <f t="shared" ca="1" si="2506"/>
        <v>0.11107383649173247</v>
      </c>
      <c r="AG97" s="362"/>
      <c r="AH97" s="359"/>
      <c r="AI97" s="360">
        <f ca="1">SUM(AI$98:AI$108)</f>
        <v>7819.4853268728375</v>
      </c>
      <c r="AJ97" s="363">
        <f ca="1">IFERROR(AI97/AA$4,0)</f>
        <v>1.3926163508267534E-2</v>
      </c>
      <c r="AK97" s="362"/>
      <c r="AL97" s="359"/>
      <c r="AM97" s="360">
        <f ca="1">SUM(AM$98:AM$108)</f>
        <v>0</v>
      </c>
      <c r="AN97" s="363">
        <f t="shared" ca="1" si="2507"/>
        <v>0</v>
      </c>
      <c r="AO97" s="359"/>
      <c r="AP97" s="359"/>
      <c r="AQ97" s="360">
        <f ca="1">SUM(AQ$98:AQ$108)</f>
        <v>62367.516662499998</v>
      </c>
      <c r="AR97" s="361">
        <f t="shared" ca="1" si="2520"/>
        <v>0.11107383649173247</v>
      </c>
      <c r="AS97" s="364" t="str">
        <f t="shared" ca="1" si="3165"/>
        <v>V</v>
      </c>
      <c r="AT97" s="357"/>
      <c r="AU97" s="358"/>
      <c r="AV97" s="358"/>
      <c r="AW97" s="359"/>
      <c r="AX97" s="360">
        <f ca="1">SUM(AX$98:AX$108)</f>
        <v>191805.17913375</v>
      </c>
      <c r="AY97" s="361">
        <f t="shared" ca="1" si="2508"/>
        <v>0.11075212149742947</v>
      </c>
      <c r="AZ97" s="362"/>
      <c r="BA97" s="359"/>
      <c r="BB97" s="360">
        <f ca="1">SUM(BB$98:BB$108)</f>
        <v>24675.074856465631</v>
      </c>
      <c r="BC97" s="363">
        <f ca="1">IFERROR(BB97/AT$4,0)</f>
        <v>1.4247878502570541E-2</v>
      </c>
      <c r="BD97" s="362"/>
      <c r="BE97" s="359"/>
      <c r="BF97" s="360">
        <f ca="1">SUM(BF$98:BF$108)</f>
        <v>0</v>
      </c>
      <c r="BG97" s="363">
        <f t="shared" ca="1" si="2509"/>
        <v>0</v>
      </c>
      <c r="BH97" s="359"/>
      <c r="BI97" s="359"/>
      <c r="BJ97" s="360">
        <f ca="1">SUM(BJ$98:BJ$108)</f>
        <v>191805.17913375</v>
      </c>
      <c r="BK97" s="361">
        <f t="shared" ca="1" si="2522"/>
        <v>0.11075212149742947</v>
      </c>
      <c r="BL97" s="295" t="str">
        <f t="shared" ca="1" si="3166"/>
        <v>V</v>
      </c>
      <c r="BM97" s="357"/>
      <c r="BN97" s="358"/>
      <c r="BO97" s="358"/>
      <c r="BP97" s="359"/>
      <c r="BQ97" s="360">
        <f ca="1">SUM(BQ$98:BQ$108)</f>
        <v>35638.376751249998</v>
      </c>
      <c r="BR97" s="361">
        <f ca="1">IFERROR(BQ97/BM$4,0)</f>
        <v>0.12505911585309673</v>
      </c>
      <c r="BS97" s="362"/>
      <c r="BT97" s="359"/>
      <c r="BU97" s="360">
        <f ca="1">SUM(BU$98:BU$108)</f>
        <v>-16.846377253357332</v>
      </c>
      <c r="BV97" s="363">
        <f ca="1">IFERROR(BU97/BM$4,0)</f>
        <v>-5.9115853096723694E-5</v>
      </c>
      <c r="BW97" s="362"/>
      <c r="BX97" s="359"/>
      <c r="BY97" s="360">
        <f ca="1">SUM(BY$98:BY$108)</f>
        <v>0</v>
      </c>
      <c r="BZ97" s="363">
        <f ca="1">IFERROR(BY97/BM$4,0)</f>
        <v>0</v>
      </c>
      <c r="CA97" s="359"/>
      <c r="CB97" s="359"/>
      <c r="CC97" s="360">
        <f ca="1">SUM(CC$98:CC$108)</f>
        <v>35638.376751249998</v>
      </c>
      <c r="CD97" s="361">
        <f ca="1">IFERROR(CC97/BM$4,0)</f>
        <v>0.12505911585309673</v>
      </c>
      <c r="CE97" s="295" t="str">
        <f t="shared" ca="1" si="3167"/>
        <v>V</v>
      </c>
      <c r="CF97" s="357"/>
      <c r="CG97" s="358"/>
      <c r="CH97" s="358"/>
      <c r="CI97" s="359"/>
      <c r="CJ97" s="360">
        <f ca="1">SUM(CJ$98:CJ$108)</f>
        <v>89206.538189999992</v>
      </c>
      <c r="CK97" s="361">
        <f t="shared" ca="1" si="8"/>
        <v>0.10080295313534468</v>
      </c>
      <c r="CL97" s="362"/>
      <c r="CM97" s="359"/>
      <c r="CN97" s="360">
        <f ca="1">SUM(CN$98:CN$108)</f>
        <v>21413.408219488403</v>
      </c>
      <c r="CO97" s="363">
        <f ca="1">IFERROR(CN97/CF$4,0)</f>
        <v>2.4197046864655316E-2</v>
      </c>
      <c r="CP97" s="362"/>
      <c r="CQ97" s="359"/>
      <c r="CR97" s="360">
        <f ca="1">SUM(CR$98:CR$108)</f>
        <v>0</v>
      </c>
      <c r="CS97" s="363">
        <f t="shared" ca="1" si="9"/>
        <v>0</v>
      </c>
      <c r="CT97" s="359"/>
      <c r="CU97" s="359"/>
      <c r="CV97" s="360">
        <f ca="1">SUM(CV$98:CV$108)</f>
        <v>89206.538189999992</v>
      </c>
      <c r="CW97" s="361">
        <f t="shared" ca="1" si="1996"/>
        <v>0.10080295313534468</v>
      </c>
      <c r="CX97" s="295" t="str">
        <f t="shared" ca="1" si="3168"/>
        <v>V</v>
      </c>
      <c r="CY97" s="357"/>
      <c r="CZ97" s="358"/>
      <c r="DA97" s="416"/>
      <c r="DB97" s="360"/>
      <c r="DC97" s="360">
        <f ca="1">SUM(DC$98:DC$108)</f>
        <v>351829.81774500001</v>
      </c>
      <c r="DD97" s="361">
        <f t="shared" ca="1" si="2886"/>
        <v>9.8127947419347522E-2</v>
      </c>
      <c r="DE97" s="362"/>
      <c r="DF97" s="359"/>
      <c r="DG97" s="360">
        <f ca="1">SUM(DG$98:DG$108)</f>
        <v>96347.570804491668</v>
      </c>
      <c r="DH97" s="363">
        <f ca="1">IFERROR(DG97/CY$4,0)</f>
        <v>2.6872052580652485E-2</v>
      </c>
      <c r="DI97" s="362"/>
      <c r="DJ97" s="359"/>
      <c r="DK97" s="360">
        <f ca="1">SUM(DK$98:DK$108)</f>
        <v>0</v>
      </c>
      <c r="DL97" s="363">
        <f t="shared" ca="1" si="2892"/>
        <v>0</v>
      </c>
      <c r="DM97" s="359"/>
      <c r="DN97" s="359"/>
      <c r="DO97" s="360">
        <f ca="1">SUM(DO$98:DO$108)</f>
        <v>351829.81774500001</v>
      </c>
      <c r="DP97" s="361">
        <f t="shared" ca="1" si="3170"/>
        <v>9.8127947419347522E-2</v>
      </c>
      <c r="DQ97" s="364" t="str">
        <f t="shared" ca="1" si="3171"/>
        <v>V</v>
      </c>
      <c r="DR97" s="357"/>
      <c r="DS97" s="358"/>
      <c r="DT97" s="416"/>
      <c r="DU97" s="360"/>
      <c r="DV97" s="360">
        <f ca="1">SUM(DV$98:DV$108)</f>
        <v>47949.768964999996</v>
      </c>
      <c r="DW97" s="361">
        <f t="shared" ca="1" si="3627"/>
        <v>6.8327891731223167E-2</v>
      </c>
      <c r="DX97" s="362"/>
      <c r="DY97" s="359"/>
      <c r="DZ97" s="360">
        <f ca="1">SUM(DZ$98:DZ$108)</f>
        <v>39770.208466794575</v>
      </c>
      <c r="EA97" s="363">
        <f ca="1">IFERROR(DZ97/DR$4,0)</f>
        <v>5.6672108268776826E-2</v>
      </c>
      <c r="EB97" s="362"/>
      <c r="EC97" s="359"/>
      <c r="ED97" s="360">
        <f ca="1">SUM(ED$98:ED$108)</f>
        <v>6199.1110299999991</v>
      </c>
      <c r="EE97" s="363">
        <f t="shared" ca="1" si="3633"/>
        <v>8.833664821135E-3</v>
      </c>
      <c r="EF97" s="359"/>
      <c r="EG97" s="359"/>
      <c r="EH97" s="360">
        <f ca="1">SUM(EH$98:EH$108)</f>
        <v>47949.768964999996</v>
      </c>
      <c r="EI97" s="361">
        <f t="shared" ca="1" si="3636"/>
        <v>6.8327891731223167E-2</v>
      </c>
      <c r="EJ97" s="357"/>
      <c r="EK97" s="358"/>
      <c r="EL97" s="365"/>
      <c r="EM97" s="359"/>
      <c r="EN97" s="360">
        <f ca="1">SUM(EN$98:EN$108)</f>
        <v>0</v>
      </c>
      <c r="EO97" s="361">
        <f t="shared" ca="1" si="2514"/>
        <v>0</v>
      </c>
      <c r="EP97" s="362"/>
      <c r="EQ97" s="359"/>
      <c r="ER97" s="360">
        <f ca="1">SUM(ER$98:ER$108)</f>
        <v>88718.526089108171</v>
      </c>
      <c r="ES97" s="363">
        <f ca="1">IFERROR(ER97/EJ$4,0)</f>
        <v>0.125</v>
      </c>
      <c r="ET97" s="362"/>
      <c r="EU97" s="359"/>
      <c r="EV97" s="360">
        <f ca="1">SUM(EV$98:EV$108)</f>
        <v>0</v>
      </c>
      <c r="EW97" s="363">
        <f t="shared" ca="1" si="2515"/>
        <v>0</v>
      </c>
      <c r="EX97" s="359"/>
      <c r="EY97" s="359"/>
      <c r="EZ97" s="360">
        <f ca="1">SUM(EZ$98:EZ$108)</f>
        <v>0</v>
      </c>
      <c r="FA97" s="361">
        <f t="shared" ca="1" si="2526"/>
        <v>0</v>
      </c>
      <c r="FB97" s="295" t="str">
        <f t="shared" ca="1" si="3172"/>
        <v/>
      </c>
      <c r="FC97" s="357"/>
      <c r="FD97" s="358"/>
      <c r="FE97" s="358"/>
      <c r="FF97" s="359"/>
      <c r="FG97" s="360">
        <f ca="1">SUM(FG$98:FG$108)</f>
        <v>0</v>
      </c>
      <c r="FH97" s="361">
        <f t="shared" ca="1" si="2516"/>
        <v>0</v>
      </c>
      <c r="FI97" s="362"/>
      <c r="FJ97" s="359"/>
      <c r="FK97" s="360">
        <f ca="1">SUM(FK$98:FK$108)</f>
        <v>569703.41745262884</v>
      </c>
      <c r="FL97" s="363">
        <f ca="1">IFERROR(FK97/FC$4,0)</f>
        <v>0.125</v>
      </c>
      <c r="FM97" s="362"/>
      <c r="FN97" s="359"/>
      <c r="FO97" s="360">
        <f ca="1">SUM(FO$98:FO$108)</f>
        <v>0</v>
      </c>
      <c r="FP97" s="363">
        <f t="shared" ca="1" si="2517"/>
        <v>0</v>
      </c>
      <c r="FQ97" s="359"/>
      <c r="FR97" s="359"/>
      <c r="FS97" s="360">
        <f ca="1">SUM(FS$98:FS$108)</f>
        <v>0</v>
      </c>
      <c r="FT97" s="361">
        <f t="shared" ca="1" si="2528"/>
        <v>0</v>
      </c>
      <c r="FU97" s="364" t="str">
        <f t="shared" ca="1" si="3173"/>
        <v/>
      </c>
    </row>
    <row r="98" spans="1:177" outlineLevel="2" x14ac:dyDescent="0.2">
      <c r="A98" s="366"/>
      <c r="B98" s="366"/>
      <c r="C98" s="367" t="str">
        <f t="shared" ref="C98:C108" ca="1" si="3641">OFFSET(Origine,MATCH($F98,Descrizioni,0),MATCH(C$15,Intestazioni,0)-1,1,1)</f>
        <v>FR0000121972:EUR</v>
      </c>
      <c r="D98" s="368" t="str">
        <f t="shared" ref="D98:E108" ca="1" si="3642">OFFSET(Origine,MATCH($F98,Descrizioni,0),MATCH(D$15,Intestazioni,0)-1,1,1)</f>
        <v>FR0000121972</v>
      </c>
      <c r="E98" s="369" t="str">
        <f t="shared" ca="1" si="3642"/>
        <v>509120</v>
      </c>
      <c r="F98" s="367" t="s">
        <v>3892</v>
      </c>
      <c r="G98" s="414"/>
      <c r="H98" s="1713" t="str">
        <f t="shared" ref="H98:H108" ca="1" si="3643">IF(OFFSET(Origine,MATCH($F98,Descrizioni,0),MATCH(H$15,Intestazioni,0)-1,1,1)&lt;&gt;"",HYPERLINK(OFFSET(Origine,MATCH($F98,Descrizioni,0),MATCH(H$15,Intestazioni,0)-1,1,1),""),"")</f>
        <v></v>
      </c>
      <c r="I98" s="1683" t="str">
        <f t="shared" ref="I98:I108" ca="1" si="3644">IF(OFFSET(Origine,MATCH($F98,Descrizioni,0),MATCH(I$15,Intestazioni,0)-1,1,1)&lt;&gt;"",HYPERLINK(OFFSET(Origine,MATCH($F98,Descrizioni,0),MATCH(I$15,Intestazioni,0)-1,1,1),"i"),"")</f>
        <v>i</v>
      </c>
      <c r="J98" s="1713" t="str">
        <f t="shared" ref="J98:K108" ca="1" si="3645">IF(OFFSET(Origine,MATCH($F98,Descrizioni,0),MATCH(J$15,Intestazioni,0)-1,1,1)&lt;&gt;"",HYPERLINK(OFFSET(Origine,MATCH($F98,Descrizioni,0),MATCH(J$15,Intestazioni,0)-1,1,1),""),"")</f>
        <v></v>
      </c>
      <c r="K98" s="1716" t="str">
        <f t="shared" ca="1" si="3645"/>
        <v></v>
      </c>
      <c r="L98" s="1717" t="str">
        <f t="shared" ref="L98:L108" ca="1" si="3646">IF(OFFSET(Origine,MATCH($F98,Descrizioni,0),MATCH(L$15,Intestazioni,0)-1,1,1)&lt;&gt;"",HYPERLINK("https://www.zonebourse.com/mods_a/charts/TV/inc_dyna_graph.php?c="&amp;OFFSET(Origine,MATCH($F98,Descrizioni,0),MATCH(L$15,Intestazioni,0)-1,1,1)&amp;"&amp;style=TradingView.CANDLES&amp;showAT=1",""),"")</f>
        <v></v>
      </c>
      <c r="M98" s="366" t="str">
        <f t="shared" ref="M98:M108" ca="1" si="3647">(OFFSET(Origine,MATCH($F98,Descrizioni,0),MATCH(M$15,Intestazioni,0)-1,1,1))</f>
        <v>Unit</v>
      </c>
      <c r="N98" s="417">
        <v>1.4999999999999999E-2</v>
      </c>
      <c r="O98" s="417"/>
      <c r="P98" s="418">
        <f t="shared" ca="1" si="2532"/>
        <v>0</v>
      </c>
      <c r="Q98" s="391">
        <f t="array" aca="1" ref="Q98" ca="1">SUM(IF($AA$15:$FT$15="I_pos",AA98:FT98))</f>
        <v>0</v>
      </c>
      <c r="R98" s="391">
        <f t="array" aca="1" ref="R98" ca="1">SUM(IF($AA$15:$FT$15="P_Pos",AA98:FT98))</f>
        <v>803.58093647262353</v>
      </c>
      <c r="S98" s="367"/>
      <c r="T98" s="391"/>
      <c r="U98" s="375">
        <f t="shared" ref="U98:U108" ca="1" si="3648">OFFSET(Origine,MATCH($F98,Descrizioni,0),MATCH(U$15,Intestazioni,0)-1,1,1)</f>
        <v>-3.2345500542103396E-2</v>
      </c>
      <c r="V98" s="391">
        <f t="array" aca="1" ref="V98" ca="1">SUM(IF($AA$15:$FT$15="O_Pos",AA98:FT98))</f>
        <v>0</v>
      </c>
      <c r="W98" s="367" t="str">
        <f t="shared" ref="W98:W103" ca="1" si="3649">OFFSET(Origine,MATCH($F98,Descrizioni,0),MATCH(W$15,Intestazioni,0)-1,1,1)</f>
        <v>EUR</v>
      </c>
      <c r="X98" s="392">
        <f t="shared" ref="X98:X103" ca="1" si="3650">_xlfn.NUMBERVALUE(OFFSET(Origine,MATCH($F98,Descrizioni,0),MATCH(X$15,Intestazioni,0)-1,1,1))</f>
        <v>267.75</v>
      </c>
      <c r="Y98" s="393">
        <f t="shared" ref="Y98:Y108" ca="1" si="3651">_xlfn.NUMBERVALUE(OFFSET(Origine,MATCH($F98,Descrizioni,0),MATCH(Y$15,Intestazioni,0)-1,1,1))</f>
        <v>0</v>
      </c>
      <c r="Z98" s="378">
        <f t="shared" ref="Z98" ca="1" si="3652">_xlfn.NUMBERVALUE(OFFSET(Origine,MATCH(W98&amp;"/"&amp;MRif,LUKB_Name,0),MATCH("Price",Intestazioni,0)-1,1,1))</f>
        <v>0.90754999999999997</v>
      </c>
      <c r="AA98" s="214"/>
      <c r="AB98" s="312" t="str">
        <f t="shared" ref="AB98" ca="1" si="3653">IFERROR($X98/AC98-1,"")</f>
        <v/>
      </c>
      <c r="AC98" s="215"/>
      <c r="AD98" s="199">
        <f t="shared" ref="AD98" ca="1" si="3654">AA98*$X98</f>
        <v>0</v>
      </c>
      <c r="AE98" s="199">
        <f t="shared" ref="AE98" ca="1" si="3655">AD98*$Z98</f>
        <v>0</v>
      </c>
      <c r="AF98" s="216">
        <f t="shared" ca="1" si="2506"/>
        <v>0</v>
      </c>
      <c r="AG98" s="202">
        <f t="shared" ref="AG98" ca="1" si="3656">AH98/$X98</f>
        <v>34.660745341868804</v>
      </c>
      <c r="AH98" s="203">
        <f t="shared" ref="AH98" ca="1" si="3657">AI98/$Z98</f>
        <v>9280.4145652853713</v>
      </c>
      <c r="AI98" s="203">
        <f t="shared" ref="AI98" ca="1" si="3658">AJ98*AA$4</f>
        <v>8422.4402387247392</v>
      </c>
      <c r="AJ98" s="204">
        <f t="shared" ref="AJ98" ca="1" si="3659">IF(AA$6&lt;&gt;"",$O98,$N98)-AF98</f>
        <v>1.4999999999999999E-2</v>
      </c>
      <c r="AK98" s="205"/>
      <c r="AL98" s="206">
        <f t="shared" ref="AL98" ca="1" si="3660">AK98*$X98</f>
        <v>0</v>
      </c>
      <c r="AM98" s="206">
        <f t="shared" ref="AM98" ca="1" si="3661">AL98*$Z98</f>
        <v>0</v>
      </c>
      <c r="AN98" s="207">
        <f t="shared" ca="1" si="2507"/>
        <v>0</v>
      </c>
      <c r="AO98" s="391">
        <f t="shared" ref="AO98" si="3662">AA98+AK98</f>
        <v>0</v>
      </c>
      <c r="AP98" s="391">
        <f t="shared" ref="AP98" ca="1" si="3663">AD98+IF($T98 ="",AL98,0)</f>
        <v>0</v>
      </c>
      <c r="AQ98" s="391">
        <f t="shared" ref="AQ98" ca="1" si="3664">AP98*$Z98</f>
        <v>0</v>
      </c>
      <c r="AR98" s="394">
        <f t="shared" ca="1" si="2520"/>
        <v>0</v>
      </c>
      <c r="AS98" s="209" t="str">
        <f t="shared" ref="AS98" ca="1" si="3665">IF(SUM(AF98,AN98,AR98)&lt;&gt;0,"V","")</f>
        <v/>
      </c>
      <c r="AT98" s="214"/>
      <c r="AU98" s="312" t="str">
        <f t="shared" ref="AU98" ca="1" si="3666">IFERROR($X98/AV98-1,"")</f>
        <v/>
      </c>
      <c r="AV98" s="215"/>
      <c r="AW98" s="199">
        <f t="shared" ref="AW98" ca="1" si="3667">AT98*$X98</f>
        <v>0</v>
      </c>
      <c r="AX98" s="199">
        <f t="shared" ref="AX98" ca="1" si="3668">AW98*$Z98</f>
        <v>0</v>
      </c>
      <c r="AY98" s="216">
        <f t="shared" ca="1" si="2508"/>
        <v>0</v>
      </c>
      <c r="AZ98" s="202">
        <f t="shared" ref="AZ98" ca="1" si="3669">BA98/$X98</f>
        <v>106.90536342090866</v>
      </c>
      <c r="BA98" s="203">
        <f t="shared" ref="BA98" ca="1" si="3670">BB98/$Z98</f>
        <v>28623.911055948294</v>
      </c>
      <c r="BB98" s="203">
        <f t="shared" ref="BB98" ca="1" si="3671">BC98*AT$4</f>
        <v>25977.630478825875</v>
      </c>
      <c r="BC98" s="204">
        <f t="shared" ref="BC98" ca="1" si="3672">IF(AT$6&lt;&gt;"",$O98,$N98)-AY98</f>
        <v>1.4999999999999999E-2</v>
      </c>
      <c r="BD98" s="205"/>
      <c r="BE98" s="206">
        <f t="shared" ref="BE98" ca="1" si="3673">BD98*$X98</f>
        <v>0</v>
      </c>
      <c r="BF98" s="206">
        <f t="shared" ref="BF98" ca="1" si="3674">BE98*$Z98</f>
        <v>0</v>
      </c>
      <c r="BG98" s="207">
        <f t="shared" ca="1" si="2509"/>
        <v>0</v>
      </c>
      <c r="BH98" s="391">
        <f t="shared" ref="BH98" si="3675">AT98+BD98</f>
        <v>0</v>
      </c>
      <c r="BI98" s="391">
        <f t="shared" ref="BI98" ca="1" si="3676">AW98+IF($T98 ="",BE98,0)</f>
        <v>0</v>
      </c>
      <c r="BJ98" s="391">
        <f t="shared" ref="BJ98" ca="1" si="3677">BI98*$Z98</f>
        <v>0</v>
      </c>
      <c r="BK98" s="394">
        <f t="shared" ca="1" si="2522"/>
        <v>0</v>
      </c>
      <c r="BL98" s="211" t="str">
        <f t="shared" ref="BL98" ca="1" si="3678">IF(SUM(AY98,BG98,BK98)&lt;&gt;0,"V","")</f>
        <v/>
      </c>
      <c r="BM98" s="214"/>
      <c r="BN98" s="312" t="str">
        <f t="shared" ref="BN98" ca="1" si="3679">IFERROR($X98/BO98-1,"")</f>
        <v/>
      </c>
      <c r="BO98" s="215"/>
      <c r="BP98" s="199">
        <f t="shared" ref="BP98" ca="1" si="3680">BM98*$X98</f>
        <v>0</v>
      </c>
      <c r="BQ98" s="199">
        <f t="shared" ref="BQ98" ca="1" si="3681">BP98*$Z98</f>
        <v>0</v>
      </c>
      <c r="BR98" s="216">
        <f t="shared" ref="BR98" ca="1" si="3682">IFERROR(BQ98/BM$4,0)</f>
        <v>0</v>
      </c>
      <c r="BS98" s="202">
        <f t="shared" ref="BS98" ca="1" si="3683">BT98/$X98</f>
        <v>17.5911316623509</v>
      </c>
      <c r="BT98" s="203">
        <f t="shared" ref="BT98" ca="1" si="3684">BU98/$Z98</f>
        <v>4710.0255025944534</v>
      </c>
      <c r="BU98" s="203">
        <f t="shared" ref="BU98" ca="1" si="3685">BV98*BM$4</f>
        <v>4274.5836448795962</v>
      </c>
      <c r="BV98" s="204">
        <f t="shared" ref="BV98" ca="1" si="3686">IF(BM$6&lt;&gt;"",$O98,$N98)-BR98</f>
        <v>1.4999999999999999E-2</v>
      </c>
      <c r="BW98" s="205"/>
      <c r="BX98" s="206">
        <f t="shared" ref="BX98" ca="1" si="3687">BW98*$X98</f>
        <v>0</v>
      </c>
      <c r="BY98" s="206">
        <f t="shared" ref="BY98" ca="1" si="3688">BX98*$Z98</f>
        <v>0</v>
      </c>
      <c r="BZ98" s="207">
        <f t="shared" ref="BZ98" ca="1" si="3689">IFERROR(BY98/BM$4,0)</f>
        <v>0</v>
      </c>
      <c r="CA98" s="391">
        <f t="shared" ref="CA98" si="3690">BM98+BW98</f>
        <v>0</v>
      </c>
      <c r="CB98" s="391">
        <f t="shared" ref="CB98" ca="1" si="3691">BP98+IF($T98 ="",BX98,0)</f>
        <v>0</v>
      </c>
      <c r="CC98" s="391">
        <f t="shared" ref="CC98" ca="1" si="3692">CB98*$Z98</f>
        <v>0</v>
      </c>
      <c r="CD98" s="394">
        <f t="shared" ref="CD98" ca="1" si="3693">IFERROR(CC98/BM$4,0)</f>
        <v>0</v>
      </c>
      <c r="CE98" s="212" t="str">
        <f t="shared" ref="CE98" ca="1" si="3694">IF(SUM(BR98,BZ98,CD98)&lt;&gt;0,"V","")</f>
        <v/>
      </c>
      <c r="CF98" s="214"/>
      <c r="CG98" s="312" t="str">
        <f t="shared" ref="CG98" ca="1" si="3695">IFERROR($X98/CH98-1,"")</f>
        <v/>
      </c>
      <c r="CH98" s="215"/>
      <c r="CI98" s="199">
        <f t="shared" ref="CI98" ca="1" si="3696">CF98*$X98</f>
        <v>0</v>
      </c>
      <c r="CJ98" s="199">
        <f t="shared" ref="CJ98" ca="1" si="3697">CI98*$Z98</f>
        <v>0</v>
      </c>
      <c r="CK98" s="216">
        <f t="shared" ca="1" si="8"/>
        <v>0</v>
      </c>
      <c r="CL98" s="202">
        <f t="shared" ref="CL98" ca="1" si="3698">CM98/$X98</f>
        <v>54.627918041163696</v>
      </c>
      <c r="CM98" s="203">
        <f t="shared" ref="CM98" ca="1" si="3699">CN98/$Z98</f>
        <v>14626.625055521579</v>
      </c>
      <c r="CN98" s="203">
        <f t="shared" ref="CN98" ca="1" si="3700">CO98*CF$4</f>
        <v>13274.393569138609</v>
      </c>
      <c r="CO98" s="204">
        <f t="shared" ref="CO98" ca="1" si="3701">IF(CF$6&lt;&gt;"",$O98,$N98)-CK98</f>
        <v>1.4999999999999999E-2</v>
      </c>
      <c r="CP98" s="205"/>
      <c r="CQ98" s="206">
        <f t="shared" ref="CQ98" ca="1" si="3702">CP98*$X98</f>
        <v>0</v>
      </c>
      <c r="CR98" s="206">
        <f t="shared" ref="CR98" ca="1" si="3703">CQ98*$Z98</f>
        <v>0</v>
      </c>
      <c r="CS98" s="207">
        <f t="shared" ca="1" si="9"/>
        <v>0</v>
      </c>
      <c r="CT98" s="391">
        <f t="shared" ref="CT98" si="3704">CF98+CP98</f>
        <v>0</v>
      </c>
      <c r="CU98" s="391">
        <f t="shared" ref="CU98" ca="1" si="3705">CI98+IF($T98 ="",CQ98,0)</f>
        <v>0</v>
      </c>
      <c r="CV98" s="391">
        <f t="shared" ref="CV98" ca="1" si="3706">CU98*$Z98</f>
        <v>0</v>
      </c>
      <c r="CW98" s="394">
        <f t="shared" ref="CW98" ca="1" si="3707">IFERROR(CV98/CF$4,0)</f>
        <v>0</v>
      </c>
      <c r="CX98" s="211" t="str">
        <f t="shared" ref="CX98" ca="1" si="3708">IF(SUM(CK98,CS98,CW98)&lt;&gt;0,"V","")</f>
        <v/>
      </c>
      <c r="CY98" s="197"/>
      <c r="CZ98" s="312" t="str">
        <f t="shared" ref="CZ98" ca="1" si="3709">IFERROR($X98/DA98-1,"")</f>
        <v/>
      </c>
      <c r="DA98" s="395"/>
      <c r="DB98" s="199">
        <f t="shared" ref="DB98" ca="1" si="3710">CY98*$X98</f>
        <v>0</v>
      </c>
      <c r="DC98" s="199">
        <f t="shared" ref="DC98" ca="1" si="3711">DB98*$Z98</f>
        <v>0</v>
      </c>
      <c r="DD98" s="216">
        <f t="shared" ref="DD98" ca="1" si="3712">IFERROR(DC98/CY$4,0)</f>
        <v>0</v>
      </c>
      <c r="DE98" s="202">
        <f t="shared" ref="DE98" ca="1" si="3713">DF98/$X98</f>
        <v>221.32534361347672</v>
      </c>
      <c r="DF98" s="203">
        <f t="shared" ref="DF98" ca="1" si="3714">DG98/$Z98</f>
        <v>59259.860752508393</v>
      </c>
      <c r="DG98" s="203">
        <f t="shared" ref="DG98" ca="1" si="3715">DH98*CY$4</f>
        <v>53781.286625938992</v>
      </c>
      <c r="DH98" s="204">
        <f t="shared" ref="DH98" ca="1" si="3716">IF(CY$6&lt;&gt;"",$O98,$N98)-DD98</f>
        <v>1.4999999999999999E-2</v>
      </c>
      <c r="DI98" s="205"/>
      <c r="DJ98" s="206">
        <f t="shared" ref="DJ98" ca="1" si="3717">DI98*$X98</f>
        <v>0</v>
      </c>
      <c r="DK98" s="206">
        <f t="shared" ref="DK98" ca="1" si="3718">DJ98*$Z98</f>
        <v>0</v>
      </c>
      <c r="DL98" s="207">
        <f t="shared" ref="DL98" ca="1" si="3719">IFERROR(DK98/CY$4,0)</f>
        <v>0</v>
      </c>
      <c r="DM98" s="391">
        <f t="shared" ref="DM98" si="3720">CY98+DI98</f>
        <v>0</v>
      </c>
      <c r="DN98" s="391">
        <f t="shared" ref="DN98" ca="1" si="3721">DB98+IF($T98 ="",DJ98,0)</f>
        <v>0</v>
      </c>
      <c r="DO98" s="391">
        <f t="shared" ref="DO98" ca="1" si="3722">DN98*$Z98</f>
        <v>0</v>
      </c>
      <c r="DP98" s="394">
        <f t="shared" ref="DP98" ca="1" si="3723">IFERROR(DO98/CY$4,0)</f>
        <v>0</v>
      </c>
      <c r="DQ98" s="209" t="str">
        <f t="shared" ref="DQ98" ca="1" si="3724">IF(SUM(DD98,DL98,DP98)&lt;&gt;0,"V","")</f>
        <v/>
      </c>
      <c r="DR98" s="197"/>
      <c r="DS98" s="312" t="str">
        <f t="shared" ref="DS98" ca="1" si="3725">IFERROR($X98/DT98-1,"")</f>
        <v/>
      </c>
      <c r="DT98" s="395"/>
      <c r="DU98" s="199">
        <f t="shared" ref="DU98" ca="1" si="3726">DR98*$X98</f>
        <v>0</v>
      </c>
      <c r="DV98" s="199">
        <f t="shared" ref="DV98" ca="1" si="3727">DU98*$Z98</f>
        <v>0</v>
      </c>
      <c r="DW98" s="216">
        <f t="shared" ref="DW98" ca="1" si="3728">IFERROR(DV98/DR$4,0)</f>
        <v>0</v>
      </c>
      <c r="DX98" s="202">
        <f t="shared" ref="DX98" ca="1" si="3729">DY98/$X98</f>
        <v>43.319129083448672</v>
      </c>
      <c r="DY98" s="203">
        <f t="shared" ref="DY98" ca="1" si="3730">DZ98/$Z98</f>
        <v>11598.696812093382</v>
      </c>
      <c r="DZ98" s="203">
        <f t="shared" ref="DZ98" ca="1" si="3731">EA98*DR$4</f>
        <v>10526.397291815349</v>
      </c>
      <c r="EA98" s="204">
        <f t="shared" ref="EA98" ca="1" si="3732">IF(DR$6&lt;&gt;"",$O98,$N98)-DW98</f>
        <v>1.4999999999999999E-2</v>
      </c>
      <c r="EB98" s="205"/>
      <c r="EC98" s="206">
        <f t="shared" ref="EC98" ca="1" si="3733">EB98*$X98</f>
        <v>0</v>
      </c>
      <c r="ED98" s="206">
        <f t="shared" ref="ED98" ca="1" si="3734">EC98*$Z98</f>
        <v>0</v>
      </c>
      <c r="EE98" s="207">
        <f t="shared" ref="EE98" ca="1" si="3735">IFERROR(ED98/DR$4,0)</f>
        <v>0</v>
      </c>
      <c r="EF98" s="391">
        <f t="shared" ref="EF98" si="3736">DR98+EB98</f>
        <v>0</v>
      </c>
      <c r="EG98" s="391">
        <f t="shared" ref="EG98" ca="1" si="3737">DU98+IF($T98 ="",EC98,0)</f>
        <v>0</v>
      </c>
      <c r="EH98" s="391">
        <f t="shared" ref="EH98" ca="1" si="3738">EG98*$Z98</f>
        <v>0</v>
      </c>
      <c r="EI98" s="394">
        <f t="shared" ref="EI98" ca="1" si="3739">IFERROR(EH98/DR$4,0)</f>
        <v>0</v>
      </c>
      <c r="EJ98" s="214"/>
      <c r="EK98" s="312" t="str">
        <f t="shared" ref="EK98" ca="1" si="3740">IFERROR($X98/EL98-1,"")</f>
        <v/>
      </c>
      <c r="EL98" s="222"/>
      <c r="EM98" s="199">
        <f t="shared" ref="EM98" ca="1" si="3741">EJ98*$X98</f>
        <v>0</v>
      </c>
      <c r="EN98" s="199">
        <f t="shared" ref="EN98" ca="1" si="3742">EM98*$Z98</f>
        <v>0</v>
      </c>
      <c r="EO98" s="216">
        <f t="shared" ca="1" si="2514"/>
        <v>0</v>
      </c>
      <c r="EP98" s="202">
        <f t="shared" ref="EP98" ca="1" si="3743">EQ98/$X98</f>
        <v>43.812246608654441</v>
      </c>
      <c r="EQ98" s="203">
        <f t="shared" ref="EQ98" ca="1" si="3744">ER98/$Z98</f>
        <v>11730.729029467226</v>
      </c>
      <c r="ER98" s="203">
        <f t="shared" ref="ER98" ca="1" si="3745">ES98*EJ$4</f>
        <v>10646.223130692981</v>
      </c>
      <c r="ES98" s="204">
        <f t="shared" ref="ES98" ca="1" si="3746">IF(EJ$6&lt;&gt;"",$O98,$N98)-EO98</f>
        <v>1.4999999999999999E-2</v>
      </c>
      <c r="ET98" s="205"/>
      <c r="EU98" s="206">
        <f t="shared" ref="EU98" ca="1" si="3747">ET98*$X98</f>
        <v>0</v>
      </c>
      <c r="EV98" s="206">
        <f t="shared" ref="EV98" ca="1" si="3748">EU98*$Z98</f>
        <v>0</v>
      </c>
      <c r="EW98" s="207">
        <f t="shared" ca="1" si="2515"/>
        <v>0</v>
      </c>
      <c r="EX98" s="391">
        <f t="shared" ref="EX98" si="3749">EJ98+ET98</f>
        <v>0</v>
      </c>
      <c r="EY98" s="391">
        <f t="shared" ref="EY98" ca="1" si="3750">EM98+IF($T98 ="",EU98,0)</f>
        <v>0</v>
      </c>
      <c r="EZ98" s="391">
        <f t="shared" ref="EZ98" ca="1" si="3751">EY98*$Z98</f>
        <v>0</v>
      </c>
      <c r="FA98" s="394">
        <f t="shared" ca="1" si="2526"/>
        <v>0</v>
      </c>
      <c r="FB98" s="212" t="str">
        <f t="shared" ref="FB98" ca="1" si="3752">IF(SUM(EO98,EW98,FA98)&lt;&gt;0,"V","")</f>
        <v/>
      </c>
      <c r="FC98" s="214"/>
      <c r="FD98" s="312" t="str">
        <f t="shared" ref="FD98" ca="1" si="3753">IFERROR($X98/FE98-1,"")</f>
        <v/>
      </c>
      <c r="FE98" s="215"/>
      <c r="FF98" s="199">
        <f t="shared" ref="FF98" ca="1" si="3754">FC98*$X98</f>
        <v>0</v>
      </c>
      <c r="FG98" s="199">
        <f t="shared" ref="FG98" ca="1" si="3755">FF98*$Z98</f>
        <v>0</v>
      </c>
      <c r="FH98" s="216">
        <f t="shared" ca="1" si="2516"/>
        <v>0</v>
      </c>
      <c r="FI98" s="202">
        <f t="shared" ref="FI98" ca="1" si="3756">FJ98/$X98</f>
        <v>281.33905870075176</v>
      </c>
      <c r="FJ98" s="203">
        <f t="shared" ref="FJ98" ca="1" si="3757">FK98/$Z98</f>
        <v>75328.532967126288</v>
      </c>
      <c r="FK98" s="203">
        <f t="shared" ref="FK98" ca="1" si="3758">FL98*FC$4</f>
        <v>68364.410094315463</v>
      </c>
      <c r="FL98" s="204">
        <f t="shared" ref="FL98" ca="1" si="3759">IF(FC$6&lt;&gt;"",$O98,$N98)-FH98</f>
        <v>1.4999999999999999E-2</v>
      </c>
      <c r="FM98" s="205"/>
      <c r="FN98" s="206">
        <f t="shared" ref="FN98" ca="1" si="3760">FM98*$X98</f>
        <v>0</v>
      </c>
      <c r="FO98" s="206">
        <f t="shared" ref="FO98" ca="1" si="3761">FN98*$Z98</f>
        <v>0</v>
      </c>
      <c r="FP98" s="207">
        <f t="shared" ca="1" si="2517"/>
        <v>0</v>
      </c>
      <c r="FQ98" s="391">
        <f t="shared" ref="FQ98" si="3762">FC98+FM98</f>
        <v>0</v>
      </c>
      <c r="FR98" s="391">
        <f t="shared" ref="FR98" ca="1" si="3763">FF98+IF($T98 ="",FN98,0)</f>
        <v>0</v>
      </c>
      <c r="FS98" s="391">
        <f t="shared" ref="FS98" ca="1" si="3764">FR98*$Z98</f>
        <v>0</v>
      </c>
      <c r="FT98" s="394">
        <f t="shared" ca="1" si="2528"/>
        <v>0</v>
      </c>
      <c r="FU98" s="209" t="str">
        <f t="shared" ref="FU98" ca="1" si="3765">IF(SUM(FH98,FP98,FT98)&lt;&gt;0,"V","")</f>
        <v/>
      </c>
    </row>
    <row r="99" spans="1:177" outlineLevel="2" x14ac:dyDescent="0.2">
      <c r="A99" s="366"/>
      <c r="B99" s="366"/>
      <c r="C99" s="367" t="str">
        <f t="shared" ca="1" si="3641"/>
        <v>FR0000125486:EUR:CBUA</v>
      </c>
      <c r="D99" s="368" t="str">
        <f t="shared" ca="1" si="3642"/>
        <v>FR0000125486</v>
      </c>
      <c r="E99" s="369" t="str">
        <f t="shared" ca="1" si="3642"/>
        <v>508670</v>
      </c>
      <c r="F99" s="367" t="s">
        <v>426</v>
      </c>
      <c r="G99" s="414"/>
      <c r="H99" s="1713" t="str">
        <f t="shared" ca="1" si="3643"/>
        <v></v>
      </c>
      <c r="I99" s="1683" t="str">
        <f t="shared" ca="1" si="3644"/>
        <v/>
      </c>
      <c r="J99" s="1713" t="str">
        <f t="shared" ca="1" si="3645"/>
        <v/>
      </c>
      <c r="K99" s="1716" t="str">
        <f t="shared" ca="1" si="3645"/>
        <v/>
      </c>
      <c r="L99" s="1717" t="str">
        <f t="shared" ca="1" si="3646"/>
        <v/>
      </c>
      <c r="M99" s="366" t="str">
        <f t="shared" ca="1" si="3647"/>
        <v>Unit</v>
      </c>
      <c r="N99" s="417">
        <v>0.01</v>
      </c>
      <c r="O99" s="417"/>
      <c r="P99" s="418">
        <f t="shared" ca="1" si="2532"/>
        <v>1.0541343189637811E-2</v>
      </c>
      <c r="Q99" s="391">
        <f t="array" aca="1" ref="Q99" ca="1">SUM(IF($AA$15:$FT$15="I_pos",AA99:FT99))</f>
        <v>683</v>
      </c>
      <c r="R99" s="391">
        <f t="array" aca="1" ref="R99" ca="1">SUM(IF($AA$15:$FT$15="P_Pos",AA99:FT99))</f>
        <v>394.67991856020546</v>
      </c>
      <c r="S99" s="367"/>
      <c r="T99" s="391"/>
      <c r="U99" s="375">
        <f t="shared" ca="1" si="3648"/>
        <v>-3.65544697792256E-2</v>
      </c>
      <c r="V99" s="391">
        <f t="array" aca="1" ref="V99" ca="1">SUM(IF($AA$15:$FT$15="O_Pos",AA99:FT99))</f>
        <v>0</v>
      </c>
      <c r="W99" s="367" t="str">
        <f t="shared" ca="1" si="3649"/>
        <v>EUR</v>
      </c>
      <c r="X99" s="392">
        <f t="shared" ca="1" si="3650"/>
        <v>133.1</v>
      </c>
      <c r="Y99" s="393">
        <f t="shared" ca="1" si="3651"/>
        <v>3.7565740045078899E-2</v>
      </c>
      <c r="Z99" s="378">
        <f t="shared" ref="Z99" ca="1" si="3766">_xlfn.NUMBERVALUE(OFFSET(Origine,MATCH(W99&amp;"/"&amp;MRif,LUKB_Name,0),MATCH("Price",Intestazioni,0)-1,1,1))</f>
        <v>0.90754999999999997</v>
      </c>
      <c r="AA99" s="214">
        <f>45</f>
        <v>45</v>
      </c>
      <c r="AB99" s="312">
        <f t="shared" ref="AB99" ca="1" si="3767">IFERROR($X99/AC99-1,"")</f>
        <v>8.1674116212921533E-2</v>
      </c>
      <c r="AC99" s="215">
        <v>123.05</v>
      </c>
      <c r="AD99" s="199">
        <f t="shared" ref="AD99" ca="1" si="3768">AA99*$X99</f>
        <v>5989.5</v>
      </c>
      <c r="AE99" s="199">
        <f t="shared" ref="AE99" ca="1" si="3769">AD99*$Z99</f>
        <v>5435.7707249999994</v>
      </c>
      <c r="AF99" s="216">
        <f t="shared" ref="AF99" ca="1" si="3770">IFERROR(AE99/AA$4,0)</f>
        <v>9.6808714059033341E-3</v>
      </c>
      <c r="AG99" s="202">
        <f t="shared" ref="AG99" ca="1" si="3771">AH99/$X99</f>
        <v>1.4834188093432226</v>
      </c>
      <c r="AH99" s="203">
        <f t="shared" ref="AH99" ca="1" si="3772">AI99/$Z99</f>
        <v>197.4430435235829</v>
      </c>
      <c r="AI99" s="203">
        <f t="shared" ref="AI99" ca="1" si="3773">AJ99*AA$4</f>
        <v>179.18943414982766</v>
      </c>
      <c r="AJ99" s="204">
        <f t="shared" ref="AJ99" ca="1" si="3774">IF(AA$6&lt;&gt;"",$O99,$N99)-AF99</f>
        <v>3.1912859409666608E-4</v>
      </c>
      <c r="AK99" s="205"/>
      <c r="AL99" s="206">
        <f t="shared" ref="AL99" ca="1" si="3775">AK99*$X99</f>
        <v>0</v>
      </c>
      <c r="AM99" s="206">
        <f t="shared" ref="AM99" ca="1" si="3776">AL99*$Z99</f>
        <v>0</v>
      </c>
      <c r="AN99" s="207">
        <f t="shared" ref="AN99" ca="1" si="3777">IFERROR(AM99/AA$4,0)</f>
        <v>0</v>
      </c>
      <c r="AO99" s="391">
        <f t="shared" ref="AO99" si="3778">AA99+AK99</f>
        <v>45</v>
      </c>
      <c r="AP99" s="391">
        <f t="shared" ref="AP99" ca="1" si="3779">AD99+IF($T99 ="",AL99,0)</f>
        <v>5989.5</v>
      </c>
      <c r="AQ99" s="391">
        <f t="shared" ref="AQ99" ca="1" si="3780">AP99*$Z99</f>
        <v>5435.7707249999994</v>
      </c>
      <c r="AR99" s="394">
        <f t="shared" ref="AR99" ca="1" si="3781">IFERROR(AQ99/AA$4,0)</f>
        <v>9.6808714059033341E-3</v>
      </c>
      <c r="AS99" s="209" t="str">
        <f t="shared" ref="AS99" ca="1" si="3782">IF(SUM(AF99,AN99,AR99)&lt;&gt;0,"V","")</f>
        <v>V</v>
      </c>
      <c r="AT99" s="214">
        <v>130</v>
      </c>
      <c r="AU99" s="312">
        <f t="shared" ref="AU99" ca="1" si="3783">IFERROR($X99/AV99-1,"")</f>
        <v>8.1674116212921533E-2</v>
      </c>
      <c r="AV99" s="215">
        <v>123.05</v>
      </c>
      <c r="AW99" s="199">
        <f t="shared" ref="AW99" ca="1" si="3784">AT99*$X99</f>
        <v>17303</v>
      </c>
      <c r="AX99" s="199">
        <f t="shared" ref="AX99" ca="1" si="3785">AW99*$Z99</f>
        <v>15703.337649999999</v>
      </c>
      <c r="AY99" s="216">
        <f t="shared" ref="AY99" ca="1" si="3786">IFERROR(AX99/AT$4,0)</f>
        <v>9.0674191759712135E-3</v>
      </c>
      <c r="AZ99" s="202">
        <f t="shared" ref="AZ99" ca="1" si="3787">BA99/$X99</f>
        <v>13.370453573495098</v>
      </c>
      <c r="BA99" s="203">
        <f t="shared" ref="BA99" ca="1" si="3788">BB99/$Z99</f>
        <v>1779.6073706321974</v>
      </c>
      <c r="BB99" s="203">
        <f t="shared" ref="BB99" ca="1" si="3789">BC99*AT$4</f>
        <v>1615.0826692172507</v>
      </c>
      <c r="BC99" s="204">
        <f t="shared" ref="BC99" ca="1" si="3790">IF(AT$6&lt;&gt;"",$O99,$N99)-AY99</f>
        <v>9.3258082402878674E-4</v>
      </c>
      <c r="BD99" s="205"/>
      <c r="BE99" s="206">
        <f t="shared" ref="BE99" ca="1" si="3791">BD99*$X99</f>
        <v>0</v>
      </c>
      <c r="BF99" s="206">
        <f t="shared" ref="BF99" ca="1" si="3792">BE99*$Z99</f>
        <v>0</v>
      </c>
      <c r="BG99" s="207">
        <f t="shared" ref="BG99" ca="1" si="3793">IFERROR(BF99/AT$4,0)</f>
        <v>0</v>
      </c>
      <c r="BH99" s="391">
        <f t="shared" ref="BH99" si="3794">AT99+BD99</f>
        <v>130</v>
      </c>
      <c r="BI99" s="391">
        <f t="shared" ref="BI99" ca="1" si="3795">AW99+IF($T99 ="",BE99,0)</f>
        <v>17303</v>
      </c>
      <c r="BJ99" s="391">
        <f t="shared" ref="BJ99" ca="1" si="3796">BI99*$Z99</f>
        <v>15703.337649999999</v>
      </c>
      <c r="BK99" s="394">
        <f t="shared" ref="BK99" ca="1" si="3797">IFERROR(BJ99/AT$4,0)</f>
        <v>9.0674191759712135E-3</v>
      </c>
      <c r="BL99" s="211" t="str">
        <f t="shared" ref="BL99" ca="1" si="3798">IF(SUM(AY99,BG99,BK99)&lt;&gt;0,"V","")</f>
        <v>V</v>
      </c>
      <c r="BM99" s="214">
        <f>50</f>
        <v>50</v>
      </c>
      <c r="BN99" s="312">
        <f t="shared" ref="BN99" ca="1" si="3799">IFERROR($X99/BO99-1,"")</f>
        <v>8.1674116212921533E-2</v>
      </c>
      <c r="BO99" s="215">
        <v>123.05</v>
      </c>
      <c r="BP99" s="199">
        <f t="shared" ref="BP99" ca="1" si="3800">BM99*$X99</f>
        <v>6655</v>
      </c>
      <c r="BQ99" s="199">
        <f t="shared" ref="BQ99" ca="1" si="3801">BP99*$Z99</f>
        <v>6039.7452499999999</v>
      </c>
      <c r="BR99" s="216">
        <f t="shared" ref="BR99" ca="1" si="3802">IFERROR(BQ99/BM$4,0)</f>
        <v>2.1194152758835964E-2</v>
      </c>
      <c r="BS99" s="202">
        <f t="shared" ref="BS99" ca="1" si="3803">BT99/$X99</f>
        <v>-26.408587515179292</v>
      </c>
      <c r="BT99" s="203">
        <f t="shared" ref="BT99" ca="1" si="3804">BU99/$Z99</f>
        <v>-3514.9829982703636</v>
      </c>
      <c r="BU99" s="203">
        <f t="shared" ref="BU99" ca="1" si="3805">BV99*BM$4</f>
        <v>-3190.0228200802685</v>
      </c>
      <c r="BV99" s="204">
        <f t="shared" ref="BV99" ca="1" si="3806">IF(BM$6&lt;&gt;"",$O99,$N99)-BR99</f>
        <v>-1.1194152758835963E-2</v>
      </c>
      <c r="BW99" s="205"/>
      <c r="BX99" s="206">
        <f t="shared" ref="BX99" ca="1" si="3807">BW99*$X99</f>
        <v>0</v>
      </c>
      <c r="BY99" s="206">
        <f t="shared" ref="BY99" ca="1" si="3808">BX99*$Z99</f>
        <v>0</v>
      </c>
      <c r="BZ99" s="207">
        <f t="shared" ref="BZ99" ca="1" si="3809">IFERROR(BY99/BM$4,0)</f>
        <v>0</v>
      </c>
      <c r="CA99" s="391">
        <f t="shared" ref="CA99" si="3810">BM99+BW99</f>
        <v>50</v>
      </c>
      <c r="CB99" s="391">
        <f t="shared" ref="CB99" ca="1" si="3811">BP99+IF($T99 ="",BX99,0)</f>
        <v>6655</v>
      </c>
      <c r="CC99" s="391">
        <f t="shared" ref="CC99" ca="1" si="3812">CB99*$Z99</f>
        <v>6039.7452499999999</v>
      </c>
      <c r="CD99" s="394">
        <f t="shared" ref="CD99" ca="1" si="3813">IFERROR(CC99/BM$4,0)</f>
        <v>2.1194152758835964E-2</v>
      </c>
      <c r="CE99" s="212" t="str">
        <f t="shared" ref="CE99" ca="1" si="3814">IF(SUM(BR99,BZ99,CD99)&lt;&gt;0,"V","")</f>
        <v>V</v>
      </c>
      <c r="CF99" s="214">
        <f>68</f>
        <v>68</v>
      </c>
      <c r="CG99" s="312">
        <f t="shared" ref="CG99" ca="1" si="3815">IFERROR($X99/CH99-1,"")</f>
        <v>8.1674116212921533E-2</v>
      </c>
      <c r="CH99" s="215">
        <v>123.05</v>
      </c>
      <c r="CI99" s="199">
        <f t="shared" ref="CI99" ca="1" si="3816">CF99*$X99</f>
        <v>9050.7999999999993</v>
      </c>
      <c r="CJ99" s="199">
        <f t="shared" ref="CJ99" ca="1" si="3817">CI99*$Z99</f>
        <v>8214.053539999999</v>
      </c>
      <c r="CK99" s="216">
        <f t="shared" ref="CK99" ca="1" si="3818">IFERROR(CJ99/CF$4,0)</f>
        <v>9.2818404440298125E-3</v>
      </c>
      <c r="CL99" s="202">
        <f t="shared" ref="CL99" ca="1" si="3819">CM99/$X99</f>
        <v>5.261332609674831</v>
      </c>
      <c r="CM99" s="203">
        <f t="shared" ref="CM99" ca="1" si="3820">CN99/$Z99</f>
        <v>700.28337034771994</v>
      </c>
      <c r="CN99" s="203">
        <f t="shared" ref="CN99" ca="1" si="3821">CO99*CF$4</f>
        <v>635.5421727590732</v>
      </c>
      <c r="CO99" s="204">
        <f t="shared" ref="CO99" ca="1" si="3822">IF(CF$6&lt;&gt;"",$O99,$N99)-CK99</f>
        <v>7.1815955597018775E-4</v>
      </c>
      <c r="CP99" s="205"/>
      <c r="CQ99" s="206">
        <f t="shared" ref="CQ99" ca="1" si="3823">CP99*$X99</f>
        <v>0</v>
      </c>
      <c r="CR99" s="206">
        <f t="shared" ref="CR99" ca="1" si="3824">CQ99*$Z99</f>
        <v>0</v>
      </c>
      <c r="CS99" s="207">
        <f t="shared" ref="CS99" ca="1" si="3825">IFERROR(CR99/CF$4,0)</f>
        <v>0</v>
      </c>
      <c r="CT99" s="391">
        <f t="shared" ref="CT99" si="3826">CF99+CP99</f>
        <v>68</v>
      </c>
      <c r="CU99" s="391">
        <f t="shared" ref="CU99" ca="1" si="3827">CI99+IF($T99 ="",CQ99,0)</f>
        <v>9050.7999999999993</v>
      </c>
      <c r="CV99" s="391">
        <f t="shared" ref="CV99" ca="1" si="3828">CU99*$Z99</f>
        <v>8214.053539999999</v>
      </c>
      <c r="CW99" s="394">
        <f t="shared" ref="CW99" ca="1" si="3829">IFERROR(CV99/CF$4,0)</f>
        <v>9.2818404440298125E-3</v>
      </c>
      <c r="CX99" s="211" t="str">
        <f t="shared" ref="CX99" ca="1" si="3830">IF(SUM(CK99,CS99,CW99)&lt;&gt;0,"V","")</f>
        <v>V</v>
      </c>
      <c r="CY99" s="197">
        <f>310</f>
        <v>310</v>
      </c>
      <c r="CZ99" s="312">
        <f t="shared" ref="CZ99" ca="1" si="3831">IFERROR($X99/DA99-1,"")</f>
        <v>7.3387096774193417E-2</v>
      </c>
      <c r="DA99" s="395">
        <v>124</v>
      </c>
      <c r="DB99" s="199">
        <f t="shared" ref="DB99" ca="1" si="3832">CY99*$X99</f>
        <v>41261</v>
      </c>
      <c r="DC99" s="199">
        <f t="shared" ref="DC99" ca="1" si="3833">DB99*$Z99</f>
        <v>37446.420549999995</v>
      </c>
      <c r="DD99" s="216">
        <f t="shared" ref="DD99" ca="1" si="3834">IFERROR(DC99/CY$4,0)</f>
        <v>1.0444084615467173E-2</v>
      </c>
      <c r="DE99" s="202">
        <f t="shared" ref="DE99" ca="1" si="3835">DF99/$X99</f>
        <v>-13.181263448492814</v>
      </c>
      <c r="DF99" s="203">
        <f t="shared" ref="DF99" ca="1" si="3836">DG99/$Z99</f>
        <v>-1754.4261649943935</v>
      </c>
      <c r="DG99" s="203">
        <f t="shared" ref="DG99" ca="1" si="3837">DH99*CY$4</f>
        <v>-1592.2294660406617</v>
      </c>
      <c r="DH99" s="204">
        <f t="shared" ref="DH99" ca="1" si="3838">IF(CY$6&lt;&gt;"",$O99,$N99)-DD99</f>
        <v>-4.4408461546717286E-4</v>
      </c>
      <c r="DI99" s="205"/>
      <c r="DJ99" s="206">
        <f t="shared" ref="DJ99" ca="1" si="3839">DI99*$X99</f>
        <v>0</v>
      </c>
      <c r="DK99" s="206">
        <f t="shared" ref="DK99" ca="1" si="3840">DJ99*$Z99</f>
        <v>0</v>
      </c>
      <c r="DL99" s="207">
        <f t="shared" ref="DL99" ca="1" si="3841">IFERROR(DK99/CY$4,0)</f>
        <v>0</v>
      </c>
      <c r="DM99" s="391">
        <f t="shared" ref="DM99" si="3842">CY99+DI99</f>
        <v>310</v>
      </c>
      <c r="DN99" s="391">
        <f t="shared" ref="DN99" ca="1" si="3843">DB99+IF($T99 ="",DJ99,0)</f>
        <v>41261</v>
      </c>
      <c r="DO99" s="391">
        <f t="shared" ref="DO99" ca="1" si="3844">DN99*$Z99</f>
        <v>37446.420549999995</v>
      </c>
      <c r="DP99" s="394">
        <f t="shared" ref="DP99" ca="1" si="3845">IFERROR(DO99/CY$4,0)</f>
        <v>1.0444084615467173E-2</v>
      </c>
      <c r="DQ99" s="209" t="str">
        <f t="shared" ref="DQ99" ca="1" si="3846">IF(SUM(DD99,DL99,DP99)&lt;&gt;0,"V","")</f>
        <v>V</v>
      </c>
      <c r="DR99" s="197">
        <v>80</v>
      </c>
      <c r="DS99" s="312">
        <f t="shared" ref="DS99" ca="1" si="3847">IFERROR($X99/DT99-1,"")</f>
        <v>7.460035523978692E-2</v>
      </c>
      <c r="DT99" s="395">
        <v>123.86</v>
      </c>
      <c r="DU99" s="199">
        <f t="shared" ref="DU99" ca="1" si="3848">DR99*$X99</f>
        <v>10648</v>
      </c>
      <c r="DV99" s="199">
        <f t="shared" ref="DV99" ca="1" si="3849">DU99*$Z99</f>
        <v>9663.5923999999995</v>
      </c>
      <c r="DW99" s="216">
        <f t="shared" ref="DW99" ca="1" si="3850">IFERROR(DV99/DR$4,0)</f>
        <v>1.3770512548743228E-2</v>
      </c>
      <c r="DX99" s="202">
        <f t="shared" ref="DX99" ca="1" si="3851">DY99/$X99</f>
        <v>-21.904849426028637</v>
      </c>
      <c r="DY99" s="203">
        <f t="shared" ref="DY99" ca="1" si="3852">DZ99/$Z99</f>
        <v>-2915.5354586044114</v>
      </c>
      <c r="DZ99" s="203">
        <f t="shared" ref="DZ99" ca="1" si="3853">EA99*DR$4</f>
        <v>-2645.9942054564335</v>
      </c>
      <c r="EA99" s="204">
        <f t="shared" ref="EA99" ca="1" si="3854">IF(DR$6&lt;&gt;"",$O99,$N99)-DW99</f>
        <v>-3.7705125487432281E-3</v>
      </c>
      <c r="EB99" s="205"/>
      <c r="EC99" s="206">
        <f t="shared" ref="EC99" ca="1" si="3855">EB99*$X99</f>
        <v>0</v>
      </c>
      <c r="ED99" s="206">
        <f t="shared" ref="ED99" ca="1" si="3856">EC99*$Z99</f>
        <v>0</v>
      </c>
      <c r="EE99" s="207">
        <f t="shared" ref="EE99" ca="1" si="3857">IFERROR(ED99/DR$4,0)</f>
        <v>0</v>
      </c>
      <c r="EF99" s="391">
        <f t="shared" ref="EF99" si="3858">DR99+EB99</f>
        <v>80</v>
      </c>
      <c r="EG99" s="391">
        <f t="shared" ref="EG99" ca="1" si="3859">DU99+IF($T99 ="",EC99,0)</f>
        <v>10648</v>
      </c>
      <c r="EH99" s="391">
        <f t="shared" ref="EH99" ca="1" si="3860">EG99*$Z99</f>
        <v>9663.5923999999995</v>
      </c>
      <c r="EI99" s="394">
        <f t="shared" ref="EI99" ca="1" si="3861">IFERROR(EH99/DR$4,0)</f>
        <v>1.3770512548743228E-2</v>
      </c>
      <c r="EJ99" s="214"/>
      <c r="EK99" s="312" t="str">
        <f t="shared" ref="EK99" ca="1" si="3862">IFERROR($X99/EL99-1,"")</f>
        <v/>
      </c>
      <c r="EL99" s="222"/>
      <c r="EM99" s="199">
        <f t="shared" ref="EM99" ca="1" si="3863">EJ99*$X99</f>
        <v>0</v>
      </c>
      <c r="EN99" s="199">
        <f t="shared" ref="EN99" ca="1" si="3864">EM99*$Z99</f>
        <v>0</v>
      </c>
      <c r="EO99" s="216">
        <f t="shared" ref="EO99" ca="1" si="3865">IFERROR(EN99/EJ$4,0)</f>
        <v>0</v>
      </c>
      <c r="EP99" s="202">
        <f t="shared" ref="EP99" ca="1" si="3866">EQ99/$X99</f>
        <v>58.756468968030184</v>
      </c>
      <c r="EQ99" s="203">
        <f t="shared" ref="EQ99" ca="1" si="3867">ER99/$Z99</f>
        <v>7820.4860196448171</v>
      </c>
      <c r="ER99" s="203">
        <f t="shared" ref="ER99" ca="1" si="3868">ES99*EJ$4</f>
        <v>7097.4820871286538</v>
      </c>
      <c r="ES99" s="204">
        <f t="shared" ref="ES99" ca="1" si="3869">IF(EJ$6&lt;&gt;"",$O99,$N99)-EO99</f>
        <v>0.01</v>
      </c>
      <c r="ET99" s="205"/>
      <c r="EU99" s="206">
        <f t="shared" ref="EU99" ca="1" si="3870">ET99*$X99</f>
        <v>0</v>
      </c>
      <c r="EV99" s="206">
        <f t="shared" ref="EV99" ca="1" si="3871">EU99*$Z99</f>
        <v>0</v>
      </c>
      <c r="EW99" s="207">
        <f t="shared" ref="EW99" ca="1" si="3872">IFERROR(EV99/EJ$4,0)</f>
        <v>0</v>
      </c>
      <c r="EX99" s="391">
        <f t="shared" ref="EX99" si="3873">EJ99+ET99</f>
        <v>0</v>
      </c>
      <c r="EY99" s="391">
        <f t="shared" ref="EY99" ca="1" si="3874">EM99+IF($T99 ="",EU99,0)</f>
        <v>0</v>
      </c>
      <c r="EZ99" s="391">
        <f t="shared" ref="EZ99" ca="1" si="3875">EY99*$Z99</f>
        <v>0</v>
      </c>
      <c r="FA99" s="394">
        <f t="shared" ref="FA99" ca="1" si="3876">IFERROR(EZ99/EJ$4,0)</f>
        <v>0</v>
      </c>
      <c r="FB99" s="212" t="str">
        <f t="shared" ref="FB99" ca="1" si="3877">IF(SUM(EO99,EW99,FA99)&lt;&gt;0,"V","")</f>
        <v/>
      </c>
      <c r="FC99" s="214"/>
      <c r="FD99" s="312" t="str">
        <f t="shared" ref="FD99" ca="1" si="3878">IFERROR($X99/FE99-1,"")</f>
        <v/>
      </c>
      <c r="FE99" s="215"/>
      <c r="FF99" s="199">
        <f t="shared" ref="FF99" ca="1" si="3879">FC99*$X99</f>
        <v>0</v>
      </c>
      <c r="FG99" s="199">
        <f t="shared" ref="FG99" ca="1" si="3880">FF99*$Z99</f>
        <v>0</v>
      </c>
      <c r="FH99" s="216">
        <f t="shared" ref="FH99" ca="1" si="3881">IFERROR(FG99/FC$4,0)</f>
        <v>0</v>
      </c>
      <c r="FI99" s="202">
        <f t="shared" ref="FI99" ca="1" si="3882">FJ99/$X99</f>
        <v>377.30294498936286</v>
      </c>
      <c r="FJ99" s="203">
        <f t="shared" ref="FJ99" ca="1" si="3883">FK99/$Z99</f>
        <v>50219.021978084194</v>
      </c>
      <c r="FK99" s="203">
        <f t="shared" ref="FK99" ca="1" si="3884">FL99*FC$4</f>
        <v>45576.273396210308</v>
      </c>
      <c r="FL99" s="204">
        <f t="shared" ref="FL99" ca="1" si="3885">IF(FC$6&lt;&gt;"",$O99,$N99)-FH99</f>
        <v>0.01</v>
      </c>
      <c r="FM99" s="205"/>
      <c r="FN99" s="206">
        <f t="shared" ref="FN99" ca="1" si="3886">FM99*$X99</f>
        <v>0</v>
      </c>
      <c r="FO99" s="206">
        <f t="shared" ref="FO99" ca="1" si="3887">FN99*$Z99</f>
        <v>0</v>
      </c>
      <c r="FP99" s="207">
        <f t="shared" ref="FP99" ca="1" si="3888">IFERROR(FO99/FC$4,0)</f>
        <v>0</v>
      </c>
      <c r="FQ99" s="391">
        <f t="shared" ref="FQ99" si="3889">FC99+FM99</f>
        <v>0</v>
      </c>
      <c r="FR99" s="391">
        <f t="shared" ref="FR99" ca="1" si="3890">FF99+IF($T99 ="",FN99,0)</f>
        <v>0</v>
      </c>
      <c r="FS99" s="391">
        <f t="shared" ref="FS99" ca="1" si="3891">FR99*$Z99</f>
        <v>0</v>
      </c>
      <c r="FT99" s="394">
        <f t="shared" ref="FT99" ca="1" si="3892">IFERROR(FS99/FC$4,0)</f>
        <v>0</v>
      </c>
      <c r="FU99" s="209" t="str">
        <f t="shared" ref="FU99" ca="1" si="3893">IF(SUM(FH99,FP99,FT99)&lt;&gt;0,"V","")</f>
        <v/>
      </c>
    </row>
    <row r="100" spans="1:177" outlineLevel="2" x14ac:dyDescent="0.2">
      <c r="A100" s="366"/>
      <c r="B100" s="366"/>
      <c r="C100" s="367" t="str">
        <f t="shared" ca="1" si="3641"/>
        <v>DE000A0H08F7:EUR:STU</v>
      </c>
      <c r="D100" s="368" t="str">
        <f t="shared" ca="1" si="3642"/>
        <v>DE000A0H08F7</v>
      </c>
      <c r="E100" s="369" t="str">
        <f t="shared" ca="1" si="3642"/>
        <v>12980561</v>
      </c>
      <c r="F100" s="390" t="s">
        <v>2802</v>
      </c>
      <c r="G100" s="414"/>
      <c r="H100" s="1713" t="str">
        <f t="shared" ca="1" si="3643"/>
        <v></v>
      </c>
      <c r="I100" s="1683" t="str">
        <f t="shared" ca="1" si="3644"/>
        <v/>
      </c>
      <c r="J100" s="1713" t="str">
        <f t="shared" ca="1" si="3645"/>
        <v/>
      </c>
      <c r="K100" s="1716" t="str">
        <f t="shared" ca="1" si="3645"/>
        <v/>
      </c>
      <c r="L100" s="1717" t="str">
        <f t="shared" ca="1" si="3646"/>
        <v/>
      </c>
      <c r="M100" s="366" t="str">
        <f t="shared" ca="1" si="3647"/>
        <v>Unit</v>
      </c>
      <c r="N100" s="417">
        <v>0.02</v>
      </c>
      <c r="O100" s="417"/>
      <c r="P100" s="418">
        <f t="shared" ca="1" si="2532"/>
        <v>1.9680553097312078E-2</v>
      </c>
      <c r="Q100" s="391">
        <f t="array" aca="1" ref="Q100" ca="1">SUM(IF($AA$15:$FT$15="I_pos",AA100:FT100))</f>
        <v>1880</v>
      </c>
      <c r="R100" s="391">
        <f t="array" aca="1" ref="R100" ca="1">SUM(IF($AA$15:$FT$15="P_Pos",AA100:FT100))</f>
        <v>1301.1753639468468</v>
      </c>
      <c r="S100" s="367"/>
      <c r="T100" s="391"/>
      <c r="U100" s="375">
        <f t="shared" ca="1" si="3648"/>
        <v>-3.46203623813632E-2</v>
      </c>
      <c r="V100" s="391">
        <f t="array" aca="1" ref="V100" ca="1">SUM(IF($AA$15:$FT$15="O_Pos",AA100:FT100))</f>
        <v>0</v>
      </c>
      <c r="W100" s="367" t="str">
        <f t="shared" ca="1" si="3649"/>
        <v>EUR</v>
      </c>
      <c r="X100" s="392">
        <f t="shared" ca="1" si="3650"/>
        <v>90.18</v>
      </c>
      <c r="Y100" s="393">
        <f t="shared" ca="1" si="3651"/>
        <v>0</v>
      </c>
      <c r="Z100" s="378">
        <f t="shared" ref="Z100" ca="1" si="3894">_xlfn.NUMBERVALUE(OFFSET(Origine,MATCH(W100&amp;"/"&amp;MRif,LUKB_Name,0),MATCH("Price",Intestazioni,0)-1,1,1))</f>
        <v>0.90754999999999997</v>
      </c>
      <c r="AA100" s="214">
        <f>135</f>
        <v>135</v>
      </c>
      <c r="AB100" s="312">
        <f t="shared" ref="AB100" ca="1" si="3895">IFERROR($X100/AC100-1,"")</f>
        <v>6.1315758503001083E-2</v>
      </c>
      <c r="AC100" s="215">
        <v>84.97</v>
      </c>
      <c r="AD100" s="199">
        <f t="shared" ref="AD100" ca="1" si="3896">AA100*$X100</f>
        <v>12174.300000000001</v>
      </c>
      <c r="AE100" s="199">
        <f t="shared" ref="AE100" ca="1" si="3897">AD100*$Z100</f>
        <v>11048.785965000001</v>
      </c>
      <c r="AF100" s="216">
        <f t="shared" ref="AF100" ca="1" si="3898">IFERROR(AE100/AA$4,0)</f>
        <v>1.9677407589429666E-2</v>
      </c>
      <c r="AG100" s="202">
        <f t="shared" ref="AG100" ca="1" si="3899">AH100/$X100</f>
        <v>2.2131967958212857</v>
      </c>
      <c r="AH100" s="203">
        <f t="shared" ref="AH100" ca="1" si="3900">AI100/$Z100</f>
        <v>199.58608704716355</v>
      </c>
      <c r="AI100" s="203">
        <f t="shared" ref="AI100" ca="1" si="3901">AJ100*AA$4</f>
        <v>181.13435329965327</v>
      </c>
      <c r="AJ100" s="204">
        <f t="shared" ref="AJ100:AJ108" ca="1" si="3902">IF(AA$6&lt;&gt;"",$O100,$N100)-AF100</f>
        <v>3.2259241057033469E-4</v>
      </c>
      <c r="AK100" s="205"/>
      <c r="AL100" s="206">
        <f t="shared" ref="AL100" ca="1" si="3903">AK100*$X100</f>
        <v>0</v>
      </c>
      <c r="AM100" s="206">
        <f t="shared" ref="AM100" ca="1" si="3904">AL100*$Z100</f>
        <v>0</v>
      </c>
      <c r="AN100" s="207">
        <f t="shared" ref="AN100" ca="1" si="3905">IFERROR(AM100/AA$4,0)</f>
        <v>0</v>
      </c>
      <c r="AO100" s="391">
        <f t="shared" ref="AO100" si="3906">AA100+AK100</f>
        <v>135</v>
      </c>
      <c r="AP100" s="391">
        <f t="shared" ref="AP100" ca="1" si="3907">AD100+IF($T100 ="",AL100,0)</f>
        <v>12174.300000000001</v>
      </c>
      <c r="AQ100" s="391">
        <f t="shared" ref="AQ100" ca="1" si="3908">AP100*$Z100</f>
        <v>11048.785965000001</v>
      </c>
      <c r="AR100" s="394">
        <f t="shared" ref="AR100" ca="1" si="3909">IFERROR(AQ100/AA$4,0)</f>
        <v>1.9677407589429666E-2</v>
      </c>
      <c r="AS100" s="209" t="str">
        <f t="shared" ref="AS100" ca="1" si="3910">IF(SUM(AF100,AN100,AR100)&lt;&gt;0,"V","")</f>
        <v>V</v>
      </c>
      <c r="AT100" s="214">
        <f>415</f>
        <v>415</v>
      </c>
      <c r="AU100" s="312">
        <f t="shared" ref="AU100" ca="1" si="3911">IFERROR($X100/AV100-1,"")</f>
        <v>6.1315758503001083E-2</v>
      </c>
      <c r="AV100" s="215">
        <v>84.97</v>
      </c>
      <c r="AW100" s="199">
        <f t="shared" ref="AW100" ca="1" si="3912">AT100*$X100</f>
        <v>37424.700000000004</v>
      </c>
      <c r="AX100" s="199">
        <f t="shared" ref="AX100" ca="1" si="3913">AW100*$Z100</f>
        <v>33964.786485000004</v>
      </c>
      <c r="AY100" s="216">
        <f t="shared" ref="AY100" ca="1" si="3914">IFERROR(AX100/AT$4,0)</f>
        <v>1.9611942578452866E-2</v>
      </c>
      <c r="AZ100" s="202">
        <f t="shared" ref="AZ100" ca="1" si="3915">BA100/$X100</f>
        <v>8.2115185325392304</v>
      </c>
      <c r="BA100" s="203">
        <f t="shared" ref="BA100" ca="1" si="3916">BB100/$Z100</f>
        <v>740.51474126438779</v>
      </c>
      <c r="BB100" s="203">
        <f t="shared" ref="BB100" ca="1" si="3917">BC100*AT$4</f>
        <v>672.05415343449511</v>
      </c>
      <c r="BC100" s="204">
        <f t="shared" ref="BC100:BC108" ca="1" si="3918">IF(AT$6&lt;&gt;"",$O100,$N100)-AY100</f>
        <v>3.8805742154713468E-4</v>
      </c>
      <c r="BD100" s="205"/>
      <c r="BE100" s="206">
        <f t="shared" ref="BE100" ca="1" si="3919">BD100*$X100</f>
        <v>0</v>
      </c>
      <c r="BF100" s="206">
        <f t="shared" ref="BF100" ca="1" si="3920">BE100*$Z100</f>
        <v>0</v>
      </c>
      <c r="BG100" s="207">
        <f t="shared" ref="BG100" ca="1" si="3921">IFERROR(BF100/AT$4,0)</f>
        <v>0</v>
      </c>
      <c r="BH100" s="391">
        <f t="shared" ref="BH100" si="3922">AT100+BD100</f>
        <v>415</v>
      </c>
      <c r="BI100" s="391">
        <f t="shared" ref="BI100" ca="1" si="3923">AW100+IF($T100 ="",BE100,0)</f>
        <v>37424.700000000004</v>
      </c>
      <c r="BJ100" s="391">
        <f t="shared" ref="BJ100" ca="1" si="3924">BI100*$Z100</f>
        <v>33964.786485000004</v>
      </c>
      <c r="BK100" s="394">
        <f t="shared" ref="BK100" ca="1" si="3925">IFERROR(BJ100/AT$4,0)</f>
        <v>1.9611942578452866E-2</v>
      </c>
      <c r="BL100" s="211" t="str">
        <f t="shared" ref="BL100" ca="1" si="3926">IF(SUM(AY100,BG100,BK100)&lt;&gt;0,"V","")</f>
        <v>V</v>
      </c>
      <c r="BM100" s="214">
        <f>70</f>
        <v>70</v>
      </c>
      <c r="BN100" s="312">
        <f t="shared" ref="BN100" ca="1" si="3927">IFERROR($X100/BO100-1,"")</f>
        <v>6.1315758503001083E-2</v>
      </c>
      <c r="BO100" s="215">
        <v>84.97</v>
      </c>
      <c r="BP100" s="199">
        <f t="shared" ref="BP100" ca="1" si="3928">BM100*$X100</f>
        <v>6312.6</v>
      </c>
      <c r="BQ100" s="199">
        <f t="shared" ref="BQ100" ca="1" si="3929">BP100*$Z100</f>
        <v>5729.0001300000004</v>
      </c>
      <c r="BR100" s="216">
        <f t="shared" ref="BR100" ca="1" si="3930">IFERROR(BQ100/BM$4,0)</f>
        <v>2.0103712803219823E-2</v>
      </c>
      <c r="BS100" s="202">
        <f t="shared" ref="BS100" ca="1" si="3931">BT100/$X100</f>
        <v>-0.36112216168472366</v>
      </c>
      <c r="BT100" s="203">
        <f t="shared" ref="BT100" ca="1" si="3932">BU100/$Z100</f>
        <v>-32.565996540728385</v>
      </c>
      <c r="BU100" s="203">
        <f t="shared" ref="BU100" ca="1" si="3933">BV100*BM$4</f>
        <v>-29.555270160538047</v>
      </c>
      <c r="BV100" s="204">
        <f t="shared" ref="BV100:BV108" ca="1" si="3934">IF(BM$6&lt;&gt;"",$O100,$N100)-BR100</f>
        <v>-1.0371280321982285E-4</v>
      </c>
      <c r="BW100" s="205"/>
      <c r="BX100" s="206">
        <f t="shared" ref="BX100" ca="1" si="3935">BW100*$X100</f>
        <v>0</v>
      </c>
      <c r="BY100" s="206">
        <f t="shared" ref="BY100" ca="1" si="3936">BX100*$Z100</f>
        <v>0</v>
      </c>
      <c r="BZ100" s="207">
        <f t="shared" ref="BZ100" ca="1" si="3937">IFERROR(BY100/BM$4,0)</f>
        <v>0</v>
      </c>
      <c r="CA100" s="391">
        <f t="shared" ref="CA100" si="3938">BM100+BW100</f>
        <v>70</v>
      </c>
      <c r="CB100" s="391">
        <f t="shared" ref="CB100" ca="1" si="3939">BP100+IF($T100 ="",BX100,0)</f>
        <v>6312.6</v>
      </c>
      <c r="CC100" s="391">
        <f t="shared" ref="CC100" ca="1" si="3940">CB100*$Z100</f>
        <v>5729.0001300000004</v>
      </c>
      <c r="CD100" s="394">
        <f t="shared" ref="CD100" ca="1" si="3941">IFERROR(CC100/BM$4,0)</f>
        <v>2.0103712803219823E-2</v>
      </c>
      <c r="CE100" s="212" t="str">
        <f t="shared" ref="CE100" ca="1" si="3942">IF(SUM(BR100,BZ100,CD100)&lt;&gt;0,"V","")</f>
        <v>V</v>
      </c>
      <c r="CF100" s="214">
        <f>200</f>
        <v>200</v>
      </c>
      <c r="CG100" s="312">
        <f t="shared" ref="CG100" ca="1" si="3943">IFERROR($X100/CH100-1,"")</f>
        <v>6.1315758503001083E-2</v>
      </c>
      <c r="CH100" s="215">
        <v>84.97</v>
      </c>
      <c r="CI100" s="199">
        <f t="shared" ref="CI100" ca="1" si="3944">CF100*$X100</f>
        <v>18036</v>
      </c>
      <c r="CJ100" s="199">
        <f t="shared" ref="CJ100" ca="1" si="3945">CI100*$Z100</f>
        <v>16368.5718</v>
      </c>
      <c r="CK100" s="216">
        <f t="shared" ref="CK100" ca="1" si="3946">IFERROR(CJ100/CF$4,0)</f>
        <v>1.8496406311985871E-2</v>
      </c>
      <c r="CL100" s="202">
        <f t="shared" ref="CL100" ca="1" si="3947">CM100/$X100</f>
        <v>16.258225113056518</v>
      </c>
      <c r="CM100" s="203">
        <f t="shared" ref="CM100" ca="1" si="3948">CN100/$Z100</f>
        <v>1466.1667406954371</v>
      </c>
      <c r="CN100" s="203">
        <f t="shared" ref="CN100" ca="1" si="3949">CO100*CF$4</f>
        <v>1330.6196255181439</v>
      </c>
      <c r="CO100" s="204">
        <f t="shared" ref="CO100:CO108" ca="1" si="3950">IF(CF$6&lt;&gt;"",$O100,$N100)-CK100</f>
        <v>1.5035936880141293E-3</v>
      </c>
      <c r="CP100" s="205"/>
      <c r="CQ100" s="206">
        <f t="shared" ref="CQ100" ca="1" si="3951">CP100*$X100</f>
        <v>0</v>
      </c>
      <c r="CR100" s="206">
        <f t="shared" ref="CR100" ca="1" si="3952">CQ100*$Z100</f>
        <v>0</v>
      </c>
      <c r="CS100" s="207">
        <f t="shared" ref="CS100" ca="1" si="3953">IFERROR(CR100/CF$4,0)</f>
        <v>0</v>
      </c>
      <c r="CT100" s="391">
        <f t="shared" ref="CT100" si="3954">CF100+CP100</f>
        <v>200</v>
      </c>
      <c r="CU100" s="391">
        <f t="shared" ref="CU100" ca="1" si="3955">CI100+IF($T100 ="",CQ100,0)</f>
        <v>18036</v>
      </c>
      <c r="CV100" s="391">
        <f t="shared" ref="CV100" ca="1" si="3956">CU100*$Z100</f>
        <v>16368.5718</v>
      </c>
      <c r="CW100" s="394">
        <f t="shared" ref="CW100" ca="1" si="3957">IFERROR(CV100/CF$4,0)</f>
        <v>1.8496406311985871E-2</v>
      </c>
      <c r="CX100" s="211" t="str">
        <f t="shared" ref="CX100" ca="1" si="3958">IF(SUM(CK100,CS100,CW100)&lt;&gt;0,"V","")</f>
        <v>V</v>
      </c>
      <c r="CY100" s="197">
        <f>880</f>
        <v>880</v>
      </c>
      <c r="CZ100" s="312">
        <f t="shared" ref="CZ100" ca="1" si="3959">IFERROR($X100/DA100-1,"")</f>
        <v>6.1190868439632951E-2</v>
      </c>
      <c r="DA100" s="395">
        <v>84.98</v>
      </c>
      <c r="DB100" s="199">
        <f t="shared" ref="DB100" ca="1" si="3960">CY100*$X100</f>
        <v>79358.400000000009</v>
      </c>
      <c r="DC100" s="199">
        <f t="shared" ref="DC100" ca="1" si="3961">DB100*$Z100</f>
        <v>72021.715920000002</v>
      </c>
      <c r="DD100" s="216">
        <f t="shared" ref="DD100" ca="1" si="3962">IFERROR(DC100/CY$4,0)</f>
        <v>2.0087391108991305E-2</v>
      </c>
      <c r="DE100" s="202">
        <f t="shared" ref="DE100" ca="1" si="3963">DF100/$X100</f>
        <v>-3.8284800397959651</v>
      </c>
      <c r="DF100" s="203">
        <f t="shared" ref="DF100" ca="1" si="3964">DG100/$Z100</f>
        <v>-345.25232998880017</v>
      </c>
      <c r="DG100" s="203">
        <f t="shared" ref="DG100" ca="1" si="3965">DH100*CY$4</f>
        <v>-313.3337520813356</v>
      </c>
      <c r="DH100" s="204">
        <f t="shared" ref="DH100:DH108" ca="1" si="3966">IF(CY$6&lt;&gt;"",$O100,$N100)-DD100</f>
        <v>-8.7391108991304728E-5</v>
      </c>
      <c r="DI100" s="205"/>
      <c r="DJ100" s="206">
        <f t="shared" ref="DJ100" ca="1" si="3967">DI100*$X100</f>
        <v>0</v>
      </c>
      <c r="DK100" s="206">
        <f t="shared" ref="DK100" ca="1" si="3968">DJ100*$Z100</f>
        <v>0</v>
      </c>
      <c r="DL100" s="207">
        <f t="shared" ref="DL100" ca="1" si="3969">IFERROR(DK100/CY$4,0)</f>
        <v>0</v>
      </c>
      <c r="DM100" s="391">
        <f t="shared" ref="DM100" si="3970">CY100+DI100</f>
        <v>880</v>
      </c>
      <c r="DN100" s="391">
        <f t="shared" ref="DN100" ca="1" si="3971">DB100+IF($T100 ="",DJ100,0)</f>
        <v>79358.400000000009</v>
      </c>
      <c r="DO100" s="391">
        <f t="shared" ref="DO100" ca="1" si="3972">DN100*$Z100</f>
        <v>72021.715920000002</v>
      </c>
      <c r="DP100" s="394">
        <f t="shared" ref="DP100" ca="1" si="3973">IFERROR(DO100/CY$4,0)</f>
        <v>2.0087391108991305E-2</v>
      </c>
      <c r="DQ100" s="209" t="str">
        <f t="shared" ref="DQ100" ca="1" si="3974">IF(SUM(DD100,DL100,DP100)&lt;&gt;0,"V","")</f>
        <v>V</v>
      </c>
      <c r="DR100" s="197">
        <f>180</f>
        <v>180</v>
      </c>
      <c r="DS100" s="312">
        <f t="shared" ref="DS100:DS108" ca="1" si="3975">IFERROR($X100/DT100-1,"")</f>
        <v>6.1315758503001083E-2</v>
      </c>
      <c r="DT100" s="395">
        <v>84.97</v>
      </c>
      <c r="DU100" s="199">
        <f t="shared" ref="DU100:DU108" ca="1" si="3976">DR100*$X100</f>
        <v>16232.400000000001</v>
      </c>
      <c r="DV100" s="199">
        <f t="shared" ref="DV100:DV108" ca="1" si="3977">DU100*$Z100</f>
        <v>14731.714620000001</v>
      </c>
      <c r="DW100" s="216">
        <f t="shared" ca="1" si="3627"/>
        <v>2.0992530794160368E-2</v>
      </c>
      <c r="DX100" s="202">
        <f t="shared" ref="DX100:DX108" ca="1" si="3978">DY100/$X100</f>
        <v>-8.5104337681173732</v>
      </c>
      <c r="DY100" s="203">
        <f t="shared" ref="DY100:DY108" ca="1" si="3979">DZ100/$Z100</f>
        <v>-767.47091720882474</v>
      </c>
      <c r="DZ100" s="203">
        <f t="shared" ref="DZ100:DZ108" ca="1" si="3980">EA100*DR$4</f>
        <v>-696.51823091286883</v>
      </c>
      <c r="EA100" s="204">
        <f t="shared" ref="EA100:EA108" ca="1" si="3981">IF(DR$6&lt;&gt;"",$O100,$N100)-DW100</f>
        <v>-9.9253079416036782E-4</v>
      </c>
      <c r="EB100" s="205"/>
      <c r="EC100" s="206">
        <f t="shared" ref="EC100:EC108" ca="1" si="3982">EB100*$X100</f>
        <v>0</v>
      </c>
      <c r="ED100" s="206">
        <f t="shared" ref="ED100:ED108" ca="1" si="3983">EC100*$Z100</f>
        <v>0</v>
      </c>
      <c r="EE100" s="207">
        <f t="shared" ca="1" si="3633"/>
        <v>0</v>
      </c>
      <c r="EF100" s="391">
        <f t="shared" ref="EF100:EF108" si="3984">DR100+EB100</f>
        <v>180</v>
      </c>
      <c r="EG100" s="391">
        <f t="shared" ref="EG100:EG108" ca="1" si="3985">DU100+IF($T100 ="",EC100,0)</f>
        <v>16232.400000000001</v>
      </c>
      <c r="EH100" s="391">
        <f t="shared" ref="EH100:EH108" ca="1" si="3986">EG100*$Z100</f>
        <v>14731.714620000001</v>
      </c>
      <c r="EI100" s="394">
        <f t="shared" ca="1" si="3636"/>
        <v>2.0992530794160368E-2</v>
      </c>
      <c r="EJ100" s="214"/>
      <c r="EK100" s="312" t="str">
        <f t="shared" ref="EK100" ca="1" si="3987">IFERROR($X100/EL100-1,"")</f>
        <v/>
      </c>
      <c r="EL100" s="222"/>
      <c r="EM100" s="199">
        <f t="shared" ref="EM100" ca="1" si="3988">EJ100*$X100</f>
        <v>0</v>
      </c>
      <c r="EN100" s="199">
        <f t="shared" ref="EN100" ca="1" si="3989">EM100*$Z100</f>
        <v>0</v>
      </c>
      <c r="EO100" s="216">
        <f t="shared" ref="EO100" ca="1" si="3990">IFERROR(EN100/EJ$4,0)</f>
        <v>0</v>
      </c>
      <c r="EP100" s="202">
        <f t="shared" ref="EP100" ca="1" si="3991">EQ100/$X100</f>
        <v>173.4416948246799</v>
      </c>
      <c r="EQ100" s="203">
        <f t="shared" ref="EQ100" ca="1" si="3992">ER100/$Z100</f>
        <v>15640.972039289634</v>
      </c>
      <c r="ER100" s="203">
        <f t="shared" ref="ER100" ca="1" si="3993">ES100*EJ$4</f>
        <v>14194.964174257308</v>
      </c>
      <c r="ES100" s="204">
        <f t="shared" ref="ES100:ES108" ca="1" si="3994">IF(EJ$6&lt;&gt;"",$O100,$N100)-EO100</f>
        <v>0.02</v>
      </c>
      <c r="ET100" s="205"/>
      <c r="EU100" s="206">
        <f t="shared" ref="EU100" ca="1" si="3995">ET100*$X100</f>
        <v>0</v>
      </c>
      <c r="EV100" s="206">
        <f t="shared" ref="EV100" ca="1" si="3996">EU100*$Z100</f>
        <v>0</v>
      </c>
      <c r="EW100" s="207">
        <f t="shared" ref="EW100" ca="1" si="3997">IFERROR(EV100/EJ$4,0)</f>
        <v>0</v>
      </c>
      <c r="EX100" s="391">
        <f t="shared" ref="EX100" si="3998">EJ100+ET100</f>
        <v>0</v>
      </c>
      <c r="EY100" s="391">
        <f t="shared" ref="EY100" ca="1" si="3999">EM100+IF($T100 ="",EU100,0)</f>
        <v>0</v>
      </c>
      <c r="EZ100" s="391">
        <f t="shared" ref="EZ100" ca="1" si="4000">EY100*$Z100</f>
        <v>0</v>
      </c>
      <c r="FA100" s="394">
        <f t="shared" ref="FA100" ca="1" si="4001">IFERROR(EZ100/EJ$4,0)</f>
        <v>0</v>
      </c>
      <c r="FB100" s="212" t="str">
        <f t="shared" ref="FB100" ca="1" si="4002">IF(SUM(EO100,EW100,FA100)&lt;&gt;0,"V","")</f>
        <v/>
      </c>
      <c r="FC100" s="214"/>
      <c r="FD100" s="312" t="str">
        <f t="shared" ref="FD100" ca="1" si="4003">IFERROR($X100/FE100-1,"")</f>
        <v/>
      </c>
      <c r="FE100" s="215"/>
      <c r="FF100" s="199">
        <f t="shared" ref="FF100" ca="1" si="4004">FC100*$X100</f>
        <v>0</v>
      </c>
      <c r="FG100" s="199">
        <f t="shared" ref="FG100" ca="1" si="4005">FF100*$Z100</f>
        <v>0</v>
      </c>
      <c r="FH100" s="216">
        <f t="shared" ref="FH100" ca="1" si="4006">IFERROR(FG100/FC$4,0)</f>
        <v>0</v>
      </c>
      <c r="FI100" s="202">
        <f t="shared" ref="FI100" ca="1" si="4007">FJ100/$X100</f>
        <v>1113.7507646503479</v>
      </c>
      <c r="FJ100" s="203">
        <f t="shared" ref="FJ100" ca="1" si="4008">FK100/$Z100</f>
        <v>100438.04395616839</v>
      </c>
      <c r="FK100" s="203">
        <f t="shared" ref="FK100" ca="1" si="4009">FL100*FC$4</f>
        <v>91152.546792420617</v>
      </c>
      <c r="FL100" s="204">
        <f t="shared" ref="FL100:FL108" ca="1" si="4010">IF(FC$6&lt;&gt;"",$O100,$N100)-FH100</f>
        <v>0.02</v>
      </c>
      <c r="FM100" s="205"/>
      <c r="FN100" s="206">
        <f t="shared" ref="FN100" ca="1" si="4011">FM100*$X100</f>
        <v>0</v>
      </c>
      <c r="FO100" s="206">
        <f t="shared" ref="FO100" ca="1" si="4012">FN100*$Z100</f>
        <v>0</v>
      </c>
      <c r="FP100" s="207">
        <f t="shared" ref="FP100" ca="1" si="4013">IFERROR(FO100/FC$4,0)</f>
        <v>0</v>
      </c>
      <c r="FQ100" s="391">
        <f t="shared" ref="FQ100" si="4014">FC100+FM100</f>
        <v>0</v>
      </c>
      <c r="FR100" s="391">
        <f t="shared" ref="FR100" ca="1" si="4015">FF100+IF($T100 ="",FN100,0)</f>
        <v>0</v>
      </c>
      <c r="FS100" s="391">
        <f t="shared" ref="FS100" ca="1" si="4016">FR100*$Z100</f>
        <v>0</v>
      </c>
      <c r="FT100" s="394">
        <f t="shared" ref="FT100" ca="1" si="4017">IFERROR(FS100/FC$4,0)</f>
        <v>0</v>
      </c>
      <c r="FU100" s="209" t="str">
        <f t="shared" ref="FU100" ca="1" si="4018">IF(SUM(FH100,FP100,FT100)&lt;&gt;0,"V","")</f>
        <v/>
      </c>
    </row>
    <row r="101" spans="1:177" outlineLevel="2" x14ac:dyDescent="0.2">
      <c r="A101" s="366"/>
      <c r="B101" s="366"/>
      <c r="C101" s="367" t="str">
        <f ca="1">OFFSET(Origine,MATCH($F101,Descrizioni,0),MATCH(C$15,Intestazioni,0)-1,1,1)</f>
        <v>IE00BKWQ0G16:EUR:P</v>
      </c>
      <c r="D101" s="368" t="str">
        <f ca="1">OFFSET(Origine,MATCH($F101,Descrizioni,0),MATCH(D$15,Intestazioni,0)-1,1,1)</f>
        <v>IE00BKWQ0G16</v>
      </c>
      <c r="E101" s="369" t="str">
        <f ca="1">OFFSET(Origine,MATCH($F101,Descrizioni,0),MATCH(E$15,Intestazioni,0)-1,1,1)</f>
        <v>24767127</v>
      </c>
      <c r="F101" s="390" t="s">
        <v>433</v>
      </c>
      <c r="G101" s="414"/>
      <c r="H101" s="1713" t="str">
        <f t="shared" ca="1" si="3643"/>
        <v></v>
      </c>
      <c r="I101" s="1683" t="str">
        <f ca="1">IF(OFFSET(Origine,MATCH($F101,Descrizioni,0),MATCH(I$15,Intestazioni,0)-1,1,1)&lt;&gt;"",HYPERLINK(OFFSET(Origine,MATCH($F101,Descrizioni,0),MATCH(I$15,Intestazioni,0)-1,1,1),"i"),"")</f>
        <v>i</v>
      </c>
      <c r="J101" s="1713" t="str">
        <f ca="1">IF(OFFSET(Origine,MATCH($F101,Descrizioni,0),MATCH(J$15,Intestazioni,0)-1,1,1)&lt;&gt;"",HYPERLINK(OFFSET(Origine,MATCH($F101,Descrizioni,0),MATCH(J$15,Intestazioni,0)-1,1,1),""),"")</f>
        <v></v>
      </c>
      <c r="K101" s="1716" t="str">
        <f ca="1">IF(OFFSET(Origine,MATCH($F101,Descrizioni,0),MATCH(K$15,Intestazioni,0)-1,1,1)&lt;&gt;"",HYPERLINK(OFFSET(Origine,MATCH($F101,Descrizioni,0),MATCH(K$15,Intestazioni,0)-1,1,1),""),"")</f>
        <v></v>
      </c>
      <c r="L101" s="1717" t="str">
        <f ca="1">IF(OFFSET(Origine,MATCH($F101,Descrizioni,0),MATCH(L$15,Intestazioni,0)-1,1,1)&lt;&gt;"",HYPERLINK("https://www.zonebourse.com/mods_a/charts/TV/inc_dyna_graph.php?c="&amp;OFFSET(Origine,MATCH($F101,Descrizioni,0),MATCH(L$15,Intestazioni,0)-1,1,1)&amp;"&amp;style=TradingView.CANDLES&amp;showAT=1",""),"")</f>
        <v></v>
      </c>
      <c r="M101" s="366" t="str">
        <f ca="1">(OFFSET(Origine,MATCH($F101,Descrizioni,0),MATCH(M$15,Intestazioni,0)-1,1,1))</f>
        <v>Unit</v>
      </c>
      <c r="N101" s="417"/>
      <c r="O101" s="417">
        <v>0.06</v>
      </c>
      <c r="P101" s="418">
        <f t="shared" ca="1" si="2532"/>
        <v>0</v>
      </c>
      <c r="Q101" s="391">
        <f t="array" aca="1" ref="Q101" ca="1">SUM(IF($AA$15:$FT$15="I_pos",AA101:FT101))</f>
        <v>750</v>
      </c>
      <c r="R101" s="391">
        <f t="array" aca="1" ref="R101" ca="1">SUM(IF($AA$15:$FT$15="P_Pos",AA101:FT101))</f>
        <v>-750</v>
      </c>
      <c r="S101" s="367"/>
      <c r="T101" s="391"/>
      <c r="U101" s="375">
        <f ca="1">OFFSET(Origine,MATCH($F101,Descrizioni,0),MATCH(U$15,Intestazioni,0)-1,1,1)</f>
        <v>-2.4661090279781001E-2</v>
      </c>
      <c r="V101" s="391">
        <f t="array" aca="1" ref="V101" ca="1">SUM(IF($AA$15:$FT$15="O_Pos",AA101:FT101))</f>
        <v>0</v>
      </c>
      <c r="W101" s="367" t="str">
        <f ca="1">OFFSET(Origine,MATCH($F101,Descrizioni,0),MATCH(W$15,Intestazioni,0)-1,1,1)</f>
        <v>EUR</v>
      </c>
      <c r="X101" s="392">
        <f ca="1">_xlfn.NUMBERVALUE(OFFSET(Origine,MATCH($F101,Descrizioni,0),MATCH(X$15,Intestazioni,0)-1,1,1))</f>
        <v>135.26</v>
      </c>
      <c r="Y101" s="393">
        <f ca="1">_xlfn.NUMBERVALUE(OFFSET(Origine,MATCH($F101,Descrizioni,0),MATCH(Y$15,Intestazioni,0)-1,1,1))</f>
        <v>0</v>
      </c>
      <c r="Z101" s="378">
        <f ca="1">_xlfn.NUMBERVALUE(OFFSET(Origine,MATCH(W101&amp;"/"&amp;MRif,LUKB_Name,0),MATCH("Price",Intestazioni,0)-1,1,1))</f>
        <v>0.90754999999999997</v>
      </c>
      <c r="AA101" s="214">
        <f>220+-220</f>
        <v>0</v>
      </c>
      <c r="AB101" s="312" t="str">
        <f ca="1">IFERROR($X101/AC101-1,"")</f>
        <v/>
      </c>
      <c r="AC101" s="215"/>
      <c r="AD101" s="199">
        <f ca="1">AA101*$X101</f>
        <v>0</v>
      </c>
      <c r="AE101" s="199">
        <f ca="1">AD101*$Z101</f>
        <v>0</v>
      </c>
      <c r="AF101" s="216">
        <f ca="1">IFERROR(AE101/AA$4,0)</f>
        <v>0</v>
      </c>
      <c r="AG101" s="202">
        <f ca="1">AH101/$X101</f>
        <v>0</v>
      </c>
      <c r="AH101" s="203">
        <f ca="1">AI101/$Z101</f>
        <v>0</v>
      </c>
      <c r="AI101" s="203">
        <f ca="1">AJ101*AA$4</f>
        <v>0</v>
      </c>
      <c r="AJ101" s="204">
        <f t="shared" ca="1" si="3902"/>
        <v>0</v>
      </c>
      <c r="AK101" s="205"/>
      <c r="AL101" s="206">
        <f ca="1">AK101*$X101</f>
        <v>0</v>
      </c>
      <c r="AM101" s="206">
        <f ca="1">AL101*$Z101</f>
        <v>0</v>
      </c>
      <c r="AN101" s="207">
        <f ca="1">IFERROR(AM101/AA$4,0)</f>
        <v>0</v>
      </c>
      <c r="AO101" s="391">
        <f>AA101+AK101</f>
        <v>0</v>
      </c>
      <c r="AP101" s="391">
        <f ca="1">AD101+IF($T101 ="",AL101,0)</f>
        <v>0</v>
      </c>
      <c r="AQ101" s="391">
        <f ca="1">AP101*$Z101</f>
        <v>0</v>
      </c>
      <c r="AR101" s="394">
        <f ca="1">IFERROR(AQ101/AA$4,0)</f>
        <v>0</v>
      </c>
      <c r="AS101" s="209" t="str">
        <f ca="1">IF(SUM(AF101,AN101,AR101)&lt;&gt;0,"V","")</f>
        <v/>
      </c>
      <c r="AT101" s="214">
        <f>650+-650</f>
        <v>0</v>
      </c>
      <c r="AU101" s="312" t="str">
        <f ca="1">IFERROR($X101/AV101-1,"")</f>
        <v/>
      </c>
      <c r="AV101" s="215"/>
      <c r="AW101" s="199">
        <f ca="1">AT101*$X101</f>
        <v>0</v>
      </c>
      <c r="AX101" s="199">
        <f ca="1">AW101*$Z101</f>
        <v>0</v>
      </c>
      <c r="AY101" s="216">
        <f ca="1">IFERROR(AX101/AT$4,0)</f>
        <v>0</v>
      </c>
      <c r="AZ101" s="202">
        <f ca="1">BA101/$X101</f>
        <v>0</v>
      </c>
      <c r="BA101" s="203">
        <f ca="1">BB101/$Z101</f>
        <v>0</v>
      </c>
      <c r="BB101" s="203">
        <f ca="1">BC101*AT$4</f>
        <v>0</v>
      </c>
      <c r="BC101" s="204">
        <f t="shared" ca="1" si="3918"/>
        <v>0</v>
      </c>
      <c r="BD101" s="205"/>
      <c r="BE101" s="206">
        <f ca="1">BD101*$X101</f>
        <v>0</v>
      </c>
      <c r="BF101" s="206">
        <f ca="1">BE101*$Z101</f>
        <v>0</v>
      </c>
      <c r="BG101" s="207">
        <f ca="1">IFERROR(BF101/AT$4,0)</f>
        <v>0</v>
      </c>
      <c r="BH101" s="391">
        <f>AT101+BD101</f>
        <v>0</v>
      </c>
      <c r="BI101" s="391">
        <f ca="1">AW101+IF($T101 ="",BE101,0)</f>
        <v>0</v>
      </c>
      <c r="BJ101" s="391">
        <f ca="1">BI101*$Z101</f>
        <v>0</v>
      </c>
      <c r="BK101" s="394">
        <f ca="1">IFERROR(BJ101/AT$4,0)</f>
        <v>0</v>
      </c>
      <c r="BL101" s="211" t="str">
        <f ca="1">IF(SUM(AY101,BG101,BK101)&lt;&gt;0,"V","")</f>
        <v/>
      </c>
      <c r="BM101" s="214">
        <f>100+-100</f>
        <v>0</v>
      </c>
      <c r="BN101" s="312" t="str">
        <f ca="1">IFERROR($X101/BO101-1,"")</f>
        <v/>
      </c>
      <c r="BO101" s="215"/>
      <c r="BP101" s="199">
        <f ca="1">BM101*$X101</f>
        <v>0</v>
      </c>
      <c r="BQ101" s="199">
        <f ca="1">BP101*$Z101</f>
        <v>0</v>
      </c>
      <c r="BR101" s="216">
        <f ca="1">IFERROR(BQ101/BM$4,0)</f>
        <v>0</v>
      </c>
      <c r="BS101" s="202">
        <f ca="1">BT101/$X101</f>
        <v>0</v>
      </c>
      <c r="BT101" s="203">
        <f ca="1">BU101/$Z101</f>
        <v>0</v>
      </c>
      <c r="BU101" s="203">
        <f ca="1">BV101*BM$4</f>
        <v>0</v>
      </c>
      <c r="BV101" s="204">
        <f t="shared" ca="1" si="3934"/>
        <v>0</v>
      </c>
      <c r="BW101" s="205"/>
      <c r="BX101" s="206">
        <f ca="1">BW101*$X101</f>
        <v>0</v>
      </c>
      <c r="BY101" s="206">
        <f ca="1">BX101*$Z101</f>
        <v>0</v>
      </c>
      <c r="BZ101" s="207">
        <f ca="1">IFERROR(BY101/BM$4,0)</f>
        <v>0</v>
      </c>
      <c r="CA101" s="391">
        <f>BM101+BW101</f>
        <v>0</v>
      </c>
      <c r="CB101" s="391">
        <f ca="1">BP101+IF($T101 ="",BX101,0)</f>
        <v>0</v>
      </c>
      <c r="CC101" s="391">
        <f ca="1">CB101*$Z101</f>
        <v>0</v>
      </c>
      <c r="CD101" s="394">
        <f ca="1">IFERROR(CC101/BM$4,0)</f>
        <v>0</v>
      </c>
      <c r="CE101" s="212" t="str">
        <f ca="1">IF(SUM(BR101,BZ101,CD101)&lt;&gt;0,"V","")</f>
        <v/>
      </c>
      <c r="CF101" s="214">
        <f>250+-250</f>
        <v>0</v>
      </c>
      <c r="CG101" s="312" t="str">
        <f ca="1">IFERROR($X101/CH101-1,"")</f>
        <v/>
      </c>
      <c r="CH101" s="215"/>
      <c r="CI101" s="199">
        <f ca="1">CF101*$X101</f>
        <v>0</v>
      </c>
      <c r="CJ101" s="199">
        <f ca="1">CI101*$Z101</f>
        <v>0</v>
      </c>
      <c r="CK101" s="216">
        <f ca="1">IFERROR(CJ101/CF$4,0)</f>
        <v>0</v>
      </c>
      <c r="CL101" s="202">
        <f ca="1">CM101/$X101</f>
        <v>0</v>
      </c>
      <c r="CM101" s="203">
        <f ca="1">CN101/$Z101</f>
        <v>0</v>
      </c>
      <c r="CN101" s="203">
        <f ca="1">CO101*CF$4</f>
        <v>0</v>
      </c>
      <c r="CO101" s="204">
        <f t="shared" ca="1" si="3950"/>
        <v>0</v>
      </c>
      <c r="CP101" s="205"/>
      <c r="CQ101" s="206">
        <f ca="1">CP101*$X101</f>
        <v>0</v>
      </c>
      <c r="CR101" s="206">
        <f ca="1">CQ101*$Z101</f>
        <v>0</v>
      </c>
      <c r="CS101" s="207">
        <f ca="1">IFERROR(CR101/CF$4,0)</f>
        <v>0</v>
      </c>
      <c r="CT101" s="391">
        <f>CF101+CP101</f>
        <v>0</v>
      </c>
      <c r="CU101" s="391">
        <f ca="1">CI101+IF($T101 ="",CQ101,0)</f>
        <v>0</v>
      </c>
      <c r="CV101" s="391">
        <f ca="1">CU101*$Z101</f>
        <v>0</v>
      </c>
      <c r="CW101" s="394">
        <f ca="1">IFERROR(CV101/CF$4,0)</f>
        <v>0</v>
      </c>
      <c r="CX101" s="211" t="str">
        <f ca="1">IF(SUM(CK101,CS101,CW101)&lt;&gt;0,"V","")</f>
        <v/>
      </c>
      <c r="CY101" s="197">
        <f>1470+-720</f>
        <v>750</v>
      </c>
      <c r="CZ101" s="312">
        <f ca="1">IFERROR($X101/DA101-1,"")</f>
        <v>0.3456028651014722</v>
      </c>
      <c r="DA101" s="395">
        <v>100.52</v>
      </c>
      <c r="DB101" s="199">
        <f ca="1">CY101*$X101</f>
        <v>101445</v>
      </c>
      <c r="DC101" s="199">
        <f ca="1">DB101*$Z101</f>
        <v>92066.409749999992</v>
      </c>
      <c r="DD101" s="216">
        <f ca="1">IFERROR(DC101/CY$4,0)</f>
        <v>2.567800498815025E-2</v>
      </c>
      <c r="DE101" s="202">
        <f ca="1">DF101/$X101</f>
        <v>-750</v>
      </c>
      <c r="DF101" s="203">
        <f ca="1">DG101/$Z101</f>
        <v>-101445</v>
      </c>
      <c r="DG101" s="203">
        <f ca="1">DH101*CY$4</f>
        <v>-92066.409749999992</v>
      </c>
      <c r="DH101" s="204">
        <f t="shared" ca="1" si="3966"/>
        <v>-2.567800498815025E-2</v>
      </c>
      <c r="DI101" s="205"/>
      <c r="DJ101" s="206">
        <f ca="1">DI101*$X101</f>
        <v>0</v>
      </c>
      <c r="DK101" s="206">
        <f ca="1">DJ101*$Z101</f>
        <v>0</v>
      </c>
      <c r="DL101" s="207">
        <f ca="1">IFERROR(DK101/CY$4,0)</f>
        <v>0</v>
      </c>
      <c r="DM101" s="391">
        <f>CY101+DI101</f>
        <v>750</v>
      </c>
      <c r="DN101" s="391">
        <f ca="1">DB101+IF($T101 ="",DJ101,0)</f>
        <v>101445</v>
      </c>
      <c r="DO101" s="391">
        <f ca="1">DN101*$Z101</f>
        <v>92066.409749999992</v>
      </c>
      <c r="DP101" s="394">
        <f ca="1">IFERROR(DO101/CY$4,0)</f>
        <v>2.567800498815025E-2</v>
      </c>
      <c r="DQ101" s="209" t="str">
        <f ca="1">IF(SUM(DD101,DL101,DP101)&lt;&gt;0,"V","")</f>
        <v>V</v>
      </c>
      <c r="DR101" s="197"/>
      <c r="DS101" s="312" t="str">
        <f ca="1">IFERROR($X101/DT101-1,"")</f>
        <v/>
      </c>
      <c r="DT101" s="395"/>
      <c r="DU101" s="199">
        <f ca="1">DR101*$X101</f>
        <v>0</v>
      </c>
      <c r="DV101" s="199">
        <f ca="1">DU101*$Z101</f>
        <v>0</v>
      </c>
      <c r="DW101" s="216">
        <f ca="1">IFERROR(DV101/DR$4,0)</f>
        <v>0</v>
      </c>
      <c r="DX101" s="202">
        <f ca="1">DY101/$X101</f>
        <v>0</v>
      </c>
      <c r="DY101" s="203">
        <f ca="1">DZ101/$Z101</f>
        <v>0</v>
      </c>
      <c r="DZ101" s="203">
        <f ca="1">EA101*DR$4</f>
        <v>0</v>
      </c>
      <c r="EA101" s="204">
        <f t="shared" ca="1" si="3981"/>
        <v>0</v>
      </c>
      <c r="EB101" s="205"/>
      <c r="EC101" s="206">
        <f ca="1">EB101*$X101</f>
        <v>0</v>
      </c>
      <c r="ED101" s="206">
        <f ca="1">EC101*$Z101</f>
        <v>0</v>
      </c>
      <c r="EE101" s="207">
        <f ca="1">IFERROR(ED101/DR$4,0)</f>
        <v>0</v>
      </c>
      <c r="EF101" s="391">
        <f>DR101+EB101</f>
        <v>0</v>
      </c>
      <c r="EG101" s="391">
        <f ca="1">DU101+IF($T101 ="",EC101,0)</f>
        <v>0</v>
      </c>
      <c r="EH101" s="391">
        <f ca="1">EG101*$Z101</f>
        <v>0</v>
      </c>
      <c r="EI101" s="394">
        <f ca="1">IFERROR(EH101/DR$4,0)</f>
        <v>0</v>
      </c>
      <c r="EJ101" s="214"/>
      <c r="EK101" s="312" t="str">
        <f ca="1">IFERROR($X101/EL101-1,"")</f>
        <v/>
      </c>
      <c r="EL101" s="222"/>
      <c r="EM101" s="199">
        <f ca="1">EJ101*$X101</f>
        <v>0</v>
      </c>
      <c r="EN101" s="199">
        <f ca="1">EM101*$Z101</f>
        <v>0</v>
      </c>
      <c r="EO101" s="216">
        <f ca="1">IFERROR(EN101/EJ$4,0)</f>
        <v>0</v>
      </c>
      <c r="EP101" s="202">
        <f ca="1">EQ101/$X101</f>
        <v>0</v>
      </c>
      <c r="EQ101" s="203">
        <f ca="1">ER101/$Z101</f>
        <v>0</v>
      </c>
      <c r="ER101" s="203">
        <f ca="1">ES101*EJ$4</f>
        <v>0</v>
      </c>
      <c r="ES101" s="204">
        <f t="shared" ca="1" si="3994"/>
        <v>0</v>
      </c>
      <c r="ET101" s="205"/>
      <c r="EU101" s="206">
        <f ca="1">ET101*$X101</f>
        <v>0</v>
      </c>
      <c r="EV101" s="206">
        <f ca="1">EU101*$Z101</f>
        <v>0</v>
      </c>
      <c r="EW101" s="207">
        <f ca="1">IFERROR(EV101/EJ$4,0)</f>
        <v>0</v>
      </c>
      <c r="EX101" s="391">
        <f>EJ101+ET101</f>
        <v>0</v>
      </c>
      <c r="EY101" s="391">
        <f ca="1">EM101+IF($T101 ="",EU101,0)</f>
        <v>0</v>
      </c>
      <c r="EZ101" s="391">
        <f ca="1">EY101*$Z101</f>
        <v>0</v>
      </c>
      <c r="FA101" s="394">
        <f ca="1">IFERROR(EZ101/EJ$4,0)</f>
        <v>0</v>
      </c>
      <c r="FB101" s="212" t="str">
        <f ca="1">IF(SUM(EO101,EW101,FA101)&lt;&gt;0,"V","")</f>
        <v/>
      </c>
      <c r="FC101" s="214"/>
      <c r="FD101" s="312" t="str">
        <f ca="1">IFERROR($X101/FE101-1,"")</f>
        <v/>
      </c>
      <c r="FE101" s="215"/>
      <c r="FF101" s="199">
        <f ca="1">FC101*$X101</f>
        <v>0</v>
      </c>
      <c r="FG101" s="199">
        <f ca="1">FF101*$Z101</f>
        <v>0</v>
      </c>
      <c r="FH101" s="216">
        <f ca="1">IFERROR(FG101/FC$4,0)</f>
        <v>0</v>
      </c>
      <c r="FI101" s="202">
        <f ca="1">FJ101/$X101</f>
        <v>0</v>
      </c>
      <c r="FJ101" s="203">
        <f ca="1">FK101/$Z101</f>
        <v>0</v>
      </c>
      <c r="FK101" s="203">
        <f ca="1">FL101*FC$4</f>
        <v>0</v>
      </c>
      <c r="FL101" s="204">
        <f t="shared" ca="1" si="4010"/>
        <v>0</v>
      </c>
      <c r="FM101" s="205"/>
      <c r="FN101" s="206">
        <f ca="1">FM101*$X101</f>
        <v>0</v>
      </c>
      <c r="FO101" s="206">
        <f ca="1">FN101*$Z101</f>
        <v>0</v>
      </c>
      <c r="FP101" s="207">
        <f ca="1">IFERROR(FO101/FC$4,0)</f>
        <v>0</v>
      </c>
      <c r="FQ101" s="391">
        <f>FC101+FM101</f>
        <v>0</v>
      </c>
      <c r="FR101" s="391">
        <f ca="1">FF101+IF($T101 ="",FN101,0)</f>
        <v>0</v>
      </c>
      <c r="FS101" s="391">
        <f ca="1">FR101*$Z101</f>
        <v>0</v>
      </c>
      <c r="FT101" s="394">
        <f ca="1">IFERROR(FS101/FC$4,0)</f>
        <v>0</v>
      </c>
      <c r="FU101" s="209" t="str">
        <f ca="1">IF(SUM(FH101,FP101,FT101)&lt;&gt;0,"V","")</f>
        <v/>
      </c>
    </row>
    <row r="102" spans="1:177" outlineLevel="2" x14ac:dyDescent="0.2">
      <c r="A102" s="366"/>
      <c r="B102" s="366"/>
      <c r="C102" s="367" t="str">
        <f t="shared" ca="1" si="3641"/>
        <v>DE000A0H08J9:EUR:STU</v>
      </c>
      <c r="D102" s="368" t="str">
        <f ca="1">OFFSET(Origine,MATCH($F102,Descrizioni,0),MATCH(D$15,Intestazioni,0)-1,1,1)</f>
        <v>DE000A0H08J9</v>
      </c>
      <c r="E102" s="369" t="str">
        <f t="shared" ca="1" si="3642"/>
        <v>12980675</v>
      </c>
      <c r="F102" s="390" t="s">
        <v>2943</v>
      </c>
      <c r="G102" s="414"/>
      <c r="H102" s="1713" t="str">
        <f t="shared" ca="1" si="3643"/>
        <v></v>
      </c>
      <c r="I102" s="1683" t="str">
        <f t="shared" ca="1" si="3644"/>
        <v/>
      </c>
      <c r="J102" s="1713" t="str">
        <f t="shared" ca="1" si="3645"/>
        <v/>
      </c>
      <c r="K102" s="1716" t="str">
        <f t="shared" ca="1" si="3645"/>
        <v/>
      </c>
      <c r="L102" s="1717" t="str">
        <f t="shared" ca="1" si="3646"/>
        <v/>
      </c>
      <c r="M102" s="366" t="str">
        <f t="shared" ca="1" si="3647"/>
        <v>Unit</v>
      </c>
      <c r="N102" s="372">
        <v>0.02</v>
      </c>
      <c r="O102" s="419"/>
      <c r="P102" s="418">
        <f t="shared" ca="1" si="2532"/>
        <v>1.9944337472846414E-2</v>
      </c>
      <c r="Q102" s="391">
        <f t="array" aca="1" ref="Q102" ca="1">SUM(IF($AA$15:$FT$15="I_pos",AA102:FT102))</f>
        <v>1520</v>
      </c>
      <c r="R102" s="391">
        <f t="array" aca="1" ref="R102" ca="1">SUM(IF($AA$15:$FT$15="P_Pos",AA102:FT102))</f>
        <v>1036.8484342310753</v>
      </c>
      <c r="S102" s="367"/>
      <c r="T102" s="391"/>
      <c r="U102" s="375">
        <f t="shared" ca="1" si="3648"/>
        <v>-3.4458993797381196E-2</v>
      </c>
      <c r="V102" s="391">
        <f t="array" aca="1" ref="V102" ca="1">SUM(IF($AA$15:$FT$15="O_Pos",AA102:FT102))</f>
        <v>0</v>
      </c>
      <c r="W102" s="367" t="str">
        <f t="shared" ca="1" si="3649"/>
        <v>EUR</v>
      </c>
      <c r="X102" s="392">
        <f ca="1">_xlfn.NUMBERVALUE(OFFSET(Origine,MATCH($F102,Descrizioni,0),MATCH(X$15,Intestazioni,0)-1,1,1))</f>
        <v>112.2</v>
      </c>
      <c r="Y102" s="393">
        <f t="shared" ca="1" si="3651"/>
        <v>0</v>
      </c>
      <c r="Z102" s="378">
        <f t="shared" ref="Z102" ca="1" si="4019">_xlfn.NUMBERVALUE(OFFSET(Origine,MATCH(W102&amp;"/"&amp;MRif,LUKB_Name,0),MATCH("Price",Intestazioni,0)-1,1,1))</f>
        <v>0.90754999999999997</v>
      </c>
      <c r="AA102" s="214">
        <f>110</f>
        <v>110</v>
      </c>
      <c r="AB102" s="312">
        <f t="shared" ref="AB102" ca="1" si="4020">IFERROR($X102/AC102-1,"")</f>
        <v>6.8978658536585469E-2</v>
      </c>
      <c r="AC102" s="420">
        <v>104.96</v>
      </c>
      <c r="AD102" s="199">
        <f t="shared" ref="AD102" ca="1" si="4021">AA102*$X102</f>
        <v>12342</v>
      </c>
      <c r="AE102" s="199">
        <f t="shared" ref="AE102" ca="1" si="4022">AD102*$Z102</f>
        <v>11200.982099999999</v>
      </c>
      <c r="AF102" s="216">
        <f t="shared" ref="AF102" ca="1" si="4023">IFERROR(AE102/AA$4,0)</f>
        <v>1.9948462290952328E-2</v>
      </c>
      <c r="AG102" s="202">
        <f t="shared" ref="AG102" ca="1" si="4024">AH102/$X102</f>
        <v>0.28418972412801879</v>
      </c>
      <c r="AH102" s="203">
        <f t="shared" ref="AH102" ca="1" si="4025">AI102/$Z102</f>
        <v>31.886087047163709</v>
      </c>
      <c r="AI102" s="203">
        <f t="shared" ref="AI102" ca="1" si="4026">AJ102*AA$4</f>
        <v>28.938218299653425</v>
      </c>
      <c r="AJ102" s="204">
        <f t="shared" ca="1" si="3902"/>
        <v>5.1537709047672076E-5</v>
      </c>
      <c r="AK102" s="205"/>
      <c r="AL102" s="206">
        <f t="shared" ref="AL102" ca="1" si="4027">AK102*$X102</f>
        <v>0</v>
      </c>
      <c r="AM102" s="206">
        <f t="shared" ref="AM102" ca="1" si="4028">AL102*$Z102</f>
        <v>0</v>
      </c>
      <c r="AN102" s="207">
        <f t="shared" ref="AN102" ca="1" si="4029">IFERROR(AM102/AA$4,0)</f>
        <v>0</v>
      </c>
      <c r="AO102" s="391">
        <f t="shared" ref="AO102" si="4030">AA102+AK102</f>
        <v>110</v>
      </c>
      <c r="AP102" s="391">
        <f t="shared" ref="AP102" ca="1" si="4031">AD102+IF($T102 ="",AL102,0)</f>
        <v>12342</v>
      </c>
      <c r="AQ102" s="391">
        <f t="shared" ref="AQ102" ca="1" si="4032">AP102*$Z102</f>
        <v>11200.982099999999</v>
      </c>
      <c r="AR102" s="394">
        <f t="shared" ref="AR102" ca="1" si="4033">IFERROR(AQ102/AA$4,0)</f>
        <v>1.9948462290952328E-2</v>
      </c>
      <c r="AS102" s="209" t="str">
        <f t="shared" ref="AS102" ca="1" si="4034">IF(SUM(AF102,AN102,AR102)&lt;&gt;0,"V","")</f>
        <v>V</v>
      </c>
      <c r="AT102" s="214">
        <f>340</f>
        <v>340</v>
      </c>
      <c r="AU102" s="312">
        <f t="shared" ref="AU102" ca="1" si="4035">IFERROR($X102/AV102-1,"")</f>
        <v>6.8978658536585469E-2</v>
      </c>
      <c r="AV102" s="420">
        <v>104.96</v>
      </c>
      <c r="AW102" s="199">
        <f t="shared" ref="AW102" ca="1" si="4036">AT102*$X102</f>
        <v>38148</v>
      </c>
      <c r="AX102" s="199">
        <f t="shared" ref="AX102" ca="1" si="4037">AW102*$Z102</f>
        <v>34621.217400000001</v>
      </c>
      <c r="AY102" s="216">
        <f t="shared" ref="AY102" ca="1" si="4038">IFERROR(AX102/AT$4,0)</f>
        <v>1.9990978831702588E-2</v>
      </c>
      <c r="AZ102" s="202">
        <f t="shared" ref="AZ102" ca="1" si="4039">BA102/$X102</f>
        <v>0.15342906652754951</v>
      </c>
      <c r="BA102" s="203">
        <f t="shared" ref="BA102" ca="1" si="4040">BB102/$Z102</f>
        <v>17.214741264391055</v>
      </c>
      <c r="BB102" s="203">
        <f t="shared" ref="BB102" ca="1" si="4041">BC102*AT$4</f>
        <v>15.6232384344981</v>
      </c>
      <c r="BC102" s="204">
        <f t="shared" ca="1" si="3918"/>
        <v>9.0211682974121465E-6</v>
      </c>
      <c r="BD102" s="205"/>
      <c r="BE102" s="206">
        <f t="shared" ref="BE102" ca="1" si="4042">BD102*$X102</f>
        <v>0</v>
      </c>
      <c r="BF102" s="206">
        <f t="shared" ref="BF102" ca="1" si="4043">BE102*$Z102</f>
        <v>0</v>
      </c>
      <c r="BG102" s="207">
        <f t="shared" ref="BG102" ca="1" si="4044">IFERROR(BF102/AT$4,0)</f>
        <v>0</v>
      </c>
      <c r="BH102" s="391">
        <f t="shared" ref="BH102" si="4045">AT102+BD102</f>
        <v>340</v>
      </c>
      <c r="BI102" s="391">
        <f t="shared" ref="BI102" ca="1" si="4046">AW102+IF($T102 ="",BE102,0)</f>
        <v>38148</v>
      </c>
      <c r="BJ102" s="391">
        <f t="shared" ref="BJ102" ca="1" si="4047">BI102*$Z102</f>
        <v>34621.217400000001</v>
      </c>
      <c r="BK102" s="394">
        <f t="shared" ref="BK102" ca="1" si="4048">IFERROR(BJ102/AT$4,0)</f>
        <v>1.9990978831702588E-2</v>
      </c>
      <c r="BL102" s="211" t="str">
        <f t="shared" ref="BL102" ca="1" si="4049">IF(SUM(AY102,BG102,BK102)&lt;&gt;0,"V","")</f>
        <v>V</v>
      </c>
      <c r="BM102" s="214">
        <f>55</f>
        <v>55</v>
      </c>
      <c r="BN102" s="312">
        <f t="shared" ref="BN102" ca="1" si="4050">IFERROR($X102/BO102-1,"")</f>
        <v>6.8978658536585469E-2</v>
      </c>
      <c r="BO102" s="420">
        <v>104.96</v>
      </c>
      <c r="BP102" s="199">
        <f t="shared" ref="BP102" ca="1" si="4051">BM102*$X102</f>
        <v>6171</v>
      </c>
      <c r="BQ102" s="199">
        <f t="shared" ref="BQ102" ca="1" si="4052">BP102*$Z102</f>
        <v>5600.4910499999996</v>
      </c>
      <c r="BR102" s="216">
        <f t="shared" ref="BR102" ca="1" si="4053">IFERROR(BQ102/BM$4,0)</f>
        <v>1.9652759830920619E-2</v>
      </c>
      <c r="BS102" s="202">
        <f t="shared" ref="BS102" ca="1" si="4054">BT102/$X102</f>
        <v>0.97178256202560609</v>
      </c>
      <c r="BT102" s="203">
        <f t="shared" ref="BT102" ca="1" si="4055">BU102/$Z102</f>
        <v>109.03400345927301</v>
      </c>
      <c r="BU102" s="203">
        <f t="shared" ref="BU102" ca="1" si="4056">BV102*BM$4</f>
        <v>98.953809839463219</v>
      </c>
      <c r="BV102" s="204">
        <f t="shared" ca="1" si="3934"/>
        <v>3.472401690793811E-4</v>
      </c>
      <c r="BW102" s="205"/>
      <c r="BX102" s="206">
        <f t="shared" ref="BX102" ca="1" si="4057">BW102*$X102</f>
        <v>0</v>
      </c>
      <c r="BY102" s="206">
        <f t="shared" ref="BY102" ca="1" si="4058">BX102*$Z102</f>
        <v>0</v>
      </c>
      <c r="BZ102" s="207">
        <f t="shared" ref="BZ102" ca="1" si="4059">IFERROR(BY102/BM$4,0)</f>
        <v>0</v>
      </c>
      <c r="CA102" s="391">
        <f t="shared" ref="CA102" si="4060">BM102+BW102</f>
        <v>55</v>
      </c>
      <c r="CB102" s="391">
        <f t="shared" ref="CB102" ca="1" si="4061">BP102+IF($T102 ="",BX102,0)</f>
        <v>6171</v>
      </c>
      <c r="CC102" s="391">
        <f t="shared" ref="CC102" ca="1" si="4062">CB102*$Z102</f>
        <v>5600.4910499999996</v>
      </c>
      <c r="CD102" s="394">
        <f t="shared" ref="CD102" ca="1" si="4063">IFERROR(CC102/BM$4,0)</f>
        <v>1.9652759830920619E-2</v>
      </c>
      <c r="CE102" s="212" t="str">
        <f t="shared" ref="CE102" ca="1" si="4064">IF(SUM(BR102,BZ102,CD102)&lt;&gt;0,"V","")</f>
        <v>V</v>
      </c>
      <c r="CF102" s="214">
        <f>160</f>
        <v>160</v>
      </c>
      <c r="CG102" s="312">
        <f t="shared" ref="CG102" ca="1" si="4065">IFERROR($X102/CH102-1,"")</f>
        <v>6.8978658536585469E-2</v>
      </c>
      <c r="CH102" s="420">
        <v>104.96</v>
      </c>
      <c r="CI102" s="199">
        <f t="shared" ref="CI102" ca="1" si="4066">CF102*$X102</f>
        <v>17952</v>
      </c>
      <c r="CJ102" s="199">
        <f t="shared" ref="CJ102" ca="1" si="4067">CI102*$Z102</f>
        <v>16292.337599999999</v>
      </c>
      <c r="CK102" s="216">
        <f t="shared" ref="CK102" ca="1" si="4068">IFERROR(CJ102/CF$4,0)</f>
        <v>1.8410262037745085E-2</v>
      </c>
      <c r="CL102" s="202">
        <f t="shared" ref="CL102" ca="1" si="4069">CM102/$X102</f>
        <v>13.816102858248106</v>
      </c>
      <c r="CM102" s="203">
        <f t="shared" ref="CM102" ca="1" si="4070">CN102/$Z102</f>
        <v>1550.1667406954375</v>
      </c>
      <c r="CN102" s="203">
        <f t="shared" ref="CN102" ca="1" si="4071">CO102*CF$4</f>
        <v>1406.8538255181443</v>
      </c>
      <c r="CO102" s="204">
        <f t="shared" ca="1" si="3950"/>
        <v>1.5897379622549154E-3</v>
      </c>
      <c r="CP102" s="205"/>
      <c r="CQ102" s="206">
        <f t="shared" ref="CQ102" ca="1" si="4072">CP102*$X102</f>
        <v>0</v>
      </c>
      <c r="CR102" s="206">
        <f t="shared" ref="CR102" ca="1" si="4073">CQ102*$Z102</f>
        <v>0</v>
      </c>
      <c r="CS102" s="207">
        <f t="shared" ref="CS102" ca="1" si="4074">IFERROR(CR102/CF$4,0)</f>
        <v>0</v>
      </c>
      <c r="CT102" s="391">
        <f t="shared" ref="CT102" si="4075">CF102+CP102</f>
        <v>160</v>
      </c>
      <c r="CU102" s="391">
        <f t="shared" ref="CU102" ca="1" si="4076">CI102+IF($T102 ="",CQ102,0)</f>
        <v>17952</v>
      </c>
      <c r="CV102" s="391">
        <f t="shared" ref="CV102" ca="1" si="4077">CU102*$Z102</f>
        <v>16292.337599999999</v>
      </c>
      <c r="CW102" s="394">
        <f t="shared" ref="CW102" ca="1" si="4078">IFERROR(CV102/CF$4,0)</f>
        <v>1.8410262037745085E-2</v>
      </c>
      <c r="CX102" s="211" t="str">
        <f t="shared" ref="CX102" ca="1" si="4079">IF(SUM(CK102,CS102,CW102)&lt;&gt;0,"V","")</f>
        <v>V</v>
      </c>
      <c r="CY102" s="197">
        <f>715</f>
        <v>715</v>
      </c>
      <c r="CZ102" s="312">
        <f t="shared" ref="CZ102" ca="1" si="4080">IFERROR($X102/DA102-1,"")</f>
        <v>6.9590085795996126E-2</v>
      </c>
      <c r="DA102" s="395">
        <v>104.9</v>
      </c>
      <c r="DB102" s="199">
        <f t="shared" ref="DB102" ca="1" si="4081">CY102*$X102</f>
        <v>80223</v>
      </c>
      <c r="DC102" s="199">
        <f t="shared" ref="DC102" ca="1" si="4082">DB102*$Z102</f>
        <v>72806.383650000003</v>
      </c>
      <c r="DD102" s="216">
        <f t="shared" ref="DD102" ca="1" si="4083">IFERROR(DC102/CY$4,0)</f>
        <v>2.0306240762623863E-2</v>
      </c>
      <c r="DE102" s="202">
        <f t="shared" ref="DE102" ca="1" si="4084">DF102/$X102</f>
        <v>-10.782997593483113</v>
      </c>
      <c r="DF102" s="203">
        <f t="shared" ref="DF102" ca="1" si="4085">DG102/$Z102</f>
        <v>-1209.8523299888054</v>
      </c>
      <c r="DG102" s="203">
        <f t="shared" ref="DG102" ca="1" si="4086">DH102*CY$4</f>
        <v>-1098.0014820813403</v>
      </c>
      <c r="DH102" s="204">
        <f t="shared" ca="1" si="3966"/>
        <v>-3.0624076262386266E-4</v>
      </c>
      <c r="DI102" s="205"/>
      <c r="DJ102" s="206">
        <f t="shared" ref="DJ102" ca="1" si="4087">DI102*$X102</f>
        <v>0</v>
      </c>
      <c r="DK102" s="206">
        <f t="shared" ref="DK102" ca="1" si="4088">DJ102*$Z102</f>
        <v>0</v>
      </c>
      <c r="DL102" s="207">
        <f t="shared" ref="DL102" ca="1" si="4089">IFERROR(DK102/CY$4,0)</f>
        <v>0</v>
      </c>
      <c r="DM102" s="391">
        <f t="shared" ref="DM102" si="4090">CY102+DI102</f>
        <v>715</v>
      </c>
      <c r="DN102" s="391">
        <f t="shared" ref="DN102" ca="1" si="4091">DB102+IF($T102 ="",DJ102,0)</f>
        <v>80223</v>
      </c>
      <c r="DO102" s="391">
        <f t="shared" ref="DO102" ca="1" si="4092">DN102*$Z102</f>
        <v>72806.383650000003</v>
      </c>
      <c r="DP102" s="394">
        <f t="shared" ref="DP102" ca="1" si="4093">IFERROR(DO102/CY$4,0)</f>
        <v>2.0306240762623863E-2</v>
      </c>
      <c r="DQ102" s="209" t="str">
        <f t="shared" ref="DQ102" ca="1" si="4094">IF(SUM(DD102,DL102,DP102)&lt;&gt;0,"V","")</f>
        <v>V</v>
      </c>
      <c r="DR102" s="197">
        <f>140</f>
        <v>140</v>
      </c>
      <c r="DS102" s="312">
        <f t="shared" ref="DS102" ca="1" si="4095">IFERROR($X102/DT102-1,"")</f>
        <v>6.9590085795996126E-2</v>
      </c>
      <c r="DT102" s="395">
        <v>104.9</v>
      </c>
      <c r="DU102" s="199">
        <f t="shared" ref="DU102" ca="1" si="4096">DR102*$X102</f>
        <v>15708</v>
      </c>
      <c r="DV102" s="199">
        <f t="shared" ref="DV102" ca="1" si="4097">DU102*$Z102</f>
        <v>14255.795399999999</v>
      </c>
      <c r="DW102" s="216">
        <f t="shared" ref="DW102" ca="1" si="4098">IFERROR(DV102/DR$4,0)</f>
        <v>2.0314351156617078E-2</v>
      </c>
      <c r="DX102" s="202">
        <f t="shared" ref="DX102" ca="1" si="4099">DY102/$X102</f>
        <v>-2.1664074617542295</v>
      </c>
      <c r="DY102" s="203">
        <f t="shared" ref="DY102" ca="1" si="4100">DZ102/$Z102</f>
        <v>-243.07091720882457</v>
      </c>
      <c r="DZ102" s="203">
        <f t="shared" ref="DZ102" ca="1" si="4101">EA102*DR$4</f>
        <v>-220.59901091286872</v>
      </c>
      <c r="EA102" s="204">
        <f t="shared" ca="1" si="3981"/>
        <v>-3.1435115661707785E-4</v>
      </c>
      <c r="EB102" s="205"/>
      <c r="EC102" s="206">
        <f t="shared" ref="EC102" ca="1" si="4102">EB102*$X102</f>
        <v>0</v>
      </c>
      <c r="ED102" s="206">
        <f t="shared" ref="ED102" ca="1" si="4103">EC102*$Z102</f>
        <v>0</v>
      </c>
      <c r="EE102" s="207">
        <f t="shared" ref="EE102" ca="1" si="4104">IFERROR(ED102/DR$4,0)</f>
        <v>0</v>
      </c>
      <c r="EF102" s="391">
        <f t="shared" ref="EF102" si="4105">DR102+EB102</f>
        <v>140</v>
      </c>
      <c r="EG102" s="391">
        <f t="shared" ref="EG102" ca="1" si="4106">DU102+IF($T102 ="",EC102,0)</f>
        <v>15708</v>
      </c>
      <c r="EH102" s="391">
        <f t="shared" ref="EH102" ca="1" si="4107">EG102*$Z102</f>
        <v>14255.795399999999</v>
      </c>
      <c r="EI102" s="394">
        <f t="shared" ref="EI102" ca="1" si="4108">IFERROR(EH102/DR$4,0)</f>
        <v>2.0314351156617078E-2</v>
      </c>
      <c r="EJ102" s="214"/>
      <c r="EK102" s="312" t="str">
        <f t="shared" ref="EK102" ca="1" si="4109">IFERROR($X102/EL102-1,"")</f>
        <v/>
      </c>
      <c r="EL102" s="222"/>
      <c r="EM102" s="199">
        <f t="shared" ref="EM102" ca="1" si="4110">EJ102*$X102</f>
        <v>0</v>
      </c>
      <c r="EN102" s="199">
        <f t="shared" ref="EN102" ca="1" si="4111">EM102*$Z102</f>
        <v>0</v>
      </c>
      <c r="EO102" s="216">
        <f t="shared" ref="EO102" ca="1" si="4112">IFERROR(EN102/EJ$4,0)</f>
        <v>0</v>
      </c>
      <c r="EP102" s="202">
        <f t="shared" ref="EP102" ca="1" si="4113">EQ102/$X102</f>
        <v>139.40260284571866</v>
      </c>
      <c r="EQ102" s="203">
        <f t="shared" ref="EQ102" ca="1" si="4114">ER102/$Z102</f>
        <v>15640.972039289634</v>
      </c>
      <c r="ER102" s="203">
        <f t="shared" ref="ER102" ca="1" si="4115">ES102*EJ$4</f>
        <v>14194.964174257308</v>
      </c>
      <c r="ES102" s="204">
        <f t="shared" ca="1" si="3994"/>
        <v>0.02</v>
      </c>
      <c r="ET102" s="205"/>
      <c r="EU102" s="206">
        <f t="shared" ref="EU102" ca="1" si="4116">ET102*$X102</f>
        <v>0</v>
      </c>
      <c r="EV102" s="206">
        <f t="shared" ref="EV102" ca="1" si="4117">EU102*$Z102</f>
        <v>0</v>
      </c>
      <c r="EW102" s="207">
        <f t="shared" ref="EW102" ca="1" si="4118">IFERROR(EV102/EJ$4,0)</f>
        <v>0</v>
      </c>
      <c r="EX102" s="391">
        <f t="shared" ref="EX102" si="4119">EJ102+ET102</f>
        <v>0</v>
      </c>
      <c r="EY102" s="391">
        <f t="shared" ref="EY102" ca="1" si="4120">EM102+IF($T102 ="",EU102,0)</f>
        <v>0</v>
      </c>
      <c r="EZ102" s="391">
        <f t="shared" ref="EZ102" ca="1" si="4121">EY102*$Z102</f>
        <v>0</v>
      </c>
      <c r="FA102" s="394">
        <f t="shared" ref="FA102" ca="1" si="4122">IFERROR(EZ102/EJ$4,0)</f>
        <v>0</v>
      </c>
      <c r="FB102" s="212" t="str">
        <f t="shared" ref="FB102" ca="1" si="4123">IF(SUM(EO102,EW102,FA102)&lt;&gt;0,"V","")</f>
        <v/>
      </c>
      <c r="FC102" s="214"/>
      <c r="FD102" s="312" t="str">
        <f t="shared" ref="FD102" ca="1" si="4124">IFERROR($X102/FE102-1,"")</f>
        <v/>
      </c>
      <c r="FE102" s="215"/>
      <c r="FF102" s="199">
        <f t="shared" ref="FF102" ca="1" si="4125">FC102*$X102</f>
        <v>0</v>
      </c>
      <c r="FG102" s="199">
        <f t="shared" ref="FG102" ca="1" si="4126">FF102*$Z102</f>
        <v>0</v>
      </c>
      <c r="FH102" s="216">
        <f t="shared" ref="FH102" ca="1" si="4127">IFERROR(FG102/FC$4,0)</f>
        <v>0</v>
      </c>
      <c r="FI102" s="202">
        <f t="shared" ref="FI102" ca="1" si="4128">FJ102/$X102</f>
        <v>895.16973222966476</v>
      </c>
      <c r="FJ102" s="203">
        <f t="shared" ref="FJ102" ca="1" si="4129">FK102/$Z102</f>
        <v>100438.04395616839</v>
      </c>
      <c r="FK102" s="203">
        <f t="shared" ref="FK102" ca="1" si="4130">FL102*FC$4</f>
        <v>91152.546792420617</v>
      </c>
      <c r="FL102" s="204">
        <f t="shared" ca="1" si="4010"/>
        <v>0.02</v>
      </c>
      <c r="FM102" s="205"/>
      <c r="FN102" s="206">
        <f t="shared" ref="FN102" ca="1" si="4131">FM102*$X102</f>
        <v>0</v>
      </c>
      <c r="FO102" s="206">
        <f t="shared" ref="FO102" ca="1" si="4132">FN102*$Z102</f>
        <v>0</v>
      </c>
      <c r="FP102" s="207">
        <f t="shared" ref="FP102" ca="1" si="4133">IFERROR(FO102/FC$4,0)</f>
        <v>0</v>
      </c>
      <c r="FQ102" s="391">
        <f t="shared" ref="FQ102" si="4134">FC102+FM102</f>
        <v>0</v>
      </c>
      <c r="FR102" s="391">
        <f t="shared" ref="FR102" ca="1" si="4135">FF102+IF($T102 ="",FN102,0)</f>
        <v>0</v>
      </c>
      <c r="FS102" s="391">
        <f t="shared" ref="FS102" ca="1" si="4136">FR102*$Z102</f>
        <v>0</v>
      </c>
      <c r="FT102" s="394">
        <f t="shared" ref="FT102" ca="1" si="4137">IFERROR(FS102/FC$4,0)</f>
        <v>0</v>
      </c>
      <c r="FU102" s="209" t="str">
        <f t="shared" ref="FU102" ca="1" si="4138">IF(SUM(FH102,FP102,FT102)&lt;&gt;0,"V","")</f>
        <v/>
      </c>
    </row>
    <row r="103" spans="1:177" outlineLevel="2" x14ac:dyDescent="0.2">
      <c r="A103" s="366"/>
      <c r="B103" s="366"/>
      <c r="C103" s="367" t="str">
        <f t="shared" ca="1" si="3641"/>
        <v>DE000A0H08K7:EUR:STU</v>
      </c>
      <c r="D103" s="368" t="str">
        <f t="shared" ca="1" si="3642"/>
        <v>DE000A0H08K7</v>
      </c>
      <c r="E103" s="369" t="str">
        <f t="shared" ca="1" si="3642"/>
        <v>12980686</v>
      </c>
      <c r="F103" s="367" t="s">
        <v>438</v>
      </c>
      <c r="G103" s="414"/>
      <c r="H103" s="1713" t="str">
        <f t="shared" ca="1" si="3643"/>
        <v></v>
      </c>
      <c r="I103" s="1683" t="str">
        <f t="shared" ca="1" si="3644"/>
        <v/>
      </c>
      <c r="J103" s="1713" t="str">
        <f t="shared" ca="1" si="3645"/>
        <v/>
      </c>
      <c r="K103" s="1716" t="str">
        <f t="shared" ca="1" si="3645"/>
        <v/>
      </c>
      <c r="L103" s="1717" t="str">
        <f t="shared" ca="1" si="3646"/>
        <v/>
      </c>
      <c r="M103" s="366" t="str">
        <f t="shared" ca="1" si="3647"/>
        <v>Unit</v>
      </c>
      <c r="N103" s="417">
        <v>0.02</v>
      </c>
      <c r="O103" s="417">
        <v>0.04</v>
      </c>
      <c r="P103" s="418">
        <f t="shared" ca="1" si="2532"/>
        <v>1.802380488601471E-2</v>
      </c>
      <c r="Q103" s="391">
        <f t="array" aca="1" ref="Q103" ca="1">SUM(IF($AA$15:$FT$15="I_pos",AA103:FT103))</f>
        <v>1430</v>
      </c>
      <c r="R103" s="391">
        <f t="array" aca="1" ref="R103" ca="1">SUM(IF($AA$15:$FT$15="P_Pos",AA103:FT103))</f>
        <v>4564.7423324778329</v>
      </c>
      <c r="S103" s="367"/>
      <c r="T103" s="391"/>
      <c r="U103" s="375">
        <f t="shared" ca="1" si="3648"/>
        <v>-4.6637309847878304E-2</v>
      </c>
      <c r="V103" s="391">
        <f t="array" aca="1" ref="V103" ca="1">SUM(IF($AA$15:$FT$15="O_Pos",AA103:FT103))</f>
        <v>0</v>
      </c>
      <c r="W103" s="367" t="str">
        <f t="shared" ca="1" si="3649"/>
        <v>EUR</v>
      </c>
      <c r="X103" s="392">
        <f t="shared" ca="1" si="3650"/>
        <v>47.854999999999997</v>
      </c>
      <c r="Y103" s="393">
        <f t="shared" ca="1" si="3651"/>
        <v>0</v>
      </c>
      <c r="Z103" s="378">
        <f t="shared" ref="Z103" ca="1" si="4139">_xlfn.NUMBERVALUE(OFFSET(Origine,MATCH(W103&amp;"/"&amp;MRif,LUKB_Name,0),MATCH("Price",Intestazioni,0)-1,1,1))</f>
        <v>0.90754999999999997</v>
      </c>
      <c r="AA103" s="214">
        <f>230</f>
        <v>230</v>
      </c>
      <c r="AB103" s="312">
        <f t="shared" ref="AB103" ca="1" si="4140">IFERROR($X103/AC103-1,"")</f>
        <v>9.7930193349355932E-3</v>
      </c>
      <c r="AC103" s="215">
        <v>47.390900000000002</v>
      </c>
      <c r="AD103" s="199">
        <f t="shared" ref="AD103" ca="1" si="4141">AA103*$X103</f>
        <v>11006.65</v>
      </c>
      <c r="AE103" s="199">
        <f t="shared" ref="AE103" ca="1" si="4142">AD103*$Z103</f>
        <v>9989.0852074999984</v>
      </c>
      <c r="AF103" s="216">
        <f t="shared" ref="AF103" ca="1" si="4143">IFERROR(AE103/AA$4,0)</f>
        <v>1.7790126598177799E-2</v>
      </c>
      <c r="AG103" s="202">
        <f t="shared" ref="AG103" ca="1" si="4144">AH103/$X103</f>
        <v>28.570391537920099</v>
      </c>
      <c r="AH103" s="203">
        <f t="shared" ref="AH103" ca="1" si="4145">AI103/$Z103</f>
        <v>1367.2360870471662</v>
      </c>
      <c r="AI103" s="203">
        <f t="shared" ref="AI103" ca="1" si="4146">AJ103*AA$4</f>
        <v>1240.8351107996557</v>
      </c>
      <c r="AJ103" s="204">
        <f t="shared" ca="1" si="3902"/>
        <v>2.2098734018222016E-3</v>
      </c>
      <c r="AK103" s="205"/>
      <c r="AL103" s="206">
        <f t="shared" ref="AL103" ca="1" si="4147">AK103*$X103</f>
        <v>0</v>
      </c>
      <c r="AM103" s="206">
        <f t="shared" ref="AM103" ca="1" si="4148">AL103*$Z103</f>
        <v>0</v>
      </c>
      <c r="AN103" s="207">
        <f t="shared" ref="AN103" ca="1" si="4149">IFERROR(AM103/AA$4,0)</f>
        <v>0</v>
      </c>
      <c r="AO103" s="391">
        <f t="shared" ref="AO103" si="4150">AA103+AK103</f>
        <v>230</v>
      </c>
      <c r="AP103" s="391">
        <f t="shared" ref="AP103" ca="1" si="4151">AD103+IF($T103 ="",AL103,0)</f>
        <v>11006.65</v>
      </c>
      <c r="AQ103" s="391">
        <f t="shared" ref="AQ103" ca="1" si="4152">AP103*$Z103</f>
        <v>9989.0852074999984</v>
      </c>
      <c r="AR103" s="394">
        <f t="shared" ref="AR103" ca="1" si="4153">IFERROR(AQ103/AA$4,0)</f>
        <v>1.7790126598177799E-2</v>
      </c>
      <c r="AS103" s="209" t="str">
        <f t="shared" ref="AS103" ca="1" si="4154">IF(SUM(AF103,AN103,AR103)&lt;&gt;0,"V","")</f>
        <v>V</v>
      </c>
      <c r="AT103" s="214">
        <f>715</f>
        <v>715</v>
      </c>
      <c r="AU103" s="312">
        <f t="shared" ref="AU103" ca="1" si="4155">IFERROR($X103/AV103-1,"")</f>
        <v>9.7930193349355932E-3</v>
      </c>
      <c r="AV103" s="215">
        <v>47.390900000000002</v>
      </c>
      <c r="AW103" s="199">
        <f t="shared" ref="AW103" ca="1" si="4156">AT103*$X103</f>
        <v>34216.324999999997</v>
      </c>
      <c r="AX103" s="199">
        <f t="shared" ref="AX103" ca="1" si="4157">AW103*$Z103</f>
        <v>31053.025753749997</v>
      </c>
      <c r="AY103" s="216">
        <f t="shared" ref="AY103" ca="1" si="4158">IFERROR(AX103/AT$4,0)</f>
        <v>1.7930634077111669E-2</v>
      </c>
      <c r="AZ103" s="202">
        <f t="shared" ref="AZ103" ca="1" si="4159">BA103/$X103</f>
        <v>82.517808823830279</v>
      </c>
      <c r="BA103" s="203">
        <f t="shared" ref="BA103" ca="1" si="4160">BB103/$Z103</f>
        <v>3948.8897412643978</v>
      </c>
      <c r="BB103" s="203">
        <f t="shared" ref="BB103" ca="1" si="4161">BC103*AT$4</f>
        <v>3583.8148846845042</v>
      </c>
      <c r="BC103" s="204">
        <f t="shared" ca="1" si="3918"/>
        <v>2.0693659228883318E-3</v>
      </c>
      <c r="BD103" s="205"/>
      <c r="BE103" s="206">
        <f t="shared" ref="BE103" ca="1" si="4162">BD103*$X103</f>
        <v>0</v>
      </c>
      <c r="BF103" s="206">
        <f t="shared" ref="BF103" ca="1" si="4163">BE103*$Z103</f>
        <v>0</v>
      </c>
      <c r="BG103" s="207">
        <f t="shared" ref="BG103" ca="1" si="4164">IFERROR(BF103/AT$4,0)</f>
        <v>0</v>
      </c>
      <c r="BH103" s="391">
        <f t="shared" ref="BH103" si="4165">AT103+BD103</f>
        <v>715</v>
      </c>
      <c r="BI103" s="391">
        <f t="shared" ref="BI103" ca="1" si="4166">AW103+IF($T103 ="",BE103,0)</f>
        <v>34216.324999999997</v>
      </c>
      <c r="BJ103" s="391">
        <f t="shared" ref="BJ103" ca="1" si="4167">BI103*$Z103</f>
        <v>31053.025753749997</v>
      </c>
      <c r="BK103" s="394">
        <f t="shared" ref="BK103" ca="1" si="4168">IFERROR(BJ103/AT$4,0)</f>
        <v>1.7930634077111669E-2</v>
      </c>
      <c r="BL103" s="211" t="str">
        <f t="shared" ref="BL103" ca="1" si="4169">IF(SUM(AY103,BG103,BK103)&lt;&gt;0,"V","")</f>
        <v>V</v>
      </c>
      <c r="BM103" s="214">
        <f>125</f>
        <v>125</v>
      </c>
      <c r="BN103" s="312">
        <f t="shared" ref="BN103" ca="1" si="4170">IFERROR($X103/BO103-1,"")</f>
        <v>9.7930193349355932E-3</v>
      </c>
      <c r="BO103" s="215">
        <v>47.390900000000002</v>
      </c>
      <c r="BP103" s="199">
        <f t="shared" ref="BP103" ca="1" si="4171">BM103*$X103</f>
        <v>5981.875</v>
      </c>
      <c r="BQ103" s="199">
        <f t="shared" ref="BQ103" ca="1" si="4172">BP103*$Z103</f>
        <v>5428.8506562499997</v>
      </c>
      <c r="BR103" s="216">
        <f t="shared" ref="BR103" ca="1" si="4173">IFERROR(BQ103/BM$4,0)</f>
        <v>1.9050454174945435E-2</v>
      </c>
      <c r="BS103" s="202">
        <f t="shared" ref="BS103" ca="1" si="4174">BT103/$X103</f>
        <v>6.2304671081239826</v>
      </c>
      <c r="BT103" s="203">
        <f t="shared" ref="BT103" ca="1" si="4175">BU103/$Z103</f>
        <v>298.15900345927315</v>
      </c>
      <c r="BU103" s="203">
        <f t="shared" ref="BU103" ca="1" si="4176">BV103*BM$4</f>
        <v>270.59420358946335</v>
      </c>
      <c r="BV103" s="204">
        <f t="shared" ca="1" si="3934"/>
        <v>9.4954582505456589E-4</v>
      </c>
      <c r="BW103" s="205"/>
      <c r="BX103" s="206">
        <f t="shared" ref="BX103" ca="1" si="4177">BW103*$X103</f>
        <v>0</v>
      </c>
      <c r="BY103" s="206">
        <f t="shared" ref="BY103" ca="1" si="4178">BX103*$Z103</f>
        <v>0</v>
      </c>
      <c r="BZ103" s="207">
        <f t="shared" ref="BZ103" ca="1" si="4179">IFERROR(BY103/BM$4,0)</f>
        <v>0</v>
      </c>
      <c r="CA103" s="391">
        <f t="shared" ref="CA103" si="4180">BM103+BW103</f>
        <v>125</v>
      </c>
      <c r="CB103" s="391">
        <f t="shared" ref="CB103" ca="1" si="4181">BP103+IF($T103 ="",BX103,0)</f>
        <v>5981.875</v>
      </c>
      <c r="CC103" s="391">
        <f t="shared" ref="CC103" ca="1" si="4182">CB103*$Z103</f>
        <v>5428.8506562499997</v>
      </c>
      <c r="CD103" s="394">
        <f t="shared" ref="CD103" ca="1" si="4183">IFERROR(CC103/BM$4,0)</f>
        <v>1.9050454174945435E-2</v>
      </c>
      <c r="CE103" s="212" t="str">
        <f t="shared" ref="CE103" ca="1" si="4184">IF(SUM(BR103,BZ103,CD103)&lt;&gt;0,"V","")</f>
        <v>V</v>
      </c>
      <c r="CF103" s="214">
        <f>360</f>
        <v>360</v>
      </c>
      <c r="CG103" s="312">
        <f t="shared" ref="CG103" ca="1" si="4185">IFERROR($X103/CH103-1,"")</f>
        <v>9.7930193349355932E-3</v>
      </c>
      <c r="CH103" s="215">
        <v>47.390900000000002</v>
      </c>
      <c r="CI103" s="199">
        <f t="shared" ref="CI103" ca="1" si="4186">CF103*$X103</f>
        <v>17227.8</v>
      </c>
      <c r="CJ103" s="199">
        <f t="shared" ref="CJ103" ca="1" si="4187">CI103*$Z103</f>
        <v>15635.089889999999</v>
      </c>
      <c r="CK103" s="216">
        <f t="shared" ref="CK103" ca="1" si="4188">IFERROR(CJ103/CF$4,0)</f>
        <v>1.7667575330540596E-2</v>
      </c>
      <c r="CL103" s="202">
        <f t="shared" ref="CL103" ca="1" si="4189">CM103/$X103</f>
        <v>47.526209188077267</v>
      </c>
      <c r="CM103" s="203">
        <f t="shared" ref="CM103" ca="1" si="4190">CN103/$Z103</f>
        <v>2274.3667406954373</v>
      </c>
      <c r="CN103" s="203">
        <f t="shared" ref="CN103" ca="1" si="4191">CO103*CF$4</f>
        <v>2064.1015355181439</v>
      </c>
      <c r="CO103" s="204">
        <f t="shared" ca="1" si="3950"/>
        <v>2.3324246694594042E-3</v>
      </c>
      <c r="CP103" s="205"/>
      <c r="CQ103" s="206">
        <f t="shared" ref="CQ103" ca="1" si="4192">CP103*$X103</f>
        <v>0</v>
      </c>
      <c r="CR103" s="206">
        <f t="shared" ref="CR103" ca="1" si="4193">CQ103*$Z103</f>
        <v>0</v>
      </c>
      <c r="CS103" s="207">
        <f t="shared" ref="CS103" ca="1" si="4194">IFERROR(CR103/CF$4,0)</f>
        <v>0</v>
      </c>
      <c r="CT103" s="391">
        <f t="shared" ref="CT103" si="4195">CF103+CP103</f>
        <v>360</v>
      </c>
      <c r="CU103" s="391">
        <f t="shared" ref="CU103" ca="1" si="4196">CI103+IF($T103 ="",CQ103,0)</f>
        <v>17227.8</v>
      </c>
      <c r="CV103" s="391">
        <f t="shared" ref="CV103" ca="1" si="4197">CU103*$Z103</f>
        <v>15635.089889999999</v>
      </c>
      <c r="CW103" s="394">
        <f t="shared" ref="CW103" ca="1" si="4198">IFERROR(CV103/CF$4,0)</f>
        <v>1.7667575330540596E-2</v>
      </c>
      <c r="CX103" s="211" t="str">
        <f t="shared" ref="CX103" ca="1" si="4199">IF(SUM(CK103,CS103,CW103)&lt;&gt;0,"V","")</f>
        <v>V</v>
      </c>
      <c r="CY103" s="197"/>
      <c r="CZ103" s="312" t="str">
        <f t="shared" ref="CZ103" ca="1" si="4200">IFERROR($X103/DA103-1,"")</f>
        <v/>
      </c>
      <c r="DA103" s="395"/>
      <c r="DB103" s="199">
        <f t="shared" ref="DB103" ca="1" si="4201">CY103*$X103</f>
        <v>0</v>
      </c>
      <c r="DC103" s="199">
        <f t="shared" ref="DC103" ca="1" si="4202">DB103*$Z103</f>
        <v>0</v>
      </c>
      <c r="DD103" s="216">
        <f t="shared" ref="DD103" ca="1" si="4203">IFERROR(DC103/CY$4,0)</f>
        <v>0</v>
      </c>
      <c r="DE103" s="202">
        <f t="shared" ref="DE103" ca="1" si="4204">DF103/$X103</f>
        <v>1651.0949257133259</v>
      </c>
      <c r="DF103" s="203">
        <f t="shared" ref="DF103" ca="1" si="4205">DG103/$Z103</f>
        <v>79013.147670011211</v>
      </c>
      <c r="DG103" s="203">
        <f t="shared" ref="DG103" ca="1" si="4206">DH103*CY$4</f>
        <v>71708.382167918666</v>
      </c>
      <c r="DH103" s="204">
        <f t="shared" ca="1" si="3966"/>
        <v>0.02</v>
      </c>
      <c r="DI103" s="205"/>
      <c r="DJ103" s="206">
        <f t="shared" ref="DJ103" ca="1" si="4207">DI103*$X103</f>
        <v>0</v>
      </c>
      <c r="DK103" s="206">
        <f t="shared" ref="DK103" ca="1" si="4208">DJ103*$Z103</f>
        <v>0</v>
      </c>
      <c r="DL103" s="207">
        <f t="shared" ref="DL103" ca="1" si="4209">IFERROR(DK103/CY$4,0)</f>
        <v>0</v>
      </c>
      <c r="DM103" s="391">
        <f t="shared" ref="DM103" si="4210">CY103+DI103</f>
        <v>0</v>
      </c>
      <c r="DN103" s="391">
        <f t="shared" ref="DN103" ca="1" si="4211">DB103+IF($T103 ="",DJ103,0)</f>
        <v>0</v>
      </c>
      <c r="DO103" s="391">
        <f t="shared" ref="DO103" ca="1" si="4212">DN103*$Z103</f>
        <v>0</v>
      </c>
      <c r="DP103" s="394">
        <f t="shared" ref="DP103" ca="1" si="4213">IFERROR(DO103/CY$4,0)</f>
        <v>0</v>
      </c>
      <c r="DQ103" s="209" t="str">
        <f t="shared" ref="DQ103" ca="1" si="4214">IF(SUM(DD103,DL103,DP103)&lt;&gt;0,"V","")</f>
        <v/>
      </c>
      <c r="DR103" s="197"/>
      <c r="DS103" s="312" t="str">
        <f t="shared" ca="1" si="3975"/>
        <v/>
      </c>
      <c r="DT103" s="395"/>
      <c r="DU103" s="199">
        <f t="shared" ca="1" si="3976"/>
        <v>0</v>
      </c>
      <c r="DV103" s="199">
        <f t="shared" ca="1" si="3977"/>
        <v>0</v>
      </c>
      <c r="DW103" s="216">
        <f t="shared" ca="1" si="3627"/>
        <v>0</v>
      </c>
      <c r="DX103" s="202">
        <f t="shared" ca="1" si="3978"/>
        <v>323.16224183034541</v>
      </c>
      <c r="DY103" s="203">
        <f t="shared" ca="1" si="3979"/>
        <v>15464.929082791177</v>
      </c>
      <c r="DZ103" s="203">
        <f t="shared" ca="1" si="3980"/>
        <v>14035.196389087132</v>
      </c>
      <c r="EA103" s="204">
        <f t="shared" ca="1" si="3981"/>
        <v>0.02</v>
      </c>
      <c r="EB103" s="205"/>
      <c r="EC103" s="206">
        <f t="shared" ca="1" si="3982"/>
        <v>0</v>
      </c>
      <c r="ED103" s="206">
        <f t="shared" ca="1" si="3983"/>
        <v>0</v>
      </c>
      <c r="EE103" s="207">
        <f t="shared" ca="1" si="3633"/>
        <v>0</v>
      </c>
      <c r="EF103" s="391">
        <f t="shared" si="3984"/>
        <v>0</v>
      </c>
      <c r="EG103" s="391">
        <f t="shared" ca="1" si="3985"/>
        <v>0</v>
      </c>
      <c r="EH103" s="391">
        <f t="shared" ca="1" si="3986"/>
        <v>0</v>
      </c>
      <c r="EI103" s="394">
        <f t="shared" ca="1" si="3636"/>
        <v>0</v>
      </c>
      <c r="EJ103" s="214"/>
      <c r="EK103" s="312" t="str">
        <f t="shared" ref="EK103" ca="1" si="4215">IFERROR($X103/EL103-1,"")</f>
        <v/>
      </c>
      <c r="EL103" s="222"/>
      <c r="EM103" s="199">
        <f t="shared" ref="EM103" ca="1" si="4216">EJ103*$X103</f>
        <v>0</v>
      </c>
      <c r="EN103" s="199">
        <f t="shared" ref="EN103" ca="1" si="4217">EM103*$Z103</f>
        <v>0</v>
      </c>
      <c r="EO103" s="216">
        <f t="shared" ref="EO103" ca="1" si="4218">IFERROR(EN103/EJ$4,0)</f>
        <v>0</v>
      </c>
      <c r="EP103" s="202">
        <f t="shared" ref="EP103" ca="1" si="4219">EQ103/$X103</f>
        <v>326.84091608587681</v>
      </c>
      <c r="EQ103" s="203">
        <f t="shared" ref="EQ103" ca="1" si="4220">ER103/$Z103</f>
        <v>15640.972039289634</v>
      </c>
      <c r="ER103" s="203">
        <f t="shared" ref="ER103" ca="1" si="4221">ES103*EJ$4</f>
        <v>14194.964174257308</v>
      </c>
      <c r="ES103" s="204">
        <f t="shared" ca="1" si="3994"/>
        <v>0.02</v>
      </c>
      <c r="ET103" s="205"/>
      <c r="EU103" s="206">
        <f t="shared" ref="EU103" ca="1" si="4222">ET103*$X103</f>
        <v>0</v>
      </c>
      <c r="EV103" s="206">
        <f t="shared" ref="EV103" ca="1" si="4223">EU103*$Z103</f>
        <v>0</v>
      </c>
      <c r="EW103" s="207">
        <f t="shared" ref="EW103" ca="1" si="4224">IFERROR(EV103/EJ$4,0)</f>
        <v>0</v>
      </c>
      <c r="EX103" s="391">
        <f t="shared" ref="EX103" si="4225">EJ103+ET103</f>
        <v>0</v>
      </c>
      <c r="EY103" s="391">
        <f t="shared" ref="EY103" ca="1" si="4226">EM103+IF($T103 ="",EU103,0)</f>
        <v>0</v>
      </c>
      <c r="EZ103" s="391">
        <f t="shared" ref="EZ103" ca="1" si="4227">EY103*$Z103</f>
        <v>0</v>
      </c>
      <c r="FA103" s="394">
        <f t="shared" ref="FA103" ca="1" si="4228">IFERROR(EZ103/EJ$4,0)</f>
        <v>0</v>
      </c>
      <c r="FB103" s="212" t="str">
        <f t="shared" ref="FB103" ca="1" si="4229">IF(SUM(EO103,EW103,FA103)&lt;&gt;0,"V","")</f>
        <v/>
      </c>
      <c r="FC103" s="214"/>
      <c r="FD103" s="312" t="str">
        <f t="shared" ref="FD103" ca="1" si="4230">IFERROR($X103/FE103-1,"")</f>
        <v/>
      </c>
      <c r="FE103" s="215"/>
      <c r="FF103" s="199">
        <f t="shared" ref="FF103" ca="1" si="4231">FC103*$X103</f>
        <v>0</v>
      </c>
      <c r="FG103" s="199">
        <f t="shared" ref="FG103" ca="1" si="4232">FF103*$Z103</f>
        <v>0</v>
      </c>
      <c r="FH103" s="216">
        <f t="shared" ref="FH103" ca="1" si="4233">IFERROR(FG103/FC$4,0)</f>
        <v>0</v>
      </c>
      <c r="FI103" s="202">
        <f t="shared" ref="FI103" ca="1" si="4234">FJ103/$X103</f>
        <v>2098.7993721903331</v>
      </c>
      <c r="FJ103" s="203">
        <f t="shared" ref="FJ103" ca="1" si="4235">FK103/$Z103</f>
        <v>100438.04395616839</v>
      </c>
      <c r="FK103" s="203">
        <f t="shared" ref="FK103" ca="1" si="4236">FL103*FC$4</f>
        <v>91152.546792420617</v>
      </c>
      <c r="FL103" s="204">
        <f t="shared" ca="1" si="4010"/>
        <v>0.02</v>
      </c>
      <c r="FM103" s="205"/>
      <c r="FN103" s="206">
        <f t="shared" ref="FN103" ca="1" si="4237">FM103*$X103</f>
        <v>0</v>
      </c>
      <c r="FO103" s="206">
        <f t="shared" ref="FO103" ca="1" si="4238">FN103*$Z103</f>
        <v>0</v>
      </c>
      <c r="FP103" s="207">
        <f t="shared" ref="FP103" ca="1" si="4239">IFERROR(FO103/FC$4,0)</f>
        <v>0</v>
      </c>
      <c r="FQ103" s="391">
        <f t="shared" ref="FQ103" si="4240">FC103+FM103</f>
        <v>0</v>
      </c>
      <c r="FR103" s="391">
        <f t="shared" ref="FR103" ca="1" si="4241">FF103+IF($T103 ="",FN103,0)</f>
        <v>0</v>
      </c>
      <c r="FS103" s="391">
        <f t="shared" ref="FS103" ca="1" si="4242">FR103*$Z103</f>
        <v>0</v>
      </c>
      <c r="FT103" s="394">
        <f t="shared" ref="FT103" ca="1" si="4243">IFERROR(FS103/FC$4,0)</f>
        <v>0</v>
      </c>
      <c r="FU103" s="209" t="str">
        <f t="shared" ref="FU103" ca="1" si="4244">IF(SUM(FH103,FP103,FT103)&lt;&gt;0,"V","")</f>
        <v/>
      </c>
    </row>
    <row r="104" spans="1:177" outlineLevel="2" x14ac:dyDescent="0.2">
      <c r="A104" s="366"/>
      <c r="B104" s="366"/>
      <c r="C104" s="367" t="str">
        <f ca="1">OFFSET(Origine,MATCH($F104,Descrizioni,0),MATCH(C$15,Intestazioni,0)-1,1,1)</f>
        <v>DE000A0H08M3:EUR:STU</v>
      </c>
      <c r="D104" s="368" t="str">
        <f ca="1">OFFSET(Origine,MATCH($F104,Descrizioni,0),MATCH(D$15,Intestazioni,0)-1,1,1)</f>
        <v>DE000A0H08M3</v>
      </c>
      <c r="E104" s="369" t="str">
        <f ca="1">OFFSET(Origine,MATCH($F104,Descrizioni,0),MATCH(E$15,Intestazioni,0)-1,1,1)</f>
        <v>12980919</v>
      </c>
      <c r="F104" s="390" t="s">
        <v>3016</v>
      </c>
      <c r="G104" s="414"/>
      <c r="H104" s="1713" t="str">
        <f t="shared" ca="1" si="3643"/>
        <v></v>
      </c>
      <c r="I104" s="1683" t="str">
        <f ca="1">IF(OFFSET(Origine,MATCH($F104,Descrizioni,0),MATCH(I$15,Intestazioni,0)-1,1,1)&lt;&gt;"",HYPERLINK(OFFSET(Origine,MATCH($F104,Descrizioni,0),MATCH(I$15,Intestazioni,0)-1,1,1),"i"),"")</f>
        <v/>
      </c>
      <c r="J104" s="1713" t="str">
        <f ca="1">IF(OFFSET(Origine,MATCH($F104,Descrizioni,0),MATCH(J$15,Intestazioni,0)-1,1,1)&lt;&gt;"",HYPERLINK(OFFSET(Origine,MATCH($F104,Descrizioni,0),MATCH(J$15,Intestazioni,0)-1,1,1),""),"")</f>
        <v/>
      </c>
      <c r="K104" s="1716" t="str">
        <f ca="1">IF(OFFSET(Origine,MATCH($F104,Descrizioni,0),MATCH(K$15,Intestazioni,0)-1,1,1)&lt;&gt;"",HYPERLINK(OFFSET(Origine,MATCH($F104,Descrizioni,0),MATCH(K$15,Intestazioni,0)-1,1,1),""),"")</f>
        <v/>
      </c>
      <c r="L104" s="1717" t="str">
        <f ca="1">IF(OFFSET(Origine,MATCH($F104,Descrizioni,0),MATCH(L$15,Intestazioni,0)-1,1,1)&lt;&gt;"",HYPERLINK("https://www.zonebourse.com/mods_a/charts/TV/inc_dyna_graph.php?c="&amp;OFFSET(Origine,MATCH($F104,Descrizioni,0),MATCH(L$15,Intestazioni,0)-1,1,1)&amp;"&amp;style=TradingView.CANDLES&amp;showAT=1",""),"")</f>
        <v/>
      </c>
      <c r="M104" s="366" t="str">
        <f ca="1">(OFFSET(Origine,MATCH($F104,Descrizioni,0),MATCH(M$15,Intestazioni,0)-1,1,1))</f>
        <v>Unit</v>
      </c>
      <c r="N104" s="417">
        <v>0.02</v>
      </c>
      <c r="O104" s="417"/>
      <c r="P104" s="418">
        <f ca="1">SUMIF($AA$15:$CD$15,"I_Ctrlv",$AA104:$CD104)/$Q$2</f>
        <v>2.1724846808293594E-2</v>
      </c>
      <c r="Q104" s="391">
        <f t="array" aca="1" ref="Q104" ca="1">SUM(IF($AA$15:$FT$15="I_pos",AA104:FT104))</f>
        <v>3525</v>
      </c>
      <c r="R104" s="391">
        <f t="array" aca="1" ref="R104" ca="1">SUM(IF($AA$15:$FT$15="P_Pos",AA104:FT104))</f>
        <v>2354.8605107752956</v>
      </c>
      <c r="S104" s="367"/>
      <c r="T104" s="391" t="s">
        <v>4446</v>
      </c>
      <c r="U104" s="375">
        <f ca="1">OFFSET(Origine,MATCH($F104,Descrizioni,0),MATCH(U$15,Intestazioni,0)-1,1,1)</f>
        <v>-3.0002006823198899E-2</v>
      </c>
      <c r="V104" s="391">
        <f t="array" aca="1" ref="V104" ca="1">SUM(IF($AA$15:$FT$15="O_Pos",AA104:FT104))</f>
        <v>140</v>
      </c>
      <c r="W104" s="367" t="str">
        <f ca="1">OFFSET(Origine,MATCH($F104,Descrizioni,0),MATCH(W$15,Intestazioni,0)-1,1,1)</f>
        <v>EUR</v>
      </c>
      <c r="X104" s="392">
        <f ca="1">_xlfn.NUMBERVALUE(OFFSET(Origine,MATCH($F104,Descrizioni,0),MATCH(X$15,Intestazioni,0)-1,1,1))</f>
        <v>48.79</v>
      </c>
      <c r="Y104" s="393">
        <f ca="1">_xlfn.NUMBERVALUE(OFFSET(Origine,MATCH($F104,Descrizioni,0),MATCH(Y$15,Intestazioni,0)-1,1,1))</f>
        <v>0</v>
      </c>
      <c r="Z104" s="378">
        <f t="shared" ref="Z104" ca="1" si="4245">_xlfn.NUMBERVALUE(OFFSET(Origine,MATCH(W104&amp;"/"&amp;MRif,LUKB_Name,0),MATCH("Price",Intestazioni,0)-1,1,1))</f>
        <v>0.90754999999999997</v>
      </c>
      <c r="AA104" s="214">
        <f>275</f>
        <v>275</v>
      </c>
      <c r="AB104" s="312">
        <f ca="1">IFERROR($X104/AC104-1,"")</f>
        <v>0.10282566584314501</v>
      </c>
      <c r="AC104" s="215">
        <v>44.240900000000003</v>
      </c>
      <c r="AD104" s="199">
        <f ca="1">AA104*$X104</f>
        <v>13417.25</v>
      </c>
      <c r="AE104" s="199">
        <f ca="1">AD104*$Z104</f>
        <v>12176.825237499999</v>
      </c>
      <c r="AF104" s="216">
        <f ca="1">IFERROR(AE104/AA$4,0)</f>
        <v>2.1686396505694386E-2</v>
      </c>
      <c r="AG104" s="202">
        <f ca="1">AH104/$X104</f>
        <v>-21.384790181447741</v>
      </c>
      <c r="AH104" s="203">
        <f ca="1">AI104/$Z104</f>
        <v>-1043.3639129528353</v>
      </c>
      <c r="AI104" s="203">
        <f ca="1">AJ104*AA$4</f>
        <v>-946.90491920034572</v>
      </c>
      <c r="AJ104" s="204">
        <f ca="1">IF(AA$6&lt;&gt;"",$O104,$N104)-AF104</f>
        <v>-1.6863965056943854E-3</v>
      </c>
      <c r="AK104" s="205"/>
      <c r="AL104" s="206">
        <f ca="1">AK104*$X104</f>
        <v>0</v>
      </c>
      <c r="AM104" s="206">
        <f ca="1">AL104*$Z104</f>
        <v>0</v>
      </c>
      <c r="AN104" s="207">
        <f ca="1">IFERROR(AM104/AA$4,0)</f>
        <v>0</v>
      </c>
      <c r="AO104" s="391">
        <f t="shared" ref="AO104" si="4246">AA104+AK104</f>
        <v>275</v>
      </c>
      <c r="AP104" s="391">
        <f ca="1">AD104+IF($T104 ="",AL104,0)</f>
        <v>13417.25</v>
      </c>
      <c r="AQ104" s="391">
        <f ca="1">AP104*$Z104</f>
        <v>12176.825237499999</v>
      </c>
      <c r="AR104" s="394">
        <f ca="1">IFERROR(AQ104/AA$4,0)</f>
        <v>2.1686396505694386E-2</v>
      </c>
      <c r="AS104" s="209" t="str">
        <f t="shared" ref="AS104" ca="1" si="4247">IF(SUM(AF104,AN104,AR104)&lt;&gt;0,"V","")</f>
        <v>V</v>
      </c>
      <c r="AT104" s="214">
        <f>850</f>
        <v>850</v>
      </c>
      <c r="AU104" s="312">
        <f ca="1">IFERROR($X104/AV104-1,"")</f>
        <v>0.10282566584314501</v>
      </c>
      <c r="AV104" s="215">
        <v>44.240900000000003</v>
      </c>
      <c r="AW104" s="199">
        <f ca="1">AT104*$X104</f>
        <v>41471.5</v>
      </c>
      <c r="AX104" s="199">
        <f ca="1">AW104*$Z104</f>
        <v>37637.459824999998</v>
      </c>
      <c r="AY104" s="216">
        <f ca="1">IFERROR(AX104/AT$4,0)</f>
        <v>2.1732617139010008E-2</v>
      </c>
      <c r="AZ104" s="202">
        <f ca="1">BA104/$X104</f>
        <v>-67.76563350554629</v>
      </c>
      <c r="BA104" s="203">
        <f ca="1">BB104/$Z104</f>
        <v>-3306.2852587356037</v>
      </c>
      <c r="BB104" s="203">
        <f ca="1">BC104*AT$4</f>
        <v>-3000.6191865654969</v>
      </c>
      <c r="BC104" s="204">
        <f ca="1">IF(AT$6&lt;&gt;"",$O104,$N104)-AY104</f>
        <v>-1.7326171390100072E-3</v>
      </c>
      <c r="BD104" s="205"/>
      <c r="BE104" s="206">
        <f ca="1">BD104*$X104</f>
        <v>0</v>
      </c>
      <c r="BF104" s="206">
        <f ca="1">BE104*$Z104</f>
        <v>0</v>
      </c>
      <c r="BG104" s="207">
        <f ca="1">IFERROR(BF104/AT$4,0)</f>
        <v>0</v>
      </c>
      <c r="BH104" s="391">
        <f t="shared" ref="BH104" si="4248">AT104+BD104</f>
        <v>850</v>
      </c>
      <c r="BI104" s="391">
        <f ca="1">AW104+IF($T104 ="",BE104,0)</f>
        <v>41471.5</v>
      </c>
      <c r="BJ104" s="391">
        <f ca="1">BI104*$Z104</f>
        <v>37637.459824999998</v>
      </c>
      <c r="BK104" s="394">
        <f ca="1">IFERROR(BJ104/AT$4,0)</f>
        <v>2.1732617139010008E-2</v>
      </c>
      <c r="BL104" s="211" t="str">
        <f t="shared" ref="BL104" ca="1" si="4249">IF(SUM(AY104,BG104,BK104)&lt;&gt;0,"V","")</f>
        <v>V</v>
      </c>
      <c r="BM104" s="214">
        <f>140</f>
        <v>140</v>
      </c>
      <c r="BN104" s="312">
        <f ca="1">IFERROR($X104/BO104-1,"")</f>
        <v>0.10282566584314501</v>
      </c>
      <c r="BO104" s="215">
        <v>44.240900000000003</v>
      </c>
      <c r="BP104" s="199">
        <f ca="1">BM104*$X104</f>
        <v>6830.5999999999995</v>
      </c>
      <c r="BQ104" s="199">
        <f ca="1">BP104*$Z104</f>
        <v>6199.1110299999991</v>
      </c>
      <c r="BR104" s="216">
        <f ca="1">IFERROR(BQ104/BM$4,0)</f>
        <v>2.1753385399625083E-2</v>
      </c>
      <c r="BS104" s="202">
        <f ca="1">BT104/$X104</f>
        <v>-11.284402470603142</v>
      </c>
      <c r="BT104" s="203">
        <f ca="1">BU104/$Z104</f>
        <v>-550.56599654072727</v>
      </c>
      <c r="BU104" s="203">
        <f ca="1">BV104*BM$4</f>
        <v>-499.66617016053698</v>
      </c>
      <c r="BV104" s="204">
        <f ca="1">IF(BM$6&lt;&gt;"",$O104,$N104)-BR104</f>
        <v>-1.7533853996250827E-3</v>
      </c>
      <c r="BW104" s="205"/>
      <c r="BX104" s="206">
        <f ca="1">BW104*$X104</f>
        <v>0</v>
      </c>
      <c r="BY104" s="206">
        <f ca="1">BX104*$Z104</f>
        <v>0</v>
      </c>
      <c r="BZ104" s="207">
        <f ca="1">IFERROR(BY104/BM$4,0)</f>
        <v>0</v>
      </c>
      <c r="CA104" s="391">
        <f t="shared" ref="CA104" si="4250">BM104+BW104</f>
        <v>140</v>
      </c>
      <c r="CB104" s="391">
        <f ca="1">BP104+IF($T104 ="",BX104,0)</f>
        <v>6830.5999999999995</v>
      </c>
      <c r="CC104" s="391">
        <f ca="1">CB104*$Z104</f>
        <v>6199.1110299999991</v>
      </c>
      <c r="CD104" s="394">
        <f ca="1">IFERROR(CC104/BM$4,0)</f>
        <v>2.1753385399625083E-2</v>
      </c>
      <c r="CE104" s="212" t="str">
        <f t="shared" ref="CE104" ca="1" si="4251">IF(SUM(BR104,BZ104,CD104)&lt;&gt;0,"V","")</f>
        <v>V</v>
      </c>
      <c r="CF104" s="214">
        <f>300</f>
        <v>300</v>
      </c>
      <c r="CG104" s="312">
        <f ca="1">IFERROR($X104/CH104-1,"")</f>
        <v>0.10282566584314501</v>
      </c>
      <c r="CH104" s="215">
        <v>44.240900000000003</v>
      </c>
      <c r="CI104" s="199">
        <f ca="1">CF104*$X104</f>
        <v>14637</v>
      </c>
      <c r="CJ104" s="199">
        <f ca="1">CI104*$Z104</f>
        <v>13283.80935</v>
      </c>
      <c r="CK104" s="216">
        <f ca="1">IFERROR(CJ104/CF$4,0)</f>
        <v>1.5010639786456928E-2</v>
      </c>
      <c r="CL104" s="202">
        <f ca="1">CM104/$X104</f>
        <v>99.716473471929476</v>
      </c>
      <c r="CM104" s="203">
        <f ca="1">CN104/$Z104</f>
        <v>4865.1667406954393</v>
      </c>
      <c r="CN104" s="203">
        <f ca="1">CO104*CF$4</f>
        <v>4415.3820755181459</v>
      </c>
      <c r="CO104" s="204">
        <f ca="1">IF(CF$6&lt;&gt;"",$O104,$N104)-CK104</f>
        <v>4.9893602135430721E-3</v>
      </c>
      <c r="CP104" s="205"/>
      <c r="CQ104" s="206">
        <f ca="1">CP104*$X104</f>
        <v>0</v>
      </c>
      <c r="CR104" s="206">
        <f ca="1">CQ104*$Z104</f>
        <v>0</v>
      </c>
      <c r="CS104" s="207">
        <f ca="1">IFERROR(CR104/CF$4,0)</f>
        <v>0</v>
      </c>
      <c r="CT104" s="391">
        <f t="shared" ref="CT104" si="4252">CF104+CP104</f>
        <v>300</v>
      </c>
      <c r="CU104" s="391">
        <f ca="1">CI104+IF($T104 ="",CQ104,0)</f>
        <v>14637</v>
      </c>
      <c r="CV104" s="391">
        <f ca="1">CU104*$Z104</f>
        <v>13283.80935</v>
      </c>
      <c r="CW104" s="394">
        <f ca="1">IFERROR(CV104/CF$4,0)</f>
        <v>1.5010639786456928E-2</v>
      </c>
      <c r="CX104" s="211" t="str">
        <f t="shared" ref="CX104" ca="1" si="4253">IF(SUM(CK104,CS104,CW104)&lt;&gt;0,"V","")</f>
        <v>V</v>
      </c>
      <c r="CY104" s="197">
        <f>1750</f>
        <v>1750</v>
      </c>
      <c r="CZ104" s="312">
        <f ca="1">IFERROR($X104/DA104-1,"")</f>
        <v>0.10282566584314501</v>
      </c>
      <c r="DA104" s="395">
        <v>44.240900000000003</v>
      </c>
      <c r="DB104" s="199">
        <f ca="1">CY104*$X104</f>
        <v>85382.5</v>
      </c>
      <c r="DC104" s="199">
        <f ca="1">DB104*$Z104</f>
        <v>77488.887875</v>
      </c>
      <c r="DD104" s="216">
        <f ca="1">IFERROR(DC104/CY$4,0)</f>
        <v>2.1612225944114927E-2</v>
      </c>
      <c r="DE104" s="202">
        <f ca="1">DF104/$X104</f>
        <v>-130.54626624285299</v>
      </c>
      <c r="DF104" s="203">
        <f ca="1">DG104/$Z104</f>
        <v>-6369.3523299887975</v>
      </c>
      <c r="DG104" s="203">
        <f ca="1">DH104*CY$4</f>
        <v>-5780.5057070813327</v>
      </c>
      <c r="DH104" s="204">
        <f ca="1">IF(CY$6&lt;&gt;"",$O104,$N104)-DD104</f>
        <v>-1.612225944114927E-3</v>
      </c>
      <c r="DI104" s="205"/>
      <c r="DJ104" s="206">
        <f ca="1">DI104*$X104</f>
        <v>0</v>
      </c>
      <c r="DK104" s="206">
        <f ca="1">DJ104*$Z104</f>
        <v>0</v>
      </c>
      <c r="DL104" s="207">
        <f ca="1">IFERROR(DK104/CY$4,0)</f>
        <v>0</v>
      </c>
      <c r="DM104" s="391">
        <f t="shared" ref="DM104" si="4254">CY104+DI104</f>
        <v>1750</v>
      </c>
      <c r="DN104" s="391">
        <f ca="1">DB104+IF($T104 ="",DJ104,0)</f>
        <v>85382.5</v>
      </c>
      <c r="DO104" s="391">
        <f ca="1">DN104*$Z104</f>
        <v>77488.887875</v>
      </c>
      <c r="DP104" s="394">
        <f ca="1">IFERROR(DO104/CY$4,0)</f>
        <v>2.1612225944114927E-2</v>
      </c>
      <c r="DQ104" s="209" t="str">
        <f t="shared" ref="DQ104" ca="1" si="4255">IF(SUM(DD104,DL104,DP104)&lt;&gt;0,"V","")</f>
        <v>V</v>
      </c>
      <c r="DR104" s="197">
        <f>210</f>
        <v>210</v>
      </c>
      <c r="DS104" s="312">
        <f ca="1">IFERROR($X104/DT104-1,"")</f>
        <v>0.10282566584314501</v>
      </c>
      <c r="DT104" s="395">
        <v>44.240900000000003</v>
      </c>
      <c r="DU104" s="199">
        <f ca="1">DR104*$X104</f>
        <v>10245.9</v>
      </c>
      <c r="DV104" s="199">
        <f ca="1">DU104*$Z104</f>
        <v>9298.666545</v>
      </c>
      <c r="DW104" s="216">
        <f ca="1">IFERROR(DV104/DR$4,0)</f>
        <v>1.3250497231702503E-2</v>
      </c>
      <c r="DX104" s="202">
        <f ca="1">DY104/$X104</f>
        <v>106.96923719596592</v>
      </c>
      <c r="DY104" s="203">
        <f ca="1">DZ104/$Z104</f>
        <v>5219.0290827911767</v>
      </c>
      <c r="DZ104" s="203">
        <f ca="1">EA104*DR$4</f>
        <v>4736.529844087132</v>
      </c>
      <c r="EA104" s="204">
        <f ca="1">IF(DR$6&lt;&gt;"",$O104,$N104)-DW104</f>
        <v>6.7495027682974978E-3</v>
      </c>
      <c r="EB104" s="205">
        <v>140</v>
      </c>
      <c r="EC104" s="206">
        <f ca="1">EB104*$X104</f>
        <v>6830.5999999999995</v>
      </c>
      <c r="ED104" s="206">
        <f ca="1">EC104*$Z104</f>
        <v>6199.1110299999991</v>
      </c>
      <c r="EE104" s="207">
        <f ca="1">IFERROR(ED104/DR$4,0)</f>
        <v>8.833664821135E-3</v>
      </c>
      <c r="EF104" s="391">
        <f t="shared" ref="EF104" si="4256">DR104+EB104</f>
        <v>350</v>
      </c>
      <c r="EG104" s="391">
        <f ca="1">DU104+IF($T104 ="",EC104,0)</f>
        <v>10245.9</v>
      </c>
      <c r="EH104" s="391">
        <f ca="1">EG104*$Z104</f>
        <v>9298.666545</v>
      </c>
      <c r="EI104" s="394">
        <f ca="1">IFERROR(EH104/DR$4,0)</f>
        <v>1.3250497231702503E-2</v>
      </c>
      <c r="EJ104" s="214"/>
      <c r="EK104" s="312" t="str">
        <f ca="1">IFERROR($X104/EL104-1,"")</f>
        <v/>
      </c>
      <c r="EL104" s="222"/>
      <c r="EM104" s="199">
        <f ca="1">EJ104*$X104</f>
        <v>0</v>
      </c>
      <c r="EN104" s="199">
        <f ca="1">EM104*$Z104</f>
        <v>0</v>
      </c>
      <c r="EO104" s="216">
        <f ca="1">IFERROR(EN104/EJ$4,0)</f>
        <v>0</v>
      </c>
      <c r="EP104" s="202">
        <f ca="1">EQ104/$X104</f>
        <v>320.57741420966664</v>
      </c>
      <c r="EQ104" s="203">
        <f ca="1">ER104/$Z104</f>
        <v>15640.972039289634</v>
      </c>
      <c r="ER104" s="203">
        <f ca="1">ES104*EJ$4</f>
        <v>14194.964174257308</v>
      </c>
      <c r="ES104" s="204">
        <f ca="1">IF(EJ$6&lt;&gt;"",$O104,$N104)-EO104</f>
        <v>0.02</v>
      </c>
      <c r="ET104" s="205"/>
      <c r="EU104" s="206">
        <f ca="1">ET104*$X104</f>
        <v>0</v>
      </c>
      <c r="EV104" s="206">
        <f ca="1">EU104*$Z104</f>
        <v>0</v>
      </c>
      <c r="EW104" s="207">
        <f ca="1">IFERROR(EV104/EJ$4,0)</f>
        <v>0</v>
      </c>
      <c r="EX104" s="391">
        <f t="shared" ref="EX104" si="4257">EJ104+ET104</f>
        <v>0</v>
      </c>
      <c r="EY104" s="391">
        <f ca="1">EM104+IF($T104 ="",EU104,0)</f>
        <v>0</v>
      </c>
      <c r="EZ104" s="391">
        <f ca="1">EY104*$Z104</f>
        <v>0</v>
      </c>
      <c r="FA104" s="394">
        <f ca="1">IFERROR(EZ104/EJ$4,0)</f>
        <v>0</v>
      </c>
      <c r="FB104" s="212" t="str">
        <f t="shared" ref="FB104" ca="1" si="4258">IF(SUM(EO104,EW104,FA104)&lt;&gt;0,"V","")</f>
        <v/>
      </c>
      <c r="FC104" s="214"/>
      <c r="FD104" s="312" t="str">
        <f ca="1">IFERROR($X104/FE104-1,"")</f>
        <v/>
      </c>
      <c r="FE104" s="215"/>
      <c r="FF104" s="199">
        <f ca="1">FC104*$X104</f>
        <v>0</v>
      </c>
      <c r="FG104" s="199">
        <f ca="1">FF104*$Z104</f>
        <v>0</v>
      </c>
      <c r="FH104" s="216">
        <f ca="1">IFERROR(FG104/FC$4,0)</f>
        <v>0</v>
      </c>
      <c r="FI104" s="202">
        <f ca="1">FJ104/$X104</f>
        <v>2058.5784782981837</v>
      </c>
      <c r="FJ104" s="203">
        <f ca="1">FK104/$Z104</f>
        <v>100438.04395616839</v>
      </c>
      <c r="FK104" s="203">
        <f ca="1">FL104*FC$4</f>
        <v>91152.546792420617</v>
      </c>
      <c r="FL104" s="204">
        <f ca="1">IF(FC$6&lt;&gt;"",$O104,$N104)-FH104</f>
        <v>0.02</v>
      </c>
      <c r="FM104" s="205"/>
      <c r="FN104" s="206">
        <f ca="1">FM104*$X104</f>
        <v>0</v>
      </c>
      <c r="FO104" s="206">
        <f ca="1">FN104*$Z104</f>
        <v>0</v>
      </c>
      <c r="FP104" s="207">
        <f ca="1">IFERROR(FO104/FC$4,0)</f>
        <v>0</v>
      </c>
      <c r="FQ104" s="391">
        <f t="shared" ref="FQ104" si="4259">FC104+FM104</f>
        <v>0</v>
      </c>
      <c r="FR104" s="391">
        <f ca="1">FF104+IF($T104 ="",FN104,0)</f>
        <v>0</v>
      </c>
      <c r="FS104" s="391">
        <f ca="1">FR104*$Z104</f>
        <v>0</v>
      </c>
      <c r="FT104" s="394">
        <f ca="1">IFERROR(FS104/FC$4,0)</f>
        <v>0</v>
      </c>
      <c r="FU104" s="209" t="str">
        <f t="shared" ref="FU104" ca="1" si="4260">IF(SUM(FH104,FP104,FT104)&lt;&gt;0,"V","")</f>
        <v/>
      </c>
    </row>
    <row r="105" spans="1:177" outlineLevel="2" x14ac:dyDescent="0.2">
      <c r="A105" s="366"/>
      <c r="B105" s="366"/>
      <c r="C105" s="367" t="str">
        <f t="shared" ca="1" si="3641"/>
        <v>DE000A0Q4R02:EUR:STU</v>
      </c>
      <c r="D105" s="368" t="str">
        <f t="shared" ca="1" si="3642"/>
        <v>DE000A0Q4R02</v>
      </c>
      <c r="E105" s="369" t="str">
        <f t="shared" ca="1" si="3642"/>
        <v>12981018</v>
      </c>
      <c r="F105" s="390" t="s">
        <v>416</v>
      </c>
      <c r="G105" s="414"/>
      <c r="H105" s="1713" t="str">
        <f t="shared" ca="1" si="3643"/>
        <v></v>
      </c>
      <c r="I105" s="1683" t="str">
        <f t="shared" ca="1" si="3644"/>
        <v/>
      </c>
      <c r="J105" s="1713" t="str">
        <f t="shared" ca="1" si="3645"/>
        <v/>
      </c>
      <c r="K105" s="1716" t="str">
        <f t="shared" ca="1" si="3645"/>
        <v/>
      </c>
      <c r="L105" s="1717" t="str">
        <f t="shared" ca="1" si="3646"/>
        <v/>
      </c>
      <c r="M105" s="366" t="str">
        <f t="shared" ca="1" si="3647"/>
        <v>Unit</v>
      </c>
      <c r="N105" s="417">
        <v>0.02</v>
      </c>
      <c r="O105" s="417"/>
      <c r="P105" s="418">
        <f t="shared" ca="1" si="2532"/>
        <v>2.2488603597771047E-2</v>
      </c>
      <c r="Q105" s="391">
        <f t="array" aca="1" ref="Q105" ca="1">SUM(IF($AA$15:$FT$15="I_pos",AA105:FT105))</f>
        <v>1515</v>
      </c>
      <c r="R105" s="391">
        <f t="array" aca="1" ref="R105" ca="1">SUM(IF($AA$15:$FT$15="P_Pos",AA105:FT105))</f>
        <v>3581.4362110628299</v>
      </c>
      <c r="S105" s="367"/>
      <c r="T105" s="391"/>
      <c r="U105" s="375">
        <f t="shared" ca="1" si="3648"/>
        <v>-4.0300546448087504E-2</v>
      </c>
      <c r="V105" s="391">
        <f t="array" aca="1" ref="V105" ca="1">SUM(IF($AA$15:$FT$15="O_Pos",AA105:FT105))</f>
        <v>0</v>
      </c>
      <c r="W105" s="367" t="str">
        <f t="shared" ref="W105:W106" ca="1" si="4261">OFFSET(Origine,MATCH($F105,Descrizioni,0),MATCH(W$15,Intestazioni,0)-1,1,1)</f>
        <v>EUR</v>
      </c>
      <c r="X105" s="392">
        <f t="shared" ref="X105:X106" ca="1" si="4262">_xlfn.NUMBERVALUE(OFFSET(Origine,MATCH($F105,Descrizioni,0),MATCH(X$15,Intestazioni,0)-1,1,1))</f>
        <v>56.29</v>
      </c>
      <c r="Y105" s="393">
        <f t="shared" ca="1" si="3651"/>
        <v>0</v>
      </c>
      <c r="Z105" s="378">
        <f t="shared" ref="Z105" ca="1" si="4263">_xlfn.NUMBERVALUE(OFFSET(Origine,MATCH(W105&amp;"/"&amp;MRif,LUKB_Name,0),MATCH("Price",Intestazioni,0)-1,1,1))</f>
        <v>0.90754999999999997</v>
      </c>
      <c r="AA105" s="214">
        <f>245</f>
        <v>245</v>
      </c>
      <c r="AB105" s="312">
        <f t="shared" ref="AB105" ca="1" si="4264">IFERROR($X105/AC105-1,"")</f>
        <v>0.29340156108904014</v>
      </c>
      <c r="AC105" s="215">
        <v>43.520899999999997</v>
      </c>
      <c r="AD105" s="199">
        <f t="shared" ref="AD105" ca="1" si="4265">AA105*$X105</f>
        <v>13791.05</v>
      </c>
      <c r="AE105" s="199">
        <f t="shared" ref="AE105" ca="1" si="4266">AD105*$Z105</f>
        <v>12516.067427499998</v>
      </c>
      <c r="AF105" s="216">
        <f t="shared" ref="AF105" ca="1" si="4267">IFERROR(AE105/AA$4,0)</f>
        <v>2.2290572101574955E-2</v>
      </c>
      <c r="AG105" s="202">
        <f t="shared" ref="AG105" ca="1" si="4268">AH105/$X105</f>
        <v>-25.176122099002232</v>
      </c>
      <c r="AH105" s="203">
        <f t="shared" ref="AH105" ca="1" si="4269">AI105/$Z105</f>
        <v>-1417.1639129528355</v>
      </c>
      <c r="AI105" s="203">
        <f t="shared" ref="AI105" ca="1" si="4270">AJ105*AA$4</f>
        <v>-1286.1471092003458</v>
      </c>
      <c r="AJ105" s="204">
        <f t="shared" ca="1" si="3902"/>
        <v>-2.2905721015749544E-3</v>
      </c>
      <c r="AK105" s="205"/>
      <c r="AL105" s="206">
        <f t="shared" ref="AL105" ca="1" si="4271">AK105*$X105</f>
        <v>0</v>
      </c>
      <c r="AM105" s="206">
        <f t="shared" ref="AM105" ca="1" si="4272">AL105*$Z105</f>
        <v>0</v>
      </c>
      <c r="AN105" s="207">
        <f t="shared" ref="AN105" ca="1" si="4273">IFERROR(AM105/AA$4,0)</f>
        <v>0</v>
      </c>
      <c r="AO105" s="391">
        <f t="shared" ref="AO105" si="4274">AA105+AK105</f>
        <v>245</v>
      </c>
      <c r="AP105" s="391">
        <f t="shared" ref="AP105" ca="1" si="4275">AD105+IF($T105 ="",AL105,0)</f>
        <v>13791.05</v>
      </c>
      <c r="AQ105" s="391">
        <f t="shared" ref="AQ105" ca="1" si="4276">AP105*$Z105</f>
        <v>12516.067427499998</v>
      </c>
      <c r="AR105" s="394">
        <f t="shared" ref="AR105" ca="1" si="4277">IFERROR(AQ105/AA$4,0)</f>
        <v>2.2290572101574955E-2</v>
      </c>
      <c r="AS105" s="209" t="str">
        <f t="shared" ref="AS105" ca="1" si="4278">IF(SUM(AF105,AN105,AR105)&lt;&gt;0,"V","")</f>
        <v>V</v>
      </c>
      <c r="AT105" s="214">
        <f>760</f>
        <v>760</v>
      </c>
      <c r="AU105" s="312">
        <f t="shared" ref="AU105" ca="1" si="4279">IFERROR($X105/AV105-1,"")</f>
        <v>0.29340156108904014</v>
      </c>
      <c r="AV105" s="215">
        <v>43.520899999999997</v>
      </c>
      <c r="AW105" s="199">
        <f t="shared" ref="AW105" ca="1" si="4280">AT105*$X105</f>
        <v>42780.4</v>
      </c>
      <c r="AX105" s="199">
        <f t="shared" ref="AX105" ca="1" si="4281">AW105*$Z105</f>
        <v>38825.352019999998</v>
      </c>
      <c r="AY105" s="216">
        <f t="shared" ref="AY105" ca="1" si="4282">IFERROR(AX105/AT$4,0)</f>
        <v>2.2418529695181117E-2</v>
      </c>
      <c r="AZ105" s="202">
        <f t="shared" ref="AZ105" ca="1" si="4283">BA105/$X105</f>
        <v>-81.9894343353278</v>
      </c>
      <c r="BA105" s="203">
        <f t="shared" ref="BA105" ca="1" si="4284">BB105/$Z105</f>
        <v>-4615.1852587356016</v>
      </c>
      <c r="BB105" s="203">
        <f t="shared" ref="BB105" ca="1" si="4285">BC105*AT$4</f>
        <v>-4188.511381565495</v>
      </c>
      <c r="BC105" s="204">
        <f t="shared" ca="1" si="3918"/>
        <v>-2.4185296951811167E-3</v>
      </c>
      <c r="BD105" s="205"/>
      <c r="BE105" s="206">
        <f t="shared" ref="BE105" ca="1" si="4286">BD105*$X105</f>
        <v>0</v>
      </c>
      <c r="BF105" s="206">
        <f t="shared" ref="BF105" ca="1" si="4287">BE105*$Z105</f>
        <v>0</v>
      </c>
      <c r="BG105" s="207">
        <f t="shared" ref="BG105" ca="1" si="4288">IFERROR(BF105/AT$4,0)</f>
        <v>0</v>
      </c>
      <c r="BH105" s="391">
        <f t="shared" ref="BH105" si="4289">AT105+BD105</f>
        <v>760</v>
      </c>
      <c r="BI105" s="391">
        <f t="shared" ref="BI105" ca="1" si="4290">AW105+IF($T105 ="",BE105,0)</f>
        <v>42780.4</v>
      </c>
      <c r="BJ105" s="391">
        <f t="shared" ref="BJ105" ca="1" si="4291">BI105*$Z105</f>
        <v>38825.352019999998</v>
      </c>
      <c r="BK105" s="394">
        <f t="shared" ref="BK105" ca="1" si="4292">IFERROR(BJ105/AT$4,0)</f>
        <v>2.2418529695181117E-2</v>
      </c>
      <c r="BL105" s="211" t="str">
        <f t="shared" ref="BL105" ca="1" si="4293">IF(SUM(AY105,BG105,BK105)&lt;&gt;0,"V","")</f>
        <v>V</v>
      </c>
      <c r="BM105" s="214">
        <f>130</f>
        <v>130</v>
      </c>
      <c r="BN105" s="312">
        <f t="shared" ref="BN105" ca="1" si="4294">IFERROR($X105/BO105-1,"")</f>
        <v>0.29340156108904014</v>
      </c>
      <c r="BO105" s="215">
        <v>43.520899999999997</v>
      </c>
      <c r="BP105" s="199">
        <f t="shared" ref="BP105" ca="1" si="4295">BM105*$X105</f>
        <v>7317.7</v>
      </c>
      <c r="BQ105" s="199">
        <f t="shared" ref="BQ105" ca="1" si="4296">BP105*$Z105</f>
        <v>6641.1786349999993</v>
      </c>
      <c r="BR105" s="216">
        <f t="shared" ref="BR105" ca="1" si="4297">IFERROR(BQ105/BM$4,0)</f>
        <v>2.33046508855498E-2</v>
      </c>
      <c r="BS105" s="202">
        <f t="shared" ref="BS105" ca="1" si="4298">BT105/$X105</f>
        <v>-18.434286667982356</v>
      </c>
      <c r="BT105" s="203">
        <f t="shared" ref="BT105" ca="1" si="4299">BU105/$Z105</f>
        <v>-1037.6659965407268</v>
      </c>
      <c r="BU105" s="203">
        <f t="shared" ref="BU105" ca="1" si="4300">BV105*BM$4</f>
        <v>-941.73377516053665</v>
      </c>
      <c r="BV105" s="204">
        <f t="shared" ca="1" si="3934"/>
        <v>-3.3046508855497994E-3</v>
      </c>
      <c r="BW105" s="205"/>
      <c r="BX105" s="206">
        <f t="shared" ref="BX105" ca="1" si="4301">BW105*$X105</f>
        <v>0</v>
      </c>
      <c r="BY105" s="206">
        <f t="shared" ref="BY105" ca="1" si="4302">BX105*$Z105</f>
        <v>0</v>
      </c>
      <c r="BZ105" s="207">
        <f t="shared" ref="BZ105" ca="1" si="4303">IFERROR(BY105/BM$4,0)</f>
        <v>0</v>
      </c>
      <c r="CA105" s="391">
        <f t="shared" ref="CA105" si="4304">BM105+BW105</f>
        <v>130</v>
      </c>
      <c r="CB105" s="391">
        <f t="shared" ref="CB105" ca="1" si="4305">BP105+IF($T105 ="",BX105,0)</f>
        <v>7317.7</v>
      </c>
      <c r="CC105" s="391">
        <f t="shared" ref="CC105" ca="1" si="4306">CB105*$Z105</f>
        <v>6641.1786349999993</v>
      </c>
      <c r="CD105" s="394">
        <f t="shared" ref="CD105" ca="1" si="4307">IFERROR(CC105/BM$4,0)</f>
        <v>2.33046508855498E-2</v>
      </c>
      <c r="CE105" s="212" t="str">
        <f t="shared" ref="CE105" ca="1" si="4308">IF(SUM(BR105,BZ105,CD105)&lt;&gt;0,"V","")</f>
        <v>V</v>
      </c>
      <c r="CF105" s="214">
        <f>380</f>
        <v>380</v>
      </c>
      <c r="CG105" s="312">
        <f t="shared" ref="CG105" ca="1" si="4309">IFERROR($X105/CH105-1,"")</f>
        <v>0.29340156108904014</v>
      </c>
      <c r="CH105" s="215">
        <v>43.520899999999997</v>
      </c>
      <c r="CI105" s="199">
        <f t="shared" ref="CI105" ca="1" si="4310">CF105*$X105</f>
        <v>21390.2</v>
      </c>
      <c r="CJ105" s="199">
        <f t="shared" ref="CJ105" ca="1" si="4311">CI105*$Z105</f>
        <v>19412.676009999999</v>
      </c>
      <c r="CK105" s="216">
        <f t="shared" ref="CK105" ca="1" si="4312">IFERROR(CJ105/CF$4,0)</f>
        <v>2.1936229224586393E-2</v>
      </c>
      <c r="CL105" s="202">
        <f t="shared" ref="CL105" ca="1" si="4313">CM105/$X105</f>
        <v>-33.541184212196889</v>
      </c>
      <c r="CM105" s="203">
        <f t="shared" ref="CM105" ca="1" si="4314">CN105/$Z105</f>
        <v>-1888.033259304563</v>
      </c>
      <c r="CN105" s="203">
        <f t="shared" ref="CN105" ca="1" si="4315">CO105*CF$4</f>
        <v>-1713.484584481856</v>
      </c>
      <c r="CO105" s="204">
        <f t="shared" ca="1" si="3950"/>
        <v>-1.9362292245863923E-3</v>
      </c>
      <c r="CP105" s="205"/>
      <c r="CQ105" s="206">
        <f t="shared" ref="CQ105" ca="1" si="4316">CP105*$X105</f>
        <v>0</v>
      </c>
      <c r="CR105" s="206">
        <f t="shared" ref="CR105" ca="1" si="4317">CQ105*$Z105</f>
        <v>0</v>
      </c>
      <c r="CS105" s="207">
        <f t="shared" ref="CS105" ca="1" si="4318">IFERROR(CR105/CF$4,0)</f>
        <v>0</v>
      </c>
      <c r="CT105" s="391">
        <f t="shared" ref="CT105" si="4319">CF105+CP105</f>
        <v>380</v>
      </c>
      <c r="CU105" s="391">
        <f t="shared" ref="CU105" ca="1" si="4320">CI105+IF($T105 ="",CQ105,0)</f>
        <v>21390.2</v>
      </c>
      <c r="CV105" s="391">
        <f t="shared" ref="CV105" ca="1" si="4321">CU105*$Z105</f>
        <v>19412.676009999999</v>
      </c>
      <c r="CW105" s="394">
        <f t="shared" ref="CW105" ca="1" si="4322">IFERROR(CV105/CF$4,0)</f>
        <v>2.1936229224586393E-2</v>
      </c>
      <c r="CX105" s="211" t="str">
        <f t="shared" ref="CX105" ca="1" si="4323">IF(SUM(CK105,CS105,CW105)&lt;&gt;0,"V","")</f>
        <v>V</v>
      </c>
      <c r="CY105" s="197"/>
      <c r="CZ105" s="312" t="str">
        <f t="shared" ref="CZ105" ca="1" si="4324">IFERROR($X105/DA105-1,"")</f>
        <v/>
      </c>
      <c r="DA105" s="395"/>
      <c r="DB105" s="199">
        <f t="shared" ref="DB105" ca="1" si="4325">CY105*$X105</f>
        <v>0</v>
      </c>
      <c r="DC105" s="199">
        <f t="shared" ref="DC105" ca="1" si="4326">DB105*$Z105</f>
        <v>0</v>
      </c>
      <c r="DD105" s="216">
        <f t="shared" ref="DD105" ca="1" si="4327">IFERROR(DC105/CY$4,0)</f>
        <v>0</v>
      </c>
      <c r="DE105" s="202">
        <f t="shared" ref="DE105" ca="1" si="4328">DF105/$X105</f>
        <v>1403.6800083498172</v>
      </c>
      <c r="DF105" s="203">
        <f t="shared" ref="DF105" ca="1" si="4329">DG105/$Z105</f>
        <v>79013.147670011211</v>
      </c>
      <c r="DG105" s="203">
        <f t="shared" ref="DG105" ca="1" si="4330">DH105*CY$4</f>
        <v>71708.382167918666</v>
      </c>
      <c r="DH105" s="204">
        <f t="shared" ca="1" si="3966"/>
        <v>0.02</v>
      </c>
      <c r="DI105" s="205"/>
      <c r="DJ105" s="206">
        <f t="shared" ref="DJ105" ca="1" si="4331">DI105*$X105</f>
        <v>0</v>
      </c>
      <c r="DK105" s="206">
        <f t="shared" ref="DK105" ca="1" si="4332">DJ105*$Z105</f>
        <v>0</v>
      </c>
      <c r="DL105" s="207">
        <f t="shared" ref="DL105" ca="1" si="4333">IFERROR(DK105/CY$4,0)</f>
        <v>0</v>
      </c>
      <c r="DM105" s="391">
        <f t="shared" ref="DM105" si="4334">CY105+DI105</f>
        <v>0</v>
      </c>
      <c r="DN105" s="391">
        <f t="shared" ref="DN105" ca="1" si="4335">DB105+IF($T105 ="",DJ105,0)</f>
        <v>0</v>
      </c>
      <c r="DO105" s="391">
        <f t="shared" ref="DO105" ca="1" si="4336">DN105*$Z105</f>
        <v>0</v>
      </c>
      <c r="DP105" s="394">
        <f t="shared" ref="DP105" ca="1" si="4337">IFERROR(DO105/CY$4,0)</f>
        <v>0</v>
      </c>
      <c r="DQ105" s="209" t="str">
        <f t="shared" ref="DQ105" ca="1" si="4338">IF(SUM(DD105,DL105,DP105)&lt;&gt;0,"V","")</f>
        <v/>
      </c>
      <c r="DR105" s="197"/>
      <c r="DS105" s="312" t="str">
        <f t="shared" ca="1" si="3975"/>
        <v/>
      </c>
      <c r="DT105" s="395"/>
      <c r="DU105" s="199">
        <f t="shared" ca="1" si="3976"/>
        <v>0</v>
      </c>
      <c r="DV105" s="199">
        <f t="shared" ca="1" si="3977"/>
        <v>0</v>
      </c>
      <c r="DW105" s="216">
        <f t="shared" ca="1" si="3627"/>
        <v>0</v>
      </c>
      <c r="DX105" s="202">
        <f t="shared" ca="1" si="3978"/>
        <v>274.73670425992498</v>
      </c>
      <c r="DY105" s="203">
        <f t="shared" ca="1" si="3979"/>
        <v>15464.929082791177</v>
      </c>
      <c r="DZ105" s="203">
        <f t="shared" ca="1" si="3980"/>
        <v>14035.196389087132</v>
      </c>
      <c r="EA105" s="204">
        <f t="shared" ca="1" si="3981"/>
        <v>0.02</v>
      </c>
      <c r="EB105" s="205"/>
      <c r="EC105" s="206">
        <f t="shared" ca="1" si="3982"/>
        <v>0</v>
      </c>
      <c r="ED105" s="206">
        <f t="shared" ca="1" si="3983"/>
        <v>0</v>
      </c>
      <c r="EE105" s="207">
        <f t="shared" ca="1" si="3633"/>
        <v>0</v>
      </c>
      <c r="EF105" s="391">
        <f t="shared" si="3984"/>
        <v>0</v>
      </c>
      <c r="EG105" s="391">
        <f t="shared" ca="1" si="3985"/>
        <v>0</v>
      </c>
      <c r="EH105" s="391">
        <f t="shared" ca="1" si="3986"/>
        <v>0</v>
      </c>
      <c r="EI105" s="394">
        <f t="shared" ca="1" si="3636"/>
        <v>0</v>
      </c>
      <c r="EJ105" s="214"/>
      <c r="EK105" s="312" t="str">
        <f t="shared" ref="EK105" ca="1" si="4339">IFERROR($X105/EL105-1,"")</f>
        <v/>
      </c>
      <c r="EL105" s="222"/>
      <c r="EM105" s="199">
        <f t="shared" ref="EM105" ca="1" si="4340">EJ105*$X105</f>
        <v>0</v>
      </c>
      <c r="EN105" s="199">
        <f t="shared" ref="EN105" ca="1" si="4341">EM105*$Z105</f>
        <v>0</v>
      </c>
      <c r="EO105" s="216">
        <f t="shared" ref="EO105" ca="1" si="4342">IFERROR(EN105/EJ$4,0)</f>
        <v>0</v>
      </c>
      <c r="EP105" s="202">
        <f t="shared" ref="EP105" ca="1" si="4343">EQ105/$X105</f>
        <v>277.86413287066324</v>
      </c>
      <c r="EQ105" s="203">
        <f t="shared" ref="EQ105" ca="1" si="4344">ER105/$Z105</f>
        <v>15640.972039289634</v>
      </c>
      <c r="ER105" s="203">
        <f t="shared" ref="ER105" ca="1" si="4345">ES105*EJ$4</f>
        <v>14194.964174257308</v>
      </c>
      <c r="ES105" s="204">
        <f t="shared" ca="1" si="3994"/>
        <v>0.02</v>
      </c>
      <c r="ET105" s="205"/>
      <c r="EU105" s="206">
        <f t="shared" ref="EU105" ca="1" si="4346">ET105*$X105</f>
        <v>0</v>
      </c>
      <c r="EV105" s="206">
        <f t="shared" ref="EV105" ca="1" si="4347">EU105*$Z105</f>
        <v>0</v>
      </c>
      <c r="EW105" s="207">
        <f t="shared" ref="EW105" ca="1" si="4348">IFERROR(EV105/EJ$4,0)</f>
        <v>0</v>
      </c>
      <c r="EX105" s="391">
        <f t="shared" ref="EX105" si="4349">EJ105+ET105</f>
        <v>0</v>
      </c>
      <c r="EY105" s="391">
        <f t="shared" ref="EY105" ca="1" si="4350">EM105+IF($T105 ="",EU105,0)</f>
        <v>0</v>
      </c>
      <c r="EZ105" s="391">
        <f t="shared" ref="EZ105" ca="1" si="4351">EY105*$Z105</f>
        <v>0</v>
      </c>
      <c r="FA105" s="394">
        <f t="shared" ref="FA105" ca="1" si="4352">IFERROR(EZ105/EJ$4,0)</f>
        <v>0</v>
      </c>
      <c r="FB105" s="212" t="str">
        <f t="shared" ref="FB105" ca="1" si="4353">IF(SUM(EO105,EW105,FA105)&lt;&gt;0,"V","")</f>
        <v/>
      </c>
      <c r="FC105" s="214"/>
      <c r="FD105" s="312" t="str">
        <f t="shared" ref="FD105" ca="1" si="4354">IFERROR($X105/FE105-1,"")</f>
        <v/>
      </c>
      <c r="FE105" s="215"/>
      <c r="FF105" s="199">
        <f t="shared" ref="FF105" ca="1" si="4355">FC105*$X105</f>
        <v>0</v>
      </c>
      <c r="FG105" s="199">
        <f t="shared" ref="FG105" ca="1" si="4356">FF105*$Z105</f>
        <v>0</v>
      </c>
      <c r="FH105" s="216">
        <f t="shared" ref="FH105" ca="1" si="4357">IFERROR(FG105/FC$4,0)</f>
        <v>0</v>
      </c>
      <c r="FI105" s="202">
        <f t="shared" ref="FI105" ca="1" si="4358">FJ105/$X105</f>
        <v>1784.2963928969336</v>
      </c>
      <c r="FJ105" s="203">
        <f t="shared" ref="FJ105" ca="1" si="4359">FK105/$Z105</f>
        <v>100438.04395616839</v>
      </c>
      <c r="FK105" s="203">
        <f t="shared" ref="FK105" ca="1" si="4360">FL105*FC$4</f>
        <v>91152.546792420617</v>
      </c>
      <c r="FL105" s="204">
        <f t="shared" ca="1" si="4010"/>
        <v>0.02</v>
      </c>
      <c r="FM105" s="205"/>
      <c r="FN105" s="206">
        <f t="shared" ref="FN105" ca="1" si="4361">FM105*$X105</f>
        <v>0</v>
      </c>
      <c r="FO105" s="206">
        <f t="shared" ref="FO105" ca="1" si="4362">FN105*$Z105</f>
        <v>0</v>
      </c>
      <c r="FP105" s="207">
        <f t="shared" ref="FP105" ca="1" si="4363">IFERROR(FO105/FC$4,0)</f>
        <v>0</v>
      </c>
      <c r="FQ105" s="391">
        <f t="shared" ref="FQ105" si="4364">FC105+FM105</f>
        <v>0</v>
      </c>
      <c r="FR105" s="391">
        <f t="shared" ref="FR105" ca="1" si="4365">FF105+IF($T105 ="",FN105,0)</f>
        <v>0</v>
      </c>
      <c r="FS105" s="391">
        <f t="shared" ref="FS105" ca="1" si="4366">FR105*$Z105</f>
        <v>0</v>
      </c>
      <c r="FT105" s="394">
        <f t="shared" ref="FT105" ca="1" si="4367">IFERROR(FS105/FC$4,0)</f>
        <v>0</v>
      </c>
      <c r="FU105" s="209" t="str">
        <f t="shared" ref="FU105" ca="1" si="4368">IF(SUM(FH105,FP105,FT105)&lt;&gt;0,"V","")</f>
        <v/>
      </c>
    </row>
    <row r="106" spans="1:177" outlineLevel="2" x14ac:dyDescent="0.2">
      <c r="A106" s="366"/>
      <c r="B106" s="366"/>
      <c r="C106" s="367" t="str">
        <f t="shared" ca="1" si="3641"/>
        <v>LU0446734104:EUR</v>
      </c>
      <c r="D106" s="368" t="str">
        <f t="shared" ca="1" si="3642"/>
        <v>LU0446734104</v>
      </c>
      <c r="E106" s="369" t="str">
        <f t="shared" ca="1" si="3642"/>
        <v>10461006</v>
      </c>
      <c r="F106" s="367" t="s">
        <v>755</v>
      </c>
      <c r="G106" s="414"/>
      <c r="H106" s="1713" t="str">
        <f t="shared" ca="1" si="3643"/>
        <v></v>
      </c>
      <c r="I106" s="1683" t="str">
        <f t="shared" ca="1" si="3644"/>
        <v>i</v>
      </c>
      <c r="J106" s="1713" t="str">
        <f t="shared" ca="1" si="3645"/>
        <v></v>
      </c>
      <c r="K106" s="1716" t="str">
        <f t="shared" ca="1" si="3645"/>
        <v></v>
      </c>
      <c r="L106" s="1717" t="str">
        <f t="shared" ca="1" si="3646"/>
        <v></v>
      </c>
      <c r="M106" s="366" t="str">
        <f t="shared" ca="1" si="3647"/>
        <v>Unit</v>
      </c>
      <c r="N106" s="417"/>
      <c r="O106" s="417"/>
      <c r="P106" s="418">
        <f t="shared" ca="1" si="2532"/>
        <v>0</v>
      </c>
      <c r="Q106" s="391">
        <f t="array" aca="1" ref="Q106" ca="1">SUM(IF($AA$15:$FT$15="I_pos",AA106:FT106))</f>
        <v>0</v>
      </c>
      <c r="R106" s="391">
        <f t="array" aca="1" ref="R106" ca="1">SUM(IF($AA$15:$FT$15="P_Pos",AA106:FT106))</f>
        <v>0</v>
      </c>
      <c r="S106" s="367"/>
      <c r="T106" s="391"/>
      <c r="U106" s="375">
        <f t="shared" ca="1" si="3648"/>
        <v>-3.1471282454759997E-2</v>
      </c>
      <c r="V106" s="391">
        <f t="array" aca="1" ref="V106" ca="1">SUM(IF($AA$15:$FT$15="O_Pos",AA106:FT106))</f>
        <v>0</v>
      </c>
      <c r="W106" s="367" t="str">
        <f t="shared" ca="1" si="4261"/>
        <v>EUR</v>
      </c>
      <c r="X106" s="392">
        <f t="shared" ca="1" si="4262"/>
        <v>98.48</v>
      </c>
      <c r="Y106" s="393">
        <f t="shared" ca="1" si="3651"/>
        <v>0</v>
      </c>
      <c r="Z106" s="378">
        <f t="shared" ref="Z106:Z108" ca="1" si="4369">_xlfn.NUMBERVALUE(OFFSET(Origine,MATCH(W106&amp;"/"&amp;MRif,LUKB_Name,0),MATCH("Price",Intestazioni,0)-1,1,1))</f>
        <v>0.90754999999999997</v>
      </c>
      <c r="AA106" s="214"/>
      <c r="AB106" s="312" t="str">
        <f t="shared" ref="AB106:AB108" ca="1" si="4370">IFERROR($X106/AC106-1,"")</f>
        <v/>
      </c>
      <c r="AC106" s="215"/>
      <c r="AD106" s="199">
        <f t="shared" ref="AD106:AD108" ca="1" si="4371">AA106*$X106</f>
        <v>0</v>
      </c>
      <c r="AE106" s="199">
        <f t="shared" ref="AE106:AE108" ca="1" si="4372">AD106*$Z106</f>
        <v>0</v>
      </c>
      <c r="AF106" s="216">
        <f t="shared" ref="AF106:AF109" ca="1" si="4373">IFERROR(AE106/AA$4,0)</f>
        <v>0</v>
      </c>
      <c r="AG106" s="202">
        <f t="shared" ref="AG106" ca="1" si="4374">AH106/$X106</f>
        <v>0</v>
      </c>
      <c r="AH106" s="203">
        <f t="shared" ref="AH106" ca="1" si="4375">AI106/$Z106</f>
        <v>0</v>
      </c>
      <c r="AI106" s="203">
        <f t="shared" ref="AI106:AI108" ca="1" si="4376">AJ106*AA$4</f>
        <v>0</v>
      </c>
      <c r="AJ106" s="204">
        <f t="shared" ca="1" si="3902"/>
        <v>0</v>
      </c>
      <c r="AK106" s="205"/>
      <c r="AL106" s="206">
        <f t="shared" ref="AL106:AL108" ca="1" si="4377">AK106*$X106</f>
        <v>0</v>
      </c>
      <c r="AM106" s="206">
        <f t="shared" ref="AM106:AM108" ca="1" si="4378">AL106*$Z106</f>
        <v>0</v>
      </c>
      <c r="AN106" s="207">
        <f t="shared" ref="AN106:AN109" ca="1" si="4379">IFERROR(AM106/AA$4,0)</f>
        <v>0</v>
      </c>
      <c r="AO106" s="391">
        <f t="shared" ref="AO106:AO108" si="4380">AA106+AK106</f>
        <v>0</v>
      </c>
      <c r="AP106" s="391">
        <f t="shared" ca="1" si="2846"/>
        <v>0</v>
      </c>
      <c r="AQ106" s="391">
        <f t="shared" ref="AQ106:AQ108" ca="1" si="4381">AP106*$Z106</f>
        <v>0</v>
      </c>
      <c r="AR106" s="394">
        <f t="shared" ref="AR106:AR109" ca="1" si="4382">IFERROR(AQ106/AA$4,0)</f>
        <v>0</v>
      </c>
      <c r="AS106" s="209" t="str">
        <f t="shared" ca="1" si="3165"/>
        <v/>
      </c>
      <c r="AT106" s="214"/>
      <c r="AU106" s="312" t="str">
        <f t="shared" ref="AU106:AU108" ca="1" si="4383">IFERROR($X106/AV106-1,"")</f>
        <v/>
      </c>
      <c r="AV106" s="215"/>
      <c r="AW106" s="199">
        <f t="shared" ref="AW106:AW108" ca="1" si="4384">AT106*$X106</f>
        <v>0</v>
      </c>
      <c r="AX106" s="199">
        <f t="shared" ref="AX106:AX108" ca="1" si="4385">AW106*$Z106</f>
        <v>0</v>
      </c>
      <c r="AY106" s="216">
        <f t="shared" ref="AY106:AY109" ca="1" si="4386">IFERROR(AX106/AT$4,0)</f>
        <v>0</v>
      </c>
      <c r="AZ106" s="202">
        <f t="shared" ref="AZ106" ca="1" si="4387">BA106/$X106</f>
        <v>0</v>
      </c>
      <c r="BA106" s="203">
        <f t="shared" ref="BA106" ca="1" si="4388">BB106/$Z106</f>
        <v>0</v>
      </c>
      <c r="BB106" s="203">
        <f t="shared" ref="BB106:BB108" ca="1" si="4389">BC106*AT$4</f>
        <v>0</v>
      </c>
      <c r="BC106" s="204">
        <f t="shared" ca="1" si="3918"/>
        <v>0</v>
      </c>
      <c r="BD106" s="205"/>
      <c r="BE106" s="206">
        <f t="shared" ref="BE106:BE108" ca="1" si="4390">BD106*$X106</f>
        <v>0</v>
      </c>
      <c r="BF106" s="206">
        <f t="shared" ref="BF106:BF108" ca="1" si="4391">BE106*$Z106</f>
        <v>0</v>
      </c>
      <c r="BG106" s="207">
        <f t="shared" ref="BG106:BG109" ca="1" si="4392">IFERROR(BF106/AT$4,0)</f>
        <v>0</v>
      </c>
      <c r="BH106" s="391">
        <f t="shared" ref="BH106:BH108" si="4393">AT106+BD106</f>
        <v>0</v>
      </c>
      <c r="BI106" s="391">
        <f t="shared" ca="1" si="2857"/>
        <v>0</v>
      </c>
      <c r="BJ106" s="391">
        <f t="shared" ref="BJ106:BJ108" ca="1" si="4394">BI106*$Z106</f>
        <v>0</v>
      </c>
      <c r="BK106" s="394">
        <f t="shared" ref="BK106:BK109" ca="1" si="4395">IFERROR(BJ106/AT$4,0)</f>
        <v>0</v>
      </c>
      <c r="BL106" s="211" t="str">
        <f t="shared" ca="1" si="3166"/>
        <v/>
      </c>
      <c r="BM106" s="214"/>
      <c r="BN106" s="312" t="str">
        <f t="shared" ref="BN106:BN108" ca="1" si="4396">IFERROR($X106/BO106-1,"")</f>
        <v/>
      </c>
      <c r="BO106" s="215"/>
      <c r="BP106" s="199">
        <f t="shared" ref="BP106:BP108" ca="1" si="4397">BM106*$X106</f>
        <v>0</v>
      </c>
      <c r="BQ106" s="199">
        <f t="shared" ref="BQ106:BQ108" ca="1" si="4398">BP106*$Z106</f>
        <v>0</v>
      </c>
      <c r="BR106" s="216">
        <f t="shared" ref="BR106:BR109" ca="1" si="4399">IFERROR(BQ106/BM$4,0)</f>
        <v>0</v>
      </c>
      <c r="BS106" s="202">
        <f t="shared" ref="BS106" ca="1" si="4400">BT106/$X106</f>
        <v>0</v>
      </c>
      <c r="BT106" s="203">
        <f t="shared" ref="BT106" ca="1" si="4401">BU106/$Z106</f>
        <v>0</v>
      </c>
      <c r="BU106" s="203">
        <f t="shared" ref="BU106:BU108" ca="1" si="4402">BV106*BM$4</f>
        <v>0</v>
      </c>
      <c r="BV106" s="204">
        <f t="shared" ca="1" si="3934"/>
        <v>0</v>
      </c>
      <c r="BW106" s="205"/>
      <c r="BX106" s="206">
        <f t="shared" ref="BX106:BX108" ca="1" si="4403">BW106*$X106</f>
        <v>0</v>
      </c>
      <c r="BY106" s="206">
        <f t="shared" ref="BY106:BY108" ca="1" si="4404">BX106*$Z106</f>
        <v>0</v>
      </c>
      <c r="BZ106" s="207">
        <f t="shared" ref="BZ106:BZ109" ca="1" si="4405">IFERROR(BY106/BM$4,0)</f>
        <v>0</v>
      </c>
      <c r="CA106" s="391">
        <f t="shared" ref="CA106:CA108" si="4406">BM106+BW106</f>
        <v>0</v>
      </c>
      <c r="CB106" s="391">
        <f t="shared" ca="1" si="2870"/>
        <v>0</v>
      </c>
      <c r="CC106" s="391">
        <f t="shared" ref="CC106:CC108" ca="1" si="4407">CB106*$Z106</f>
        <v>0</v>
      </c>
      <c r="CD106" s="394">
        <f t="shared" ref="CD106:CD109" ca="1" si="4408">IFERROR(CC106/BM$4,0)</f>
        <v>0</v>
      </c>
      <c r="CE106" s="212" t="str">
        <f t="shared" ca="1" si="3167"/>
        <v/>
      </c>
      <c r="CF106" s="214"/>
      <c r="CG106" s="312" t="str">
        <f t="shared" ref="CG106:CG108" ca="1" si="4409">IFERROR($X106/CH106-1,"")</f>
        <v/>
      </c>
      <c r="CH106" s="215"/>
      <c r="CI106" s="199">
        <f t="shared" ref="CI106:CI108" ca="1" si="4410">CF106*$X106</f>
        <v>0</v>
      </c>
      <c r="CJ106" s="199">
        <f t="shared" ref="CJ106:CJ108" ca="1" si="4411">CI106*$Z106</f>
        <v>0</v>
      </c>
      <c r="CK106" s="216">
        <f t="shared" ref="CK106:CK141" ca="1" si="4412">IFERROR(CJ106/CF$4,0)</f>
        <v>0</v>
      </c>
      <c r="CL106" s="202">
        <f t="shared" ref="CL106:CL108" ca="1" si="4413">CM106/$X106</f>
        <v>0</v>
      </c>
      <c r="CM106" s="203">
        <f t="shared" ref="CM106:CM108" ca="1" si="4414">CN106/$Z106</f>
        <v>0</v>
      </c>
      <c r="CN106" s="203">
        <f t="shared" ref="CN106:CN108" ca="1" si="4415">CO106*CF$4</f>
        <v>0</v>
      </c>
      <c r="CO106" s="204">
        <f t="shared" ca="1" si="3950"/>
        <v>0</v>
      </c>
      <c r="CP106" s="205"/>
      <c r="CQ106" s="206">
        <f t="shared" ref="CQ106:CQ108" ca="1" si="4416">CP106*$X106</f>
        <v>0</v>
      </c>
      <c r="CR106" s="206">
        <f t="shared" ref="CR106:CR108" ca="1" si="4417">CQ106*$Z106</f>
        <v>0</v>
      </c>
      <c r="CS106" s="207">
        <f t="shared" ref="CS106:CS141" ca="1" si="4418">IFERROR(CR106/CF$4,0)</f>
        <v>0</v>
      </c>
      <c r="CT106" s="391">
        <f t="shared" ref="CT106:CT108" si="4419">CF106+CP106</f>
        <v>0</v>
      </c>
      <c r="CU106" s="391">
        <f t="shared" ca="1" si="2881"/>
        <v>0</v>
      </c>
      <c r="CV106" s="391">
        <f t="shared" ref="CV106:CV108" ca="1" si="4420">CU106*$Z106</f>
        <v>0</v>
      </c>
      <c r="CW106" s="394">
        <f t="shared" ca="1" si="1996"/>
        <v>0</v>
      </c>
      <c r="CX106" s="211" t="str">
        <f t="shared" ca="1" si="3168"/>
        <v/>
      </c>
      <c r="CY106" s="197"/>
      <c r="CZ106" s="312" t="str">
        <f t="shared" ref="CZ106:CZ108" ca="1" si="4421">IFERROR($X106/DA106-1,"")</f>
        <v/>
      </c>
      <c r="DA106" s="395"/>
      <c r="DB106" s="199">
        <f t="shared" ref="DB106:DB108" ca="1" si="4422">CY106*$X106</f>
        <v>0</v>
      </c>
      <c r="DC106" s="199">
        <f t="shared" ref="DC106:DC108" ca="1" si="4423">DB106*$Z106</f>
        <v>0</v>
      </c>
      <c r="DD106" s="216">
        <f t="shared" ca="1" si="2886"/>
        <v>0</v>
      </c>
      <c r="DE106" s="202">
        <f t="shared" ref="DE106:DE108" ca="1" si="4424">DF106/$X106</f>
        <v>0</v>
      </c>
      <c r="DF106" s="203">
        <f t="shared" ref="DF106:DF108" ca="1" si="4425">DG106/$Z106</f>
        <v>0</v>
      </c>
      <c r="DG106" s="203">
        <f t="shared" ref="DG106:DG108" ca="1" si="4426">DH106*CY$4</f>
        <v>0</v>
      </c>
      <c r="DH106" s="204">
        <f t="shared" ca="1" si="3966"/>
        <v>0</v>
      </c>
      <c r="DI106" s="205"/>
      <c r="DJ106" s="206">
        <f t="shared" ref="DJ106:DJ108" ca="1" si="4427">DI106*$X106</f>
        <v>0</v>
      </c>
      <c r="DK106" s="206">
        <f t="shared" ref="DK106:DK108" ca="1" si="4428">DJ106*$Z106</f>
        <v>0</v>
      </c>
      <c r="DL106" s="207">
        <f t="shared" ca="1" si="2892"/>
        <v>0</v>
      </c>
      <c r="DM106" s="391">
        <f t="shared" ref="DM106:DM108" si="4429">CY106+DI106</f>
        <v>0</v>
      </c>
      <c r="DN106" s="391">
        <f t="shared" ca="1" si="2894"/>
        <v>0</v>
      </c>
      <c r="DO106" s="391">
        <f t="shared" ref="DO106:DO108" ca="1" si="4430">DN106*$Z106</f>
        <v>0</v>
      </c>
      <c r="DP106" s="394">
        <f t="shared" ca="1" si="3170"/>
        <v>0</v>
      </c>
      <c r="DQ106" s="209" t="str">
        <f t="shared" ca="1" si="3171"/>
        <v/>
      </c>
      <c r="DR106" s="197"/>
      <c r="DS106" s="312" t="str">
        <f t="shared" ca="1" si="3975"/>
        <v/>
      </c>
      <c r="DT106" s="395"/>
      <c r="DU106" s="199">
        <f t="shared" ca="1" si="3976"/>
        <v>0</v>
      </c>
      <c r="DV106" s="199">
        <f t="shared" ca="1" si="3977"/>
        <v>0</v>
      </c>
      <c r="DW106" s="216">
        <f t="shared" ca="1" si="3627"/>
        <v>0</v>
      </c>
      <c r="DX106" s="202">
        <f t="shared" ca="1" si="3978"/>
        <v>0</v>
      </c>
      <c r="DY106" s="203">
        <f t="shared" ca="1" si="3979"/>
        <v>0</v>
      </c>
      <c r="DZ106" s="203">
        <f t="shared" ca="1" si="3980"/>
        <v>0</v>
      </c>
      <c r="EA106" s="204">
        <f t="shared" ca="1" si="3981"/>
        <v>0</v>
      </c>
      <c r="EB106" s="205"/>
      <c r="EC106" s="206">
        <f t="shared" ca="1" si="3982"/>
        <v>0</v>
      </c>
      <c r="ED106" s="206">
        <f t="shared" ca="1" si="3983"/>
        <v>0</v>
      </c>
      <c r="EE106" s="207">
        <f t="shared" ca="1" si="3633"/>
        <v>0</v>
      </c>
      <c r="EF106" s="391">
        <f t="shared" si="3984"/>
        <v>0</v>
      </c>
      <c r="EG106" s="391">
        <f t="shared" ca="1" si="3985"/>
        <v>0</v>
      </c>
      <c r="EH106" s="391">
        <f t="shared" ca="1" si="3986"/>
        <v>0</v>
      </c>
      <c r="EI106" s="394">
        <f t="shared" ca="1" si="3636"/>
        <v>0</v>
      </c>
      <c r="EJ106" s="214"/>
      <c r="EK106" s="312" t="str">
        <f t="shared" ref="EK106:EK108" ca="1" si="4431">IFERROR($X106/EL106-1,"")</f>
        <v/>
      </c>
      <c r="EL106" s="222"/>
      <c r="EM106" s="199">
        <f t="shared" ref="EM106:EM108" ca="1" si="4432">EJ106*$X106</f>
        <v>0</v>
      </c>
      <c r="EN106" s="199">
        <f t="shared" ref="EN106:EN108" ca="1" si="4433">EM106*$Z106</f>
        <v>0</v>
      </c>
      <c r="EO106" s="216">
        <f t="shared" ref="EO106:EO109" ca="1" si="4434">IFERROR(EN106/EJ$4,0)</f>
        <v>0</v>
      </c>
      <c r="EP106" s="202">
        <f t="shared" ref="EP106" ca="1" si="4435">EQ106/$X106</f>
        <v>0</v>
      </c>
      <c r="EQ106" s="203">
        <f t="shared" ref="EQ106" ca="1" si="4436">ER106/$Z106</f>
        <v>0</v>
      </c>
      <c r="ER106" s="203">
        <f t="shared" ref="ER106:ER108" ca="1" si="4437">ES106*EJ$4</f>
        <v>0</v>
      </c>
      <c r="ES106" s="204">
        <f t="shared" ca="1" si="3994"/>
        <v>0</v>
      </c>
      <c r="ET106" s="205"/>
      <c r="EU106" s="206">
        <f t="shared" ref="EU106:EU108" ca="1" si="4438">ET106*$X106</f>
        <v>0</v>
      </c>
      <c r="EV106" s="206">
        <f t="shared" ref="EV106:EV108" ca="1" si="4439">EU106*$Z106</f>
        <v>0</v>
      </c>
      <c r="EW106" s="207">
        <f t="shared" ref="EW106:EW109" ca="1" si="4440">IFERROR(EV106/EJ$4,0)</f>
        <v>0</v>
      </c>
      <c r="EX106" s="391">
        <f t="shared" ref="EX106:EX111" si="4441">EJ106+ET106</f>
        <v>0</v>
      </c>
      <c r="EY106" s="391">
        <f t="shared" ca="1" si="2919"/>
        <v>0</v>
      </c>
      <c r="EZ106" s="391">
        <f t="shared" ref="EZ106:EZ108" ca="1" si="4442">EY106*$Z106</f>
        <v>0</v>
      </c>
      <c r="FA106" s="394">
        <f t="shared" ref="FA106:FA109" ca="1" si="4443">IFERROR(EZ106/EJ$4,0)</f>
        <v>0</v>
      </c>
      <c r="FB106" s="212" t="str">
        <f t="shared" ca="1" si="3172"/>
        <v/>
      </c>
      <c r="FC106" s="214"/>
      <c r="FD106" s="312" t="str">
        <f t="shared" ref="FD106:FD108" ca="1" si="4444">IFERROR($X106/FE106-1,"")</f>
        <v/>
      </c>
      <c r="FE106" s="215"/>
      <c r="FF106" s="199">
        <f t="shared" ref="FF106" ca="1" si="4445">FC106*$X106</f>
        <v>0</v>
      </c>
      <c r="FG106" s="199">
        <f t="shared" ref="FG106" ca="1" si="4446">FF106*$Z106</f>
        <v>0</v>
      </c>
      <c r="FH106" s="216">
        <f t="shared" ref="FH106:FH109" ca="1" si="4447">IFERROR(FG106/FC$4,0)</f>
        <v>0</v>
      </c>
      <c r="FI106" s="202">
        <f t="shared" ref="FI106" ca="1" si="4448">FJ106/$X106</f>
        <v>0</v>
      </c>
      <c r="FJ106" s="203">
        <f t="shared" ref="FJ106" ca="1" si="4449">FK106/$Z106</f>
        <v>0</v>
      </c>
      <c r="FK106" s="203">
        <f t="shared" ref="FK106:FK108" ca="1" si="4450">FL106*FC$4</f>
        <v>0</v>
      </c>
      <c r="FL106" s="204">
        <f t="shared" ca="1" si="4010"/>
        <v>0</v>
      </c>
      <c r="FM106" s="205"/>
      <c r="FN106" s="206">
        <f t="shared" ref="FN106" ca="1" si="4451">FM106*$X106</f>
        <v>0</v>
      </c>
      <c r="FO106" s="206">
        <f t="shared" ref="FO106" ca="1" si="4452">FN106*$Z106</f>
        <v>0</v>
      </c>
      <c r="FP106" s="207">
        <f t="shared" ref="FP106:FP109" ca="1" si="4453">IFERROR(FO106/FC$4,0)</f>
        <v>0</v>
      </c>
      <c r="FQ106" s="391">
        <f t="shared" ref="FQ106:FQ108" si="4454">FC106+FM106</f>
        <v>0</v>
      </c>
      <c r="FR106" s="391">
        <f t="shared" ca="1" si="2930"/>
        <v>0</v>
      </c>
      <c r="FS106" s="391">
        <f t="shared" ref="FS106" ca="1" si="4455">FR106*$Z106</f>
        <v>0</v>
      </c>
      <c r="FT106" s="394">
        <f t="shared" ref="FT106:FT109" ca="1" si="4456">IFERROR(FS106/FC$4,0)</f>
        <v>0</v>
      </c>
      <c r="FU106" s="209" t="str">
        <f t="shared" ca="1" si="3173"/>
        <v/>
      </c>
    </row>
    <row r="107" spans="1:177" outlineLevel="2" x14ac:dyDescent="0.2">
      <c r="A107" s="366"/>
      <c r="B107" s="366"/>
      <c r="C107" s="367" t="str">
        <f t="shared" ca="1" si="3641"/>
        <v>IE0008470928:EUR:P</v>
      </c>
      <c r="D107" s="368" t="str">
        <f t="shared" ca="1" si="3642"/>
        <v>IE0008470928</v>
      </c>
      <c r="E107" s="369" t="str">
        <f t="shared" ca="1" si="3642"/>
        <v>1065255</v>
      </c>
      <c r="F107" s="367" t="s">
        <v>756</v>
      </c>
      <c r="G107" s="414"/>
      <c r="H107" s="1713" t="str">
        <f t="shared" ca="1" si="3643"/>
        <v></v>
      </c>
      <c r="I107" s="1683" t="str">
        <f t="shared" ca="1" si="3644"/>
        <v>i</v>
      </c>
      <c r="J107" s="1713" t="str">
        <f t="shared" ca="1" si="3645"/>
        <v></v>
      </c>
      <c r="K107" s="1716" t="str">
        <f t="shared" ca="1" si="3645"/>
        <v></v>
      </c>
      <c r="L107" s="1717" t="str">
        <f t="shared" ca="1" si="3646"/>
        <v></v>
      </c>
      <c r="M107" s="366" t="str">
        <f t="shared" ca="1" si="3647"/>
        <v>Unit</v>
      </c>
      <c r="N107" s="417"/>
      <c r="O107" s="417"/>
      <c r="P107" s="418">
        <f t="shared" ca="1" si="2532"/>
        <v>0</v>
      </c>
      <c r="Q107" s="391">
        <f t="array" aca="1" ref="Q107" ca="1">SUM(IF($AA$15:$FT$15="I_pos",AA107:FT107))</f>
        <v>0</v>
      </c>
      <c r="R107" s="391">
        <f t="array" aca="1" ref="R107" ca="1">SUM(IF($AA$15:$FT$15="P_Pos",AA107:FT107))</f>
        <v>0</v>
      </c>
      <c r="S107" s="367"/>
      <c r="T107" s="391"/>
      <c r="U107" s="375">
        <f t="shared" ca="1" si="3648"/>
        <v>-1.9825829164350498E-2</v>
      </c>
      <c r="V107" s="391">
        <f t="array" aca="1" ref="V107" ca="1">SUM(IF($AA$15:$FT$15="O_Pos",AA107:FT107))</f>
        <v>0</v>
      </c>
      <c r="W107" s="367" t="str">
        <f t="shared" ref="W107" ca="1" si="4457">OFFSET(Origine,MATCH($F107,Descrizioni,0),MATCH(W$15,Intestazioni,0)-1,1,1)</f>
        <v>EUR</v>
      </c>
      <c r="X107" s="392">
        <f t="shared" ref="X107:X108" ca="1" si="4458">_xlfn.NUMBERVALUE(OFFSET(Origine,MATCH($F107,Descrizioni,0),MATCH(X$15,Intestazioni,0)-1,1,1))</f>
        <v>52.9</v>
      </c>
      <c r="Y107" s="393">
        <f t="shared" ca="1" si="3651"/>
        <v>0</v>
      </c>
      <c r="Z107" s="378">
        <f t="shared" ca="1" si="4369"/>
        <v>0.90754999999999997</v>
      </c>
      <c r="AA107" s="214"/>
      <c r="AB107" s="312" t="str">
        <f t="shared" ca="1" si="4370"/>
        <v/>
      </c>
      <c r="AC107" s="215"/>
      <c r="AD107" s="199">
        <f t="shared" ca="1" si="4371"/>
        <v>0</v>
      </c>
      <c r="AE107" s="199">
        <f t="shared" ca="1" si="4372"/>
        <v>0</v>
      </c>
      <c r="AF107" s="216">
        <f t="shared" ca="1" si="4373"/>
        <v>0</v>
      </c>
      <c r="AG107" s="202">
        <f ca="1">AH107/$X107</f>
        <v>0</v>
      </c>
      <c r="AH107" s="203">
        <f ca="1">AI107/$Z107</f>
        <v>0</v>
      </c>
      <c r="AI107" s="203">
        <f t="shared" ca="1" si="4376"/>
        <v>0</v>
      </c>
      <c r="AJ107" s="204">
        <f t="shared" ca="1" si="3902"/>
        <v>0</v>
      </c>
      <c r="AK107" s="205"/>
      <c r="AL107" s="206">
        <f t="shared" ca="1" si="4377"/>
        <v>0</v>
      </c>
      <c r="AM107" s="206">
        <f t="shared" ca="1" si="4378"/>
        <v>0</v>
      </c>
      <c r="AN107" s="207">
        <f t="shared" ca="1" si="4379"/>
        <v>0</v>
      </c>
      <c r="AO107" s="391">
        <f t="shared" si="4380"/>
        <v>0</v>
      </c>
      <c r="AP107" s="391">
        <f t="shared" ca="1" si="2846"/>
        <v>0</v>
      </c>
      <c r="AQ107" s="391">
        <f t="shared" ca="1" si="4381"/>
        <v>0</v>
      </c>
      <c r="AR107" s="394">
        <f t="shared" ca="1" si="4382"/>
        <v>0</v>
      </c>
      <c r="AS107" s="209" t="str">
        <f t="shared" ca="1" si="3165"/>
        <v/>
      </c>
      <c r="AT107" s="214"/>
      <c r="AU107" s="312" t="str">
        <f t="shared" ca="1" si="4383"/>
        <v/>
      </c>
      <c r="AV107" s="215"/>
      <c r="AW107" s="199">
        <f t="shared" ca="1" si="4384"/>
        <v>0</v>
      </c>
      <c r="AX107" s="199">
        <f t="shared" ca="1" si="4385"/>
        <v>0</v>
      </c>
      <c r="AY107" s="216">
        <f t="shared" ca="1" si="4386"/>
        <v>0</v>
      </c>
      <c r="AZ107" s="202">
        <f ca="1">BA107/$X107</f>
        <v>0</v>
      </c>
      <c r="BA107" s="203">
        <f ca="1">BB107/$Z107</f>
        <v>0</v>
      </c>
      <c r="BB107" s="203">
        <f t="shared" ca="1" si="4389"/>
        <v>0</v>
      </c>
      <c r="BC107" s="204">
        <f t="shared" ca="1" si="3918"/>
        <v>0</v>
      </c>
      <c r="BD107" s="205"/>
      <c r="BE107" s="206">
        <f t="shared" ca="1" si="4390"/>
        <v>0</v>
      </c>
      <c r="BF107" s="206">
        <f t="shared" ca="1" si="4391"/>
        <v>0</v>
      </c>
      <c r="BG107" s="207">
        <f t="shared" ca="1" si="4392"/>
        <v>0</v>
      </c>
      <c r="BH107" s="391">
        <f t="shared" si="4393"/>
        <v>0</v>
      </c>
      <c r="BI107" s="391">
        <f t="shared" ca="1" si="2857"/>
        <v>0</v>
      </c>
      <c r="BJ107" s="391">
        <f t="shared" ca="1" si="4394"/>
        <v>0</v>
      </c>
      <c r="BK107" s="394">
        <f t="shared" ca="1" si="4395"/>
        <v>0</v>
      </c>
      <c r="BL107" s="211" t="str">
        <f t="shared" ca="1" si="3166"/>
        <v/>
      </c>
      <c r="BM107" s="214"/>
      <c r="BN107" s="312" t="str">
        <f t="shared" ca="1" si="4396"/>
        <v/>
      </c>
      <c r="BO107" s="215"/>
      <c r="BP107" s="199">
        <f t="shared" ca="1" si="4397"/>
        <v>0</v>
      </c>
      <c r="BQ107" s="199">
        <f t="shared" ca="1" si="4398"/>
        <v>0</v>
      </c>
      <c r="BR107" s="216">
        <f t="shared" ca="1" si="4399"/>
        <v>0</v>
      </c>
      <c r="BS107" s="202">
        <f ca="1">BT107/$X107</f>
        <v>0</v>
      </c>
      <c r="BT107" s="203">
        <f ca="1">BU107/$Z107</f>
        <v>0</v>
      </c>
      <c r="BU107" s="203">
        <f t="shared" ca="1" si="4402"/>
        <v>0</v>
      </c>
      <c r="BV107" s="204">
        <f t="shared" ca="1" si="3934"/>
        <v>0</v>
      </c>
      <c r="BW107" s="205"/>
      <c r="BX107" s="206">
        <f t="shared" ca="1" si="4403"/>
        <v>0</v>
      </c>
      <c r="BY107" s="206">
        <f t="shared" ca="1" si="4404"/>
        <v>0</v>
      </c>
      <c r="BZ107" s="207">
        <f t="shared" ca="1" si="4405"/>
        <v>0</v>
      </c>
      <c r="CA107" s="391">
        <f t="shared" si="4406"/>
        <v>0</v>
      </c>
      <c r="CB107" s="391">
        <f t="shared" ca="1" si="2870"/>
        <v>0</v>
      </c>
      <c r="CC107" s="391">
        <f t="shared" ca="1" si="4407"/>
        <v>0</v>
      </c>
      <c r="CD107" s="394">
        <f t="shared" ca="1" si="4408"/>
        <v>0</v>
      </c>
      <c r="CE107" s="212" t="str">
        <f t="shared" ca="1" si="3167"/>
        <v/>
      </c>
      <c r="CF107" s="214"/>
      <c r="CG107" s="312" t="str">
        <f t="shared" ca="1" si="4409"/>
        <v/>
      </c>
      <c r="CH107" s="215"/>
      <c r="CI107" s="199">
        <f t="shared" ca="1" si="4410"/>
        <v>0</v>
      </c>
      <c r="CJ107" s="199">
        <f t="shared" ca="1" si="4411"/>
        <v>0</v>
      </c>
      <c r="CK107" s="216">
        <f t="shared" ca="1" si="4412"/>
        <v>0</v>
      </c>
      <c r="CL107" s="202">
        <f t="shared" ca="1" si="4413"/>
        <v>0</v>
      </c>
      <c r="CM107" s="203">
        <f t="shared" ca="1" si="4414"/>
        <v>0</v>
      </c>
      <c r="CN107" s="203">
        <f t="shared" ca="1" si="4415"/>
        <v>0</v>
      </c>
      <c r="CO107" s="204">
        <f t="shared" ca="1" si="3950"/>
        <v>0</v>
      </c>
      <c r="CP107" s="205"/>
      <c r="CQ107" s="206">
        <f t="shared" ca="1" si="4416"/>
        <v>0</v>
      </c>
      <c r="CR107" s="206">
        <f t="shared" ca="1" si="4417"/>
        <v>0</v>
      </c>
      <c r="CS107" s="207">
        <f t="shared" ca="1" si="4418"/>
        <v>0</v>
      </c>
      <c r="CT107" s="391">
        <f t="shared" si="4419"/>
        <v>0</v>
      </c>
      <c r="CU107" s="391">
        <f t="shared" ca="1" si="2881"/>
        <v>0</v>
      </c>
      <c r="CV107" s="391">
        <f t="shared" ca="1" si="4420"/>
        <v>0</v>
      </c>
      <c r="CW107" s="394">
        <f t="shared" ca="1" si="1996"/>
        <v>0</v>
      </c>
      <c r="CX107" s="211" t="str">
        <f t="shared" ca="1" si="3168"/>
        <v/>
      </c>
      <c r="CY107" s="197"/>
      <c r="CZ107" s="312" t="str">
        <f t="shared" ca="1" si="4421"/>
        <v/>
      </c>
      <c r="DA107" s="395"/>
      <c r="DB107" s="199">
        <f t="shared" ca="1" si="4422"/>
        <v>0</v>
      </c>
      <c r="DC107" s="199">
        <f t="shared" ca="1" si="4423"/>
        <v>0</v>
      </c>
      <c r="DD107" s="216">
        <f t="shared" ca="1" si="2886"/>
        <v>0</v>
      </c>
      <c r="DE107" s="202">
        <f t="shared" ca="1" si="4424"/>
        <v>0</v>
      </c>
      <c r="DF107" s="203">
        <f t="shared" ca="1" si="4425"/>
        <v>0</v>
      </c>
      <c r="DG107" s="203">
        <f t="shared" ca="1" si="4426"/>
        <v>0</v>
      </c>
      <c r="DH107" s="204">
        <f t="shared" ca="1" si="3966"/>
        <v>0</v>
      </c>
      <c r="DI107" s="205"/>
      <c r="DJ107" s="206">
        <f t="shared" ca="1" si="4427"/>
        <v>0</v>
      </c>
      <c r="DK107" s="206">
        <f t="shared" ca="1" si="4428"/>
        <v>0</v>
      </c>
      <c r="DL107" s="207">
        <f t="shared" ca="1" si="2892"/>
        <v>0</v>
      </c>
      <c r="DM107" s="391">
        <f t="shared" si="4429"/>
        <v>0</v>
      </c>
      <c r="DN107" s="391">
        <f t="shared" ca="1" si="2894"/>
        <v>0</v>
      </c>
      <c r="DO107" s="391">
        <f t="shared" ca="1" si="4430"/>
        <v>0</v>
      </c>
      <c r="DP107" s="394">
        <f t="shared" ca="1" si="3170"/>
        <v>0</v>
      </c>
      <c r="DQ107" s="209" t="str">
        <f t="shared" ca="1" si="3171"/>
        <v/>
      </c>
      <c r="DR107" s="197"/>
      <c r="DS107" s="312" t="str">
        <f t="shared" ca="1" si="3975"/>
        <v/>
      </c>
      <c r="DT107" s="395"/>
      <c r="DU107" s="199">
        <f t="shared" ca="1" si="3976"/>
        <v>0</v>
      </c>
      <c r="DV107" s="199">
        <f t="shared" ca="1" si="3977"/>
        <v>0</v>
      </c>
      <c r="DW107" s="216">
        <f t="shared" ca="1" si="3627"/>
        <v>0</v>
      </c>
      <c r="DX107" s="202">
        <f t="shared" ca="1" si="3978"/>
        <v>0</v>
      </c>
      <c r="DY107" s="203">
        <f t="shared" ca="1" si="3979"/>
        <v>0</v>
      </c>
      <c r="DZ107" s="203">
        <f t="shared" ca="1" si="3980"/>
        <v>0</v>
      </c>
      <c r="EA107" s="204">
        <f t="shared" ca="1" si="3981"/>
        <v>0</v>
      </c>
      <c r="EB107" s="205"/>
      <c r="EC107" s="206">
        <f t="shared" ca="1" si="3982"/>
        <v>0</v>
      </c>
      <c r="ED107" s="206">
        <f t="shared" ca="1" si="3983"/>
        <v>0</v>
      </c>
      <c r="EE107" s="207">
        <f t="shared" ca="1" si="3633"/>
        <v>0</v>
      </c>
      <c r="EF107" s="391">
        <f t="shared" si="3984"/>
        <v>0</v>
      </c>
      <c r="EG107" s="391">
        <f t="shared" ca="1" si="3985"/>
        <v>0</v>
      </c>
      <c r="EH107" s="391">
        <f t="shared" ca="1" si="3986"/>
        <v>0</v>
      </c>
      <c r="EI107" s="394">
        <f t="shared" ca="1" si="3636"/>
        <v>0</v>
      </c>
      <c r="EJ107" s="214"/>
      <c r="EK107" s="312" t="str">
        <f t="shared" ca="1" si="4431"/>
        <v/>
      </c>
      <c r="EL107" s="222"/>
      <c r="EM107" s="199">
        <f t="shared" ca="1" si="4432"/>
        <v>0</v>
      </c>
      <c r="EN107" s="199">
        <f t="shared" ca="1" si="4433"/>
        <v>0</v>
      </c>
      <c r="EO107" s="216">
        <f t="shared" ca="1" si="4434"/>
        <v>0</v>
      </c>
      <c r="EP107" s="202">
        <f ca="1">EQ107/$X107</f>
        <v>0</v>
      </c>
      <c r="EQ107" s="203">
        <f ca="1">ER107/$Z107</f>
        <v>0</v>
      </c>
      <c r="ER107" s="203">
        <f t="shared" ca="1" si="4437"/>
        <v>0</v>
      </c>
      <c r="ES107" s="204">
        <f t="shared" ca="1" si="3994"/>
        <v>0</v>
      </c>
      <c r="ET107" s="205"/>
      <c r="EU107" s="206">
        <f t="shared" ca="1" si="4438"/>
        <v>0</v>
      </c>
      <c r="EV107" s="206">
        <f t="shared" ca="1" si="4439"/>
        <v>0</v>
      </c>
      <c r="EW107" s="207">
        <f t="shared" ca="1" si="4440"/>
        <v>0</v>
      </c>
      <c r="EX107" s="391">
        <f t="shared" si="4441"/>
        <v>0</v>
      </c>
      <c r="EY107" s="391">
        <f t="shared" ca="1" si="2919"/>
        <v>0</v>
      </c>
      <c r="EZ107" s="391">
        <f t="shared" ca="1" si="4442"/>
        <v>0</v>
      </c>
      <c r="FA107" s="394">
        <f t="shared" ca="1" si="4443"/>
        <v>0</v>
      </c>
      <c r="FB107" s="212" t="str">
        <f t="shared" ca="1" si="3172"/>
        <v/>
      </c>
      <c r="FC107" s="214">
        <f>8000+-8000</f>
        <v>0</v>
      </c>
      <c r="FD107" s="312" t="str">
        <f t="shared" ca="1" si="4444"/>
        <v/>
      </c>
      <c r="FE107" s="215"/>
      <c r="FF107" s="199">
        <f ca="1">FC107*$X107</f>
        <v>0</v>
      </c>
      <c r="FG107" s="199">
        <f ca="1">FF107*$Z107</f>
        <v>0</v>
      </c>
      <c r="FH107" s="216">
        <f t="shared" ca="1" si="4447"/>
        <v>0</v>
      </c>
      <c r="FI107" s="202">
        <f ca="1">FJ107/$X107</f>
        <v>0</v>
      </c>
      <c r="FJ107" s="203">
        <f ca="1">FK107/$Z107</f>
        <v>0</v>
      </c>
      <c r="FK107" s="203">
        <f t="shared" ca="1" si="4450"/>
        <v>0</v>
      </c>
      <c r="FL107" s="204">
        <f t="shared" ca="1" si="4010"/>
        <v>0</v>
      </c>
      <c r="FM107" s="205"/>
      <c r="FN107" s="206">
        <f ca="1">FM107*$X107</f>
        <v>0</v>
      </c>
      <c r="FO107" s="206">
        <f ca="1">FN107*$Z107</f>
        <v>0</v>
      </c>
      <c r="FP107" s="207">
        <f t="shared" ca="1" si="4453"/>
        <v>0</v>
      </c>
      <c r="FQ107" s="391">
        <f t="shared" si="4454"/>
        <v>0</v>
      </c>
      <c r="FR107" s="391">
        <f t="shared" ca="1" si="2930"/>
        <v>0</v>
      </c>
      <c r="FS107" s="391">
        <f ca="1">FR107*$Z107</f>
        <v>0</v>
      </c>
      <c r="FT107" s="394">
        <f t="shared" ca="1" si="4456"/>
        <v>0</v>
      </c>
      <c r="FU107" s="209" t="str">
        <f t="shared" ca="1" si="3173"/>
        <v/>
      </c>
    </row>
    <row r="108" spans="1:177" outlineLevel="2" x14ac:dyDescent="0.2">
      <c r="A108" s="366"/>
      <c r="B108" s="366"/>
      <c r="C108" s="367" t="str">
        <f t="shared" ca="1" si="3641"/>
        <v>IE00BWK1SP74:CHF</v>
      </c>
      <c r="D108" s="368" t="str">
        <f t="shared" ca="1" si="3642"/>
        <v>IE00BWK1SP74</v>
      </c>
      <c r="E108" s="369" t="str">
        <f t="shared" ca="1" si="3642"/>
        <v>27741453</v>
      </c>
      <c r="F108" s="367" t="s">
        <v>757</v>
      </c>
      <c r="G108" s="414"/>
      <c r="H108" s="1713" t="str">
        <f t="shared" ca="1" si="3643"/>
        <v></v>
      </c>
      <c r="I108" s="1683" t="str">
        <f t="shared" ca="1" si="3644"/>
        <v>i</v>
      </c>
      <c r="J108" s="1713" t="str">
        <f t="shared" ca="1" si="3645"/>
        <v></v>
      </c>
      <c r="K108" s="1716" t="str">
        <f t="shared" ca="1" si="3645"/>
        <v></v>
      </c>
      <c r="L108" s="1717" t="str">
        <f t="shared" ca="1" si="3646"/>
        <v></v>
      </c>
      <c r="M108" s="366" t="str">
        <f t="shared" ca="1" si="3647"/>
        <v>Unit</v>
      </c>
      <c r="N108" s="417"/>
      <c r="O108" s="417"/>
      <c r="P108" s="418">
        <f t="shared" ca="1" si="2532"/>
        <v>0</v>
      </c>
      <c r="Q108" s="391">
        <f t="array" aca="1" ref="Q108" ca="1">SUM(IF($AA$15:$FT$15="I_pos",AA108:FT108))</f>
        <v>0</v>
      </c>
      <c r="R108" s="391">
        <f t="array" aca="1" ref="R108" ca="1">SUM(IF($AA$15:$FT$15="P_Pos",AA108:FT108))</f>
        <v>0</v>
      </c>
      <c r="S108" s="367"/>
      <c r="T108" s="391"/>
      <c r="U108" s="375">
        <f t="shared" ca="1" si="3648"/>
        <v>-3.3192017371523004E-2</v>
      </c>
      <c r="V108" s="391">
        <f t="array" aca="1" ref="V108" ca="1">SUM(IF($AA$15:$FT$15="O_Pos",AA108:FT108))</f>
        <v>0</v>
      </c>
      <c r="W108" s="367" t="str">
        <f t="shared" ref="W108" ca="1" si="4459">OFFSET(Origine,MATCH($F108,Descrizioni,0),MATCH(W$15,Intestazioni,0)-1,1,1)</f>
        <v>CHF</v>
      </c>
      <c r="X108" s="392">
        <f t="shared" ca="1" si="4458"/>
        <v>9.35</v>
      </c>
      <c r="Y108" s="393">
        <f t="shared" ca="1" si="3651"/>
        <v>0</v>
      </c>
      <c r="Z108" s="378">
        <f t="shared" ca="1" si="4369"/>
        <v>1.0000001300000001</v>
      </c>
      <c r="AA108" s="214"/>
      <c r="AB108" s="312" t="str">
        <f t="shared" ca="1" si="4370"/>
        <v/>
      </c>
      <c r="AC108" s="215"/>
      <c r="AD108" s="199">
        <f t="shared" ca="1" si="4371"/>
        <v>0</v>
      </c>
      <c r="AE108" s="199">
        <f t="shared" ca="1" si="4372"/>
        <v>0</v>
      </c>
      <c r="AF108" s="216">
        <f t="shared" ca="1" si="4373"/>
        <v>0</v>
      </c>
      <c r="AG108" s="202">
        <f ca="1">AH108/$X108</f>
        <v>0</v>
      </c>
      <c r="AH108" s="203">
        <f t="shared" ref="AH108" ca="1" si="4460">AI108/$Z108</f>
        <v>0</v>
      </c>
      <c r="AI108" s="203">
        <f t="shared" ca="1" si="4376"/>
        <v>0</v>
      </c>
      <c r="AJ108" s="204">
        <f t="shared" ca="1" si="3902"/>
        <v>0</v>
      </c>
      <c r="AK108" s="205"/>
      <c r="AL108" s="206">
        <f t="shared" ca="1" si="4377"/>
        <v>0</v>
      </c>
      <c r="AM108" s="206">
        <f t="shared" ca="1" si="4378"/>
        <v>0</v>
      </c>
      <c r="AN108" s="207">
        <f t="shared" ca="1" si="4379"/>
        <v>0</v>
      </c>
      <c r="AO108" s="391">
        <f t="shared" si="4380"/>
        <v>0</v>
      </c>
      <c r="AP108" s="391">
        <f t="shared" ca="1" si="2846"/>
        <v>0</v>
      </c>
      <c r="AQ108" s="391">
        <f t="shared" ca="1" si="4381"/>
        <v>0</v>
      </c>
      <c r="AR108" s="394">
        <f t="shared" ca="1" si="4382"/>
        <v>0</v>
      </c>
      <c r="AS108" s="209" t="str">
        <f t="shared" ca="1" si="3165"/>
        <v/>
      </c>
      <c r="AT108" s="214"/>
      <c r="AU108" s="312" t="str">
        <f t="shared" ca="1" si="4383"/>
        <v/>
      </c>
      <c r="AV108" s="215"/>
      <c r="AW108" s="199">
        <f t="shared" ca="1" si="4384"/>
        <v>0</v>
      </c>
      <c r="AX108" s="199">
        <f t="shared" ca="1" si="4385"/>
        <v>0</v>
      </c>
      <c r="AY108" s="216">
        <f t="shared" ca="1" si="4386"/>
        <v>0</v>
      </c>
      <c r="AZ108" s="202">
        <f ca="1">BA108/$X108</f>
        <v>0</v>
      </c>
      <c r="BA108" s="203">
        <f t="shared" ref="BA108" ca="1" si="4461">BB108/$Z108</f>
        <v>0</v>
      </c>
      <c r="BB108" s="203">
        <f t="shared" ca="1" si="4389"/>
        <v>0</v>
      </c>
      <c r="BC108" s="204">
        <f t="shared" ca="1" si="3918"/>
        <v>0</v>
      </c>
      <c r="BD108" s="205"/>
      <c r="BE108" s="206">
        <f t="shared" ca="1" si="4390"/>
        <v>0</v>
      </c>
      <c r="BF108" s="206">
        <f t="shared" ca="1" si="4391"/>
        <v>0</v>
      </c>
      <c r="BG108" s="207">
        <f t="shared" ca="1" si="4392"/>
        <v>0</v>
      </c>
      <c r="BH108" s="391">
        <f t="shared" si="4393"/>
        <v>0</v>
      </c>
      <c r="BI108" s="391">
        <f t="shared" ca="1" si="2857"/>
        <v>0</v>
      </c>
      <c r="BJ108" s="391">
        <f t="shared" ca="1" si="4394"/>
        <v>0</v>
      </c>
      <c r="BK108" s="394">
        <f t="shared" ca="1" si="4395"/>
        <v>0</v>
      </c>
      <c r="BL108" s="211" t="str">
        <f t="shared" ca="1" si="3166"/>
        <v/>
      </c>
      <c r="BM108" s="214"/>
      <c r="BN108" s="312" t="str">
        <f t="shared" ca="1" si="4396"/>
        <v/>
      </c>
      <c r="BO108" s="215"/>
      <c r="BP108" s="199">
        <f t="shared" ca="1" si="4397"/>
        <v>0</v>
      </c>
      <c r="BQ108" s="199">
        <f t="shared" ca="1" si="4398"/>
        <v>0</v>
      </c>
      <c r="BR108" s="216">
        <f t="shared" ca="1" si="4399"/>
        <v>0</v>
      </c>
      <c r="BS108" s="202">
        <f ca="1">BT108/$X108</f>
        <v>0</v>
      </c>
      <c r="BT108" s="203">
        <f t="shared" ref="BT108" ca="1" si="4462">BU108/$Z108</f>
        <v>0</v>
      </c>
      <c r="BU108" s="203">
        <f t="shared" ca="1" si="4402"/>
        <v>0</v>
      </c>
      <c r="BV108" s="204">
        <f t="shared" ca="1" si="3934"/>
        <v>0</v>
      </c>
      <c r="BW108" s="205"/>
      <c r="BX108" s="206">
        <f t="shared" ca="1" si="4403"/>
        <v>0</v>
      </c>
      <c r="BY108" s="206">
        <f t="shared" ca="1" si="4404"/>
        <v>0</v>
      </c>
      <c r="BZ108" s="207">
        <f t="shared" ca="1" si="4405"/>
        <v>0</v>
      </c>
      <c r="CA108" s="391">
        <f t="shared" si="4406"/>
        <v>0</v>
      </c>
      <c r="CB108" s="391">
        <f t="shared" ca="1" si="2870"/>
        <v>0</v>
      </c>
      <c r="CC108" s="391">
        <f t="shared" ca="1" si="4407"/>
        <v>0</v>
      </c>
      <c r="CD108" s="394">
        <f t="shared" ca="1" si="4408"/>
        <v>0</v>
      </c>
      <c r="CE108" s="212" t="str">
        <f t="shared" ca="1" si="3167"/>
        <v/>
      </c>
      <c r="CF108" s="214">
        <f>5100+-5100</f>
        <v>0</v>
      </c>
      <c r="CG108" s="312" t="str">
        <f t="shared" ca="1" si="4409"/>
        <v/>
      </c>
      <c r="CH108" s="215"/>
      <c r="CI108" s="199">
        <f t="shared" ca="1" si="4410"/>
        <v>0</v>
      </c>
      <c r="CJ108" s="199">
        <f t="shared" ca="1" si="4411"/>
        <v>0</v>
      </c>
      <c r="CK108" s="216">
        <f t="shared" ca="1" si="4412"/>
        <v>0</v>
      </c>
      <c r="CL108" s="202">
        <f t="shared" ca="1" si="4413"/>
        <v>0</v>
      </c>
      <c r="CM108" s="203">
        <f t="shared" ca="1" si="4414"/>
        <v>0</v>
      </c>
      <c r="CN108" s="203">
        <f t="shared" ca="1" si="4415"/>
        <v>0</v>
      </c>
      <c r="CO108" s="204">
        <f t="shared" ca="1" si="3950"/>
        <v>0</v>
      </c>
      <c r="CP108" s="205"/>
      <c r="CQ108" s="206">
        <f t="shared" ca="1" si="4416"/>
        <v>0</v>
      </c>
      <c r="CR108" s="206">
        <f t="shared" ca="1" si="4417"/>
        <v>0</v>
      </c>
      <c r="CS108" s="207">
        <f t="shared" ca="1" si="4418"/>
        <v>0</v>
      </c>
      <c r="CT108" s="391">
        <f t="shared" si="4419"/>
        <v>0</v>
      </c>
      <c r="CU108" s="391">
        <f t="shared" ca="1" si="2881"/>
        <v>0</v>
      </c>
      <c r="CV108" s="391">
        <f t="shared" ca="1" si="4420"/>
        <v>0</v>
      </c>
      <c r="CW108" s="394">
        <f t="shared" ref="CW108:CW141" ca="1" si="4463">IFERROR(CV108/CF$4,0)</f>
        <v>0</v>
      </c>
      <c r="CX108" s="211" t="str">
        <f t="shared" ca="1" si="3168"/>
        <v/>
      </c>
      <c r="CY108" s="197"/>
      <c r="CZ108" s="312" t="str">
        <f t="shared" ca="1" si="4421"/>
        <v/>
      </c>
      <c r="DA108" s="395"/>
      <c r="DB108" s="199">
        <f t="shared" ca="1" si="4422"/>
        <v>0</v>
      </c>
      <c r="DC108" s="199">
        <f t="shared" ca="1" si="4423"/>
        <v>0</v>
      </c>
      <c r="DD108" s="216">
        <f t="shared" ca="1" si="2886"/>
        <v>0</v>
      </c>
      <c r="DE108" s="202">
        <f t="shared" ca="1" si="4424"/>
        <v>0</v>
      </c>
      <c r="DF108" s="203">
        <f t="shared" ca="1" si="4425"/>
        <v>0</v>
      </c>
      <c r="DG108" s="203">
        <f t="shared" ca="1" si="4426"/>
        <v>0</v>
      </c>
      <c r="DH108" s="204">
        <f t="shared" ca="1" si="3966"/>
        <v>0</v>
      </c>
      <c r="DI108" s="205"/>
      <c r="DJ108" s="206">
        <f t="shared" ca="1" si="4427"/>
        <v>0</v>
      </c>
      <c r="DK108" s="206">
        <f t="shared" ca="1" si="4428"/>
        <v>0</v>
      </c>
      <c r="DL108" s="207">
        <f t="shared" ca="1" si="2892"/>
        <v>0</v>
      </c>
      <c r="DM108" s="391">
        <f t="shared" si="4429"/>
        <v>0</v>
      </c>
      <c r="DN108" s="391">
        <f t="shared" ca="1" si="2894"/>
        <v>0</v>
      </c>
      <c r="DO108" s="391">
        <f t="shared" ca="1" si="4430"/>
        <v>0</v>
      </c>
      <c r="DP108" s="394">
        <f t="shared" ca="1" si="3170"/>
        <v>0</v>
      </c>
      <c r="DQ108" s="209" t="str">
        <f t="shared" ca="1" si="3171"/>
        <v/>
      </c>
      <c r="DR108" s="197"/>
      <c r="DS108" s="312" t="str">
        <f t="shared" ca="1" si="3975"/>
        <v/>
      </c>
      <c r="DT108" s="395"/>
      <c r="DU108" s="199">
        <f t="shared" ca="1" si="3976"/>
        <v>0</v>
      </c>
      <c r="DV108" s="199">
        <f t="shared" ca="1" si="3977"/>
        <v>0</v>
      </c>
      <c r="DW108" s="216">
        <f t="shared" ca="1" si="3627"/>
        <v>0</v>
      </c>
      <c r="DX108" s="202">
        <f t="shared" ca="1" si="3978"/>
        <v>0</v>
      </c>
      <c r="DY108" s="203">
        <f t="shared" ca="1" si="3979"/>
        <v>0</v>
      </c>
      <c r="DZ108" s="203">
        <f t="shared" ca="1" si="3980"/>
        <v>0</v>
      </c>
      <c r="EA108" s="204">
        <f t="shared" ca="1" si="3981"/>
        <v>0</v>
      </c>
      <c r="EB108" s="205"/>
      <c r="EC108" s="206">
        <f t="shared" ca="1" si="3982"/>
        <v>0</v>
      </c>
      <c r="ED108" s="206">
        <f t="shared" ca="1" si="3983"/>
        <v>0</v>
      </c>
      <c r="EE108" s="207">
        <f t="shared" ca="1" si="3633"/>
        <v>0</v>
      </c>
      <c r="EF108" s="391">
        <f t="shared" si="3984"/>
        <v>0</v>
      </c>
      <c r="EG108" s="391">
        <f t="shared" ca="1" si="3985"/>
        <v>0</v>
      </c>
      <c r="EH108" s="391">
        <f t="shared" ca="1" si="3986"/>
        <v>0</v>
      </c>
      <c r="EI108" s="394">
        <f t="shared" ca="1" si="3636"/>
        <v>0</v>
      </c>
      <c r="EJ108" s="214"/>
      <c r="EK108" s="312" t="str">
        <f t="shared" ca="1" si="4431"/>
        <v/>
      </c>
      <c r="EL108" s="222"/>
      <c r="EM108" s="199">
        <f t="shared" ca="1" si="4432"/>
        <v>0</v>
      </c>
      <c r="EN108" s="199">
        <f t="shared" ca="1" si="4433"/>
        <v>0</v>
      </c>
      <c r="EO108" s="216">
        <f t="shared" ca="1" si="4434"/>
        <v>0</v>
      </c>
      <c r="EP108" s="202">
        <f ca="1">EQ108/$X108</f>
        <v>0</v>
      </c>
      <c r="EQ108" s="203">
        <f t="shared" ref="EQ108" ca="1" si="4464">ER108/$Z108</f>
        <v>0</v>
      </c>
      <c r="ER108" s="203">
        <f t="shared" ca="1" si="4437"/>
        <v>0</v>
      </c>
      <c r="ES108" s="204">
        <f t="shared" ca="1" si="3994"/>
        <v>0</v>
      </c>
      <c r="ET108" s="205"/>
      <c r="EU108" s="206">
        <f t="shared" ca="1" si="4438"/>
        <v>0</v>
      </c>
      <c r="EV108" s="206">
        <f t="shared" ca="1" si="4439"/>
        <v>0</v>
      </c>
      <c r="EW108" s="207">
        <f t="shared" ca="1" si="4440"/>
        <v>0</v>
      </c>
      <c r="EX108" s="391">
        <f t="shared" si="4441"/>
        <v>0</v>
      </c>
      <c r="EY108" s="391">
        <f t="shared" ca="1" si="2919"/>
        <v>0</v>
      </c>
      <c r="EZ108" s="391">
        <f t="shared" ca="1" si="4442"/>
        <v>0</v>
      </c>
      <c r="FA108" s="394">
        <f t="shared" ca="1" si="4443"/>
        <v>0</v>
      </c>
      <c r="FB108" s="212" t="str">
        <f t="shared" ca="1" si="3172"/>
        <v/>
      </c>
      <c r="FC108" s="214"/>
      <c r="FD108" s="312" t="str">
        <f t="shared" ca="1" si="4444"/>
        <v/>
      </c>
      <c r="FE108" s="215"/>
      <c r="FF108" s="199">
        <f t="shared" ref="FF108" ca="1" si="4465">FC108*$X108</f>
        <v>0</v>
      </c>
      <c r="FG108" s="199">
        <f t="shared" ref="FG108" ca="1" si="4466">FF108*$Z108</f>
        <v>0</v>
      </c>
      <c r="FH108" s="216">
        <f t="shared" ca="1" si="4447"/>
        <v>0</v>
      </c>
      <c r="FI108" s="202">
        <f ca="1">FJ108/$X108</f>
        <v>0</v>
      </c>
      <c r="FJ108" s="203">
        <f t="shared" ref="FJ108" ca="1" si="4467">FK108/$Z108</f>
        <v>0</v>
      </c>
      <c r="FK108" s="203">
        <f t="shared" ca="1" si="4450"/>
        <v>0</v>
      </c>
      <c r="FL108" s="204">
        <f t="shared" ca="1" si="4010"/>
        <v>0</v>
      </c>
      <c r="FM108" s="205"/>
      <c r="FN108" s="206">
        <f t="shared" ref="FN108" ca="1" si="4468">FM108*$X108</f>
        <v>0</v>
      </c>
      <c r="FO108" s="206">
        <f t="shared" ref="FO108" ca="1" si="4469">FN108*$Z108</f>
        <v>0</v>
      </c>
      <c r="FP108" s="207">
        <f t="shared" ca="1" si="4453"/>
        <v>0</v>
      </c>
      <c r="FQ108" s="391">
        <f t="shared" si="4454"/>
        <v>0</v>
      </c>
      <c r="FR108" s="391">
        <f t="shared" ca="1" si="2930"/>
        <v>0</v>
      </c>
      <c r="FS108" s="391">
        <f t="shared" ref="FS108" ca="1" si="4470">FR108*$Z108</f>
        <v>0</v>
      </c>
      <c r="FT108" s="394">
        <f t="shared" ca="1" si="4456"/>
        <v>0</v>
      </c>
      <c r="FU108" s="209" t="str">
        <f t="shared" ca="1" si="3173"/>
        <v/>
      </c>
    </row>
    <row r="109" spans="1:177" outlineLevel="1" x14ac:dyDescent="0.2">
      <c r="A109" s="345"/>
      <c r="B109" s="345" t="s">
        <v>603</v>
      </c>
      <c r="C109" s="346"/>
      <c r="D109" s="347"/>
      <c r="E109" s="348"/>
      <c r="F109" s="346"/>
      <c r="G109" s="349"/>
      <c r="H109" s="1682"/>
      <c r="I109" s="1682"/>
      <c r="J109" s="1712"/>
      <c r="K109" s="1682"/>
      <c r="L109" s="1682"/>
      <c r="M109" s="345"/>
      <c r="N109" s="350">
        <f>SUM(N110:N113)</f>
        <v>0</v>
      </c>
      <c r="O109" s="350">
        <f>SUM(O110:O113)</f>
        <v>0</v>
      </c>
      <c r="P109" s="351">
        <f t="shared" ca="1" si="2532"/>
        <v>0</v>
      </c>
      <c r="Q109" s="421"/>
      <c r="R109" s="421"/>
      <c r="S109" s="346"/>
      <c r="T109" s="421"/>
      <c r="U109" s="353"/>
      <c r="V109" s="422"/>
      <c r="W109" s="346"/>
      <c r="X109" s="355"/>
      <c r="Y109" s="355"/>
      <c r="Z109" s="356"/>
      <c r="AA109" s="357"/>
      <c r="AB109" s="358"/>
      <c r="AC109" s="358"/>
      <c r="AD109" s="359"/>
      <c r="AE109" s="360">
        <f ca="1">SUM(AE$110:AE$113)</f>
        <v>0</v>
      </c>
      <c r="AF109" s="361">
        <f t="shared" ca="1" si="4373"/>
        <v>0</v>
      </c>
      <c r="AG109" s="362"/>
      <c r="AH109" s="359"/>
      <c r="AI109" s="360">
        <f ca="1">SUM(AI$110:AI$113)</f>
        <v>0</v>
      </c>
      <c r="AJ109" s="363">
        <f ca="1">IFERROR(AI109/AA$4,0)</f>
        <v>0</v>
      </c>
      <c r="AK109" s="362"/>
      <c r="AL109" s="359"/>
      <c r="AM109" s="360">
        <f ca="1">SUM(AM$110:AM$113)</f>
        <v>0</v>
      </c>
      <c r="AN109" s="363">
        <f t="shared" ca="1" si="4379"/>
        <v>0</v>
      </c>
      <c r="AO109" s="359"/>
      <c r="AP109" s="359"/>
      <c r="AQ109" s="360">
        <f ca="1">SUM(AQ$110:AQ$113)</f>
        <v>0</v>
      </c>
      <c r="AR109" s="361">
        <f t="shared" ca="1" si="4382"/>
        <v>0</v>
      </c>
      <c r="AS109" s="364" t="str">
        <f t="shared" ca="1" si="3165"/>
        <v/>
      </c>
      <c r="AT109" s="357"/>
      <c r="AU109" s="358"/>
      <c r="AV109" s="358"/>
      <c r="AW109" s="359"/>
      <c r="AX109" s="360">
        <f ca="1">SUM(AX$110:AX$113)</f>
        <v>0</v>
      </c>
      <c r="AY109" s="361">
        <f t="shared" ca="1" si="4386"/>
        <v>0</v>
      </c>
      <c r="AZ109" s="362"/>
      <c r="BA109" s="359"/>
      <c r="BB109" s="360">
        <f ca="1">SUM(BB$110:BB$113)</f>
        <v>0</v>
      </c>
      <c r="BC109" s="363">
        <f ca="1">IFERROR(BB109/AT$4,0)</f>
        <v>0</v>
      </c>
      <c r="BD109" s="362"/>
      <c r="BE109" s="359"/>
      <c r="BF109" s="360">
        <f ca="1">SUM(BF$110:BF$113)</f>
        <v>0</v>
      </c>
      <c r="BG109" s="363">
        <f t="shared" ca="1" si="4392"/>
        <v>0</v>
      </c>
      <c r="BH109" s="359"/>
      <c r="BI109" s="359"/>
      <c r="BJ109" s="360">
        <f ca="1">SUM(BJ$110:BJ$113)</f>
        <v>0</v>
      </c>
      <c r="BK109" s="361">
        <f t="shared" ca="1" si="4395"/>
        <v>0</v>
      </c>
      <c r="BL109" s="295" t="str">
        <f t="shared" ca="1" si="3166"/>
        <v/>
      </c>
      <c r="BM109" s="357"/>
      <c r="BN109" s="358"/>
      <c r="BO109" s="358"/>
      <c r="BP109" s="359"/>
      <c r="BQ109" s="360">
        <f ca="1">SUM(BQ$110:BQ$113)</f>
        <v>0</v>
      </c>
      <c r="BR109" s="361">
        <f t="shared" ca="1" si="4399"/>
        <v>0</v>
      </c>
      <c r="BS109" s="362"/>
      <c r="BT109" s="359"/>
      <c r="BU109" s="360">
        <f ca="1">SUM(BU$110:BU$113)</f>
        <v>0</v>
      </c>
      <c r="BV109" s="363">
        <f ca="1">IFERROR(BU109/BM$4,0)</f>
        <v>0</v>
      </c>
      <c r="BW109" s="362"/>
      <c r="BX109" s="359"/>
      <c r="BY109" s="360">
        <f ca="1">SUM(BY$110:BY$113)</f>
        <v>0</v>
      </c>
      <c r="BZ109" s="363">
        <f t="shared" ca="1" si="4405"/>
        <v>0</v>
      </c>
      <c r="CA109" s="359"/>
      <c r="CB109" s="359"/>
      <c r="CC109" s="360">
        <f ca="1">SUM(CC$110:CC$113)</f>
        <v>0</v>
      </c>
      <c r="CD109" s="361">
        <f t="shared" ca="1" si="4408"/>
        <v>0</v>
      </c>
      <c r="CE109" s="295" t="str">
        <f t="shared" ca="1" si="3167"/>
        <v/>
      </c>
      <c r="CF109" s="357"/>
      <c r="CG109" s="358"/>
      <c r="CH109" s="358"/>
      <c r="CI109" s="359"/>
      <c r="CJ109" s="360">
        <f ca="1">SUM(CJ$110:CJ$113)</f>
        <v>0</v>
      </c>
      <c r="CK109" s="361">
        <f t="shared" ca="1" si="4412"/>
        <v>0</v>
      </c>
      <c r="CL109" s="362"/>
      <c r="CM109" s="359"/>
      <c r="CN109" s="360">
        <f ca="1">SUM(CN$110:CN$113)</f>
        <v>0</v>
      </c>
      <c r="CO109" s="363">
        <f ca="1">IFERROR(CN109/CF$4,0)</f>
        <v>0</v>
      </c>
      <c r="CP109" s="362"/>
      <c r="CQ109" s="359"/>
      <c r="CR109" s="360">
        <f ca="1">SUM(CR$110:CR$113)</f>
        <v>0</v>
      </c>
      <c r="CS109" s="363">
        <f t="shared" ca="1" si="4418"/>
        <v>0</v>
      </c>
      <c r="CT109" s="359"/>
      <c r="CU109" s="359"/>
      <c r="CV109" s="360">
        <f ca="1">SUM(CV$110:CV$113)</f>
        <v>0</v>
      </c>
      <c r="CW109" s="361">
        <f t="shared" ca="1" si="4463"/>
        <v>0</v>
      </c>
      <c r="CX109" s="295" t="str">
        <f t="shared" ca="1" si="3168"/>
        <v/>
      </c>
      <c r="CY109" s="357"/>
      <c r="CZ109" s="358"/>
      <c r="DA109" s="359"/>
      <c r="DB109" s="360"/>
      <c r="DC109" s="360">
        <f ca="1">SUM(DC$110:DC$113)</f>
        <v>0</v>
      </c>
      <c r="DD109" s="361">
        <f t="shared" ca="1" si="2886"/>
        <v>0</v>
      </c>
      <c r="DE109" s="362"/>
      <c r="DF109" s="359"/>
      <c r="DG109" s="360">
        <f ca="1">SUM(DG$110:DG$113)</f>
        <v>0</v>
      </c>
      <c r="DH109" s="363">
        <f ca="1">IFERROR(DG109/CY$4,0)</f>
        <v>0</v>
      </c>
      <c r="DI109" s="362"/>
      <c r="DJ109" s="359"/>
      <c r="DK109" s="360">
        <f ca="1">SUM(DK$110:DK$113)</f>
        <v>0</v>
      </c>
      <c r="DL109" s="363">
        <f t="shared" ca="1" si="2892"/>
        <v>0</v>
      </c>
      <c r="DM109" s="359"/>
      <c r="DN109" s="359"/>
      <c r="DO109" s="360">
        <f ca="1">SUM(DO$110:DO$113)</f>
        <v>0</v>
      </c>
      <c r="DP109" s="361">
        <f t="shared" ca="1" si="3170"/>
        <v>0</v>
      </c>
      <c r="DQ109" s="364" t="str">
        <f t="shared" ca="1" si="3171"/>
        <v/>
      </c>
      <c r="DR109" s="357"/>
      <c r="DS109" s="358"/>
      <c r="DT109" s="359"/>
      <c r="DU109" s="360"/>
      <c r="DV109" s="360">
        <f ca="1">SUM(DV$110:DV$113)</f>
        <v>0</v>
      </c>
      <c r="DW109" s="361">
        <f t="shared" ca="1" si="3627"/>
        <v>0</v>
      </c>
      <c r="DX109" s="362"/>
      <c r="DY109" s="359"/>
      <c r="DZ109" s="360">
        <f ca="1">SUM(DZ$110:DZ$113)</f>
        <v>0</v>
      </c>
      <c r="EA109" s="363">
        <f ca="1">IFERROR(DZ109/DR$4,0)</f>
        <v>0</v>
      </c>
      <c r="EB109" s="362"/>
      <c r="EC109" s="359"/>
      <c r="ED109" s="360">
        <f ca="1">SUM(ED$110:ED$113)</f>
        <v>0</v>
      </c>
      <c r="EE109" s="363">
        <f t="shared" ca="1" si="3633"/>
        <v>0</v>
      </c>
      <c r="EF109" s="359"/>
      <c r="EG109" s="359"/>
      <c r="EH109" s="360">
        <f ca="1">SUM(EH$110:EH$113)</f>
        <v>0</v>
      </c>
      <c r="EI109" s="361">
        <f t="shared" ca="1" si="3636"/>
        <v>0</v>
      </c>
      <c r="EJ109" s="357"/>
      <c r="EK109" s="358"/>
      <c r="EL109" s="365"/>
      <c r="EM109" s="359"/>
      <c r="EN109" s="360">
        <f ca="1">SUM(EN$110:EN$113)</f>
        <v>0</v>
      </c>
      <c r="EO109" s="361">
        <f t="shared" ca="1" si="4434"/>
        <v>0</v>
      </c>
      <c r="EP109" s="362"/>
      <c r="EQ109" s="359"/>
      <c r="ER109" s="360">
        <f ca="1">SUM(ER$110:ER$113)</f>
        <v>0</v>
      </c>
      <c r="ES109" s="363">
        <f ca="1">IFERROR(ER109/EJ$4,0)</f>
        <v>0</v>
      </c>
      <c r="ET109" s="362"/>
      <c r="EU109" s="359"/>
      <c r="EV109" s="360">
        <f ca="1">SUM(EV$110:EV$113)</f>
        <v>0</v>
      </c>
      <c r="EW109" s="363">
        <f t="shared" ca="1" si="4440"/>
        <v>0</v>
      </c>
      <c r="EX109" s="423">
        <f t="shared" si="4441"/>
        <v>0</v>
      </c>
      <c r="EY109" s="359"/>
      <c r="EZ109" s="360">
        <f ca="1">SUM(EZ$110:EZ$113)</f>
        <v>0</v>
      </c>
      <c r="FA109" s="361">
        <f t="shared" ca="1" si="4443"/>
        <v>0</v>
      </c>
      <c r="FB109" s="295" t="str">
        <f t="shared" ca="1" si="3172"/>
        <v/>
      </c>
      <c r="FC109" s="357"/>
      <c r="FD109" s="358"/>
      <c r="FE109" s="358"/>
      <c r="FF109" s="359"/>
      <c r="FG109" s="360">
        <f ca="1">SUM(FG$110:FG$113)</f>
        <v>0</v>
      </c>
      <c r="FH109" s="361">
        <f t="shared" ca="1" si="4447"/>
        <v>0</v>
      </c>
      <c r="FI109" s="362"/>
      <c r="FJ109" s="359"/>
      <c r="FK109" s="360">
        <f ca="1">SUM(FK$110:FK$113)</f>
        <v>0</v>
      </c>
      <c r="FL109" s="363">
        <f ca="1">IFERROR(FK109/FC$4,0)</f>
        <v>0</v>
      </c>
      <c r="FM109" s="362"/>
      <c r="FN109" s="359"/>
      <c r="FO109" s="360">
        <f ca="1">SUM(FO$110:FO$113)</f>
        <v>0</v>
      </c>
      <c r="FP109" s="363">
        <f t="shared" ca="1" si="4453"/>
        <v>0</v>
      </c>
      <c r="FQ109" s="359"/>
      <c r="FR109" s="359"/>
      <c r="FS109" s="360">
        <f ca="1">SUM(FS$110:FS$113)</f>
        <v>0</v>
      </c>
      <c r="FT109" s="361">
        <f t="shared" ca="1" si="4456"/>
        <v>0</v>
      </c>
      <c r="FU109" s="364" t="str">
        <f t="shared" ca="1" si="3173"/>
        <v/>
      </c>
    </row>
    <row r="110" spans="1:177" outlineLevel="2" x14ac:dyDescent="0.2">
      <c r="A110" s="366"/>
      <c r="B110" s="366"/>
      <c r="C110" s="367" t="str">
        <f t="shared" ref="C110:E113" ca="1" si="4471">OFFSET(Origine,MATCH($F110,Descrizioni,0),MATCH(C$15,Intestazioni,0)-1,1,1)</f>
        <v>NO0010096985:NOK</v>
      </c>
      <c r="D110" s="368" t="str">
        <f t="shared" ca="1" si="4471"/>
        <v>NO0010096985</v>
      </c>
      <c r="E110" s="369" t="str">
        <f t="shared" ca="1" si="4471"/>
        <v>1245893</v>
      </c>
      <c r="F110" s="367" t="s">
        <v>758</v>
      </c>
      <c r="G110" s="414"/>
      <c r="H110" s="1713" t="str">
        <f ca="1">IF(OFFSET(Origine,MATCH($F110,Descrizioni,0),MATCH(H$15,Intestazioni,0)-1,1,1)&lt;&gt;"",HYPERLINK(OFFSET(Origine,MATCH($F110,Descrizioni,0),MATCH(H$15,Intestazioni,0)-1,1,1),""),"")</f>
        <v></v>
      </c>
      <c r="I110" s="1683" t="str">
        <f ca="1">IF(OFFSET(Origine,MATCH($F110,Descrizioni,0),MATCH(I$15,Intestazioni,0)-1,1,1)&lt;&gt;"",HYPERLINK(OFFSET(Origine,MATCH($F110,Descrizioni,0),MATCH(I$15,Intestazioni,0)-1,1,1),"i"),"")</f>
        <v>i</v>
      </c>
      <c r="J110" s="1713" t="str">
        <f t="shared" ref="J110:K113" ca="1" si="4472">IF(OFFSET(Origine,MATCH($F110,Descrizioni,0),MATCH(J$15,Intestazioni,0)-1,1,1)&lt;&gt;"",HYPERLINK(OFFSET(Origine,MATCH($F110,Descrizioni,0),MATCH(J$15,Intestazioni,0)-1,1,1),""),"")</f>
        <v></v>
      </c>
      <c r="K110" s="1716" t="str">
        <f t="shared" ca="1" si="4472"/>
        <v></v>
      </c>
      <c r="L110" s="1717" t="str">
        <f ca="1">IF(OFFSET(Origine,MATCH($F110,Descrizioni,0),MATCH(L$15,Intestazioni,0)-1,1,1)&lt;&gt;"",HYPERLINK("https://www.zonebourse.com/mods_a/charts/TV/inc_dyna_graph.php?c="&amp;OFFSET(Origine,MATCH($F110,Descrizioni,0),MATCH(L$15,Intestazioni,0)-1,1,1)&amp;"&amp;style=TradingView.CANDLES&amp;showAT=1",""),"")</f>
        <v></v>
      </c>
      <c r="M110" s="366" t="str">
        <f ca="1">(OFFSET(Origine,MATCH($F110,Descrizioni,0),MATCH(M$15,Intestazioni,0)-1,1,1))</f>
        <v>Unit</v>
      </c>
      <c r="N110" s="372"/>
      <c r="O110" s="372"/>
      <c r="P110" s="373">
        <f t="shared" ca="1" si="2532"/>
        <v>0</v>
      </c>
      <c r="Q110" s="391">
        <f t="array" aca="1" ref="Q110" ca="1">SUM(IF($AA$15:$FT$15="I_pos",AA110:FT110))</f>
        <v>0</v>
      </c>
      <c r="R110" s="391">
        <f t="array" aca="1" ref="R110" ca="1">SUM(IF($AA$15:$FT$15="P_Pos",AA110:FT110))</f>
        <v>0</v>
      </c>
      <c r="S110" s="367"/>
      <c r="T110" s="391"/>
      <c r="U110" s="375">
        <f ca="1">OFFSET(Origine,MATCH($F110,Descrizioni,0),MATCH(U$15,Intestazioni,0)-1,1,1)</f>
        <v>1.4788038120276001E-2</v>
      </c>
      <c r="V110" s="391">
        <f t="array" aca="1" ref="V110" ca="1">SUM(IF($AA$15:$FT$15="O_Pos",AA110:FT110))</f>
        <v>0</v>
      </c>
      <c r="W110" s="367" t="str">
        <f ca="1">OFFSET(Origine,MATCH($F110,Descrizioni,0),MATCH(W$15,Intestazioni,0)-1,1,1)</f>
        <v>NOK</v>
      </c>
      <c r="X110" s="392">
        <f ca="1">_xlfn.NUMBERVALUE(OFFSET(Origine,MATCH($F110,Descrizioni,0),MATCH(X$15,Intestazioni,0)-1,1,1))</f>
        <v>308.8</v>
      </c>
      <c r="Y110" s="393">
        <f ca="1">_xlfn.NUMBERVALUE(OFFSET(Origine,MATCH($F110,Descrizioni,0),MATCH(Y$15,Intestazioni,0)-1,1,1))</f>
        <v>3.5731865284974101E-2</v>
      </c>
      <c r="Z110" s="378">
        <f ca="1">_xlfn.NUMBERVALUE(OFFSET(Origine,MATCH(W110&amp;"/"&amp;MRif,LUKB_Name,0),MATCH("Price",Intestazioni,0)-1,1,1))</f>
        <v>8.0640000000000003E-2</v>
      </c>
      <c r="AA110" s="214"/>
      <c r="AB110" s="312" t="str">
        <f t="shared" ref="AB110:AB113" ca="1" si="4473">IFERROR($X110/AC110-1,"")</f>
        <v/>
      </c>
      <c r="AC110" s="215"/>
      <c r="AD110" s="199">
        <f t="shared" ref="AD110" ca="1" si="4474">AA110*$X110</f>
        <v>0</v>
      </c>
      <c r="AE110" s="199">
        <f t="shared" ref="AE110" ca="1" si="4475">AD110*$Z110</f>
        <v>0</v>
      </c>
      <c r="AF110" s="216">
        <f t="shared" ref="AF110" ca="1" si="4476">IFERROR(AE110/AA$4,0)</f>
        <v>0</v>
      </c>
      <c r="AG110" s="202">
        <f t="shared" ref="AG110" ca="1" si="4477">AH110/$X110</f>
        <v>0</v>
      </c>
      <c r="AH110" s="203">
        <f t="shared" ref="AH110" ca="1" si="4478">AI110/$Z110</f>
        <v>0</v>
      </c>
      <c r="AI110" s="203">
        <f t="shared" ref="AI110" ca="1" si="4479">AJ110*AA$4</f>
        <v>0</v>
      </c>
      <c r="AJ110" s="204">
        <f ca="1">IF(AA$6&lt;&gt;"",$O110,$N110)-AF110</f>
        <v>0</v>
      </c>
      <c r="AK110" s="205"/>
      <c r="AL110" s="206">
        <f t="shared" ref="AL110" ca="1" si="4480">AK110*$X110</f>
        <v>0</v>
      </c>
      <c r="AM110" s="206">
        <f t="shared" ref="AM110" ca="1" si="4481">AL110*$Z110</f>
        <v>0</v>
      </c>
      <c r="AN110" s="207">
        <f t="shared" ref="AN110" ca="1" si="4482">IFERROR(AM110/AA$4,0)</f>
        <v>0</v>
      </c>
      <c r="AO110" s="391">
        <f t="shared" ref="AO110" si="4483">AA110+AK110</f>
        <v>0</v>
      </c>
      <c r="AP110" s="391">
        <f t="shared" ca="1" si="2846"/>
        <v>0</v>
      </c>
      <c r="AQ110" s="391">
        <f t="shared" ref="AQ110" ca="1" si="4484">AP110*$Z110</f>
        <v>0</v>
      </c>
      <c r="AR110" s="394">
        <f t="shared" ref="AR110" ca="1" si="4485">IFERROR(AQ110/AA$4,0)</f>
        <v>0</v>
      </c>
      <c r="AS110" s="209" t="str">
        <f t="shared" ref="AS110" ca="1" si="4486">IF(SUM(AF110,AN110,AR110)&lt;&gt;0,"V","")</f>
        <v/>
      </c>
      <c r="AT110" s="214"/>
      <c r="AU110" s="312" t="str">
        <f t="shared" ref="AU110:AU113" ca="1" si="4487">IFERROR($X110/AV110-1,"")</f>
        <v/>
      </c>
      <c r="AV110" s="215"/>
      <c r="AW110" s="199">
        <f t="shared" ref="AW110" ca="1" si="4488">AT110*$X110</f>
        <v>0</v>
      </c>
      <c r="AX110" s="199">
        <f t="shared" ref="AX110" ca="1" si="4489">AW110*$Z110</f>
        <v>0</v>
      </c>
      <c r="AY110" s="216">
        <f t="shared" ref="AY110" ca="1" si="4490">IFERROR(AX110/AT$4,0)</f>
        <v>0</v>
      </c>
      <c r="AZ110" s="202">
        <f t="shared" ref="AZ110" ca="1" si="4491">BA110/$X110</f>
        <v>0</v>
      </c>
      <c r="BA110" s="203">
        <f t="shared" ref="BA110" ca="1" si="4492">BB110/$Z110</f>
        <v>0</v>
      </c>
      <c r="BB110" s="203">
        <f t="shared" ref="BB110" ca="1" si="4493">BC110*AT$4</f>
        <v>0</v>
      </c>
      <c r="BC110" s="204">
        <f ca="1">IF(AT$6&lt;&gt;"",$O110,$N110)-AY110</f>
        <v>0</v>
      </c>
      <c r="BD110" s="205"/>
      <c r="BE110" s="206">
        <f t="shared" ref="BE110" ca="1" si="4494">BD110*$X110</f>
        <v>0</v>
      </c>
      <c r="BF110" s="206">
        <f t="shared" ref="BF110" ca="1" si="4495">BE110*$Z110</f>
        <v>0</v>
      </c>
      <c r="BG110" s="207">
        <f t="shared" ref="BG110" ca="1" si="4496">IFERROR(BF110/AT$4,0)</f>
        <v>0</v>
      </c>
      <c r="BH110" s="391">
        <f t="shared" ref="BH110" si="4497">AT110+BD110</f>
        <v>0</v>
      </c>
      <c r="BI110" s="391">
        <f t="shared" ca="1" si="2857"/>
        <v>0</v>
      </c>
      <c r="BJ110" s="391">
        <f t="shared" ref="BJ110" ca="1" si="4498">BI110*$Z110</f>
        <v>0</v>
      </c>
      <c r="BK110" s="394">
        <f t="shared" ref="BK110" ca="1" si="4499">IFERROR(BJ110/AT$4,0)</f>
        <v>0</v>
      </c>
      <c r="BL110" s="211" t="str">
        <f t="shared" ref="BL110" ca="1" si="4500">IF(SUM(AY110,BG110,BK110)&lt;&gt;0,"V","")</f>
        <v/>
      </c>
      <c r="BM110" s="214"/>
      <c r="BN110" s="312" t="str">
        <f t="shared" ref="BN110:BN113" ca="1" si="4501">IFERROR($X110/BO110-1,"")</f>
        <v/>
      </c>
      <c r="BO110" s="215"/>
      <c r="BP110" s="199">
        <f t="shared" ref="BP110" ca="1" si="4502">BM110*$X110</f>
        <v>0</v>
      </c>
      <c r="BQ110" s="199">
        <f t="shared" ref="BQ110" ca="1" si="4503">BP110*$Z110</f>
        <v>0</v>
      </c>
      <c r="BR110" s="216">
        <f t="shared" ref="BR110" ca="1" si="4504">IFERROR(BQ110/BM$4,0)</f>
        <v>0</v>
      </c>
      <c r="BS110" s="202">
        <f t="shared" ref="BS110" ca="1" si="4505">BT110/$X110</f>
        <v>0</v>
      </c>
      <c r="BT110" s="203">
        <f t="shared" ref="BT110" ca="1" si="4506">BU110/$Z110</f>
        <v>0</v>
      </c>
      <c r="BU110" s="203">
        <f t="shared" ref="BU110" ca="1" si="4507">BV110*BM$4</f>
        <v>0</v>
      </c>
      <c r="BV110" s="204">
        <f ca="1">IF(BM$6&lt;&gt;"",$O110,$N110)-BR110</f>
        <v>0</v>
      </c>
      <c r="BW110" s="205"/>
      <c r="BX110" s="206">
        <f t="shared" ref="BX110" ca="1" si="4508">BW110*$X110</f>
        <v>0</v>
      </c>
      <c r="BY110" s="206">
        <f t="shared" ref="BY110" ca="1" si="4509">BX110*$Z110</f>
        <v>0</v>
      </c>
      <c r="BZ110" s="207">
        <f t="shared" ref="BZ110" ca="1" si="4510">IFERROR(BY110/BM$4,0)</f>
        <v>0</v>
      </c>
      <c r="CA110" s="391">
        <f t="shared" ref="CA110" si="4511">BM110+BW110</f>
        <v>0</v>
      </c>
      <c r="CB110" s="391">
        <f t="shared" ca="1" si="2870"/>
        <v>0</v>
      </c>
      <c r="CC110" s="391">
        <f t="shared" ref="CC110" ca="1" si="4512">CB110*$Z110</f>
        <v>0</v>
      </c>
      <c r="CD110" s="394">
        <f t="shared" ref="CD110" ca="1" si="4513">IFERROR(CC110/BM$4,0)</f>
        <v>0</v>
      </c>
      <c r="CE110" s="212" t="str">
        <f t="shared" ref="CE110" ca="1" si="4514">IF(SUM(BR110,BZ110,CD110)&lt;&gt;0,"V","")</f>
        <v/>
      </c>
      <c r="CF110" s="214"/>
      <c r="CG110" s="312" t="str">
        <f t="shared" ref="CG110:CG113" ca="1" si="4515">IFERROR($X110/CH110-1,"")</f>
        <v/>
      </c>
      <c r="CH110" s="215"/>
      <c r="CI110" s="199">
        <f t="shared" ref="CI110" ca="1" si="4516">CF110*$X110</f>
        <v>0</v>
      </c>
      <c r="CJ110" s="199">
        <f t="shared" ref="CJ110" ca="1" si="4517">CI110*$Z110</f>
        <v>0</v>
      </c>
      <c r="CK110" s="216">
        <f t="shared" ref="CK110" ca="1" si="4518">IFERROR(CJ110/CF$4,0)</f>
        <v>0</v>
      </c>
      <c r="CL110" s="202">
        <f t="shared" ref="CL110" ca="1" si="4519">CM110/$X110</f>
        <v>0</v>
      </c>
      <c r="CM110" s="203">
        <f t="shared" ref="CM110" ca="1" si="4520">CN110/$Z110</f>
        <v>0</v>
      </c>
      <c r="CN110" s="203">
        <f t="shared" ref="CN110" ca="1" si="4521">CO110*CF$4</f>
        <v>0</v>
      </c>
      <c r="CO110" s="204">
        <f ca="1">IF(CF$6&lt;&gt;"",$O110,$N110)-CK110</f>
        <v>0</v>
      </c>
      <c r="CP110" s="205"/>
      <c r="CQ110" s="206">
        <f t="shared" ref="CQ110" ca="1" si="4522">CP110*$X110</f>
        <v>0</v>
      </c>
      <c r="CR110" s="206">
        <f t="shared" ref="CR110" ca="1" si="4523">CQ110*$Z110</f>
        <v>0</v>
      </c>
      <c r="CS110" s="207">
        <f t="shared" ref="CS110" ca="1" si="4524">IFERROR(CR110/CF$4,0)</f>
        <v>0</v>
      </c>
      <c r="CT110" s="391">
        <f t="shared" ref="CT110" si="4525">CF110+CP110</f>
        <v>0</v>
      </c>
      <c r="CU110" s="391">
        <f t="shared" ca="1" si="2881"/>
        <v>0</v>
      </c>
      <c r="CV110" s="391">
        <f t="shared" ref="CV110" ca="1" si="4526">CU110*$Z110</f>
        <v>0</v>
      </c>
      <c r="CW110" s="394">
        <f t="shared" ref="CW110" ca="1" si="4527">IFERROR(CV110/CF$4,0)</f>
        <v>0</v>
      </c>
      <c r="CX110" s="211" t="str">
        <f t="shared" ref="CX110" ca="1" si="4528">IF(SUM(CK110,CS110,CW110)&lt;&gt;0,"V","")</f>
        <v/>
      </c>
      <c r="CY110" s="197"/>
      <c r="CZ110" s="312" t="str">
        <f t="shared" ref="CZ110:CZ113" ca="1" si="4529">IFERROR($X110/DA110-1,"")</f>
        <v/>
      </c>
      <c r="DA110" s="395"/>
      <c r="DB110" s="199">
        <f t="shared" ref="DB110" ca="1" si="4530">CY110*$X110</f>
        <v>0</v>
      </c>
      <c r="DC110" s="199">
        <f t="shared" ref="DC110" ca="1" si="4531">DB110*$Z110</f>
        <v>0</v>
      </c>
      <c r="DD110" s="216">
        <f t="shared" ref="DD110" ca="1" si="4532">IFERROR(DC110/CY$4,0)</f>
        <v>0</v>
      </c>
      <c r="DE110" s="202">
        <f t="shared" ref="DE110" ca="1" si="4533">DF110/$X110</f>
        <v>0</v>
      </c>
      <c r="DF110" s="203">
        <f t="shared" ref="DF110" ca="1" si="4534">DG110/$Z110</f>
        <v>0</v>
      </c>
      <c r="DG110" s="203">
        <f t="shared" ref="DG110" ca="1" si="4535">DH110*CY$4</f>
        <v>0</v>
      </c>
      <c r="DH110" s="204">
        <f ca="1">IF(CY$6&lt;&gt;"",$O110,$N110)-DD110</f>
        <v>0</v>
      </c>
      <c r="DI110" s="205"/>
      <c r="DJ110" s="206">
        <f t="shared" ref="DJ110" ca="1" si="4536">DI110*$X110</f>
        <v>0</v>
      </c>
      <c r="DK110" s="206">
        <f t="shared" ref="DK110" ca="1" si="4537">DJ110*$Z110</f>
        <v>0</v>
      </c>
      <c r="DL110" s="207">
        <f t="shared" ref="DL110" ca="1" si="4538">IFERROR(DK110/CY$4,0)</f>
        <v>0</v>
      </c>
      <c r="DM110" s="391">
        <f t="shared" ref="DM110" si="4539">CY110+DI110</f>
        <v>0</v>
      </c>
      <c r="DN110" s="391">
        <f t="shared" ca="1" si="2894"/>
        <v>0</v>
      </c>
      <c r="DO110" s="391">
        <f t="shared" ref="DO110:DO113" ca="1" si="4540">DN110*$Z110</f>
        <v>0</v>
      </c>
      <c r="DP110" s="394">
        <f t="shared" ca="1" si="3170"/>
        <v>0</v>
      </c>
      <c r="DQ110" s="209" t="str">
        <f t="shared" ref="DQ110" ca="1" si="4541">IF(SUM(DD110,DL110,DP110)&lt;&gt;0,"V","")</f>
        <v/>
      </c>
      <c r="DR110" s="197"/>
      <c r="DS110" s="312" t="str">
        <f t="shared" ref="DS110:DS113" ca="1" si="4542">IFERROR($X110/DT110-1,"")</f>
        <v/>
      </c>
      <c r="DT110" s="395"/>
      <c r="DU110" s="199">
        <f t="shared" ref="DU110:DU113" ca="1" si="4543">DR110*$X110</f>
        <v>0</v>
      </c>
      <c r="DV110" s="199">
        <f t="shared" ref="DV110:DV113" ca="1" si="4544">DU110*$Z110</f>
        <v>0</v>
      </c>
      <c r="DW110" s="216">
        <f t="shared" ca="1" si="3627"/>
        <v>0</v>
      </c>
      <c r="DX110" s="202">
        <f t="shared" ref="DX110:DX113" ca="1" si="4545">DY110/$X110</f>
        <v>0</v>
      </c>
      <c r="DY110" s="203">
        <f t="shared" ref="DY110:DY113" ca="1" si="4546">DZ110/$Z110</f>
        <v>0</v>
      </c>
      <c r="DZ110" s="203">
        <f t="shared" ref="DZ110:DZ113" ca="1" si="4547">EA110*DR$4</f>
        <v>0</v>
      </c>
      <c r="EA110" s="204">
        <f ca="1">IF(DR$6&lt;&gt;"",$O110,$N110)-DW110</f>
        <v>0</v>
      </c>
      <c r="EB110" s="205"/>
      <c r="EC110" s="206">
        <f t="shared" ref="EC110:EC113" ca="1" si="4548">EB110*$X110</f>
        <v>0</v>
      </c>
      <c r="ED110" s="206">
        <f t="shared" ref="ED110:ED113" ca="1" si="4549">EC110*$Z110</f>
        <v>0</v>
      </c>
      <c r="EE110" s="207">
        <f t="shared" ca="1" si="3633"/>
        <v>0</v>
      </c>
      <c r="EF110" s="391">
        <f t="shared" ref="EF110" si="4550">DR110+EB110</f>
        <v>0</v>
      </c>
      <c r="EG110" s="391">
        <f t="shared" ref="EG110:EG113" ca="1" si="4551">DU110+IF($T110 ="",EC110,0)</f>
        <v>0</v>
      </c>
      <c r="EH110" s="391">
        <f t="shared" ref="EH110:EH113" ca="1" si="4552">EG110*$Z110</f>
        <v>0</v>
      </c>
      <c r="EI110" s="394">
        <f t="shared" ca="1" si="3636"/>
        <v>0</v>
      </c>
      <c r="EJ110" s="214"/>
      <c r="EK110" s="312" t="str">
        <f t="shared" ref="EK110:EK113" ca="1" si="4553">IFERROR($X110/EL110-1,"")</f>
        <v/>
      </c>
      <c r="EL110" s="222"/>
      <c r="EM110" s="199">
        <f t="shared" ref="EM110" ca="1" si="4554">EJ110*$X110</f>
        <v>0</v>
      </c>
      <c r="EN110" s="199">
        <f t="shared" ref="EN110" ca="1" si="4555">EM110*$Z110</f>
        <v>0</v>
      </c>
      <c r="EO110" s="216">
        <f t="shared" ref="EO110" ca="1" si="4556">IFERROR(EN110/EJ$4,0)</f>
        <v>0</v>
      </c>
      <c r="EP110" s="202">
        <f t="shared" ref="EP110" ca="1" si="4557">EQ110/$X110</f>
        <v>0</v>
      </c>
      <c r="EQ110" s="203">
        <f t="shared" ref="EQ110" ca="1" si="4558">ER110/$Z110</f>
        <v>0</v>
      </c>
      <c r="ER110" s="203">
        <f t="shared" ref="ER110" ca="1" si="4559">ES110*EJ$4</f>
        <v>0</v>
      </c>
      <c r="ES110" s="204">
        <f ca="1">IF(EJ$6&lt;&gt;"",$O110,$N110)-EO110</f>
        <v>0</v>
      </c>
      <c r="ET110" s="205"/>
      <c r="EU110" s="206">
        <f t="shared" ref="EU110" ca="1" si="4560">ET110*$X110</f>
        <v>0</v>
      </c>
      <c r="EV110" s="206">
        <f t="shared" ref="EV110" ca="1" si="4561">EU110*$Z110</f>
        <v>0</v>
      </c>
      <c r="EW110" s="207">
        <f t="shared" ref="EW110" ca="1" si="4562">IFERROR(EV110/EJ$4,0)</f>
        <v>0</v>
      </c>
      <c r="EX110" s="391">
        <f t="shared" si="4441"/>
        <v>0</v>
      </c>
      <c r="EY110" s="391">
        <f t="shared" ca="1" si="2919"/>
        <v>0</v>
      </c>
      <c r="EZ110" s="391">
        <f t="shared" ref="EZ110" ca="1" si="4563">EY110*$Z110</f>
        <v>0</v>
      </c>
      <c r="FA110" s="394">
        <f t="shared" ref="FA110" ca="1" si="4564">IFERROR(EZ110/EJ$4,0)</f>
        <v>0</v>
      </c>
      <c r="FB110" s="212" t="str">
        <f t="shared" ref="FB110" ca="1" si="4565">IF(SUM(EO110,EW110,FA110)&lt;&gt;0,"V","")</f>
        <v/>
      </c>
      <c r="FC110" s="214"/>
      <c r="FD110" s="312" t="str">
        <f t="shared" ref="FD110:FD113" ca="1" si="4566">IFERROR($X110/FE110-1,"")</f>
        <v/>
      </c>
      <c r="FE110" s="215"/>
      <c r="FF110" s="199">
        <f t="shared" ref="FF110" ca="1" si="4567">FC110*$X110</f>
        <v>0</v>
      </c>
      <c r="FG110" s="199">
        <f t="shared" ref="FG110" ca="1" si="4568">FF110*$Z110</f>
        <v>0</v>
      </c>
      <c r="FH110" s="216">
        <f t="shared" ref="FH110" ca="1" si="4569">IFERROR(FG110/FC$4,0)</f>
        <v>0</v>
      </c>
      <c r="FI110" s="202">
        <f t="shared" ref="FI110" ca="1" si="4570">FJ110/$X110</f>
        <v>0</v>
      </c>
      <c r="FJ110" s="203">
        <f t="shared" ref="FJ110" ca="1" si="4571">FK110/$Z110</f>
        <v>0</v>
      </c>
      <c r="FK110" s="203">
        <f t="shared" ref="FK110" ca="1" si="4572">FL110*FC$4</f>
        <v>0</v>
      </c>
      <c r="FL110" s="204">
        <f ca="1">IF(FC$6&lt;&gt;"",$O110,$N110)-FH110</f>
        <v>0</v>
      </c>
      <c r="FM110" s="205"/>
      <c r="FN110" s="206">
        <f t="shared" ref="FN110" ca="1" si="4573">FM110*$X110</f>
        <v>0</v>
      </c>
      <c r="FO110" s="206">
        <f t="shared" ref="FO110" ca="1" si="4574">FN110*$Z110</f>
        <v>0</v>
      </c>
      <c r="FP110" s="207">
        <f t="shared" ref="FP110" ca="1" si="4575">IFERROR(FO110/FC$4,0)</f>
        <v>0</v>
      </c>
      <c r="FQ110" s="391">
        <f t="shared" ref="FQ110" si="4576">FC110+FM110</f>
        <v>0</v>
      </c>
      <c r="FR110" s="391">
        <f t="shared" ca="1" si="2930"/>
        <v>0</v>
      </c>
      <c r="FS110" s="391">
        <f t="shared" ref="FS110" ca="1" si="4577">FR110*$Z110</f>
        <v>0</v>
      </c>
      <c r="FT110" s="394">
        <f t="shared" ref="FT110" ca="1" si="4578">IFERROR(FS110/FC$4,0)</f>
        <v>0</v>
      </c>
      <c r="FU110" s="209" t="str">
        <f t="shared" ref="FU110" ca="1" si="4579">IF(SUM(FH110,FP110,FT110)&lt;&gt;0,"V","")</f>
        <v/>
      </c>
    </row>
    <row r="111" spans="1:177" outlineLevel="2" x14ac:dyDescent="0.2">
      <c r="A111" s="366"/>
      <c r="B111" s="366"/>
      <c r="C111" s="367" t="str">
        <f t="shared" ca="1" si="4471"/>
        <v>LU1681044647:EUR</v>
      </c>
      <c r="D111" s="368" t="str">
        <f t="shared" ca="1" si="4471"/>
        <v>LU1681044647</v>
      </c>
      <c r="E111" s="369" t="str">
        <f t="shared" ca="1" si="4471"/>
        <v>38784749</v>
      </c>
      <c r="F111" s="367" t="s">
        <v>759</v>
      </c>
      <c r="G111" s="414"/>
      <c r="H111" s="1713" t="str">
        <f ca="1">IF(OFFSET(Origine,MATCH($F111,Descrizioni,0),MATCH(H$15,Intestazioni,0)-1,1,1)&lt;&gt;"",HYPERLINK(OFFSET(Origine,MATCH($F111,Descrizioni,0),MATCH(H$15,Intestazioni,0)-1,1,1),""),"")</f>
        <v></v>
      </c>
      <c r="I111" s="1683" t="str">
        <f ca="1">IF(OFFSET(Origine,MATCH($F111,Descrizioni,0),MATCH(I$15,Intestazioni,0)-1,1,1)&lt;&gt;"",HYPERLINK(OFFSET(Origine,MATCH($F111,Descrizioni,0),MATCH(I$15,Intestazioni,0)-1,1,1),"i"),"")</f>
        <v>i</v>
      </c>
      <c r="J111" s="1713" t="str">
        <f t="shared" ca="1" si="4472"/>
        <v></v>
      </c>
      <c r="K111" s="1716" t="str">
        <f t="shared" ca="1" si="4472"/>
        <v></v>
      </c>
      <c r="L111" s="1717" t="str">
        <f ca="1">IF(OFFSET(Origine,MATCH($F111,Descrizioni,0),MATCH(L$15,Intestazioni,0)-1,1,1)&lt;&gt;"",HYPERLINK("https://www.zonebourse.com/mods_a/charts/TV/inc_dyna_graph.php?c="&amp;OFFSET(Origine,MATCH($F111,Descrizioni,0),MATCH(L$15,Intestazioni,0)-1,1,1)&amp;"&amp;style=TradingView.CANDLES&amp;showAT=1",""),"")</f>
        <v></v>
      </c>
      <c r="M111" s="366" t="str">
        <f ca="1">(OFFSET(Origine,MATCH($F111,Descrizioni,0),MATCH(M$15,Intestazioni,0)-1,1,1))</f>
        <v>Unit</v>
      </c>
      <c r="N111" s="417"/>
      <c r="O111" s="417"/>
      <c r="P111" s="418">
        <f t="shared" ca="1" si="2532"/>
        <v>0</v>
      </c>
      <c r="Q111" s="391">
        <f t="array" aca="1" ref="Q111" ca="1">SUM(IF($AA$15:$FT$15="I_pos",AA111:FT111))</f>
        <v>0</v>
      </c>
      <c r="R111" s="391">
        <f t="array" aca="1" ref="R111" ca="1">SUM(IF($AA$15:$FT$15="P_Pos",AA111:FT111))</f>
        <v>0</v>
      </c>
      <c r="S111" s="367"/>
      <c r="T111" s="391"/>
      <c r="U111" s="375">
        <f ca="1">OFFSET(Origine,MATCH($F111,Descrizioni,0),MATCH(U$15,Intestazioni,0)-1,1,1)</f>
        <v>-9.9692127254068005E-3</v>
      </c>
      <c r="V111" s="391">
        <f t="array" aca="1" ref="V111" ca="1">SUM(IF($AA$15:$FT$15="O_Pos",AA111:FT111))</f>
        <v>0</v>
      </c>
      <c r="W111" s="367" t="str">
        <f t="shared" ref="W111" ca="1" si="4580">OFFSET(Origine,MATCH($F111,Descrizioni,0),MATCH(W$15,Intestazioni,0)-1,1,1)</f>
        <v>EUR</v>
      </c>
      <c r="X111" s="392">
        <f t="shared" ref="X111" ca="1" si="4581">_xlfn.NUMBERVALUE(OFFSET(Origine,MATCH($F111,Descrizioni,0),MATCH(X$15,Intestazioni,0)-1,1,1))</f>
        <v>675.3</v>
      </c>
      <c r="Y111" s="393">
        <f ca="1">_xlfn.NUMBERVALUE(OFFSET(Origine,MATCH($F111,Descrizioni,0),MATCH(Y$15,Intestazioni,0)-1,1,1))</f>
        <v>0</v>
      </c>
      <c r="Z111" s="378">
        <f ca="1">_xlfn.NUMBERVALUE(OFFSET(Origine,MATCH(W111&amp;"/"&amp;MRif,LUKB_Name,0),MATCH("Price",Intestazioni,0)-1,1,1))</f>
        <v>0.90754999999999997</v>
      </c>
      <c r="AA111" s="214"/>
      <c r="AB111" s="312" t="str">
        <f t="shared" ca="1" si="4473"/>
        <v/>
      </c>
      <c r="AC111" s="215"/>
      <c r="AD111" s="199">
        <f t="shared" ref="AD111:AD113" ca="1" si="4582">AA111*$X111</f>
        <v>0</v>
      </c>
      <c r="AE111" s="199">
        <f t="shared" ref="AE111:AE113" ca="1" si="4583">AD111*$Z111</f>
        <v>0</v>
      </c>
      <c r="AF111" s="216">
        <f ca="1">IFERROR(AE111/AA$4,0)</f>
        <v>0</v>
      </c>
      <c r="AG111" s="202">
        <f t="shared" ref="AG111:AG113" ca="1" si="4584">AH111/$X111</f>
        <v>0</v>
      </c>
      <c r="AH111" s="203">
        <f t="shared" ref="AH111:AH113" ca="1" si="4585">AI111/$Z111</f>
        <v>0</v>
      </c>
      <c r="AI111" s="203">
        <f t="shared" ref="AI111:AI113" ca="1" si="4586">AJ111*AA$4</f>
        <v>0</v>
      </c>
      <c r="AJ111" s="204">
        <f ca="1">IF(AA$6&lt;&gt;"",$O111,$N111)-AF111</f>
        <v>0</v>
      </c>
      <c r="AK111" s="205"/>
      <c r="AL111" s="206">
        <f t="shared" ref="AL111:AL113" ca="1" si="4587">AK111*$X111</f>
        <v>0</v>
      </c>
      <c r="AM111" s="206">
        <f t="shared" ref="AM111:AM113" ca="1" si="4588">AL111*$Z111</f>
        <v>0</v>
      </c>
      <c r="AN111" s="207">
        <f ca="1">IFERROR(AM111/AA$4,0)</f>
        <v>0</v>
      </c>
      <c r="AO111" s="391">
        <f>AA111+AK111</f>
        <v>0</v>
      </c>
      <c r="AP111" s="391">
        <f t="shared" ca="1" si="2846"/>
        <v>0</v>
      </c>
      <c r="AQ111" s="391">
        <f t="shared" ref="AQ111:AQ113" ca="1" si="4589">AP111*$Z111</f>
        <v>0</v>
      </c>
      <c r="AR111" s="394">
        <f ca="1">IFERROR(AQ111/AA$4,0)</f>
        <v>0</v>
      </c>
      <c r="AS111" s="209" t="str">
        <f t="shared" ca="1" si="3165"/>
        <v/>
      </c>
      <c r="AT111" s="214"/>
      <c r="AU111" s="312" t="str">
        <f t="shared" ca="1" si="4487"/>
        <v/>
      </c>
      <c r="AV111" s="215"/>
      <c r="AW111" s="199">
        <f t="shared" ref="AW111:AW113" ca="1" si="4590">AT111*$X111</f>
        <v>0</v>
      </c>
      <c r="AX111" s="199">
        <f t="shared" ref="AX111:AX113" ca="1" si="4591">AW111*$Z111</f>
        <v>0</v>
      </c>
      <c r="AY111" s="216">
        <f ca="1">IFERROR(AX111/AT$4,0)</f>
        <v>0</v>
      </c>
      <c r="AZ111" s="202">
        <f t="shared" ref="AZ111:AZ113" ca="1" si="4592">BA111/$X111</f>
        <v>0</v>
      </c>
      <c r="BA111" s="203">
        <f t="shared" ref="BA111:BA113" ca="1" si="4593">BB111/$Z111</f>
        <v>0</v>
      </c>
      <c r="BB111" s="203">
        <f t="shared" ref="BB111:BB113" ca="1" si="4594">BC111*AT$4</f>
        <v>0</v>
      </c>
      <c r="BC111" s="204">
        <f ca="1">IF(AT$6&lt;&gt;"",$O111,$N111)-AY111</f>
        <v>0</v>
      </c>
      <c r="BD111" s="205"/>
      <c r="BE111" s="206">
        <f t="shared" ref="BE111:BE113" ca="1" si="4595">BD111*$X111</f>
        <v>0</v>
      </c>
      <c r="BF111" s="206">
        <f t="shared" ref="BF111:BF113" ca="1" si="4596">BE111*$Z111</f>
        <v>0</v>
      </c>
      <c r="BG111" s="207">
        <f ca="1">IFERROR(BF111/AT$4,0)</f>
        <v>0</v>
      </c>
      <c r="BH111" s="391">
        <f>AT111+BD111</f>
        <v>0</v>
      </c>
      <c r="BI111" s="391">
        <f t="shared" ca="1" si="2857"/>
        <v>0</v>
      </c>
      <c r="BJ111" s="391">
        <f t="shared" ref="BJ111:BJ113" ca="1" si="4597">BI111*$Z111</f>
        <v>0</v>
      </c>
      <c r="BK111" s="394">
        <f ca="1">IFERROR(BJ111/AT$4,0)</f>
        <v>0</v>
      </c>
      <c r="BL111" s="211" t="str">
        <f t="shared" ca="1" si="3166"/>
        <v/>
      </c>
      <c r="BM111" s="214"/>
      <c r="BN111" s="312" t="str">
        <f t="shared" ca="1" si="4501"/>
        <v/>
      </c>
      <c r="BO111" s="215"/>
      <c r="BP111" s="199">
        <f t="shared" ref="BP111:BP113" ca="1" si="4598">BM111*$X111</f>
        <v>0</v>
      </c>
      <c r="BQ111" s="199">
        <f t="shared" ref="BQ111:BQ113" ca="1" si="4599">BP111*$Z111</f>
        <v>0</v>
      </c>
      <c r="BR111" s="216">
        <f ca="1">IFERROR(BQ111/BM$4,0)</f>
        <v>0</v>
      </c>
      <c r="BS111" s="202">
        <f t="shared" ref="BS111:BS113" ca="1" si="4600">BT111/$X111</f>
        <v>0</v>
      </c>
      <c r="BT111" s="203">
        <f t="shared" ref="BT111:BT113" ca="1" si="4601">BU111/$Z111</f>
        <v>0</v>
      </c>
      <c r="BU111" s="203">
        <f t="shared" ref="BU111:BU113" ca="1" si="4602">BV111*BM$4</f>
        <v>0</v>
      </c>
      <c r="BV111" s="204">
        <f ca="1">IF(BM$6&lt;&gt;"",$O111,$N111)-BR111</f>
        <v>0</v>
      </c>
      <c r="BW111" s="205"/>
      <c r="BX111" s="206">
        <f t="shared" ref="BX111:BX113" ca="1" si="4603">BW111*$X111</f>
        <v>0</v>
      </c>
      <c r="BY111" s="206">
        <f t="shared" ref="BY111:BY113" ca="1" si="4604">BX111*$Z111</f>
        <v>0</v>
      </c>
      <c r="BZ111" s="207">
        <f ca="1">IFERROR(BY111/BM$4,0)</f>
        <v>0</v>
      </c>
      <c r="CA111" s="391">
        <f>BM111+BW111</f>
        <v>0</v>
      </c>
      <c r="CB111" s="391">
        <f t="shared" ca="1" si="2870"/>
        <v>0</v>
      </c>
      <c r="CC111" s="391">
        <f t="shared" ref="CC111:CC113" ca="1" si="4605">CB111*$Z111</f>
        <v>0</v>
      </c>
      <c r="CD111" s="394">
        <f ca="1">IFERROR(CC111/BM$4,0)</f>
        <v>0</v>
      </c>
      <c r="CE111" s="212" t="str">
        <f t="shared" ca="1" si="3167"/>
        <v/>
      </c>
      <c r="CF111" s="214"/>
      <c r="CG111" s="312" t="str">
        <f t="shared" ca="1" si="4515"/>
        <v/>
      </c>
      <c r="CH111" s="215"/>
      <c r="CI111" s="199">
        <f t="shared" ref="CI111:CI113" ca="1" si="4606">CF111*$X111</f>
        <v>0</v>
      </c>
      <c r="CJ111" s="199">
        <f t="shared" ref="CJ111:CJ113" ca="1" si="4607">CI111*$Z111</f>
        <v>0</v>
      </c>
      <c r="CK111" s="216">
        <f t="shared" ca="1" si="4412"/>
        <v>0</v>
      </c>
      <c r="CL111" s="202">
        <f t="shared" ref="CL111:CL113" ca="1" si="4608">CM111/$X111</f>
        <v>0</v>
      </c>
      <c r="CM111" s="203">
        <f t="shared" ref="CM111:CM113" ca="1" si="4609">CN111/$Z111</f>
        <v>0</v>
      </c>
      <c r="CN111" s="203">
        <f t="shared" ref="CN111:CN113" ca="1" si="4610">CO111*CF$4</f>
        <v>0</v>
      </c>
      <c r="CO111" s="204">
        <f ca="1">IF(CF$6&lt;&gt;"",$O111,$N111)-CK111</f>
        <v>0</v>
      </c>
      <c r="CP111" s="205"/>
      <c r="CQ111" s="206">
        <f t="shared" ref="CQ111:CQ113" ca="1" si="4611">CP111*$X111</f>
        <v>0</v>
      </c>
      <c r="CR111" s="206">
        <f t="shared" ref="CR111:CR113" ca="1" si="4612">CQ111*$Z111</f>
        <v>0</v>
      </c>
      <c r="CS111" s="207">
        <f t="shared" ca="1" si="4418"/>
        <v>0</v>
      </c>
      <c r="CT111" s="391">
        <f>CF111+CP111</f>
        <v>0</v>
      </c>
      <c r="CU111" s="391">
        <f t="shared" ca="1" si="2881"/>
        <v>0</v>
      </c>
      <c r="CV111" s="391">
        <f t="shared" ref="CV111:CV113" ca="1" si="4613">CU111*$Z111</f>
        <v>0</v>
      </c>
      <c r="CW111" s="394">
        <f t="shared" ca="1" si="4463"/>
        <v>0</v>
      </c>
      <c r="CX111" s="211" t="str">
        <f t="shared" ca="1" si="3168"/>
        <v/>
      </c>
      <c r="CY111" s="197"/>
      <c r="CZ111" s="312" t="str">
        <f t="shared" ca="1" si="4529"/>
        <v/>
      </c>
      <c r="DA111" s="395"/>
      <c r="DB111" s="199">
        <f t="shared" ref="DB111:DB113" ca="1" si="4614">CY111*$X111</f>
        <v>0</v>
      </c>
      <c r="DC111" s="199">
        <f t="shared" ref="DC111:DC113" ca="1" si="4615">DB111*$Z111</f>
        <v>0</v>
      </c>
      <c r="DD111" s="216">
        <f t="shared" ca="1" si="2886"/>
        <v>0</v>
      </c>
      <c r="DE111" s="202">
        <f t="shared" ref="DE111:DE113" ca="1" si="4616">DF111/$X111</f>
        <v>0</v>
      </c>
      <c r="DF111" s="203">
        <f t="shared" ref="DF111:DF113" ca="1" si="4617">DG111/$Z111</f>
        <v>0</v>
      </c>
      <c r="DG111" s="203">
        <f t="shared" ref="DG111:DG113" ca="1" si="4618">DH111*CY$4</f>
        <v>0</v>
      </c>
      <c r="DH111" s="204">
        <f ca="1">IF(CY$6&lt;&gt;"",$O111,$N111)-DD111</f>
        <v>0</v>
      </c>
      <c r="DI111" s="205"/>
      <c r="DJ111" s="206">
        <f t="shared" ref="DJ111:DJ113" ca="1" si="4619">DI111*$X111</f>
        <v>0</v>
      </c>
      <c r="DK111" s="206">
        <f t="shared" ref="DK111:DK113" ca="1" si="4620">DJ111*$Z111</f>
        <v>0</v>
      </c>
      <c r="DL111" s="207">
        <f t="shared" ca="1" si="2892"/>
        <v>0</v>
      </c>
      <c r="DM111" s="391">
        <f>CY111+DI111</f>
        <v>0</v>
      </c>
      <c r="DN111" s="391">
        <f t="shared" ca="1" si="2894"/>
        <v>0</v>
      </c>
      <c r="DO111" s="391">
        <f t="shared" ca="1" si="4540"/>
        <v>0</v>
      </c>
      <c r="DP111" s="394">
        <f t="shared" ca="1" si="3170"/>
        <v>0</v>
      </c>
      <c r="DQ111" s="209" t="str">
        <f t="shared" ca="1" si="3171"/>
        <v/>
      </c>
      <c r="DR111" s="197"/>
      <c r="DS111" s="312" t="str">
        <f t="shared" ca="1" si="4542"/>
        <v/>
      </c>
      <c r="DT111" s="395"/>
      <c r="DU111" s="199">
        <f t="shared" ca="1" si="4543"/>
        <v>0</v>
      </c>
      <c r="DV111" s="199">
        <f t="shared" ca="1" si="4544"/>
        <v>0</v>
      </c>
      <c r="DW111" s="216">
        <f t="shared" ca="1" si="3627"/>
        <v>0</v>
      </c>
      <c r="DX111" s="202">
        <f t="shared" ca="1" si="4545"/>
        <v>0</v>
      </c>
      <c r="DY111" s="203">
        <f t="shared" ca="1" si="4546"/>
        <v>0</v>
      </c>
      <c r="DZ111" s="203">
        <f t="shared" ca="1" si="4547"/>
        <v>0</v>
      </c>
      <c r="EA111" s="204">
        <f ca="1">IF(DR$6&lt;&gt;"",$O111,$N111)-DW111</f>
        <v>0</v>
      </c>
      <c r="EB111" s="205"/>
      <c r="EC111" s="206">
        <f t="shared" ca="1" si="4548"/>
        <v>0</v>
      </c>
      <c r="ED111" s="206">
        <f t="shared" ca="1" si="4549"/>
        <v>0</v>
      </c>
      <c r="EE111" s="207">
        <f t="shared" ca="1" si="3633"/>
        <v>0</v>
      </c>
      <c r="EF111" s="391">
        <f>DR111+EB111</f>
        <v>0</v>
      </c>
      <c r="EG111" s="391">
        <f t="shared" ca="1" si="4551"/>
        <v>0</v>
      </c>
      <c r="EH111" s="391">
        <f t="shared" ca="1" si="4552"/>
        <v>0</v>
      </c>
      <c r="EI111" s="394">
        <f t="shared" ca="1" si="3636"/>
        <v>0</v>
      </c>
      <c r="EJ111" s="214"/>
      <c r="EK111" s="312" t="str">
        <f t="shared" ca="1" si="4553"/>
        <v/>
      </c>
      <c r="EL111" s="222"/>
      <c r="EM111" s="199">
        <f t="shared" ref="EM111:EM113" ca="1" si="4621">EJ111*$X111</f>
        <v>0</v>
      </c>
      <c r="EN111" s="199">
        <f t="shared" ref="EN111:EN113" ca="1" si="4622">EM111*$Z111</f>
        <v>0</v>
      </c>
      <c r="EO111" s="216">
        <f ca="1">IFERROR(EN111/EJ$4,0)</f>
        <v>0</v>
      </c>
      <c r="EP111" s="202">
        <f t="shared" ref="EP111:EP113" ca="1" si="4623">EQ111/$X111</f>
        <v>0</v>
      </c>
      <c r="EQ111" s="203">
        <f t="shared" ref="EQ111:EQ113" ca="1" si="4624">ER111/$Z111</f>
        <v>0</v>
      </c>
      <c r="ER111" s="203">
        <f t="shared" ref="ER111:ER113" ca="1" si="4625">ES111*EJ$4</f>
        <v>0</v>
      </c>
      <c r="ES111" s="204">
        <f ca="1">IF(EJ$6&lt;&gt;"",$O111,$N111)-EO111</f>
        <v>0</v>
      </c>
      <c r="ET111" s="205"/>
      <c r="EU111" s="206">
        <f t="shared" ref="EU111:EU113" ca="1" si="4626">ET111*$X111</f>
        <v>0</v>
      </c>
      <c r="EV111" s="206">
        <f t="shared" ref="EV111:EV113" ca="1" si="4627">EU111*$Z111</f>
        <v>0</v>
      </c>
      <c r="EW111" s="207">
        <f ca="1">IFERROR(EV111/EJ$4,0)</f>
        <v>0</v>
      </c>
      <c r="EX111" s="391">
        <f t="shared" si="4441"/>
        <v>0</v>
      </c>
      <c r="EY111" s="391">
        <f t="shared" ca="1" si="2919"/>
        <v>0</v>
      </c>
      <c r="EZ111" s="391">
        <f t="shared" ref="EZ111:EZ113" ca="1" si="4628">EY111*$Z111</f>
        <v>0</v>
      </c>
      <c r="FA111" s="394">
        <f ca="1">IFERROR(EZ111/EJ$4,0)</f>
        <v>0</v>
      </c>
      <c r="FB111" s="212" t="str">
        <f t="shared" ca="1" si="3172"/>
        <v/>
      </c>
      <c r="FC111" s="214"/>
      <c r="FD111" s="312" t="str">
        <f t="shared" ca="1" si="4566"/>
        <v/>
      </c>
      <c r="FE111" s="215"/>
      <c r="FF111" s="199">
        <f t="shared" ref="FF111:FF113" ca="1" si="4629">FC111*$X111</f>
        <v>0</v>
      </c>
      <c r="FG111" s="199">
        <f t="shared" ref="FG111:FG113" ca="1" si="4630">FF111*$Z111</f>
        <v>0</v>
      </c>
      <c r="FH111" s="216">
        <f ca="1">IFERROR(FG111/FC$4,0)</f>
        <v>0</v>
      </c>
      <c r="FI111" s="202">
        <f t="shared" ref="FI111:FI113" ca="1" si="4631">FJ111/$X111</f>
        <v>0</v>
      </c>
      <c r="FJ111" s="203">
        <f t="shared" ref="FJ111:FJ113" ca="1" si="4632">FK111/$Z111</f>
        <v>0</v>
      </c>
      <c r="FK111" s="203">
        <f t="shared" ref="FK111:FK113" ca="1" si="4633">FL111*FC$4</f>
        <v>0</v>
      </c>
      <c r="FL111" s="204">
        <f ca="1">IF(FC$6&lt;&gt;"",$O111,$N111)-FH111</f>
        <v>0</v>
      </c>
      <c r="FM111" s="205"/>
      <c r="FN111" s="206">
        <f t="shared" ref="FN111:FN113" ca="1" si="4634">FM111*$X111</f>
        <v>0</v>
      </c>
      <c r="FO111" s="206">
        <f t="shared" ref="FO111:FO113" ca="1" si="4635">FN111*$Z111</f>
        <v>0</v>
      </c>
      <c r="FP111" s="207">
        <f ca="1">IFERROR(FO111/FC$4,0)</f>
        <v>0</v>
      </c>
      <c r="FQ111" s="391">
        <f>FC111+FM111</f>
        <v>0</v>
      </c>
      <c r="FR111" s="391">
        <f t="shared" ca="1" si="2930"/>
        <v>0</v>
      </c>
      <c r="FS111" s="391">
        <f t="shared" ref="FS111:FS113" ca="1" si="4636">FR111*$Z111</f>
        <v>0</v>
      </c>
      <c r="FT111" s="394">
        <f ca="1">IFERROR(FS111/FC$4,0)</f>
        <v>0</v>
      </c>
      <c r="FU111" s="209" t="str">
        <f t="shared" ca="1" si="3173"/>
        <v/>
      </c>
    </row>
    <row r="112" spans="1:177" outlineLevel="2" x14ac:dyDescent="0.2">
      <c r="A112" s="366"/>
      <c r="B112" s="366"/>
      <c r="C112" s="367" t="str">
        <f t="shared" ca="1" si="4471"/>
        <v>LU0922334643:EUR</v>
      </c>
      <c r="D112" s="368" t="str">
        <f t="shared" ca="1" si="4471"/>
        <v>LU0922334643</v>
      </c>
      <c r="E112" s="369" t="str">
        <f t="shared" ca="1" si="4471"/>
        <v>21363489</v>
      </c>
      <c r="F112" s="367" t="s">
        <v>760</v>
      </c>
      <c r="G112" s="414"/>
      <c r="H112" s="1713" t="str">
        <f ca="1">IF(OFFSET(Origine,MATCH($F112,Descrizioni,0),MATCH(H$15,Intestazioni,0)-1,1,1)&lt;&gt;"",HYPERLINK(OFFSET(Origine,MATCH($F112,Descrizioni,0),MATCH(H$15,Intestazioni,0)-1,1,1),""),"")</f>
        <v></v>
      </c>
      <c r="I112" s="1683" t="str">
        <f ca="1">IF(OFFSET(Origine,MATCH($F112,Descrizioni,0),MATCH(I$15,Intestazioni,0)-1,1,1)&lt;&gt;"",HYPERLINK(OFFSET(Origine,MATCH($F112,Descrizioni,0),MATCH(I$15,Intestazioni,0)-1,1,1),"i"),"")</f>
        <v>i</v>
      </c>
      <c r="J112" s="1713" t="str">
        <f t="shared" ca="1" si="4472"/>
        <v></v>
      </c>
      <c r="K112" s="1716" t="str">
        <f t="shared" ca="1" si="4472"/>
        <v></v>
      </c>
      <c r="L112" s="1717" t="str">
        <f ca="1">IF(OFFSET(Origine,MATCH($F112,Descrizioni,0),MATCH(L$15,Intestazioni,0)-1,1,1)&lt;&gt;"",HYPERLINK("https://www.zonebourse.com/mods_a/charts/TV/inc_dyna_graph.php?c="&amp;OFFSET(Origine,MATCH($F112,Descrizioni,0),MATCH(L$15,Intestazioni,0)-1,1,1)&amp;"&amp;style=TradingView.CANDLES&amp;showAT=1",""),"")</f>
        <v></v>
      </c>
      <c r="M112" s="366" t="str">
        <f ca="1">(OFFSET(Origine,MATCH($F112,Descrizioni,0),MATCH(M$15,Intestazioni,0)-1,1,1))</f>
        <v>Unit</v>
      </c>
      <c r="N112" s="417"/>
      <c r="O112" s="417"/>
      <c r="P112" s="418">
        <f t="shared" ref="P112:P143" ca="1" si="4637">SUMIF($AA$15:$CD$15,"I_Ctrlv",$AA112:$CD112)/$Q$2</f>
        <v>0</v>
      </c>
      <c r="Q112" s="391">
        <f t="array" aca="1" ref="Q112" ca="1">SUM(IF($AA$15:$FT$15="I_pos",AA112:FT112))</f>
        <v>0</v>
      </c>
      <c r="R112" s="391">
        <f t="array" aca="1" ref="R112" ca="1">SUM(IF($AA$15:$FT$15="P_Pos",AA112:FT112))</f>
        <v>0</v>
      </c>
      <c r="S112" s="367"/>
      <c r="T112" s="391"/>
      <c r="U112" s="375">
        <f ca="1">OFFSET(Origine,MATCH($F112,Descrizioni,0),MATCH(U$15,Intestazioni,0)-1,1,1)</f>
        <v>-3.9236201935654112E-3</v>
      </c>
      <c r="V112" s="391">
        <f t="array" aca="1" ref="V112" ca="1">SUM(IF($AA$15:$FT$15="O_Pos",AA112:FT112))</f>
        <v>0</v>
      </c>
      <c r="W112" s="367" t="str">
        <f t="shared" ref="W112" ca="1" si="4638">OFFSET(Origine,MATCH($F112,Descrizioni,0),MATCH(W$15,Intestazioni,0)-1,1,1)</f>
        <v>EUR</v>
      </c>
      <c r="X112" s="392">
        <f t="shared" ref="X112" ca="1" si="4639">_xlfn.NUMBERVALUE(OFFSET(Origine,MATCH($F112,Descrizioni,0),MATCH(X$15,Intestazioni,0)-1,1,1))</f>
        <v>38.08</v>
      </c>
      <c r="Y112" s="393">
        <f ca="1">_xlfn.NUMBERVALUE(OFFSET(Origine,MATCH($F112,Descrizioni,0),MATCH(Y$15,Intestazioni,0)-1,1,1))</f>
        <v>0</v>
      </c>
      <c r="Z112" s="378">
        <f ca="1">_xlfn.NUMBERVALUE(OFFSET(Origine,MATCH(W112&amp;"/"&amp;MRif,LUKB_Name,0),MATCH("Price",Intestazioni,0)-1,1,1))</f>
        <v>0.90754999999999997</v>
      </c>
      <c r="AA112" s="214"/>
      <c r="AB112" s="312" t="str">
        <f t="shared" ca="1" si="4473"/>
        <v/>
      </c>
      <c r="AC112" s="215"/>
      <c r="AD112" s="199">
        <f t="shared" ca="1" si="4582"/>
        <v>0</v>
      </c>
      <c r="AE112" s="199">
        <f t="shared" ca="1" si="4583"/>
        <v>0</v>
      </c>
      <c r="AF112" s="216">
        <f t="shared" ref="AF112:AF141" ca="1" si="4640">IFERROR(AE112/AA$4,0)</f>
        <v>0</v>
      </c>
      <c r="AG112" s="202">
        <f t="shared" ca="1" si="4584"/>
        <v>0</v>
      </c>
      <c r="AH112" s="203">
        <f t="shared" ca="1" si="4585"/>
        <v>0</v>
      </c>
      <c r="AI112" s="203">
        <f t="shared" ca="1" si="4586"/>
        <v>0</v>
      </c>
      <c r="AJ112" s="204">
        <f ca="1">IF(AA$6&lt;&gt;"",$O112,$N112)-AF112</f>
        <v>0</v>
      </c>
      <c r="AK112" s="205"/>
      <c r="AL112" s="206">
        <f t="shared" ca="1" si="4587"/>
        <v>0</v>
      </c>
      <c r="AM112" s="206">
        <f t="shared" ca="1" si="4588"/>
        <v>0</v>
      </c>
      <c r="AN112" s="207">
        <f t="shared" ref="AN112:AN141" ca="1" si="4641">IFERROR(AM112/AA$4,0)</f>
        <v>0</v>
      </c>
      <c r="AO112" s="391">
        <f>AA112+AK112</f>
        <v>0</v>
      </c>
      <c r="AP112" s="391">
        <f t="shared" ca="1" si="2846"/>
        <v>0</v>
      </c>
      <c r="AQ112" s="391">
        <f t="shared" ca="1" si="4589"/>
        <v>0</v>
      </c>
      <c r="AR112" s="394">
        <f t="shared" ref="AR112:AR115" ca="1" si="4642">IFERROR(AQ112/AA$4,0)</f>
        <v>0</v>
      </c>
      <c r="AS112" s="209" t="str">
        <f t="shared" ca="1" si="3165"/>
        <v/>
      </c>
      <c r="AT112" s="214"/>
      <c r="AU112" s="312" t="str">
        <f t="shared" ca="1" si="4487"/>
        <v/>
      </c>
      <c r="AV112" s="215"/>
      <c r="AW112" s="199">
        <f t="shared" ca="1" si="4590"/>
        <v>0</v>
      </c>
      <c r="AX112" s="199">
        <f t="shared" ca="1" si="4591"/>
        <v>0</v>
      </c>
      <c r="AY112" s="216">
        <f t="shared" ref="AY112:AY141" ca="1" si="4643">IFERROR(AX112/AT$4,0)</f>
        <v>0</v>
      </c>
      <c r="AZ112" s="202">
        <f t="shared" ca="1" si="4592"/>
        <v>0</v>
      </c>
      <c r="BA112" s="203">
        <f t="shared" ca="1" si="4593"/>
        <v>0</v>
      </c>
      <c r="BB112" s="203">
        <f t="shared" ca="1" si="4594"/>
        <v>0</v>
      </c>
      <c r="BC112" s="204">
        <f ca="1">IF(AT$6&lt;&gt;"",$O112,$N112)-AY112</f>
        <v>0</v>
      </c>
      <c r="BD112" s="205"/>
      <c r="BE112" s="206">
        <f t="shared" ca="1" si="4595"/>
        <v>0</v>
      </c>
      <c r="BF112" s="206">
        <f t="shared" ca="1" si="4596"/>
        <v>0</v>
      </c>
      <c r="BG112" s="207">
        <f t="shared" ref="BG112:BG141" ca="1" si="4644">IFERROR(BF112/AT$4,0)</f>
        <v>0</v>
      </c>
      <c r="BH112" s="391">
        <f>AT112+BD112</f>
        <v>0</v>
      </c>
      <c r="BI112" s="391">
        <f t="shared" ca="1" si="2857"/>
        <v>0</v>
      </c>
      <c r="BJ112" s="391">
        <f t="shared" ca="1" si="4597"/>
        <v>0</v>
      </c>
      <c r="BK112" s="394">
        <f t="shared" ref="BK112:BK115" ca="1" si="4645">IFERROR(BJ112/AT$4,0)</f>
        <v>0</v>
      </c>
      <c r="BL112" s="211" t="str">
        <f t="shared" ca="1" si="3166"/>
        <v/>
      </c>
      <c r="BM112" s="214"/>
      <c r="BN112" s="312" t="str">
        <f t="shared" ca="1" si="4501"/>
        <v/>
      </c>
      <c r="BO112" s="215"/>
      <c r="BP112" s="199">
        <f t="shared" ca="1" si="4598"/>
        <v>0</v>
      </c>
      <c r="BQ112" s="199">
        <f t="shared" ca="1" si="4599"/>
        <v>0</v>
      </c>
      <c r="BR112" s="216">
        <f t="shared" ref="BR112:BR141" ca="1" si="4646">IFERROR(BQ112/BM$4,0)</f>
        <v>0</v>
      </c>
      <c r="BS112" s="202">
        <f t="shared" ca="1" si="4600"/>
        <v>0</v>
      </c>
      <c r="BT112" s="203">
        <f t="shared" ca="1" si="4601"/>
        <v>0</v>
      </c>
      <c r="BU112" s="203">
        <f t="shared" ca="1" si="4602"/>
        <v>0</v>
      </c>
      <c r="BV112" s="204">
        <f ca="1">IF(BM$6&lt;&gt;"",$O112,$N112)-BR112</f>
        <v>0</v>
      </c>
      <c r="BW112" s="205"/>
      <c r="BX112" s="206">
        <f t="shared" ca="1" si="4603"/>
        <v>0</v>
      </c>
      <c r="BY112" s="206">
        <f t="shared" ca="1" si="4604"/>
        <v>0</v>
      </c>
      <c r="BZ112" s="207">
        <f t="shared" ref="BZ112:BZ141" ca="1" si="4647">IFERROR(BY112/BM$4,0)</f>
        <v>0</v>
      </c>
      <c r="CA112" s="391">
        <f>BM112+BW112</f>
        <v>0</v>
      </c>
      <c r="CB112" s="391">
        <f t="shared" ca="1" si="2870"/>
        <v>0</v>
      </c>
      <c r="CC112" s="391">
        <f t="shared" ca="1" si="4605"/>
        <v>0</v>
      </c>
      <c r="CD112" s="394">
        <f t="shared" ref="CD112:CD115" ca="1" si="4648">IFERROR(CC112/BM$4,0)</f>
        <v>0</v>
      </c>
      <c r="CE112" s="212" t="str">
        <f t="shared" ca="1" si="3167"/>
        <v/>
      </c>
      <c r="CF112" s="214"/>
      <c r="CG112" s="312" t="str">
        <f t="shared" ca="1" si="4515"/>
        <v/>
      </c>
      <c r="CH112" s="215"/>
      <c r="CI112" s="199">
        <f t="shared" ca="1" si="4606"/>
        <v>0</v>
      </c>
      <c r="CJ112" s="199">
        <f t="shared" ca="1" si="4607"/>
        <v>0</v>
      </c>
      <c r="CK112" s="216">
        <f t="shared" ca="1" si="4412"/>
        <v>0</v>
      </c>
      <c r="CL112" s="202">
        <f t="shared" ca="1" si="4608"/>
        <v>0</v>
      </c>
      <c r="CM112" s="203">
        <f t="shared" ca="1" si="4609"/>
        <v>0</v>
      </c>
      <c r="CN112" s="203">
        <f t="shared" ca="1" si="4610"/>
        <v>0</v>
      </c>
      <c r="CO112" s="204">
        <f ca="1">IF(CF$6&lt;&gt;"",$O112,$N112)-CK112</f>
        <v>0</v>
      </c>
      <c r="CP112" s="205"/>
      <c r="CQ112" s="206">
        <f t="shared" ca="1" si="4611"/>
        <v>0</v>
      </c>
      <c r="CR112" s="206">
        <f t="shared" ca="1" si="4612"/>
        <v>0</v>
      </c>
      <c r="CS112" s="207">
        <f t="shared" ca="1" si="4418"/>
        <v>0</v>
      </c>
      <c r="CT112" s="391">
        <f>CF112+CP112</f>
        <v>0</v>
      </c>
      <c r="CU112" s="391">
        <f t="shared" ca="1" si="2881"/>
        <v>0</v>
      </c>
      <c r="CV112" s="391">
        <f t="shared" ca="1" si="4613"/>
        <v>0</v>
      </c>
      <c r="CW112" s="394">
        <f t="shared" ca="1" si="4463"/>
        <v>0</v>
      </c>
      <c r="CX112" s="211" t="str">
        <f t="shared" ca="1" si="3168"/>
        <v/>
      </c>
      <c r="CY112" s="197"/>
      <c r="CZ112" s="312" t="str">
        <f t="shared" ca="1" si="4529"/>
        <v/>
      </c>
      <c r="DA112" s="395"/>
      <c r="DB112" s="199">
        <f t="shared" ca="1" si="4614"/>
        <v>0</v>
      </c>
      <c r="DC112" s="199">
        <f t="shared" ca="1" si="4615"/>
        <v>0</v>
      </c>
      <c r="DD112" s="216">
        <f t="shared" ca="1" si="2886"/>
        <v>0</v>
      </c>
      <c r="DE112" s="202">
        <f t="shared" ca="1" si="4616"/>
        <v>0</v>
      </c>
      <c r="DF112" s="203">
        <f t="shared" ca="1" si="4617"/>
        <v>0</v>
      </c>
      <c r="DG112" s="203">
        <f t="shared" ca="1" si="4618"/>
        <v>0</v>
      </c>
      <c r="DH112" s="204">
        <f ca="1">IF(CY$6&lt;&gt;"",$O112,$N112)-DD112</f>
        <v>0</v>
      </c>
      <c r="DI112" s="205"/>
      <c r="DJ112" s="206">
        <f t="shared" ca="1" si="4619"/>
        <v>0</v>
      </c>
      <c r="DK112" s="206">
        <f t="shared" ca="1" si="4620"/>
        <v>0</v>
      </c>
      <c r="DL112" s="207">
        <f t="shared" ca="1" si="2892"/>
        <v>0</v>
      </c>
      <c r="DM112" s="391">
        <f>CY112+DI112</f>
        <v>0</v>
      </c>
      <c r="DN112" s="391">
        <f t="shared" ca="1" si="2894"/>
        <v>0</v>
      </c>
      <c r="DO112" s="391">
        <f t="shared" ca="1" si="4540"/>
        <v>0</v>
      </c>
      <c r="DP112" s="394">
        <f t="shared" ca="1" si="3170"/>
        <v>0</v>
      </c>
      <c r="DQ112" s="209" t="str">
        <f t="shared" ca="1" si="3171"/>
        <v/>
      </c>
      <c r="DR112" s="197"/>
      <c r="DS112" s="312" t="str">
        <f t="shared" ca="1" si="4542"/>
        <v/>
      </c>
      <c r="DT112" s="395"/>
      <c r="DU112" s="199">
        <f t="shared" ca="1" si="4543"/>
        <v>0</v>
      </c>
      <c r="DV112" s="199">
        <f t="shared" ca="1" si="4544"/>
        <v>0</v>
      </c>
      <c r="DW112" s="216">
        <f t="shared" ca="1" si="3627"/>
        <v>0</v>
      </c>
      <c r="DX112" s="202">
        <f t="shared" ca="1" si="4545"/>
        <v>0</v>
      </c>
      <c r="DY112" s="203">
        <f t="shared" ca="1" si="4546"/>
        <v>0</v>
      </c>
      <c r="DZ112" s="203">
        <f t="shared" ca="1" si="4547"/>
        <v>0</v>
      </c>
      <c r="EA112" s="204">
        <f ca="1">IF(DR$6&lt;&gt;"",$O112,$N112)-DW112</f>
        <v>0</v>
      </c>
      <c r="EB112" s="205"/>
      <c r="EC112" s="206">
        <f t="shared" ca="1" si="4548"/>
        <v>0</v>
      </c>
      <c r="ED112" s="206">
        <f t="shared" ca="1" si="4549"/>
        <v>0</v>
      </c>
      <c r="EE112" s="207">
        <f t="shared" ca="1" si="3633"/>
        <v>0</v>
      </c>
      <c r="EF112" s="391">
        <f>DR112+EB112</f>
        <v>0</v>
      </c>
      <c r="EG112" s="391">
        <f t="shared" ca="1" si="4551"/>
        <v>0</v>
      </c>
      <c r="EH112" s="391">
        <f t="shared" ca="1" si="4552"/>
        <v>0</v>
      </c>
      <c r="EI112" s="394">
        <f t="shared" ca="1" si="3636"/>
        <v>0</v>
      </c>
      <c r="EJ112" s="214"/>
      <c r="EK112" s="312" t="str">
        <f t="shared" ca="1" si="4553"/>
        <v/>
      </c>
      <c r="EL112" s="222"/>
      <c r="EM112" s="199">
        <f t="shared" ca="1" si="4621"/>
        <v>0</v>
      </c>
      <c r="EN112" s="199">
        <f t="shared" ca="1" si="4622"/>
        <v>0</v>
      </c>
      <c r="EO112" s="216">
        <f t="shared" ref="EO112:EO141" ca="1" si="4649">IFERROR(EN112/EJ$4,0)</f>
        <v>0</v>
      </c>
      <c r="EP112" s="202">
        <f t="shared" ca="1" si="4623"/>
        <v>0</v>
      </c>
      <c r="EQ112" s="203">
        <f t="shared" ca="1" si="4624"/>
        <v>0</v>
      </c>
      <c r="ER112" s="203">
        <f t="shared" ca="1" si="4625"/>
        <v>0</v>
      </c>
      <c r="ES112" s="204">
        <f ca="1">IF(EJ$6&lt;&gt;"",$O112,$N112)-EO112</f>
        <v>0</v>
      </c>
      <c r="ET112" s="205"/>
      <c r="EU112" s="206">
        <f t="shared" ca="1" si="4626"/>
        <v>0</v>
      </c>
      <c r="EV112" s="206">
        <f t="shared" ca="1" si="4627"/>
        <v>0</v>
      </c>
      <c r="EW112" s="207">
        <f t="shared" ref="EW112:EW141" ca="1" si="4650">IFERROR(EV112/EJ$4,0)</f>
        <v>0</v>
      </c>
      <c r="EX112" s="391">
        <f t="shared" ref="EX112:EX117" si="4651">EJ112+ET112</f>
        <v>0</v>
      </c>
      <c r="EY112" s="391">
        <f t="shared" ca="1" si="2919"/>
        <v>0</v>
      </c>
      <c r="EZ112" s="391">
        <f t="shared" ca="1" si="4628"/>
        <v>0</v>
      </c>
      <c r="FA112" s="394">
        <f t="shared" ref="FA112:FA115" ca="1" si="4652">IFERROR(EZ112/EJ$4,0)</f>
        <v>0</v>
      </c>
      <c r="FB112" s="212" t="str">
        <f t="shared" ca="1" si="3172"/>
        <v/>
      </c>
      <c r="FC112" s="214"/>
      <c r="FD112" s="312" t="str">
        <f t="shared" ca="1" si="4566"/>
        <v/>
      </c>
      <c r="FE112" s="215"/>
      <c r="FF112" s="199">
        <f t="shared" ca="1" si="4629"/>
        <v>0</v>
      </c>
      <c r="FG112" s="199">
        <f t="shared" ca="1" si="4630"/>
        <v>0</v>
      </c>
      <c r="FH112" s="216">
        <f t="shared" ref="FH112:FH141" ca="1" si="4653">IFERROR(FG112/FC$4,0)</f>
        <v>0</v>
      </c>
      <c r="FI112" s="202">
        <f t="shared" ca="1" si="4631"/>
        <v>0</v>
      </c>
      <c r="FJ112" s="203">
        <f t="shared" ca="1" si="4632"/>
        <v>0</v>
      </c>
      <c r="FK112" s="203">
        <f t="shared" ca="1" si="4633"/>
        <v>0</v>
      </c>
      <c r="FL112" s="204">
        <f ca="1">IF(FC$6&lt;&gt;"",$O112,$N112)-FH112</f>
        <v>0</v>
      </c>
      <c r="FM112" s="205"/>
      <c r="FN112" s="206">
        <f t="shared" ca="1" si="4634"/>
        <v>0</v>
      </c>
      <c r="FO112" s="206">
        <f t="shared" ca="1" si="4635"/>
        <v>0</v>
      </c>
      <c r="FP112" s="207">
        <f t="shared" ref="FP112:FP141" ca="1" si="4654">IFERROR(FO112/FC$4,0)</f>
        <v>0</v>
      </c>
      <c r="FQ112" s="391">
        <f>FC112+FM112</f>
        <v>0</v>
      </c>
      <c r="FR112" s="391">
        <f t="shared" ca="1" si="2930"/>
        <v>0</v>
      </c>
      <c r="FS112" s="391">
        <f t="shared" ca="1" si="4636"/>
        <v>0</v>
      </c>
      <c r="FT112" s="394">
        <f t="shared" ref="FT112:FT115" ca="1" si="4655">IFERROR(FS112/FC$4,0)</f>
        <v>0</v>
      </c>
      <c r="FU112" s="209" t="str">
        <f t="shared" ca="1" si="3173"/>
        <v/>
      </c>
    </row>
    <row r="113" spans="1:177" outlineLevel="2" x14ac:dyDescent="0.2">
      <c r="A113" s="366"/>
      <c r="B113" s="366"/>
      <c r="C113" s="367" t="str">
        <f t="shared" ca="1" si="4471"/>
        <v>LU1711971983:EUR</v>
      </c>
      <c r="D113" s="368" t="str">
        <f t="shared" ca="1" si="4471"/>
        <v>LU1711971983</v>
      </c>
      <c r="E113" s="369" t="str">
        <f t="shared" ca="1" si="4471"/>
        <v>38956329</v>
      </c>
      <c r="F113" s="367" t="s">
        <v>761</v>
      </c>
      <c r="G113" s="414"/>
      <c r="H113" s="1713" t="str">
        <f ca="1">IF(OFFSET(Origine,MATCH($F113,Descrizioni,0),MATCH(H$15,Intestazioni,0)-1,1,1)&lt;&gt;"",HYPERLINK(OFFSET(Origine,MATCH($F113,Descrizioni,0),MATCH(H$15,Intestazioni,0)-1,1,1),""),"")</f>
        <v></v>
      </c>
      <c r="I113" s="1683" t="str">
        <f ca="1">IF(OFFSET(Origine,MATCH($F113,Descrizioni,0),MATCH(I$15,Intestazioni,0)-1,1,1)&lt;&gt;"",HYPERLINK(OFFSET(Origine,MATCH($F113,Descrizioni,0),MATCH(I$15,Intestazioni,0)-1,1,1),"i"),"")</f>
        <v>i</v>
      </c>
      <c r="J113" s="1713" t="str">
        <f t="shared" ca="1" si="4472"/>
        <v></v>
      </c>
      <c r="K113" s="1716" t="str">
        <f t="shared" ca="1" si="4472"/>
        <v></v>
      </c>
      <c r="L113" s="1717" t="str">
        <f ca="1">IF(OFFSET(Origine,MATCH($F113,Descrizioni,0),MATCH(L$15,Intestazioni,0)-1,1,1)&lt;&gt;"",HYPERLINK("https://www.zonebourse.com/mods_a/charts/TV/inc_dyna_graph.php?c="&amp;OFFSET(Origine,MATCH($F113,Descrizioni,0),MATCH(L$15,Intestazioni,0)-1,1,1)&amp;"&amp;style=TradingView.CANDLES&amp;showAT=1",""),"")</f>
        <v></v>
      </c>
      <c r="M113" s="366" t="str">
        <f ca="1">(OFFSET(Origine,MATCH($F113,Descrizioni,0),MATCH(M$15,Intestazioni,0)-1,1,1))</f>
        <v>Unit</v>
      </c>
      <c r="N113" s="417"/>
      <c r="O113" s="417"/>
      <c r="P113" s="418">
        <f t="shared" ca="1" si="4637"/>
        <v>0</v>
      </c>
      <c r="Q113" s="391">
        <f t="array" aca="1" ref="Q113" ca="1">SUM(IF($AA$15:$FT$15="I_pos",AA113:FT113))</f>
        <v>0</v>
      </c>
      <c r="R113" s="391">
        <f t="array" aca="1" ref="R113" ca="1">SUM(IF($AA$15:$FT$15="P_Pos",AA113:FT113))</f>
        <v>0</v>
      </c>
      <c r="S113" s="367"/>
      <c r="T113" s="391"/>
      <c r="U113" s="375">
        <f ca="1">OFFSET(Origine,MATCH($F113,Descrizioni,0),MATCH(U$15,Intestazioni,0)-1,1,1)</f>
        <v>5.1107325383305362E-3</v>
      </c>
      <c r="V113" s="391">
        <f t="array" aca="1" ref="V113" ca="1">SUM(IF($AA$15:$FT$15="O_Pos",AA113:FT113))</f>
        <v>0</v>
      </c>
      <c r="W113" s="367" t="str">
        <f t="shared" ref="W113" ca="1" si="4656">OFFSET(Origine,MATCH($F113,Descrizioni,0),MATCH(W$15,Intestazioni,0)-1,1,1)</f>
        <v>EUR</v>
      </c>
      <c r="X113" s="392">
        <f t="shared" ref="X113" ca="1" si="4657">_xlfn.NUMBERVALUE(OFFSET(Origine,MATCH($F113,Descrizioni,0),MATCH(X$15,Intestazioni,0)-1,1,1))</f>
        <v>23.6</v>
      </c>
      <c r="Y113" s="393">
        <f ca="1">_xlfn.NUMBERVALUE(OFFSET(Origine,MATCH($F113,Descrizioni,0),MATCH(Y$15,Intestazioni,0)-1,1,1))</f>
        <v>0</v>
      </c>
      <c r="Z113" s="378">
        <f ca="1">_xlfn.NUMBERVALUE(OFFSET(Origine,MATCH(W113&amp;"/"&amp;MRif,LUKB_Name,0),MATCH("Price",Intestazioni,0)-1,1,1))</f>
        <v>0.90754999999999997</v>
      </c>
      <c r="AA113" s="214"/>
      <c r="AB113" s="312" t="str">
        <f t="shared" ca="1" si="4473"/>
        <v/>
      </c>
      <c r="AC113" s="215"/>
      <c r="AD113" s="199">
        <f t="shared" ca="1" si="4582"/>
        <v>0</v>
      </c>
      <c r="AE113" s="199">
        <f t="shared" ca="1" si="4583"/>
        <v>0</v>
      </c>
      <c r="AF113" s="216">
        <f t="shared" ca="1" si="4640"/>
        <v>0</v>
      </c>
      <c r="AG113" s="202">
        <f t="shared" ca="1" si="4584"/>
        <v>0</v>
      </c>
      <c r="AH113" s="203">
        <f t="shared" ca="1" si="4585"/>
        <v>0</v>
      </c>
      <c r="AI113" s="203">
        <f t="shared" ca="1" si="4586"/>
        <v>0</v>
      </c>
      <c r="AJ113" s="204">
        <f ca="1">IF(AA$6&lt;&gt;"",$O113,$N113)-AF113</f>
        <v>0</v>
      </c>
      <c r="AK113" s="205"/>
      <c r="AL113" s="206">
        <f t="shared" ca="1" si="4587"/>
        <v>0</v>
      </c>
      <c r="AM113" s="206">
        <f t="shared" ca="1" si="4588"/>
        <v>0</v>
      </c>
      <c r="AN113" s="207">
        <f t="shared" ca="1" si="4641"/>
        <v>0</v>
      </c>
      <c r="AO113" s="391">
        <f>AA113+AK113</f>
        <v>0</v>
      </c>
      <c r="AP113" s="391">
        <f t="shared" ca="1" si="2846"/>
        <v>0</v>
      </c>
      <c r="AQ113" s="391">
        <f t="shared" ca="1" si="4589"/>
        <v>0</v>
      </c>
      <c r="AR113" s="394">
        <f t="shared" ca="1" si="4642"/>
        <v>0</v>
      </c>
      <c r="AS113" s="209" t="str">
        <f t="shared" ca="1" si="3165"/>
        <v/>
      </c>
      <c r="AT113" s="214"/>
      <c r="AU113" s="312" t="str">
        <f t="shared" ca="1" si="4487"/>
        <v/>
      </c>
      <c r="AV113" s="215"/>
      <c r="AW113" s="199">
        <f t="shared" ca="1" si="4590"/>
        <v>0</v>
      </c>
      <c r="AX113" s="199">
        <f t="shared" ca="1" si="4591"/>
        <v>0</v>
      </c>
      <c r="AY113" s="216">
        <f t="shared" ca="1" si="4643"/>
        <v>0</v>
      </c>
      <c r="AZ113" s="202">
        <f t="shared" ca="1" si="4592"/>
        <v>0</v>
      </c>
      <c r="BA113" s="203">
        <f t="shared" ca="1" si="4593"/>
        <v>0</v>
      </c>
      <c r="BB113" s="203">
        <f t="shared" ca="1" si="4594"/>
        <v>0</v>
      </c>
      <c r="BC113" s="204">
        <f ca="1">IF(AT$6&lt;&gt;"",$O113,$N113)-AY113</f>
        <v>0</v>
      </c>
      <c r="BD113" s="205"/>
      <c r="BE113" s="206">
        <f t="shared" ca="1" si="4595"/>
        <v>0</v>
      </c>
      <c r="BF113" s="206">
        <f t="shared" ca="1" si="4596"/>
        <v>0</v>
      </c>
      <c r="BG113" s="207">
        <f t="shared" ca="1" si="4644"/>
        <v>0</v>
      </c>
      <c r="BH113" s="391">
        <f>AT113+BD113</f>
        <v>0</v>
      </c>
      <c r="BI113" s="391">
        <f t="shared" ca="1" si="2857"/>
        <v>0</v>
      </c>
      <c r="BJ113" s="391">
        <f t="shared" ca="1" si="4597"/>
        <v>0</v>
      </c>
      <c r="BK113" s="394">
        <f t="shared" ca="1" si="4645"/>
        <v>0</v>
      </c>
      <c r="BL113" s="211" t="str">
        <f t="shared" ca="1" si="3166"/>
        <v/>
      </c>
      <c r="BM113" s="214"/>
      <c r="BN113" s="312" t="str">
        <f t="shared" ca="1" si="4501"/>
        <v/>
      </c>
      <c r="BO113" s="215"/>
      <c r="BP113" s="199">
        <f t="shared" ca="1" si="4598"/>
        <v>0</v>
      </c>
      <c r="BQ113" s="199">
        <f t="shared" ca="1" si="4599"/>
        <v>0</v>
      </c>
      <c r="BR113" s="216">
        <f t="shared" ca="1" si="4646"/>
        <v>0</v>
      </c>
      <c r="BS113" s="202">
        <f t="shared" ca="1" si="4600"/>
        <v>0</v>
      </c>
      <c r="BT113" s="203">
        <f t="shared" ca="1" si="4601"/>
        <v>0</v>
      </c>
      <c r="BU113" s="203">
        <f t="shared" ca="1" si="4602"/>
        <v>0</v>
      </c>
      <c r="BV113" s="204">
        <f ca="1">IF(BM$6&lt;&gt;"",$O113,$N113)-BR113</f>
        <v>0</v>
      </c>
      <c r="BW113" s="205"/>
      <c r="BX113" s="206">
        <f t="shared" ca="1" si="4603"/>
        <v>0</v>
      </c>
      <c r="BY113" s="206">
        <f t="shared" ca="1" si="4604"/>
        <v>0</v>
      </c>
      <c r="BZ113" s="207">
        <f t="shared" ca="1" si="4647"/>
        <v>0</v>
      </c>
      <c r="CA113" s="391">
        <f>BM113+BW113</f>
        <v>0</v>
      </c>
      <c r="CB113" s="391">
        <f t="shared" ca="1" si="2870"/>
        <v>0</v>
      </c>
      <c r="CC113" s="391">
        <f t="shared" ca="1" si="4605"/>
        <v>0</v>
      </c>
      <c r="CD113" s="394">
        <f t="shared" ca="1" si="4648"/>
        <v>0</v>
      </c>
      <c r="CE113" s="212" t="str">
        <f t="shared" ca="1" si="3167"/>
        <v/>
      </c>
      <c r="CF113" s="214"/>
      <c r="CG113" s="312" t="str">
        <f t="shared" ca="1" si="4515"/>
        <v/>
      </c>
      <c r="CH113" s="215"/>
      <c r="CI113" s="199">
        <f t="shared" ca="1" si="4606"/>
        <v>0</v>
      </c>
      <c r="CJ113" s="199">
        <f t="shared" ca="1" si="4607"/>
        <v>0</v>
      </c>
      <c r="CK113" s="216">
        <f t="shared" ca="1" si="4412"/>
        <v>0</v>
      </c>
      <c r="CL113" s="202">
        <f t="shared" ca="1" si="4608"/>
        <v>0</v>
      </c>
      <c r="CM113" s="203">
        <f t="shared" ca="1" si="4609"/>
        <v>0</v>
      </c>
      <c r="CN113" s="203">
        <f t="shared" ca="1" si="4610"/>
        <v>0</v>
      </c>
      <c r="CO113" s="204">
        <f ca="1">IF(CF$6&lt;&gt;"",$O113,$N113)-CK113</f>
        <v>0</v>
      </c>
      <c r="CP113" s="205"/>
      <c r="CQ113" s="206">
        <f t="shared" ca="1" si="4611"/>
        <v>0</v>
      </c>
      <c r="CR113" s="206">
        <f t="shared" ca="1" si="4612"/>
        <v>0</v>
      </c>
      <c r="CS113" s="207">
        <f t="shared" ca="1" si="4418"/>
        <v>0</v>
      </c>
      <c r="CT113" s="391">
        <f>CF113+CP113</f>
        <v>0</v>
      </c>
      <c r="CU113" s="391">
        <f t="shared" ca="1" si="2881"/>
        <v>0</v>
      </c>
      <c r="CV113" s="391">
        <f t="shared" ca="1" si="4613"/>
        <v>0</v>
      </c>
      <c r="CW113" s="394">
        <f t="shared" ca="1" si="4463"/>
        <v>0</v>
      </c>
      <c r="CX113" s="211" t="str">
        <f t="shared" ca="1" si="3168"/>
        <v/>
      </c>
      <c r="CY113" s="197"/>
      <c r="CZ113" s="312" t="str">
        <f t="shared" ca="1" si="4529"/>
        <v/>
      </c>
      <c r="DA113" s="395"/>
      <c r="DB113" s="199">
        <f t="shared" ca="1" si="4614"/>
        <v>0</v>
      </c>
      <c r="DC113" s="199">
        <f t="shared" ca="1" si="4615"/>
        <v>0</v>
      </c>
      <c r="DD113" s="216">
        <f t="shared" ca="1" si="2886"/>
        <v>0</v>
      </c>
      <c r="DE113" s="202">
        <f t="shared" ca="1" si="4616"/>
        <v>0</v>
      </c>
      <c r="DF113" s="203">
        <f t="shared" ca="1" si="4617"/>
        <v>0</v>
      </c>
      <c r="DG113" s="203">
        <f t="shared" ca="1" si="4618"/>
        <v>0</v>
      </c>
      <c r="DH113" s="204">
        <f ca="1">IF(CY$6&lt;&gt;"",$O113,$N113)-DD113</f>
        <v>0</v>
      </c>
      <c r="DI113" s="205"/>
      <c r="DJ113" s="206">
        <f t="shared" ca="1" si="4619"/>
        <v>0</v>
      </c>
      <c r="DK113" s="206">
        <f t="shared" ca="1" si="4620"/>
        <v>0</v>
      </c>
      <c r="DL113" s="207">
        <f t="shared" ca="1" si="2892"/>
        <v>0</v>
      </c>
      <c r="DM113" s="391">
        <f>CY113+DI113</f>
        <v>0</v>
      </c>
      <c r="DN113" s="391">
        <f t="shared" ca="1" si="2894"/>
        <v>0</v>
      </c>
      <c r="DO113" s="391">
        <f t="shared" ca="1" si="4540"/>
        <v>0</v>
      </c>
      <c r="DP113" s="394">
        <f t="shared" ca="1" si="3170"/>
        <v>0</v>
      </c>
      <c r="DQ113" s="209" t="str">
        <f t="shared" ca="1" si="3171"/>
        <v/>
      </c>
      <c r="DR113" s="197"/>
      <c r="DS113" s="312" t="str">
        <f t="shared" ca="1" si="4542"/>
        <v/>
      </c>
      <c r="DT113" s="395"/>
      <c r="DU113" s="199">
        <f t="shared" ca="1" si="4543"/>
        <v>0</v>
      </c>
      <c r="DV113" s="199">
        <f t="shared" ca="1" si="4544"/>
        <v>0</v>
      </c>
      <c r="DW113" s="216">
        <f t="shared" ca="1" si="3627"/>
        <v>0</v>
      </c>
      <c r="DX113" s="202">
        <f t="shared" ca="1" si="4545"/>
        <v>0</v>
      </c>
      <c r="DY113" s="203">
        <f t="shared" ca="1" si="4546"/>
        <v>0</v>
      </c>
      <c r="DZ113" s="203">
        <f t="shared" ca="1" si="4547"/>
        <v>0</v>
      </c>
      <c r="EA113" s="204">
        <f ca="1">IF(DR$6&lt;&gt;"",$O113,$N113)-DW113</f>
        <v>0</v>
      </c>
      <c r="EB113" s="205"/>
      <c r="EC113" s="206">
        <f t="shared" ca="1" si="4548"/>
        <v>0</v>
      </c>
      <c r="ED113" s="206">
        <f t="shared" ca="1" si="4549"/>
        <v>0</v>
      </c>
      <c r="EE113" s="207">
        <f t="shared" ca="1" si="3633"/>
        <v>0</v>
      </c>
      <c r="EF113" s="391">
        <f>DR113+EB113</f>
        <v>0</v>
      </c>
      <c r="EG113" s="391">
        <f t="shared" ca="1" si="4551"/>
        <v>0</v>
      </c>
      <c r="EH113" s="391">
        <f t="shared" ca="1" si="4552"/>
        <v>0</v>
      </c>
      <c r="EI113" s="394">
        <f t="shared" ca="1" si="3636"/>
        <v>0</v>
      </c>
      <c r="EJ113" s="214"/>
      <c r="EK113" s="312" t="str">
        <f t="shared" ca="1" si="4553"/>
        <v/>
      </c>
      <c r="EL113" s="222"/>
      <c r="EM113" s="199">
        <f t="shared" ca="1" si="4621"/>
        <v>0</v>
      </c>
      <c r="EN113" s="199">
        <f t="shared" ca="1" si="4622"/>
        <v>0</v>
      </c>
      <c r="EO113" s="216">
        <f t="shared" ca="1" si="4649"/>
        <v>0</v>
      </c>
      <c r="EP113" s="202">
        <f t="shared" ca="1" si="4623"/>
        <v>0</v>
      </c>
      <c r="EQ113" s="203">
        <f t="shared" ca="1" si="4624"/>
        <v>0</v>
      </c>
      <c r="ER113" s="203">
        <f t="shared" ca="1" si="4625"/>
        <v>0</v>
      </c>
      <c r="ES113" s="204">
        <f ca="1">IF(EJ$6&lt;&gt;"",$O113,$N113)-EO113</f>
        <v>0</v>
      </c>
      <c r="ET113" s="205"/>
      <c r="EU113" s="206">
        <f t="shared" ca="1" si="4626"/>
        <v>0</v>
      </c>
      <c r="EV113" s="206">
        <f t="shared" ca="1" si="4627"/>
        <v>0</v>
      </c>
      <c r="EW113" s="207">
        <f t="shared" ca="1" si="4650"/>
        <v>0</v>
      </c>
      <c r="EX113" s="391">
        <f t="shared" si="4651"/>
        <v>0</v>
      </c>
      <c r="EY113" s="391">
        <f t="shared" ca="1" si="2919"/>
        <v>0</v>
      </c>
      <c r="EZ113" s="391">
        <f t="shared" ca="1" si="4628"/>
        <v>0</v>
      </c>
      <c r="FA113" s="394">
        <f t="shared" ca="1" si="4652"/>
        <v>0</v>
      </c>
      <c r="FB113" s="212" t="str">
        <f t="shared" ca="1" si="3172"/>
        <v/>
      </c>
      <c r="FC113" s="214"/>
      <c r="FD113" s="312" t="str">
        <f t="shared" ca="1" si="4566"/>
        <v/>
      </c>
      <c r="FE113" s="215"/>
      <c r="FF113" s="199">
        <f t="shared" ca="1" si="4629"/>
        <v>0</v>
      </c>
      <c r="FG113" s="199">
        <f t="shared" ca="1" si="4630"/>
        <v>0</v>
      </c>
      <c r="FH113" s="216">
        <f t="shared" ca="1" si="4653"/>
        <v>0</v>
      </c>
      <c r="FI113" s="202">
        <f t="shared" ca="1" si="4631"/>
        <v>0</v>
      </c>
      <c r="FJ113" s="203">
        <f t="shared" ca="1" si="4632"/>
        <v>0</v>
      </c>
      <c r="FK113" s="203">
        <f t="shared" ca="1" si="4633"/>
        <v>0</v>
      </c>
      <c r="FL113" s="204">
        <f ca="1">IF(FC$6&lt;&gt;"",$O113,$N113)-FH113</f>
        <v>0</v>
      </c>
      <c r="FM113" s="205"/>
      <c r="FN113" s="206">
        <f t="shared" ca="1" si="4634"/>
        <v>0</v>
      </c>
      <c r="FO113" s="206">
        <f t="shared" ca="1" si="4635"/>
        <v>0</v>
      </c>
      <c r="FP113" s="207">
        <f t="shared" ca="1" si="4654"/>
        <v>0</v>
      </c>
      <c r="FQ113" s="391">
        <f>FC113+FM113</f>
        <v>0</v>
      </c>
      <c r="FR113" s="391">
        <f t="shared" ca="1" si="2930"/>
        <v>0</v>
      </c>
      <c r="FS113" s="391">
        <f t="shared" ca="1" si="4636"/>
        <v>0</v>
      </c>
      <c r="FT113" s="394">
        <f t="shared" ca="1" si="4655"/>
        <v>0</v>
      </c>
      <c r="FU113" s="209" t="str">
        <f t="shared" ca="1" si="3173"/>
        <v/>
      </c>
    </row>
    <row r="114" spans="1:177" outlineLevel="1" x14ac:dyDescent="0.2">
      <c r="A114" s="345"/>
      <c r="B114" s="345" t="s">
        <v>762</v>
      </c>
      <c r="C114" s="346"/>
      <c r="D114" s="347"/>
      <c r="E114" s="348"/>
      <c r="F114" s="346"/>
      <c r="G114" s="349"/>
      <c r="H114" s="1682"/>
      <c r="I114" s="1682"/>
      <c r="J114" s="1712"/>
      <c r="K114" s="1682"/>
      <c r="L114" s="1682"/>
      <c r="M114" s="345"/>
      <c r="N114" s="350">
        <f>SUM(N115:N117)</f>
        <v>1.4999999999999999E-2</v>
      </c>
      <c r="O114" s="350">
        <f>SUM(O115:O117)</f>
        <v>0</v>
      </c>
      <c r="P114" s="351">
        <f t="shared" ca="1" si="4637"/>
        <v>0</v>
      </c>
      <c r="Q114" s="421"/>
      <c r="R114" s="421"/>
      <c r="S114" s="346"/>
      <c r="T114" s="421"/>
      <c r="U114" s="353"/>
      <c r="V114" s="422"/>
      <c r="W114" s="354"/>
      <c r="X114" s="355"/>
      <c r="Y114" s="355"/>
      <c r="Z114" s="356"/>
      <c r="AA114" s="357"/>
      <c r="AB114" s="358"/>
      <c r="AC114" s="358"/>
      <c r="AD114" s="359"/>
      <c r="AE114" s="360">
        <f ca="1">SUM(AE$115:AE$117)</f>
        <v>0</v>
      </c>
      <c r="AF114" s="361">
        <f t="shared" ca="1" si="4640"/>
        <v>0</v>
      </c>
      <c r="AG114" s="362"/>
      <c r="AH114" s="359"/>
      <c r="AI114" s="360">
        <f ca="1">SUM(AI$115:AI$117)</f>
        <v>8422.4402387247392</v>
      </c>
      <c r="AJ114" s="363">
        <f ca="1">IFERROR(AI114/AA$4,0)</f>
        <v>1.4999999999999999E-2</v>
      </c>
      <c r="AK114" s="362"/>
      <c r="AL114" s="359"/>
      <c r="AM114" s="360">
        <f ca="1">SUM(AM$115:AM$117)</f>
        <v>0</v>
      </c>
      <c r="AN114" s="363">
        <f t="shared" ca="1" si="4641"/>
        <v>0</v>
      </c>
      <c r="AO114" s="359"/>
      <c r="AP114" s="359"/>
      <c r="AQ114" s="360">
        <f ca="1">SUM(AQ$115:AQ$117)</f>
        <v>0</v>
      </c>
      <c r="AR114" s="361">
        <f t="shared" ca="1" si="4642"/>
        <v>0</v>
      </c>
      <c r="AS114" s="364" t="str">
        <f t="shared" ca="1" si="3165"/>
        <v/>
      </c>
      <c r="AT114" s="357"/>
      <c r="AU114" s="358"/>
      <c r="AV114" s="358"/>
      <c r="AW114" s="359"/>
      <c r="AX114" s="360">
        <f ca="1">SUM(AX$115:AX$117)</f>
        <v>0</v>
      </c>
      <c r="AY114" s="361">
        <f t="shared" ca="1" si="4643"/>
        <v>0</v>
      </c>
      <c r="AZ114" s="362"/>
      <c r="BA114" s="359"/>
      <c r="BB114" s="360">
        <f ca="1">SUM(BB$115:BB$117)</f>
        <v>25977.630478825875</v>
      </c>
      <c r="BC114" s="363">
        <f ca="1">IFERROR(BB114/AT$4,0)</f>
        <v>1.4999999999999999E-2</v>
      </c>
      <c r="BD114" s="362"/>
      <c r="BE114" s="359"/>
      <c r="BF114" s="360">
        <f ca="1">SUM(BF$115:BF$117)</f>
        <v>0</v>
      </c>
      <c r="BG114" s="363">
        <f t="shared" ca="1" si="4644"/>
        <v>0</v>
      </c>
      <c r="BH114" s="359"/>
      <c r="BI114" s="359"/>
      <c r="BJ114" s="360">
        <f ca="1">SUM(BJ$115:BJ$117)</f>
        <v>0</v>
      </c>
      <c r="BK114" s="361">
        <f t="shared" ca="1" si="4645"/>
        <v>0</v>
      </c>
      <c r="BL114" s="295" t="str">
        <f t="shared" ca="1" si="3166"/>
        <v/>
      </c>
      <c r="BM114" s="357"/>
      <c r="BN114" s="358"/>
      <c r="BO114" s="358"/>
      <c r="BP114" s="359"/>
      <c r="BQ114" s="360">
        <f ca="1">SUM(BQ$115:BQ$117)</f>
        <v>0</v>
      </c>
      <c r="BR114" s="361">
        <f t="shared" ca="1" si="4646"/>
        <v>0</v>
      </c>
      <c r="BS114" s="362"/>
      <c r="BT114" s="359"/>
      <c r="BU114" s="360">
        <f ca="1">SUM(BU$115:BU$117)</f>
        <v>4274.5836448795962</v>
      </c>
      <c r="BV114" s="363">
        <f ca="1">IFERROR(BU114/BM$4,0)</f>
        <v>1.4999999999999998E-2</v>
      </c>
      <c r="BW114" s="362"/>
      <c r="BX114" s="359"/>
      <c r="BY114" s="360">
        <f ca="1">SUM(BY$115:BY$117)</f>
        <v>0</v>
      </c>
      <c r="BZ114" s="363">
        <f t="shared" ca="1" si="4647"/>
        <v>0</v>
      </c>
      <c r="CA114" s="359"/>
      <c r="CB114" s="359"/>
      <c r="CC114" s="360">
        <f ca="1">SUM(CC$115:CC$117)</f>
        <v>0</v>
      </c>
      <c r="CD114" s="361">
        <f t="shared" ca="1" si="4648"/>
        <v>0</v>
      </c>
      <c r="CE114" s="295" t="str">
        <f t="shared" ca="1" si="3167"/>
        <v/>
      </c>
      <c r="CF114" s="357"/>
      <c r="CG114" s="358"/>
      <c r="CH114" s="358"/>
      <c r="CI114" s="359"/>
      <c r="CJ114" s="360">
        <f ca="1">SUM(CJ$115:CJ$117)</f>
        <v>0</v>
      </c>
      <c r="CK114" s="361">
        <f t="shared" ca="1" si="4412"/>
        <v>0</v>
      </c>
      <c r="CL114" s="362"/>
      <c r="CM114" s="359"/>
      <c r="CN114" s="360">
        <f ca="1">SUM(CN$115:CN$117)</f>
        <v>13274.393569138609</v>
      </c>
      <c r="CO114" s="363">
        <f ca="1">IFERROR(CN114/CF$4,0)</f>
        <v>1.5000000000000001E-2</v>
      </c>
      <c r="CP114" s="362"/>
      <c r="CQ114" s="359"/>
      <c r="CR114" s="360">
        <f ca="1">SUM(CR$115:CR$117)</f>
        <v>0</v>
      </c>
      <c r="CS114" s="363">
        <f t="shared" ca="1" si="4418"/>
        <v>0</v>
      </c>
      <c r="CT114" s="359"/>
      <c r="CU114" s="359"/>
      <c r="CV114" s="360">
        <f ca="1">SUM(CV$115:CV$117)</f>
        <v>0</v>
      </c>
      <c r="CW114" s="361">
        <f t="shared" ca="1" si="4463"/>
        <v>0</v>
      </c>
      <c r="CX114" s="295" t="str">
        <f t="shared" ca="1" si="3168"/>
        <v/>
      </c>
      <c r="CY114" s="357"/>
      <c r="CZ114" s="358"/>
      <c r="DA114" s="359"/>
      <c r="DB114" s="360"/>
      <c r="DC114" s="360">
        <f ca="1">SUM(DC$115:DC$117)</f>
        <v>0</v>
      </c>
      <c r="DD114" s="361">
        <f t="shared" ca="1" si="2886"/>
        <v>0</v>
      </c>
      <c r="DE114" s="362"/>
      <c r="DF114" s="359"/>
      <c r="DG114" s="360">
        <f ca="1">SUM(DG$115:DG$117)</f>
        <v>53781.286625938992</v>
      </c>
      <c r="DH114" s="363">
        <f ca="1">IFERROR(DG114/CY$4,0)</f>
        <v>1.4999999999999998E-2</v>
      </c>
      <c r="DI114" s="362"/>
      <c r="DJ114" s="359"/>
      <c r="DK114" s="360">
        <f ca="1">SUM(DK$115:DK$117)</f>
        <v>0</v>
      </c>
      <c r="DL114" s="363">
        <f t="shared" ca="1" si="2892"/>
        <v>0</v>
      </c>
      <c r="DM114" s="359"/>
      <c r="DN114" s="359"/>
      <c r="DO114" s="360">
        <f ca="1">SUM(DO$115:DO$117)</f>
        <v>0</v>
      </c>
      <c r="DP114" s="361">
        <f t="shared" ca="1" si="3170"/>
        <v>0</v>
      </c>
      <c r="DQ114" s="364" t="str">
        <f t="shared" ca="1" si="3171"/>
        <v/>
      </c>
      <c r="DR114" s="357"/>
      <c r="DS114" s="358"/>
      <c r="DT114" s="359"/>
      <c r="DU114" s="360"/>
      <c r="DV114" s="360">
        <f ca="1">SUM(DV$115:DV$117)</f>
        <v>0</v>
      </c>
      <c r="DW114" s="361">
        <f t="shared" ca="1" si="3627"/>
        <v>0</v>
      </c>
      <c r="DX114" s="362"/>
      <c r="DY114" s="359"/>
      <c r="DZ114" s="360">
        <f ca="1">SUM(DZ$115:DZ$117)</f>
        <v>10526.397291815349</v>
      </c>
      <c r="EA114" s="363">
        <f ca="1">IFERROR(DZ114/DR$4,0)</f>
        <v>1.4999999999999999E-2</v>
      </c>
      <c r="EB114" s="362"/>
      <c r="EC114" s="359"/>
      <c r="ED114" s="360">
        <f ca="1">SUM(ED$115:ED$117)</f>
        <v>0</v>
      </c>
      <c r="EE114" s="363">
        <f t="shared" ca="1" si="3633"/>
        <v>0</v>
      </c>
      <c r="EF114" s="359"/>
      <c r="EG114" s="359"/>
      <c r="EH114" s="360">
        <f ca="1">SUM(EH$115:EH$117)</f>
        <v>0</v>
      </c>
      <c r="EI114" s="361">
        <f t="shared" ca="1" si="3636"/>
        <v>0</v>
      </c>
      <c r="EJ114" s="357"/>
      <c r="EK114" s="358"/>
      <c r="EL114" s="365"/>
      <c r="EM114" s="359"/>
      <c r="EN114" s="360">
        <f ca="1">SUM(EN$115:EN$117)</f>
        <v>0</v>
      </c>
      <c r="EO114" s="361">
        <f t="shared" ca="1" si="4649"/>
        <v>0</v>
      </c>
      <c r="EP114" s="362"/>
      <c r="EQ114" s="359"/>
      <c r="ER114" s="360">
        <f ca="1">SUM(ER$115:ER$117)</f>
        <v>10646.223130692981</v>
      </c>
      <c r="ES114" s="363">
        <f ca="1">IFERROR(ER114/EJ$4,0)</f>
        <v>1.4999999999999999E-2</v>
      </c>
      <c r="ET114" s="362"/>
      <c r="EU114" s="359"/>
      <c r="EV114" s="360">
        <f ca="1">SUM(EV$115:EV$117)</f>
        <v>0</v>
      </c>
      <c r="EW114" s="363">
        <f t="shared" ca="1" si="4650"/>
        <v>0</v>
      </c>
      <c r="EX114" s="423">
        <f t="shared" si="4651"/>
        <v>0</v>
      </c>
      <c r="EY114" s="359"/>
      <c r="EZ114" s="360">
        <f ca="1">SUM(EZ$115:EZ$117)</f>
        <v>0</v>
      </c>
      <c r="FA114" s="361">
        <f t="shared" ca="1" si="4652"/>
        <v>0</v>
      </c>
      <c r="FB114" s="295" t="str">
        <f t="shared" ca="1" si="3172"/>
        <v/>
      </c>
      <c r="FC114" s="357"/>
      <c r="FD114" s="358"/>
      <c r="FE114" s="358"/>
      <c r="FF114" s="359"/>
      <c r="FG114" s="360">
        <f ca="1">SUM(FG$115:FG$117)</f>
        <v>0</v>
      </c>
      <c r="FH114" s="361">
        <f t="shared" ca="1" si="4653"/>
        <v>0</v>
      </c>
      <c r="FI114" s="362"/>
      <c r="FJ114" s="359"/>
      <c r="FK114" s="360">
        <f ca="1">SUM(FK$115:FK$117)</f>
        <v>68364.410094315463</v>
      </c>
      <c r="FL114" s="363">
        <f ca="1">IFERROR(FK114/FC$4,0)</f>
        <v>1.5000000000000001E-2</v>
      </c>
      <c r="FM114" s="362"/>
      <c r="FN114" s="359"/>
      <c r="FO114" s="360">
        <f ca="1">SUM(FO$115:FO$117)</f>
        <v>0</v>
      </c>
      <c r="FP114" s="363">
        <f t="shared" ca="1" si="4654"/>
        <v>0</v>
      </c>
      <c r="FQ114" s="359"/>
      <c r="FR114" s="359"/>
      <c r="FS114" s="360">
        <f ca="1">SUM(FS$115:FS$117)</f>
        <v>0</v>
      </c>
      <c r="FT114" s="361">
        <f t="shared" ca="1" si="4655"/>
        <v>0</v>
      </c>
      <c r="FU114" s="364" t="str">
        <f t="shared" ca="1" si="3173"/>
        <v/>
      </c>
    </row>
    <row r="115" spans="1:177" outlineLevel="2" x14ac:dyDescent="0.2">
      <c r="A115" s="366"/>
      <c r="B115" s="366"/>
      <c r="C115" s="367" t="str">
        <f t="shared" ref="C115:E117" ca="1" si="4658">OFFSET(Origine,MATCH($F115,Descrizioni,0),MATCH(C$15,Intestazioni,0)-1,1,1)</f>
        <v>LU0950670850:GBP</v>
      </c>
      <c r="D115" s="368" t="str">
        <f t="shared" ca="1" si="4658"/>
        <v>LU0950670850</v>
      </c>
      <c r="E115" s="369" t="str">
        <f t="shared" ca="1" si="4658"/>
        <v>21966875</v>
      </c>
      <c r="F115" s="367" t="s">
        <v>763</v>
      </c>
      <c r="G115" s="414"/>
      <c r="H115" s="1713" t="str">
        <f ca="1">IF(OFFSET(Origine,MATCH($F115,Descrizioni,0),MATCH(H$15,Intestazioni,0)-1,1,1)&lt;&gt;"",HYPERLINK(OFFSET(Origine,MATCH($F115,Descrizioni,0),MATCH(H$15,Intestazioni,0)-1,1,1),""),"")</f>
        <v></v>
      </c>
      <c r="I115" s="1683" t="str">
        <f t="shared" ref="I115:I134" ca="1" si="4659">IF(OFFSET(Origine,MATCH($F115,Descrizioni,0),MATCH(I$15,Intestazioni,0)-1,1,1)&lt;&gt;"",HYPERLINK(OFFSET(Origine,MATCH($F115,Descrizioni,0),MATCH(I$15,Intestazioni,0)-1,1,1),"i"),"")</f>
        <v>i</v>
      </c>
      <c r="J115" s="1713" t="str">
        <f t="shared" ref="J115:K134" ca="1" si="4660">IF(OFFSET(Origine,MATCH($F115,Descrizioni,0),MATCH(J$15,Intestazioni,0)-1,1,1)&lt;&gt;"",HYPERLINK(OFFSET(Origine,MATCH($F115,Descrizioni,0),MATCH(J$15,Intestazioni,0)-1,1,1),""),"")</f>
        <v></v>
      </c>
      <c r="K115" s="1716" t="str">
        <f t="shared" ca="1" si="4660"/>
        <v></v>
      </c>
      <c r="L115" s="1717" t="str">
        <f ca="1">IF(OFFSET(Origine,MATCH($F115,Descrizioni,0),MATCH(L$15,Intestazioni,0)-1,1,1)&lt;&gt;"",HYPERLINK("https://www.zonebourse.com/mods_a/charts/TV/inc_dyna_graph.php?c="&amp;OFFSET(Origine,MATCH($F115,Descrizioni,0),MATCH(L$15,Intestazioni,0)-1,1,1)&amp;"&amp;style=TradingView.CANDLES&amp;showAT=1",""),"")</f>
        <v></v>
      </c>
      <c r="M115" s="366" t="str">
        <f ca="1">(OFFSET(Origine,MATCH($F115,Descrizioni,0),MATCH(M$15,Intestazioni,0)-1,1,1))</f>
        <v>Unit</v>
      </c>
      <c r="N115" s="417"/>
      <c r="O115" s="417"/>
      <c r="P115" s="418">
        <f t="shared" ca="1" si="4637"/>
        <v>0</v>
      </c>
      <c r="Q115" s="391">
        <f t="array" aca="1" ref="Q115" ca="1">SUM(IF($AA$15:$FT$15="I_pos",AA115:FT115))</f>
        <v>0</v>
      </c>
      <c r="R115" s="391">
        <f t="array" aca="1" ref="R115" ca="1">SUM(IF($AA$15:$FT$15="P_Pos",AA115:FT115))</f>
        <v>0</v>
      </c>
      <c r="S115" s="367"/>
      <c r="T115" s="391"/>
      <c r="U115" s="375">
        <f ca="1">OFFSET(Origine,MATCH($F115,Descrizioni,0),MATCH(U$15,Intestazioni,0)-1,1,1)</f>
        <v>-2.6827924909349599E-2</v>
      </c>
      <c r="V115" s="391">
        <f t="array" aca="1" ref="V115" ca="1">SUM(IF($AA$15:$FT$15="O_Pos",AA115:FT115))</f>
        <v>0</v>
      </c>
      <c r="W115" s="367" t="str">
        <f ca="1">OFFSET(Origine,MATCH($F115,Descrizioni,0),MATCH(W$15,Intestazioni,0)-1,1,1)</f>
        <v>GBP</v>
      </c>
      <c r="X115" s="392">
        <f ca="1">_xlfn.NUMBERVALUE(OFFSET(Origine,MATCH($F115,Descrizioni,0),MATCH(X$15,Intestazioni,0)-1,1,1))</f>
        <v>42.405000000000001</v>
      </c>
      <c r="Y115" s="393">
        <f t="shared" ref="Y115:Y117" ca="1" si="4661">_xlfn.NUMBERVALUE(OFFSET(Origine,MATCH($F115,Descrizioni,0),MATCH(Y$15,Intestazioni,0)-1,1,1))</f>
        <v>0</v>
      </c>
      <c r="Z115" s="378">
        <f ca="1">_xlfn.NUMBERVALUE(OFFSET(Origine,MATCH(W115&amp;"/"&amp;MRif,LUKB_Name,0),MATCH("Price",Intestazioni,0)-1,1,1))</f>
        <v>1.0430999999999999</v>
      </c>
      <c r="AA115" s="214"/>
      <c r="AB115" s="312" t="str">
        <f t="shared" ref="AB115:AB117" ca="1" si="4662">IFERROR($X115/AC115-1,"")</f>
        <v/>
      </c>
      <c r="AC115" s="215"/>
      <c r="AD115" s="199">
        <f ca="1">AA115*$X115</f>
        <v>0</v>
      </c>
      <c r="AE115" s="199">
        <f ca="1">AD115*$Z115</f>
        <v>0</v>
      </c>
      <c r="AF115" s="216">
        <f t="shared" ca="1" si="4640"/>
        <v>0</v>
      </c>
      <c r="AG115" s="202">
        <f ca="1">AH115/$X115</f>
        <v>0</v>
      </c>
      <c r="AH115" s="203">
        <f ca="1">AI115/$Z115</f>
        <v>0</v>
      </c>
      <c r="AI115" s="203">
        <f ca="1">AJ115*AA$4</f>
        <v>0</v>
      </c>
      <c r="AJ115" s="204">
        <f ca="1">IF(AA$6&lt;&gt;"",$O115,$N115)-AF115</f>
        <v>0</v>
      </c>
      <c r="AK115" s="205"/>
      <c r="AL115" s="206">
        <f ca="1">AK115*$X115</f>
        <v>0</v>
      </c>
      <c r="AM115" s="206">
        <f ca="1">AL115*$Z115</f>
        <v>0</v>
      </c>
      <c r="AN115" s="207">
        <f t="shared" ca="1" si="4641"/>
        <v>0</v>
      </c>
      <c r="AO115" s="391">
        <f>AA115+AK115</f>
        <v>0</v>
      </c>
      <c r="AP115" s="391">
        <f t="shared" ca="1" si="2846"/>
        <v>0</v>
      </c>
      <c r="AQ115" s="391">
        <f ca="1">AP115*$Z115</f>
        <v>0</v>
      </c>
      <c r="AR115" s="394">
        <f t="shared" ca="1" si="4642"/>
        <v>0</v>
      </c>
      <c r="AS115" s="209" t="str">
        <f t="shared" ca="1" si="3165"/>
        <v/>
      </c>
      <c r="AT115" s="214"/>
      <c r="AU115" s="312" t="str">
        <f t="shared" ref="AU115:AU117" ca="1" si="4663">IFERROR($X115/AV115-1,"")</f>
        <v/>
      </c>
      <c r="AV115" s="215"/>
      <c r="AW115" s="199">
        <f ca="1">AT115*$X115</f>
        <v>0</v>
      </c>
      <c r="AX115" s="199">
        <f ca="1">AW115*$Z115</f>
        <v>0</v>
      </c>
      <c r="AY115" s="216">
        <f t="shared" ca="1" si="4643"/>
        <v>0</v>
      </c>
      <c r="AZ115" s="202">
        <f ca="1">BA115/$X115</f>
        <v>0</v>
      </c>
      <c r="BA115" s="203">
        <f ca="1">BB115/$Z115</f>
        <v>0</v>
      </c>
      <c r="BB115" s="203">
        <f ca="1">BC115*AT$4</f>
        <v>0</v>
      </c>
      <c r="BC115" s="204">
        <f ca="1">IF(AT$6&lt;&gt;"",$O115,$N115)-AY115</f>
        <v>0</v>
      </c>
      <c r="BD115" s="205"/>
      <c r="BE115" s="206">
        <f ca="1">BD115*$X115</f>
        <v>0</v>
      </c>
      <c r="BF115" s="206">
        <f ca="1">BE115*$Z115</f>
        <v>0</v>
      </c>
      <c r="BG115" s="207">
        <f t="shared" ca="1" si="4644"/>
        <v>0</v>
      </c>
      <c r="BH115" s="391">
        <f>AT115+BD115</f>
        <v>0</v>
      </c>
      <c r="BI115" s="391">
        <f t="shared" ca="1" si="2857"/>
        <v>0</v>
      </c>
      <c r="BJ115" s="391">
        <f ca="1">BI115*$Z115</f>
        <v>0</v>
      </c>
      <c r="BK115" s="394">
        <f t="shared" ca="1" si="4645"/>
        <v>0</v>
      </c>
      <c r="BL115" s="211" t="str">
        <f t="shared" ca="1" si="3166"/>
        <v/>
      </c>
      <c r="BM115" s="214"/>
      <c r="BN115" s="312" t="str">
        <f t="shared" ref="BN115:BN117" ca="1" si="4664">IFERROR($X115/BO115-1,"")</f>
        <v/>
      </c>
      <c r="BO115" s="215"/>
      <c r="BP115" s="199">
        <f ca="1">BM115*$X115</f>
        <v>0</v>
      </c>
      <c r="BQ115" s="199">
        <f ca="1">BP115*$Z115</f>
        <v>0</v>
      </c>
      <c r="BR115" s="216">
        <f t="shared" ca="1" si="4646"/>
        <v>0</v>
      </c>
      <c r="BS115" s="202">
        <f ca="1">BT115/$X115</f>
        <v>0</v>
      </c>
      <c r="BT115" s="203">
        <f ca="1">BU115/$Z115</f>
        <v>0</v>
      </c>
      <c r="BU115" s="203">
        <f ca="1">BV115*BM$4</f>
        <v>0</v>
      </c>
      <c r="BV115" s="204">
        <f ca="1">IF(BM$6&lt;&gt;"",$O115,$N115)-BR115</f>
        <v>0</v>
      </c>
      <c r="BW115" s="205"/>
      <c r="BX115" s="206">
        <f ca="1">BW115*$X115</f>
        <v>0</v>
      </c>
      <c r="BY115" s="206">
        <f ca="1">BX115*$Z115</f>
        <v>0</v>
      </c>
      <c r="BZ115" s="207">
        <f t="shared" ca="1" si="4647"/>
        <v>0</v>
      </c>
      <c r="CA115" s="391">
        <f>BM115+BW115</f>
        <v>0</v>
      </c>
      <c r="CB115" s="391">
        <f t="shared" ca="1" si="2870"/>
        <v>0</v>
      </c>
      <c r="CC115" s="391">
        <f ca="1">CB115*$Z115</f>
        <v>0</v>
      </c>
      <c r="CD115" s="394">
        <f t="shared" ca="1" si="4648"/>
        <v>0</v>
      </c>
      <c r="CE115" s="212" t="str">
        <f t="shared" ca="1" si="3167"/>
        <v/>
      </c>
      <c r="CF115" s="214"/>
      <c r="CG115" s="312" t="str">
        <f t="shared" ref="CG115:CG117" ca="1" si="4665">IFERROR($X115/CH115-1,"")</f>
        <v/>
      </c>
      <c r="CH115" s="215"/>
      <c r="CI115" s="199">
        <f ca="1">CF115*$X115</f>
        <v>0</v>
      </c>
      <c r="CJ115" s="199">
        <f ca="1">CI115*$Z115</f>
        <v>0</v>
      </c>
      <c r="CK115" s="216">
        <f t="shared" ca="1" si="4412"/>
        <v>0</v>
      </c>
      <c r="CL115" s="202">
        <f ca="1">CM115/$X115</f>
        <v>0</v>
      </c>
      <c r="CM115" s="203">
        <f ca="1">CN115/$Z115</f>
        <v>0</v>
      </c>
      <c r="CN115" s="203">
        <f ca="1">CO115*CF$4</f>
        <v>0</v>
      </c>
      <c r="CO115" s="204">
        <f ca="1">IF(CF$6&lt;&gt;"",$O115,$N115)-CK115</f>
        <v>0</v>
      </c>
      <c r="CP115" s="205"/>
      <c r="CQ115" s="206">
        <f ca="1">CP115*$X115</f>
        <v>0</v>
      </c>
      <c r="CR115" s="206">
        <f ca="1">CQ115*$Z115</f>
        <v>0</v>
      </c>
      <c r="CS115" s="207">
        <f t="shared" ca="1" si="4418"/>
        <v>0</v>
      </c>
      <c r="CT115" s="391">
        <f>CF115+CP115</f>
        <v>0</v>
      </c>
      <c r="CU115" s="391">
        <f t="shared" ca="1" si="2881"/>
        <v>0</v>
      </c>
      <c r="CV115" s="391">
        <f ca="1">CU115*$Z115</f>
        <v>0</v>
      </c>
      <c r="CW115" s="394">
        <f t="shared" ca="1" si="4463"/>
        <v>0</v>
      </c>
      <c r="CX115" s="211" t="str">
        <f t="shared" ca="1" si="3168"/>
        <v/>
      </c>
      <c r="CY115" s="197"/>
      <c r="CZ115" s="312" t="str">
        <f t="shared" ref="CZ115:CZ117" ca="1" si="4666">IFERROR($X115/DA115-1,"")</f>
        <v/>
      </c>
      <c r="DA115" s="395"/>
      <c r="DB115" s="199">
        <f ca="1">CY115*$X115</f>
        <v>0</v>
      </c>
      <c r="DC115" s="199">
        <f ca="1">DB115*$Z115</f>
        <v>0</v>
      </c>
      <c r="DD115" s="216">
        <f t="shared" ca="1" si="2886"/>
        <v>0</v>
      </c>
      <c r="DE115" s="202">
        <f ca="1">DF115/$X115</f>
        <v>0</v>
      </c>
      <c r="DF115" s="203">
        <f ca="1">DG115/$Z115</f>
        <v>0</v>
      </c>
      <c r="DG115" s="203">
        <f ca="1">DH115*CY$4</f>
        <v>0</v>
      </c>
      <c r="DH115" s="204">
        <f ca="1">IF(CY$6&lt;&gt;"",$O115,$N115)-DD115</f>
        <v>0</v>
      </c>
      <c r="DI115" s="205"/>
      <c r="DJ115" s="206">
        <f ca="1">DI115*$X115</f>
        <v>0</v>
      </c>
      <c r="DK115" s="206">
        <f ca="1">DJ115*$Z115</f>
        <v>0</v>
      </c>
      <c r="DL115" s="207">
        <f t="shared" ca="1" si="2892"/>
        <v>0</v>
      </c>
      <c r="DM115" s="391">
        <f>CY115+DI115</f>
        <v>0</v>
      </c>
      <c r="DN115" s="391">
        <f t="shared" ca="1" si="2894"/>
        <v>0</v>
      </c>
      <c r="DO115" s="391">
        <f ca="1">DN115*$Z115</f>
        <v>0</v>
      </c>
      <c r="DP115" s="394">
        <f t="shared" ca="1" si="3170"/>
        <v>0</v>
      </c>
      <c r="DQ115" s="209" t="str">
        <f t="shared" ca="1" si="3171"/>
        <v/>
      </c>
      <c r="DR115" s="197"/>
      <c r="DS115" s="312" t="str">
        <f t="shared" ref="DS115:DS117" ca="1" si="4667">IFERROR($X115/DT115-1,"")</f>
        <v/>
      </c>
      <c r="DT115" s="395"/>
      <c r="DU115" s="199">
        <f ca="1">DR115*$X115</f>
        <v>0</v>
      </c>
      <c r="DV115" s="199">
        <f ca="1">DU115*$Z115</f>
        <v>0</v>
      </c>
      <c r="DW115" s="216">
        <f t="shared" ca="1" si="3627"/>
        <v>0</v>
      </c>
      <c r="DX115" s="202">
        <f ca="1">DY115/$X115</f>
        <v>0</v>
      </c>
      <c r="DY115" s="203">
        <f ca="1">DZ115/$Z115</f>
        <v>0</v>
      </c>
      <c r="DZ115" s="203">
        <f ca="1">EA115*DR$4</f>
        <v>0</v>
      </c>
      <c r="EA115" s="204">
        <f ca="1">IF(DR$6&lt;&gt;"",$O115,$N115)-DW115</f>
        <v>0</v>
      </c>
      <c r="EB115" s="205"/>
      <c r="EC115" s="206">
        <f ca="1">EB115*$X115</f>
        <v>0</v>
      </c>
      <c r="ED115" s="206">
        <f ca="1">EC115*$Z115</f>
        <v>0</v>
      </c>
      <c r="EE115" s="207">
        <f t="shared" ca="1" si="3633"/>
        <v>0</v>
      </c>
      <c r="EF115" s="391">
        <f>DR115+EB115</f>
        <v>0</v>
      </c>
      <c r="EG115" s="391">
        <f t="shared" ref="EG115:EG117" ca="1" si="4668">DU115+IF($T115 ="",EC115,0)</f>
        <v>0</v>
      </c>
      <c r="EH115" s="391">
        <f ca="1">EG115*$Z115</f>
        <v>0</v>
      </c>
      <c r="EI115" s="394">
        <f t="shared" ca="1" si="3636"/>
        <v>0</v>
      </c>
      <c r="EJ115" s="214"/>
      <c r="EK115" s="312" t="str">
        <f t="shared" ref="EK115:EK117" ca="1" si="4669">IFERROR($X115/EL115-1,"")</f>
        <v/>
      </c>
      <c r="EL115" s="222"/>
      <c r="EM115" s="199">
        <f ca="1">EJ115*$X115</f>
        <v>0</v>
      </c>
      <c r="EN115" s="199">
        <f ca="1">EM115*$Z115</f>
        <v>0</v>
      </c>
      <c r="EO115" s="216">
        <f t="shared" ca="1" si="4649"/>
        <v>0</v>
      </c>
      <c r="EP115" s="202">
        <f ca="1">EQ115/$X115</f>
        <v>0</v>
      </c>
      <c r="EQ115" s="203">
        <f ca="1">ER115/$Z115</f>
        <v>0</v>
      </c>
      <c r="ER115" s="203">
        <f ca="1">ES115*EJ$4</f>
        <v>0</v>
      </c>
      <c r="ES115" s="204">
        <f ca="1">IF(EJ$6&lt;&gt;"",$O115,$N115)-EO115</f>
        <v>0</v>
      </c>
      <c r="ET115" s="205"/>
      <c r="EU115" s="206">
        <f ca="1">ET115*$X115</f>
        <v>0</v>
      </c>
      <c r="EV115" s="206">
        <f ca="1">EU115*$Z115</f>
        <v>0</v>
      </c>
      <c r="EW115" s="207">
        <f t="shared" ca="1" si="4650"/>
        <v>0</v>
      </c>
      <c r="EX115" s="391">
        <f t="shared" si="4651"/>
        <v>0</v>
      </c>
      <c r="EY115" s="391">
        <f t="shared" ca="1" si="2919"/>
        <v>0</v>
      </c>
      <c r="EZ115" s="391">
        <f ca="1">EY115*$Z115</f>
        <v>0</v>
      </c>
      <c r="FA115" s="394">
        <f t="shared" ca="1" si="4652"/>
        <v>0</v>
      </c>
      <c r="FB115" s="212" t="str">
        <f t="shared" ca="1" si="3172"/>
        <v/>
      </c>
      <c r="FC115" s="214"/>
      <c r="FD115" s="312" t="str">
        <f t="shared" ref="FD115:FD117" ca="1" si="4670">IFERROR($X115/FE115-1,"")</f>
        <v/>
      </c>
      <c r="FE115" s="215"/>
      <c r="FF115" s="199">
        <f ca="1">FC115*$X115</f>
        <v>0</v>
      </c>
      <c r="FG115" s="199">
        <f ca="1">FF115*$Z115</f>
        <v>0</v>
      </c>
      <c r="FH115" s="216">
        <f t="shared" ca="1" si="4653"/>
        <v>0</v>
      </c>
      <c r="FI115" s="202">
        <f ca="1">FJ115/$X115</f>
        <v>0</v>
      </c>
      <c r="FJ115" s="203">
        <f ca="1">FK115/$Z115</f>
        <v>0</v>
      </c>
      <c r="FK115" s="203">
        <f ca="1">FL115*FC$4</f>
        <v>0</v>
      </c>
      <c r="FL115" s="204">
        <f ca="1">IF(FC$6&lt;&gt;"",$O115,$N115)-FH115</f>
        <v>0</v>
      </c>
      <c r="FM115" s="205"/>
      <c r="FN115" s="206">
        <f ca="1">FM115*$X115</f>
        <v>0</v>
      </c>
      <c r="FO115" s="206">
        <f ca="1">FN115*$Z115</f>
        <v>0</v>
      </c>
      <c r="FP115" s="207">
        <f t="shared" ca="1" si="4654"/>
        <v>0</v>
      </c>
      <c r="FQ115" s="391">
        <f>FC115+FM115</f>
        <v>0</v>
      </c>
      <c r="FR115" s="391">
        <f t="shared" ca="1" si="2930"/>
        <v>0</v>
      </c>
      <c r="FS115" s="391">
        <f ca="1">FR115*$Z115</f>
        <v>0</v>
      </c>
      <c r="FT115" s="394">
        <f t="shared" ca="1" si="4655"/>
        <v>0</v>
      </c>
      <c r="FU115" s="209" t="str">
        <f t="shared" ca="1" si="3173"/>
        <v/>
      </c>
    </row>
    <row r="116" spans="1:177" outlineLevel="2" x14ac:dyDescent="0.2">
      <c r="A116" s="366"/>
      <c r="B116" s="366"/>
      <c r="C116" s="367" t="str">
        <f t="shared" ca="1" si="4658"/>
        <v>US46435G3341:USD</v>
      </c>
      <c r="D116" s="368" t="str">
        <f t="shared" ca="1" si="4658"/>
        <v>US46435G3341</v>
      </c>
      <c r="E116" s="369" t="str">
        <f t="shared" ca="1" si="4658"/>
        <v>34389251</v>
      </c>
      <c r="F116" s="367" t="s">
        <v>764</v>
      </c>
      <c r="G116" s="414"/>
      <c r="H116" s="1713" t="str">
        <f ca="1">IF(OFFSET(Origine,MATCH($F116,Descrizioni,0),MATCH(H$15,Intestazioni,0)-1,1,1)&lt;&gt;"",HYPERLINK(OFFSET(Origine,MATCH($F116,Descrizioni,0),MATCH(H$15,Intestazioni,0)-1,1,1),""),"")</f>
        <v></v>
      </c>
      <c r="I116" s="1683" t="str">
        <f t="shared" ca="1" si="4659"/>
        <v/>
      </c>
      <c r="J116" s="1713" t="str">
        <f t="shared" ca="1" si="4660"/>
        <v/>
      </c>
      <c r="K116" s="1716" t="str">
        <f t="shared" ca="1" si="4660"/>
        <v/>
      </c>
      <c r="L116" s="1717" t="str">
        <f ca="1">IF(OFFSET(Origine,MATCH($F116,Descrizioni,0),MATCH(L$15,Intestazioni,0)-1,1,1)&lt;&gt;"",HYPERLINK("https://www.zonebourse.com/mods_a/charts/TV/inc_dyna_graph.php?c="&amp;OFFSET(Origine,MATCH($F116,Descrizioni,0),MATCH(L$15,Intestazioni,0)-1,1,1)&amp;"&amp;style=TradingView.CANDLES&amp;showAT=1",""),"")</f>
        <v/>
      </c>
      <c r="M116" s="366" t="str">
        <f ca="1">(OFFSET(Origine,MATCH($F116,Descrizioni,0),MATCH(M$15,Intestazioni,0)-1,1,1))</f>
        <v>Unit</v>
      </c>
      <c r="N116" s="417"/>
      <c r="O116" s="417"/>
      <c r="P116" s="418">
        <f t="shared" ca="1" si="4637"/>
        <v>0</v>
      </c>
      <c r="Q116" s="391">
        <f t="array" aca="1" ref="Q116" ca="1">SUM(IF($AA$15:$FT$15="I_pos",AA116:FT116))</f>
        <v>0</v>
      </c>
      <c r="R116" s="391">
        <f t="array" aca="1" ref="R116" ca="1">SUM(IF($AA$15:$FT$15="P_Pos",AA116:FT116))</f>
        <v>0</v>
      </c>
      <c r="S116" s="367"/>
      <c r="T116" s="391"/>
      <c r="U116" s="375">
        <f ca="1">OFFSET(Origine,MATCH($F116,Descrizioni,0),MATCH(U$15,Intestazioni,0)-1,1,1)</f>
        <v>-3.1275976724854597E-2</v>
      </c>
      <c r="V116" s="391">
        <f t="array" aca="1" ref="V116" ca="1">SUM(IF($AA$15:$FT$15="O_Pos",AA116:FT116))</f>
        <v>0</v>
      </c>
      <c r="W116" s="367" t="str">
        <f ca="1">OFFSET(Origine,MATCH($F116,Descrizioni,0),MATCH(W$15,Intestazioni,0)-1,1,1)</f>
        <v>USD</v>
      </c>
      <c r="X116" s="392">
        <f ca="1">_xlfn.NUMBERVALUE(OFFSET(Origine,MATCH($F116,Descrizioni,0),MATCH(X$15,Intestazioni,0)-1,1,1))</f>
        <v>46.615000000000002</v>
      </c>
      <c r="Y116" s="393">
        <f t="shared" ca="1" si="4661"/>
        <v>0</v>
      </c>
      <c r="Z116" s="378">
        <f ca="1">_xlfn.NUMBERVALUE(OFFSET(Origine,MATCH(W116&amp;"/"&amp;MRif,LUKB_Name,0),MATCH("Price",Intestazioni,0)-1,1,1))</f>
        <v>0.78225</v>
      </c>
      <c r="AA116" s="214"/>
      <c r="AB116" s="312" t="str">
        <f t="shared" ref="AB116" ca="1" si="4671">IFERROR($X116/AC116-1,"")</f>
        <v/>
      </c>
      <c r="AC116" s="215"/>
      <c r="AD116" s="199">
        <f ca="1">AA116*$X116</f>
        <v>0</v>
      </c>
      <c r="AE116" s="199">
        <f ca="1">AD116*$Z116</f>
        <v>0</v>
      </c>
      <c r="AF116" s="216">
        <f t="shared" ref="AF116" ca="1" si="4672">IFERROR(AE116/AA$4,0)</f>
        <v>0</v>
      </c>
      <c r="AG116" s="202">
        <f ca="1">AH116/$X116</f>
        <v>0</v>
      </c>
      <c r="AH116" s="203">
        <f ca="1">AI116/$Z116</f>
        <v>0</v>
      </c>
      <c r="AI116" s="203">
        <f ca="1">AJ116*AA$4</f>
        <v>0</v>
      </c>
      <c r="AJ116" s="204">
        <f ca="1">IF(AA$6&lt;&gt;"",$O116,$N116)-AF116</f>
        <v>0</v>
      </c>
      <c r="AK116" s="205"/>
      <c r="AL116" s="206">
        <f ca="1">AK116*$X116</f>
        <v>0</v>
      </c>
      <c r="AM116" s="206">
        <f ca="1">AL116*$Z116</f>
        <v>0</v>
      </c>
      <c r="AN116" s="207">
        <f t="shared" ref="AN116" ca="1" si="4673">IFERROR(AM116/AA$4,0)</f>
        <v>0</v>
      </c>
      <c r="AO116" s="391">
        <f>AA116+AK116</f>
        <v>0</v>
      </c>
      <c r="AP116" s="391">
        <f t="shared" ref="AP116" ca="1" si="4674">AD116+IF($T116 ="",AL116,0)</f>
        <v>0</v>
      </c>
      <c r="AQ116" s="391">
        <f ca="1">AP116*$Z116</f>
        <v>0</v>
      </c>
      <c r="AR116" s="394">
        <f t="shared" ref="AR116" ca="1" si="4675">IFERROR(AQ116/AA$4,0)</f>
        <v>0</v>
      </c>
      <c r="AS116" s="209" t="str">
        <f t="shared" ref="AS116" ca="1" si="4676">IF(SUM(AF116,AN116,AR116)&lt;&gt;0,"V","")</f>
        <v/>
      </c>
      <c r="AT116" s="214"/>
      <c r="AU116" s="312" t="str">
        <f t="shared" ref="AU116" ca="1" si="4677">IFERROR($X116/AV116-1,"")</f>
        <v/>
      </c>
      <c r="AV116" s="215"/>
      <c r="AW116" s="199">
        <f ca="1">AT116*$X116</f>
        <v>0</v>
      </c>
      <c r="AX116" s="199">
        <f ca="1">AW116*$Z116</f>
        <v>0</v>
      </c>
      <c r="AY116" s="216">
        <f t="shared" ref="AY116" ca="1" si="4678">IFERROR(AX116/AT$4,0)</f>
        <v>0</v>
      </c>
      <c r="AZ116" s="202">
        <f ca="1">BA116/$X116</f>
        <v>0</v>
      </c>
      <c r="BA116" s="203">
        <f ca="1">BB116/$Z116</f>
        <v>0</v>
      </c>
      <c r="BB116" s="203">
        <f ca="1">BC116*AT$4</f>
        <v>0</v>
      </c>
      <c r="BC116" s="204">
        <f ca="1">IF(AT$6&lt;&gt;"",$O116,$N116)-AY116</f>
        <v>0</v>
      </c>
      <c r="BD116" s="205"/>
      <c r="BE116" s="206">
        <f ca="1">BD116*$X116</f>
        <v>0</v>
      </c>
      <c r="BF116" s="206">
        <f ca="1">BE116*$Z116</f>
        <v>0</v>
      </c>
      <c r="BG116" s="207">
        <f t="shared" ref="BG116" ca="1" si="4679">IFERROR(BF116/AT$4,0)</f>
        <v>0</v>
      </c>
      <c r="BH116" s="391">
        <f>AT116+BD116</f>
        <v>0</v>
      </c>
      <c r="BI116" s="391">
        <f t="shared" ref="BI116" ca="1" si="4680">AW116+IF($T116 ="",BE116,0)</f>
        <v>0</v>
      </c>
      <c r="BJ116" s="391">
        <f ca="1">BI116*$Z116</f>
        <v>0</v>
      </c>
      <c r="BK116" s="394">
        <f t="shared" ref="BK116" ca="1" si="4681">IFERROR(BJ116/AT$4,0)</f>
        <v>0</v>
      </c>
      <c r="BL116" s="211" t="str">
        <f t="shared" ref="BL116" ca="1" si="4682">IF(SUM(AY116,BG116,BK116)&lt;&gt;0,"V","")</f>
        <v/>
      </c>
      <c r="BM116" s="214"/>
      <c r="BN116" s="312" t="str">
        <f t="shared" ref="BN116" ca="1" si="4683">IFERROR($X116/BO116-1,"")</f>
        <v/>
      </c>
      <c r="BO116" s="215"/>
      <c r="BP116" s="199">
        <f ca="1">BM116*$X116</f>
        <v>0</v>
      </c>
      <c r="BQ116" s="199">
        <f ca="1">BP116*$Z116</f>
        <v>0</v>
      </c>
      <c r="BR116" s="216">
        <f t="shared" ref="BR116" ca="1" si="4684">IFERROR(BQ116/BM$4,0)</f>
        <v>0</v>
      </c>
      <c r="BS116" s="202">
        <f ca="1">BT116/$X116</f>
        <v>0</v>
      </c>
      <c r="BT116" s="203">
        <f ca="1">BU116/$Z116</f>
        <v>0</v>
      </c>
      <c r="BU116" s="203">
        <f ca="1">BV116*BM$4</f>
        <v>0</v>
      </c>
      <c r="BV116" s="204">
        <f ca="1">IF(BM$6&lt;&gt;"",$O116,$N116)-BR116</f>
        <v>0</v>
      </c>
      <c r="BW116" s="205"/>
      <c r="BX116" s="206">
        <f ca="1">BW116*$X116</f>
        <v>0</v>
      </c>
      <c r="BY116" s="206">
        <f ca="1">BX116*$Z116</f>
        <v>0</v>
      </c>
      <c r="BZ116" s="207">
        <f t="shared" ref="BZ116" ca="1" si="4685">IFERROR(BY116/BM$4,0)</f>
        <v>0</v>
      </c>
      <c r="CA116" s="391">
        <f>BM116+BW116</f>
        <v>0</v>
      </c>
      <c r="CB116" s="391">
        <f t="shared" ref="CB116" ca="1" si="4686">BP116+IF($T116 ="",BX116,0)</f>
        <v>0</v>
      </c>
      <c r="CC116" s="391">
        <f ca="1">CB116*$Z116</f>
        <v>0</v>
      </c>
      <c r="CD116" s="394">
        <f t="shared" ref="CD116" ca="1" si="4687">IFERROR(CC116/BM$4,0)</f>
        <v>0</v>
      </c>
      <c r="CE116" s="212" t="str">
        <f t="shared" ref="CE116" ca="1" si="4688">IF(SUM(BR116,BZ116,CD116)&lt;&gt;0,"V","")</f>
        <v/>
      </c>
      <c r="CF116" s="214"/>
      <c r="CG116" s="312" t="str">
        <f t="shared" ref="CG116" ca="1" si="4689">IFERROR($X116/CH116-1,"")</f>
        <v/>
      </c>
      <c r="CH116" s="215"/>
      <c r="CI116" s="199">
        <f ca="1">CF116*$X116</f>
        <v>0</v>
      </c>
      <c r="CJ116" s="199">
        <f ca="1">CI116*$Z116</f>
        <v>0</v>
      </c>
      <c r="CK116" s="216">
        <f t="shared" ref="CK116" ca="1" si="4690">IFERROR(CJ116/CF$4,0)</f>
        <v>0</v>
      </c>
      <c r="CL116" s="202">
        <f ca="1">CM116/$X116</f>
        <v>0</v>
      </c>
      <c r="CM116" s="203">
        <f ca="1">CN116/$Z116</f>
        <v>0</v>
      </c>
      <c r="CN116" s="203">
        <f ca="1">CO116*CF$4</f>
        <v>0</v>
      </c>
      <c r="CO116" s="204">
        <f ca="1">IF(CF$6&lt;&gt;"",$O116,$N116)-CK116</f>
        <v>0</v>
      </c>
      <c r="CP116" s="205"/>
      <c r="CQ116" s="206">
        <f ca="1">CP116*$X116</f>
        <v>0</v>
      </c>
      <c r="CR116" s="206">
        <f ca="1">CQ116*$Z116</f>
        <v>0</v>
      </c>
      <c r="CS116" s="207">
        <f t="shared" ref="CS116" ca="1" si="4691">IFERROR(CR116/CF$4,0)</f>
        <v>0</v>
      </c>
      <c r="CT116" s="391">
        <f>CF116+CP116</f>
        <v>0</v>
      </c>
      <c r="CU116" s="391">
        <f t="shared" ref="CU116" ca="1" si="4692">CI116+IF($T116 ="",CQ116,0)</f>
        <v>0</v>
      </c>
      <c r="CV116" s="391">
        <f ca="1">CU116*$Z116</f>
        <v>0</v>
      </c>
      <c r="CW116" s="394">
        <f t="shared" ref="CW116" ca="1" si="4693">IFERROR(CV116/CF$4,0)</f>
        <v>0</v>
      </c>
      <c r="CX116" s="211" t="str">
        <f t="shared" ref="CX116" ca="1" si="4694">IF(SUM(CK116,CS116,CW116)&lt;&gt;0,"V","")</f>
        <v/>
      </c>
      <c r="CY116" s="197"/>
      <c r="CZ116" s="312" t="str">
        <f t="shared" ref="CZ116" ca="1" si="4695">IFERROR($X116/DA116-1,"")</f>
        <v/>
      </c>
      <c r="DA116" s="395"/>
      <c r="DB116" s="199">
        <f ca="1">CY116*$X116</f>
        <v>0</v>
      </c>
      <c r="DC116" s="199">
        <f ca="1">DB116*$Z116</f>
        <v>0</v>
      </c>
      <c r="DD116" s="216">
        <f t="shared" ref="DD116" ca="1" si="4696">IFERROR(DC116/CY$4,0)</f>
        <v>0</v>
      </c>
      <c r="DE116" s="202">
        <f ca="1">DF116/$X116</f>
        <v>0</v>
      </c>
      <c r="DF116" s="203">
        <f ca="1">DG116/$Z116</f>
        <v>0</v>
      </c>
      <c r="DG116" s="203">
        <f ca="1">DH116*CY$4</f>
        <v>0</v>
      </c>
      <c r="DH116" s="204">
        <f ca="1">IF(CY$6&lt;&gt;"",$O116,$N116)-DD116</f>
        <v>0</v>
      </c>
      <c r="DI116" s="205"/>
      <c r="DJ116" s="206">
        <f ca="1">DI116*$X116</f>
        <v>0</v>
      </c>
      <c r="DK116" s="206">
        <f ca="1">DJ116*$Z116</f>
        <v>0</v>
      </c>
      <c r="DL116" s="207">
        <f t="shared" ref="DL116" ca="1" si="4697">IFERROR(DK116/CY$4,0)</f>
        <v>0</v>
      </c>
      <c r="DM116" s="391">
        <f>CY116+DI116</f>
        <v>0</v>
      </c>
      <c r="DN116" s="391">
        <f t="shared" ref="DN116" ca="1" si="4698">DB116+IF($T116 ="",DJ116,0)</f>
        <v>0</v>
      </c>
      <c r="DO116" s="391">
        <f ca="1">DN116*$Z116</f>
        <v>0</v>
      </c>
      <c r="DP116" s="394">
        <f t="shared" ref="DP116" ca="1" si="4699">IFERROR(DO116/CY$4,0)</f>
        <v>0</v>
      </c>
      <c r="DQ116" s="209" t="str">
        <f t="shared" ref="DQ116" ca="1" si="4700">IF(SUM(DD116,DL116,DP116)&lt;&gt;0,"V","")</f>
        <v/>
      </c>
      <c r="DR116" s="197"/>
      <c r="DS116" s="312" t="str">
        <f t="shared" ca="1" si="4667"/>
        <v/>
      </c>
      <c r="DT116" s="395"/>
      <c r="DU116" s="199">
        <f ca="1">DR116*$X116</f>
        <v>0</v>
      </c>
      <c r="DV116" s="199">
        <f ca="1">DU116*$Z116</f>
        <v>0</v>
      </c>
      <c r="DW116" s="216">
        <f t="shared" ca="1" si="3627"/>
        <v>0</v>
      </c>
      <c r="DX116" s="202">
        <f ca="1">DY116/$X116</f>
        <v>0</v>
      </c>
      <c r="DY116" s="203">
        <f ca="1">DZ116/$Z116</f>
        <v>0</v>
      </c>
      <c r="DZ116" s="203">
        <f ca="1">EA116*DR$4</f>
        <v>0</v>
      </c>
      <c r="EA116" s="204">
        <f ca="1">IF(DR$6&lt;&gt;"",$O116,$N116)-DW116</f>
        <v>0</v>
      </c>
      <c r="EB116" s="205"/>
      <c r="EC116" s="206">
        <f ca="1">EB116*$X116</f>
        <v>0</v>
      </c>
      <c r="ED116" s="206">
        <f ca="1">EC116*$Z116</f>
        <v>0</v>
      </c>
      <c r="EE116" s="207">
        <f t="shared" ca="1" si="3633"/>
        <v>0</v>
      </c>
      <c r="EF116" s="391">
        <f>DR116+EB116</f>
        <v>0</v>
      </c>
      <c r="EG116" s="391">
        <f t="shared" ca="1" si="4668"/>
        <v>0</v>
      </c>
      <c r="EH116" s="391">
        <f ca="1">EG116*$Z116</f>
        <v>0</v>
      </c>
      <c r="EI116" s="394">
        <f t="shared" ca="1" si="3636"/>
        <v>0</v>
      </c>
      <c r="EJ116" s="214"/>
      <c r="EK116" s="312" t="str">
        <f t="shared" ref="EK116" ca="1" si="4701">IFERROR($X116/EL116-1,"")</f>
        <v/>
      </c>
      <c r="EL116" s="222"/>
      <c r="EM116" s="199">
        <f ca="1">EJ116*$X116</f>
        <v>0</v>
      </c>
      <c r="EN116" s="199">
        <f ca="1">EM116*$Z116</f>
        <v>0</v>
      </c>
      <c r="EO116" s="216">
        <f t="shared" ref="EO116" ca="1" si="4702">IFERROR(EN116/EJ$4,0)</f>
        <v>0</v>
      </c>
      <c r="EP116" s="202">
        <f ca="1">EQ116/$X116</f>
        <v>0</v>
      </c>
      <c r="EQ116" s="203">
        <f ca="1">ER116/$Z116</f>
        <v>0</v>
      </c>
      <c r="ER116" s="203">
        <f ca="1">ES116*EJ$4</f>
        <v>0</v>
      </c>
      <c r="ES116" s="204">
        <f ca="1">IF(EJ$6&lt;&gt;"",$O116,$N116)-EO116</f>
        <v>0</v>
      </c>
      <c r="ET116" s="205"/>
      <c r="EU116" s="206">
        <f ca="1">ET116*$X116</f>
        <v>0</v>
      </c>
      <c r="EV116" s="206">
        <f ca="1">EU116*$Z116</f>
        <v>0</v>
      </c>
      <c r="EW116" s="207">
        <f t="shared" ref="EW116" ca="1" si="4703">IFERROR(EV116/EJ$4,0)</f>
        <v>0</v>
      </c>
      <c r="EX116" s="391">
        <f t="shared" ref="EX116" si="4704">EJ116+ET116</f>
        <v>0</v>
      </c>
      <c r="EY116" s="391">
        <f t="shared" ref="EY116" ca="1" si="4705">EM116+IF($T116 ="",EU116,0)</f>
        <v>0</v>
      </c>
      <c r="EZ116" s="391">
        <f ca="1">EY116*$Z116</f>
        <v>0</v>
      </c>
      <c r="FA116" s="394">
        <f t="shared" ref="FA116" ca="1" si="4706">IFERROR(EZ116/EJ$4,0)</f>
        <v>0</v>
      </c>
      <c r="FB116" s="212" t="str">
        <f t="shared" ref="FB116" ca="1" si="4707">IF(SUM(EO116,EW116,FA116)&lt;&gt;0,"V","")</f>
        <v/>
      </c>
      <c r="FC116" s="214"/>
      <c r="FD116" s="312" t="str">
        <f t="shared" ref="FD116" ca="1" si="4708">IFERROR($X116/FE116-1,"")</f>
        <v/>
      </c>
      <c r="FE116" s="215"/>
      <c r="FF116" s="199">
        <f ca="1">FC116*$X116</f>
        <v>0</v>
      </c>
      <c r="FG116" s="199">
        <f ca="1">FF116*$Z116</f>
        <v>0</v>
      </c>
      <c r="FH116" s="216">
        <f t="shared" ref="FH116" ca="1" si="4709">IFERROR(FG116/FC$4,0)</f>
        <v>0</v>
      </c>
      <c r="FI116" s="202">
        <f ca="1">FJ116/$X116</f>
        <v>0</v>
      </c>
      <c r="FJ116" s="203">
        <f ca="1">FK116/$Z116</f>
        <v>0</v>
      </c>
      <c r="FK116" s="203">
        <f ca="1">FL116*FC$4</f>
        <v>0</v>
      </c>
      <c r="FL116" s="204">
        <f ca="1">IF(FC$6&lt;&gt;"",$O116,$N116)-FH116</f>
        <v>0</v>
      </c>
      <c r="FM116" s="205"/>
      <c r="FN116" s="206">
        <f ca="1">FM116*$X116</f>
        <v>0</v>
      </c>
      <c r="FO116" s="206">
        <f ca="1">FN116*$Z116</f>
        <v>0</v>
      </c>
      <c r="FP116" s="207">
        <f t="shared" ref="FP116" ca="1" si="4710">IFERROR(FO116/FC$4,0)</f>
        <v>0</v>
      </c>
      <c r="FQ116" s="391">
        <f>FC116+FM116</f>
        <v>0</v>
      </c>
      <c r="FR116" s="391">
        <f t="shared" ref="FR116" ca="1" si="4711">FF116+IF($T116 ="",FN116,0)</f>
        <v>0</v>
      </c>
      <c r="FS116" s="391">
        <f ca="1">FR116*$Z116</f>
        <v>0</v>
      </c>
      <c r="FT116" s="394">
        <f t="shared" ref="FT116" ca="1" si="4712">IFERROR(FS116/FC$4,0)</f>
        <v>0</v>
      </c>
      <c r="FU116" s="209" t="str">
        <f t="shared" ref="FU116" ca="1" si="4713">IF(SUM(FH116,FP116,FT116)&lt;&gt;0,"V","")</f>
        <v/>
      </c>
    </row>
    <row r="117" spans="1:177" outlineLevel="2" x14ac:dyDescent="0.2">
      <c r="A117" s="366"/>
      <c r="B117" s="366"/>
      <c r="C117" s="367" t="str">
        <f t="shared" ca="1" si="4658"/>
        <v>LU1169820997:CHF:P</v>
      </c>
      <c r="D117" s="368" t="str">
        <f t="shared" ca="1" si="4658"/>
        <v>LU1169820997</v>
      </c>
      <c r="E117" s="369" t="str">
        <f t="shared" ca="1" si="4658"/>
        <v>26749332</v>
      </c>
      <c r="F117" s="367" t="s">
        <v>765</v>
      </c>
      <c r="G117" s="414"/>
      <c r="H117" s="1713" t="str">
        <f ca="1">IF(OFFSET(Origine,MATCH($F117,Descrizioni,0),MATCH(H$15,Intestazioni,0)-1,1,1)&lt;&gt;"",HYPERLINK(OFFSET(Origine,MATCH($F117,Descrizioni,0),MATCH(H$15,Intestazioni,0)-1,1,1),""),"")</f>
        <v></v>
      </c>
      <c r="I117" s="1683" t="str">
        <f t="shared" ca="1" si="4659"/>
        <v>i</v>
      </c>
      <c r="J117" s="1713" t="str">
        <f t="shared" ca="1" si="4660"/>
        <v></v>
      </c>
      <c r="K117" s="1716" t="str">
        <f t="shared" ca="1" si="4660"/>
        <v></v>
      </c>
      <c r="L117" s="1717" t="str">
        <f ca="1">IF(OFFSET(Origine,MATCH($F117,Descrizioni,0),MATCH(L$15,Intestazioni,0)-1,1,1)&lt;&gt;"",HYPERLINK("https://www.zonebourse.com/mods_a/charts/TV/inc_dyna_graph.php?c="&amp;OFFSET(Origine,MATCH($F117,Descrizioni,0),MATCH(L$15,Intestazioni,0)-1,1,1)&amp;"&amp;style=TradingView.CANDLES&amp;showAT=1",""),"")</f>
        <v></v>
      </c>
      <c r="M117" s="366" t="str">
        <f ca="1">(OFFSET(Origine,MATCH($F117,Descrizioni,0),MATCH(M$15,Intestazioni,0)-1,1,1))</f>
        <v>Unit</v>
      </c>
      <c r="N117" s="417">
        <v>1.4999999999999999E-2</v>
      </c>
      <c r="O117" s="417"/>
      <c r="P117" s="418">
        <f t="shared" ca="1" si="4637"/>
        <v>0</v>
      </c>
      <c r="Q117" s="391">
        <f t="array" aca="1" ref="Q117" ca="1">SUM(IF($AA$15:$FT$15="I_pos",AA117:FT117))</f>
        <v>0</v>
      </c>
      <c r="R117" s="391">
        <f t="array" aca="1" ref="R117" ca="1">SUM(IF($AA$15:$FT$15="P_Pos",AA117:FT117))</f>
        <v>10648.235341344607</v>
      </c>
      <c r="S117" s="367"/>
      <c r="T117" s="391"/>
      <c r="U117" s="375">
        <f ca="1">OFFSET(Origine,MATCH($F117,Descrizioni,0),MATCH(U$15,Intestazioni,0)-1,1,1)</f>
        <v>-2.5403911564625799E-2</v>
      </c>
      <c r="V117" s="391">
        <f t="array" aca="1" ref="V117" ca="1">SUM(IF($AA$15:$FT$15="O_Pos",AA117:FT117))</f>
        <v>0</v>
      </c>
      <c r="W117" s="367" t="str">
        <f ca="1">OFFSET(Origine,MATCH($F117,Descrizioni,0),MATCH(W$15,Intestazioni,0)-1,1,1)</f>
        <v>CHF</v>
      </c>
      <c r="X117" s="392">
        <f ca="1">_xlfn.NUMBERVALUE(OFFSET(Origine,MATCH($F117,Descrizioni,0),MATCH(X$15,Intestazioni,0)-1,1,1))</f>
        <v>18.338000000000001</v>
      </c>
      <c r="Y117" s="393">
        <f t="shared" ca="1" si="4661"/>
        <v>0</v>
      </c>
      <c r="Z117" s="378">
        <f ca="1">_xlfn.NUMBERVALUE(OFFSET(Origine,MATCH(W117&amp;"/"&amp;MRif,LUKB_Name,0),MATCH("Price",Intestazioni,0)-1,1,1))</f>
        <v>1.0000001300000001</v>
      </c>
      <c r="AA117" s="214"/>
      <c r="AB117" s="312" t="str">
        <f t="shared" ca="1" si="4662"/>
        <v/>
      </c>
      <c r="AC117" s="215"/>
      <c r="AD117" s="199">
        <f ca="1">AA117*$X117</f>
        <v>0</v>
      </c>
      <c r="AE117" s="199">
        <f ca="1">AD117*$Z117</f>
        <v>0</v>
      </c>
      <c r="AF117" s="216">
        <f t="shared" ca="1" si="4640"/>
        <v>0</v>
      </c>
      <c r="AG117" s="202">
        <f ca="1">AH117/$X117</f>
        <v>459.28886158837651</v>
      </c>
      <c r="AH117" s="203">
        <f ca="1">AI117/$Z117</f>
        <v>8422.4391438076491</v>
      </c>
      <c r="AI117" s="203">
        <f ca="1">AJ117*AA$4</f>
        <v>8422.4402387247392</v>
      </c>
      <c r="AJ117" s="204">
        <f ca="1">IF(AA$6&lt;&gt;"",$O117,$N117)-AF117</f>
        <v>1.4999999999999999E-2</v>
      </c>
      <c r="AK117" s="205"/>
      <c r="AL117" s="206">
        <f ca="1">AK117*$X117</f>
        <v>0</v>
      </c>
      <c r="AM117" s="206">
        <f ca="1">AL117*$Z117</f>
        <v>0</v>
      </c>
      <c r="AN117" s="207">
        <f t="shared" ca="1" si="4641"/>
        <v>0</v>
      </c>
      <c r="AO117" s="391">
        <f>AA117+AK117</f>
        <v>0</v>
      </c>
      <c r="AP117" s="391">
        <f t="shared" ca="1" si="2846"/>
        <v>0</v>
      </c>
      <c r="AQ117" s="391">
        <f ca="1">AP117*$Z117</f>
        <v>0</v>
      </c>
      <c r="AR117" s="394">
        <f ca="1">IFERROR(AQ117/AA$4,0)</f>
        <v>0</v>
      </c>
      <c r="AS117" s="209" t="str">
        <f t="shared" ca="1" si="3165"/>
        <v/>
      </c>
      <c r="AT117" s="214"/>
      <c r="AU117" s="312" t="str">
        <f t="shared" ca="1" si="4663"/>
        <v/>
      </c>
      <c r="AV117" s="215"/>
      <c r="AW117" s="199">
        <f ca="1">AT117*$X117</f>
        <v>0</v>
      </c>
      <c r="AX117" s="199">
        <f ca="1">AW117*$Z117</f>
        <v>0</v>
      </c>
      <c r="AY117" s="216">
        <f t="shared" ca="1" si="4643"/>
        <v>0</v>
      </c>
      <c r="AZ117" s="202">
        <f ca="1">BA117/$X117</f>
        <v>1416.6008889592295</v>
      </c>
      <c r="BA117" s="203">
        <f ca="1">BB117/$Z117</f>
        <v>25977.62710173435</v>
      </c>
      <c r="BB117" s="203">
        <f ca="1">BC117*AT$4</f>
        <v>25977.630478825875</v>
      </c>
      <c r="BC117" s="204">
        <f ca="1">IF(AT$6&lt;&gt;"",$O117,$N117)-AY117</f>
        <v>1.4999999999999999E-2</v>
      </c>
      <c r="BD117" s="205"/>
      <c r="BE117" s="206">
        <f ca="1">BD117*$X117</f>
        <v>0</v>
      </c>
      <c r="BF117" s="206">
        <f ca="1">BE117*$Z117</f>
        <v>0</v>
      </c>
      <c r="BG117" s="207">
        <f t="shared" ca="1" si="4644"/>
        <v>0</v>
      </c>
      <c r="BH117" s="391">
        <f>AT117+BD117</f>
        <v>0</v>
      </c>
      <c r="BI117" s="391">
        <f t="shared" ca="1" si="2857"/>
        <v>0</v>
      </c>
      <c r="BJ117" s="391">
        <f ca="1">BI117*$Z117</f>
        <v>0</v>
      </c>
      <c r="BK117" s="394">
        <f ca="1">IFERROR(BJ117/AT$4,0)</f>
        <v>0</v>
      </c>
      <c r="BL117" s="211" t="str">
        <f t="shared" ca="1" si="3166"/>
        <v/>
      </c>
      <c r="BM117" s="214"/>
      <c r="BN117" s="312" t="str">
        <f t="shared" ca="1" si="4664"/>
        <v/>
      </c>
      <c r="BO117" s="215"/>
      <c r="BP117" s="199">
        <f ca="1">BM117*$X117</f>
        <v>0</v>
      </c>
      <c r="BQ117" s="199">
        <f ca="1">BP117*$Z117</f>
        <v>0</v>
      </c>
      <c r="BR117" s="216">
        <f t="shared" ca="1" si="4646"/>
        <v>0</v>
      </c>
      <c r="BS117" s="202">
        <f ca="1">BT117/$X117</f>
        <v>233.09974311177848</v>
      </c>
      <c r="BT117" s="203">
        <f ca="1">BU117/$Z117</f>
        <v>4274.5830891837941</v>
      </c>
      <c r="BU117" s="203">
        <f ca="1">BV117*BM$4</f>
        <v>4274.5836448795962</v>
      </c>
      <c r="BV117" s="204">
        <f ca="1">IF(BM$6&lt;&gt;"",$O117,$N117)-BR117</f>
        <v>1.4999999999999999E-2</v>
      </c>
      <c r="BW117" s="205"/>
      <c r="BX117" s="206">
        <f ca="1">BW117*$X117</f>
        <v>0</v>
      </c>
      <c r="BY117" s="206">
        <f ca="1">BX117*$Z117</f>
        <v>0</v>
      </c>
      <c r="BZ117" s="207">
        <f t="shared" ca="1" si="4647"/>
        <v>0</v>
      </c>
      <c r="CA117" s="391">
        <f>BM117+BW117</f>
        <v>0</v>
      </c>
      <c r="CB117" s="391">
        <f t="shared" ca="1" si="2870"/>
        <v>0</v>
      </c>
      <c r="CC117" s="391">
        <f ca="1">CB117*$Z117</f>
        <v>0</v>
      </c>
      <c r="CD117" s="394">
        <f ca="1">IFERROR(CC117/BM$4,0)</f>
        <v>0</v>
      </c>
      <c r="CE117" s="212" t="str">
        <f t="shared" ca="1" si="3167"/>
        <v/>
      </c>
      <c r="CF117" s="214"/>
      <c r="CG117" s="312" t="str">
        <f t="shared" ca="1" si="4665"/>
        <v/>
      </c>
      <c r="CH117" s="215"/>
      <c r="CI117" s="199">
        <f ca="1">CF117*$X117</f>
        <v>0</v>
      </c>
      <c r="CJ117" s="199">
        <f ca="1">CI117*$Z117</f>
        <v>0</v>
      </c>
      <c r="CK117" s="216">
        <f t="shared" ca="1" si="4412"/>
        <v>0</v>
      </c>
      <c r="CL117" s="202">
        <f ca="1">CM117/$X117</f>
        <v>723.87347821287312</v>
      </c>
      <c r="CM117" s="203">
        <f ca="1">CN117/$Z117</f>
        <v>13274.391843467667</v>
      </c>
      <c r="CN117" s="203">
        <f ca="1">CO117*CF$4</f>
        <v>13274.393569138609</v>
      </c>
      <c r="CO117" s="204">
        <f ca="1">IF(CF$6&lt;&gt;"",$O117,$N117)-CK117</f>
        <v>1.4999999999999999E-2</v>
      </c>
      <c r="CP117" s="205"/>
      <c r="CQ117" s="206">
        <f ca="1">CP117*$X117</f>
        <v>0</v>
      </c>
      <c r="CR117" s="206">
        <f ca="1">CQ117*$Z117</f>
        <v>0</v>
      </c>
      <c r="CS117" s="207">
        <f t="shared" ca="1" si="4418"/>
        <v>0</v>
      </c>
      <c r="CT117" s="391">
        <f>CF117+CP117</f>
        <v>0</v>
      </c>
      <c r="CU117" s="391">
        <f t="shared" ca="1" si="2881"/>
        <v>0</v>
      </c>
      <c r="CV117" s="391">
        <f ca="1">CU117*$Z117</f>
        <v>0</v>
      </c>
      <c r="CW117" s="394">
        <f t="shared" ca="1" si="4463"/>
        <v>0</v>
      </c>
      <c r="CX117" s="211" t="str">
        <f t="shared" ca="1" si="3168"/>
        <v/>
      </c>
      <c r="CY117" s="197"/>
      <c r="CZ117" s="312" t="str">
        <f t="shared" ca="1" si="4666"/>
        <v/>
      </c>
      <c r="DA117" s="395"/>
      <c r="DB117" s="199">
        <f ca="1">CY117*$X117</f>
        <v>0</v>
      </c>
      <c r="DC117" s="199">
        <f ca="1">DB117*$Z117</f>
        <v>0</v>
      </c>
      <c r="DD117" s="216">
        <f t="shared" ca="1" si="2886"/>
        <v>0</v>
      </c>
      <c r="DE117" s="202">
        <f ca="1">DF117/$X117</f>
        <v>2932.7778184301797</v>
      </c>
      <c r="DF117" s="203">
        <f ca="1">DG117/$Z117</f>
        <v>53781.279634372637</v>
      </c>
      <c r="DG117" s="203">
        <f ca="1">DH117*CY$4</f>
        <v>53781.286625938992</v>
      </c>
      <c r="DH117" s="204">
        <f ca="1">IF(CY$6&lt;&gt;"",$O117,$N117)-DD117</f>
        <v>1.4999999999999999E-2</v>
      </c>
      <c r="DI117" s="205"/>
      <c r="DJ117" s="206">
        <f ca="1">DI117*$X117</f>
        <v>0</v>
      </c>
      <c r="DK117" s="206">
        <f ca="1">DJ117*$Z117</f>
        <v>0</v>
      </c>
      <c r="DL117" s="207">
        <f t="shared" ca="1" si="2892"/>
        <v>0</v>
      </c>
      <c r="DM117" s="391">
        <f>CY117+DI117</f>
        <v>0</v>
      </c>
      <c r="DN117" s="391">
        <f t="shared" ca="1" si="2894"/>
        <v>0</v>
      </c>
      <c r="DO117" s="391">
        <f ca="1">DN117*$Z117</f>
        <v>0</v>
      </c>
      <c r="DP117" s="394">
        <f t="shared" ca="1" si="3170"/>
        <v>0</v>
      </c>
      <c r="DQ117" s="209" t="str">
        <f t="shared" ca="1" si="3171"/>
        <v/>
      </c>
      <c r="DR117" s="197"/>
      <c r="DS117" s="312" t="str">
        <f t="shared" ca="1" si="4667"/>
        <v/>
      </c>
      <c r="DT117" s="395"/>
      <c r="DU117" s="199">
        <f ca="1">DR117*$X117</f>
        <v>0</v>
      </c>
      <c r="DV117" s="199">
        <f ca="1">DU117*$Z117</f>
        <v>0</v>
      </c>
      <c r="DW117" s="216">
        <f t="shared" ca="1" si="3627"/>
        <v>0</v>
      </c>
      <c r="DX117" s="202">
        <f ca="1">DY117/$X117</f>
        <v>574.02093594633425</v>
      </c>
      <c r="DY117" s="203">
        <f ca="1">DZ117/$Z117</f>
        <v>10526.395923383878</v>
      </c>
      <c r="DZ117" s="203">
        <f ca="1">EA117*DR$4</f>
        <v>10526.397291815349</v>
      </c>
      <c r="EA117" s="204">
        <f ca="1">IF(DR$6&lt;&gt;"",$O117,$N117)-DW117</f>
        <v>1.4999999999999999E-2</v>
      </c>
      <c r="EB117" s="205"/>
      <c r="EC117" s="206">
        <f ca="1">EB117*$X117</f>
        <v>0</v>
      </c>
      <c r="ED117" s="206">
        <f ca="1">EC117*$Z117</f>
        <v>0</v>
      </c>
      <c r="EE117" s="207">
        <f t="shared" ca="1" si="3633"/>
        <v>0</v>
      </c>
      <c r="EF117" s="391">
        <f>DR117+EB117</f>
        <v>0</v>
      </c>
      <c r="EG117" s="391">
        <f t="shared" ca="1" si="4668"/>
        <v>0</v>
      </c>
      <c r="EH117" s="391">
        <f ca="1">EG117*$Z117</f>
        <v>0</v>
      </c>
      <c r="EI117" s="394">
        <f t="shared" ca="1" si="3636"/>
        <v>0</v>
      </c>
      <c r="EJ117" s="214"/>
      <c r="EK117" s="312" t="str">
        <f t="shared" ca="1" si="4669"/>
        <v/>
      </c>
      <c r="EL117" s="222"/>
      <c r="EM117" s="199">
        <f ca="1">EJ117*$X117</f>
        <v>0</v>
      </c>
      <c r="EN117" s="199">
        <f ca="1">EM117*$Z117</f>
        <v>0</v>
      </c>
      <c r="EO117" s="216">
        <f t="shared" ca="1" si="4649"/>
        <v>0</v>
      </c>
      <c r="EP117" s="202">
        <f ca="1">EQ117/$X117</f>
        <v>580.55522667052844</v>
      </c>
      <c r="EQ117" s="203">
        <f ca="1">ER117/$Z117</f>
        <v>10646.221746684152</v>
      </c>
      <c r="ER117" s="203">
        <f ca="1">ES117*EJ$4</f>
        <v>10646.223130692981</v>
      </c>
      <c r="ES117" s="204">
        <f ca="1">IF(EJ$6&lt;&gt;"",$O117,$N117)-EO117</f>
        <v>1.4999999999999999E-2</v>
      </c>
      <c r="ET117" s="205"/>
      <c r="EU117" s="206">
        <f ca="1">ET117*$X117</f>
        <v>0</v>
      </c>
      <c r="EV117" s="206">
        <f ca="1">EU117*$Z117</f>
        <v>0</v>
      </c>
      <c r="EW117" s="207">
        <f t="shared" ca="1" si="4650"/>
        <v>0</v>
      </c>
      <c r="EX117" s="391">
        <f t="shared" si="4651"/>
        <v>0</v>
      </c>
      <c r="EY117" s="391">
        <f t="shared" ca="1" si="2919"/>
        <v>0</v>
      </c>
      <c r="EZ117" s="391">
        <f ca="1">EY117*$Z117</f>
        <v>0</v>
      </c>
      <c r="FA117" s="394">
        <f ca="1">IFERROR(EZ117/EJ$4,0)</f>
        <v>0</v>
      </c>
      <c r="FB117" s="212" t="str">
        <f t="shared" ca="1" si="3172"/>
        <v/>
      </c>
      <c r="FC117" s="214"/>
      <c r="FD117" s="312" t="str">
        <f t="shared" ca="1" si="4670"/>
        <v/>
      </c>
      <c r="FE117" s="215"/>
      <c r="FF117" s="199">
        <f ca="1">FC117*$X117</f>
        <v>0</v>
      </c>
      <c r="FG117" s="199">
        <f ca="1">FF117*$Z117</f>
        <v>0</v>
      </c>
      <c r="FH117" s="216">
        <f t="shared" ca="1" si="4653"/>
        <v>0</v>
      </c>
      <c r="FI117" s="202">
        <f ca="1">FJ117/$X117</f>
        <v>3728.0183884253074</v>
      </c>
      <c r="FJ117" s="203">
        <f ca="1">FK117/$Z117</f>
        <v>68364.401206943294</v>
      </c>
      <c r="FK117" s="203">
        <f ca="1">FL117*FC$4</f>
        <v>68364.410094315463</v>
      </c>
      <c r="FL117" s="204">
        <f ca="1">IF(FC$6&lt;&gt;"",$O117,$N117)-FH117</f>
        <v>1.4999999999999999E-2</v>
      </c>
      <c r="FM117" s="205"/>
      <c r="FN117" s="206">
        <f ca="1">FM117*$X117</f>
        <v>0</v>
      </c>
      <c r="FO117" s="206">
        <f ca="1">FN117*$Z117</f>
        <v>0</v>
      </c>
      <c r="FP117" s="207">
        <f t="shared" ca="1" si="4654"/>
        <v>0</v>
      </c>
      <c r="FQ117" s="391">
        <f>FC117+FM117</f>
        <v>0</v>
      </c>
      <c r="FR117" s="391">
        <f t="shared" ca="1" si="2930"/>
        <v>0</v>
      </c>
      <c r="FS117" s="391">
        <f ca="1">FR117*$Z117</f>
        <v>0</v>
      </c>
      <c r="FT117" s="394">
        <f ca="1">IFERROR(FS117/FC$4,0)</f>
        <v>0</v>
      </c>
      <c r="FU117" s="209" t="str">
        <f t="shared" ca="1" si="3173"/>
        <v/>
      </c>
    </row>
    <row r="118" spans="1:177" outlineLevel="1" x14ac:dyDescent="0.2">
      <c r="A118" s="345"/>
      <c r="B118" s="345" t="s">
        <v>389</v>
      </c>
      <c r="C118" s="346"/>
      <c r="D118" s="347"/>
      <c r="E118" s="348"/>
      <c r="F118" s="346"/>
      <c r="G118" s="349"/>
      <c r="H118" s="1682"/>
      <c r="I118" s="1682"/>
      <c r="J118" s="1712"/>
      <c r="K118" s="1682"/>
      <c r="L118" s="1682"/>
      <c r="M118" s="345"/>
      <c r="N118" s="350">
        <f>SUM(N$119:N$134)</f>
        <v>0.09</v>
      </c>
      <c r="O118" s="350">
        <f>SUM(O$119:O$134)</f>
        <v>0</v>
      </c>
      <c r="P118" s="351">
        <f t="shared" ca="1" si="4637"/>
        <v>7.6122050662536481E-2</v>
      </c>
      <c r="Q118" s="421"/>
      <c r="R118" s="421"/>
      <c r="S118" s="346"/>
      <c r="T118" s="421"/>
      <c r="U118" s="353"/>
      <c r="V118" s="422"/>
      <c r="W118" s="354"/>
      <c r="X118" s="355"/>
      <c r="Y118" s="355"/>
      <c r="Z118" s="356"/>
      <c r="AA118" s="357"/>
      <c r="AB118" s="358"/>
      <c r="AC118" s="358"/>
      <c r="AD118" s="359"/>
      <c r="AE118" s="360">
        <f ca="1">SUM(AE$119:AE$134)</f>
        <v>42919.832415299999</v>
      </c>
      <c r="AF118" s="361">
        <f t="shared" ca="1" si="4640"/>
        <v>7.6438356103667504E-2</v>
      </c>
      <c r="AG118" s="362"/>
      <c r="AH118" s="359"/>
      <c r="AI118" s="360">
        <f ca="1">SUM(AI$119:AI$134)</f>
        <v>7614.809017048432</v>
      </c>
      <c r="AJ118" s="363">
        <f ca="1">IFERROR(AI118/AA$4,0)</f>
        <v>1.3561643896332484E-2</v>
      </c>
      <c r="AK118" s="362"/>
      <c r="AL118" s="359"/>
      <c r="AM118" s="360">
        <f ca="1">SUM(AM$119:AM$134)</f>
        <v>0</v>
      </c>
      <c r="AN118" s="363">
        <f t="shared" ca="1" si="4641"/>
        <v>0</v>
      </c>
      <c r="AO118" s="359"/>
      <c r="AP118" s="359"/>
      <c r="AQ118" s="360">
        <f ca="1">SUM(AQ$119:AQ$134)</f>
        <v>42919.832415299999</v>
      </c>
      <c r="AR118" s="361">
        <f t="shared" ref="AR118:AR119" ca="1" si="4714">IFERROR(AQ118/AA$4,0)</f>
        <v>7.6438356103667504E-2</v>
      </c>
      <c r="AS118" s="364" t="str">
        <f t="shared" ca="1" si="3165"/>
        <v>V</v>
      </c>
      <c r="AT118" s="357"/>
      <c r="AU118" s="358"/>
      <c r="AV118" s="358"/>
      <c r="AW118" s="359"/>
      <c r="AX118" s="360">
        <f ca="1">SUM(AX$119:AX$134)</f>
        <v>131437.48690299998</v>
      </c>
      <c r="AY118" s="361">
        <f t="shared" ca="1" si="4643"/>
        <v>7.5894616529864095E-2</v>
      </c>
      <c r="AZ118" s="362"/>
      <c r="BA118" s="359"/>
      <c r="BB118" s="360">
        <f ca="1">SUM(BB$119:BB$134)</f>
        <v>24428.295969955245</v>
      </c>
      <c r="BC118" s="363">
        <f ca="1">IFERROR(BB118/AT$4,0)</f>
        <v>1.4105383470135886E-2</v>
      </c>
      <c r="BD118" s="362"/>
      <c r="BE118" s="359"/>
      <c r="BF118" s="360">
        <f ca="1">SUM(BF$119:BF$134)</f>
        <v>0</v>
      </c>
      <c r="BG118" s="363">
        <f t="shared" ca="1" si="4644"/>
        <v>0</v>
      </c>
      <c r="BH118" s="359"/>
      <c r="BI118" s="359"/>
      <c r="BJ118" s="360">
        <f ca="1">SUM(BJ$119:BJ$134)</f>
        <v>131437.48690299998</v>
      </c>
      <c r="BK118" s="361">
        <f t="shared" ref="BK118:BK119" ca="1" si="4715">IFERROR(BJ118/AT$4,0)</f>
        <v>7.5894616529864095E-2</v>
      </c>
      <c r="BL118" s="295" t="str">
        <f t="shared" ca="1" si="3166"/>
        <v>V</v>
      </c>
      <c r="BM118" s="357"/>
      <c r="BN118" s="358"/>
      <c r="BO118" s="358"/>
      <c r="BP118" s="359"/>
      <c r="BQ118" s="360">
        <f ca="1">SUM(BQ$119:BQ$134)</f>
        <v>21908.947263900001</v>
      </c>
      <c r="BR118" s="361">
        <f t="shared" ca="1" si="4646"/>
        <v>7.688098684234701E-2</v>
      </c>
      <c r="BS118" s="362"/>
      <c r="BT118" s="359"/>
      <c r="BU118" s="360">
        <f ca="1">SUM(BU$119:BU$134)</f>
        <v>3738.5546053775774</v>
      </c>
      <c r="BV118" s="363">
        <f ca="1">IFERROR(BU118/BM$4,0)</f>
        <v>1.311901315765298E-2</v>
      </c>
      <c r="BW118" s="362"/>
      <c r="BX118" s="359"/>
      <c r="BY118" s="360">
        <f ca="1">SUM(BY$119:BY$134)</f>
        <v>0</v>
      </c>
      <c r="BZ118" s="363">
        <f t="shared" ca="1" si="4647"/>
        <v>0</v>
      </c>
      <c r="CA118" s="359"/>
      <c r="CB118" s="359"/>
      <c r="CC118" s="360">
        <f ca="1">SUM(CC$119:CC$134)</f>
        <v>21908.947263900001</v>
      </c>
      <c r="CD118" s="361">
        <f t="shared" ref="CD118:CD119" ca="1" si="4716">IFERROR(CC118/BM$4,0)</f>
        <v>7.688098684234701E-2</v>
      </c>
      <c r="CE118" s="295" t="str">
        <f t="shared" ca="1" si="3167"/>
        <v>V</v>
      </c>
      <c r="CF118" s="357"/>
      <c r="CG118" s="358"/>
      <c r="CH118" s="358"/>
      <c r="CI118" s="359"/>
      <c r="CJ118" s="360">
        <f ca="1">SUM(CJ$119:CJ$134)</f>
        <v>65438.226548799998</v>
      </c>
      <c r="CK118" s="361">
        <f t="shared" ca="1" si="4412"/>
        <v>7.3944876887938729E-2</v>
      </c>
      <c r="CL118" s="362"/>
      <c r="CM118" s="359"/>
      <c r="CN118" s="360">
        <f ca="1">SUM(CN$119:CN$134)</f>
        <v>14208.134866031649</v>
      </c>
      <c r="CO118" s="363">
        <f ca="1">IFERROR(CN118/CF$4,0)</f>
        <v>1.6055123112061268E-2</v>
      </c>
      <c r="CP118" s="362"/>
      <c r="CQ118" s="359"/>
      <c r="CR118" s="360">
        <f ca="1">SUM(CR$119:CR$134)</f>
        <v>0</v>
      </c>
      <c r="CS118" s="363">
        <f t="shared" ca="1" si="4418"/>
        <v>0</v>
      </c>
      <c r="CT118" s="359"/>
      <c r="CU118" s="359"/>
      <c r="CV118" s="360">
        <f ca="1">SUM(CV$119:CV$134)</f>
        <v>65438.226548799998</v>
      </c>
      <c r="CW118" s="361">
        <f t="shared" ca="1" si="4463"/>
        <v>7.3944876887938729E-2</v>
      </c>
      <c r="CX118" s="295" t="str">
        <f t="shared" ca="1" si="3168"/>
        <v>V</v>
      </c>
      <c r="CY118" s="357"/>
      <c r="CZ118" s="358"/>
      <c r="DA118" s="359"/>
      <c r="DB118" s="360"/>
      <c r="DC118" s="360">
        <f ca="1">SUM(DC$119:DC$134)</f>
        <v>272596.443379</v>
      </c>
      <c r="DD118" s="361">
        <f t="shared" ref="DD118:DD173" ca="1" si="4717">IFERROR(DC118/CY$4,0)</f>
        <v>7.6029171245465876E-2</v>
      </c>
      <c r="DE118" s="362"/>
      <c r="DF118" s="359"/>
      <c r="DG118" s="360">
        <f ca="1">SUM(DG$119:DG$134)</f>
        <v>50091.27637663397</v>
      </c>
      <c r="DH118" s="363">
        <f ca="1">IFERROR(DG118/CY$4,0)</f>
        <v>1.3970828754534115E-2</v>
      </c>
      <c r="DI118" s="362"/>
      <c r="DJ118" s="359"/>
      <c r="DK118" s="360">
        <f ca="1">SUM(DK$119:DK$134)</f>
        <v>0</v>
      </c>
      <c r="DL118" s="363">
        <f t="shared" ref="DL118:DL173" ca="1" si="4718">IFERROR(DK118/CY$4,0)</f>
        <v>0</v>
      </c>
      <c r="DM118" s="359"/>
      <c r="DN118" s="359"/>
      <c r="DO118" s="360">
        <f ca="1">SUM(DO$119:DO$134)</f>
        <v>272596.443379</v>
      </c>
      <c r="DP118" s="361">
        <f t="shared" ca="1" si="3170"/>
        <v>7.6029171245465876E-2</v>
      </c>
      <c r="DQ118" s="364" t="str">
        <f t="shared" ca="1" si="3171"/>
        <v>V</v>
      </c>
      <c r="DR118" s="357"/>
      <c r="DS118" s="358"/>
      <c r="DT118" s="359"/>
      <c r="DU118" s="360"/>
      <c r="DV118" s="360">
        <f ca="1">SUM(DV$119:DV$134)</f>
        <v>62554.731949720008</v>
      </c>
      <c r="DW118" s="361">
        <f t="shared" ca="1" si="3627"/>
        <v>8.9139802843597626E-2</v>
      </c>
      <c r="DX118" s="362"/>
      <c r="DY118" s="359"/>
      <c r="DZ118" s="360">
        <f ca="1">SUM(DZ$119:DZ$134)</f>
        <v>603.65180117208411</v>
      </c>
      <c r="EA118" s="363">
        <f ca="1">IFERROR(DZ118/DR$4,0)</f>
        <v>8.6019715640237861E-4</v>
      </c>
      <c r="EB118" s="362"/>
      <c r="EC118" s="359"/>
      <c r="ED118" s="360">
        <f ca="1">SUM(ED$119:ED$134)</f>
        <v>0</v>
      </c>
      <c r="EE118" s="363">
        <f t="shared" ca="1" si="3633"/>
        <v>0</v>
      </c>
      <c r="EF118" s="359"/>
      <c r="EG118" s="359"/>
      <c r="EH118" s="360">
        <f ca="1">SUM(EH$119:EH$134)</f>
        <v>62554.731949720008</v>
      </c>
      <c r="EI118" s="361">
        <f t="shared" ca="1" si="3636"/>
        <v>8.9139802843597626E-2</v>
      </c>
      <c r="EJ118" s="357"/>
      <c r="EK118" s="358"/>
      <c r="EL118" s="365"/>
      <c r="EM118" s="359"/>
      <c r="EN118" s="360">
        <f ca="1">SUM(EN$119:EN$134)</f>
        <v>17784.531975000002</v>
      </c>
      <c r="EO118" s="361">
        <f t="shared" ca="1" si="4649"/>
        <v>2.5057522874559146E-2</v>
      </c>
      <c r="EP118" s="362"/>
      <c r="EQ118" s="359"/>
      <c r="ER118" s="360">
        <f ca="1">SUM(ER$119:ER$134)</f>
        <v>46092.806809157883</v>
      </c>
      <c r="ES118" s="363">
        <f ca="1">IFERROR(ER118/EJ$4,0)</f>
        <v>6.4942477125440851E-2</v>
      </c>
      <c r="ET118" s="362"/>
      <c r="EU118" s="359"/>
      <c r="EV118" s="360">
        <f ca="1">SUM(EV$119:EV$134)</f>
        <v>0</v>
      </c>
      <c r="EW118" s="363">
        <f t="shared" ca="1" si="4650"/>
        <v>0</v>
      </c>
      <c r="EX118" s="359"/>
      <c r="EY118" s="359"/>
      <c r="EZ118" s="360">
        <f ca="1">SUM(EZ$119:EZ$134)</f>
        <v>17784.531975000002</v>
      </c>
      <c r="FA118" s="361">
        <f t="shared" ref="FA118:FA119" ca="1" si="4719">IFERROR(EZ118/EJ$4,0)</f>
        <v>2.5057522874559146E-2</v>
      </c>
      <c r="FB118" s="295" t="str">
        <f t="shared" ca="1" si="3172"/>
        <v>V</v>
      </c>
      <c r="FC118" s="357"/>
      <c r="FD118" s="358"/>
      <c r="FE118" s="358"/>
      <c r="FF118" s="359"/>
      <c r="FG118" s="360">
        <f ca="1">SUM(FG$119:FG$134)</f>
        <v>0</v>
      </c>
      <c r="FH118" s="361">
        <f t="shared" ca="1" si="4653"/>
        <v>0</v>
      </c>
      <c r="FI118" s="362"/>
      <c r="FJ118" s="359"/>
      <c r="FK118" s="360">
        <f ca="1">SUM(FK$119:FK$134)</f>
        <v>410186.46056589275</v>
      </c>
      <c r="FL118" s="363">
        <f ca="1">IFERROR(FK118/FC$4,0)</f>
        <v>0.09</v>
      </c>
      <c r="FM118" s="362"/>
      <c r="FN118" s="359"/>
      <c r="FO118" s="360">
        <f ca="1">SUM(FO$119:FO$134)</f>
        <v>0</v>
      </c>
      <c r="FP118" s="363">
        <f t="shared" ca="1" si="4654"/>
        <v>0</v>
      </c>
      <c r="FQ118" s="359"/>
      <c r="FR118" s="359"/>
      <c r="FS118" s="360">
        <f ca="1">SUM(FS$119:FS$134)</f>
        <v>0</v>
      </c>
      <c r="FT118" s="361">
        <f t="shared" ref="FT118:FT119" ca="1" si="4720">IFERROR(FS118/FC$4,0)</f>
        <v>0</v>
      </c>
      <c r="FU118" s="364" t="str">
        <f t="shared" ca="1" si="3173"/>
        <v/>
      </c>
    </row>
    <row r="119" spans="1:177" outlineLevel="2" x14ac:dyDescent="0.2">
      <c r="A119" s="366"/>
      <c r="B119" s="366"/>
      <c r="C119" s="367" t="str">
        <f t="shared" ref="C119:C134" ca="1" si="4721">OFFSET(Origine,MATCH($F119,Descrizioni,0),MATCH(C$15,Intestazioni,0)-1,1,1)</f>
        <v>BSP733981026:USD</v>
      </c>
      <c r="D119" s="368" t="str">
        <f t="shared" ref="D119:E134" ca="1" si="4722">OFFSET(Origine,MATCH($F119,Descrizioni,0),MATCH(D$15,Intestazioni,0)-1,1,1)</f>
        <v>BSP733981026</v>
      </c>
      <c r="E119" s="369" t="str">
        <f t="shared" ca="1" si="4722"/>
        <v>30100506</v>
      </c>
      <c r="F119" s="424" t="s">
        <v>766</v>
      </c>
      <c r="G119" s="425"/>
      <c r="H119" s="1713" t="str">
        <f t="shared" ref="H119:H134" ca="1" si="4723">IF(OFFSET(Origine,MATCH($F119,Descrizioni,0),MATCH(H$15,Intestazioni,0)-1,1,1)&lt;&gt;"",HYPERLINK(OFFSET(Origine,MATCH($F119,Descrizioni,0),MATCH(H$15,Intestazioni,0)-1,1,1),""),"")</f>
        <v></v>
      </c>
      <c r="I119" s="1683" t="str">
        <f t="shared" ca="1" si="4659"/>
        <v>i</v>
      </c>
      <c r="J119" s="1713" t="str">
        <f t="shared" ca="1" si="4660"/>
        <v></v>
      </c>
      <c r="K119" s="1716" t="str">
        <f t="shared" ca="1" si="4660"/>
        <v></v>
      </c>
      <c r="L119" s="1717" t="str">
        <f t="shared" ref="L119:L134" ca="1" si="4724">IF(OFFSET(Origine,MATCH($F119,Descrizioni,0),MATCH(L$15,Intestazioni,0)-1,1,1)&lt;&gt;"",HYPERLINK("https://www.zonebourse.com/mods_a/charts/TV/inc_dyna_graph.php?c="&amp;OFFSET(Origine,MATCH($F119,Descrizioni,0),MATCH(L$15,Intestazioni,0)-1,1,1)&amp;"&amp;style=TradingView.CANDLES&amp;showAT=1",""),"")</f>
        <v></v>
      </c>
      <c r="M119" s="366" t="str">
        <f t="shared" ref="M119:M134" ca="1" si="4725">(OFFSET(Origine,MATCH($F119,Descrizioni,0),MATCH(M$15,Intestazioni,0)-1,1,1))</f>
        <v>Unit</v>
      </c>
      <c r="N119" s="417"/>
      <c r="O119" s="417"/>
      <c r="P119" s="418">
        <f t="shared" ca="1" si="4637"/>
        <v>0</v>
      </c>
      <c r="Q119" s="391">
        <f t="array" aca="1" ref="Q119" ca="1">SUM(IF($AA$15:$FT$15="I_pos",AA119:FT119))</f>
        <v>15000</v>
      </c>
      <c r="R119" s="391">
        <f t="array" aca="1" ref="R119" ca="1">SUM(IF($AA$15:$FT$15="P_Pos",AA119:FT119))</f>
        <v>-15000.000000000002</v>
      </c>
      <c r="S119" s="367"/>
      <c r="T119" s="391"/>
      <c r="U119" s="375">
        <f t="shared" ref="U119:U134" ca="1" si="4726">OFFSET(Origine,MATCH($F119,Descrizioni,0),MATCH(U$15,Intestazioni,0)-1,1,1)</f>
        <v>-1.9762845849801997E-3</v>
      </c>
      <c r="V119" s="391">
        <f t="array" aca="1" ref="V119" ca="1">SUM(IF($AA$15:$FT$15="O_Pos",AA119:FT119))</f>
        <v>0</v>
      </c>
      <c r="W119" s="367" t="str">
        <f t="shared" ref="W119" ca="1" si="4727">OFFSET(Origine,MATCH($F119,Descrizioni,0),MATCH(W$15,Intestazioni,0)-1,1,1)</f>
        <v>USD</v>
      </c>
      <c r="X119" s="392">
        <f t="shared" ref="X119:Y125" ca="1" si="4728">_xlfn.NUMBERVALUE(OFFSET(Origine,MATCH($F119,Descrizioni,0),MATCH(X$15,Intestazioni,0)-1,1,1))</f>
        <v>5.0500000000000003E-2</v>
      </c>
      <c r="Y119" s="393">
        <f t="shared" ref="Y119" ca="1" si="4729">_xlfn.NUMBERVALUE(OFFSET(Origine,MATCH($F119,Descrizioni,0),MATCH(Y$15,Intestazioni,0)-1,1,1))</f>
        <v>0</v>
      </c>
      <c r="Z119" s="378">
        <f t="shared" ref="Z119:Z134" ca="1" si="4730">_xlfn.NUMBERVALUE(OFFSET(Origine,MATCH(W119&amp;"/"&amp;MRif,LUKB_Name,0),MATCH("Price",Intestazioni,0)-1,1,1))</f>
        <v>0.78225</v>
      </c>
      <c r="AA119" s="214"/>
      <c r="AB119" s="312" t="str">
        <f t="shared" ref="AB119" ca="1" si="4731">IFERROR($X119/AC119-1,"")</f>
        <v/>
      </c>
      <c r="AC119" s="215"/>
      <c r="AD119" s="199">
        <f t="shared" ref="AD119" ca="1" si="4732">AA119*$X119</f>
        <v>0</v>
      </c>
      <c r="AE119" s="199">
        <f t="shared" ref="AE119" ca="1" si="4733">AD119*$Z119</f>
        <v>0</v>
      </c>
      <c r="AF119" s="216">
        <f t="shared" ref="AF119" ca="1" si="4734">IFERROR(AE119/AA$4,0)</f>
        <v>0</v>
      </c>
      <c r="AG119" s="202">
        <f t="shared" ref="AG119" ca="1" si="4735">AH119/$X119</f>
        <v>0</v>
      </c>
      <c r="AH119" s="203">
        <f t="shared" ref="AH119" ca="1" si="4736">AI119/$Z119</f>
        <v>0</v>
      </c>
      <c r="AI119" s="203">
        <f t="shared" ref="AI119" ca="1" si="4737">AJ119*AA$4</f>
        <v>0</v>
      </c>
      <c r="AJ119" s="204">
        <f t="shared" ref="AJ119:AJ134" ca="1" si="4738">IF(AA$6&lt;&gt;"",$O119,$N119)-AF119</f>
        <v>0</v>
      </c>
      <c r="AK119" s="205"/>
      <c r="AL119" s="206">
        <f t="shared" ref="AL119" ca="1" si="4739">AK119*$X119</f>
        <v>0</v>
      </c>
      <c r="AM119" s="206">
        <f t="shared" ref="AM119" ca="1" si="4740">AL119*$Z119</f>
        <v>0</v>
      </c>
      <c r="AN119" s="207">
        <f t="shared" ref="AN119" ca="1" si="4741">IFERROR(AM119/AA$4,0)</f>
        <v>0</v>
      </c>
      <c r="AO119" s="391">
        <f>AA119+AK119</f>
        <v>0</v>
      </c>
      <c r="AP119" s="391">
        <f t="shared" ref="AP119" ca="1" si="4742">AD119+IF($T119 ="",AL119,0)</f>
        <v>0</v>
      </c>
      <c r="AQ119" s="391">
        <f t="shared" ref="AQ119" ca="1" si="4743">AP119*$Z119</f>
        <v>0</v>
      </c>
      <c r="AR119" s="394">
        <f t="shared" ca="1" si="4714"/>
        <v>0</v>
      </c>
      <c r="AS119" s="209" t="str">
        <f t="shared" ca="1" si="3165"/>
        <v/>
      </c>
      <c r="AT119" s="214"/>
      <c r="AU119" s="312" t="str">
        <f t="shared" ref="AU119" ca="1" si="4744">IFERROR($X119/AV119-1,"")</f>
        <v/>
      </c>
      <c r="AV119" s="215"/>
      <c r="AW119" s="199">
        <f t="shared" ref="AW119" ca="1" si="4745">AT119*$X119</f>
        <v>0</v>
      </c>
      <c r="AX119" s="199">
        <f t="shared" ref="AX119" ca="1" si="4746">AW119*$Z119</f>
        <v>0</v>
      </c>
      <c r="AY119" s="216">
        <f t="shared" ref="AY119" ca="1" si="4747">IFERROR(AX119/AT$4,0)</f>
        <v>0</v>
      </c>
      <c r="AZ119" s="202">
        <f t="shared" ref="AZ119" ca="1" si="4748">BA119/$X119</f>
        <v>0</v>
      </c>
      <c r="BA119" s="203">
        <f t="shared" ref="BA119" ca="1" si="4749">BB119/$Z119</f>
        <v>0</v>
      </c>
      <c r="BB119" s="203">
        <f t="shared" ref="BB119" ca="1" si="4750">BC119*AT$4</f>
        <v>0</v>
      </c>
      <c r="BC119" s="204">
        <f t="shared" ref="BC119:BC134" ca="1" si="4751">IF(AT$6&lt;&gt;"",$O119,$N119)-AY119</f>
        <v>0</v>
      </c>
      <c r="BD119" s="205"/>
      <c r="BE119" s="206">
        <f t="shared" ref="BE119" ca="1" si="4752">BD119*$X119</f>
        <v>0</v>
      </c>
      <c r="BF119" s="206">
        <f t="shared" ref="BF119" ca="1" si="4753">BE119*$Z119</f>
        <v>0</v>
      </c>
      <c r="BG119" s="207">
        <f t="shared" ref="BG119" ca="1" si="4754">IFERROR(BF119/AT$4,0)</f>
        <v>0</v>
      </c>
      <c r="BH119" s="391">
        <f>AT119+BD119</f>
        <v>0</v>
      </c>
      <c r="BI119" s="391">
        <f t="shared" ref="BI119" ca="1" si="4755">AW119+IF($T119 ="",BE119,0)</f>
        <v>0</v>
      </c>
      <c r="BJ119" s="391">
        <f t="shared" ref="BJ119" ca="1" si="4756">BI119*$Z119</f>
        <v>0</v>
      </c>
      <c r="BK119" s="394">
        <f t="shared" ca="1" si="4715"/>
        <v>0</v>
      </c>
      <c r="BL119" s="211" t="str">
        <f t="shared" ca="1" si="3166"/>
        <v/>
      </c>
      <c r="BM119" s="214"/>
      <c r="BN119" s="312" t="str">
        <f t="shared" ref="BN119" ca="1" si="4757">IFERROR($X119/BO119-1,"")</f>
        <v/>
      </c>
      <c r="BO119" s="215"/>
      <c r="BP119" s="199">
        <f t="shared" ref="BP119" ca="1" si="4758">BM119*$X119</f>
        <v>0</v>
      </c>
      <c r="BQ119" s="199">
        <f t="shared" ref="BQ119" ca="1" si="4759">BP119*$Z119</f>
        <v>0</v>
      </c>
      <c r="BR119" s="216">
        <f t="shared" ref="BR119" ca="1" si="4760">IFERROR(BQ119/BM$4,0)</f>
        <v>0</v>
      </c>
      <c r="BS119" s="202">
        <f t="shared" ref="BS119" ca="1" si="4761">BT119/$X119</f>
        <v>0</v>
      </c>
      <c r="BT119" s="203">
        <f t="shared" ref="BT119" ca="1" si="4762">BU119/$Z119</f>
        <v>0</v>
      </c>
      <c r="BU119" s="203">
        <f t="shared" ref="BU119" ca="1" si="4763">BV119*BM$4</f>
        <v>0</v>
      </c>
      <c r="BV119" s="204">
        <f t="shared" ref="BV119:BV134" ca="1" si="4764">IF(BM$6&lt;&gt;"",$O119,$N119)-BR119</f>
        <v>0</v>
      </c>
      <c r="BW119" s="205"/>
      <c r="BX119" s="206">
        <f t="shared" ref="BX119" ca="1" si="4765">BW119*$X119</f>
        <v>0</v>
      </c>
      <c r="BY119" s="206">
        <f t="shared" ref="BY119" ca="1" si="4766">BX119*$Z119</f>
        <v>0</v>
      </c>
      <c r="BZ119" s="207">
        <f t="shared" ref="BZ119" ca="1" si="4767">IFERROR(BY119/BM$4,0)</f>
        <v>0</v>
      </c>
      <c r="CA119" s="391">
        <f>BM119+BW119</f>
        <v>0</v>
      </c>
      <c r="CB119" s="391">
        <f t="shared" ref="CB119" ca="1" si="4768">BP119+IF($T119 ="",BX119,0)</f>
        <v>0</v>
      </c>
      <c r="CC119" s="391">
        <f t="shared" ref="CC119" ca="1" si="4769">CB119*$Z119</f>
        <v>0</v>
      </c>
      <c r="CD119" s="394">
        <f t="shared" ca="1" si="4716"/>
        <v>0</v>
      </c>
      <c r="CE119" s="212" t="str">
        <f t="shared" ca="1" si="3167"/>
        <v/>
      </c>
      <c r="CF119" s="214"/>
      <c r="CG119" s="312" t="str">
        <f t="shared" ref="CG119" ca="1" si="4770">IFERROR($X119/CH119-1,"")</f>
        <v/>
      </c>
      <c r="CH119" s="215"/>
      <c r="CI119" s="199">
        <f t="shared" ref="CI119" ca="1" si="4771">CF119*$X119</f>
        <v>0</v>
      </c>
      <c r="CJ119" s="199">
        <f t="shared" ref="CJ119" ca="1" si="4772">CI119*$Z119</f>
        <v>0</v>
      </c>
      <c r="CK119" s="216">
        <f t="shared" ref="CK119" ca="1" si="4773">IFERROR(CJ119/CF$4,0)</f>
        <v>0</v>
      </c>
      <c r="CL119" s="202">
        <f t="shared" ref="CL119" ca="1" si="4774">CM119/$X119</f>
        <v>0</v>
      </c>
      <c r="CM119" s="203">
        <f t="shared" ref="CM119" ca="1" si="4775">CN119/$Z119</f>
        <v>0</v>
      </c>
      <c r="CN119" s="203">
        <f t="shared" ref="CN119" ca="1" si="4776">CO119*CF$4</f>
        <v>0</v>
      </c>
      <c r="CO119" s="204">
        <f t="shared" ref="CO119:CO134" ca="1" si="4777">IF(CF$6&lt;&gt;"",$O119,$N119)-CK119</f>
        <v>0</v>
      </c>
      <c r="CP119" s="205"/>
      <c r="CQ119" s="206">
        <f t="shared" ref="CQ119" ca="1" si="4778">CP119*$X119</f>
        <v>0</v>
      </c>
      <c r="CR119" s="206">
        <f t="shared" ref="CR119" ca="1" si="4779">CQ119*$Z119</f>
        <v>0</v>
      </c>
      <c r="CS119" s="207">
        <f t="shared" ref="CS119" ca="1" si="4780">IFERROR(CR119/CF$4,0)</f>
        <v>0</v>
      </c>
      <c r="CT119" s="391">
        <f>CF119+CP119</f>
        <v>0</v>
      </c>
      <c r="CU119" s="391">
        <f t="shared" ref="CU119" ca="1" si="4781">CI119+IF($T119 ="",CQ119,0)</f>
        <v>0</v>
      </c>
      <c r="CV119" s="391">
        <f t="shared" ref="CV119" ca="1" si="4782">CU119*$Z119</f>
        <v>0</v>
      </c>
      <c r="CW119" s="394">
        <f t="shared" ref="CW119" ca="1" si="4783">IFERROR(CV119/CF$4,0)</f>
        <v>0</v>
      </c>
      <c r="CX119" s="211" t="str">
        <f t="shared" ca="1" si="3168"/>
        <v/>
      </c>
      <c r="CY119" s="197"/>
      <c r="CZ119" s="312" t="str">
        <f t="shared" ref="CZ119" ca="1" si="4784">IFERROR($X119/DA119-1,"")</f>
        <v/>
      </c>
      <c r="DA119" s="395"/>
      <c r="DB119" s="199">
        <f t="shared" ref="DB119" ca="1" si="4785">CY119*$X119</f>
        <v>0</v>
      </c>
      <c r="DC119" s="199">
        <f t="shared" ref="DC119" ca="1" si="4786">DB119*$Z119</f>
        <v>0</v>
      </c>
      <c r="DD119" s="216">
        <f t="shared" ref="DD119" ca="1" si="4787">IFERROR(DC119/CY$4,0)</f>
        <v>0</v>
      </c>
      <c r="DE119" s="202">
        <f t="shared" ref="DE119" ca="1" si="4788">DF119/$X119</f>
        <v>0</v>
      </c>
      <c r="DF119" s="203">
        <f t="shared" ref="DF119" ca="1" si="4789">DG119/$Z119</f>
        <v>0</v>
      </c>
      <c r="DG119" s="203">
        <f t="shared" ref="DG119" ca="1" si="4790">DH119*CY$4</f>
        <v>0</v>
      </c>
      <c r="DH119" s="204">
        <f t="shared" ref="DH119:DH134" ca="1" si="4791">IF(CY$6&lt;&gt;"",$O119,$N119)-DD119</f>
        <v>0</v>
      </c>
      <c r="DI119" s="205"/>
      <c r="DJ119" s="206">
        <f t="shared" ref="DJ119" ca="1" si="4792">DI119*$X119</f>
        <v>0</v>
      </c>
      <c r="DK119" s="206">
        <f t="shared" ref="DK119" ca="1" si="4793">DJ119*$Z119</f>
        <v>0</v>
      </c>
      <c r="DL119" s="207">
        <f t="shared" ref="DL119" ca="1" si="4794">IFERROR(DK119/CY$4,0)</f>
        <v>0</v>
      </c>
      <c r="DM119" s="391">
        <f t="shared" ref="DM119:DM125" si="4795">CY119+DI119</f>
        <v>0</v>
      </c>
      <c r="DN119" s="391">
        <f t="shared" ref="DN119" ca="1" si="4796">DB119+IF($T119 ="",DJ119,0)</f>
        <v>0</v>
      </c>
      <c r="DO119" s="391">
        <f t="shared" ref="DO119" ca="1" si="4797">DN119*$Z119</f>
        <v>0</v>
      </c>
      <c r="DP119" s="394">
        <f t="shared" ref="DP119" ca="1" si="4798">IFERROR(DO119/CY$4,0)</f>
        <v>0</v>
      </c>
      <c r="DQ119" s="209" t="str">
        <f t="shared" ca="1" si="3171"/>
        <v/>
      </c>
      <c r="DR119" s="197"/>
      <c r="DS119" s="312" t="str">
        <f t="shared" ref="DS119:DS125" ca="1" si="4799">IFERROR($X119/DT119-1,"")</f>
        <v/>
      </c>
      <c r="DT119" s="395"/>
      <c r="DU119" s="199">
        <f t="shared" ref="DU119:DU125" ca="1" si="4800">DR119*$X119</f>
        <v>0</v>
      </c>
      <c r="DV119" s="199">
        <f t="shared" ref="DV119:DV125" ca="1" si="4801">DU119*$Z119</f>
        <v>0</v>
      </c>
      <c r="DW119" s="216">
        <f t="shared" ca="1" si="3627"/>
        <v>0</v>
      </c>
      <c r="DX119" s="202">
        <f t="shared" ref="DX119:DX125" ca="1" si="4802">DY119/$X119</f>
        <v>0</v>
      </c>
      <c r="DY119" s="203">
        <f t="shared" ref="DY119:DY125" ca="1" si="4803">DZ119/$Z119</f>
        <v>0</v>
      </c>
      <c r="DZ119" s="203">
        <f t="shared" ref="DZ119:DZ125" ca="1" si="4804">EA119*DR$4</f>
        <v>0</v>
      </c>
      <c r="EA119" s="204">
        <f t="shared" ref="EA119:EA134" ca="1" si="4805">IF(DR$6&lt;&gt;"",$O119,$N119)-DW119</f>
        <v>0</v>
      </c>
      <c r="EB119" s="205"/>
      <c r="EC119" s="206">
        <f t="shared" ref="EC119:EC125" ca="1" si="4806">EB119*$X119</f>
        <v>0</v>
      </c>
      <c r="ED119" s="206">
        <f t="shared" ref="ED119:ED125" ca="1" si="4807">EC119*$Z119</f>
        <v>0</v>
      </c>
      <c r="EE119" s="207">
        <f t="shared" ca="1" si="3633"/>
        <v>0</v>
      </c>
      <c r="EF119" s="391">
        <f t="shared" ref="EF119:EF125" si="4808">DR119+EB119</f>
        <v>0</v>
      </c>
      <c r="EG119" s="391">
        <f t="shared" ref="EG119:EG125" ca="1" si="4809">DU119+IF($T119 ="",EC119,0)</f>
        <v>0</v>
      </c>
      <c r="EH119" s="391">
        <f t="shared" ref="EH119:EH125" ca="1" si="4810">EG119*$Z119</f>
        <v>0</v>
      </c>
      <c r="EI119" s="394">
        <f t="shared" ca="1" si="3636"/>
        <v>0</v>
      </c>
      <c r="EJ119" s="197">
        <f>15000+5000+-5000</f>
        <v>15000</v>
      </c>
      <c r="EK119" s="312">
        <f t="shared" ref="EK119" ca="1" si="4811">IFERROR($X119/EL119-1,"")</f>
        <v>-0.9740533319632122</v>
      </c>
      <c r="EL119" s="222">
        <v>1.9462999999999999</v>
      </c>
      <c r="EM119" s="199">
        <f t="shared" ref="EM119" ca="1" si="4812">EJ119*$X119</f>
        <v>757.5</v>
      </c>
      <c r="EN119" s="199">
        <f t="shared" ref="EN119" ca="1" si="4813">EM119*$Z119</f>
        <v>592.55437500000005</v>
      </c>
      <c r="EO119" s="216">
        <f t="shared" ref="EO119" ca="1" si="4814">IFERROR(EN119/EJ$4,0)</f>
        <v>8.3487970483870982E-4</v>
      </c>
      <c r="EP119" s="202">
        <f t="shared" ref="EP119" ca="1" si="4815">EQ119/$X119</f>
        <v>-15000.000000000002</v>
      </c>
      <c r="EQ119" s="203">
        <f t="shared" ref="EQ119" ca="1" si="4816">ER119/$Z119</f>
        <v>-757.50000000000011</v>
      </c>
      <c r="ER119" s="203">
        <f t="shared" ref="ER119" ca="1" si="4817">ES119*EJ$4</f>
        <v>-592.55437500000005</v>
      </c>
      <c r="ES119" s="204">
        <f t="shared" ref="ES119:ES134" ca="1" si="4818">IF(EJ$6&lt;&gt;"",$O119,$N119)-EO119</f>
        <v>-8.3487970483870982E-4</v>
      </c>
      <c r="ET119" s="205"/>
      <c r="EU119" s="206">
        <f t="shared" ref="EU119" ca="1" si="4819">ET119*$X119</f>
        <v>0</v>
      </c>
      <c r="EV119" s="206">
        <f t="shared" ref="EV119" ca="1" si="4820">EU119*$Z119</f>
        <v>0</v>
      </c>
      <c r="EW119" s="207">
        <f t="shared" ref="EW119" ca="1" si="4821">IFERROR(EV119/EJ$4,0)</f>
        <v>0</v>
      </c>
      <c r="EX119" s="391">
        <f>EJ119+ET119</f>
        <v>15000</v>
      </c>
      <c r="EY119" s="391">
        <f t="shared" ref="EY119" ca="1" si="4822">EM119+IF($T119 ="",EU119,0)</f>
        <v>757.5</v>
      </c>
      <c r="EZ119" s="391">
        <f t="shared" ref="EZ119" ca="1" si="4823">EY119*$Z119</f>
        <v>592.55437500000005</v>
      </c>
      <c r="FA119" s="394">
        <f t="shared" ca="1" si="4719"/>
        <v>8.3487970483870982E-4</v>
      </c>
      <c r="FB119" s="212" t="str">
        <f t="shared" ca="1" si="3172"/>
        <v>V</v>
      </c>
      <c r="FC119" s="214"/>
      <c r="FD119" s="312" t="str">
        <f t="shared" ref="FD119" ca="1" si="4824">IFERROR($X119/FE119-1,"")</f>
        <v/>
      </c>
      <c r="FE119" s="215"/>
      <c r="FF119" s="199">
        <f t="shared" ref="FF119" ca="1" si="4825">FC119*$X119</f>
        <v>0</v>
      </c>
      <c r="FG119" s="199">
        <f t="shared" ref="FG119" ca="1" si="4826">FF119*$Z119</f>
        <v>0</v>
      </c>
      <c r="FH119" s="216">
        <f t="shared" ref="FH119" ca="1" si="4827">IFERROR(FG119/FC$4,0)</f>
        <v>0</v>
      </c>
      <c r="FI119" s="202">
        <f t="shared" ref="FI119" ca="1" si="4828">FJ119/$X119</f>
        <v>0</v>
      </c>
      <c r="FJ119" s="203">
        <f t="shared" ref="FJ119" ca="1" si="4829">FK119/$Z119</f>
        <v>0</v>
      </c>
      <c r="FK119" s="203">
        <f t="shared" ref="FK119" ca="1" si="4830">FL119*FC$4</f>
        <v>0</v>
      </c>
      <c r="FL119" s="204">
        <f t="shared" ref="FL119:FL134" ca="1" si="4831">IF(FC$6&lt;&gt;"",$O119,$N119)-FH119</f>
        <v>0</v>
      </c>
      <c r="FM119" s="205"/>
      <c r="FN119" s="206">
        <f t="shared" ref="FN119" ca="1" si="4832">FM119*$X119</f>
        <v>0</v>
      </c>
      <c r="FO119" s="206">
        <f t="shared" ref="FO119" ca="1" si="4833">FN119*$Z119</f>
        <v>0</v>
      </c>
      <c r="FP119" s="207">
        <f t="shared" ref="FP119" ca="1" si="4834">IFERROR(FO119/FC$4,0)</f>
        <v>0</v>
      </c>
      <c r="FQ119" s="391">
        <f>FC119+FM119</f>
        <v>0</v>
      </c>
      <c r="FR119" s="391">
        <f t="shared" ref="FR119" ca="1" si="4835">FF119+IF($T119 ="",FN119,0)</f>
        <v>0</v>
      </c>
      <c r="FS119" s="391">
        <f t="shared" ref="FS119" ca="1" si="4836">FR119*$Z119</f>
        <v>0</v>
      </c>
      <c r="FT119" s="394">
        <f t="shared" ca="1" si="4720"/>
        <v>0</v>
      </c>
      <c r="FU119" s="209" t="str">
        <f t="shared" ca="1" si="3173"/>
        <v/>
      </c>
    </row>
    <row r="120" spans="1:177" outlineLevel="2" x14ac:dyDescent="0.2">
      <c r="A120" s="366"/>
      <c r="B120" s="366"/>
      <c r="C120" s="367" t="str">
        <f t="shared" ref="C120:E121" ca="1" si="4837">OFFSET(Origine,MATCH($F120,Descrizioni,0),MATCH(C$15,Intestazioni,0)-1,1,1)</f>
        <v>US81369Y8527:USD:P</v>
      </c>
      <c r="D120" s="368" t="str">
        <f t="shared" ca="1" si="4837"/>
        <v>US81369Y8527</v>
      </c>
      <c r="E120" s="369" t="str">
        <f t="shared" ca="1" si="4837"/>
        <v>42302430</v>
      </c>
      <c r="F120" s="367" t="s">
        <v>415</v>
      </c>
      <c r="G120" s="414"/>
      <c r="H120" s="1713" t="str">
        <f t="shared" ca="1" si="4723"/>
        <v></v>
      </c>
      <c r="I120" s="1683" t="str">
        <f t="shared" ref="I120:I121" ca="1" si="4838">IF(OFFSET(Origine,MATCH($F120,Descrizioni,0),MATCH(I$15,Intestazioni,0)-1,1,1)&lt;&gt;"",HYPERLINK(OFFSET(Origine,MATCH($F120,Descrizioni,0),MATCH(I$15,Intestazioni,0)-1,1,1),"i"),"")</f>
        <v>i</v>
      </c>
      <c r="J120" s="1713" t="str">
        <f t="shared" ref="J120:K121" ca="1" si="4839">IF(OFFSET(Origine,MATCH($F120,Descrizioni,0),MATCH(J$15,Intestazioni,0)-1,1,1)&lt;&gt;"",HYPERLINK(OFFSET(Origine,MATCH($F120,Descrizioni,0),MATCH(J$15,Intestazioni,0)-1,1,1),""),"")</f>
        <v/>
      </c>
      <c r="K120" s="1716" t="str">
        <f t="shared" ca="1" si="4839"/>
        <v></v>
      </c>
      <c r="L120" s="1717" t="str">
        <f t="shared" ref="L120:L121" ca="1" si="4840">IF(OFFSET(Origine,MATCH($F120,Descrizioni,0),MATCH(L$15,Intestazioni,0)-1,1,1)&lt;&gt;"",HYPERLINK("https://www.zonebourse.com/mods_a/charts/TV/inc_dyna_graph.php?c="&amp;OFFSET(Origine,MATCH($F120,Descrizioni,0),MATCH(L$15,Intestazioni,0)-1,1,1)&amp;"&amp;style=TradingView.CANDLES&amp;showAT=1",""),"")</f>
        <v></v>
      </c>
      <c r="M120" s="366" t="str">
        <f t="shared" ref="M120:M121" ca="1" si="4841">(OFFSET(Origine,MATCH($F120,Descrizioni,0),MATCH(M$15,Intestazioni,0)-1,1,1))</f>
        <v>Unit</v>
      </c>
      <c r="N120" s="417">
        <v>1.4999999999999999E-2</v>
      </c>
      <c r="O120" s="417"/>
      <c r="P120" s="418">
        <f t="shared" ca="1" si="4637"/>
        <v>0</v>
      </c>
      <c r="Q120" s="391">
        <f t="array" aca="1" ref="Q120" ca="1">SUM(IF($AA$15:$FT$15="I_pos",AA120:FT120))</f>
        <v>720</v>
      </c>
      <c r="R120" s="391">
        <f t="array" aca="1" ref="R120" ca="1">SUM(IF($AA$15:$FT$15="P_Pos",AA120:FT120))</f>
        <v>1407.1641263404781</v>
      </c>
      <c r="S120" s="367"/>
      <c r="T120" s="391"/>
      <c r="U120" s="375">
        <f t="shared" ref="U120:U121" ca="1" si="4842">OFFSET(Origine,MATCH($F120,Descrizioni,0),MATCH(U$15,Intestazioni,0)-1,1,1)</f>
        <v>-5.0869012293344998E-3</v>
      </c>
      <c r="V120" s="391">
        <f t="array" aca="1" ref="V120" ca="1">SUM(IF($AA$15:$FT$15="O_Pos",AA120:FT120))</f>
        <v>0</v>
      </c>
      <c r="W120" s="367" t="str">
        <f t="shared" ref="W120:W121" ca="1" si="4843">OFFSET(Origine,MATCH($F120,Descrizioni,0),MATCH(W$15,Intestazioni,0)-1,1,1)</f>
        <v>USD</v>
      </c>
      <c r="X120" s="392">
        <f t="shared" ca="1" si="4728"/>
        <v>117.35</v>
      </c>
      <c r="Y120" s="393">
        <f t="shared" ca="1" si="4728"/>
        <v>0</v>
      </c>
      <c r="Z120" s="378">
        <f t="shared" ref="Z120" ca="1" si="4844">_xlfn.NUMBERVALUE(OFFSET(Origine,MATCH(W120&amp;"/"&amp;MRif,LUKB_Name,0),MATCH("Price",Intestazioni,0)-1,1,1))</f>
        <v>0.78225</v>
      </c>
      <c r="AA120" s="214"/>
      <c r="AB120" s="312" t="str">
        <f t="shared" ref="AB120" ca="1" si="4845">IFERROR($X120/AC120-1,"")</f>
        <v/>
      </c>
      <c r="AC120" s="215"/>
      <c r="AD120" s="199">
        <f t="shared" ref="AD120" ca="1" si="4846">AA120*$X120</f>
        <v>0</v>
      </c>
      <c r="AE120" s="199">
        <f t="shared" ref="AE120" ca="1" si="4847">AD120*$Z120</f>
        <v>0</v>
      </c>
      <c r="AF120" s="216">
        <f t="shared" ref="AF120" ca="1" si="4848">IFERROR(AE120/AA$4,0)</f>
        <v>0</v>
      </c>
      <c r="AG120" s="202">
        <f t="shared" ref="AG120" ca="1" si="4849">AH120/$X120</f>
        <v>91.750675927038927</v>
      </c>
      <c r="AH120" s="203">
        <f t="shared" ref="AH120" ca="1" si="4850">AI120/$Z120</f>
        <v>10766.941820038017</v>
      </c>
      <c r="AI120" s="203">
        <f t="shared" ref="AI120" ca="1" si="4851">AJ120*AA$4</f>
        <v>8422.4402387247392</v>
      </c>
      <c r="AJ120" s="204">
        <f t="shared" ca="1" si="4738"/>
        <v>1.4999999999999999E-2</v>
      </c>
      <c r="AK120" s="205"/>
      <c r="AL120" s="206">
        <f t="shared" ref="AL120" ca="1" si="4852">AK120*$X120</f>
        <v>0</v>
      </c>
      <c r="AM120" s="206">
        <f t="shared" ref="AM120" ca="1" si="4853">AL120*$Z120</f>
        <v>0</v>
      </c>
      <c r="AN120" s="207">
        <f t="shared" ref="AN120" ca="1" si="4854">IFERROR(AM120/AA$4,0)</f>
        <v>0</v>
      </c>
      <c r="AO120" s="391">
        <f t="shared" ref="AO120:AO125" si="4855">AA120+AK120</f>
        <v>0</v>
      </c>
      <c r="AP120" s="391">
        <f t="shared" ref="AP120" ca="1" si="4856">AD120+IF($T120 ="",AL120,0)</f>
        <v>0</v>
      </c>
      <c r="AQ120" s="391">
        <f t="shared" ref="AQ120" ca="1" si="4857">AP120*$Z120</f>
        <v>0</v>
      </c>
      <c r="AR120" s="394">
        <f t="shared" ref="AR120" ca="1" si="4858">IFERROR(AQ120/AA$4,0)</f>
        <v>0</v>
      </c>
      <c r="AS120" s="209" t="str">
        <f t="shared" ref="AS120" ca="1" si="4859">IF(SUM(AF120,AN120,AR120)&lt;&gt;0,"V","")</f>
        <v/>
      </c>
      <c r="AT120" s="214"/>
      <c r="AU120" s="312" t="str">
        <f t="shared" ref="AU120" ca="1" si="4860">IFERROR($X120/AV120-1,"")</f>
        <v/>
      </c>
      <c r="AV120" s="215"/>
      <c r="AW120" s="199">
        <f t="shared" ref="AW120" ca="1" si="4861">AT120*$X120</f>
        <v>0</v>
      </c>
      <c r="AX120" s="199">
        <f t="shared" ref="AX120" ca="1" si="4862">AW120*$Z120</f>
        <v>0</v>
      </c>
      <c r="AY120" s="216">
        <f t="shared" ref="AY120" ca="1" si="4863">IFERROR(AX120/AT$4,0)</f>
        <v>0</v>
      </c>
      <c r="AZ120" s="202">
        <f t="shared" ref="AZ120" ca="1" si="4864">BA120/$X120</f>
        <v>282.98985660431447</v>
      </c>
      <c r="BA120" s="203">
        <f t="shared" ref="BA120" ca="1" si="4865">BB120/$Z120</f>
        <v>33208.859672516301</v>
      </c>
      <c r="BB120" s="203">
        <f t="shared" ref="BB120" ca="1" si="4866">BC120*AT$4</f>
        <v>25977.630478825875</v>
      </c>
      <c r="BC120" s="204">
        <f t="shared" ca="1" si="4751"/>
        <v>1.4999999999999999E-2</v>
      </c>
      <c r="BD120" s="205"/>
      <c r="BE120" s="206">
        <f t="shared" ref="BE120" ca="1" si="4867">BD120*$X120</f>
        <v>0</v>
      </c>
      <c r="BF120" s="206">
        <f t="shared" ref="BF120" ca="1" si="4868">BE120*$Z120</f>
        <v>0</v>
      </c>
      <c r="BG120" s="207">
        <f t="shared" ref="BG120" ca="1" si="4869">IFERROR(BF120/AT$4,0)</f>
        <v>0</v>
      </c>
      <c r="BH120" s="391">
        <f t="shared" ref="BH120:BH125" si="4870">AT120+BD120</f>
        <v>0</v>
      </c>
      <c r="BI120" s="391">
        <f t="shared" ref="BI120" ca="1" si="4871">AW120+IF($T120 ="",BE120,0)</f>
        <v>0</v>
      </c>
      <c r="BJ120" s="391">
        <f t="shared" ref="BJ120" ca="1" si="4872">BI120*$Z120</f>
        <v>0</v>
      </c>
      <c r="BK120" s="394">
        <f t="shared" ref="BK120" ca="1" si="4873">IFERROR(BJ120/AT$4,0)</f>
        <v>0</v>
      </c>
      <c r="BL120" s="211" t="str">
        <f t="shared" ref="BL120" ca="1" si="4874">IF(SUM(AY120,BG120,BK120)&lt;&gt;0,"V","")</f>
        <v/>
      </c>
      <c r="BM120" s="214"/>
      <c r="BN120" s="312" t="str">
        <f t="shared" ref="BN120" ca="1" si="4875">IFERROR($X120/BO120-1,"")</f>
        <v/>
      </c>
      <c r="BO120" s="215"/>
      <c r="BP120" s="199">
        <f t="shared" ref="BP120" ca="1" si="4876">BM120*$X120</f>
        <v>0</v>
      </c>
      <c r="BQ120" s="199">
        <f t="shared" ref="BQ120" ca="1" si="4877">BP120*$Z120</f>
        <v>0</v>
      </c>
      <c r="BR120" s="216">
        <f t="shared" ref="BR120" ca="1" si="4878">IFERROR(BQ120/BM$4,0)</f>
        <v>0</v>
      </c>
      <c r="BS120" s="202">
        <f t="shared" ref="BS120" ca="1" si="4879">BT120/$X120</f>
        <v>46.565594721720686</v>
      </c>
      <c r="BT120" s="203">
        <f t="shared" ref="BT120" ca="1" si="4880">BU120/$Z120</f>
        <v>5464.4725405939225</v>
      </c>
      <c r="BU120" s="203">
        <f t="shared" ref="BU120" ca="1" si="4881">BV120*BM$4</f>
        <v>4274.5836448795962</v>
      </c>
      <c r="BV120" s="204">
        <f t="shared" ca="1" si="4764"/>
        <v>1.4999999999999999E-2</v>
      </c>
      <c r="BW120" s="205"/>
      <c r="BX120" s="206">
        <f t="shared" ref="BX120" ca="1" si="4882">BW120*$X120</f>
        <v>0</v>
      </c>
      <c r="BY120" s="206">
        <f t="shared" ref="BY120" ca="1" si="4883">BX120*$Z120</f>
        <v>0</v>
      </c>
      <c r="BZ120" s="207">
        <f t="shared" ref="BZ120" ca="1" si="4884">IFERROR(BY120/BM$4,0)</f>
        <v>0</v>
      </c>
      <c r="CA120" s="391">
        <f t="shared" ref="CA120:CA125" si="4885">BM120+BW120</f>
        <v>0</v>
      </c>
      <c r="CB120" s="391">
        <f t="shared" ref="CB120" ca="1" si="4886">BP120+IF($T120 ="",BX120,0)</f>
        <v>0</v>
      </c>
      <c r="CC120" s="391">
        <f t="shared" ref="CC120" ca="1" si="4887">CB120*$Z120</f>
        <v>0</v>
      </c>
      <c r="CD120" s="394">
        <f t="shared" ref="CD120" ca="1" si="4888">IFERROR(CC120/BM$4,0)</f>
        <v>0</v>
      </c>
      <c r="CE120" s="212" t="str">
        <f t="shared" ref="CE120" ca="1" si="4889">IF(SUM(BR120,BZ120,CD120)&lt;&gt;0,"V","")</f>
        <v/>
      </c>
      <c r="CF120" s="214"/>
      <c r="CG120" s="312" t="str">
        <f t="shared" ref="CG120" ca="1" si="4890">IFERROR($X120/CH120-1,"")</f>
        <v/>
      </c>
      <c r="CH120" s="215"/>
      <c r="CI120" s="199">
        <f t="shared" ref="CI120" ca="1" si="4891">CF120*$X120</f>
        <v>0</v>
      </c>
      <c r="CJ120" s="199">
        <f t="shared" ref="CJ120" ca="1" si="4892">CI120*$Z120</f>
        <v>0</v>
      </c>
      <c r="CK120" s="216">
        <f t="shared" ref="CK120" ca="1" si="4893">IFERROR(CJ120/CF$4,0)</f>
        <v>0</v>
      </c>
      <c r="CL120" s="202">
        <f t="shared" ref="CL120" ca="1" si="4894">CM120/$X120</f>
        <v>144.60590374867607</v>
      </c>
      <c r="CM120" s="203">
        <f t="shared" ref="CM120" ca="1" si="4895">CN120/$Z120</f>
        <v>16969.502804907137</v>
      </c>
      <c r="CN120" s="203">
        <f t="shared" ref="CN120" ca="1" si="4896">CO120*CF$4</f>
        <v>13274.393569138609</v>
      </c>
      <c r="CO120" s="204">
        <f t="shared" ca="1" si="4777"/>
        <v>1.4999999999999999E-2</v>
      </c>
      <c r="CP120" s="205"/>
      <c r="CQ120" s="206">
        <f t="shared" ref="CQ120" ca="1" si="4897">CP120*$X120</f>
        <v>0</v>
      </c>
      <c r="CR120" s="206">
        <f t="shared" ref="CR120" ca="1" si="4898">CQ120*$Z120</f>
        <v>0</v>
      </c>
      <c r="CS120" s="207">
        <f t="shared" ref="CS120" ca="1" si="4899">IFERROR(CR120/CF$4,0)</f>
        <v>0</v>
      </c>
      <c r="CT120" s="391">
        <f t="shared" ref="CT120:CT125" si="4900">CF120+CP120</f>
        <v>0</v>
      </c>
      <c r="CU120" s="391">
        <f t="shared" ref="CU120" ca="1" si="4901">CI120+IF($T120 ="",CQ120,0)</f>
        <v>0</v>
      </c>
      <c r="CV120" s="391">
        <f t="shared" ref="CV120" ca="1" si="4902">CU120*$Z120</f>
        <v>0</v>
      </c>
      <c r="CW120" s="394">
        <f t="shared" ref="CW120" ca="1" si="4903">IFERROR(CV120/CF$4,0)</f>
        <v>0</v>
      </c>
      <c r="CX120" s="211" t="str">
        <f t="shared" ref="CX120" ca="1" si="4904">IF(SUM(CK120,CS120,CW120)&lt;&gt;0,"V","")</f>
        <v/>
      </c>
      <c r="CY120" s="197">
        <f>800+400+-600</f>
        <v>600</v>
      </c>
      <c r="CZ120" s="312">
        <f t="shared" ref="CZ120" ca="1" si="4905">IFERROR($X120/DA120-1,"")</f>
        <v>0.18260606671369528</v>
      </c>
      <c r="DA120" s="395">
        <v>99.23</v>
      </c>
      <c r="DB120" s="199">
        <f t="shared" ref="DB120" ca="1" si="4906">CY120*$X120</f>
        <v>70410</v>
      </c>
      <c r="DC120" s="199">
        <f t="shared" ref="DC120" ca="1" si="4907">DB120*$Z120</f>
        <v>55078.222500000003</v>
      </c>
      <c r="DD120" s="216">
        <f t="shared" ref="DD120" ca="1" si="4908">IFERROR(DC120/CY$4,0)</f>
        <v>1.5361725041020723E-2</v>
      </c>
      <c r="DE120" s="202">
        <f t="shared" ref="DE120" ca="1" si="4909">DF120/$X120</f>
        <v>-14.128297703082247</v>
      </c>
      <c r="DF120" s="203">
        <f t="shared" ref="DF120" ca="1" si="4910">DG120/$Z120</f>
        <v>-1657.9557354567016</v>
      </c>
      <c r="DG120" s="203">
        <f t="shared" ref="DG120" ca="1" si="4911">DH120*CY$4</f>
        <v>-1296.9358740610048</v>
      </c>
      <c r="DH120" s="204">
        <f t="shared" ca="1" si="4791"/>
        <v>-3.6172504102072352E-4</v>
      </c>
      <c r="DI120" s="205"/>
      <c r="DJ120" s="206">
        <f t="shared" ref="DJ120" ca="1" si="4912">DI120*$X120</f>
        <v>0</v>
      </c>
      <c r="DK120" s="206">
        <f t="shared" ref="DK120" ca="1" si="4913">DJ120*$Z120</f>
        <v>0</v>
      </c>
      <c r="DL120" s="207">
        <f t="shared" ref="DL120" ca="1" si="4914">IFERROR(DK120/CY$4,0)</f>
        <v>0</v>
      </c>
      <c r="DM120" s="391">
        <f t="shared" ref="DM120" si="4915">CY120+DI120</f>
        <v>600</v>
      </c>
      <c r="DN120" s="391">
        <f t="shared" ref="DN120" ca="1" si="4916">DB120+IF($T120 ="",DJ120,0)</f>
        <v>70410</v>
      </c>
      <c r="DO120" s="391">
        <f t="shared" ref="DO120" ca="1" si="4917">DN120*$Z120</f>
        <v>55078.222500000003</v>
      </c>
      <c r="DP120" s="394">
        <f t="shared" ref="DP120" ca="1" si="4918">IFERROR(DO120/CY$4,0)</f>
        <v>1.5361725041020723E-2</v>
      </c>
      <c r="DQ120" s="209" t="str">
        <f t="shared" ref="DQ120" ca="1" si="4919">IF(SUM(DD120,DL120,DP120)&lt;&gt;0,"V","")</f>
        <v>V</v>
      </c>
      <c r="DR120" s="197">
        <f>120</f>
        <v>120</v>
      </c>
      <c r="DS120" s="312">
        <f t="shared" ca="1" si="4799"/>
        <v>-9.9552855817093278E-3</v>
      </c>
      <c r="DT120" s="395">
        <v>118.53</v>
      </c>
      <c r="DU120" s="199">
        <f t="shared" ca="1" si="4800"/>
        <v>14082</v>
      </c>
      <c r="DV120" s="199">
        <f t="shared" ca="1" si="4801"/>
        <v>11015.6445</v>
      </c>
      <c r="DW120" s="216">
        <f t="shared" ca="1" si="3627"/>
        <v>1.5697171873654804E-2</v>
      </c>
      <c r="DX120" s="202">
        <f t="shared" ca="1" si="4802"/>
        <v>-5.3296622800561639</v>
      </c>
      <c r="DY120" s="203">
        <f t="shared" ca="1" si="4803"/>
        <v>-625.43586856459081</v>
      </c>
      <c r="DZ120" s="203">
        <f t="shared" ca="1" si="4804"/>
        <v>-489.24720818465119</v>
      </c>
      <c r="EA120" s="204">
        <f t="shared" ca="1" si="4805"/>
        <v>-6.9717187365480465E-4</v>
      </c>
      <c r="EB120" s="205"/>
      <c r="EC120" s="206">
        <f t="shared" ca="1" si="4806"/>
        <v>0</v>
      </c>
      <c r="ED120" s="206">
        <f t="shared" ca="1" si="4807"/>
        <v>0</v>
      </c>
      <c r="EE120" s="207">
        <f t="shared" ca="1" si="3633"/>
        <v>0</v>
      </c>
      <c r="EF120" s="391">
        <f t="shared" si="4808"/>
        <v>120</v>
      </c>
      <c r="EG120" s="391">
        <f t="shared" ca="1" si="4809"/>
        <v>14082</v>
      </c>
      <c r="EH120" s="391">
        <f t="shared" ca="1" si="4810"/>
        <v>11015.6445</v>
      </c>
      <c r="EI120" s="394">
        <f t="shared" ca="1" si="3636"/>
        <v>1.5697171873654804E-2</v>
      </c>
      <c r="EJ120" s="214"/>
      <c r="EK120" s="312" t="str">
        <f t="shared" ref="EK120" ca="1" si="4920">IFERROR($X120/EL120-1,"")</f>
        <v/>
      </c>
      <c r="EL120" s="222"/>
      <c r="EM120" s="199">
        <f t="shared" ref="EM120" ca="1" si="4921">EJ120*$X120</f>
        <v>0</v>
      </c>
      <c r="EN120" s="199">
        <f t="shared" ref="EN120" ca="1" si="4922">EM120*$Z120</f>
        <v>0</v>
      </c>
      <c r="EO120" s="216">
        <f t="shared" ref="EO120" ca="1" si="4923">IFERROR(EN120/EJ$4,0)</f>
        <v>0</v>
      </c>
      <c r="EP120" s="202">
        <f t="shared" ref="EP120" ca="1" si="4924">EQ120/$X120</f>
        <v>115.9756722072102</v>
      </c>
      <c r="EQ120" s="203">
        <f t="shared" ref="EQ120" ca="1" si="4925">ER120/$Z120</f>
        <v>13609.745133516115</v>
      </c>
      <c r="ER120" s="203">
        <f t="shared" ref="ER120" ca="1" si="4926">ES120*EJ$4</f>
        <v>10646.223130692981</v>
      </c>
      <c r="ES120" s="204">
        <f t="shared" ca="1" si="4818"/>
        <v>1.4999999999999999E-2</v>
      </c>
      <c r="ET120" s="205"/>
      <c r="EU120" s="206">
        <f t="shared" ref="EU120" ca="1" si="4927">ET120*$X120</f>
        <v>0</v>
      </c>
      <c r="EV120" s="206">
        <f t="shared" ref="EV120" ca="1" si="4928">EU120*$Z120</f>
        <v>0</v>
      </c>
      <c r="EW120" s="207">
        <f t="shared" ref="EW120" ca="1" si="4929">IFERROR(EV120/EJ$4,0)</f>
        <v>0</v>
      </c>
      <c r="EX120" s="391">
        <f t="shared" ref="EX120:EX125" si="4930">EJ120+ET120</f>
        <v>0</v>
      </c>
      <c r="EY120" s="391">
        <f t="shared" ref="EY120" ca="1" si="4931">EM120+IF($T120 ="",EU120,0)</f>
        <v>0</v>
      </c>
      <c r="EZ120" s="391">
        <f t="shared" ref="EZ120" ca="1" si="4932">EY120*$Z120</f>
        <v>0</v>
      </c>
      <c r="FA120" s="394">
        <f t="shared" ref="FA120" ca="1" si="4933">IFERROR(EZ120/EJ$4,0)</f>
        <v>0</v>
      </c>
      <c r="FB120" s="212" t="str">
        <f t="shared" ref="FB120" ca="1" si="4934">IF(SUM(EO120,EW120,FA120)&lt;&gt;0,"V","")</f>
        <v/>
      </c>
      <c r="FC120" s="214"/>
      <c r="FD120" s="312" t="str">
        <f t="shared" ref="FD120" ca="1" si="4935">IFERROR($X120/FE120-1,"")</f>
        <v/>
      </c>
      <c r="FE120" s="215"/>
      <c r="FF120" s="199">
        <f t="shared" ref="FF120" ca="1" si="4936">FC120*$X120</f>
        <v>0</v>
      </c>
      <c r="FG120" s="199">
        <f t="shared" ref="FG120" ca="1" si="4937">FF120*$Z120</f>
        <v>0</v>
      </c>
      <c r="FH120" s="216">
        <f t="shared" ref="FH120" ca="1" si="4938">IFERROR(FG120/FC$4,0)</f>
        <v>0</v>
      </c>
      <c r="FI120" s="202">
        <f t="shared" ref="FI120" ca="1" si="4939">FJ120/$X120</f>
        <v>744.73438311465623</v>
      </c>
      <c r="FJ120" s="203">
        <f t="shared" ref="FJ120" ca="1" si="4940">FK120/$Z120</f>
        <v>87394.579858504905</v>
      </c>
      <c r="FK120" s="203">
        <f t="shared" ref="FK120" ca="1" si="4941">FL120*FC$4</f>
        <v>68364.410094315463</v>
      </c>
      <c r="FL120" s="204">
        <f t="shared" ca="1" si="4831"/>
        <v>1.4999999999999999E-2</v>
      </c>
      <c r="FM120" s="205"/>
      <c r="FN120" s="206">
        <f t="shared" ref="FN120" ca="1" si="4942">FM120*$X120</f>
        <v>0</v>
      </c>
      <c r="FO120" s="206">
        <f t="shared" ref="FO120" ca="1" si="4943">FN120*$Z120</f>
        <v>0</v>
      </c>
      <c r="FP120" s="207">
        <f t="shared" ref="FP120" ca="1" si="4944">IFERROR(FO120/FC$4,0)</f>
        <v>0</v>
      </c>
      <c r="FQ120" s="391">
        <f t="shared" ref="FQ120:FQ125" si="4945">FC120+FM120</f>
        <v>0</v>
      </c>
      <c r="FR120" s="391">
        <f t="shared" ref="FR120" ca="1" si="4946">FF120+IF($T120 ="",FN120,0)</f>
        <v>0</v>
      </c>
      <c r="FS120" s="391">
        <f t="shared" ref="FS120" ca="1" si="4947">FR120*$Z120</f>
        <v>0</v>
      </c>
      <c r="FT120" s="394">
        <f t="shared" ref="FT120" ca="1" si="4948">IFERROR(FS120/FC$4,0)</f>
        <v>0</v>
      </c>
      <c r="FU120" s="209" t="str">
        <f t="shared" ref="FU120" ca="1" si="4949">IF(SUM(FH120,FP120,FT120)&lt;&gt;0,"V","")</f>
        <v/>
      </c>
    </row>
    <row r="121" spans="1:177" outlineLevel="2" x14ac:dyDescent="0.2">
      <c r="A121" s="366"/>
      <c r="B121" s="366"/>
      <c r="C121" s="367" t="str">
        <f t="shared" ca="1" si="4837"/>
        <v>US81369Y6059:USD</v>
      </c>
      <c r="D121" s="368" t="str">
        <f t="shared" ca="1" si="4837"/>
        <v>US81369Y6059</v>
      </c>
      <c r="E121" s="369" t="str">
        <f t="shared" ca="1" si="4837"/>
        <v>986018</v>
      </c>
      <c r="F121" s="367" t="s">
        <v>411</v>
      </c>
      <c r="G121" s="414"/>
      <c r="H121" s="1713" t="str">
        <f t="shared" ca="1" si="4723"/>
        <v></v>
      </c>
      <c r="I121" s="1683" t="str">
        <f t="shared" ca="1" si="4838"/>
        <v>i</v>
      </c>
      <c r="J121" s="1713" t="str">
        <f t="shared" ca="1" si="4839"/>
        <v/>
      </c>
      <c r="K121" s="1716" t="str">
        <f t="shared" ca="1" si="4839"/>
        <v></v>
      </c>
      <c r="L121" s="1717" t="str">
        <f t="shared" ca="1" si="4840"/>
        <v></v>
      </c>
      <c r="M121" s="366" t="str">
        <f t="shared" ca="1" si="4841"/>
        <v>Unit</v>
      </c>
      <c r="N121" s="417"/>
      <c r="O121" s="417"/>
      <c r="P121" s="418">
        <f t="shared" ca="1" si="4637"/>
        <v>0</v>
      </c>
      <c r="Q121" s="391">
        <f t="array" aca="1" ref="Q121" ca="1">SUM(IF($AA$15:$FT$15="I_pos",AA121:FT121))</f>
        <v>0</v>
      </c>
      <c r="R121" s="391">
        <f t="array" aca="1" ref="R121" ca="1">SUM(IF($AA$15:$FT$15="P_Pos",AA121:FT121))</f>
        <v>0</v>
      </c>
      <c r="S121" s="367"/>
      <c r="T121" s="391"/>
      <c r="U121" s="375">
        <f t="shared" ca="1" si="4842"/>
        <v>-5.5550141311763003E-3</v>
      </c>
      <c r="V121" s="391">
        <f t="array" aca="1" ref="V121" ca="1">SUM(IF($AA$15:$FT$15="O_Pos",AA121:FT121))</f>
        <v>0</v>
      </c>
      <c r="W121" s="367" t="str">
        <f t="shared" ca="1" si="4843"/>
        <v>USD</v>
      </c>
      <c r="X121" s="392">
        <f t="shared" ca="1" si="4728"/>
        <v>51.02</v>
      </c>
      <c r="Y121" s="393">
        <f t="shared" ca="1" si="4728"/>
        <v>0</v>
      </c>
      <c r="Z121" s="378">
        <f t="shared" ref="Z121" ca="1" si="4950">_xlfn.NUMBERVALUE(OFFSET(Origine,MATCH(W121&amp;"/"&amp;MRif,LUKB_Name,0),MATCH("Price",Intestazioni,0)-1,1,1))</f>
        <v>0.78225</v>
      </c>
      <c r="AA121" s="214">
        <f>190+-190</f>
        <v>0</v>
      </c>
      <c r="AB121" s="312" t="str">
        <f t="shared" ref="AB121" ca="1" si="4951">IFERROR($X121/AC121-1,"")</f>
        <v/>
      </c>
      <c r="AC121" s="215"/>
      <c r="AD121" s="199">
        <f t="shared" ref="AD121" ca="1" si="4952">AA121*$X121</f>
        <v>0</v>
      </c>
      <c r="AE121" s="199">
        <f t="shared" ref="AE121" ca="1" si="4953">AD121*$Z121</f>
        <v>0</v>
      </c>
      <c r="AF121" s="216">
        <f t="shared" ref="AF121" ca="1" si="4954">IFERROR(AE121/AA$4,0)</f>
        <v>0</v>
      </c>
      <c r="AG121" s="202">
        <f t="shared" ref="AG121" ca="1" si="4955">AH121/$X121</f>
        <v>0</v>
      </c>
      <c r="AH121" s="203">
        <f t="shared" ref="AH121" ca="1" si="4956">AI121/$Z121</f>
        <v>0</v>
      </c>
      <c r="AI121" s="203">
        <f t="shared" ref="AI121" ca="1" si="4957">AJ121*AA$4</f>
        <v>0</v>
      </c>
      <c r="AJ121" s="204">
        <f t="shared" ca="1" si="4738"/>
        <v>0</v>
      </c>
      <c r="AK121" s="205"/>
      <c r="AL121" s="206">
        <f t="shared" ref="AL121" ca="1" si="4958">AK121*$X121</f>
        <v>0</v>
      </c>
      <c r="AM121" s="206">
        <f t="shared" ref="AM121" ca="1" si="4959">AL121*$Z121</f>
        <v>0</v>
      </c>
      <c r="AN121" s="207">
        <f t="shared" ref="AN121" ca="1" si="4960">IFERROR(AM121/AA$4,0)</f>
        <v>0</v>
      </c>
      <c r="AO121" s="391">
        <f t="shared" ref="AO121:AO122" si="4961">AA121+AK121</f>
        <v>0</v>
      </c>
      <c r="AP121" s="391">
        <f t="shared" ref="AP121" ca="1" si="4962">AD121+IF($T121 ="",AL121,0)</f>
        <v>0</v>
      </c>
      <c r="AQ121" s="391">
        <f t="shared" ref="AQ121" ca="1" si="4963">AP121*$Z121</f>
        <v>0</v>
      </c>
      <c r="AR121" s="394">
        <f t="shared" ref="AR121" ca="1" si="4964">IFERROR(AQ121/AA$4,0)</f>
        <v>0</v>
      </c>
      <c r="AS121" s="209" t="str">
        <f t="shared" ref="AS121" ca="1" si="4965">IF(SUM(AF121,AN121,AR121)&lt;&gt;0,"V","")</f>
        <v/>
      </c>
      <c r="AT121" s="214">
        <f>580+-580</f>
        <v>0</v>
      </c>
      <c r="AU121" s="312" t="str">
        <f t="shared" ref="AU121" ca="1" si="4966">IFERROR($X121/AV121-1,"")</f>
        <v/>
      </c>
      <c r="AV121" s="215"/>
      <c r="AW121" s="199">
        <f t="shared" ref="AW121" ca="1" si="4967">AT121*$X121</f>
        <v>0</v>
      </c>
      <c r="AX121" s="199">
        <f t="shared" ref="AX121" ca="1" si="4968">AW121*$Z121</f>
        <v>0</v>
      </c>
      <c r="AY121" s="216">
        <f t="shared" ref="AY121" ca="1" si="4969">IFERROR(AX121/AT$4,0)</f>
        <v>0</v>
      </c>
      <c r="AZ121" s="202">
        <f t="shared" ref="AZ121" ca="1" si="4970">BA121/$X121</f>
        <v>0</v>
      </c>
      <c r="BA121" s="203">
        <f t="shared" ref="BA121" ca="1" si="4971">BB121/$Z121</f>
        <v>0</v>
      </c>
      <c r="BB121" s="203">
        <f t="shared" ref="BB121" ca="1" si="4972">BC121*AT$4</f>
        <v>0</v>
      </c>
      <c r="BC121" s="204">
        <f t="shared" ca="1" si="4751"/>
        <v>0</v>
      </c>
      <c r="BD121" s="205"/>
      <c r="BE121" s="206">
        <f t="shared" ref="BE121" ca="1" si="4973">BD121*$X121</f>
        <v>0</v>
      </c>
      <c r="BF121" s="206">
        <f t="shared" ref="BF121" ca="1" si="4974">BE121*$Z121</f>
        <v>0</v>
      </c>
      <c r="BG121" s="207">
        <f t="shared" ref="BG121" ca="1" si="4975">IFERROR(BF121/AT$4,0)</f>
        <v>0</v>
      </c>
      <c r="BH121" s="391">
        <f t="shared" ref="BH121:BH122" si="4976">AT121+BD121</f>
        <v>0</v>
      </c>
      <c r="BI121" s="391">
        <f t="shared" ref="BI121" ca="1" si="4977">AW121+IF($T121 ="",BE121,0)</f>
        <v>0</v>
      </c>
      <c r="BJ121" s="391">
        <f t="shared" ref="BJ121" ca="1" si="4978">BI121*$Z121</f>
        <v>0</v>
      </c>
      <c r="BK121" s="394">
        <f t="shared" ref="BK121" ca="1" si="4979">IFERROR(BJ121/AT$4,0)</f>
        <v>0</v>
      </c>
      <c r="BL121" s="211" t="str">
        <f t="shared" ref="BL121" ca="1" si="4980">IF(SUM(AY121,BG121,BK121)&lt;&gt;0,"V","")</f>
        <v/>
      </c>
      <c r="BM121" s="214">
        <f>100+-100</f>
        <v>0</v>
      </c>
      <c r="BN121" s="312" t="str">
        <f t="shared" ref="BN121" ca="1" si="4981">IFERROR($X121/BO121-1,"")</f>
        <v/>
      </c>
      <c r="BO121" s="215"/>
      <c r="BP121" s="199">
        <f t="shared" ref="BP121" ca="1" si="4982">BM121*$X121</f>
        <v>0</v>
      </c>
      <c r="BQ121" s="199">
        <f t="shared" ref="BQ121" ca="1" si="4983">BP121*$Z121</f>
        <v>0</v>
      </c>
      <c r="BR121" s="216">
        <f t="shared" ref="BR121" ca="1" si="4984">IFERROR(BQ121/BM$4,0)</f>
        <v>0</v>
      </c>
      <c r="BS121" s="202">
        <f t="shared" ref="BS121" ca="1" si="4985">BT121/$X121</f>
        <v>0</v>
      </c>
      <c r="BT121" s="203">
        <f t="shared" ref="BT121" ca="1" si="4986">BU121/$Z121</f>
        <v>0</v>
      </c>
      <c r="BU121" s="203">
        <f t="shared" ref="BU121" ca="1" si="4987">BV121*BM$4</f>
        <v>0</v>
      </c>
      <c r="BV121" s="204">
        <f t="shared" ca="1" si="4764"/>
        <v>0</v>
      </c>
      <c r="BW121" s="205"/>
      <c r="BX121" s="206">
        <f t="shared" ref="BX121" ca="1" si="4988">BW121*$X121</f>
        <v>0</v>
      </c>
      <c r="BY121" s="206">
        <f t="shared" ref="BY121" ca="1" si="4989">BX121*$Z121</f>
        <v>0</v>
      </c>
      <c r="BZ121" s="207">
        <f t="shared" ref="BZ121" ca="1" si="4990">IFERROR(BY121/BM$4,0)</f>
        <v>0</v>
      </c>
      <c r="CA121" s="391">
        <f t="shared" ref="CA121:CA122" si="4991">BM121+BW121</f>
        <v>0</v>
      </c>
      <c r="CB121" s="391">
        <f t="shared" ref="CB121" ca="1" si="4992">BP121+IF($T121 ="",BX121,0)</f>
        <v>0</v>
      </c>
      <c r="CC121" s="391">
        <f t="shared" ref="CC121" ca="1" si="4993">CB121*$Z121</f>
        <v>0</v>
      </c>
      <c r="CD121" s="394">
        <f t="shared" ref="CD121" ca="1" si="4994">IFERROR(CC121/BM$4,0)</f>
        <v>0</v>
      </c>
      <c r="CE121" s="212" t="str">
        <f t="shared" ref="CE121" ca="1" si="4995">IF(SUM(BR121,BZ121,CD121)&lt;&gt;0,"V","")</f>
        <v/>
      </c>
      <c r="CF121" s="214">
        <f>300+-300</f>
        <v>0</v>
      </c>
      <c r="CG121" s="312" t="str">
        <f t="shared" ref="CG121" ca="1" si="4996">IFERROR($X121/CH121-1,"")</f>
        <v/>
      </c>
      <c r="CH121" s="215"/>
      <c r="CI121" s="199">
        <f t="shared" ref="CI121" ca="1" si="4997">CF121*$X121</f>
        <v>0</v>
      </c>
      <c r="CJ121" s="199">
        <f t="shared" ref="CJ121" ca="1" si="4998">CI121*$Z121</f>
        <v>0</v>
      </c>
      <c r="CK121" s="216">
        <f t="shared" ref="CK121" ca="1" si="4999">IFERROR(CJ121/CF$4,0)</f>
        <v>0</v>
      </c>
      <c r="CL121" s="202">
        <f t="shared" ref="CL121" ca="1" si="5000">CM121/$X121</f>
        <v>0</v>
      </c>
      <c r="CM121" s="203">
        <f t="shared" ref="CM121" ca="1" si="5001">CN121/$Z121</f>
        <v>0</v>
      </c>
      <c r="CN121" s="203">
        <f t="shared" ref="CN121" ca="1" si="5002">CO121*CF$4</f>
        <v>0</v>
      </c>
      <c r="CO121" s="204">
        <f t="shared" ca="1" si="4777"/>
        <v>0</v>
      </c>
      <c r="CP121" s="205"/>
      <c r="CQ121" s="206">
        <f t="shared" ref="CQ121" ca="1" si="5003">CP121*$X121</f>
        <v>0</v>
      </c>
      <c r="CR121" s="206">
        <f t="shared" ref="CR121" ca="1" si="5004">CQ121*$Z121</f>
        <v>0</v>
      </c>
      <c r="CS121" s="207">
        <f t="shared" ref="CS121" ca="1" si="5005">IFERROR(CR121/CF$4,0)</f>
        <v>0</v>
      </c>
      <c r="CT121" s="391">
        <f t="shared" ref="CT121:CT122" si="5006">CF121+CP121</f>
        <v>0</v>
      </c>
      <c r="CU121" s="391">
        <f t="shared" ref="CU121" ca="1" si="5007">CI121+IF($T121 ="",CQ121,0)</f>
        <v>0</v>
      </c>
      <c r="CV121" s="391">
        <f t="shared" ref="CV121" ca="1" si="5008">CU121*$Z121</f>
        <v>0</v>
      </c>
      <c r="CW121" s="394">
        <f t="shared" ref="CW121" ca="1" si="5009">IFERROR(CV121/CF$4,0)</f>
        <v>0</v>
      </c>
      <c r="CX121" s="211" t="str">
        <f t="shared" ref="CX121" ca="1" si="5010">IF(SUM(CK121,CS121,CW121)&lt;&gt;0,"V","")</f>
        <v/>
      </c>
      <c r="CY121" s="197">
        <f>1250+-1250</f>
        <v>0</v>
      </c>
      <c r="CZ121" s="312" t="str">
        <f t="shared" ref="CZ121" ca="1" si="5011">IFERROR($X121/DA121-1,"")</f>
        <v/>
      </c>
      <c r="DA121" s="395"/>
      <c r="DB121" s="199">
        <f t="shared" ref="DB121" ca="1" si="5012">CY121*$X121</f>
        <v>0</v>
      </c>
      <c r="DC121" s="199">
        <f t="shared" ref="DC121" ca="1" si="5013">DB121*$Z121</f>
        <v>0</v>
      </c>
      <c r="DD121" s="216">
        <f t="shared" ref="DD121" ca="1" si="5014">IFERROR(DC121/CY$4,0)</f>
        <v>0</v>
      </c>
      <c r="DE121" s="202">
        <f t="shared" ref="DE121" ca="1" si="5015">DF121/$X121</f>
        <v>0</v>
      </c>
      <c r="DF121" s="203">
        <f t="shared" ref="DF121" ca="1" si="5016">DG121/$Z121</f>
        <v>0</v>
      </c>
      <c r="DG121" s="203">
        <f t="shared" ref="DG121" ca="1" si="5017">DH121*CY$4</f>
        <v>0</v>
      </c>
      <c r="DH121" s="204">
        <f t="shared" ca="1" si="4791"/>
        <v>0</v>
      </c>
      <c r="DI121" s="205"/>
      <c r="DJ121" s="206">
        <f t="shared" ref="DJ121" ca="1" si="5018">DI121*$X121</f>
        <v>0</v>
      </c>
      <c r="DK121" s="206">
        <f t="shared" ref="DK121" ca="1" si="5019">DJ121*$Z121</f>
        <v>0</v>
      </c>
      <c r="DL121" s="207">
        <f t="shared" ref="DL121" ca="1" si="5020">IFERROR(DK121/CY$4,0)</f>
        <v>0</v>
      </c>
      <c r="DM121" s="391">
        <f t="shared" ref="DM121" si="5021">CY121+DI121</f>
        <v>0</v>
      </c>
      <c r="DN121" s="391">
        <f t="shared" ref="DN121" ca="1" si="5022">DB121+IF($T121 ="",DJ121,0)</f>
        <v>0</v>
      </c>
      <c r="DO121" s="391">
        <f t="shared" ref="DO121" ca="1" si="5023">DN121*$Z121</f>
        <v>0</v>
      </c>
      <c r="DP121" s="394">
        <f t="shared" ref="DP121" ca="1" si="5024">IFERROR(DO121/CY$4,0)</f>
        <v>0</v>
      </c>
      <c r="DQ121" s="209" t="str">
        <f t="shared" ref="DQ121" ca="1" si="5025">IF(SUM(DD121,DL121,DP121)&lt;&gt;0,"V","")</f>
        <v/>
      </c>
      <c r="DR121" s="197"/>
      <c r="DS121" s="312" t="str">
        <f t="shared" ca="1" si="4799"/>
        <v/>
      </c>
      <c r="DT121" s="395"/>
      <c r="DU121" s="199">
        <f t="shared" ca="1" si="4800"/>
        <v>0</v>
      </c>
      <c r="DV121" s="199">
        <f t="shared" ca="1" si="4801"/>
        <v>0</v>
      </c>
      <c r="DW121" s="216">
        <f t="shared" ca="1" si="3627"/>
        <v>0</v>
      </c>
      <c r="DX121" s="202">
        <f t="shared" ca="1" si="4802"/>
        <v>0</v>
      </c>
      <c r="DY121" s="203">
        <f t="shared" ca="1" si="4803"/>
        <v>0</v>
      </c>
      <c r="DZ121" s="203">
        <f t="shared" ca="1" si="4804"/>
        <v>0</v>
      </c>
      <c r="EA121" s="204">
        <f t="shared" ca="1" si="4805"/>
        <v>0</v>
      </c>
      <c r="EB121" s="205"/>
      <c r="EC121" s="206">
        <f t="shared" ca="1" si="4806"/>
        <v>0</v>
      </c>
      <c r="ED121" s="206">
        <f t="shared" ca="1" si="4807"/>
        <v>0</v>
      </c>
      <c r="EE121" s="207">
        <f t="shared" ca="1" si="3633"/>
        <v>0</v>
      </c>
      <c r="EF121" s="391">
        <f t="shared" si="4808"/>
        <v>0</v>
      </c>
      <c r="EG121" s="391">
        <f t="shared" ca="1" si="4809"/>
        <v>0</v>
      </c>
      <c r="EH121" s="391">
        <f t="shared" ca="1" si="4810"/>
        <v>0</v>
      </c>
      <c r="EI121" s="394">
        <f t="shared" ca="1" si="3636"/>
        <v>0</v>
      </c>
      <c r="EJ121" s="214"/>
      <c r="EK121" s="312" t="str">
        <f t="shared" ref="EK121" ca="1" si="5026">IFERROR($X121/EL121-1,"")</f>
        <v/>
      </c>
      <c r="EL121" s="222"/>
      <c r="EM121" s="199">
        <f t="shared" ref="EM121" ca="1" si="5027">EJ121*$X121</f>
        <v>0</v>
      </c>
      <c r="EN121" s="199">
        <f t="shared" ref="EN121" ca="1" si="5028">EM121*$Z121</f>
        <v>0</v>
      </c>
      <c r="EO121" s="216">
        <f t="shared" ref="EO121" ca="1" si="5029">IFERROR(EN121/EJ$4,0)</f>
        <v>0</v>
      </c>
      <c r="EP121" s="202">
        <f t="shared" ref="EP121" ca="1" si="5030">EQ121/$X121</f>
        <v>0</v>
      </c>
      <c r="EQ121" s="203">
        <f t="shared" ref="EQ121" ca="1" si="5031">ER121/$Z121</f>
        <v>0</v>
      </c>
      <c r="ER121" s="203">
        <f t="shared" ref="ER121" ca="1" si="5032">ES121*EJ$4</f>
        <v>0</v>
      </c>
      <c r="ES121" s="204">
        <f t="shared" ca="1" si="4818"/>
        <v>0</v>
      </c>
      <c r="ET121" s="205"/>
      <c r="EU121" s="206">
        <f t="shared" ref="EU121" ca="1" si="5033">ET121*$X121</f>
        <v>0</v>
      </c>
      <c r="EV121" s="206">
        <f t="shared" ref="EV121" ca="1" si="5034">EU121*$Z121</f>
        <v>0</v>
      </c>
      <c r="EW121" s="207">
        <f t="shared" ref="EW121" ca="1" si="5035">IFERROR(EV121/EJ$4,0)</f>
        <v>0</v>
      </c>
      <c r="EX121" s="391">
        <f t="shared" ref="EX121:EX122" si="5036">EJ121+ET121</f>
        <v>0</v>
      </c>
      <c r="EY121" s="391">
        <f t="shared" ref="EY121" ca="1" si="5037">EM121+IF($T121 ="",EU121,0)</f>
        <v>0</v>
      </c>
      <c r="EZ121" s="391">
        <f t="shared" ref="EZ121" ca="1" si="5038">EY121*$Z121</f>
        <v>0</v>
      </c>
      <c r="FA121" s="394">
        <f t="shared" ref="FA121" ca="1" si="5039">IFERROR(EZ121/EJ$4,0)</f>
        <v>0</v>
      </c>
      <c r="FB121" s="212" t="str">
        <f t="shared" ref="FB121" ca="1" si="5040">IF(SUM(EO121,EW121,FA121)&lt;&gt;0,"V","")</f>
        <v/>
      </c>
      <c r="FC121" s="214"/>
      <c r="FD121" s="312" t="str">
        <f t="shared" ref="FD121" ca="1" si="5041">IFERROR($X121/FE121-1,"")</f>
        <v/>
      </c>
      <c r="FE121" s="215"/>
      <c r="FF121" s="199">
        <f t="shared" ref="FF121" ca="1" si="5042">FC121*$X121</f>
        <v>0</v>
      </c>
      <c r="FG121" s="199">
        <f t="shared" ref="FG121" ca="1" si="5043">FF121*$Z121</f>
        <v>0</v>
      </c>
      <c r="FH121" s="216">
        <f t="shared" ref="FH121" ca="1" si="5044">IFERROR(FG121/FC$4,0)</f>
        <v>0</v>
      </c>
      <c r="FI121" s="202">
        <f t="shared" ref="FI121" ca="1" si="5045">FJ121/$X121</f>
        <v>0</v>
      </c>
      <c r="FJ121" s="203">
        <f t="shared" ref="FJ121" ca="1" si="5046">FK121/$Z121</f>
        <v>0</v>
      </c>
      <c r="FK121" s="203">
        <f t="shared" ref="FK121" ca="1" si="5047">FL121*FC$4</f>
        <v>0</v>
      </c>
      <c r="FL121" s="204">
        <f t="shared" ca="1" si="4831"/>
        <v>0</v>
      </c>
      <c r="FM121" s="205"/>
      <c r="FN121" s="206">
        <f t="shared" ref="FN121" ca="1" si="5048">FM121*$X121</f>
        <v>0</v>
      </c>
      <c r="FO121" s="206">
        <f t="shared" ref="FO121" ca="1" si="5049">FN121*$Z121</f>
        <v>0</v>
      </c>
      <c r="FP121" s="207">
        <f t="shared" ref="FP121" ca="1" si="5050">IFERROR(FO121/FC$4,0)</f>
        <v>0</v>
      </c>
      <c r="FQ121" s="391">
        <f t="shared" ref="FQ121:FQ122" si="5051">FC121+FM121</f>
        <v>0</v>
      </c>
      <c r="FR121" s="391">
        <f t="shared" ref="FR121" ca="1" si="5052">FF121+IF($T121 ="",FN121,0)</f>
        <v>0</v>
      </c>
      <c r="FS121" s="391">
        <f t="shared" ref="FS121" ca="1" si="5053">FR121*$Z121</f>
        <v>0</v>
      </c>
      <c r="FT121" s="394">
        <f t="shared" ref="FT121" ca="1" si="5054">IFERROR(FS121/FC$4,0)</f>
        <v>0</v>
      </c>
      <c r="FU121" s="209" t="str">
        <f t="shared" ref="FU121" ca="1" si="5055">IF(SUM(FH121,FP121,FT121)&lt;&gt;0,"V","")</f>
        <v/>
      </c>
    </row>
    <row r="122" spans="1:177" outlineLevel="2" x14ac:dyDescent="0.2">
      <c r="A122" s="366"/>
      <c r="B122" s="366"/>
      <c r="C122" s="367" t="str">
        <f t="shared" ref="C122:E124" ca="1" si="5056">OFFSET(Origine,MATCH($F122,Descrizioni,0),MATCH(C$15,Intestazioni,0)-1,1,1)</f>
        <v>US81369Y7040:USD</v>
      </c>
      <c r="D122" s="368" t="str">
        <f t="shared" ca="1" si="5056"/>
        <v>US81369Y7040</v>
      </c>
      <c r="E122" s="369" t="str">
        <f t="shared" ca="1" si="5056"/>
        <v>986058</v>
      </c>
      <c r="F122" s="390" t="s">
        <v>472</v>
      </c>
      <c r="G122" s="414"/>
      <c r="H122" s="1713" t="str">
        <f t="shared" ca="1" si="4723"/>
        <v></v>
      </c>
      <c r="I122" s="1683" t="str">
        <f ca="1">IF(OFFSET(Origine,MATCH($F122,Descrizioni,0),MATCH(I$15,Intestazioni,0)-1,1,1)&lt;&gt;"",HYPERLINK(OFFSET(Origine,MATCH($F122,Descrizioni,0),MATCH(I$15,Intestazioni,0)-1,1,1),"i"),"")</f>
        <v>i</v>
      </c>
      <c r="J122" s="1713" t="str">
        <f t="shared" ref="J122:K124" ca="1" si="5057">IF(OFFSET(Origine,MATCH($F122,Descrizioni,0),MATCH(J$15,Intestazioni,0)-1,1,1)&lt;&gt;"",HYPERLINK(OFFSET(Origine,MATCH($F122,Descrizioni,0),MATCH(J$15,Intestazioni,0)-1,1,1),""),"")</f>
        <v/>
      </c>
      <c r="K122" s="1716" t="str">
        <f t="shared" ca="1" si="5057"/>
        <v></v>
      </c>
      <c r="L122" s="1717" t="str">
        <f ca="1">IF(OFFSET(Origine,MATCH($F122,Descrizioni,0),MATCH(L$15,Intestazioni,0)-1,1,1)&lt;&gt;"",HYPERLINK("https://www.zonebourse.com/mods_a/charts/TV/inc_dyna_graph.php?c="&amp;OFFSET(Origine,MATCH($F122,Descrizioni,0),MATCH(L$15,Intestazioni,0)-1,1,1)&amp;"&amp;style=TradingView.CANDLES&amp;showAT=1",""),"")</f>
        <v></v>
      </c>
      <c r="M122" s="366" t="str">
        <f ca="1">(OFFSET(Origine,MATCH($F122,Descrizioni,0),MATCH(M$15,Intestazioni,0)-1,1,1))</f>
        <v>Unit</v>
      </c>
      <c r="N122" s="417">
        <v>1.4999999999999999E-2</v>
      </c>
      <c r="O122" s="417"/>
      <c r="P122" s="418">
        <f t="shared" ca="1" si="4637"/>
        <v>1.5728174351918815E-2</v>
      </c>
      <c r="Q122" s="391">
        <f t="array" aca="1" ref="Q122" ca="1">SUM(IF($AA$15:$FT$15="I_pos",AA122:FT122))</f>
        <v>875</v>
      </c>
      <c r="R122" s="391">
        <f t="array" aca="1" ref="R122" ca="1">SUM(IF($AA$15:$FT$15="P_Pos",AA122:FT122))</f>
        <v>545.49001437463789</v>
      </c>
      <c r="S122" s="367"/>
      <c r="T122" s="391"/>
      <c r="U122" s="375">
        <f ca="1">OFFSET(Origine,MATCH($F122,Descrizioni,0),MATCH(U$15,Intestazioni,0)-1,1,1)</f>
        <v>-1.77193963107883E-2</v>
      </c>
      <c r="V122" s="391">
        <f t="array" aca="1" ref="V122" ca="1">SUM(IF($AA$15:$FT$15="O_Pos",AA122:FT122))</f>
        <v>0</v>
      </c>
      <c r="W122" s="367" t="str">
        <f ca="1">OFFSET(Origine,MATCH($F122,Descrizioni,0),MATCH(W$15,Intestazioni,0)-1,1,1)</f>
        <v>USD</v>
      </c>
      <c r="X122" s="392">
        <f t="shared" ca="1" si="4728"/>
        <v>175.73</v>
      </c>
      <c r="Y122" s="393">
        <f ca="1">_xlfn.NUMBERVALUE(OFFSET(Origine,MATCH($F122,Descrizioni,0),MATCH(Y$15,Intestazioni,0)-1,1,1))</f>
        <v>0</v>
      </c>
      <c r="Z122" s="378">
        <f ca="1">_xlfn.NUMBERVALUE(OFFSET(Origine,MATCH(W122&amp;"/"&amp;MRif,LUKB_Name,0),MATCH("Price",Intestazioni,0)-1,1,1))</f>
        <v>0.78225</v>
      </c>
      <c r="AA122" s="214">
        <f>65</f>
        <v>65</v>
      </c>
      <c r="AB122" s="312">
        <f ca="1">IFERROR($X122/AC122-1,"")</f>
        <v>4.0499733554384632E-2</v>
      </c>
      <c r="AC122" s="215">
        <v>168.89</v>
      </c>
      <c r="AD122" s="199">
        <f ca="1">AA122*$X122</f>
        <v>11422.449999999999</v>
      </c>
      <c r="AE122" s="199">
        <f ca="1">AD122*$Z122</f>
        <v>8935.2115125</v>
      </c>
      <c r="AF122" s="216">
        <f ca="1">IFERROR(AE122/AA$4,0)</f>
        <v>1.5913223351976376E-2</v>
      </c>
      <c r="AG122" s="202">
        <f ca="1">AH122/$X122</f>
        <v>-3.7302007623170943</v>
      </c>
      <c r="AH122" s="203">
        <f ca="1">AI122/$Z122</f>
        <v>-655.50817996198293</v>
      </c>
      <c r="AI122" s="203">
        <f ca="1">AJ122*AA$4</f>
        <v>-512.77127377526119</v>
      </c>
      <c r="AJ122" s="204">
        <f t="shared" ref="AJ122" ca="1" si="5058">IF(AA$6&lt;&gt;"",$O122,$N122)-AF122</f>
        <v>-9.1322335197637633E-4</v>
      </c>
      <c r="AK122" s="205"/>
      <c r="AL122" s="206">
        <f ca="1">AK122*$X122</f>
        <v>0</v>
      </c>
      <c r="AM122" s="206">
        <f ca="1">AL122*$Z122</f>
        <v>0</v>
      </c>
      <c r="AN122" s="207">
        <f ca="1">IFERROR(AM122/AA$4,0)</f>
        <v>0</v>
      </c>
      <c r="AO122" s="391">
        <f t="shared" si="4961"/>
        <v>65</v>
      </c>
      <c r="AP122" s="391">
        <f ca="1">AD122+IF($T122 ="",AL122,0)</f>
        <v>11422.449999999999</v>
      </c>
      <c r="AQ122" s="391">
        <f ca="1">AP122*$Z122</f>
        <v>8935.2115125</v>
      </c>
      <c r="AR122" s="394">
        <f ca="1">IFERROR(AQ122/AA$4,0)</f>
        <v>1.5913223351976376E-2</v>
      </c>
      <c r="AS122" s="209" t="str">
        <f ca="1">IF(SUM(AF122,AN122,AR122)&lt;&gt;0,"V","")</f>
        <v>V</v>
      </c>
      <c r="AT122" s="214">
        <f>195</f>
        <v>195</v>
      </c>
      <c r="AU122" s="312">
        <f ca="1">IFERROR($X122/AV122-1,"")</f>
        <v>4.0499733554384632E-2</v>
      </c>
      <c r="AV122" s="215">
        <v>168.89</v>
      </c>
      <c r="AW122" s="199">
        <f ca="1">AT122*$X122</f>
        <v>34267.35</v>
      </c>
      <c r="AX122" s="199">
        <f ca="1">AW122*$Z122</f>
        <v>26805.634537499998</v>
      </c>
      <c r="AY122" s="216">
        <f ca="1">IFERROR(AX122/AT$4,0)</f>
        <v>1.5478105995473118E-2</v>
      </c>
      <c r="AZ122" s="202">
        <f ca="1">BA122/$X122</f>
        <v>-6.0233900158407803</v>
      </c>
      <c r="BA122" s="203">
        <f ca="1">BB122/$Z122</f>
        <v>-1058.4903274837002</v>
      </c>
      <c r="BB122" s="203">
        <f ca="1">BC122*AT$4</f>
        <v>-828.00405867412439</v>
      </c>
      <c r="BC122" s="204">
        <f t="shared" ref="BC122" ca="1" si="5059">IF(AT$6&lt;&gt;"",$O122,$N122)-AY122</f>
        <v>-4.7810599547311837E-4</v>
      </c>
      <c r="BD122" s="205"/>
      <c r="BE122" s="206">
        <f ca="1">BD122*$X122</f>
        <v>0</v>
      </c>
      <c r="BF122" s="206">
        <f ca="1">BE122*$Z122</f>
        <v>0</v>
      </c>
      <c r="BG122" s="207">
        <f ca="1">IFERROR(BF122/AT$4,0)</f>
        <v>0</v>
      </c>
      <c r="BH122" s="391">
        <f t="shared" si="4976"/>
        <v>195</v>
      </c>
      <c r="BI122" s="391">
        <f ca="1">AW122+IF($T122 ="",BE122,0)</f>
        <v>34267.35</v>
      </c>
      <c r="BJ122" s="391">
        <f ca="1">BI122*$Z122</f>
        <v>26805.634537499998</v>
      </c>
      <c r="BK122" s="394">
        <f ca="1">IFERROR(BJ122/AT$4,0)</f>
        <v>1.5478105995473118E-2</v>
      </c>
      <c r="BL122" s="211" t="str">
        <f ca="1">IF(SUM(AY122,BG122,BK122)&lt;&gt;0,"V","")</f>
        <v>V</v>
      </c>
      <c r="BM122" s="214">
        <f>35</f>
        <v>35</v>
      </c>
      <c r="BN122" s="312">
        <f ca="1">IFERROR($X122/BO122-1,"")</f>
        <v>4.0499733554384632E-2</v>
      </c>
      <c r="BO122" s="215">
        <v>168.89</v>
      </c>
      <c r="BP122" s="199">
        <f ca="1">BM122*$X122</f>
        <v>6150.5499999999993</v>
      </c>
      <c r="BQ122" s="199">
        <f ca="1">BP122*$Z122</f>
        <v>4811.2677374999994</v>
      </c>
      <c r="BR122" s="216">
        <f ca="1">IFERROR(BQ122/BM$4,0)</f>
        <v>1.6883285498214363E-2</v>
      </c>
      <c r="BS122" s="202">
        <f ca="1">BT122/$X122</f>
        <v>-3.9041567143121605</v>
      </c>
      <c r="BT122" s="203">
        <f ca="1">BU122/$Z122</f>
        <v>-686.07745940607595</v>
      </c>
      <c r="BU122" s="203">
        <f ca="1">BV122*BM$4</f>
        <v>-536.68409262040291</v>
      </c>
      <c r="BV122" s="204">
        <f t="shared" ref="BV122" ca="1" si="5060">IF(BM$6&lt;&gt;"",$O122,$N122)-BR122</f>
        <v>-1.883285498214364E-3</v>
      </c>
      <c r="BW122" s="205"/>
      <c r="BX122" s="206">
        <f ca="1">BW122*$X122</f>
        <v>0</v>
      </c>
      <c r="BY122" s="206">
        <f ca="1">BX122*$Z122</f>
        <v>0</v>
      </c>
      <c r="BZ122" s="207">
        <f ca="1">IFERROR(BY122/BM$4,0)</f>
        <v>0</v>
      </c>
      <c r="CA122" s="391">
        <f t="shared" si="4991"/>
        <v>35</v>
      </c>
      <c r="CB122" s="391">
        <f ca="1">BP122+IF($T122 ="",BX122,0)</f>
        <v>6150.5499999999993</v>
      </c>
      <c r="CC122" s="391">
        <f ca="1">CB122*$Z122</f>
        <v>4811.2677374999994</v>
      </c>
      <c r="CD122" s="394">
        <f ca="1">IFERROR(CC122/BM$4,0)</f>
        <v>1.6883285498214363E-2</v>
      </c>
      <c r="CE122" s="212" t="str">
        <f ca="1">IF(SUM(BR122,BZ122,CD122)&lt;&gt;0,"V","")</f>
        <v>V</v>
      </c>
      <c r="CF122" s="214">
        <f>100</f>
        <v>100</v>
      </c>
      <c r="CG122" s="312">
        <f ca="1">IFERROR($X122/CH122-1,"")</f>
        <v>4.0499733554384632E-2</v>
      </c>
      <c r="CH122" s="215">
        <v>168.89</v>
      </c>
      <c r="CI122" s="199">
        <f ca="1">CF122*$X122</f>
        <v>17573</v>
      </c>
      <c r="CJ122" s="199">
        <f ca="1">CI122*$Z122</f>
        <v>13746.47925</v>
      </c>
      <c r="CK122" s="216">
        <f ca="1">IFERROR(CJ122/CF$4,0)</f>
        <v>1.5533454517228118E-2</v>
      </c>
      <c r="CL122" s="202">
        <f ca="1">CM122/$X122</f>
        <v>-3.434229756403933</v>
      </c>
      <c r="CM122" s="203">
        <f ca="1">CN122/$Z122</f>
        <v>-603.49719509286308</v>
      </c>
      <c r="CN122" s="203">
        <f ca="1">CO122*CF$4</f>
        <v>-472.08568086139218</v>
      </c>
      <c r="CO122" s="204">
        <f t="shared" ref="CO122" ca="1" si="5061">IF(CF$6&lt;&gt;"",$O122,$N122)-CK122</f>
        <v>-5.3345451722811889E-4</v>
      </c>
      <c r="CP122" s="205"/>
      <c r="CQ122" s="206">
        <f ca="1">CP122*$X122</f>
        <v>0</v>
      </c>
      <c r="CR122" s="206">
        <f ca="1">CQ122*$Z122</f>
        <v>0</v>
      </c>
      <c r="CS122" s="207">
        <f ca="1">IFERROR(CR122/CF$4,0)</f>
        <v>0</v>
      </c>
      <c r="CT122" s="391">
        <f t="shared" si="5006"/>
        <v>100</v>
      </c>
      <c r="CU122" s="391">
        <f ca="1">CI122+IF($T122 ="",CQ122,0)</f>
        <v>17573</v>
      </c>
      <c r="CV122" s="391">
        <f ca="1">CU122*$Z122</f>
        <v>13746.47925</v>
      </c>
      <c r="CW122" s="394">
        <f ca="1">IFERROR(CV122/CF$4,0)</f>
        <v>1.5533454517228118E-2</v>
      </c>
      <c r="CX122" s="211" t="str">
        <f ca="1">IF(SUM(CK122,CS122,CW122)&lt;&gt;0,"V","")</f>
        <v>V</v>
      </c>
      <c r="CY122" s="197">
        <f>400</f>
        <v>400</v>
      </c>
      <c r="CZ122" s="312">
        <f ca="1">IFERROR($X122/DA122-1,"")</f>
        <v>4.0499733554384632E-2</v>
      </c>
      <c r="DA122" s="395">
        <v>168.89</v>
      </c>
      <c r="DB122" s="199">
        <f ca="1">CY122*$X122</f>
        <v>70292</v>
      </c>
      <c r="DC122" s="199">
        <f ca="1">DB122*$Z122</f>
        <v>54985.917000000001</v>
      </c>
      <c r="DD122" s="216">
        <f ca="1">IFERROR(DC122/CY$4,0)</f>
        <v>1.5335980351987341E-2</v>
      </c>
      <c r="DE122" s="202">
        <f ca="1">DF122/$X122</f>
        <v>-8.7631920301411466</v>
      </c>
      <c r="DF122" s="203">
        <f ca="1">DG122/$Z122</f>
        <v>-1539.9557354567035</v>
      </c>
      <c r="DG122" s="203">
        <f ca="1">DH122*CY$4</f>
        <v>-1204.6303740610063</v>
      </c>
      <c r="DH122" s="204">
        <f t="shared" ref="DH122" ca="1" si="5062">IF(CY$6&lt;&gt;"",$O122,$N122)-DD122</f>
        <v>-3.3598035198734166E-4</v>
      </c>
      <c r="DI122" s="205"/>
      <c r="DJ122" s="206">
        <f ca="1">DI122*$X122</f>
        <v>0</v>
      </c>
      <c r="DK122" s="206">
        <f ca="1">DJ122*$Z122</f>
        <v>0</v>
      </c>
      <c r="DL122" s="207">
        <f ca="1">IFERROR(DK122/CY$4,0)</f>
        <v>0</v>
      </c>
      <c r="DM122" s="391">
        <f>CY122+DI122</f>
        <v>400</v>
      </c>
      <c r="DN122" s="391">
        <f ca="1">DB122+IF($T122 ="",DJ122,0)</f>
        <v>70292</v>
      </c>
      <c r="DO122" s="391">
        <f ca="1">DN122*$Z122</f>
        <v>54985.917000000001</v>
      </c>
      <c r="DP122" s="394">
        <f ca="1">IFERROR(DO122/CY$4,0)</f>
        <v>1.5335980351987341E-2</v>
      </c>
      <c r="DQ122" s="209" t="str">
        <f ca="1">IF(SUM(DD122,DL122,DP122)&lt;&gt;0,"V","")</f>
        <v>V</v>
      </c>
      <c r="DR122" s="197">
        <f>80</f>
        <v>80</v>
      </c>
      <c r="DS122" s="312">
        <f ca="1">IFERROR($X122/DT122-1,"")</f>
        <v>4.0499733554384632E-2</v>
      </c>
      <c r="DT122" s="395">
        <v>168.89</v>
      </c>
      <c r="DU122" s="199">
        <f ca="1">DR122*$X122</f>
        <v>14058.4</v>
      </c>
      <c r="DV122" s="199">
        <f ca="1">DU122*$Z122</f>
        <v>10997.1834</v>
      </c>
      <c r="DW122" s="216">
        <f ca="1">IFERROR(DV122/DR$4,0)</f>
        <v>1.567086500984155E-2</v>
      </c>
      <c r="DX122" s="202">
        <f ca="1">DY122/$X122</f>
        <v>-3.4247758980515095</v>
      </c>
      <c r="DY122" s="203">
        <f ca="1">DZ122/$Z122</f>
        <v>-601.83586856459169</v>
      </c>
      <c r="DZ122" s="203">
        <f ca="1">EA122*DR$4</f>
        <v>-470.78610818465188</v>
      </c>
      <c r="EA122" s="204">
        <f t="shared" ref="EA122" ca="1" si="5063">IF(DR$6&lt;&gt;"",$O122,$N122)-DW122</f>
        <v>-6.7086500984155084E-4</v>
      </c>
      <c r="EB122" s="205"/>
      <c r="EC122" s="206">
        <f ca="1">EB122*$X122</f>
        <v>0</v>
      </c>
      <c r="ED122" s="206">
        <f ca="1">EC122*$Z122</f>
        <v>0</v>
      </c>
      <c r="EE122" s="207">
        <f ca="1">IFERROR(ED122/DR$4,0)</f>
        <v>0</v>
      </c>
      <c r="EF122" s="391">
        <f>DR122+EB122</f>
        <v>80</v>
      </c>
      <c r="EG122" s="391">
        <f ca="1">DU122+IF($T122 ="",EC122,0)</f>
        <v>14058.4</v>
      </c>
      <c r="EH122" s="391">
        <f ca="1">EG122*$Z122</f>
        <v>10997.1834</v>
      </c>
      <c r="EI122" s="394">
        <f ca="1">IFERROR(EH122/DR$4,0)</f>
        <v>1.567086500984155E-2</v>
      </c>
      <c r="EJ122" s="214"/>
      <c r="EK122" s="312" t="str">
        <f ca="1">IFERROR($X122/EL122-1,"")</f>
        <v/>
      </c>
      <c r="EL122" s="222"/>
      <c r="EM122" s="199">
        <f ca="1">EJ122*$X122</f>
        <v>0</v>
      </c>
      <c r="EN122" s="199">
        <f ca="1">EM122*$Z122</f>
        <v>0</v>
      </c>
      <c r="EO122" s="216">
        <f ca="1">IFERROR(EN122/EJ$4,0)</f>
        <v>0</v>
      </c>
      <c r="EP122" s="202">
        <f ca="1">EQ122/$X122</f>
        <v>77.446907946941991</v>
      </c>
      <c r="EQ122" s="203">
        <f ca="1">ER122/$Z122</f>
        <v>13609.745133516115</v>
      </c>
      <c r="ER122" s="203">
        <f ca="1">ES122*EJ$4</f>
        <v>10646.223130692981</v>
      </c>
      <c r="ES122" s="204">
        <f t="shared" ref="ES122" ca="1" si="5064">IF(EJ$6&lt;&gt;"",$O122,$N122)-EO122</f>
        <v>1.4999999999999999E-2</v>
      </c>
      <c r="ET122" s="426"/>
      <c r="EU122" s="206">
        <f ca="1">ET122*$X122</f>
        <v>0</v>
      </c>
      <c r="EV122" s="206">
        <f ca="1">EU122*$Z122</f>
        <v>0</v>
      </c>
      <c r="EW122" s="207">
        <f ca="1">IFERROR(EV122/EJ$4,0)</f>
        <v>0</v>
      </c>
      <c r="EX122" s="391">
        <f t="shared" si="5036"/>
        <v>0</v>
      </c>
      <c r="EY122" s="391">
        <f ca="1">EM122+IF($T122 ="",EU122,0)</f>
        <v>0</v>
      </c>
      <c r="EZ122" s="391">
        <f ca="1">EY122*$Z122</f>
        <v>0</v>
      </c>
      <c r="FA122" s="394">
        <f ca="1">IFERROR(EZ122/EJ$4,0)</f>
        <v>0</v>
      </c>
      <c r="FB122" s="212" t="str">
        <f ca="1">IF(SUM(EO122,EW122,FA122)&lt;&gt;0,"V","")</f>
        <v/>
      </c>
      <c r="FC122" s="214"/>
      <c r="FD122" s="312" t="str">
        <f ca="1">IFERROR($X122/FE122-1,"")</f>
        <v/>
      </c>
      <c r="FE122" s="215"/>
      <c r="FF122" s="199">
        <f ca="1">FC122*$X122</f>
        <v>0</v>
      </c>
      <c r="FG122" s="199">
        <f ca="1">FF122*$Z122</f>
        <v>0</v>
      </c>
      <c r="FH122" s="216">
        <f ca="1">IFERROR(FG122/FC$4,0)</f>
        <v>0</v>
      </c>
      <c r="FI122" s="202">
        <f ca="1">FJ122/$X122</f>
        <v>497.3230516047625</v>
      </c>
      <c r="FJ122" s="203">
        <f ca="1">FK122/$Z122</f>
        <v>87394.579858504905</v>
      </c>
      <c r="FK122" s="203">
        <f ca="1">FL122*FC$4</f>
        <v>68364.410094315463</v>
      </c>
      <c r="FL122" s="204">
        <f t="shared" ref="FL122" ca="1" si="5065">IF(FC$6&lt;&gt;"",$O122,$N122)-FH122</f>
        <v>1.4999999999999999E-2</v>
      </c>
      <c r="FM122" s="205"/>
      <c r="FN122" s="206">
        <f ca="1">FM122*$X122</f>
        <v>0</v>
      </c>
      <c r="FO122" s="206">
        <f ca="1">FN122*$Z122</f>
        <v>0</v>
      </c>
      <c r="FP122" s="207">
        <f ca="1">IFERROR(FO122/FC$4,0)</f>
        <v>0</v>
      </c>
      <c r="FQ122" s="391">
        <f t="shared" si="5051"/>
        <v>0</v>
      </c>
      <c r="FR122" s="391">
        <f ca="1">FF122+IF($T122 ="",FN122,0)</f>
        <v>0</v>
      </c>
      <c r="FS122" s="391">
        <f ca="1">FR122*$Z122</f>
        <v>0</v>
      </c>
      <c r="FT122" s="394">
        <f ca="1">IFERROR(FS122/FC$4,0)</f>
        <v>0</v>
      </c>
      <c r="FU122" s="209" t="str">
        <f ca="1">IF(SUM(FH122,FP122,FT122)&lt;&gt;0,"V","")</f>
        <v/>
      </c>
    </row>
    <row r="123" spans="1:177" outlineLevel="2" x14ac:dyDescent="0.2">
      <c r="A123" s="366"/>
      <c r="B123" s="366"/>
      <c r="C123" s="367" t="str">
        <f t="shared" ca="1" si="5056"/>
        <v>US81369Y8030:USD</v>
      </c>
      <c r="D123" s="368" t="str">
        <f t="shared" ca="1" si="5056"/>
        <v>US81369Y8030</v>
      </c>
      <c r="E123" s="369" t="str">
        <f t="shared" ca="1" si="5056"/>
        <v>986053</v>
      </c>
      <c r="F123" s="390" t="s">
        <v>414</v>
      </c>
      <c r="G123" s="414"/>
      <c r="H123" s="1713" t="str">
        <f t="shared" ca="1" si="4723"/>
        <v></v>
      </c>
      <c r="I123" s="1683" t="str">
        <f ca="1">IF(OFFSET(Origine,MATCH($F123,Descrizioni,0),MATCH(I$15,Intestazioni,0)-1,1,1)&lt;&gt;"",HYPERLINK(OFFSET(Origine,MATCH($F123,Descrizioni,0),MATCH(I$15,Intestazioni,0)-1,1,1),"i"),"")</f>
        <v>i</v>
      </c>
      <c r="J123" s="1713" t="str">
        <f t="shared" ca="1" si="5057"/>
        <v/>
      </c>
      <c r="K123" s="1716" t="str">
        <f t="shared" ca="1" si="5057"/>
        <v></v>
      </c>
      <c r="L123" s="1717" t="str">
        <f ca="1">IF(OFFSET(Origine,MATCH($F123,Descrizioni,0),MATCH(L$15,Intestazioni,0)-1,1,1)&lt;&gt;"",HYPERLINK("https://www.zonebourse.com/mods_a/charts/TV/inc_dyna_graph.php?c="&amp;OFFSET(Origine,MATCH($F123,Descrizioni,0),MATCH(L$15,Intestazioni,0)-1,1,1)&amp;"&amp;style=TradingView.CANDLES&amp;showAT=1",""),"")</f>
        <v></v>
      </c>
      <c r="M123" s="366" t="str">
        <f ca="1">(OFFSET(Origine,MATCH($F123,Descrizioni,0),MATCH(M$15,Intestazioni,0)-1,1,1))</f>
        <v>Unit</v>
      </c>
      <c r="N123" s="417"/>
      <c r="O123" s="417"/>
      <c r="P123" s="418">
        <f t="shared" ca="1" si="4637"/>
        <v>0</v>
      </c>
      <c r="Q123" s="391">
        <f t="array" aca="1" ref="Q123" ca="1">SUM(IF($AA$15:$FT$15="I_pos",AA123:FT123))</f>
        <v>160</v>
      </c>
      <c r="R123" s="391">
        <f t="array" aca="1" ref="R123" ca="1">SUM(IF($AA$15:$FT$15="P_Pos",AA123:FT123))</f>
        <v>-160</v>
      </c>
      <c r="S123" s="367"/>
      <c r="T123" s="391"/>
      <c r="U123" s="375">
        <f ca="1">OFFSET(Origine,MATCH($F123,Descrizioni,0),MATCH(U$15,Intestazioni,0)-1,1,1)</f>
        <v>-1.53052080719739E-2</v>
      </c>
      <c r="V123" s="391">
        <f t="array" aca="1" ref="V123" ca="1">SUM(IF($AA$15:$FT$15="O_Pos",AA123:FT123))</f>
        <v>0</v>
      </c>
      <c r="W123" s="367" t="str">
        <f ca="1">OFFSET(Origine,MATCH($F123,Descrizioni,0),MATCH(W$15,Intestazioni,0)-1,1,1)</f>
        <v>USD</v>
      </c>
      <c r="X123" s="392">
        <f t="shared" ca="1" si="4728"/>
        <v>137.36000000000001</v>
      </c>
      <c r="Y123" s="393">
        <f ca="1">_xlfn.NUMBERVALUE(OFFSET(Origine,MATCH($F123,Descrizioni,0),MATCH(Y$15,Intestazioni,0)-1,1,1))</f>
        <v>0</v>
      </c>
      <c r="Z123" s="378">
        <f ca="1">_xlfn.NUMBERVALUE(OFFSET(Origine,MATCH(W123&amp;"/"&amp;MRif,LUKB_Name,0),MATCH("Price",Intestazioni,0)-1,1,1))</f>
        <v>0.78225</v>
      </c>
      <c r="AA123" s="214">
        <f>70+-70</f>
        <v>0</v>
      </c>
      <c r="AB123" s="312" t="str">
        <f ca="1">IFERROR($X123/AC123-1,"")</f>
        <v/>
      </c>
      <c r="AC123" s="215"/>
      <c r="AD123" s="199">
        <f ca="1">AA123*$X123</f>
        <v>0</v>
      </c>
      <c r="AE123" s="199">
        <f ca="1">AD123*$Z123</f>
        <v>0</v>
      </c>
      <c r="AF123" s="216">
        <f ca="1">IFERROR(AE123/AA$4,0)</f>
        <v>0</v>
      </c>
      <c r="AG123" s="202">
        <f ca="1">AH123/$X123</f>
        <v>0</v>
      </c>
      <c r="AH123" s="203">
        <f ca="1">AI123/$Z123</f>
        <v>0</v>
      </c>
      <c r="AI123" s="203">
        <f ca="1">AJ123*AA$4</f>
        <v>0</v>
      </c>
      <c r="AJ123" s="204">
        <f t="shared" ca="1" si="4738"/>
        <v>0</v>
      </c>
      <c r="AK123" s="205"/>
      <c r="AL123" s="206">
        <f ca="1">AK123*$X123</f>
        <v>0</v>
      </c>
      <c r="AM123" s="206">
        <f ca="1">AL123*$Z123</f>
        <v>0</v>
      </c>
      <c r="AN123" s="207">
        <f ca="1">IFERROR(AM123/AA$4,0)</f>
        <v>0</v>
      </c>
      <c r="AO123" s="391">
        <f t="shared" ref="AO123" si="5066">AA123+AK123</f>
        <v>0</v>
      </c>
      <c r="AP123" s="391">
        <f ca="1">AD123+IF($T123 ="",AL123,0)</f>
        <v>0</v>
      </c>
      <c r="AQ123" s="391">
        <f ca="1">AP123*$Z123</f>
        <v>0</v>
      </c>
      <c r="AR123" s="394">
        <f ca="1">IFERROR(AQ123/AA$4,0)</f>
        <v>0</v>
      </c>
      <c r="AS123" s="209" t="str">
        <f ca="1">IF(SUM(AF123,AN123,AR123)&lt;&gt;0,"V","")</f>
        <v/>
      </c>
      <c r="AT123" s="214">
        <f>220+-220</f>
        <v>0</v>
      </c>
      <c r="AU123" s="312" t="str">
        <f ca="1">IFERROR($X123/AV123-1,"")</f>
        <v/>
      </c>
      <c r="AV123" s="215"/>
      <c r="AW123" s="199">
        <f ca="1">AT123*$X123</f>
        <v>0</v>
      </c>
      <c r="AX123" s="199">
        <f ca="1">AW123*$Z123</f>
        <v>0</v>
      </c>
      <c r="AY123" s="216">
        <f ca="1">IFERROR(AX123/AT$4,0)</f>
        <v>0</v>
      </c>
      <c r="AZ123" s="202">
        <f ca="1">BA123/$X123</f>
        <v>0</v>
      </c>
      <c r="BA123" s="203">
        <f ca="1">BB123/$Z123</f>
        <v>0</v>
      </c>
      <c r="BB123" s="203">
        <f ca="1">BC123*AT$4</f>
        <v>0</v>
      </c>
      <c r="BC123" s="204">
        <f t="shared" ca="1" si="4751"/>
        <v>0</v>
      </c>
      <c r="BD123" s="205"/>
      <c r="BE123" s="206">
        <f ca="1">BD123*$X123</f>
        <v>0</v>
      </c>
      <c r="BF123" s="206">
        <f ca="1">BE123*$Z123</f>
        <v>0</v>
      </c>
      <c r="BG123" s="207">
        <f ca="1">IFERROR(BF123/AT$4,0)</f>
        <v>0</v>
      </c>
      <c r="BH123" s="391">
        <f t="shared" ref="BH123" si="5067">AT123+BD123</f>
        <v>0</v>
      </c>
      <c r="BI123" s="391">
        <f ca="1">AW123+IF($T123 ="",BE123,0)</f>
        <v>0</v>
      </c>
      <c r="BJ123" s="391">
        <f ca="1">BI123*$Z123</f>
        <v>0</v>
      </c>
      <c r="BK123" s="394">
        <f ca="1">IFERROR(BJ123/AT$4,0)</f>
        <v>0</v>
      </c>
      <c r="BL123" s="211" t="str">
        <f ca="1">IF(SUM(AY123,BG123,BK123)&lt;&gt;0,"V","")</f>
        <v/>
      </c>
      <c r="BM123" s="214">
        <f>40+-40</f>
        <v>0</v>
      </c>
      <c r="BN123" s="312" t="str">
        <f ca="1">IFERROR($X123/BO123-1,"")</f>
        <v/>
      </c>
      <c r="BO123" s="215"/>
      <c r="BP123" s="199">
        <f ca="1">BM123*$X123</f>
        <v>0</v>
      </c>
      <c r="BQ123" s="199">
        <f ca="1">BP123*$Z123</f>
        <v>0</v>
      </c>
      <c r="BR123" s="216">
        <f ca="1">IFERROR(BQ123/BM$4,0)</f>
        <v>0</v>
      </c>
      <c r="BS123" s="202">
        <f ca="1">BT123/$X123</f>
        <v>0</v>
      </c>
      <c r="BT123" s="203">
        <f ca="1">BU123/$Z123</f>
        <v>0</v>
      </c>
      <c r="BU123" s="203">
        <f ca="1">BV123*BM$4</f>
        <v>0</v>
      </c>
      <c r="BV123" s="204">
        <f t="shared" ca="1" si="4764"/>
        <v>0</v>
      </c>
      <c r="BW123" s="205"/>
      <c r="BX123" s="206">
        <f ca="1">BW123*$X123</f>
        <v>0</v>
      </c>
      <c r="BY123" s="206">
        <f ca="1">BX123*$Z123</f>
        <v>0</v>
      </c>
      <c r="BZ123" s="207">
        <f ca="1">IFERROR(BY123/BM$4,0)</f>
        <v>0</v>
      </c>
      <c r="CA123" s="391">
        <f t="shared" ref="CA123" si="5068">BM123+BW123</f>
        <v>0</v>
      </c>
      <c r="CB123" s="391">
        <f ca="1">BP123+IF($T123 ="",BX123,0)</f>
        <v>0</v>
      </c>
      <c r="CC123" s="391">
        <f ca="1">CB123*$Z123</f>
        <v>0</v>
      </c>
      <c r="CD123" s="394">
        <f ca="1">IFERROR(CC123/BM$4,0)</f>
        <v>0</v>
      </c>
      <c r="CE123" s="212" t="str">
        <f ca="1">IF(SUM(BR123,BZ123,CD123)&lt;&gt;0,"V","")</f>
        <v/>
      </c>
      <c r="CF123" s="214">
        <f>96+-96</f>
        <v>0</v>
      </c>
      <c r="CG123" s="312" t="str">
        <f ca="1">IFERROR($X123/CH123-1,"")</f>
        <v/>
      </c>
      <c r="CH123" s="215"/>
      <c r="CI123" s="199">
        <f ca="1">CF123*$X123</f>
        <v>0</v>
      </c>
      <c r="CJ123" s="199">
        <f ca="1">CI123*$Z123</f>
        <v>0</v>
      </c>
      <c r="CK123" s="216">
        <f ca="1">IFERROR(CJ123/CF$4,0)</f>
        <v>0</v>
      </c>
      <c r="CL123" s="202">
        <f ca="1">CM123/$X123</f>
        <v>0</v>
      </c>
      <c r="CM123" s="203">
        <f ca="1">CN123/$Z123</f>
        <v>0</v>
      </c>
      <c r="CN123" s="203">
        <f ca="1">CO123*CF$4</f>
        <v>0</v>
      </c>
      <c r="CO123" s="204">
        <f t="shared" ca="1" si="4777"/>
        <v>0</v>
      </c>
      <c r="CP123" s="205"/>
      <c r="CQ123" s="206">
        <f ca="1">CP123*$X123</f>
        <v>0</v>
      </c>
      <c r="CR123" s="206">
        <f ca="1">CQ123*$Z123</f>
        <v>0</v>
      </c>
      <c r="CS123" s="207">
        <f ca="1">IFERROR(CR123/CF$4,0)</f>
        <v>0</v>
      </c>
      <c r="CT123" s="391">
        <f t="shared" ref="CT123" si="5069">CF123+CP123</f>
        <v>0</v>
      </c>
      <c r="CU123" s="391">
        <f ca="1">CI123+IF($T123 ="",CQ123,0)</f>
        <v>0</v>
      </c>
      <c r="CV123" s="391">
        <f ca="1">CU123*$Z123</f>
        <v>0</v>
      </c>
      <c r="CW123" s="394">
        <f ca="1">IFERROR(CV123/CF$4,0)</f>
        <v>0</v>
      </c>
      <c r="CX123" s="211" t="str">
        <f ca="1">IF(SUM(CK123,CS123,CW123)&lt;&gt;0,"V","")</f>
        <v/>
      </c>
      <c r="CY123" s="197">
        <f>450+-450</f>
        <v>0</v>
      </c>
      <c r="CZ123" s="312" t="str">
        <f ca="1">IFERROR($X123/DA123-1,"")</f>
        <v/>
      </c>
      <c r="DA123" s="395"/>
      <c r="DB123" s="199">
        <f ca="1">CY123*$X123</f>
        <v>0</v>
      </c>
      <c r="DC123" s="199">
        <f ca="1">DB123*$Z123</f>
        <v>0</v>
      </c>
      <c r="DD123" s="216">
        <f ca="1">IFERROR(DC123/CY$4,0)</f>
        <v>0</v>
      </c>
      <c r="DE123" s="202">
        <f ca="1">DF123/$X123</f>
        <v>0</v>
      </c>
      <c r="DF123" s="203">
        <f ca="1">DG123/$Z123</f>
        <v>0</v>
      </c>
      <c r="DG123" s="203">
        <f ca="1">DH123*CY$4</f>
        <v>0</v>
      </c>
      <c r="DH123" s="204">
        <f t="shared" ca="1" si="4791"/>
        <v>0</v>
      </c>
      <c r="DI123" s="205"/>
      <c r="DJ123" s="206">
        <f ca="1">DI123*$X123</f>
        <v>0</v>
      </c>
      <c r="DK123" s="206">
        <f ca="1">DJ123*$Z123</f>
        <v>0</v>
      </c>
      <c r="DL123" s="207">
        <f ca="1">IFERROR(DK123/CY$4,0)</f>
        <v>0</v>
      </c>
      <c r="DM123" s="391">
        <f>CY123+DI123</f>
        <v>0</v>
      </c>
      <c r="DN123" s="391">
        <f ca="1">DB123+IF($T123 ="",DJ123,0)</f>
        <v>0</v>
      </c>
      <c r="DO123" s="391">
        <f ca="1">DN123*$Z123</f>
        <v>0</v>
      </c>
      <c r="DP123" s="394">
        <f ca="1">IFERROR(DO123/CY$4,0)</f>
        <v>0</v>
      </c>
      <c r="DQ123" s="209" t="str">
        <f ca="1">IF(SUM(DD123,DL123,DP123)&lt;&gt;0,"V","")</f>
        <v/>
      </c>
      <c r="DR123" s="197">
        <f>40+-40</f>
        <v>0</v>
      </c>
      <c r="DS123" s="312" t="str">
        <f ca="1">IFERROR($X123/DT123-1,"")</f>
        <v/>
      </c>
      <c r="DT123" s="395"/>
      <c r="DU123" s="199">
        <f ca="1">DR123*$X123</f>
        <v>0</v>
      </c>
      <c r="DV123" s="199">
        <f ca="1">DU123*$Z123</f>
        <v>0</v>
      </c>
      <c r="DW123" s="216">
        <f ca="1">IFERROR(DV123/DR$4,0)</f>
        <v>0</v>
      </c>
      <c r="DX123" s="202">
        <f ca="1">DY123/$X123</f>
        <v>0</v>
      </c>
      <c r="DY123" s="203">
        <f ca="1">DZ123/$Z123</f>
        <v>0</v>
      </c>
      <c r="DZ123" s="203">
        <f ca="1">EA123*DR$4</f>
        <v>0</v>
      </c>
      <c r="EA123" s="204">
        <f t="shared" ca="1" si="4805"/>
        <v>0</v>
      </c>
      <c r="EB123" s="205"/>
      <c r="EC123" s="206">
        <f ca="1">EB123*$X123</f>
        <v>0</v>
      </c>
      <c r="ED123" s="206">
        <f ca="1">EC123*$Z123</f>
        <v>0</v>
      </c>
      <c r="EE123" s="207">
        <f ca="1">IFERROR(ED123/DR$4,0)</f>
        <v>0</v>
      </c>
      <c r="EF123" s="391">
        <f>DR123+EB123</f>
        <v>0</v>
      </c>
      <c r="EG123" s="391">
        <f ca="1">DU123+IF($T123 ="",EC123,0)</f>
        <v>0</v>
      </c>
      <c r="EH123" s="391">
        <f ca="1">EG123*$Z123</f>
        <v>0</v>
      </c>
      <c r="EI123" s="394">
        <f ca="1">IFERROR(EH123/DR$4,0)</f>
        <v>0</v>
      </c>
      <c r="EJ123" s="214">
        <v>160</v>
      </c>
      <c r="EK123" s="312">
        <f ca="1">IFERROR($X123/EL123-1,"")</f>
        <v>0.55975699767217413</v>
      </c>
      <c r="EL123" s="222">
        <v>88.064999999999998</v>
      </c>
      <c r="EM123" s="199">
        <f ca="1">EJ123*$X123</f>
        <v>21977.600000000002</v>
      </c>
      <c r="EN123" s="199">
        <f ca="1">EM123*$Z123</f>
        <v>17191.977600000002</v>
      </c>
      <c r="EO123" s="216">
        <f ca="1">IFERROR(EN123/EJ$4,0)</f>
        <v>2.4222643169720434E-2</v>
      </c>
      <c r="EP123" s="202">
        <f ca="1">EQ123/$X123</f>
        <v>-160</v>
      </c>
      <c r="EQ123" s="203">
        <f ca="1">ER123/$Z123</f>
        <v>-21977.600000000002</v>
      </c>
      <c r="ER123" s="203">
        <f ca="1">ES123*EJ$4</f>
        <v>-17191.977600000002</v>
      </c>
      <c r="ES123" s="204">
        <f t="shared" ca="1" si="4818"/>
        <v>-2.4222643169720434E-2</v>
      </c>
      <c r="ET123" s="426"/>
      <c r="EU123" s="206">
        <f ca="1">ET123*$X123</f>
        <v>0</v>
      </c>
      <c r="EV123" s="206">
        <f ca="1">EU123*$Z123</f>
        <v>0</v>
      </c>
      <c r="EW123" s="207">
        <f ca="1">IFERROR(EV123/EJ$4,0)</f>
        <v>0</v>
      </c>
      <c r="EX123" s="391">
        <f t="shared" ref="EX123" si="5070">EJ123+ET123</f>
        <v>160</v>
      </c>
      <c r="EY123" s="391">
        <f ca="1">EM123+IF($T123 ="",EU123,0)</f>
        <v>21977.600000000002</v>
      </c>
      <c r="EZ123" s="391">
        <f ca="1">EY123*$Z123</f>
        <v>17191.977600000002</v>
      </c>
      <c r="FA123" s="394">
        <f ca="1">IFERROR(EZ123/EJ$4,0)</f>
        <v>2.4222643169720434E-2</v>
      </c>
      <c r="FB123" s="212" t="str">
        <f ca="1">IF(SUM(EO123,EW123,FA123)&lt;&gt;0,"V","")</f>
        <v>V</v>
      </c>
      <c r="FC123" s="214"/>
      <c r="FD123" s="312" t="str">
        <f ca="1">IFERROR($X123/FE123-1,"")</f>
        <v/>
      </c>
      <c r="FE123" s="215"/>
      <c r="FF123" s="199">
        <f ca="1">FC123*$X123</f>
        <v>0</v>
      </c>
      <c r="FG123" s="199">
        <f ca="1">FF123*$Z123</f>
        <v>0</v>
      </c>
      <c r="FH123" s="216">
        <f ca="1">IFERROR(FG123/FC$4,0)</f>
        <v>0</v>
      </c>
      <c r="FI123" s="202">
        <f ca="1">FJ123/$X123</f>
        <v>0</v>
      </c>
      <c r="FJ123" s="203">
        <f ca="1">FK123/$Z123</f>
        <v>0</v>
      </c>
      <c r="FK123" s="203">
        <f ca="1">FL123*FC$4</f>
        <v>0</v>
      </c>
      <c r="FL123" s="204">
        <f t="shared" ca="1" si="4831"/>
        <v>0</v>
      </c>
      <c r="FM123" s="205"/>
      <c r="FN123" s="206">
        <f ca="1">FM123*$X123</f>
        <v>0</v>
      </c>
      <c r="FO123" s="206">
        <f ca="1">FN123*$Z123</f>
        <v>0</v>
      </c>
      <c r="FP123" s="207">
        <f ca="1">IFERROR(FO123/FC$4,0)</f>
        <v>0</v>
      </c>
      <c r="FQ123" s="391">
        <f t="shared" ref="FQ123" si="5071">FC123+FM123</f>
        <v>0</v>
      </c>
      <c r="FR123" s="391">
        <f ca="1">FF123+IF($T123 ="",FN123,0)</f>
        <v>0</v>
      </c>
      <c r="FS123" s="391">
        <f ca="1">FR123*$Z123</f>
        <v>0</v>
      </c>
      <c r="FT123" s="394">
        <f ca="1">IFERROR(FS123/FC$4,0)</f>
        <v>0</v>
      </c>
      <c r="FU123" s="209" t="str">
        <f ca="1">IF(SUM(FH123,FP123,FT123)&lt;&gt;0,"V","")</f>
        <v/>
      </c>
    </row>
    <row r="124" spans="1:177" outlineLevel="2" x14ac:dyDescent="0.2">
      <c r="A124" s="366"/>
      <c r="B124" s="366"/>
      <c r="C124" s="367" t="str">
        <f t="shared" ca="1" si="5056"/>
        <v>US81369Y8865:USD</v>
      </c>
      <c r="D124" s="368" t="str">
        <f t="shared" ca="1" si="5056"/>
        <v>US81369Y8865</v>
      </c>
      <c r="E124" s="369" t="str">
        <f t="shared" ca="1" si="5056"/>
        <v>986060</v>
      </c>
      <c r="F124" s="390" t="s">
        <v>430</v>
      </c>
      <c r="G124" s="414"/>
      <c r="H124" s="1713" t="str">
        <f t="shared" ca="1" si="4723"/>
        <v></v>
      </c>
      <c r="I124" s="1683" t="str">
        <f ca="1">IF(OFFSET(Origine,MATCH($F124,Descrizioni,0),MATCH(I$15,Intestazioni,0)-1,1,1)&lt;&gt;"",HYPERLINK(OFFSET(Origine,MATCH($F124,Descrizioni,0),MATCH(I$15,Intestazioni,0)-1,1,1),"i"),"")</f>
        <v>i</v>
      </c>
      <c r="J124" s="1713" t="str">
        <f t="shared" ca="1" si="5057"/>
        <v/>
      </c>
      <c r="K124" s="1716" t="str">
        <f t="shared" ca="1" si="5057"/>
        <v></v>
      </c>
      <c r="L124" s="1717" t="str">
        <f ca="1">IF(OFFSET(Origine,MATCH($F124,Descrizioni,0),MATCH(L$15,Intestazioni,0)-1,1,1)&lt;&gt;"",HYPERLINK("https://www.zonebourse.com/mods_a/charts/TV/inc_dyna_graph.php?c="&amp;OFFSET(Origine,MATCH($F124,Descrizioni,0),MATCH(L$15,Intestazioni,0)-1,1,1)&amp;"&amp;style=TradingView.CANDLES&amp;showAT=1",""),"")</f>
        <v></v>
      </c>
      <c r="M124" s="366" t="str">
        <f ca="1">(OFFSET(Origine,MATCH($F124,Descrizioni,0),MATCH(M$15,Intestazioni,0)-1,1,1))</f>
        <v>Unit</v>
      </c>
      <c r="N124" s="417">
        <v>1.4999999999999999E-2</v>
      </c>
      <c r="O124" s="417"/>
      <c r="P124" s="418">
        <f t="shared" ca="1" si="4637"/>
        <v>1.5686487689773331E-2</v>
      </c>
      <c r="Q124" s="391">
        <f t="array" aca="1" ref="Q124" ca="1">SUM(IF($AA$15:$FT$15="I_pos",AA124:FT124))</f>
        <v>3305</v>
      </c>
      <c r="R124" s="391">
        <f t="array" aca="1" ref="R124" ca="1">SUM(IF($AA$15:$FT$15="P_Pos",AA124:FT124))</f>
        <v>2029.9585429804467</v>
      </c>
      <c r="S124" s="367"/>
      <c r="T124" s="391"/>
      <c r="U124" s="375">
        <f ca="1">OFFSET(Origine,MATCH($F124,Descrizioni,0),MATCH(U$15,Intestazioni,0)-1,1,1)</f>
        <v>-1.2244036309900801E-2</v>
      </c>
      <c r="V124" s="391">
        <f t="array" aca="1" ref="V124" ca="1">SUM(IF($AA$15:$FT$15="O_Pos",AA124:FT124))</f>
        <v>0</v>
      </c>
      <c r="W124" s="367" t="str">
        <f ca="1">OFFSET(Origine,MATCH($F124,Descrizioni,0),MATCH(W$15,Intestazioni,0)-1,1,1)</f>
        <v>USD</v>
      </c>
      <c r="X124" s="392">
        <f t="shared" ca="1" si="4728"/>
        <v>46.79</v>
      </c>
      <c r="Y124" s="393">
        <f ca="1">_xlfn.NUMBERVALUE(OFFSET(Origine,MATCH($F124,Descrizioni,0),MATCH(Y$15,Intestazioni,0)-1,1,1))</f>
        <v>0</v>
      </c>
      <c r="Z124" s="378">
        <f ca="1">_xlfn.NUMBERVALUE(OFFSET(Origine,MATCH(W124&amp;"/"&amp;MRif,LUKB_Name,0),MATCH("Price",Intestazioni,0)-1,1,1))</f>
        <v>0.78225</v>
      </c>
      <c r="AA124" s="214">
        <f>240</f>
        <v>240</v>
      </c>
      <c r="AB124" s="312">
        <f ca="1">IFERROR($X124/AC124-1,"")</f>
        <v>2.733560215171793E-2</v>
      </c>
      <c r="AC124" s="215">
        <v>45.545000000000002</v>
      </c>
      <c r="AD124" s="199">
        <f ca="1">AA124*$X124</f>
        <v>11229.6</v>
      </c>
      <c r="AE124" s="199">
        <f ca="1">AD124*$Z124</f>
        <v>8784.3546000000006</v>
      </c>
      <c r="AF124" s="216">
        <f ca="1">IFERROR(AE124/AA$4,0)</f>
        <v>1.5644553747519482E-2</v>
      </c>
      <c r="AG124" s="202">
        <f ca="1">AH124/$X124</f>
        <v>-9.8879713605895088</v>
      </c>
      <c r="AH124" s="203">
        <f ca="1">AI124/$Z124</f>
        <v>-462.65817996198308</v>
      </c>
      <c r="AI124" s="203">
        <f ca="1">AJ124*AA$4</f>
        <v>-361.91436127526129</v>
      </c>
      <c r="AJ124" s="204">
        <f t="shared" ref="AJ124" ca="1" si="5072">IF(AA$6&lt;&gt;"",$O124,$N124)-AF124</f>
        <v>-6.4455374751948291E-4</v>
      </c>
      <c r="AK124" s="205"/>
      <c r="AL124" s="206">
        <f ca="1">AK124*$X124</f>
        <v>0</v>
      </c>
      <c r="AM124" s="206">
        <f ca="1">AL124*$Z124</f>
        <v>0</v>
      </c>
      <c r="AN124" s="207">
        <f ca="1">IFERROR(AM124/AA$4,0)</f>
        <v>0</v>
      </c>
      <c r="AO124" s="391">
        <f t="shared" ref="AO124" si="5073">AA124+AK124</f>
        <v>240</v>
      </c>
      <c r="AP124" s="391">
        <f ca="1">AD124+IF($T124 ="",AL124,0)</f>
        <v>11229.6</v>
      </c>
      <c r="AQ124" s="391">
        <f ca="1">AP124*$Z124</f>
        <v>8784.3546000000006</v>
      </c>
      <c r="AR124" s="394">
        <f ca="1">IFERROR(AQ124/AA$4,0)</f>
        <v>1.5644553747519482E-2</v>
      </c>
      <c r="AS124" s="209" t="str">
        <f ca="1">IF(SUM(AF124,AN124,AR124)&lt;&gt;0,"V","")</f>
        <v>V</v>
      </c>
      <c r="AT124" s="214">
        <f>745</f>
        <v>745</v>
      </c>
      <c r="AU124" s="312">
        <f ca="1">IFERROR($X124/AV124-1,"")</f>
        <v>2.733560215171793E-2</v>
      </c>
      <c r="AV124" s="215">
        <v>45.545000000000002</v>
      </c>
      <c r="AW124" s="199">
        <f ca="1">AT124*$X124</f>
        <v>34858.550000000003</v>
      </c>
      <c r="AX124" s="199">
        <f ca="1">AW124*$Z124</f>
        <v>27268.100737500001</v>
      </c>
      <c r="AY124" s="216">
        <f ca="1">IFERROR(AX124/AT$4,0)</f>
        <v>1.5745143168307427E-2</v>
      </c>
      <c r="AZ124" s="202">
        <f ca="1">BA124/$X124</f>
        <v>-35.257326939168692</v>
      </c>
      <c r="BA124" s="203">
        <f ca="1">BB124/$Z124</f>
        <v>-1649.690327483703</v>
      </c>
      <c r="BB124" s="203">
        <f ca="1">BC124*AT$4</f>
        <v>-1290.4702586741266</v>
      </c>
      <c r="BC124" s="204">
        <f t="shared" ref="BC124" ca="1" si="5074">IF(AT$6&lt;&gt;"",$O124,$N124)-AY124</f>
        <v>-7.4514316830742722E-4</v>
      </c>
      <c r="BD124" s="205"/>
      <c r="BE124" s="206">
        <f ca="1">BD124*$X124</f>
        <v>0</v>
      </c>
      <c r="BF124" s="206">
        <f ca="1">BE124*$Z124</f>
        <v>0</v>
      </c>
      <c r="BG124" s="207">
        <f ca="1">IFERROR(BF124/AT$4,0)</f>
        <v>0</v>
      </c>
      <c r="BH124" s="391">
        <f t="shared" ref="BH124" si="5075">AT124+BD124</f>
        <v>745</v>
      </c>
      <c r="BI124" s="391">
        <f ca="1">AW124+IF($T124 ="",BE124,0)</f>
        <v>34858.550000000003</v>
      </c>
      <c r="BJ124" s="391">
        <f ca="1">BI124*$Z124</f>
        <v>27268.100737500001</v>
      </c>
      <c r="BK124" s="394">
        <f ca="1">IFERROR(BJ124/AT$4,0)</f>
        <v>1.5745143168307427E-2</v>
      </c>
      <c r="BL124" s="211" t="str">
        <f ca="1">IF(SUM(AY124,BG124,BK124)&lt;&gt;0,"V","")</f>
        <v>V</v>
      </c>
      <c r="BM124" s="214">
        <f>120</f>
        <v>120</v>
      </c>
      <c r="BN124" s="312">
        <f ca="1">IFERROR($X124/BO124-1,"")</f>
        <v>2.733560215171793E-2</v>
      </c>
      <c r="BO124" s="215">
        <v>45.545000000000002</v>
      </c>
      <c r="BP124" s="199">
        <f ca="1">BM124*$X124</f>
        <v>5614.8</v>
      </c>
      <c r="BQ124" s="199">
        <f ca="1">BP124*$Z124</f>
        <v>4392.1773000000003</v>
      </c>
      <c r="BR124" s="216">
        <f ca="1">IFERROR(BQ124/BM$4,0)</f>
        <v>1.5412649505389602E-2</v>
      </c>
      <c r="BS124" s="202">
        <f ca="1">BT124/$X124</f>
        <v>-3.2128116992108691</v>
      </c>
      <c r="BT124" s="203">
        <f ca="1">BU124/$Z124</f>
        <v>-150.32745940607657</v>
      </c>
      <c r="BU124" s="203">
        <f ca="1">BV124*BM$4</f>
        <v>-117.5936551204034</v>
      </c>
      <c r="BV124" s="204">
        <f t="shared" ref="BV124" ca="1" si="5076">IF(BM$6&lt;&gt;"",$O124,$N124)-BR124</f>
        <v>-4.1264950538960274E-4</v>
      </c>
      <c r="BW124" s="205"/>
      <c r="BX124" s="206">
        <f ca="1">BW124*$X124</f>
        <v>0</v>
      </c>
      <c r="BY124" s="206">
        <f ca="1">BX124*$Z124</f>
        <v>0</v>
      </c>
      <c r="BZ124" s="207">
        <f ca="1">IFERROR(BY124/BM$4,0)</f>
        <v>0</v>
      </c>
      <c r="CA124" s="391">
        <f t="shared" ref="CA124" si="5077">BM124+BW124</f>
        <v>120</v>
      </c>
      <c r="CB124" s="391">
        <f ca="1">BP124+IF($T124 ="",BX124,0)</f>
        <v>5614.8</v>
      </c>
      <c r="CC124" s="391">
        <f ca="1">CB124*$Z124</f>
        <v>4392.1773000000003</v>
      </c>
      <c r="CD124" s="394">
        <f ca="1">IFERROR(CC124/BM$4,0)</f>
        <v>1.5412649505389602E-2</v>
      </c>
      <c r="CE124" s="212" t="str">
        <f ca="1">IF(SUM(BR124,BZ124,CD124)&lt;&gt;0,"V","")</f>
        <v>V</v>
      </c>
      <c r="CF124" s="214">
        <f>340</f>
        <v>340</v>
      </c>
      <c r="CG124" s="312">
        <f ca="1">IFERROR($X124/CH124-1,"")</f>
        <v>2.733560215171793E-2</v>
      </c>
      <c r="CH124" s="215">
        <v>45.545000000000002</v>
      </c>
      <c r="CI124" s="199">
        <f ca="1">CF124*$X124</f>
        <v>15908.6</v>
      </c>
      <c r="CJ124" s="199">
        <f ca="1">CI124*$Z124</f>
        <v>12444.502350000001</v>
      </c>
      <c r="CK124" s="216">
        <f ca="1">IFERROR(CJ124/CF$4,0)</f>
        <v>1.4062226969372062E-2</v>
      </c>
      <c r="CL124" s="202">
        <f ca="1">CM124/$X124</f>
        <v>22.673708162152948</v>
      </c>
      <c r="CM124" s="203">
        <f ca="1">CN124/$Z124</f>
        <v>1060.9028049071364</v>
      </c>
      <c r="CN124" s="203">
        <f ca="1">CO124*CF$4</f>
        <v>829.89121913860743</v>
      </c>
      <c r="CO124" s="204">
        <f t="shared" ref="CO124" ca="1" si="5078">IF(CF$6&lt;&gt;"",$O124,$N124)-CK124</f>
        <v>9.3777303062793707E-4</v>
      </c>
      <c r="CP124" s="205"/>
      <c r="CQ124" s="206">
        <f ca="1">CP124*$X124</f>
        <v>0</v>
      </c>
      <c r="CR124" s="206">
        <f ca="1">CQ124*$Z124</f>
        <v>0</v>
      </c>
      <c r="CS124" s="207">
        <f ca="1">IFERROR(CR124/CF$4,0)</f>
        <v>0</v>
      </c>
      <c r="CT124" s="391">
        <f t="shared" ref="CT124" si="5079">CF124+CP124</f>
        <v>340</v>
      </c>
      <c r="CU124" s="391">
        <f ca="1">CI124+IF($T124 ="",CQ124,0)</f>
        <v>15908.6</v>
      </c>
      <c r="CV124" s="391">
        <f ca="1">CU124*$Z124</f>
        <v>12444.502350000001</v>
      </c>
      <c r="CW124" s="394">
        <f ca="1">IFERROR(CV124/CF$4,0)</f>
        <v>1.4062226969372062E-2</v>
      </c>
      <c r="CX124" s="211" t="str">
        <f ca="1">IF(SUM(CK124,CS124,CW124)&lt;&gt;0,"V","")</f>
        <v>V</v>
      </c>
      <c r="CY124" s="197">
        <f>1550</f>
        <v>1550</v>
      </c>
      <c r="CZ124" s="312">
        <f ca="1">IFERROR($X124/DA124-1,"")</f>
        <v>2.5725340611401526E-2</v>
      </c>
      <c r="DA124" s="395">
        <v>45.616500000000002</v>
      </c>
      <c r="DB124" s="199">
        <f ca="1">CY124*$X124</f>
        <v>72524.5</v>
      </c>
      <c r="DC124" s="199">
        <f ca="1">DB124*$Z124</f>
        <v>56732.290125</v>
      </c>
      <c r="DD124" s="216">
        <f ca="1">IFERROR(DC124/CY$4,0)</f>
        <v>1.5823056777979086E-2</v>
      </c>
      <c r="DE124" s="202">
        <f ca="1">DF124/$X124</f>
        <v>-80.625256154236013</v>
      </c>
      <c r="DF124" s="203">
        <f ca="1">DG124/$Z124</f>
        <v>-3772.4557354567028</v>
      </c>
      <c r="DG124" s="203">
        <f ca="1">DH124*CY$4</f>
        <v>-2951.0034990610056</v>
      </c>
      <c r="DH124" s="204">
        <f t="shared" ref="DH124" ca="1" si="5080">IF(CY$6&lt;&gt;"",$O124,$N124)-DD124</f>
        <v>-8.230567779790865E-4</v>
      </c>
      <c r="DI124" s="205"/>
      <c r="DJ124" s="206">
        <f ca="1">DI124*$X124</f>
        <v>0</v>
      </c>
      <c r="DK124" s="206">
        <f ca="1">DJ124*$Z124</f>
        <v>0</v>
      </c>
      <c r="DL124" s="207">
        <f ca="1">IFERROR(DK124/CY$4,0)</f>
        <v>0</v>
      </c>
      <c r="DM124" s="391">
        <f>CY124+DI124</f>
        <v>1550</v>
      </c>
      <c r="DN124" s="391">
        <f ca="1">DB124+IF($T124 ="",DJ124,0)</f>
        <v>72524.5</v>
      </c>
      <c r="DO124" s="391">
        <f ca="1">DN124*$Z124</f>
        <v>56732.290125</v>
      </c>
      <c r="DP124" s="394">
        <f ca="1">IFERROR(DO124/CY$4,0)</f>
        <v>1.5823056777979086E-2</v>
      </c>
      <c r="DQ124" s="209" t="str">
        <f ca="1">IF(SUM(DD124,DL124,DP124)&lt;&gt;0,"V","")</f>
        <v>V</v>
      </c>
      <c r="DR124" s="197">
        <f>310</f>
        <v>310</v>
      </c>
      <c r="DS124" s="312">
        <f ca="1">IFERROR($X124/DT124-1,"")</f>
        <v>2.4748138414367071E-2</v>
      </c>
      <c r="DT124" s="395">
        <v>45.66</v>
      </c>
      <c r="DU124" s="199">
        <f ca="1">DR124*$X124</f>
        <v>14504.9</v>
      </c>
      <c r="DV124" s="199">
        <f ca="1">DU124*$Z124</f>
        <v>11346.458025</v>
      </c>
      <c r="DW124" s="216">
        <f ca="1">IFERROR(DV124/DR$4,0)</f>
        <v>1.61685774968169E-2</v>
      </c>
      <c r="DX124" s="202">
        <f ca="1">DY124/$X124</f>
        <v>-22.40512649208361</v>
      </c>
      <c r="DY124" s="203">
        <f ca="1">DZ124/$Z124</f>
        <v>-1048.3358685645921</v>
      </c>
      <c r="DZ124" s="203">
        <f ca="1">EA124*DR$4</f>
        <v>-820.06073318465212</v>
      </c>
      <c r="EA124" s="204">
        <f t="shared" ref="EA124" ca="1" si="5081">IF(DR$6&lt;&gt;"",$O124,$N124)-DW124</f>
        <v>-1.1685774968169006E-3</v>
      </c>
      <c r="EB124" s="205"/>
      <c r="EC124" s="206">
        <f ca="1">EB124*$X124</f>
        <v>0</v>
      </c>
      <c r="ED124" s="206">
        <f ca="1">EC124*$Z124</f>
        <v>0</v>
      </c>
      <c r="EE124" s="207">
        <f ca="1">IFERROR(ED124/DR$4,0)</f>
        <v>0</v>
      </c>
      <c r="EF124" s="391">
        <f>DR124+EB124</f>
        <v>310</v>
      </c>
      <c r="EG124" s="391">
        <f ca="1">DU124+IF($T124 ="",EC124,0)</f>
        <v>14504.9</v>
      </c>
      <c r="EH124" s="391">
        <f ca="1">EG124*$Z124</f>
        <v>11346.458025</v>
      </c>
      <c r="EI124" s="394">
        <f ca="1">IFERROR(EH124/DR$4,0)</f>
        <v>1.61685774968169E-2</v>
      </c>
      <c r="EJ124" s="214"/>
      <c r="EK124" s="312" t="str">
        <f ca="1">IFERROR($X124/EL124-1,"")</f>
        <v/>
      </c>
      <c r="EL124" s="222"/>
      <c r="EM124" s="199">
        <f ca="1">EJ124*$X124</f>
        <v>0</v>
      </c>
      <c r="EN124" s="199">
        <f ca="1">EM124*$Z124</f>
        <v>0</v>
      </c>
      <c r="EO124" s="216">
        <f ca="1">IFERROR(EN124/EJ$4,0)</f>
        <v>0</v>
      </c>
      <c r="EP124" s="202">
        <f ca="1">EQ124/$X124</f>
        <v>290.86867137243246</v>
      </c>
      <c r="EQ124" s="203">
        <f ca="1">ER124/$Z124</f>
        <v>13609.745133516115</v>
      </c>
      <c r="ER124" s="203">
        <f ca="1">ES124*EJ$4</f>
        <v>10646.223130692981</v>
      </c>
      <c r="ES124" s="204">
        <f t="shared" ref="ES124" ca="1" si="5082">IF(EJ$6&lt;&gt;"",$O124,$N124)-EO124</f>
        <v>1.4999999999999999E-2</v>
      </c>
      <c r="ET124" s="426"/>
      <c r="EU124" s="206">
        <f ca="1">ET124*$X124</f>
        <v>0</v>
      </c>
      <c r="EV124" s="206">
        <f ca="1">EU124*$Z124</f>
        <v>0</v>
      </c>
      <c r="EW124" s="207">
        <f ca="1">IFERROR(EV124/EJ$4,0)</f>
        <v>0</v>
      </c>
      <c r="EX124" s="391">
        <f t="shared" ref="EX124" si="5083">EJ124+ET124</f>
        <v>0</v>
      </c>
      <c r="EY124" s="391">
        <f ca="1">EM124+IF($T124 ="",EU124,0)</f>
        <v>0</v>
      </c>
      <c r="EZ124" s="391">
        <f ca="1">EY124*$Z124</f>
        <v>0</v>
      </c>
      <c r="FA124" s="394">
        <f ca="1">IFERROR(EZ124/EJ$4,0)</f>
        <v>0</v>
      </c>
      <c r="FB124" s="212" t="str">
        <f ca="1">IF(SUM(EO124,EW124,FA124)&lt;&gt;0,"V","")</f>
        <v/>
      </c>
      <c r="FC124" s="214"/>
      <c r="FD124" s="312" t="str">
        <f ca="1">IFERROR($X124/FE124-1,"")</f>
        <v/>
      </c>
      <c r="FE124" s="215"/>
      <c r="FF124" s="199">
        <f ca="1">FC124*$X124</f>
        <v>0</v>
      </c>
      <c r="FG124" s="199">
        <f ca="1">FF124*$Z124</f>
        <v>0</v>
      </c>
      <c r="FH124" s="216">
        <f ca="1">IFERROR(FG124/FC$4,0)</f>
        <v>0</v>
      </c>
      <c r="FI124" s="202">
        <f ca="1">FJ124/$X124</f>
        <v>1867.80465609115</v>
      </c>
      <c r="FJ124" s="203">
        <f ca="1">FK124/$Z124</f>
        <v>87394.579858504905</v>
      </c>
      <c r="FK124" s="203">
        <f ca="1">FL124*FC$4</f>
        <v>68364.410094315463</v>
      </c>
      <c r="FL124" s="204">
        <f t="shared" ref="FL124" ca="1" si="5084">IF(FC$6&lt;&gt;"",$O124,$N124)-FH124</f>
        <v>1.4999999999999999E-2</v>
      </c>
      <c r="FM124" s="205"/>
      <c r="FN124" s="206">
        <f ca="1">FM124*$X124</f>
        <v>0</v>
      </c>
      <c r="FO124" s="206">
        <f ca="1">FN124*$Z124</f>
        <v>0</v>
      </c>
      <c r="FP124" s="207">
        <f ca="1">IFERROR(FO124/FC$4,0)</f>
        <v>0</v>
      </c>
      <c r="FQ124" s="391">
        <f t="shared" ref="FQ124" si="5085">FC124+FM124</f>
        <v>0</v>
      </c>
      <c r="FR124" s="391">
        <f ca="1">FF124+IF($T124 ="",FN124,0)</f>
        <v>0</v>
      </c>
      <c r="FS124" s="391">
        <f ca="1">FR124*$Z124</f>
        <v>0</v>
      </c>
      <c r="FT124" s="394">
        <f ca="1">IFERROR(FS124/FC$4,0)</f>
        <v>0</v>
      </c>
      <c r="FU124" s="209" t="str">
        <f ca="1">IF(SUM(FH124,FP124,FT124)&lt;&gt;0,"V","")</f>
        <v/>
      </c>
    </row>
    <row r="125" spans="1:177" outlineLevel="2" x14ac:dyDescent="0.2">
      <c r="A125" s="366"/>
      <c r="B125" s="366"/>
      <c r="C125" s="367" t="str">
        <f t="shared" ca="1" si="4721"/>
        <v>IE00BFWFPX50:USD</v>
      </c>
      <c r="D125" s="368" t="str">
        <f t="shared" ca="1" si="4722"/>
        <v>IE00BFWFPX50</v>
      </c>
      <c r="E125" s="369" t="str">
        <f t="shared" ca="1" si="4722"/>
        <v>42480705</v>
      </c>
      <c r="F125" s="367" t="s">
        <v>462</v>
      </c>
      <c r="G125" s="414"/>
      <c r="H125" s="1713" t="str">
        <f t="shared" ca="1" si="4723"/>
        <v></v>
      </c>
      <c r="I125" s="1683" t="str">
        <f t="shared" ca="1" si="4659"/>
        <v>i</v>
      </c>
      <c r="J125" s="1713" t="str">
        <f t="shared" ca="1" si="4660"/>
        <v></v>
      </c>
      <c r="K125" s="1716" t="str">
        <f t="shared" ca="1" si="4660"/>
        <v></v>
      </c>
      <c r="L125" s="1717" t="str">
        <f t="shared" ca="1" si="4724"/>
        <v></v>
      </c>
      <c r="M125" s="366" t="str">
        <f t="shared" ca="1" si="4725"/>
        <v>Unit</v>
      </c>
      <c r="N125" s="417">
        <v>1.4999999999999999E-2</v>
      </c>
      <c r="O125" s="417"/>
      <c r="P125" s="418">
        <f t="shared" ca="1" si="4637"/>
        <v>1.5447911949030233E-2</v>
      </c>
      <c r="Q125" s="391">
        <f t="array" aca="1" ref="Q125" ca="1">SUM(IF($AA$15:$FT$15="I_pos",AA125:FT125))</f>
        <v>1265</v>
      </c>
      <c r="R125" s="391">
        <f t="array" aca="1" ref="R125" ca="1">SUM(IF($AA$15:$FT$15="P_Pos",AA125:FT125))</f>
        <v>3367.9382001866202</v>
      </c>
      <c r="S125" s="367"/>
      <c r="T125" s="391"/>
      <c r="U125" s="375">
        <f t="shared" ca="1" si="4726"/>
        <v>-1.4825796886583E-3</v>
      </c>
      <c r="V125" s="391">
        <f t="array" aca="1" ref="V125" ca="1">SUM(IF($AA$15:$FT$15="O_Pos",AA125:FT125))</f>
        <v>0</v>
      </c>
      <c r="W125" s="367" t="str">
        <f t="shared" ref="W125" ca="1" si="5086">OFFSET(Origine,MATCH($F125,Descrizioni,0),MATCH(W$15,Intestazioni,0)-1,1,1)</f>
        <v>USD</v>
      </c>
      <c r="X125" s="392">
        <f t="shared" ca="1" si="4728"/>
        <v>53.88</v>
      </c>
      <c r="Y125" s="393">
        <f t="shared" ref="Y125:Y134" ca="1" si="5087">_xlfn.NUMBERVALUE(OFFSET(Origine,MATCH($F125,Descrizioni,0),MATCH(Y$15,Intestazioni,0)-1,1,1))</f>
        <v>0</v>
      </c>
      <c r="Z125" s="378">
        <f t="shared" ca="1" si="4730"/>
        <v>0.78225</v>
      </c>
      <c r="AA125" s="214">
        <f>280+-75</f>
        <v>205</v>
      </c>
      <c r="AB125" s="312">
        <f t="shared" ref="AB125:AB133" ca="1" si="5088">IFERROR($X125/AC125-1,"")</f>
        <v>0.29353496601709828</v>
      </c>
      <c r="AC125" s="215">
        <v>41.653300000000002</v>
      </c>
      <c r="AD125" s="199">
        <f t="shared" ref="AD125" ca="1" si="5089">AA125*$X125</f>
        <v>11045.4</v>
      </c>
      <c r="AE125" s="199">
        <f t="shared" ref="AE125" ca="1" si="5090">AD125*$Z125</f>
        <v>8640.2641499999991</v>
      </c>
      <c r="AF125" s="216">
        <f t="shared" ca="1" si="4640"/>
        <v>1.5387934918683805E-2</v>
      </c>
      <c r="AG125" s="202">
        <f t="shared" ref="AG125" ca="1" si="5091">AH125/$X125</f>
        <v>-5.1681176681882128</v>
      </c>
      <c r="AH125" s="203">
        <f t="shared" ref="AH125" ca="1" si="5092">AI125/$Z125</f>
        <v>-278.45817996198093</v>
      </c>
      <c r="AI125" s="203">
        <f t="shared" ref="AI125" ca="1" si="5093">AJ125*AA$4</f>
        <v>-217.8239112752596</v>
      </c>
      <c r="AJ125" s="204">
        <f t="shared" ca="1" si="4738"/>
        <v>-3.8793491868380561E-4</v>
      </c>
      <c r="AK125" s="205"/>
      <c r="AL125" s="206">
        <f t="shared" ref="AL125" ca="1" si="5094">AK125*$X125</f>
        <v>0</v>
      </c>
      <c r="AM125" s="206">
        <f t="shared" ref="AM125" ca="1" si="5095">AL125*$Z125</f>
        <v>0</v>
      </c>
      <c r="AN125" s="207">
        <f t="shared" ca="1" si="4641"/>
        <v>0</v>
      </c>
      <c r="AO125" s="391">
        <f t="shared" si="4855"/>
        <v>205</v>
      </c>
      <c r="AP125" s="391">
        <f t="shared" ca="1" si="2846"/>
        <v>11045.4</v>
      </c>
      <c r="AQ125" s="391">
        <f t="shared" ref="AQ125" ca="1" si="5096">AP125*$Z125</f>
        <v>8640.2641499999991</v>
      </c>
      <c r="AR125" s="394">
        <f t="shared" ref="AR125:AR135" ca="1" si="5097">IFERROR(AQ125/AA$4,0)</f>
        <v>1.5387934918683805E-2</v>
      </c>
      <c r="AS125" s="209" t="str">
        <f t="shared" ref="AS125:AS171" ca="1" si="5098">IF(SUM(AF125,AN125,AR125)&lt;&gt;0,"V","")</f>
        <v>V</v>
      </c>
      <c r="AT125" s="214">
        <f>860+-225</f>
        <v>635</v>
      </c>
      <c r="AU125" s="312">
        <f t="shared" ref="AU125:AU133" ca="1" si="5099">IFERROR($X125/AV125-1,"")</f>
        <v>0.29353496601709828</v>
      </c>
      <c r="AV125" s="215">
        <v>41.653300000000002</v>
      </c>
      <c r="AW125" s="199">
        <f t="shared" ref="AW125" ca="1" si="5100">AT125*$X125</f>
        <v>34213.800000000003</v>
      </c>
      <c r="AX125" s="199">
        <f t="shared" ref="AX125" ca="1" si="5101">AW125*$Z125</f>
        <v>26763.745050000001</v>
      </c>
      <c r="AY125" s="216">
        <f t="shared" ca="1" si="4643"/>
        <v>1.5453918173069065E-2</v>
      </c>
      <c r="AZ125" s="202">
        <f t="shared" ref="AZ125" ca="1" si="5102">BA125/$X125</f>
        <v>-18.651453739489678</v>
      </c>
      <c r="BA125" s="203">
        <f t="shared" ref="BA125" ca="1" si="5103">BB125/$Z125</f>
        <v>-1004.9403274837039</v>
      </c>
      <c r="BB125" s="203">
        <f t="shared" ref="BB125" ca="1" si="5104">BC125*AT$4</f>
        <v>-786.11457117412738</v>
      </c>
      <c r="BC125" s="204">
        <f t="shared" ca="1" si="4751"/>
        <v>-4.5391817306906536E-4</v>
      </c>
      <c r="BD125" s="205"/>
      <c r="BE125" s="206">
        <f t="shared" ref="BE125" ca="1" si="5105">BD125*$X125</f>
        <v>0</v>
      </c>
      <c r="BF125" s="206">
        <f t="shared" ref="BF125" ca="1" si="5106">BE125*$Z125</f>
        <v>0</v>
      </c>
      <c r="BG125" s="207">
        <f t="shared" ca="1" si="4644"/>
        <v>0</v>
      </c>
      <c r="BH125" s="391">
        <f t="shared" si="4870"/>
        <v>635</v>
      </c>
      <c r="BI125" s="391">
        <f t="shared" ca="1" si="2857"/>
        <v>34213.800000000003</v>
      </c>
      <c r="BJ125" s="391">
        <f t="shared" ref="BJ125" ca="1" si="5107">BI125*$Z125</f>
        <v>26763.745050000001</v>
      </c>
      <c r="BK125" s="394">
        <f t="shared" ref="BK125:BK135" ca="1" si="5108">IFERROR(BJ125/AT$4,0)</f>
        <v>1.5453918173069065E-2</v>
      </c>
      <c r="BL125" s="211" t="str">
        <f t="shared" ref="BL125:BL171" ca="1" si="5109">IF(SUM(AY125,BG125,BK125)&lt;&gt;0,"V","")</f>
        <v>V</v>
      </c>
      <c r="BM125" s="214">
        <f>150+-45</f>
        <v>105</v>
      </c>
      <c r="BN125" s="312">
        <f t="shared" ref="BN125:BN133" ca="1" si="5110">IFERROR($X125/BO125-1,"")</f>
        <v>0.2935256496437284</v>
      </c>
      <c r="BO125" s="215">
        <v>41.653599999999997</v>
      </c>
      <c r="BP125" s="199">
        <f t="shared" ref="BP125" ca="1" si="5111">BM125*$X125</f>
        <v>5657.4000000000005</v>
      </c>
      <c r="BQ125" s="199">
        <f t="shared" ref="BQ125" ca="1" si="5112">BP125*$Z125</f>
        <v>4425.5011500000001</v>
      </c>
      <c r="BR125" s="216">
        <f t="shared" ca="1" si="4646"/>
        <v>1.5529586683727139E-2</v>
      </c>
      <c r="BS125" s="202">
        <f t="shared" ref="BS125" ca="1" si="5113">BT125/$X125</f>
        <v>-3.5806878137727693</v>
      </c>
      <c r="BT125" s="203">
        <f t="shared" ref="BT125" ca="1" si="5114">BU125/$Z125</f>
        <v>-192.92745940607682</v>
      </c>
      <c r="BU125" s="203">
        <f t="shared" ref="BU125" ca="1" si="5115">BV125*BM$4</f>
        <v>-150.9175051204036</v>
      </c>
      <c r="BV125" s="204">
        <f t="shared" ca="1" si="4764"/>
        <v>-5.2958668372713943E-4</v>
      </c>
      <c r="BW125" s="205"/>
      <c r="BX125" s="206">
        <f t="shared" ref="BX125" ca="1" si="5116">BW125*$X125</f>
        <v>0</v>
      </c>
      <c r="BY125" s="206">
        <f t="shared" ref="BY125" ca="1" si="5117">BX125*$Z125</f>
        <v>0</v>
      </c>
      <c r="BZ125" s="207">
        <f t="shared" ca="1" si="4647"/>
        <v>0</v>
      </c>
      <c r="CA125" s="391">
        <f t="shared" si="4885"/>
        <v>105</v>
      </c>
      <c r="CB125" s="391">
        <f t="shared" ca="1" si="2870"/>
        <v>5657.4000000000005</v>
      </c>
      <c r="CC125" s="391">
        <f t="shared" ref="CC125" ca="1" si="5118">CB125*$Z125</f>
        <v>4425.5011500000001</v>
      </c>
      <c r="CD125" s="394">
        <f t="shared" ref="CD125:CD135" ca="1" si="5119">IFERROR(CC125/BM$4,0)</f>
        <v>1.5529586683727139E-2</v>
      </c>
      <c r="CE125" s="212" t="str">
        <f t="shared" ref="CE125:CE171" ca="1" si="5120">IF(SUM(BR125,BZ125,CD125)&lt;&gt;0,"V","")</f>
        <v>V</v>
      </c>
      <c r="CF125" s="214">
        <f>420+-100</f>
        <v>320</v>
      </c>
      <c r="CG125" s="312">
        <f t="shared" ref="CG125:CG133" ca="1" si="5121">IFERROR($X125/CH125-1,"")</f>
        <v>0.2935256496437284</v>
      </c>
      <c r="CH125" s="215">
        <v>41.653599999999997</v>
      </c>
      <c r="CI125" s="199">
        <f t="shared" ref="CI125" ca="1" si="5122">CF125*$X125</f>
        <v>17241.600000000002</v>
      </c>
      <c r="CJ125" s="199">
        <f t="shared" ref="CJ125" ca="1" si="5123">CI125*$Z125</f>
        <v>13487.241600000001</v>
      </c>
      <c r="CK125" s="216">
        <f t="shared" ca="1" si="4412"/>
        <v>1.5240517236911191E-2</v>
      </c>
      <c r="CL125" s="202">
        <f t="shared" ref="CL125" ca="1" si="5124">CM125/$X125</f>
        <v>-5.0500593001645298</v>
      </c>
      <c r="CM125" s="203">
        <f t="shared" ref="CM125" ca="1" si="5125">CN125/$Z125</f>
        <v>-272.09719509286487</v>
      </c>
      <c r="CN125" s="203">
        <f t="shared" ref="CN125" ca="1" si="5126">CO125*CF$4</f>
        <v>-212.84803086139354</v>
      </c>
      <c r="CO125" s="204">
        <f t="shared" ca="1" si="4777"/>
        <v>-2.4051723691119117E-4</v>
      </c>
      <c r="CP125" s="205"/>
      <c r="CQ125" s="206">
        <f t="shared" ref="CQ125" ca="1" si="5127">CP125*$X125</f>
        <v>0</v>
      </c>
      <c r="CR125" s="206">
        <f t="shared" ref="CR125" ca="1" si="5128">CQ125*$Z125</f>
        <v>0</v>
      </c>
      <c r="CS125" s="207">
        <f t="shared" ca="1" si="4418"/>
        <v>0</v>
      </c>
      <c r="CT125" s="391">
        <f t="shared" si="4900"/>
        <v>320</v>
      </c>
      <c r="CU125" s="391">
        <f t="shared" ca="1" si="2881"/>
        <v>17241.600000000002</v>
      </c>
      <c r="CV125" s="391">
        <f t="shared" ref="CV125" ca="1" si="5129">CU125*$Z125</f>
        <v>13487.241600000001</v>
      </c>
      <c r="CW125" s="394">
        <f t="shared" ca="1" si="4463"/>
        <v>1.5240517236911191E-2</v>
      </c>
      <c r="CX125" s="211" t="str">
        <f t="shared" ref="CX125:CX171" ca="1" si="5130">IF(SUM(CK125,CS125,CW125)&lt;&gt;0,"V","")</f>
        <v>V</v>
      </c>
      <c r="CY125" s="197"/>
      <c r="CZ125" s="312" t="str">
        <f t="shared" ref="CZ125:CZ133" ca="1" si="5131">IFERROR($X125/DA125-1,"")</f>
        <v/>
      </c>
      <c r="DA125" s="395"/>
      <c r="DB125" s="199">
        <f t="shared" ref="DB125:DB133" ca="1" si="5132">CY125*$X125</f>
        <v>0</v>
      </c>
      <c r="DC125" s="199">
        <f t="shared" ref="DC125:DC133" ca="1" si="5133">DB125*$Z125</f>
        <v>0</v>
      </c>
      <c r="DD125" s="216">
        <f t="shared" ca="1" si="4717"/>
        <v>0</v>
      </c>
      <c r="DE125" s="202">
        <f t="shared" ref="DE125:DE133" ca="1" si="5134">DF125/$X125</f>
        <v>1276.0216084733349</v>
      </c>
      <c r="DF125" s="203">
        <f t="shared" ref="DF125:DF133" ca="1" si="5135">DG125/$Z125</f>
        <v>68752.044264543292</v>
      </c>
      <c r="DG125" s="203">
        <f t="shared" ref="DG125:DG133" ca="1" si="5136">DH125*CY$4</f>
        <v>53781.286625938992</v>
      </c>
      <c r="DH125" s="204">
        <f t="shared" ca="1" si="4791"/>
        <v>1.4999999999999999E-2</v>
      </c>
      <c r="DI125" s="205"/>
      <c r="DJ125" s="206">
        <f t="shared" ref="DJ125:DJ133" ca="1" si="5137">DI125*$X125</f>
        <v>0</v>
      </c>
      <c r="DK125" s="206">
        <f t="shared" ref="DK125:DK133" ca="1" si="5138">DJ125*$Z125</f>
        <v>0</v>
      </c>
      <c r="DL125" s="207">
        <f t="shared" ca="1" si="4718"/>
        <v>0</v>
      </c>
      <c r="DM125" s="391">
        <f t="shared" si="4795"/>
        <v>0</v>
      </c>
      <c r="DN125" s="391">
        <f t="shared" ca="1" si="2894"/>
        <v>0</v>
      </c>
      <c r="DO125" s="391">
        <f t="shared" ref="DO125:DO133" ca="1" si="5139">DN125*$Z125</f>
        <v>0</v>
      </c>
      <c r="DP125" s="394">
        <f t="shared" ca="1" si="3170"/>
        <v>0</v>
      </c>
      <c r="DQ125" s="209" t="str">
        <f t="shared" ref="DQ125:DQ171" ca="1" si="5140">IF(SUM(DD125,DL125,DP125)&lt;&gt;0,"V","")</f>
        <v/>
      </c>
      <c r="DR125" s="197"/>
      <c r="DS125" s="312" t="str">
        <f t="shared" ca="1" si="4799"/>
        <v/>
      </c>
      <c r="DT125" s="395"/>
      <c r="DU125" s="199">
        <f t="shared" ca="1" si="4800"/>
        <v>0</v>
      </c>
      <c r="DV125" s="199">
        <f t="shared" ca="1" si="4801"/>
        <v>0</v>
      </c>
      <c r="DW125" s="216">
        <f t="shared" ca="1" si="3627"/>
        <v>0</v>
      </c>
      <c r="DX125" s="202">
        <f t="shared" ca="1" si="4802"/>
        <v>249.75063347133275</v>
      </c>
      <c r="DY125" s="203">
        <f t="shared" ca="1" si="4803"/>
        <v>13456.564131435409</v>
      </c>
      <c r="DZ125" s="203">
        <f t="shared" ca="1" si="4804"/>
        <v>10526.397291815349</v>
      </c>
      <c r="EA125" s="204">
        <f t="shared" ca="1" si="4805"/>
        <v>1.4999999999999999E-2</v>
      </c>
      <c r="EB125" s="205"/>
      <c r="EC125" s="206">
        <f t="shared" ca="1" si="4806"/>
        <v>0</v>
      </c>
      <c r="ED125" s="206">
        <f t="shared" ca="1" si="4807"/>
        <v>0</v>
      </c>
      <c r="EE125" s="207">
        <f t="shared" ca="1" si="3633"/>
        <v>0</v>
      </c>
      <c r="EF125" s="391">
        <f t="shared" si="4808"/>
        <v>0</v>
      </c>
      <c r="EG125" s="391">
        <f t="shared" ca="1" si="4809"/>
        <v>0</v>
      </c>
      <c r="EH125" s="391">
        <f t="shared" ca="1" si="4810"/>
        <v>0</v>
      </c>
      <c r="EI125" s="394">
        <f t="shared" ca="1" si="3636"/>
        <v>0</v>
      </c>
      <c r="EJ125" s="214"/>
      <c r="EK125" s="312" t="str">
        <f t="shared" ref="EK125:EK133" ca="1" si="5141">IFERROR($X125/EL125-1,"")</f>
        <v/>
      </c>
      <c r="EL125" s="222"/>
      <c r="EM125" s="199">
        <f t="shared" ref="EM125" ca="1" si="5142">EJ125*$X125</f>
        <v>0</v>
      </c>
      <c r="EN125" s="199">
        <f t="shared" ref="EN125" ca="1" si="5143">EM125*$Z125</f>
        <v>0</v>
      </c>
      <c r="EO125" s="216">
        <f t="shared" ca="1" si="4649"/>
        <v>0</v>
      </c>
      <c r="EP125" s="202">
        <f t="shared" ref="EP125" ca="1" si="5144">EQ125/$X125</f>
        <v>252.59363647951216</v>
      </c>
      <c r="EQ125" s="203">
        <f t="shared" ref="EQ125" ca="1" si="5145">ER125/$Z125</f>
        <v>13609.745133516115</v>
      </c>
      <c r="ER125" s="203">
        <f t="shared" ref="ER125" ca="1" si="5146">ES125*EJ$4</f>
        <v>10646.223130692981</v>
      </c>
      <c r="ES125" s="204">
        <f t="shared" ca="1" si="4818"/>
        <v>1.4999999999999999E-2</v>
      </c>
      <c r="ET125" s="205"/>
      <c r="EU125" s="206">
        <f t="shared" ref="EU125" ca="1" si="5147">ET125*$X125</f>
        <v>0</v>
      </c>
      <c r="EV125" s="206">
        <f t="shared" ref="EV125" ca="1" si="5148">EU125*$Z125</f>
        <v>0</v>
      </c>
      <c r="EW125" s="207">
        <f t="shared" ca="1" si="4650"/>
        <v>0</v>
      </c>
      <c r="EX125" s="391">
        <f t="shared" si="4930"/>
        <v>0</v>
      </c>
      <c r="EY125" s="391">
        <f t="shared" ca="1" si="2919"/>
        <v>0</v>
      </c>
      <c r="EZ125" s="391">
        <f t="shared" ref="EZ125" ca="1" si="5149">EY125*$Z125</f>
        <v>0</v>
      </c>
      <c r="FA125" s="394">
        <f t="shared" ref="FA125:FA135" ca="1" si="5150">IFERROR(EZ125/EJ$4,0)</f>
        <v>0</v>
      </c>
      <c r="FB125" s="212" t="str">
        <f t="shared" ref="FB125:FB171" ca="1" si="5151">IF(SUM(EO125,EW125,FA125)&lt;&gt;0,"V","")</f>
        <v/>
      </c>
      <c r="FC125" s="214"/>
      <c r="FD125" s="312" t="str">
        <f t="shared" ref="FD125:FD133" ca="1" si="5152">IFERROR($X125/FE125-1,"")</f>
        <v/>
      </c>
      <c r="FE125" s="215"/>
      <c r="FF125" s="199">
        <f t="shared" ref="FF125" ca="1" si="5153">FC125*$X125</f>
        <v>0</v>
      </c>
      <c r="FG125" s="199">
        <f t="shared" ref="FG125" ca="1" si="5154">FF125*$Z125</f>
        <v>0</v>
      </c>
      <c r="FH125" s="216">
        <f t="shared" ca="1" si="4653"/>
        <v>0</v>
      </c>
      <c r="FI125" s="202">
        <f t="shared" ref="FI125" ca="1" si="5155">FJ125/$X125</f>
        <v>1622.0226402840553</v>
      </c>
      <c r="FJ125" s="203">
        <f t="shared" ref="FJ125" ca="1" si="5156">FK125/$Z125</f>
        <v>87394.579858504905</v>
      </c>
      <c r="FK125" s="203">
        <f t="shared" ref="FK125" ca="1" si="5157">FL125*FC$4</f>
        <v>68364.410094315463</v>
      </c>
      <c r="FL125" s="204">
        <f t="shared" ca="1" si="4831"/>
        <v>1.4999999999999999E-2</v>
      </c>
      <c r="FM125" s="205"/>
      <c r="FN125" s="206">
        <f t="shared" ref="FN125" ca="1" si="5158">FM125*$X125</f>
        <v>0</v>
      </c>
      <c r="FO125" s="206">
        <f t="shared" ref="FO125" ca="1" si="5159">FN125*$Z125</f>
        <v>0</v>
      </c>
      <c r="FP125" s="207">
        <f t="shared" ca="1" si="4654"/>
        <v>0</v>
      </c>
      <c r="FQ125" s="391">
        <f t="shared" si="4945"/>
        <v>0</v>
      </c>
      <c r="FR125" s="391">
        <f t="shared" ca="1" si="2930"/>
        <v>0</v>
      </c>
      <c r="FS125" s="391">
        <f t="shared" ref="FS125" ca="1" si="5160">FR125*$Z125</f>
        <v>0</v>
      </c>
      <c r="FT125" s="394">
        <f t="shared" ref="FT125:FT135" ca="1" si="5161">IFERROR(FS125/FC$4,0)</f>
        <v>0</v>
      </c>
      <c r="FU125" s="209" t="str">
        <f t="shared" ref="FU125:FU171" ca="1" si="5162">IF(SUM(FH125,FP125,FT125)&lt;&gt;0,"V","")</f>
        <v/>
      </c>
    </row>
    <row r="126" spans="1:177" outlineLevel="2" x14ac:dyDescent="0.2">
      <c r="A126" s="366"/>
      <c r="B126" s="366"/>
      <c r="C126" s="367" t="str">
        <f t="shared" ca="1" si="4721"/>
        <v>US4642865095:USD:P</v>
      </c>
      <c r="D126" s="368" t="str">
        <f t="shared" ca="1" si="4722"/>
        <v>US4642865095</v>
      </c>
      <c r="E126" s="369" t="str">
        <f t="shared" ca="1" si="4722"/>
        <v>1087201</v>
      </c>
      <c r="F126" s="390" t="s">
        <v>4259</v>
      </c>
      <c r="G126" s="371"/>
      <c r="H126" s="1713" t="str">
        <f t="shared" ca="1" si="4723"/>
        <v></v>
      </c>
      <c r="I126" s="1683" t="str">
        <f t="shared" ca="1" si="4659"/>
        <v/>
      </c>
      <c r="J126" s="1713" t="str">
        <f t="shared" ca="1" si="4660"/>
        <v/>
      </c>
      <c r="K126" s="1716" t="str">
        <f t="shared" ca="1" si="4660"/>
        <v/>
      </c>
      <c r="L126" s="1717" t="str">
        <f t="shared" ca="1" si="4724"/>
        <v/>
      </c>
      <c r="M126" s="366" t="str">
        <f t="shared" ca="1" si="4725"/>
        <v>Unit</v>
      </c>
      <c r="N126" s="417"/>
      <c r="O126" s="417"/>
      <c r="P126" s="418">
        <f t="shared" ca="1" si="4637"/>
        <v>0</v>
      </c>
      <c r="Q126" s="391">
        <f t="array" aca="1" ref="Q126" ca="1">SUM(IF($AA$15:$FT$15="I_pos",AA126:FT126))</f>
        <v>0</v>
      </c>
      <c r="R126" s="391">
        <f t="array" aca="1" ref="R126" ca="1">SUM(IF($AA$15:$FT$15="P_Pos",AA126:FT126))</f>
        <v>0</v>
      </c>
      <c r="S126" s="367"/>
      <c r="T126" s="391"/>
      <c r="U126" s="375">
        <f t="shared" ca="1" si="4726"/>
        <v>-2.1062585969738697E-2</v>
      </c>
      <c r="V126" s="391">
        <f t="array" aca="1" ref="V126" ca="1">SUM(IF($AA$15:$FT$15="O_Pos",AA126:FT126))</f>
        <v>0</v>
      </c>
      <c r="W126" s="367" t="str">
        <f t="shared" ref="W126:W134" ca="1" si="5163">OFFSET(Origine,MATCH($F126,Descrizioni,0),MATCH(W$15,Intestazioni,0)-1,1,1)</f>
        <v>USD</v>
      </c>
      <c r="X126" s="392">
        <f t="shared" ref="X126:X134" ca="1" si="5164">_xlfn.NUMBERVALUE(OFFSET(Origine,MATCH($F126,Descrizioni,0),MATCH(X$15,Intestazioni,0)-1,1,1))</f>
        <v>56.935000000000002</v>
      </c>
      <c r="Y126" s="393">
        <f t="shared" ca="1" si="5087"/>
        <v>0</v>
      </c>
      <c r="Z126" s="378">
        <f t="shared" ref="Z126" ca="1" si="5165">_xlfn.NUMBERVALUE(OFFSET(Origine,MATCH(W126&amp;"/"&amp;MRif,LUKB_Name,0),MATCH("Price",Intestazioni,0)-1,1,1))</f>
        <v>0.78225</v>
      </c>
      <c r="AA126" s="214"/>
      <c r="AB126" s="312" t="str">
        <f t="shared" ref="AB126" ca="1" si="5166">IFERROR($X126/AC126-1,"")</f>
        <v/>
      </c>
      <c r="AC126" s="215"/>
      <c r="AD126" s="199">
        <f t="shared" ref="AD126" ca="1" si="5167">AA126*$X126</f>
        <v>0</v>
      </c>
      <c r="AE126" s="199">
        <f t="shared" ref="AE126" ca="1" si="5168">AD126*$Z126</f>
        <v>0</v>
      </c>
      <c r="AF126" s="216">
        <f t="shared" ref="AF126" ca="1" si="5169">IFERROR(AE126/AA$4,0)</f>
        <v>0</v>
      </c>
      <c r="AG126" s="202">
        <f t="shared" ref="AG126" ca="1" si="5170">AH126/$X126</f>
        <v>0</v>
      </c>
      <c r="AH126" s="203">
        <f t="shared" ref="AH126" ca="1" si="5171">AI126/$Z126</f>
        <v>0</v>
      </c>
      <c r="AI126" s="203">
        <f t="shared" ref="AI126" ca="1" si="5172">AJ126*AA$4</f>
        <v>0</v>
      </c>
      <c r="AJ126" s="204">
        <f t="shared" ca="1" si="4738"/>
        <v>0</v>
      </c>
      <c r="AK126" s="205"/>
      <c r="AL126" s="206">
        <f t="shared" ref="AL126" ca="1" si="5173">AK126*$X126</f>
        <v>0</v>
      </c>
      <c r="AM126" s="206">
        <f t="shared" ref="AM126" ca="1" si="5174">AL126*$Z126</f>
        <v>0</v>
      </c>
      <c r="AN126" s="207">
        <f t="shared" ref="AN126" ca="1" si="5175">IFERROR(AM126/AA$4,0)</f>
        <v>0</v>
      </c>
      <c r="AO126" s="391">
        <f t="shared" ref="AO126" si="5176">AA126+AK126</f>
        <v>0</v>
      </c>
      <c r="AP126" s="391">
        <f t="shared" ref="AP126" ca="1" si="5177">AD126+IF($T126 ="",AL126,0)</f>
        <v>0</v>
      </c>
      <c r="AQ126" s="391">
        <f t="shared" ref="AQ126" ca="1" si="5178">AP126*$Z126</f>
        <v>0</v>
      </c>
      <c r="AR126" s="394">
        <f t="shared" ref="AR126" ca="1" si="5179">IFERROR(AQ126/AA$4,0)</f>
        <v>0</v>
      </c>
      <c r="AS126" s="209" t="str">
        <f t="shared" ref="AS126" ca="1" si="5180">IF(SUM(AF126,AN126,AR126)&lt;&gt;0,"V","")</f>
        <v/>
      </c>
      <c r="AT126" s="214"/>
      <c r="AU126" s="312" t="str">
        <f t="shared" ref="AU126" ca="1" si="5181">IFERROR($X126/AV126-1,"")</f>
        <v/>
      </c>
      <c r="AV126" s="215"/>
      <c r="AW126" s="199">
        <f t="shared" ref="AW126" ca="1" si="5182">AT126*$X126</f>
        <v>0</v>
      </c>
      <c r="AX126" s="199">
        <f t="shared" ref="AX126" ca="1" si="5183">AW126*$Z126</f>
        <v>0</v>
      </c>
      <c r="AY126" s="216">
        <f t="shared" ref="AY126" ca="1" si="5184">IFERROR(AX126/AT$4,0)</f>
        <v>0</v>
      </c>
      <c r="AZ126" s="202">
        <f t="shared" ref="AZ126" ca="1" si="5185">BA126/$X126</f>
        <v>0</v>
      </c>
      <c r="BA126" s="203">
        <f t="shared" ref="BA126" ca="1" si="5186">BB126/$Z126</f>
        <v>0</v>
      </c>
      <c r="BB126" s="203">
        <f t="shared" ref="BB126" ca="1" si="5187">BC126*AT$4</f>
        <v>0</v>
      </c>
      <c r="BC126" s="204">
        <f t="shared" ca="1" si="4751"/>
        <v>0</v>
      </c>
      <c r="BD126" s="205"/>
      <c r="BE126" s="206">
        <f t="shared" ref="BE126" ca="1" si="5188">BD126*$X126</f>
        <v>0</v>
      </c>
      <c r="BF126" s="206">
        <f t="shared" ref="BF126" ca="1" si="5189">BE126*$Z126</f>
        <v>0</v>
      </c>
      <c r="BG126" s="207">
        <f t="shared" ref="BG126" ca="1" si="5190">IFERROR(BF126/AT$4,0)</f>
        <v>0</v>
      </c>
      <c r="BH126" s="391">
        <f t="shared" ref="BH126" si="5191">AT126+BD126</f>
        <v>0</v>
      </c>
      <c r="BI126" s="391">
        <f t="shared" ref="BI126" ca="1" si="5192">AW126+IF($T126 ="",BE126,0)</f>
        <v>0</v>
      </c>
      <c r="BJ126" s="391">
        <f t="shared" ref="BJ126" ca="1" si="5193">BI126*$Z126</f>
        <v>0</v>
      </c>
      <c r="BK126" s="394">
        <f t="shared" ref="BK126" ca="1" si="5194">IFERROR(BJ126/AT$4,0)</f>
        <v>0</v>
      </c>
      <c r="BL126" s="211" t="str">
        <f t="shared" ref="BL126" ca="1" si="5195">IF(SUM(AY126,BG126,BK126)&lt;&gt;0,"V","")</f>
        <v/>
      </c>
      <c r="BM126" s="214"/>
      <c r="BN126" s="312" t="str">
        <f t="shared" ref="BN126" ca="1" si="5196">IFERROR($X126/BO126-1,"")</f>
        <v/>
      </c>
      <c r="BO126" s="215"/>
      <c r="BP126" s="199">
        <f t="shared" ref="BP126" ca="1" si="5197">BM126*$X126</f>
        <v>0</v>
      </c>
      <c r="BQ126" s="199">
        <f t="shared" ref="BQ126" ca="1" si="5198">BP126*$Z126</f>
        <v>0</v>
      </c>
      <c r="BR126" s="216">
        <f t="shared" ref="BR126" ca="1" si="5199">IFERROR(BQ126/BM$4,0)</f>
        <v>0</v>
      </c>
      <c r="BS126" s="202">
        <f t="shared" ref="BS126" ca="1" si="5200">BT126/$X126</f>
        <v>0</v>
      </c>
      <c r="BT126" s="203">
        <f t="shared" ref="BT126" ca="1" si="5201">BU126/$Z126</f>
        <v>0</v>
      </c>
      <c r="BU126" s="203">
        <f t="shared" ref="BU126" ca="1" si="5202">BV126*BM$4</f>
        <v>0</v>
      </c>
      <c r="BV126" s="204">
        <f t="shared" ca="1" si="4764"/>
        <v>0</v>
      </c>
      <c r="BW126" s="205"/>
      <c r="BX126" s="206">
        <f t="shared" ref="BX126" ca="1" si="5203">BW126*$X126</f>
        <v>0</v>
      </c>
      <c r="BY126" s="206">
        <f t="shared" ref="BY126" ca="1" si="5204">BX126*$Z126</f>
        <v>0</v>
      </c>
      <c r="BZ126" s="207">
        <f t="shared" ref="BZ126" ca="1" si="5205">IFERROR(BY126/BM$4,0)</f>
        <v>0</v>
      </c>
      <c r="CA126" s="391">
        <f t="shared" ref="CA126" si="5206">BM126+BW126</f>
        <v>0</v>
      </c>
      <c r="CB126" s="391">
        <f t="shared" ref="CB126" ca="1" si="5207">BP126+IF($T126 ="",BX126,0)</f>
        <v>0</v>
      </c>
      <c r="CC126" s="391">
        <f t="shared" ref="CC126" ca="1" si="5208">CB126*$Z126</f>
        <v>0</v>
      </c>
      <c r="CD126" s="394">
        <f t="shared" ref="CD126" ca="1" si="5209">IFERROR(CC126/BM$4,0)</f>
        <v>0</v>
      </c>
      <c r="CE126" s="212" t="str">
        <f t="shared" ref="CE126" ca="1" si="5210">IF(SUM(BR126,BZ126,CD126)&lt;&gt;0,"V","")</f>
        <v/>
      </c>
      <c r="CF126" s="214"/>
      <c r="CG126" s="312" t="str">
        <f t="shared" ref="CG126" ca="1" si="5211">IFERROR($X126/CH126-1,"")</f>
        <v/>
      </c>
      <c r="CH126" s="215"/>
      <c r="CI126" s="199">
        <f t="shared" ref="CI126" ca="1" si="5212">CF126*$X126</f>
        <v>0</v>
      </c>
      <c r="CJ126" s="199">
        <f t="shared" ref="CJ126" ca="1" si="5213">CI126*$Z126</f>
        <v>0</v>
      </c>
      <c r="CK126" s="216">
        <f t="shared" ref="CK126" ca="1" si="5214">IFERROR(CJ126/CF$4,0)</f>
        <v>0</v>
      </c>
      <c r="CL126" s="202">
        <f t="shared" ref="CL126" ca="1" si="5215">CM126/$X126</f>
        <v>0</v>
      </c>
      <c r="CM126" s="203">
        <f t="shared" ref="CM126" ca="1" si="5216">CN126/$Z126</f>
        <v>0</v>
      </c>
      <c r="CN126" s="203">
        <f t="shared" ref="CN126" ca="1" si="5217">CO126*CF$4</f>
        <v>0</v>
      </c>
      <c r="CO126" s="204">
        <f t="shared" ca="1" si="4777"/>
        <v>0</v>
      </c>
      <c r="CP126" s="205"/>
      <c r="CQ126" s="206">
        <f t="shared" ref="CQ126" ca="1" si="5218">CP126*$X126</f>
        <v>0</v>
      </c>
      <c r="CR126" s="206">
        <f t="shared" ref="CR126" ca="1" si="5219">CQ126*$Z126</f>
        <v>0</v>
      </c>
      <c r="CS126" s="207">
        <f t="shared" ref="CS126" ca="1" si="5220">IFERROR(CR126/CF$4,0)</f>
        <v>0</v>
      </c>
      <c r="CT126" s="391">
        <f t="shared" ref="CT126" si="5221">CF126+CP126</f>
        <v>0</v>
      </c>
      <c r="CU126" s="391">
        <f t="shared" ref="CU126" ca="1" si="5222">CI126+IF($T126 ="",CQ126,0)</f>
        <v>0</v>
      </c>
      <c r="CV126" s="391">
        <f t="shared" ref="CV126" ca="1" si="5223">CU126*$Z126</f>
        <v>0</v>
      </c>
      <c r="CW126" s="394">
        <f t="shared" ref="CW126" ca="1" si="5224">IFERROR(CV126/CF$4,0)</f>
        <v>0</v>
      </c>
      <c r="CX126" s="211" t="str">
        <f t="shared" ref="CX126" ca="1" si="5225">IF(SUM(CK126,CS126,CW126)&lt;&gt;0,"V","")</f>
        <v/>
      </c>
      <c r="CY126" s="197"/>
      <c r="CZ126" s="312" t="str">
        <f t="shared" ref="CZ126" ca="1" si="5226">IFERROR($X126/DA126-1,"")</f>
        <v/>
      </c>
      <c r="DA126" s="395"/>
      <c r="DB126" s="199">
        <f t="shared" ref="DB126" ca="1" si="5227">CY126*$X126</f>
        <v>0</v>
      </c>
      <c r="DC126" s="199">
        <f t="shared" ref="DC126" ca="1" si="5228">DB126*$Z126</f>
        <v>0</v>
      </c>
      <c r="DD126" s="216">
        <f t="shared" ref="DD126" ca="1" si="5229">IFERROR(DC126/CY$4,0)</f>
        <v>0</v>
      </c>
      <c r="DE126" s="202">
        <f t="shared" ref="DE126" ca="1" si="5230">DF126/$X126</f>
        <v>0</v>
      </c>
      <c r="DF126" s="203">
        <f t="shared" ref="DF126" ca="1" si="5231">DG126/$Z126</f>
        <v>0</v>
      </c>
      <c r="DG126" s="203">
        <f t="shared" ref="DG126" ca="1" si="5232">DH126*CY$4</f>
        <v>0</v>
      </c>
      <c r="DH126" s="204">
        <f t="shared" ca="1" si="4791"/>
        <v>0</v>
      </c>
      <c r="DI126" s="205"/>
      <c r="DJ126" s="206">
        <f t="shared" ref="DJ126" ca="1" si="5233">DI126*$X126</f>
        <v>0</v>
      </c>
      <c r="DK126" s="206">
        <f t="shared" ref="DK126" ca="1" si="5234">DJ126*$Z126</f>
        <v>0</v>
      </c>
      <c r="DL126" s="207">
        <f t="shared" ref="DL126" ca="1" si="5235">IFERROR(DK126/CY$4,0)</f>
        <v>0</v>
      </c>
      <c r="DM126" s="391">
        <f t="shared" ref="DM126" si="5236">CY126+DI126</f>
        <v>0</v>
      </c>
      <c r="DN126" s="391">
        <f t="shared" ref="DN126" ca="1" si="5237">DB126+IF($T126 ="",DJ126,0)</f>
        <v>0</v>
      </c>
      <c r="DO126" s="391">
        <f t="shared" ref="DO126" ca="1" si="5238">DN126*$Z126</f>
        <v>0</v>
      </c>
      <c r="DP126" s="394">
        <f t="shared" ref="DP126" ca="1" si="5239">IFERROR(DO126/CY$4,0)</f>
        <v>0</v>
      </c>
      <c r="DQ126" s="209" t="str">
        <f t="shared" ref="DQ126" ca="1" si="5240">IF(SUM(DD126,DL126,DP126)&lt;&gt;0,"V","")</f>
        <v/>
      </c>
      <c r="DR126" s="197"/>
      <c r="DS126" s="312" t="str">
        <f t="shared" ref="DS126" ca="1" si="5241">IFERROR($X126/DT126-1,"")</f>
        <v/>
      </c>
      <c r="DT126" s="395"/>
      <c r="DU126" s="199">
        <f t="shared" ref="DU126" ca="1" si="5242">DR126*$X126</f>
        <v>0</v>
      </c>
      <c r="DV126" s="199">
        <f t="shared" ref="DV126" ca="1" si="5243">DU126*$Z126</f>
        <v>0</v>
      </c>
      <c r="DW126" s="216">
        <f t="shared" ref="DW126" ca="1" si="5244">IFERROR(DV126/DR$4,0)</f>
        <v>0</v>
      </c>
      <c r="DX126" s="202">
        <f t="shared" ref="DX126" ca="1" si="5245">DY126/$X126</f>
        <v>0</v>
      </c>
      <c r="DY126" s="203">
        <f t="shared" ref="DY126" ca="1" si="5246">DZ126/$Z126</f>
        <v>0</v>
      </c>
      <c r="DZ126" s="203">
        <f t="shared" ref="DZ126" ca="1" si="5247">EA126*DR$4</f>
        <v>0</v>
      </c>
      <c r="EA126" s="204">
        <f t="shared" ca="1" si="4805"/>
        <v>0</v>
      </c>
      <c r="EB126" s="205"/>
      <c r="EC126" s="206">
        <f t="shared" ref="EC126" ca="1" si="5248">EB126*$X126</f>
        <v>0</v>
      </c>
      <c r="ED126" s="206">
        <f t="shared" ref="ED126" ca="1" si="5249">EC126*$Z126</f>
        <v>0</v>
      </c>
      <c r="EE126" s="207">
        <f t="shared" ref="EE126" ca="1" si="5250">IFERROR(ED126/DR$4,0)</f>
        <v>0</v>
      </c>
      <c r="EF126" s="391">
        <f t="shared" ref="EF126" si="5251">DR126+EB126</f>
        <v>0</v>
      </c>
      <c r="EG126" s="391">
        <f t="shared" ref="EG126" ca="1" si="5252">DU126+IF($T126 ="",EC126,0)</f>
        <v>0</v>
      </c>
      <c r="EH126" s="391">
        <f t="shared" ref="EH126" ca="1" si="5253">EG126*$Z126</f>
        <v>0</v>
      </c>
      <c r="EI126" s="394">
        <f t="shared" ref="EI126" ca="1" si="5254">IFERROR(EH126/DR$4,0)</f>
        <v>0</v>
      </c>
      <c r="EJ126" s="214"/>
      <c r="EK126" s="312" t="str">
        <f t="shared" ref="EK126" ca="1" si="5255">IFERROR($X126/EL126-1,"")</f>
        <v/>
      </c>
      <c r="EL126" s="222"/>
      <c r="EM126" s="199">
        <f t="shared" ref="EM126" ca="1" si="5256">EJ126*$X126</f>
        <v>0</v>
      </c>
      <c r="EN126" s="199">
        <f t="shared" ref="EN126" ca="1" si="5257">EM126*$Z126</f>
        <v>0</v>
      </c>
      <c r="EO126" s="216">
        <f t="shared" ref="EO126" ca="1" si="5258">IFERROR(EN126/EJ$4,0)</f>
        <v>0</v>
      </c>
      <c r="EP126" s="202">
        <f t="shared" ref="EP126" ca="1" si="5259">EQ126/$X126</f>
        <v>0</v>
      </c>
      <c r="EQ126" s="203">
        <f t="shared" ref="EQ126" ca="1" si="5260">ER126/$Z126</f>
        <v>0</v>
      </c>
      <c r="ER126" s="203">
        <f t="shared" ref="ER126" ca="1" si="5261">ES126*EJ$4</f>
        <v>0</v>
      </c>
      <c r="ES126" s="204">
        <f t="shared" ca="1" si="4818"/>
        <v>0</v>
      </c>
      <c r="ET126" s="205"/>
      <c r="EU126" s="206">
        <f t="shared" ref="EU126" ca="1" si="5262">ET126*$X126</f>
        <v>0</v>
      </c>
      <c r="EV126" s="206">
        <f t="shared" ref="EV126" ca="1" si="5263">EU126*$Z126</f>
        <v>0</v>
      </c>
      <c r="EW126" s="207">
        <f t="shared" ref="EW126" ca="1" si="5264">IFERROR(EV126/EJ$4,0)</f>
        <v>0</v>
      </c>
      <c r="EX126" s="391">
        <f t="shared" ref="EX126" si="5265">EJ126+ET126</f>
        <v>0</v>
      </c>
      <c r="EY126" s="391">
        <f t="shared" ref="EY126" ca="1" si="5266">EM126+IF($T126 ="",EU126,0)</f>
        <v>0</v>
      </c>
      <c r="EZ126" s="391">
        <f t="shared" ref="EZ126" ca="1" si="5267">EY126*$Z126</f>
        <v>0</v>
      </c>
      <c r="FA126" s="394">
        <f t="shared" ref="FA126" ca="1" si="5268">IFERROR(EZ126/EJ$4,0)</f>
        <v>0</v>
      </c>
      <c r="FB126" s="212" t="str">
        <f t="shared" ref="FB126" ca="1" si="5269">IF(SUM(EO126,EW126,FA126)&lt;&gt;0,"V","")</f>
        <v/>
      </c>
      <c r="FC126" s="214"/>
      <c r="FD126" s="312" t="str">
        <f t="shared" ref="FD126" ca="1" si="5270">IFERROR($X126/FE126-1,"")</f>
        <v/>
      </c>
      <c r="FE126" s="215"/>
      <c r="FF126" s="199">
        <f t="shared" ref="FF126" ca="1" si="5271">FC126*$X126</f>
        <v>0</v>
      </c>
      <c r="FG126" s="199">
        <f t="shared" ref="FG126" ca="1" si="5272">FF126*$Z126</f>
        <v>0</v>
      </c>
      <c r="FH126" s="216">
        <f t="shared" ref="FH126" ca="1" si="5273">IFERROR(FG126/FC$4,0)</f>
        <v>0</v>
      </c>
      <c r="FI126" s="202">
        <f t="shared" ref="FI126" ca="1" si="5274">FJ126/$X126</f>
        <v>0</v>
      </c>
      <c r="FJ126" s="203">
        <f t="shared" ref="FJ126" ca="1" si="5275">FK126/$Z126</f>
        <v>0</v>
      </c>
      <c r="FK126" s="203">
        <f t="shared" ref="FK126" ca="1" si="5276">FL126*FC$4</f>
        <v>0</v>
      </c>
      <c r="FL126" s="204">
        <f t="shared" ca="1" si="4831"/>
        <v>0</v>
      </c>
      <c r="FM126" s="205"/>
      <c r="FN126" s="206">
        <f t="shared" ref="FN126" ca="1" si="5277">FM126*$X126</f>
        <v>0</v>
      </c>
      <c r="FO126" s="206">
        <f t="shared" ref="FO126" ca="1" si="5278">FN126*$Z126</f>
        <v>0</v>
      </c>
      <c r="FP126" s="207">
        <f t="shared" ref="FP126" ca="1" si="5279">IFERROR(FO126/FC$4,0)</f>
        <v>0</v>
      </c>
      <c r="FQ126" s="391">
        <f t="shared" ref="FQ126" si="5280">FC126+FM126</f>
        <v>0</v>
      </c>
      <c r="FR126" s="391">
        <f t="shared" ref="FR126" ca="1" si="5281">FF126+IF($T126 ="",FN126,0)</f>
        <v>0</v>
      </c>
      <c r="FS126" s="391">
        <f t="shared" ref="FS126" ca="1" si="5282">FR126*$Z126</f>
        <v>0</v>
      </c>
      <c r="FT126" s="394">
        <f t="shared" ref="FT126" ca="1" si="5283">IFERROR(FS126/FC$4,0)</f>
        <v>0</v>
      </c>
      <c r="FU126" s="209" t="str">
        <f t="shared" ref="FU126" ca="1" si="5284">IF(SUM(FH126,FP126,FT126)&lt;&gt;0,"V","")</f>
        <v/>
      </c>
    </row>
    <row r="127" spans="1:177" outlineLevel="2" x14ac:dyDescent="0.2">
      <c r="A127" s="366"/>
      <c r="B127" s="366"/>
      <c r="C127" s="367" t="str">
        <f t="shared" ca="1" si="4721"/>
        <v>IE00B53SZB19:USD:LSS</v>
      </c>
      <c r="D127" s="368" t="str">
        <f t="shared" ca="1" si="4722"/>
        <v>IE00B53SZB19</v>
      </c>
      <c r="E127" s="369" t="str">
        <f t="shared" ca="1" si="4722"/>
        <v>10737617</v>
      </c>
      <c r="F127" s="390" t="s">
        <v>510</v>
      </c>
      <c r="G127" s="371"/>
      <c r="H127" s="1713" t="str">
        <f t="shared" ca="1" si="4723"/>
        <v></v>
      </c>
      <c r="I127" s="1683" t="str">
        <f t="shared" ca="1" si="4659"/>
        <v>i</v>
      </c>
      <c r="J127" s="1713" t="str">
        <f t="shared" ca="1" si="4660"/>
        <v></v>
      </c>
      <c r="K127" s="1716" t="str">
        <f t="shared" ca="1" si="4660"/>
        <v></v>
      </c>
      <c r="L127" s="1717" t="str">
        <f t="shared" ca="1" si="4724"/>
        <v></v>
      </c>
      <c r="M127" s="366" t="str">
        <f t="shared" ca="1" si="4725"/>
        <v>Unit</v>
      </c>
      <c r="N127" s="417"/>
      <c r="O127" s="417"/>
      <c r="P127" s="418">
        <f t="shared" ca="1" si="4637"/>
        <v>0</v>
      </c>
      <c r="Q127" s="391">
        <f t="array" aca="1" ref="Q127" ca="1">SUM(IF($AA$15:$FT$15="I_pos",AA127:FT127))</f>
        <v>0</v>
      </c>
      <c r="R127" s="391">
        <f t="array" aca="1" ref="R127" ca="1">SUM(IF($AA$15:$FT$15="P_Pos",AA127:FT127))</f>
        <v>0</v>
      </c>
      <c r="S127" s="367"/>
      <c r="T127" s="391"/>
      <c r="U127" s="375">
        <f t="shared" ca="1" si="4726"/>
        <v>-1.12201963534362E-2</v>
      </c>
      <c r="V127" s="391">
        <f t="array" aca="1" ref="V127" ca="1">SUM(IF($AA$15:$FT$15="O_Pos",AA127:FT127))</f>
        <v>0</v>
      </c>
      <c r="W127" s="367" t="str">
        <f t="shared" ca="1" si="5163"/>
        <v>USD</v>
      </c>
      <c r="X127" s="392">
        <f t="shared" ca="1" si="5164"/>
        <v>1410</v>
      </c>
      <c r="Y127" s="393">
        <f t="shared" ca="1" si="5087"/>
        <v>0</v>
      </c>
      <c r="Z127" s="378">
        <f t="shared" ca="1" si="4730"/>
        <v>0.78225</v>
      </c>
      <c r="AA127" s="214">
        <f>30+-15+-15</f>
        <v>0</v>
      </c>
      <c r="AB127" s="312" t="str">
        <f t="shared" ca="1" si="5088"/>
        <v/>
      </c>
      <c r="AC127" s="215"/>
      <c r="AD127" s="199">
        <f t="shared" ref="AD127:AD133" ca="1" si="5285">AA127*$X127</f>
        <v>0</v>
      </c>
      <c r="AE127" s="199">
        <f t="shared" ref="AE127:AE133" ca="1" si="5286">AD127*$Z127</f>
        <v>0</v>
      </c>
      <c r="AF127" s="216">
        <f t="shared" ref="AF127:AF133" ca="1" si="5287">IFERROR(AE127/AA$4,0)</f>
        <v>0</v>
      </c>
      <c r="AG127" s="202">
        <f t="shared" ref="AG127:AG133" ca="1" si="5288">AH127/$X127</f>
        <v>0</v>
      </c>
      <c r="AH127" s="203">
        <f t="shared" ref="AH127:AH133" ca="1" si="5289">AI127/$Z127</f>
        <v>0</v>
      </c>
      <c r="AI127" s="203">
        <f t="shared" ref="AI127:AI133" ca="1" si="5290">AJ127*AA$4</f>
        <v>0</v>
      </c>
      <c r="AJ127" s="204">
        <f t="shared" ca="1" si="4738"/>
        <v>0</v>
      </c>
      <c r="AK127" s="205"/>
      <c r="AL127" s="206">
        <f t="shared" ref="AL127:AL133" ca="1" si="5291">AK127*$X127</f>
        <v>0</v>
      </c>
      <c r="AM127" s="206">
        <f t="shared" ref="AM127:AM133" ca="1" si="5292">AL127*$Z127</f>
        <v>0</v>
      </c>
      <c r="AN127" s="207">
        <f t="shared" ref="AN127:AN133" ca="1" si="5293">IFERROR(AM127/AA$4,0)</f>
        <v>0</v>
      </c>
      <c r="AO127" s="391">
        <f t="shared" ref="AO127:AO129" si="5294">AA127+AK127</f>
        <v>0</v>
      </c>
      <c r="AP127" s="391">
        <f t="shared" ref="AP127:AP186" ca="1" si="5295">AD127+IF($T127 ="",AL127,0)</f>
        <v>0</v>
      </c>
      <c r="AQ127" s="391">
        <f t="shared" ref="AQ127:AQ133" ca="1" si="5296">AP127*$Z127</f>
        <v>0</v>
      </c>
      <c r="AR127" s="394">
        <f t="shared" ref="AR127:AR133" ca="1" si="5297">IFERROR(AQ127/AA$4,0)</f>
        <v>0</v>
      </c>
      <c r="AS127" s="209" t="str">
        <f t="shared" ca="1" si="5098"/>
        <v/>
      </c>
      <c r="AT127" s="214">
        <f>100+-50+-50</f>
        <v>0</v>
      </c>
      <c r="AU127" s="312" t="str">
        <f t="shared" ca="1" si="5099"/>
        <v/>
      </c>
      <c r="AV127" s="215"/>
      <c r="AW127" s="199">
        <f t="shared" ref="AW127:AW133" ca="1" si="5298">AT127*$X127</f>
        <v>0</v>
      </c>
      <c r="AX127" s="199">
        <f t="shared" ref="AX127:AX133" ca="1" si="5299">AW127*$Z127</f>
        <v>0</v>
      </c>
      <c r="AY127" s="216">
        <f t="shared" ref="AY127:AY133" ca="1" si="5300">IFERROR(AX127/AT$4,0)</f>
        <v>0</v>
      </c>
      <c r="AZ127" s="202">
        <f t="shared" ref="AZ127:AZ133" ca="1" si="5301">BA127/$X127</f>
        <v>0</v>
      </c>
      <c r="BA127" s="203">
        <f t="shared" ref="BA127:BA133" ca="1" si="5302">BB127/$Z127</f>
        <v>0</v>
      </c>
      <c r="BB127" s="203">
        <f t="shared" ref="BB127:BB133" ca="1" si="5303">BC127*AT$4</f>
        <v>0</v>
      </c>
      <c r="BC127" s="204">
        <f t="shared" ca="1" si="4751"/>
        <v>0</v>
      </c>
      <c r="BD127" s="205"/>
      <c r="BE127" s="206">
        <f t="shared" ref="BE127:BE133" ca="1" si="5304">BD127*$X127</f>
        <v>0</v>
      </c>
      <c r="BF127" s="206">
        <f t="shared" ref="BF127:BF133" ca="1" si="5305">BE127*$Z127</f>
        <v>0</v>
      </c>
      <c r="BG127" s="207">
        <f t="shared" ref="BG127:BG133" ca="1" si="5306">IFERROR(BF127/AT$4,0)</f>
        <v>0</v>
      </c>
      <c r="BH127" s="391">
        <f t="shared" ref="BH127:BH129" si="5307">AT127+BD127</f>
        <v>0</v>
      </c>
      <c r="BI127" s="391">
        <f t="shared" ref="BI127:BI186" ca="1" si="5308">AW127+IF($T127 ="",BE127,0)</f>
        <v>0</v>
      </c>
      <c r="BJ127" s="391">
        <f t="shared" ref="BJ127:BJ133" ca="1" si="5309">BI127*$Z127</f>
        <v>0</v>
      </c>
      <c r="BK127" s="394">
        <f t="shared" ref="BK127:BK133" ca="1" si="5310">IFERROR(BJ127/AT$4,0)</f>
        <v>0</v>
      </c>
      <c r="BL127" s="211" t="str">
        <f t="shared" ca="1" si="5109"/>
        <v/>
      </c>
      <c r="BM127" s="214">
        <f>20+-10+-10</f>
        <v>0</v>
      </c>
      <c r="BN127" s="312" t="str">
        <f t="shared" ca="1" si="5110"/>
        <v/>
      </c>
      <c r="BO127" s="215"/>
      <c r="BP127" s="199">
        <f t="shared" ref="BP127:BP133" ca="1" si="5311">BM127*$X127</f>
        <v>0</v>
      </c>
      <c r="BQ127" s="199">
        <f t="shared" ref="BQ127:BQ133" ca="1" si="5312">BP127*$Z127</f>
        <v>0</v>
      </c>
      <c r="BR127" s="216">
        <f t="shared" ref="BR127:BR133" ca="1" si="5313">IFERROR(BQ127/BM$4,0)</f>
        <v>0</v>
      </c>
      <c r="BS127" s="202">
        <f t="shared" ref="BS127:BS133" ca="1" si="5314">BT127/$X127</f>
        <v>0</v>
      </c>
      <c r="BT127" s="203">
        <f t="shared" ref="BT127:BT133" ca="1" si="5315">BU127/$Z127</f>
        <v>0</v>
      </c>
      <c r="BU127" s="203">
        <f t="shared" ref="BU127:BU133" ca="1" si="5316">BV127*BM$4</f>
        <v>0</v>
      </c>
      <c r="BV127" s="204">
        <f t="shared" ca="1" si="4764"/>
        <v>0</v>
      </c>
      <c r="BW127" s="205"/>
      <c r="BX127" s="206">
        <f t="shared" ref="BX127:BX133" ca="1" si="5317">BW127*$X127</f>
        <v>0</v>
      </c>
      <c r="BY127" s="206">
        <f t="shared" ref="BY127:BY133" ca="1" si="5318">BX127*$Z127</f>
        <v>0</v>
      </c>
      <c r="BZ127" s="207">
        <f t="shared" ref="BZ127:BZ133" ca="1" si="5319">IFERROR(BY127/BM$4,0)</f>
        <v>0</v>
      </c>
      <c r="CA127" s="391">
        <f t="shared" ref="CA127" si="5320">BM127+BW127</f>
        <v>0</v>
      </c>
      <c r="CB127" s="391">
        <f t="shared" ref="CB127:CB186" ca="1" si="5321">BP127+IF($T127 ="",BX127,0)</f>
        <v>0</v>
      </c>
      <c r="CC127" s="391">
        <f t="shared" ref="CC127:CC133" ca="1" si="5322">CB127*$Z127</f>
        <v>0</v>
      </c>
      <c r="CD127" s="394">
        <f t="shared" ref="CD127:CD133" ca="1" si="5323">IFERROR(CC127/BM$4,0)</f>
        <v>0</v>
      </c>
      <c r="CE127" s="212" t="str">
        <f t="shared" ca="1" si="5120"/>
        <v/>
      </c>
      <c r="CF127" s="214">
        <f>60+-20+-40</f>
        <v>0</v>
      </c>
      <c r="CG127" s="312" t="str">
        <f t="shared" ca="1" si="5121"/>
        <v/>
      </c>
      <c r="CH127" s="215"/>
      <c r="CI127" s="199">
        <f t="shared" ref="CI127:CI133" ca="1" si="5324">CF127*$X127</f>
        <v>0</v>
      </c>
      <c r="CJ127" s="199">
        <f t="shared" ref="CJ127:CJ133" ca="1" si="5325">CI127*$Z127</f>
        <v>0</v>
      </c>
      <c r="CK127" s="216">
        <f t="shared" ref="CK127:CK133" ca="1" si="5326">IFERROR(CJ127/CF$4,0)</f>
        <v>0</v>
      </c>
      <c r="CL127" s="202">
        <f t="shared" ref="CL127:CL133" ca="1" si="5327">CM127/$X127</f>
        <v>0</v>
      </c>
      <c r="CM127" s="203">
        <f t="shared" ref="CM127:CM133" ca="1" si="5328">CN127/$Z127</f>
        <v>0</v>
      </c>
      <c r="CN127" s="203">
        <f t="shared" ref="CN127:CN133" ca="1" si="5329">CO127*CF$4</f>
        <v>0</v>
      </c>
      <c r="CO127" s="204">
        <f t="shared" ca="1" si="4777"/>
        <v>0</v>
      </c>
      <c r="CP127" s="205"/>
      <c r="CQ127" s="206">
        <f t="shared" ref="CQ127:CQ133" ca="1" si="5330">CP127*$X127</f>
        <v>0</v>
      </c>
      <c r="CR127" s="206">
        <f t="shared" ref="CR127:CR133" ca="1" si="5331">CQ127*$Z127</f>
        <v>0</v>
      </c>
      <c r="CS127" s="207">
        <f t="shared" ref="CS127:CS133" ca="1" si="5332">IFERROR(CR127/CF$4,0)</f>
        <v>0</v>
      </c>
      <c r="CT127" s="391">
        <f t="shared" ref="CT127:CT129" si="5333">CF127+CP127</f>
        <v>0</v>
      </c>
      <c r="CU127" s="391">
        <f t="shared" ref="CU127:CU186" ca="1" si="5334">CI127+IF($T127 ="",CQ127,0)</f>
        <v>0</v>
      </c>
      <c r="CV127" s="391">
        <f t="shared" ref="CV127:CV133" ca="1" si="5335">CU127*$Z127</f>
        <v>0</v>
      </c>
      <c r="CW127" s="394">
        <f t="shared" ref="CW127:CW133" ca="1" si="5336">IFERROR(CV127/CF$4,0)</f>
        <v>0</v>
      </c>
      <c r="CX127" s="211" t="str">
        <f t="shared" ca="1" si="5130"/>
        <v/>
      </c>
      <c r="CY127" s="197">
        <f>150+-75+-75</f>
        <v>0</v>
      </c>
      <c r="CZ127" s="312" t="str">
        <f t="shared" ca="1" si="5131"/>
        <v/>
      </c>
      <c r="DA127" s="395"/>
      <c r="DB127" s="199">
        <f t="shared" ca="1" si="5132"/>
        <v>0</v>
      </c>
      <c r="DC127" s="199">
        <f t="shared" ca="1" si="5133"/>
        <v>0</v>
      </c>
      <c r="DD127" s="216">
        <f t="shared" ca="1" si="4717"/>
        <v>0</v>
      </c>
      <c r="DE127" s="202">
        <f t="shared" ca="1" si="5134"/>
        <v>0</v>
      </c>
      <c r="DF127" s="203">
        <f t="shared" ca="1" si="5135"/>
        <v>0</v>
      </c>
      <c r="DG127" s="203">
        <f t="shared" ca="1" si="5136"/>
        <v>0</v>
      </c>
      <c r="DH127" s="204">
        <f t="shared" ca="1" si="4791"/>
        <v>0</v>
      </c>
      <c r="DI127" s="205"/>
      <c r="DJ127" s="206">
        <f t="shared" ca="1" si="5137"/>
        <v>0</v>
      </c>
      <c r="DK127" s="206">
        <f t="shared" ca="1" si="5138"/>
        <v>0</v>
      </c>
      <c r="DL127" s="207">
        <f t="shared" ca="1" si="4718"/>
        <v>0</v>
      </c>
      <c r="DM127" s="391">
        <f t="shared" ref="DM127:DM129" si="5337">CY127+DI127</f>
        <v>0</v>
      </c>
      <c r="DN127" s="391">
        <f t="shared" ref="DN127:DN186" ca="1" si="5338">DB127+IF($T127 ="",DJ127,0)</f>
        <v>0</v>
      </c>
      <c r="DO127" s="391">
        <f t="shared" ca="1" si="5139"/>
        <v>0</v>
      </c>
      <c r="DP127" s="394">
        <f t="shared" ref="DP127:DP141" ca="1" si="5339">IFERROR(DO127/CY$4,0)</f>
        <v>0</v>
      </c>
      <c r="DQ127" s="209" t="str">
        <f t="shared" ca="1" si="5140"/>
        <v/>
      </c>
      <c r="DR127" s="197"/>
      <c r="DS127" s="312" t="str">
        <f t="shared" ref="DS127:DS133" ca="1" si="5340">IFERROR($X127/DT127-1,"")</f>
        <v/>
      </c>
      <c r="DT127" s="395"/>
      <c r="DU127" s="199">
        <f t="shared" ref="DU127:DU133" ca="1" si="5341">DR127*$X127</f>
        <v>0</v>
      </c>
      <c r="DV127" s="199">
        <f t="shared" ref="DV127:DV133" ca="1" si="5342">DU127*$Z127</f>
        <v>0</v>
      </c>
      <c r="DW127" s="216">
        <f t="shared" ref="DW127:DW187" ca="1" si="5343">IFERROR(DV127/DR$4,0)</f>
        <v>0</v>
      </c>
      <c r="DX127" s="202">
        <f t="shared" ref="DX127:DX133" ca="1" si="5344">DY127/$X127</f>
        <v>0</v>
      </c>
      <c r="DY127" s="203">
        <f t="shared" ref="DY127:DY133" ca="1" si="5345">DZ127/$Z127</f>
        <v>0</v>
      </c>
      <c r="DZ127" s="203">
        <f t="shared" ref="DZ127:DZ133" ca="1" si="5346">EA127*DR$4</f>
        <v>0</v>
      </c>
      <c r="EA127" s="204">
        <f t="shared" ca="1" si="4805"/>
        <v>0</v>
      </c>
      <c r="EB127" s="205"/>
      <c r="EC127" s="206">
        <f t="shared" ref="EC127:EC133" ca="1" si="5347">EB127*$X127</f>
        <v>0</v>
      </c>
      <c r="ED127" s="206">
        <f t="shared" ref="ED127:ED133" ca="1" si="5348">EC127*$Z127</f>
        <v>0</v>
      </c>
      <c r="EE127" s="207">
        <f t="shared" ref="EE127:EE187" ca="1" si="5349">IFERROR(ED127/DR$4,0)</f>
        <v>0</v>
      </c>
      <c r="EF127" s="391">
        <f t="shared" ref="EF127:EF133" si="5350">DR127+EB127</f>
        <v>0</v>
      </c>
      <c r="EG127" s="391">
        <f t="shared" ref="EG127:EG130" ca="1" si="5351">DU127+IF($T127 ="",EC127,0)</f>
        <v>0</v>
      </c>
      <c r="EH127" s="391">
        <f t="shared" ref="EH127:EH133" ca="1" si="5352">EG127*$Z127</f>
        <v>0</v>
      </c>
      <c r="EI127" s="394">
        <f t="shared" ref="EI127:EI141" ca="1" si="5353">IFERROR(EH127/DR$4,0)</f>
        <v>0</v>
      </c>
      <c r="EJ127" s="214"/>
      <c r="EK127" s="312" t="str">
        <f t="shared" ca="1" si="5141"/>
        <v/>
      </c>
      <c r="EL127" s="222"/>
      <c r="EM127" s="199">
        <f t="shared" ref="EM127:EM133" ca="1" si="5354">EJ127*$X127</f>
        <v>0</v>
      </c>
      <c r="EN127" s="199">
        <f t="shared" ref="EN127:EN133" ca="1" si="5355">EM127*$Z127</f>
        <v>0</v>
      </c>
      <c r="EO127" s="216">
        <f t="shared" ref="EO127:EO133" ca="1" si="5356">IFERROR(EN127/EJ$4,0)</f>
        <v>0</v>
      </c>
      <c r="EP127" s="202">
        <f t="shared" ref="EP127:EP133" ca="1" si="5357">EQ127/$X127</f>
        <v>0</v>
      </c>
      <c r="EQ127" s="203">
        <f t="shared" ref="EQ127:EQ133" ca="1" si="5358">ER127/$Z127</f>
        <v>0</v>
      </c>
      <c r="ER127" s="203">
        <f t="shared" ref="ER127:ER133" ca="1" si="5359">ES127*EJ$4</f>
        <v>0</v>
      </c>
      <c r="ES127" s="204">
        <f t="shared" ca="1" si="4818"/>
        <v>0</v>
      </c>
      <c r="ET127" s="205"/>
      <c r="EU127" s="206">
        <f t="shared" ref="EU127:EU133" ca="1" si="5360">ET127*$X127</f>
        <v>0</v>
      </c>
      <c r="EV127" s="206">
        <f t="shared" ref="EV127:EV133" ca="1" si="5361">EU127*$Z127</f>
        <v>0</v>
      </c>
      <c r="EW127" s="207">
        <f t="shared" ref="EW127:EW133" ca="1" si="5362">IFERROR(EV127/EJ$4,0)</f>
        <v>0</v>
      </c>
      <c r="EX127" s="391">
        <f t="shared" ref="EX127:EX129" si="5363">EJ127+ET127</f>
        <v>0</v>
      </c>
      <c r="EY127" s="391">
        <f t="shared" ref="EY127:EY186" ca="1" si="5364">EM127+IF($T127 ="",EU127,0)</f>
        <v>0</v>
      </c>
      <c r="EZ127" s="391">
        <f t="shared" ref="EZ127:EZ133" ca="1" si="5365">EY127*$Z127</f>
        <v>0</v>
      </c>
      <c r="FA127" s="394">
        <f t="shared" ref="FA127:FA133" ca="1" si="5366">IFERROR(EZ127/EJ$4,0)</f>
        <v>0</v>
      </c>
      <c r="FB127" s="212" t="str">
        <f t="shared" ref="FB127" ca="1" si="5367">IF(SUM(EO127,EW127,FA127)&lt;&gt;0,"V","")</f>
        <v/>
      </c>
      <c r="FC127" s="214"/>
      <c r="FD127" s="312" t="str">
        <f t="shared" ca="1" si="5152"/>
        <v/>
      </c>
      <c r="FE127" s="215"/>
      <c r="FF127" s="199">
        <f t="shared" ref="FF127:FF133" ca="1" si="5368">FC127*$X127</f>
        <v>0</v>
      </c>
      <c r="FG127" s="199">
        <f t="shared" ref="FG127:FG133" ca="1" si="5369">FF127*$Z127</f>
        <v>0</v>
      </c>
      <c r="FH127" s="216">
        <f t="shared" ref="FH127:FH133" ca="1" si="5370">IFERROR(FG127/FC$4,0)</f>
        <v>0</v>
      </c>
      <c r="FI127" s="202">
        <f t="shared" ref="FI127:FI133" ca="1" si="5371">FJ127/$X127</f>
        <v>0</v>
      </c>
      <c r="FJ127" s="203">
        <f t="shared" ref="FJ127:FJ133" ca="1" si="5372">FK127/$Z127</f>
        <v>0</v>
      </c>
      <c r="FK127" s="203">
        <f t="shared" ref="FK127:FK133" ca="1" si="5373">FL127*FC$4</f>
        <v>0</v>
      </c>
      <c r="FL127" s="204">
        <f t="shared" ca="1" si="4831"/>
        <v>0</v>
      </c>
      <c r="FM127" s="205"/>
      <c r="FN127" s="206">
        <f t="shared" ref="FN127:FN133" ca="1" si="5374">FM127*$X127</f>
        <v>0</v>
      </c>
      <c r="FO127" s="206">
        <f t="shared" ref="FO127:FO133" ca="1" si="5375">FN127*$Z127</f>
        <v>0</v>
      </c>
      <c r="FP127" s="207">
        <f t="shared" ref="FP127:FP133" ca="1" si="5376">IFERROR(FO127/FC$4,0)</f>
        <v>0</v>
      </c>
      <c r="FQ127" s="391">
        <f t="shared" ref="FQ127:FQ129" si="5377">FC127+FM127</f>
        <v>0</v>
      </c>
      <c r="FR127" s="391">
        <f t="shared" ref="FR127:FR186" ca="1" si="5378">FF127+IF($T127 ="",FN127,0)</f>
        <v>0</v>
      </c>
      <c r="FS127" s="391">
        <f t="shared" ref="FS127:FS133" ca="1" si="5379">FR127*$Z127</f>
        <v>0</v>
      </c>
      <c r="FT127" s="394">
        <f t="shared" ref="FT127:FT133" ca="1" si="5380">IFERROR(FS127/FC$4,0)</f>
        <v>0</v>
      </c>
      <c r="FU127" s="209" t="str">
        <f t="shared" ca="1" si="5162"/>
        <v/>
      </c>
    </row>
    <row r="128" spans="1:177" outlineLevel="2" x14ac:dyDescent="0.2">
      <c r="A128" s="366"/>
      <c r="B128" s="366"/>
      <c r="C128" s="367" t="str">
        <f t="shared" ca="1" si="4721"/>
        <v>IE00BYVTMT69:CHF:P</v>
      </c>
      <c r="D128" s="368" t="str">
        <f t="shared" ca="1" si="4722"/>
        <v>IE00BYVTMT69</v>
      </c>
      <c r="E128" s="369" t="str">
        <f t="shared" ca="1" si="4722"/>
        <v>37364244</v>
      </c>
      <c r="F128" s="367" t="s">
        <v>402</v>
      </c>
      <c r="G128" s="414"/>
      <c r="H128" s="1713" t="str">
        <f t="shared" ca="1" si="4723"/>
        <v></v>
      </c>
      <c r="I128" s="1683" t="str">
        <f ca="1">IF(OFFSET(Origine,MATCH($F128,Descrizioni,0),MATCH(I$15,Intestazioni,0)-1,1,1)&lt;&gt;"",HYPERLINK(OFFSET(Origine,MATCH($F128,Descrizioni,0),MATCH(I$15,Intestazioni,0)-1,1,1),"i"),"")</f>
        <v/>
      </c>
      <c r="J128" s="1713" t="str">
        <f t="shared" ref="J128:K130" ca="1" si="5381">IF(OFFSET(Origine,MATCH($F128,Descrizioni,0),MATCH(J$15,Intestazioni,0)-1,1,1)&lt;&gt;"",HYPERLINK(OFFSET(Origine,MATCH($F128,Descrizioni,0),MATCH(J$15,Intestazioni,0)-1,1,1),""),"")</f>
        <v/>
      </c>
      <c r="K128" s="1716" t="str">
        <f t="shared" ca="1" si="5381"/>
        <v/>
      </c>
      <c r="L128" s="1717" t="str">
        <f t="shared" ca="1" si="4724"/>
        <v/>
      </c>
      <c r="M128" s="366" t="str">
        <f t="shared" ca="1" si="4725"/>
        <v>Unit</v>
      </c>
      <c r="N128" s="417"/>
      <c r="O128" s="417"/>
      <c r="P128" s="418">
        <f t="shared" ca="1" si="4637"/>
        <v>0</v>
      </c>
      <c r="Q128" s="391">
        <f t="array" aca="1" ref="Q128" ca="1">SUM(IF($AA$15:$FT$15="I_pos",AA128:FT128))</f>
        <v>0</v>
      </c>
      <c r="R128" s="391">
        <f t="array" aca="1" ref="R128" ca="1">SUM(IF($AA$15:$FT$15="P_Pos",AA128:FT128))</f>
        <v>0</v>
      </c>
      <c r="S128" s="367"/>
      <c r="T128" s="391"/>
      <c r="U128" s="375">
        <f t="shared" ca="1" si="4726"/>
        <v>-1.1203423967774599E-2</v>
      </c>
      <c r="V128" s="391">
        <f t="array" aca="1" ref="V128" ca="1">SUM(IF($AA$15:$FT$15="O_Pos",AA128:FT128))</f>
        <v>0</v>
      </c>
      <c r="W128" s="367" t="str">
        <f t="shared" ca="1" si="5163"/>
        <v>CHF</v>
      </c>
      <c r="X128" s="392">
        <f t="shared" ca="1" si="5164"/>
        <v>392.75</v>
      </c>
      <c r="Y128" s="393">
        <f ca="1">_xlfn.NUMBERVALUE(OFFSET(Origine,MATCH($F128,Descrizioni,0),MATCH(Y$15,Intestazioni,0)-1,1,1))</f>
        <v>0</v>
      </c>
      <c r="Z128" s="378">
        <f t="shared" ref="Z128:Z129" ca="1" si="5382">_xlfn.NUMBERVALUE(OFFSET(Origine,MATCH(W128&amp;"/"&amp;MRif,LUKB_Name,0),MATCH("Price",Intestazioni,0)-1,1,1))</f>
        <v>1.0000001300000001</v>
      </c>
      <c r="AA128" s="214">
        <f>30+-30</f>
        <v>0</v>
      </c>
      <c r="AB128" s="312" t="str">
        <f t="shared" ca="1" si="5088"/>
        <v/>
      </c>
      <c r="AC128" s="215"/>
      <c r="AD128" s="199">
        <f t="shared" ca="1" si="5285"/>
        <v>0</v>
      </c>
      <c r="AE128" s="199">
        <f t="shared" ca="1" si="5286"/>
        <v>0</v>
      </c>
      <c r="AF128" s="216">
        <f t="shared" ca="1" si="5287"/>
        <v>0</v>
      </c>
      <c r="AG128" s="202">
        <f t="shared" ca="1" si="5288"/>
        <v>0</v>
      </c>
      <c r="AH128" s="203">
        <f t="shared" ca="1" si="5289"/>
        <v>0</v>
      </c>
      <c r="AI128" s="203">
        <f t="shared" ca="1" si="5290"/>
        <v>0</v>
      </c>
      <c r="AJ128" s="204">
        <f t="shared" ca="1" si="4738"/>
        <v>0</v>
      </c>
      <c r="AK128" s="205"/>
      <c r="AL128" s="206">
        <f t="shared" ca="1" si="5291"/>
        <v>0</v>
      </c>
      <c r="AM128" s="206">
        <f t="shared" ca="1" si="5292"/>
        <v>0</v>
      </c>
      <c r="AN128" s="207">
        <f t="shared" ca="1" si="5293"/>
        <v>0</v>
      </c>
      <c r="AO128" s="391">
        <f t="shared" si="5294"/>
        <v>0</v>
      </c>
      <c r="AP128" s="391">
        <f t="shared" ca="1" si="5295"/>
        <v>0</v>
      </c>
      <c r="AQ128" s="391">
        <f t="shared" ca="1" si="5296"/>
        <v>0</v>
      </c>
      <c r="AR128" s="394">
        <f t="shared" ca="1" si="5297"/>
        <v>0</v>
      </c>
      <c r="AS128" s="209" t="str">
        <f ca="1">IF(SUM(AF128,AN128,AR128)&lt;&gt;0,"V","")</f>
        <v/>
      </c>
      <c r="AT128" s="214">
        <f>85+-85</f>
        <v>0</v>
      </c>
      <c r="AU128" s="312" t="str">
        <f t="shared" ca="1" si="5099"/>
        <v/>
      </c>
      <c r="AV128" s="215"/>
      <c r="AW128" s="199">
        <f t="shared" ca="1" si="5298"/>
        <v>0</v>
      </c>
      <c r="AX128" s="199">
        <f t="shared" ca="1" si="5299"/>
        <v>0</v>
      </c>
      <c r="AY128" s="216">
        <f t="shared" ca="1" si="5300"/>
        <v>0</v>
      </c>
      <c r="AZ128" s="202">
        <f t="shared" ca="1" si="5301"/>
        <v>0</v>
      </c>
      <c r="BA128" s="203">
        <f t="shared" ca="1" si="5302"/>
        <v>0</v>
      </c>
      <c r="BB128" s="203">
        <f t="shared" ca="1" si="5303"/>
        <v>0</v>
      </c>
      <c r="BC128" s="204">
        <f t="shared" ca="1" si="4751"/>
        <v>0</v>
      </c>
      <c r="BD128" s="205"/>
      <c r="BE128" s="206">
        <f t="shared" ca="1" si="5304"/>
        <v>0</v>
      </c>
      <c r="BF128" s="206">
        <f t="shared" ca="1" si="5305"/>
        <v>0</v>
      </c>
      <c r="BG128" s="207">
        <f t="shared" ca="1" si="5306"/>
        <v>0</v>
      </c>
      <c r="BH128" s="391">
        <f t="shared" si="5307"/>
        <v>0</v>
      </c>
      <c r="BI128" s="391">
        <f t="shared" ca="1" si="5308"/>
        <v>0</v>
      </c>
      <c r="BJ128" s="391">
        <f t="shared" ca="1" si="5309"/>
        <v>0</v>
      </c>
      <c r="BK128" s="394">
        <f t="shared" ca="1" si="5310"/>
        <v>0</v>
      </c>
      <c r="BL128" s="211" t="str">
        <f ca="1">IF(SUM(AY128,BG128,BK128)&lt;&gt;0,"V","")</f>
        <v/>
      </c>
      <c r="BM128" s="214">
        <f>15+-15</f>
        <v>0</v>
      </c>
      <c r="BN128" s="312" t="str">
        <f t="shared" ca="1" si="5110"/>
        <v/>
      </c>
      <c r="BO128" s="215"/>
      <c r="BP128" s="199">
        <f t="shared" ca="1" si="5311"/>
        <v>0</v>
      </c>
      <c r="BQ128" s="199">
        <f t="shared" ca="1" si="5312"/>
        <v>0</v>
      </c>
      <c r="BR128" s="216">
        <f t="shared" ca="1" si="5313"/>
        <v>0</v>
      </c>
      <c r="BS128" s="202">
        <f t="shared" ca="1" si="5314"/>
        <v>0</v>
      </c>
      <c r="BT128" s="203">
        <f t="shared" ca="1" si="5315"/>
        <v>0</v>
      </c>
      <c r="BU128" s="203">
        <f t="shared" ca="1" si="5316"/>
        <v>0</v>
      </c>
      <c r="BV128" s="204">
        <f t="shared" ca="1" si="4764"/>
        <v>0</v>
      </c>
      <c r="BW128" s="205"/>
      <c r="BX128" s="206">
        <f t="shared" ca="1" si="5317"/>
        <v>0</v>
      </c>
      <c r="BY128" s="206">
        <f t="shared" ca="1" si="5318"/>
        <v>0</v>
      </c>
      <c r="BZ128" s="207">
        <f t="shared" ca="1" si="5319"/>
        <v>0</v>
      </c>
      <c r="CA128" s="391">
        <f t="shared" ref="CA128:CA129" si="5383">BM128+BW128</f>
        <v>0</v>
      </c>
      <c r="CB128" s="391">
        <f t="shared" ca="1" si="5321"/>
        <v>0</v>
      </c>
      <c r="CC128" s="391">
        <f t="shared" ca="1" si="5322"/>
        <v>0</v>
      </c>
      <c r="CD128" s="394">
        <f t="shared" ca="1" si="5323"/>
        <v>0</v>
      </c>
      <c r="CE128" s="212" t="str">
        <f ca="1">IF(SUM(BR128,BZ128,CD128)&lt;&gt;0,"V","")</f>
        <v/>
      </c>
      <c r="CF128" s="214">
        <f>40+-40</f>
        <v>0</v>
      </c>
      <c r="CG128" s="312" t="str">
        <f t="shared" ca="1" si="5121"/>
        <v/>
      </c>
      <c r="CH128" s="215"/>
      <c r="CI128" s="199">
        <f t="shared" ca="1" si="5324"/>
        <v>0</v>
      </c>
      <c r="CJ128" s="199">
        <f t="shared" ca="1" si="5325"/>
        <v>0</v>
      </c>
      <c r="CK128" s="216">
        <f t="shared" ca="1" si="5326"/>
        <v>0</v>
      </c>
      <c r="CL128" s="202">
        <f t="shared" ca="1" si="5327"/>
        <v>0</v>
      </c>
      <c r="CM128" s="203">
        <f t="shared" ca="1" si="5328"/>
        <v>0</v>
      </c>
      <c r="CN128" s="203">
        <f t="shared" ca="1" si="5329"/>
        <v>0</v>
      </c>
      <c r="CO128" s="204">
        <f t="shared" ca="1" si="4777"/>
        <v>0</v>
      </c>
      <c r="CP128" s="205"/>
      <c r="CQ128" s="206">
        <f t="shared" ca="1" si="5330"/>
        <v>0</v>
      </c>
      <c r="CR128" s="206">
        <f t="shared" ca="1" si="5331"/>
        <v>0</v>
      </c>
      <c r="CS128" s="207">
        <f t="shared" ca="1" si="5332"/>
        <v>0</v>
      </c>
      <c r="CT128" s="391">
        <f t="shared" si="5333"/>
        <v>0</v>
      </c>
      <c r="CU128" s="391">
        <f t="shared" ca="1" si="5334"/>
        <v>0</v>
      </c>
      <c r="CV128" s="391">
        <f t="shared" ca="1" si="5335"/>
        <v>0</v>
      </c>
      <c r="CW128" s="394">
        <f t="shared" ca="1" si="5336"/>
        <v>0</v>
      </c>
      <c r="CX128" s="211" t="str">
        <f ca="1">IF(SUM(CK128,CS128,CW128)&lt;&gt;0,"V","")</f>
        <v/>
      </c>
      <c r="CY128" s="197">
        <f>180+-180</f>
        <v>0</v>
      </c>
      <c r="CZ128" s="312" t="str">
        <f t="shared" ca="1" si="5131"/>
        <v/>
      </c>
      <c r="DA128" s="395"/>
      <c r="DB128" s="199">
        <f t="shared" ca="1" si="5132"/>
        <v>0</v>
      </c>
      <c r="DC128" s="199">
        <f t="shared" ca="1" si="5133"/>
        <v>0</v>
      </c>
      <c r="DD128" s="216">
        <f t="shared" ca="1" si="4717"/>
        <v>0</v>
      </c>
      <c r="DE128" s="202">
        <f t="shared" ca="1" si="5134"/>
        <v>0</v>
      </c>
      <c r="DF128" s="203">
        <f t="shared" ca="1" si="5135"/>
        <v>0</v>
      </c>
      <c r="DG128" s="203">
        <f t="shared" ca="1" si="5136"/>
        <v>0</v>
      </c>
      <c r="DH128" s="204">
        <f t="shared" ca="1" si="4791"/>
        <v>0</v>
      </c>
      <c r="DI128" s="205"/>
      <c r="DJ128" s="206">
        <f t="shared" ca="1" si="5137"/>
        <v>0</v>
      </c>
      <c r="DK128" s="206">
        <f t="shared" ca="1" si="5138"/>
        <v>0</v>
      </c>
      <c r="DL128" s="207">
        <f t="shared" ca="1" si="4718"/>
        <v>0</v>
      </c>
      <c r="DM128" s="391">
        <f t="shared" si="5337"/>
        <v>0</v>
      </c>
      <c r="DN128" s="391">
        <f t="shared" ca="1" si="5338"/>
        <v>0</v>
      </c>
      <c r="DO128" s="391">
        <f t="shared" ca="1" si="5139"/>
        <v>0</v>
      </c>
      <c r="DP128" s="394">
        <f t="shared" ca="1" si="5339"/>
        <v>0</v>
      </c>
      <c r="DQ128" s="209" t="str">
        <f ca="1">IF(SUM(DD128,DL128,DP128)&lt;&gt;0,"V","")</f>
        <v/>
      </c>
      <c r="DR128" s="197"/>
      <c r="DS128" s="312" t="str">
        <f t="shared" ref="DS128:DS129" ca="1" si="5384">IFERROR($X128/DT128-1,"")</f>
        <v/>
      </c>
      <c r="DT128" s="395"/>
      <c r="DU128" s="199">
        <f t="shared" ref="DU128:DU129" ca="1" si="5385">DR128*$X128</f>
        <v>0</v>
      </c>
      <c r="DV128" s="199">
        <f t="shared" ref="DV128:DV129" ca="1" si="5386">DU128*$Z128</f>
        <v>0</v>
      </c>
      <c r="DW128" s="216">
        <f t="shared" ref="DW128:DW129" ca="1" si="5387">IFERROR(DV128/DR$4,0)</f>
        <v>0</v>
      </c>
      <c r="DX128" s="202">
        <f t="shared" ref="DX128:DX129" ca="1" si="5388">DY128/$X128</f>
        <v>0</v>
      </c>
      <c r="DY128" s="203">
        <f t="shared" ref="DY128:DY129" ca="1" si="5389">DZ128/$Z128</f>
        <v>0</v>
      </c>
      <c r="DZ128" s="203">
        <f t="shared" ref="DZ128:DZ129" ca="1" si="5390">EA128*DR$4</f>
        <v>0</v>
      </c>
      <c r="EA128" s="204">
        <f t="shared" ca="1" si="4805"/>
        <v>0</v>
      </c>
      <c r="EB128" s="205"/>
      <c r="EC128" s="206">
        <f t="shared" ref="EC128:EC129" ca="1" si="5391">EB128*$X128</f>
        <v>0</v>
      </c>
      <c r="ED128" s="206">
        <f t="shared" ref="ED128:ED129" ca="1" si="5392">EC128*$Z128</f>
        <v>0</v>
      </c>
      <c r="EE128" s="207">
        <f t="shared" ref="EE128:EE129" ca="1" si="5393">IFERROR(ED128/DR$4,0)</f>
        <v>0</v>
      </c>
      <c r="EF128" s="391">
        <f t="shared" ref="EF128:EF129" si="5394">DR128+EB128</f>
        <v>0</v>
      </c>
      <c r="EG128" s="391">
        <f t="shared" ref="EG128:EG129" ca="1" si="5395">DU128+IF($T128 ="",EC128,0)</f>
        <v>0</v>
      </c>
      <c r="EH128" s="391">
        <f t="shared" ref="EH128:EH129" ca="1" si="5396">EG128*$Z128</f>
        <v>0</v>
      </c>
      <c r="EI128" s="394">
        <f t="shared" ref="EI128:EI129" ca="1" si="5397">IFERROR(EH128/DR$4,0)</f>
        <v>0</v>
      </c>
      <c r="EJ128" s="214"/>
      <c r="EK128" s="312" t="str">
        <f t="shared" ca="1" si="5141"/>
        <v/>
      </c>
      <c r="EL128" s="222"/>
      <c r="EM128" s="199">
        <f t="shared" ca="1" si="5354"/>
        <v>0</v>
      </c>
      <c r="EN128" s="199">
        <f t="shared" ca="1" si="5355"/>
        <v>0</v>
      </c>
      <c r="EO128" s="216">
        <f t="shared" ca="1" si="5356"/>
        <v>0</v>
      </c>
      <c r="EP128" s="202">
        <f t="shared" ca="1" si="5357"/>
        <v>0</v>
      </c>
      <c r="EQ128" s="203">
        <f t="shared" ca="1" si="5358"/>
        <v>0</v>
      </c>
      <c r="ER128" s="203">
        <f t="shared" ca="1" si="5359"/>
        <v>0</v>
      </c>
      <c r="ES128" s="204">
        <f t="shared" ca="1" si="4818"/>
        <v>0</v>
      </c>
      <c r="ET128" s="205"/>
      <c r="EU128" s="206">
        <f t="shared" ca="1" si="5360"/>
        <v>0</v>
      </c>
      <c r="EV128" s="206">
        <f t="shared" ca="1" si="5361"/>
        <v>0</v>
      </c>
      <c r="EW128" s="207">
        <f t="shared" ca="1" si="5362"/>
        <v>0</v>
      </c>
      <c r="EX128" s="391">
        <f t="shared" si="5363"/>
        <v>0</v>
      </c>
      <c r="EY128" s="391">
        <f t="shared" ca="1" si="5364"/>
        <v>0</v>
      </c>
      <c r="EZ128" s="391">
        <f t="shared" ca="1" si="5365"/>
        <v>0</v>
      </c>
      <c r="FA128" s="394">
        <f t="shared" ca="1" si="5366"/>
        <v>0</v>
      </c>
      <c r="FB128" s="212" t="str">
        <f ca="1">IF(SUM(EO128,EW128,FA128)&lt;&gt;0,"V","")</f>
        <v/>
      </c>
      <c r="FC128" s="214"/>
      <c r="FD128" s="312" t="str">
        <f t="shared" ca="1" si="5152"/>
        <v/>
      </c>
      <c r="FE128" s="215"/>
      <c r="FF128" s="199">
        <f t="shared" ca="1" si="5368"/>
        <v>0</v>
      </c>
      <c r="FG128" s="199">
        <f t="shared" ca="1" si="5369"/>
        <v>0</v>
      </c>
      <c r="FH128" s="216">
        <f t="shared" ca="1" si="5370"/>
        <v>0</v>
      </c>
      <c r="FI128" s="202">
        <f t="shared" ca="1" si="5371"/>
        <v>0</v>
      </c>
      <c r="FJ128" s="203">
        <f t="shared" ca="1" si="5372"/>
        <v>0</v>
      </c>
      <c r="FK128" s="203">
        <f t="shared" ca="1" si="5373"/>
        <v>0</v>
      </c>
      <c r="FL128" s="204">
        <f t="shared" ca="1" si="4831"/>
        <v>0</v>
      </c>
      <c r="FM128" s="205"/>
      <c r="FN128" s="206">
        <f t="shared" ca="1" si="5374"/>
        <v>0</v>
      </c>
      <c r="FO128" s="206">
        <f t="shared" ca="1" si="5375"/>
        <v>0</v>
      </c>
      <c r="FP128" s="207">
        <f t="shared" ca="1" si="5376"/>
        <v>0</v>
      </c>
      <c r="FQ128" s="391">
        <f t="shared" si="5377"/>
        <v>0</v>
      </c>
      <c r="FR128" s="391">
        <f t="shared" ca="1" si="5378"/>
        <v>0</v>
      </c>
      <c r="FS128" s="391">
        <f t="shared" ca="1" si="5379"/>
        <v>0</v>
      </c>
      <c r="FT128" s="394">
        <f t="shared" ca="1" si="5380"/>
        <v>0</v>
      </c>
      <c r="FU128" s="209" t="str">
        <f ca="1">IF(SUM(FH128,FP128,FT128)&lt;&gt;0,"V","")</f>
        <v/>
      </c>
    </row>
    <row r="129" spans="1:177" outlineLevel="2" x14ac:dyDescent="0.2">
      <c r="A129" s="366"/>
      <c r="B129" s="366"/>
      <c r="C129" s="367" t="str">
        <f t="shared" ca="1" si="4721"/>
        <v>US78468R8530:USD</v>
      </c>
      <c r="D129" s="368" t="str">
        <f t="shared" ca="1" si="4722"/>
        <v>US78468R8530</v>
      </c>
      <c r="E129" s="369" t="str">
        <f t="shared" ca="1" si="4722"/>
        <v>21851365</v>
      </c>
      <c r="F129" s="367" t="s">
        <v>4443</v>
      </c>
      <c r="G129" s="414"/>
      <c r="H129" s="1713" t="str">
        <f t="shared" ca="1" si="4723"/>
        <v></v>
      </c>
      <c r="I129" s="1683" t="str">
        <f ca="1">IF(OFFSET(Origine,MATCH($F129,Descrizioni,0),MATCH(I$15,Intestazioni,0)-1,1,1)&lt;&gt;"",HYPERLINK(OFFSET(Origine,MATCH($F129,Descrizioni,0),MATCH(I$15,Intestazioni,0)-1,1,1),"i"),"")</f>
        <v/>
      </c>
      <c r="J129" s="1713" t="str">
        <f t="shared" ca="1" si="5381"/>
        <v/>
      </c>
      <c r="K129" s="1716" t="str">
        <f t="shared" ca="1" si="5381"/>
        <v/>
      </c>
      <c r="L129" s="1717" t="str">
        <f t="shared" ca="1" si="4724"/>
        <v/>
      </c>
      <c r="M129" s="366" t="str">
        <f t="shared" ca="1" si="4725"/>
        <v>Unit</v>
      </c>
      <c r="N129" s="417"/>
      <c r="O129" s="417"/>
      <c r="P129" s="418">
        <f t="shared" ca="1" si="4637"/>
        <v>0</v>
      </c>
      <c r="Q129" s="391">
        <f t="array" aca="1" ref="Q129" ca="1">SUM(IF($AA$15:$FT$15="I_pos",AA129:FT129))</f>
        <v>200</v>
      </c>
      <c r="R129" s="391">
        <f t="array" aca="1" ref="R129" ca="1">SUM(IF($AA$15:$FT$15="P_Pos",AA129:FT129))</f>
        <v>-200.00000000000003</v>
      </c>
      <c r="S129" s="367"/>
      <c r="T129" s="391"/>
      <c r="U129" s="375">
        <f t="shared" ca="1" si="4726"/>
        <v>-1.35626535626536E-2</v>
      </c>
      <c r="V129" s="391">
        <f t="array" aca="1" ref="V129" ca="1">SUM(IF($AA$15:$FT$15="O_Pos",AA129:FT129))</f>
        <v>0</v>
      </c>
      <c r="W129" s="367" t="str">
        <f t="shared" ca="1" si="5163"/>
        <v>USD</v>
      </c>
      <c r="X129" s="392">
        <f t="shared" ca="1" si="5164"/>
        <v>50.185000000000002</v>
      </c>
      <c r="Y129" s="393">
        <f ca="1">_xlfn.NUMBERVALUE(OFFSET(Origine,MATCH($F129,Descrizioni,0),MATCH(Y$15,Intestazioni,0)-1,1,1))</f>
        <v>0</v>
      </c>
      <c r="Z129" s="378">
        <f t="shared" ca="1" si="5382"/>
        <v>0.78225</v>
      </c>
      <c r="AA129" s="214"/>
      <c r="AB129" s="312" t="str">
        <f t="shared" ref="AB129" ca="1" si="5398">IFERROR($X129/AC129-1,"")</f>
        <v/>
      </c>
      <c r="AC129" s="215"/>
      <c r="AD129" s="199">
        <f t="shared" ref="AD129" ca="1" si="5399">AA129*$X129</f>
        <v>0</v>
      </c>
      <c r="AE129" s="199">
        <f t="shared" ref="AE129" ca="1" si="5400">AD129*$Z129</f>
        <v>0</v>
      </c>
      <c r="AF129" s="216">
        <f t="shared" ref="AF129" ca="1" si="5401">IFERROR(AE129/AA$4,0)</f>
        <v>0</v>
      </c>
      <c r="AG129" s="202">
        <f t="shared" ref="AG129" ca="1" si="5402">AH129/$X129</f>
        <v>0</v>
      </c>
      <c r="AH129" s="203">
        <f t="shared" ref="AH129" ca="1" si="5403">AI129/$Z129</f>
        <v>0</v>
      </c>
      <c r="AI129" s="203">
        <f t="shared" ref="AI129" ca="1" si="5404">AJ129*AA$4</f>
        <v>0</v>
      </c>
      <c r="AJ129" s="204">
        <f t="shared" ref="AJ129" ca="1" si="5405">IF(AA$6&lt;&gt;"",$O129,$N129)-AF129</f>
        <v>0</v>
      </c>
      <c r="AK129" s="205"/>
      <c r="AL129" s="206">
        <f t="shared" ref="AL129" ca="1" si="5406">AK129*$X129</f>
        <v>0</v>
      </c>
      <c r="AM129" s="206">
        <f t="shared" ref="AM129" ca="1" si="5407">AL129*$Z129</f>
        <v>0</v>
      </c>
      <c r="AN129" s="207">
        <f t="shared" ref="AN129" ca="1" si="5408">IFERROR(AM129/AA$4,0)</f>
        <v>0</v>
      </c>
      <c r="AO129" s="391">
        <f t="shared" si="5294"/>
        <v>0</v>
      </c>
      <c r="AP129" s="391">
        <f t="shared" ref="AP129" ca="1" si="5409">AD129+IF($T129 ="",AL129,0)</f>
        <v>0</v>
      </c>
      <c r="AQ129" s="391">
        <f t="shared" ref="AQ129" ca="1" si="5410">AP129*$Z129</f>
        <v>0</v>
      </c>
      <c r="AR129" s="394">
        <f t="shared" ref="AR129" ca="1" si="5411">IFERROR(AQ129/AA$4,0)</f>
        <v>0</v>
      </c>
      <c r="AS129" s="209" t="str">
        <f ca="1">IF(SUM(AF129,AN129,AR129)&lt;&gt;0,"V","")</f>
        <v/>
      </c>
      <c r="AT129" s="214"/>
      <c r="AU129" s="312" t="str">
        <f t="shared" ref="AU129" ca="1" si="5412">IFERROR($X129/AV129-1,"")</f>
        <v/>
      </c>
      <c r="AV129" s="215"/>
      <c r="AW129" s="199">
        <f t="shared" ref="AW129" ca="1" si="5413">AT129*$X129</f>
        <v>0</v>
      </c>
      <c r="AX129" s="199">
        <f t="shared" ref="AX129" ca="1" si="5414">AW129*$Z129</f>
        <v>0</v>
      </c>
      <c r="AY129" s="216">
        <f t="shared" ref="AY129" ca="1" si="5415">IFERROR(AX129/AT$4,0)</f>
        <v>0</v>
      </c>
      <c r="AZ129" s="202">
        <f t="shared" ref="AZ129" ca="1" si="5416">BA129/$X129</f>
        <v>0</v>
      </c>
      <c r="BA129" s="203">
        <f t="shared" ref="BA129" ca="1" si="5417">BB129/$Z129</f>
        <v>0</v>
      </c>
      <c r="BB129" s="203">
        <f t="shared" ref="BB129" ca="1" si="5418">BC129*AT$4</f>
        <v>0</v>
      </c>
      <c r="BC129" s="204">
        <f t="shared" ref="BC129" ca="1" si="5419">IF(AT$6&lt;&gt;"",$O129,$N129)-AY129</f>
        <v>0</v>
      </c>
      <c r="BD129" s="205"/>
      <c r="BE129" s="206">
        <f t="shared" ref="BE129" ca="1" si="5420">BD129*$X129</f>
        <v>0</v>
      </c>
      <c r="BF129" s="206">
        <f t="shared" ref="BF129" ca="1" si="5421">BE129*$Z129</f>
        <v>0</v>
      </c>
      <c r="BG129" s="207">
        <f t="shared" ref="BG129" ca="1" si="5422">IFERROR(BF129/AT$4,0)</f>
        <v>0</v>
      </c>
      <c r="BH129" s="391">
        <f t="shared" si="5307"/>
        <v>0</v>
      </c>
      <c r="BI129" s="391">
        <f t="shared" ref="BI129" ca="1" si="5423">AW129+IF($T129 ="",BE129,0)</f>
        <v>0</v>
      </c>
      <c r="BJ129" s="391">
        <f t="shared" ref="BJ129" ca="1" si="5424">BI129*$Z129</f>
        <v>0</v>
      </c>
      <c r="BK129" s="394">
        <f t="shared" ref="BK129" ca="1" si="5425">IFERROR(BJ129/AT$4,0)</f>
        <v>0</v>
      </c>
      <c r="BL129" s="211" t="str">
        <f ca="1">IF(SUM(AY129,BG129,BK129)&lt;&gt;0,"V","")</f>
        <v/>
      </c>
      <c r="BM129" s="214"/>
      <c r="BN129" s="312" t="str">
        <f t="shared" ref="BN129" ca="1" si="5426">IFERROR($X129/BO129-1,"")</f>
        <v/>
      </c>
      <c r="BO129" s="215"/>
      <c r="BP129" s="199">
        <f t="shared" ref="BP129" ca="1" si="5427">BM129*$X129</f>
        <v>0</v>
      </c>
      <c r="BQ129" s="199">
        <f t="shared" ref="BQ129" ca="1" si="5428">BP129*$Z129</f>
        <v>0</v>
      </c>
      <c r="BR129" s="216">
        <f t="shared" ref="BR129" ca="1" si="5429">IFERROR(BQ129/BM$4,0)</f>
        <v>0</v>
      </c>
      <c r="BS129" s="202">
        <f t="shared" ref="BS129" ca="1" si="5430">BT129/$X129</f>
        <v>0</v>
      </c>
      <c r="BT129" s="203">
        <f t="shared" ref="BT129" ca="1" si="5431">BU129/$Z129</f>
        <v>0</v>
      </c>
      <c r="BU129" s="203">
        <f t="shared" ref="BU129" ca="1" si="5432">BV129*BM$4</f>
        <v>0</v>
      </c>
      <c r="BV129" s="204">
        <f t="shared" ref="BV129" ca="1" si="5433">IF(BM$6&lt;&gt;"",$O129,$N129)-BR129</f>
        <v>0</v>
      </c>
      <c r="BW129" s="205"/>
      <c r="BX129" s="206">
        <f t="shared" ref="BX129" ca="1" si="5434">BW129*$X129</f>
        <v>0</v>
      </c>
      <c r="BY129" s="206">
        <f t="shared" ref="BY129" ca="1" si="5435">BX129*$Z129</f>
        <v>0</v>
      </c>
      <c r="BZ129" s="207">
        <f t="shared" ref="BZ129" ca="1" si="5436">IFERROR(BY129/BM$4,0)</f>
        <v>0</v>
      </c>
      <c r="CA129" s="391">
        <f t="shared" si="5383"/>
        <v>0</v>
      </c>
      <c r="CB129" s="391">
        <f t="shared" ref="CB129" ca="1" si="5437">BP129+IF($T129 ="",BX129,0)</f>
        <v>0</v>
      </c>
      <c r="CC129" s="391">
        <f t="shared" ref="CC129" ca="1" si="5438">CB129*$Z129</f>
        <v>0</v>
      </c>
      <c r="CD129" s="394">
        <f t="shared" ref="CD129" ca="1" si="5439">IFERROR(CC129/BM$4,0)</f>
        <v>0</v>
      </c>
      <c r="CE129" s="212" t="str">
        <f ca="1">IF(SUM(BR129,BZ129,CD129)&lt;&gt;0,"V","")</f>
        <v/>
      </c>
      <c r="CF129" s="214"/>
      <c r="CG129" s="312" t="str">
        <f t="shared" ref="CG129" ca="1" si="5440">IFERROR($X129/CH129-1,"")</f>
        <v/>
      </c>
      <c r="CH129" s="215"/>
      <c r="CI129" s="199">
        <f t="shared" ref="CI129" ca="1" si="5441">CF129*$X129</f>
        <v>0</v>
      </c>
      <c r="CJ129" s="199">
        <f t="shared" ref="CJ129" ca="1" si="5442">CI129*$Z129</f>
        <v>0</v>
      </c>
      <c r="CK129" s="216">
        <f t="shared" ref="CK129" ca="1" si="5443">IFERROR(CJ129/CF$4,0)</f>
        <v>0</v>
      </c>
      <c r="CL129" s="202">
        <f t="shared" ref="CL129" ca="1" si="5444">CM129/$X129</f>
        <v>0</v>
      </c>
      <c r="CM129" s="203">
        <f t="shared" ref="CM129" ca="1" si="5445">CN129/$Z129</f>
        <v>0</v>
      </c>
      <c r="CN129" s="203">
        <f t="shared" ref="CN129" ca="1" si="5446">CO129*CF$4</f>
        <v>0</v>
      </c>
      <c r="CO129" s="204">
        <f t="shared" ref="CO129" ca="1" si="5447">IF(CF$6&lt;&gt;"",$O129,$N129)-CK129</f>
        <v>0</v>
      </c>
      <c r="CP129" s="205"/>
      <c r="CQ129" s="206">
        <f t="shared" ref="CQ129" ca="1" si="5448">CP129*$X129</f>
        <v>0</v>
      </c>
      <c r="CR129" s="206">
        <f t="shared" ref="CR129" ca="1" si="5449">CQ129*$Z129</f>
        <v>0</v>
      </c>
      <c r="CS129" s="207">
        <f t="shared" ref="CS129" ca="1" si="5450">IFERROR(CR129/CF$4,0)</f>
        <v>0</v>
      </c>
      <c r="CT129" s="391">
        <f t="shared" si="5333"/>
        <v>0</v>
      </c>
      <c r="CU129" s="391">
        <f t="shared" ref="CU129" ca="1" si="5451">CI129+IF($T129 ="",CQ129,0)</f>
        <v>0</v>
      </c>
      <c r="CV129" s="391">
        <f t="shared" ref="CV129" ca="1" si="5452">CU129*$Z129</f>
        <v>0</v>
      </c>
      <c r="CW129" s="394">
        <f t="shared" ref="CW129" ca="1" si="5453">IFERROR(CV129/CF$4,0)</f>
        <v>0</v>
      </c>
      <c r="CX129" s="211" t="str">
        <f ca="1">IF(SUM(CK129,CS129,CW129)&lt;&gt;0,"V","")</f>
        <v/>
      </c>
      <c r="CY129" s="197"/>
      <c r="CZ129" s="312" t="str">
        <f t="shared" ref="CZ129" ca="1" si="5454">IFERROR($X129/DA129-1,"")</f>
        <v/>
      </c>
      <c r="DA129" s="395"/>
      <c r="DB129" s="199">
        <f t="shared" ref="DB129" ca="1" si="5455">CY129*$X129</f>
        <v>0</v>
      </c>
      <c r="DC129" s="199">
        <f t="shared" ref="DC129" ca="1" si="5456">DB129*$Z129</f>
        <v>0</v>
      </c>
      <c r="DD129" s="216">
        <f t="shared" ref="DD129" ca="1" si="5457">IFERROR(DC129/CY$4,0)</f>
        <v>0</v>
      </c>
      <c r="DE129" s="202">
        <f t="shared" ref="DE129" ca="1" si="5458">DF129/$X129</f>
        <v>0</v>
      </c>
      <c r="DF129" s="203">
        <f t="shared" ref="DF129" ca="1" si="5459">DG129/$Z129</f>
        <v>0</v>
      </c>
      <c r="DG129" s="203">
        <f t="shared" ref="DG129" ca="1" si="5460">DH129*CY$4</f>
        <v>0</v>
      </c>
      <c r="DH129" s="204">
        <f t="shared" ref="DH129" ca="1" si="5461">IF(CY$6&lt;&gt;"",$O129,$N129)-DD129</f>
        <v>0</v>
      </c>
      <c r="DI129" s="205"/>
      <c r="DJ129" s="206">
        <f t="shared" ref="DJ129" ca="1" si="5462">DI129*$X129</f>
        <v>0</v>
      </c>
      <c r="DK129" s="206">
        <f t="shared" ref="DK129" ca="1" si="5463">DJ129*$Z129</f>
        <v>0</v>
      </c>
      <c r="DL129" s="207">
        <f t="shared" ref="DL129" ca="1" si="5464">IFERROR(DK129/CY$4,0)</f>
        <v>0</v>
      </c>
      <c r="DM129" s="391">
        <f t="shared" si="5337"/>
        <v>0</v>
      </c>
      <c r="DN129" s="391">
        <f t="shared" ref="DN129" ca="1" si="5465">DB129+IF($T129 ="",DJ129,0)</f>
        <v>0</v>
      </c>
      <c r="DO129" s="391">
        <f t="shared" ref="DO129" ca="1" si="5466">DN129*$Z129</f>
        <v>0</v>
      </c>
      <c r="DP129" s="394">
        <f t="shared" ref="DP129" ca="1" si="5467">IFERROR(DO129/CY$4,0)</f>
        <v>0</v>
      </c>
      <c r="DQ129" s="209" t="str">
        <f ca="1">IF(SUM(DD129,DL129,DP129)&lt;&gt;0,"V","")</f>
        <v/>
      </c>
      <c r="DR129" s="197">
        <f>200</f>
        <v>200</v>
      </c>
      <c r="DS129" s="312">
        <f t="shared" ca="1" si="5384"/>
        <v>-2.6762338795694673E-2</v>
      </c>
      <c r="DT129" s="395">
        <v>51.564999999999998</v>
      </c>
      <c r="DU129" s="199">
        <f t="shared" ca="1" si="5385"/>
        <v>10037</v>
      </c>
      <c r="DV129" s="199">
        <f t="shared" ca="1" si="5386"/>
        <v>7851.4432500000003</v>
      </c>
      <c r="DW129" s="216">
        <f t="shared" ca="1" si="5387"/>
        <v>1.118822000396771E-2</v>
      </c>
      <c r="DX129" s="202">
        <f t="shared" ca="1" si="5388"/>
        <v>-200.00000000000003</v>
      </c>
      <c r="DY129" s="203">
        <f t="shared" ca="1" si="5389"/>
        <v>-10037.000000000002</v>
      </c>
      <c r="DZ129" s="203">
        <f t="shared" ca="1" si="5390"/>
        <v>-7851.4432500000012</v>
      </c>
      <c r="EA129" s="204">
        <f t="shared" ref="EA129" ca="1" si="5468">IF(DR$6&lt;&gt;"",$O129,$N129)-DW129</f>
        <v>-1.118822000396771E-2</v>
      </c>
      <c r="EB129" s="205"/>
      <c r="EC129" s="206">
        <f t="shared" ca="1" si="5391"/>
        <v>0</v>
      </c>
      <c r="ED129" s="206">
        <f t="shared" ca="1" si="5392"/>
        <v>0</v>
      </c>
      <c r="EE129" s="207">
        <f t="shared" ca="1" si="5393"/>
        <v>0</v>
      </c>
      <c r="EF129" s="391">
        <f t="shared" si="5394"/>
        <v>200</v>
      </c>
      <c r="EG129" s="391">
        <f t="shared" ca="1" si="5395"/>
        <v>10037</v>
      </c>
      <c r="EH129" s="391">
        <f t="shared" ca="1" si="5396"/>
        <v>7851.4432500000003</v>
      </c>
      <c r="EI129" s="394">
        <f t="shared" ca="1" si="5397"/>
        <v>1.118822000396771E-2</v>
      </c>
      <c r="EJ129" s="214"/>
      <c r="EK129" s="312" t="str">
        <f t="shared" ref="EK129" ca="1" si="5469">IFERROR($X129/EL129-1,"")</f>
        <v/>
      </c>
      <c r="EL129" s="222"/>
      <c r="EM129" s="199">
        <f t="shared" ref="EM129" ca="1" si="5470">EJ129*$X129</f>
        <v>0</v>
      </c>
      <c r="EN129" s="199">
        <f t="shared" ref="EN129" ca="1" si="5471">EM129*$Z129</f>
        <v>0</v>
      </c>
      <c r="EO129" s="216">
        <f t="shared" ref="EO129" ca="1" si="5472">IFERROR(EN129/EJ$4,0)</f>
        <v>0</v>
      </c>
      <c r="EP129" s="202">
        <f t="shared" ref="EP129" ca="1" si="5473">EQ129/$X129</f>
        <v>0</v>
      </c>
      <c r="EQ129" s="203">
        <f t="shared" ref="EQ129" ca="1" si="5474">ER129/$Z129</f>
        <v>0</v>
      </c>
      <c r="ER129" s="203">
        <f t="shared" ref="ER129" ca="1" si="5475">ES129*EJ$4</f>
        <v>0</v>
      </c>
      <c r="ES129" s="204">
        <f t="shared" ref="ES129" ca="1" si="5476">IF(EJ$6&lt;&gt;"",$O129,$N129)-EO129</f>
        <v>0</v>
      </c>
      <c r="ET129" s="205"/>
      <c r="EU129" s="206">
        <f t="shared" ref="EU129" ca="1" si="5477">ET129*$X129</f>
        <v>0</v>
      </c>
      <c r="EV129" s="206">
        <f t="shared" ref="EV129" ca="1" si="5478">EU129*$Z129</f>
        <v>0</v>
      </c>
      <c r="EW129" s="207">
        <f t="shared" ref="EW129" ca="1" si="5479">IFERROR(EV129/EJ$4,0)</f>
        <v>0</v>
      </c>
      <c r="EX129" s="391">
        <f t="shared" si="5363"/>
        <v>0</v>
      </c>
      <c r="EY129" s="391">
        <f t="shared" ref="EY129" ca="1" si="5480">EM129+IF($T129 ="",EU129,0)</f>
        <v>0</v>
      </c>
      <c r="EZ129" s="391">
        <f t="shared" ref="EZ129" ca="1" si="5481">EY129*$Z129</f>
        <v>0</v>
      </c>
      <c r="FA129" s="394">
        <f t="shared" ref="FA129" ca="1" si="5482">IFERROR(EZ129/EJ$4,0)</f>
        <v>0</v>
      </c>
      <c r="FB129" s="212" t="str">
        <f ca="1">IF(SUM(EO129,EW129,FA129)&lt;&gt;0,"V","")</f>
        <v/>
      </c>
      <c r="FC129" s="214"/>
      <c r="FD129" s="312" t="str">
        <f t="shared" ref="FD129" ca="1" si="5483">IFERROR($X129/FE129-1,"")</f>
        <v/>
      </c>
      <c r="FE129" s="215"/>
      <c r="FF129" s="199">
        <f t="shared" ref="FF129" ca="1" si="5484">FC129*$X129</f>
        <v>0</v>
      </c>
      <c r="FG129" s="199">
        <f t="shared" ref="FG129" ca="1" si="5485">FF129*$Z129</f>
        <v>0</v>
      </c>
      <c r="FH129" s="216">
        <f t="shared" ref="FH129" ca="1" si="5486">IFERROR(FG129/FC$4,0)</f>
        <v>0</v>
      </c>
      <c r="FI129" s="202">
        <f t="shared" ref="FI129" ca="1" si="5487">FJ129/$X129</f>
        <v>0</v>
      </c>
      <c r="FJ129" s="203">
        <f t="shared" ref="FJ129" ca="1" si="5488">FK129/$Z129</f>
        <v>0</v>
      </c>
      <c r="FK129" s="203">
        <f t="shared" ref="FK129" ca="1" si="5489">FL129*FC$4</f>
        <v>0</v>
      </c>
      <c r="FL129" s="204">
        <f t="shared" ref="FL129" ca="1" si="5490">IF(FC$6&lt;&gt;"",$O129,$N129)-FH129</f>
        <v>0</v>
      </c>
      <c r="FM129" s="205"/>
      <c r="FN129" s="206">
        <f t="shared" ref="FN129" ca="1" si="5491">FM129*$X129</f>
        <v>0</v>
      </c>
      <c r="FO129" s="206">
        <f t="shared" ref="FO129" ca="1" si="5492">FN129*$Z129</f>
        <v>0</v>
      </c>
      <c r="FP129" s="207">
        <f t="shared" ref="FP129" ca="1" si="5493">IFERROR(FO129/FC$4,0)</f>
        <v>0</v>
      </c>
      <c r="FQ129" s="391">
        <f t="shared" si="5377"/>
        <v>0</v>
      </c>
      <c r="FR129" s="391">
        <f t="shared" ref="FR129" ca="1" si="5494">FF129+IF($T129 ="",FN129,0)</f>
        <v>0</v>
      </c>
      <c r="FS129" s="391">
        <f t="shared" ref="FS129" ca="1" si="5495">FR129*$Z129</f>
        <v>0</v>
      </c>
      <c r="FT129" s="394">
        <f t="shared" ref="FT129" ca="1" si="5496">IFERROR(FS129/FC$4,0)</f>
        <v>0</v>
      </c>
      <c r="FU129" s="209" t="str">
        <f ca="1">IF(SUM(FH129,FP129,FT129)&lt;&gt;0,"V","")</f>
        <v/>
      </c>
    </row>
    <row r="130" spans="1:177" outlineLevel="2" x14ac:dyDescent="0.2">
      <c r="A130" s="366"/>
      <c r="B130" s="366"/>
      <c r="C130" s="367" t="str">
        <f t="shared" ca="1" si="4721"/>
        <v>IE00B5BMR087:USD</v>
      </c>
      <c r="D130" s="368" t="str">
        <f t="shared" ca="1" si="4722"/>
        <v>IE00B5BMR087</v>
      </c>
      <c r="E130" s="369" t="str">
        <f t="shared" ca="1" si="4722"/>
        <v>10737041</v>
      </c>
      <c r="F130" s="367" t="s">
        <v>399</v>
      </c>
      <c r="G130" s="414"/>
      <c r="H130" s="1713" t="str">
        <f t="shared" ca="1" si="4723"/>
        <v></v>
      </c>
      <c r="I130" s="1683" t="str">
        <f ca="1">IF(OFFSET(Origine,MATCH($F130,Descrizioni,0),MATCH(I$15,Intestazioni,0)-1,1,1)&lt;&gt;"",HYPERLINK(OFFSET(Origine,MATCH($F130,Descrizioni,0),MATCH(I$15,Intestazioni,0)-1,1,1),"i"),"")</f>
        <v>i</v>
      </c>
      <c r="J130" s="1713" t="str">
        <f t="shared" ca="1" si="5381"/>
        <v></v>
      </c>
      <c r="K130" s="1716" t="str">
        <f t="shared" ca="1" si="5381"/>
        <v></v>
      </c>
      <c r="L130" s="1717" t="str">
        <f t="shared" ca="1" si="4724"/>
        <v></v>
      </c>
      <c r="M130" s="366" t="str">
        <f t="shared" ca="1" si="4725"/>
        <v>Unit</v>
      </c>
      <c r="N130" s="417"/>
      <c r="O130" s="417"/>
      <c r="P130" s="418">
        <f t="shared" ca="1" si="4637"/>
        <v>0</v>
      </c>
      <c r="Q130" s="391">
        <f t="array" aca="1" ref="Q130" ca="1">SUM(IF($AA$15:$FT$15="I_pos",AA130:FT130))</f>
        <v>0</v>
      </c>
      <c r="R130" s="391">
        <f t="array" aca="1" ref="R130" ca="1">SUM(IF($AA$15:$FT$15="P_Pos",AA130:FT130))</f>
        <v>0</v>
      </c>
      <c r="S130" s="367"/>
      <c r="T130" s="391"/>
      <c r="U130" s="375">
        <f t="shared" ca="1" si="4726"/>
        <v>-1.10837605907714E-2</v>
      </c>
      <c r="V130" s="391">
        <f t="array" aca="1" ref="V130" ca="1">SUM(IF($AA$15:$FT$15="O_Pos",AA130:FT130))</f>
        <v>0</v>
      </c>
      <c r="W130" s="367" t="str">
        <f t="shared" ca="1" si="5163"/>
        <v>USD</v>
      </c>
      <c r="X130" s="392">
        <f t="shared" ca="1" si="5164"/>
        <v>727.16</v>
      </c>
      <c r="Y130" s="393">
        <f ca="1">_xlfn.NUMBERVALUE(OFFSET(Origine,MATCH($F130,Descrizioni,0),MATCH(Y$15,Intestazioni,0)-1,1,1))</f>
        <v>0</v>
      </c>
      <c r="Z130" s="378">
        <f t="shared" ca="1" si="4730"/>
        <v>0.78225</v>
      </c>
      <c r="AA130" s="214"/>
      <c r="AB130" s="312" t="str">
        <f t="shared" ca="1" si="5088"/>
        <v/>
      </c>
      <c r="AC130" s="215"/>
      <c r="AD130" s="199">
        <f t="shared" ca="1" si="5285"/>
        <v>0</v>
      </c>
      <c r="AE130" s="199">
        <f t="shared" ca="1" si="5286"/>
        <v>0</v>
      </c>
      <c r="AF130" s="216">
        <f t="shared" ca="1" si="5287"/>
        <v>0</v>
      </c>
      <c r="AG130" s="202">
        <f t="shared" ca="1" si="5288"/>
        <v>0</v>
      </c>
      <c r="AH130" s="203">
        <f t="shared" ca="1" si="5289"/>
        <v>0</v>
      </c>
      <c r="AI130" s="203">
        <f t="shared" ca="1" si="5290"/>
        <v>0</v>
      </c>
      <c r="AJ130" s="204">
        <f t="shared" ca="1" si="4738"/>
        <v>0</v>
      </c>
      <c r="AK130" s="205"/>
      <c r="AL130" s="206">
        <f t="shared" ca="1" si="5291"/>
        <v>0</v>
      </c>
      <c r="AM130" s="206">
        <f t="shared" ca="1" si="5292"/>
        <v>0</v>
      </c>
      <c r="AN130" s="207">
        <f t="shared" ca="1" si="5293"/>
        <v>0</v>
      </c>
      <c r="AO130" s="391">
        <f t="shared" ref="AO130:AO133" si="5497">AA130+AK130</f>
        <v>0</v>
      </c>
      <c r="AP130" s="391">
        <f t="shared" ca="1" si="5295"/>
        <v>0</v>
      </c>
      <c r="AQ130" s="391">
        <f t="shared" ca="1" si="5296"/>
        <v>0</v>
      </c>
      <c r="AR130" s="394">
        <f t="shared" ca="1" si="5297"/>
        <v>0</v>
      </c>
      <c r="AS130" s="209" t="str">
        <f ca="1">IF(SUM(AF130,AN130,AR130)&lt;&gt;0,"V","")</f>
        <v/>
      </c>
      <c r="AT130" s="214"/>
      <c r="AU130" s="312" t="str">
        <f t="shared" ca="1" si="5099"/>
        <v/>
      </c>
      <c r="AV130" s="215"/>
      <c r="AW130" s="199">
        <f t="shared" ca="1" si="5298"/>
        <v>0</v>
      </c>
      <c r="AX130" s="199">
        <f t="shared" ca="1" si="5299"/>
        <v>0</v>
      </c>
      <c r="AY130" s="216">
        <f t="shared" ca="1" si="5300"/>
        <v>0</v>
      </c>
      <c r="AZ130" s="202">
        <f t="shared" ca="1" si="5301"/>
        <v>0</v>
      </c>
      <c r="BA130" s="203">
        <f t="shared" ca="1" si="5302"/>
        <v>0</v>
      </c>
      <c r="BB130" s="203">
        <f t="shared" ca="1" si="5303"/>
        <v>0</v>
      </c>
      <c r="BC130" s="204">
        <f t="shared" ca="1" si="4751"/>
        <v>0</v>
      </c>
      <c r="BD130" s="205"/>
      <c r="BE130" s="206">
        <f t="shared" ca="1" si="5304"/>
        <v>0</v>
      </c>
      <c r="BF130" s="206">
        <f t="shared" ca="1" si="5305"/>
        <v>0</v>
      </c>
      <c r="BG130" s="207">
        <f t="shared" ca="1" si="5306"/>
        <v>0</v>
      </c>
      <c r="BH130" s="391">
        <f t="shared" ref="BH130:BH133" si="5498">AT130+BD130</f>
        <v>0</v>
      </c>
      <c r="BI130" s="391">
        <f t="shared" ca="1" si="5308"/>
        <v>0</v>
      </c>
      <c r="BJ130" s="391">
        <f t="shared" ca="1" si="5309"/>
        <v>0</v>
      </c>
      <c r="BK130" s="394">
        <f t="shared" ca="1" si="5310"/>
        <v>0</v>
      </c>
      <c r="BL130" s="211" t="str">
        <f ca="1">IF(SUM(AY130,BG130,BK130)&lt;&gt;0,"V","")</f>
        <v/>
      </c>
      <c r="BM130" s="214">
        <f>10+-10</f>
        <v>0</v>
      </c>
      <c r="BN130" s="312" t="str">
        <f t="shared" ca="1" si="5110"/>
        <v/>
      </c>
      <c r="BO130" s="215"/>
      <c r="BP130" s="199">
        <f t="shared" ca="1" si="5311"/>
        <v>0</v>
      </c>
      <c r="BQ130" s="199">
        <f t="shared" ca="1" si="5312"/>
        <v>0</v>
      </c>
      <c r="BR130" s="216">
        <f t="shared" ca="1" si="5313"/>
        <v>0</v>
      </c>
      <c r="BS130" s="202">
        <f t="shared" ca="1" si="5314"/>
        <v>0</v>
      </c>
      <c r="BT130" s="203">
        <f t="shared" ca="1" si="5315"/>
        <v>0</v>
      </c>
      <c r="BU130" s="203">
        <f t="shared" ca="1" si="5316"/>
        <v>0</v>
      </c>
      <c r="BV130" s="204">
        <f t="shared" ca="1" si="4764"/>
        <v>0</v>
      </c>
      <c r="BW130" s="205"/>
      <c r="BX130" s="206">
        <f t="shared" ca="1" si="5317"/>
        <v>0</v>
      </c>
      <c r="BY130" s="206">
        <f t="shared" ca="1" si="5318"/>
        <v>0</v>
      </c>
      <c r="BZ130" s="207">
        <f t="shared" ca="1" si="5319"/>
        <v>0</v>
      </c>
      <c r="CA130" s="391">
        <f t="shared" ref="CA130:CA133" si="5499">BM130+BW130</f>
        <v>0</v>
      </c>
      <c r="CB130" s="391">
        <f t="shared" ca="1" si="5321"/>
        <v>0</v>
      </c>
      <c r="CC130" s="391">
        <f t="shared" ca="1" si="5322"/>
        <v>0</v>
      </c>
      <c r="CD130" s="394">
        <f t="shared" ca="1" si="5323"/>
        <v>0</v>
      </c>
      <c r="CE130" s="212" t="str">
        <f ca="1">IF(SUM(BR130,BZ130,CD130)&lt;&gt;0,"V","")</f>
        <v/>
      </c>
      <c r="CF130" s="214"/>
      <c r="CG130" s="312" t="str">
        <f t="shared" ca="1" si="5121"/>
        <v/>
      </c>
      <c r="CH130" s="215"/>
      <c r="CI130" s="199">
        <f t="shared" ca="1" si="5324"/>
        <v>0</v>
      </c>
      <c r="CJ130" s="199">
        <f t="shared" ca="1" si="5325"/>
        <v>0</v>
      </c>
      <c r="CK130" s="216">
        <f t="shared" ca="1" si="5326"/>
        <v>0</v>
      </c>
      <c r="CL130" s="202">
        <f t="shared" ca="1" si="5327"/>
        <v>0</v>
      </c>
      <c r="CM130" s="203">
        <f t="shared" ca="1" si="5328"/>
        <v>0</v>
      </c>
      <c r="CN130" s="203">
        <f t="shared" ca="1" si="5329"/>
        <v>0</v>
      </c>
      <c r="CO130" s="204">
        <f t="shared" ca="1" si="4777"/>
        <v>0</v>
      </c>
      <c r="CP130" s="205"/>
      <c r="CQ130" s="206">
        <f t="shared" ca="1" si="5330"/>
        <v>0</v>
      </c>
      <c r="CR130" s="206">
        <f t="shared" ca="1" si="5331"/>
        <v>0</v>
      </c>
      <c r="CS130" s="207">
        <f t="shared" ca="1" si="5332"/>
        <v>0</v>
      </c>
      <c r="CT130" s="391">
        <f t="shared" ref="CT130:CT133" si="5500">CF130+CP130</f>
        <v>0</v>
      </c>
      <c r="CU130" s="391">
        <f t="shared" ca="1" si="5334"/>
        <v>0</v>
      </c>
      <c r="CV130" s="391">
        <f t="shared" ca="1" si="5335"/>
        <v>0</v>
      </c>
      <c r="CW130" s="394">
        <f t="shared" ca="1" si="5336"/>
        <v>0</v>
      </c>
      <c r="CX130" s="211" t="str">
        <f ca="1">IF(SUM(CK130,CS130,CW130)&lt;&gt;0,"V","")</f>
        <v/>
      </c>
      <c r="CY130" s="197">
        <f>270+-270</f>
        <v>0</v>
      </c>
      <c r="CZ130" s="312" t="str">
        <f t="shared" ca="1" si="5131"/>
        <v/>
      </c>
      <c r="DA130" s="395"/>
      <c r="DB130" s="199">
        <f t="shared" ca="1" si="5132"/>
        <v>0</v>
      </c>
      <c r="DC130" s="199">
        <f t="shared" ca="1" si="5133"/>
        <v>0</v>
      </c>
      <c r="DD130" s="216">
        <f t="shared" ca="1" si="4717"/>
        <v>0</v>
      </c>
      <c r="DE130" s="202">
        <f t="shared" ca="1" si="5134"/>
        <v>0</v>
      </c>
      <c r="DF130" s="203">
        <f t="shared" ca="1" si="5135"/>
        <v>0</v>
      </c>
      <c r="DG130" s="203">
        <f t="shared" ca="1" si="5136"/>
        <v>0</v>
      </c>
      <c r="DH130" s="204">
        <f t="shared" ca="1" si="4791"/>
        <v>0</v>
      </c>
      <c r="DI130" s="205"/>
      <c r="DJ130" s="206">
        <f t="shared" ca="1" si="5137"/>
        <v>0</v>
      </c>
      <c r="DK130" s="206">
        <f t="shared" ca="1" si="5138"/>
        <v>0</v>
      </c>
      <c r="DL130" s="207">
        <f t="shared" ca="1" si="4718"/>
        <v>0</v>
      </c>
      <c r="DM130" s="391">
        <f t="shared" ref="DM130:DM133" si="5501">CY130+DI130</f>
        <v>0</v>
      </c>
      <c r="DN130" s="391">
        <f t="shared" ca="1" si="5338"/>
        <v>0</v>
      </c>
      <c r="DO130" s="391">
        <f t="shared" ca="1" si="5139"/>
        <v>0</v>
      </c>
      <c r="DP130" s="394">
        <f t="shared" ca="1" si="5339"/>
        <v>0</v>
      </c>
      <c r="DQ130" s="209" t="str">
        <f ca="1">IF(SUM(DD130,DL130,DP130)&lt;&gt;0,"V","")</f>
        <v/>
      </c>
      <c r="DR130" s="197"/>
      <c r="DS130" s="312" t="str">
        <f t="shared" ca="1" si="5340"/>
        <v/>
      </c>
      <c r="DT130" s="395"/>
      <c r="DU130" s="199">
        <f t="shared" ca="1" si="5341"/>
        <v>0</v>
      </c>
      <c r="DV130" s="199">
        <f t="shared" ca="1" si="5342"/>
        <v>0</v>
      </c>
      <c r="DW130" s="216">
        <f t="shared" ca="1" si="5343"/>
        <v>0</v>
      </c>
      <c r="DX130" s="202">
        <f t="shared" ca="1" si="5344"/>
        <v>0</v>
      </c>
      <c r="DY130" s="203">
        <f t="shared" ca="1" si="5345"/>
        <v>0</v>
      </c>
      <c r="DZ130" s="203">
        <f t="shared" ca="1" si="5346"/>
        <v>0</v>
      </c>
      <c r="EA130" s="204">
        <f t="shared" ca="1" si="4805"/>
        <v>0</v>
      </c>
      <c r="EB130" s="205"/>
      <c r="EC130" s="206">
        <f t="shared" ca="1" si="5347"/>
        <v>0</v>
      </c>
      <c r="ED130" s="206">
        <f t="shared" ca="1" si="5348"/>
        <v>0</v>
      </c>
      <c r="EE130" s="207">
        <f t="shared" ca="1" si="5349"/>
        <v>0</v>
      </c>
      <c r="EF130" s="391">
        <f t="shared" si="5350"/>
        <v>0</v>
      </c>
      <c r="EG130" s="391">
        <f t="shared" ca="1" si="5351"/>
        <v>0</v>
      </c>
      <c r="EH130" s="391">
        <f t="shared" ca="1" si="5352"/>
        <v>0</v>
      </c>
      <c r="EI130" s="394">
        <f t="shared" ca="1" si="5353"/>
        <v>0</v>
      </c>
      <c r="EJ130" s="214"/>
      <c r="EK130" s="312" t="str">
        <f t="shared" ca="1" si="5141"/>
        <v/>
      </c>
      <c r="EL130" s="222"/>
      <c r="EM130" s="199">
        <f t="shared" ca="1" si="5354"/>
        <v>0</v>
      </c>
      <c r="EN130" s="199">
        <f t="shared" ca="1" si="5355"/>
        <v>0</v>
      </c>
      <c r="EO130" s="216">
        <f t="shared" ca="1" si="5356"/>
        <v>0</v>
      </c>
      <c r="EP130" s="202">
        <f t="shared" ca="1" si="5357"/>
        <v>0</v>
      </c>
      <c r="EQ130" s="203">
        <f t="shared" ca="1" si="5358"/>
        <v>0</v>
      </c>
      <c r="ER130" s="203">
        <f t="shared" ca="1" si="5359"/>
        <v>0</v>
      </c>
      <c r="ES130" s="204">
        <f t="shared" ca="1" si="4818"/>
        <v>0</v>
      </c>
      <c r="ET130" s="205"/>
      <c r="EU130" s="206">
        <f t="shared" ca="1" si="5360"/>
        <v>0</v>
      </c>
      <c r="EV130" s="206">
        <f t="shared" ca="1" si="5361"/>
        <v>0</v>
      </c>
      <c r="EW130" s="207">
        <f t="shared" ca="1" si="5362"/>
        <v>0</v>
      </c>
      <c r="EX130" s="391">
        <f t="shared" ref="EX130:EX133" si="5502">EJ130+ET130</f>
        <v>0</v>
      </c>
      <c r="EY130" s="391">
        <f t="shared" ca="1" si="5364"/>
        <v>0</v>
      </c>
      <c r="EZ130" s="391">
        <f t="shared" ca="1" si="5365"/>
        <v>0</v>
      </c>
      <c r="FA130" s="394">
        <f t="shared" ca="1" si="5366"/>
        <v>0</v>
      </c>
      <c r="FB130" s="212" t="str">
        <f ca="1">IF(SUM(EO130,EW130,FA130)&lt;&gt;0,"V","")</f>
        <v/>
      </c>
      <c r="FC130" s="214"/>
      <c r="FD130" s="312" t="str">
        <f t="shared" ca="1" si="5152"/>
        <v/>
      </c>
      <c r="FE130" s="215"/>
      <c r="FF130" s="199">
        <f t="shared" ca="1" si="5368"/>
        <v>0</v>
      </c>
      <c r="FG130" s="199">
        <f t="shared" ca="1" si="5369"/>
        <v>0</v>
      </c>
      <c r="FH130" s="216">
        <f t="shared" ca="1" si="5370"/>
        <v>0</v>
      </c>
      <c r="FI130" s="202">
        <f t="shared" ca="1" si="5371"/>
        <v>0</v>
      </c>
      <c r="FJ130" s="203">
        <f t="shared" ca="1" si="5372"/>
        <v>0</v>
      </c>
      <c r="FK130" s="203">
        <f t="shared" ca="1" si="5373"/>
        <v>0</v>
      </c>
      <c r="FL130" s="204">
        <f t="shared" ca="1" si="4831"/>
        <v>0</v>
      </c>
      <c r="FM130" s="205"/>
      <c r="FN130" s="206">
        <f t="shared" ca="1" si="5374"/>
        <v>0</v>
      </c>
      <c r="FO130" s="206">
        <f t="shared" ca="1" si="5375"/>
        <v>0</v>
      </c>
      <c r="FP130" s="207">
        <f t="shared" ca="1" si="5376"/>
        <v>0</v>
      </c>
      <c r="FQ130" s="391">
        <f t="shared" ref="FQ130:FQ133" si="5503">FC130+FM130</f>
        <v>0</v>
      </c>
      <c r="FR130" s="391">
        <f t="shared" ca="1" si="5378"/>
        <v>0</v>
      </c>
      <c r="FS130" s="391">
        <f t="shared" ca="1" si="5379"/>
        <v>0</v>
      </c>
      <c r="FT130" s="394">
        <f t="shared" ca="1" si="5380"/>
        <v>0</v>
      </c>
      <c r="FU130" s="209" t="str">
        <f ca="1">IF(SUM(FH130,FP130,FT130)&lt;&gt;0,"V","")</f>
        <v/>
      </c>
    </row>
    <row r="131" spans="1:177" outlineLevel="2" x14ac:dyDescent="0.2">
      <c r="A131" s="366"/>
      <c r="B131" s="366"/>
      <c r="C131" s="367" t="str">
        <f t="shared" ca="1" si="4721"/>
        <v>IE00BLNMYC90:USD:P</v>
      </c>
      <c r="D131" s="368" t="str">
        <f t="shared" ca="1" si="4722"/>
        <v>IE00BLNMYC90</v>
      </c>
      <c r="E131" s="369" t="str">
        <f t="shared" ca="1" si="4722"/>
        <v>24514626</v>
      </c>
      <c r="F131" s="367" t="s">
        <v>4432</v>
      </c>
      <c r="G131" s="414"/>
      <c r="H131" s="1713" t="str">
        <f t="shared" ca="1" si="4723"/>
        <v></v>
      </c>
      <c r="I131" s="1683" t="str">
        <f t="shared" ca="1" si="4659"/>
        <v/>
      </c>
      <c r="J131" s="1713" t="str">
        <f t="shared" ca="1" si="4660"/>
        <v/>
      </c>
      <c r="K131" s="1716" t="str">
        <f t="shared" ca="1" si="4660"/>
        <v/>
      </c>
      <c r="L131" s="1717" t="str">
        <f t="shared" ca="1" si="4724"/>
        <v/>
      </c>
      <c r="M131" s="366" t="str">
        <f t="shared" ca="1" si="4725"/>
        <v>Unit</v>
      </c>
      <c r="N131" s="427"/>
      <c r="O131" s="427"/>
      <c r="P131" s="418">
        <f t="shared" ca="1" si="4637"/>
        <v>0</v>
      </c>
      <c r="Q131" s="391">
        <f t="array" aca="1" ref="Q131" ca="1">SUM(IF($AA$15:$FT$15="I_pos",AA131:FT131))</f>
        <v>0</v>
      </c>
      <c r="R131" s="391">
        <f t="array" aca="1" ref="R131" ca="1">SUM(IF($AA$15:$FT$15="P_Pos",AA131:FT131))</f>
        <v>0</v>
      </c>
      <c r="S131" s="367"/>
      <c r="T131" s="391"/>
      <c r="U131" s="375">
        <f t="shared" ca="1" si="4726"/>
        <v>-1.33380757602704E-2</v>
      </c>
      <c r="V131" s="391">
        <f t="array" aca="1" ref="V131" ca="1">SUM(IF($AA$15:$FT$15="O_Pos",AA131:FT131))</f>
        <v>0</v>
      </c>
      <c r="W131" s="367" t="str">
        <f t="shared" ca="1" si="5163"/>
        <v>USD</v>
      </c>
      <c r="X131" s="392">
        <f t="shared" ca="1" si="5164"/>
        <v>110.96</v>
      </c>
      <c r="Y131" s="393">
        <f t="shared" ca="1" si="5087"/>
        <v>0</v>
      </c>
      <c r="Z131" s="378">
        <f t="shared" ref="Z131" ca="1" si="5504">_xlfn.NUMBERVALUE(OFFSET(Origine,MATCH(W131&amp;"/"&amp;MRif,LUKB_Name,0),MATCH("Price",Intestazioni,0)-1,1,1))</f>
        <v>0.78225</v>
      </c>
      <c r="AA131" s="214"/>
      <c r="AB131" s="312" t="str">
        <f t="shared" ref="AB131" ca="1" si="5505">IFERROR($X131/AC131-1,"")</f>
        <v/>
      </c>
      <c r="AC131" s="215"/>
      <c r="AD131" s="199">
        <f t="shared" ref="AD131" ca="1" si="5506">AA131*$X131</f>
        <v>0</v>
      </c>
      <c r="AE131" s="199">
        <f t="shared" ref="AE131" ca="1" si="5507">AD131*$Z131</f>
        <v>0</v>
      </c>
      <c r="AF131" s="216">
        <f t="shared" ref="AF131" ca="1" si="5508">IFERROR(AE131/AA$4,0)</f>
        <v>0</v>
      </c>
      <c r="AG131" s="202">
        <f t="shared" ref="AG131" ca="1" si="5509">AH131/$X131</f>
        <v>0</v>
      </c>
      <c r="AH131" s="203">
        <f t="shared" ref="AH131" ca="1" si="5510">AI131/$Z131</f>
        <v>0</v>
      </c>
      <c r="AI131" s="203">
        <f t="shared" ref="AI131" ca="1" si="5511">AJ131*AA$4</f>
        <v>0</v>
      </c>
      <c r="AJ131" s="204">
        <f t="shared" ref="AJ131" ca="1" si="5512">IF(AA$6&lt;&gt;"",$O131,$N131)-AF131</f>
        <v>0</v>
      </c>
      <c r="AK131" s="205"/>
      <c r="AL131" s="206">
        <f t="shared" ref="AL131" ca="1" si="5513">AK131*$X131</f>
        <v>0</v>
      </c>
      <c r="AM131" s="206">
        <f t="shared" ref="AM131" ca="1" si="5514">AL131*$Z131</f>
        <v>0</v>
      </c>
      <c r="AN131" s="207">
        <f t="shared" ref="AN131" ca="1" si="5515">IFERROR(AM131/AA$4,0)</f>
        <v>0</v>
      </c>
      <c r="AO131" s="391">
        <f t="shared" ref="AO131" si="5516">AA131+AK131</f>
        <v>0</v>
      </c>
      <c r="AP131" s="391">
        <f ca="1">AD131+IF($T133 ="",AL131,0)</f>
        <v>0</v>
      </c>
      <c r="AQ131" s="391">
        <f t="shared" ref="AQ131" ca="1" si="5517">AP131*$Z131</f>
        <v>0</v>
      </c>
      <c r="AR131" s="394">
        <f t="shared" ref="AR131" ca="1" si="5518">IFERROR(AQ131/AA$4,0)</f>
        <v>0</v>
      </c>
      <c r="AS131" s="209" t="str">
        <f t="shared" ref="AS131" ca="1" si="5519">IF(SUM(AF131,AN131,AR131)&lt;&gt;0,"V","")</f>
        <v/>
      </c>
      <c r="AT131" s="214"/>
      <c r="AU131" s="312" t="str">
        <f t="shared" ref="AU131" ca="1" si="5520">IFERROR($X131/AV131-1,"")</f>
        <v/>
      </c>
      <c r="AV131" s="215"/>
      <c r="AW131" s="199">
        <f t="shared" ref="AW131" ca="1" si="5521">AT131*$X131</f>
        <v>0</v>
      </c>
      <c r="AX131" s="199">
        <f t="shared" ref="AX131" ca="1" si="5522">AW131*$Z131</f>
        <v>0</v>
      </c>
      <c r="AY131" s="216">
        <f t="shared" ref="AY131" ca="1" si="5523">IFERROR(AX131/AT$4,0)</f>
        <v>0</v>
      </c>
      <c r="AZ131" s="202">
        <f t="shared" ref="AZ131" ca="1" si="5524">BA131/$X131</f>
        <v>0</v>
      </c>
      <c r="BA131" s="203">
        <f t="shared" ref="BA131" ca="1" si="5525">BB131/$Z131</f>
        <v>0</v>
      </c>
      <c r="BB131" s="203">
        <f t="shared" ref="BB131" ca="1" si="5526">BC131*AT$4</f>
        <v>0</v>
      </c>
      <c r="BC131" s="204">
        <f t="shared" ref="BC131" ca="1" si="5527">IF(AT$6&lt;&gt;"",$O131,$N131)-AY131</f>
        <v>0</v>
      </c>
      <c r="BD131" s="205"/>
      <c r="BE131" s="206">
        <f t="shared" ref="BE131" ca="1" si="5528">BD131*$X131</f>
        <v>0</v>
      </c>
      <c r="BF131" s="206">
        <f t="shared" ref="BF131" ca="1" si="5529">BE131*$Z131</f>
        <v>0</v>
      </c>
      <c r="BG131" s="207">
        <f t="shared" ref="BG131" ca="1" si="5530">IFERROR(BF131/AT$4,0)</f>
        <v>0</v>
      </c>
      <c r="BH131" s="391">
        <f t="shared" ref="BH131" si="5531">AT131+BD131</f>
        <v>0</v>
      </c>
      <c r="BI131" s="391">
        <f ca="1">AW131+IF($T133 ="",BE131,0)</f>
        <v>0</v>
      </c>
      <c r="BJ131" s="391">
        <f t="shared" ref="BJ131" ca="1" si="5532">BI131*$Z131</f>
        <v>0</v>
      </c>
      <c r="BK131" s="394">
        <f t="shared" ref="BK131" ca="1" si="5533">IFERROR(BJ131/AT$4,0)</f>
        <v>0</v>
      </c>
      <c r="BL131" s="211" t="str">
        <f t="shared" ref="BL131" ca="1" si="5534">IF(SUM(AY131,BG131,BK131)&lt;&gt;0,"V","")</f>
        <v/>
      </c>
      <c r="BM131" s="214"/>
      <c r="BN131" s="312" t="str">
        <f t="shared" ref="BN131" ca="1" si="5535">IFERROR($X131/BO131-1,"")</f>
        <v/>
      </c>
      <c r="BO131" s="215"/>
      <c r="BP131" s="199">
        <f t="shared" ref="BP131" ca="1" si="5536">BM131*$X131</f>
        <v>0</v>
      </c>
      <c r="BQ131" s="199">
        <f t="shared" ref="BQ131" ca="1" si="5537">BP131*$Z131</f>
        <v>0</v>
      </c>
      <c r="BR131" s="216">
        <f t="shared" ref="BR131" ca="1" si="5538">IFERROR(BQ131/BM$4,0)</f>
        <v>0</v>
      </c>
      <c r="BS131" s="202">
        <f t="shared" ref="BS131" ca="1" si="5539">BT131/$X131</f>
        <v>0</v>
      </c>
      <c r="BT131" s="203">
        <f t="shared" ref="BT131" ca="1" si="5540">BU131/$Z131</f>
        <v>0</v>
      </c>
      <c r="BU131" s="203">
        <f t="shared" ref="BU131" ca="1" si="5541">BV131*BM$4</f>
        <v>0</v>
      </c>
      <c r="BV131" s="204">
        <f t="shared" ref="BV131" ca="1" si="5542">IF(BM$6&lt;&gt;"",$O131,$N131)-BR131</f>
        <v>0</v>
      </c>
      <c r="BW131" s="205"/>
      <c r="BX131" s="206">
        <f t="shared" ref="BX131" ca="1" si="5543">BW131*$X131</f>
        <v>0</v>
      </c>
      <c r="BY131" s="206">
        <f t="shared" ref="BY131" ca="1" si="5544">BX131*$Z131</f>
        <v>0</v>
      </c>
      <c r="BZ131" s="207">
        <f t="shared" ref="BZ131" ca="1" si="5545">IFERROR(BY131/BM$4,0)</f>
        <v>0</v>
      </c>
      <c r="CA131" s="391">
        <f t="shared" ref="CA131" si="5546">BM131+BW131</f>
        <v>0</v>
      </c>
      <c r="CB131" s="391">
        <f ca="1">BP131+IF($T133 ="",BX131,0)</f>
        <v>0</v>
      </c>
      <c r="CC131" s="391">
        <f t="shared" ref="CC131" ca="1" si="5547">CB131*$Z131</f>
        <v>0</v>
      </c>
      <c r="CD131" s="394">
        <f t="shared" ref="CD131" ca="1" si="5548">IFERROR(CC131/BM$4,0)</f>
        <v>0</v>
      </c>
      <c r="CE131" s="212" t="str">
        <f t="shared" ref="CE131" ca="1" si="5549">IF(SUM(BR131,BZ131,CD131)&lt;&gt;0,"V","")</f>
        <v/>
      </c>
      <c r="CF131" s="214"/>
      <c r="CG131" s="312" t="str">
        <f t="shared" ref="CG131" ca="1" si="5550">IFERROR($X131/CH131-1,"")</f>
        <v/>
      </c>
      <c r="CH131" s="215"/>
      <c r="CI131" s="199">
        <f t="shared" ref="CI131" ca="1" si="5551">CF131*$X131</f>
        <v>0</v>
      </c>
      <c r="CJ131" s="199">
        <f t="shared" ref="CJ131" ca="1" si="5552">CI131*$Z131</f>
        <v>0</v>
      </c>
      <c r="CK131" s="216">
        <f t="shared" ref="CK131" ca="1" si="5553">IFERROR(CJ131/CF$4,0)</f>
        <v>0</v>
      </c>
      <c r="CL131" s="202">
        <f t="shared" ref="CL131" ca="1" si="5554">CM131/$X131</f>
        <v>0</v>
      </c>
      <c r="CM131" s="203">
        <f t="shared" ref="CM131" ca="1" si="5555">CN131/$Z131</f>
        <v>0</v>
      </c>
      <c r="CN131" s="203">
        <f t="shared" ref="CN131" ca="1" si="5556">CO131*CF$4</f>
        <v>0</v>
      </c>
      <c r="CO131" s="204">
        <f t="shared" ref="CO131" ca="1" si="5557">IF(CF$6&lt;&gt;"",$O131,$N131)-CK131</f>
        <v>0</v>
      </c>
      <c r="CP131" s="205"/>
      <c r="CQ131" s="206">
        <f t="shared" ref="CQ131" ca="1" si="5558">CP131*$X131</f>
        <v>0</v>
      </c>
      <c r="CR131" s="206">
        <f t="shared" ref="CR131" ca="1" si="5559">CQ131*$Z131</f>
        <v>0</v>
      </c>
      <c r="CS131" s="207">
        <f t="shared" ref="CS131" ca="1" si="5560">IFERROR(CR131/CF$4,0)</f>
        <v>0</v>
      </c>
      <c r="CT131" s="391">
        <f t="shared" ref="CT131" si="5561">CF131+CP131</f>
        <v>0</v>
      </c>
      <c r="CU131" s="391">
        <f ca="1">CI131+IF($T133 ="",CQ131,0)</f>
        <v>0</v>
      </c>
      <c r="CV131" s="391">
        <f t="shared" ref="CV131" ca="1" si="5562">CU131*$Z131</f>
        <v>0</v>
      </c>
      <c r="CW131" s="394">
        <f t="shared" ref="CW131" ca="1" si="5563">IFERROR(CV131/CF$4,0)</f>
        <v>0</v>
      </c>
      <c r="CX131" s="211" t="str">
        <f t="shared" ref="CX131" ca="1" si="5564">IF(SUM(CK131,CS131,CW131)&lt;&gt;0,"V","")</f>
        <v/>
      </c>
      <c r="CY131" s="197"/>
      <c r="CZ131" s="312" t="str">
        <f t="shared" ref="CZ131" ca="1" si="5565">IFERROR($X131/DA131-1,"")</f>
        <v/>
      </c>
      <c r="DA131" s="395"/>
      <c r="DB131" s="199">
        <f t="shared" ref="DB131" ca="1" si="5566">CY131*$X131</f>
        <v>0</v>
      </c>
      <c r="DC131" s="199">
        <f t="shared" ref="DC131" ca="1" si="5567">DB131*$Z131</f>
        <v>0</v>
      </c>
      <c r="DD131" s="216">
        <f t="shared" ref="DD131" ca="1" si="5568">IFERROR(DC131/CY$4,0)</f>
        <v>0</v>
      </c>
      <c r="DE131" s="202">
        <f t="shared" ref="DE131" ca="1" si="5569">DF131/$X131</f>
        <v>0</v>
      </c>
      <c r="DF131" s="203">
        <f t="shared" ref="DF131" ca="1" si="5570">DG131/$Z131</f>
        <v>0</v>
      </c>
      <c r="DG131" s="203">
        <f t="shared" ref="DG131" ca="1" si="5571">DH131*CY$4</f>
        <v>0</v>
      </c>
      <c r="DH131" s="204">
        <f t="shared" ref="DH131" ca="1" si="5572">IF(CY$6&lt;&gt;"",$O131,$N131)-DD131</f>
        <v>0</v>
      </c>
      <c r="DI131" s="205"/>
      <c r="DJ131" s="206">
        <f t="shared" ref="DJ131" ca="1" si="5573">DI131*$X131</f>
        <v>0</v>
      </c>
      <c r="DK131" s="206">
        <f t="shared" ref="DK131" ca="1" si="5574">DJ131*$Z131</f>
        <v>0</v>
      </c>
      <c r="DL131" s="207">
        <f t="shared" ref="DL131" ca="1" si="5575">IFERROR(DK131/CY$4,0)</f>
        <v>0</v>
      </c>
      <c r="DM131" s="391">
        <f t="shared" ref="DM131" si="5576">CY131+DI131</f>
        <v>0</v>
      </c>
      <c r="DN131" s="391">
        <f ca="1">DB131+IF($T133 ="",DJ131,0)</f>
        <v>0</v>
      </c>
      <c r="DO131" s="391">
        <f t="shared" ref="DO131" ca="1" si="5577">DN131*$Z131</f>
        <v>0</v>
      </c>
      <c r="DP131" s="394">
        <f t="shared" ref="DP131" ca="1" si="5578">IFERROR(DO131/CY$4,0)</f>
        <v>0</v>
      </c>
      <c r="DQ131" s="209" t="str">
        <f t="shared" ref="DQ131" ca="1" si="5579">IF(SUM(DD131,DL131,DP131)&lt;&gt;0,"V","")</f>
        <v/>
      </c>
      <c r="DR131" s="197"/>
      <c r="DS131" s="312" t="str">
        <f t="shared" ref="DS131" ca="1" si="5580">IFERROR($X131/DT131-1,"")</f>
        <v/>
      </c>
      <c r="DT131" s="395"/>
      <c r="DU131" s="199">
        <f t="shared" ref="DU131" ca="1" si="5581">DR131*$X131</f>
        <v>0</v>
      </c>
      <c r="DV131" s="199">
        <f t="shared" ref="DV131" ca="1" si="5582">DU131*$Z131</f>
        <v>0</v>
      </c>
      <c r="DW131" s="216">
        <f t="shared" ref="DW131" ca="1" si="5583">IFERROR(DV131/DR$4,0)</f>
        <v>0</v>
      </c>
      <c r="DX131" s="202">
        <f t="shared" ref="DX131" ca="1" si="5584">DY131/$X131</f>
        <v>0</v>
      </c>
      <c r="DY131" s="203">
        <f t="shared" ref="DY131" ca="1" si="5585">DZ131/$Z131</f>
        <v>0</v>
      </c>
      <c r="DZ131" s="203">
        <f t="shared" ref="DZ131" ca="1" si="5586">EA131*DR$4</f>
        <v>0</v>
      </c>
      <c r="EA131" s="204">
        <f t="shared" ref="EA131" ca="1" si="5587">IF(DR$6&lt;&gt;"",$O131,$N131)-DW131</f>
        <v>0</v>
      </c>
      <c r="EB131" s="205"/>
      <c r="EC131" s="206">
        <f t="shared" ref="EC131" ca="1" si="5588">EB131*$X131</f>
        <v>0</v>
      </c>
      <c r="ED131" s="206">
        <f t="shared" ref="ED131" ca="1" si="5589">EC131*$Z131</f>
        <v>0</v>
      </c>
      <c r="EE131" s="207">
        <f t="shared" ref="EE131" ca="1" si="5590">IFERROR(ED131/DR$4,0)</f>
        <v>0</v>
      </c>
      <c r="EF131" s="391">
        <f t="shared" ref="EF131" si="5591">DR131+EB131</f>
        <v>0</v>
      </c>
      <c r="EG131" s="391">
        <f ca="1">DU131+IF($T133 ="",EC131,0)</f>
        <v>0</v>
      </c>
      <c r="EH131" s="391">
        <f t="shared" ref="EH131" ca="1" si="5592">EG131*$Z131</f>
        <v>0</v>
      </c>
      <c r="EI131" s="394">
        <f t="shared" ref="EI131" ca="1" si="5593">IFERROR(EH131/DR$4,0)</f>
        <v>0</v>
      </c>
      <c r="EJ131" s="214"/>
      <c r="EK131" s="312" t="str">
        <f t="shared" ref="EK131" ca="1" si="5594">IFERROR($X131/EL131-1,"")</f>
        <v/>
      </c>
      <c r="EL131" s="222"/>
      <c r="EM131" s="199">
        <f t="shared" ref="EM131" ca="1" si="5595">EJ131*$X131</f>
        <v>0</v>
      </c>
      <c r="EN131" s="199">
        <f t="shared" ref="EN131" ca="1" si="5596">EM131*$Z131</f>
        <v>0</v>
      </c>
      <c r="EO131" s="216">
        <f t="shared" ref="EO131" ca="1" si="5597">IFERROR(EN131/EJ$4,0)</f>
        <v>0</v>
      </c>
      <c r="EP131" s="202">
        <f t="shared" ref="EP131" ca="1" si="5598">EQ131/$X131</f>
        <v>0</v>
      </c>
      <c r="EQ131" s="203">
        <f t="shared" ref="EQ131" ca="1" si="5599">ER131/$Z131</f>
        <v>0</v>
      </c>
      <c r="ER131" s="203">
        <f t="shared" ref="ER131" ca="1" si="5600">ES131*EJ$4</f>
        <v>0</v>
      </c>
      <c r="ES131" s="204">
        <f t="shared" ref="ES131" ca="1" si="5601">IF(EJ$6&lt;&gt;"",$O131,$N131)-EO131</f>
        <v>0</v>
      </c>
      <c r="ET131" s="205"/>
      <c r="EU131" s="206">
        <f t="shared" ref="EU131" ca="1" si="5602">ET131*$X131</f>
        <v>0</v>
      </c>
      <c r="EV131" s="206">
        <f t="shared" ref="EV131" ca="1" si="5603">EU131*$Z131</f>
        <v>0</v>
      </c>
      <c r="EW131" s="207">
        <f t="shared" ref="EW131" ca="1" si="5604">IFERROR(EV131/EJ$4,0)</f>
        <v>0</v>
      </c>
      <c r="EX131" s="391">
        <f t="shared" ref="EX131" si="5605">EJ131+ET131</f>
        <v>0</v>
      </c>
      <c r="EY131" s="391">
        <f ca="1">EM131+IF($T133 ="",EU131,0)</f>
        <v>0</v>
      </c>
      <c r="EZ131" s="391">
        <f t="shared" ref="EZ131" ca="1" si="5606">EY131*$Z131</f>
        <v>0</v>
      </c>
      <c r="FA131" s="394">
        <f t="shared" ref="FA131" ca="1" si="5607">IFERROR(EZ131/EJ$4,0)</f>
        <v>0</v>
      </c>
      <c r="FB131" s="212" t="str">
        <f t="shared" ref="FB131" ca="1" si="5608">IF(SUM(EO131,EW131,FA131)&lt;&gt;0,"V","")</f>
        <v/>
      </c>
      <c r="FC131" s="214"/>
      <c r="FD131" s="312" t="str">
        <f t="shared" ref="FD131" ca="1" si="5609">IFERROR($X131/FE131-1,"")</f>
        <v/>
      </c>
      <c r="FE131" s="215"/>
      <c r="FF131" s="199">
        <f t="shared" ref="FF131" ca="1" si="5610">FC131*$X131</f>
        <v>0</v>
      </c>
      <c r="FG131" s="199">
        <f t="shared" ref="FG131" ca="1" si="5611">FF131*$Z131</f>
        <v>0</v>
      </c>
      <c r="FH131" s="216">
        <f t="shared" ref="FH131" ca="1" si="5612">IFERROR(FG131/FC$4,0)</f>
        <v>0</v>
      </c>
      <c r="FI131" s="202">
        <f t="shared" ref="FI131" ca="1" si="5613">FJ131/$X131</f>
        <v>0</v>
      </c>
      <c r="FJ131" s="203">
        <f t="shared" ref="FJ131" ca="1" si="5614">FK131/$Z131</f>
        <v>0</v>
      </c>
      <c r="FK131" s="203">
        <f t="shared" ref="FK131" ca="1" si="5615">FL131*FC$4</f>
        <v>0</v>
      </c>
      <c r="FL131" s="204">
        <f t="shared" ref="FL131" ca="1" si="5616">IF(FC$6&lt;&gt;"",$O131,$N131)-FH131</f>
        <v>0</v>
      </c>
      <c r="FM131" s="205"/>
      <c r="FN131" s="206">
        <f t="shared" ref="FN131" ca="1" si="5617">FM131*$X131</f>
        <v>0</v>
      </c>
      <c r="FO131" s="206">
        <f t="shared" ref="FO131" ca="1" si="5618">FN131*$Z131</f>
        <v>0</v>
      </c>
      <c r="FP131" s="207">
        <f t="shared" ref="FP131" ca="1" si="5619">IFERROR(FO131/FC$4,0)</f>
        <v>0</v>
      </c>
      <c r="FQ131" s="391">
        <f t="shared" ref="FQ131" si="5620">FC131+FM131</f>
        <v>0</v>
      </c>
      <c r="FR131" s="391">
        <f ca="1">FF131+IF($T133 ="",FN131,0)</f>
        <v>0</v>
      </c>
      <c r="FS131" s="391">
        <f t="shared" ref="FS131" ca="1" si="5621">FR131*$Z131</f>
        <v>0</v>
      </c>
      <c r="FT131" s="394">
        <f t="shared" ref="FT131" ca="1" si="5622">IFERROR(FS131/FC$4,0)</f>
        <v>0</v>
      </c>
      <c r="FU131" s="209" t="str">
        <f t="shared" ref="FU131" ca="1" si="5623">IF(SUM(FH131,FP131,FT131)&lt;&gt;0,"V","")</f>
        <v/>
      </c>
    </row>
    <row r="132" spans="1:177" outlineLevel="2" x14ac:dyDescent="0.2">
      <c r="A132" s="366"/>
      <c r="B132" s="366"/>
      <c r="C132" s="367" t="str">
        <f t="shared" ca="1" si="4721"/>
        <v>IE00B6SPMN59:USD</v>
      </c>
      <c r="D132" s="368" t="str">
        <f t="shared" ca="1" si="4722"/>
        <v>IE00B6SPMN59</v>
      </c>
      <c r="E132" s="369" t="str">
        <f t="shared" ca="1" si="4722"/>
        <v>20023273</v>
      </c>
      <c r="F132" s="367" t="s">
        <v>488</v>
      </c>
      <c r="G132" s="414"/>
      <c r="H132" s="1713" t="str">
        <f t="shared" ca="1" si="4723"/>
        <v></v>
      </c>
      <c r="I132" s="1683" t="str">
        <f t="shared" ca="1" si="4659"/>
        <v>i</v>
      </c>
      <c r="J132" s="1713" t="str">
        <f t="shared" ca="1" si="4660"/>
        <v></v>
      </c>
      <c r="K132" s="1716" t="str">
        <f t="shared" ca="1" si="4660"/>
        <v></v>
      </c>
      <c r="L132" s="1717" t="str">
        <f t="shared" ca="1" si="4724"/>
        <v></v>
      </c>
      <c r="M132" s="366" t="str">
        <f t="shared" ca="1" si="4725"/>
        <v>Unit</v>
      </c>
      <c r="N132" s="427"/>
      <c r="O132" s="427"/>
      <c r="P132" s="418">
        <f t="shared" ca="1" si="4637"/>
        <v>0</v>
      </c>
      <c r="Q132" s="391">
        <f t="array" aca="1" ref="Q132" ca="1">SUM(IF($AA$15:$FT$15="I_pos",AA132:FT132))</f>
        <v>0</v>
      </c>
      <c r="R132" s="391">
        <f t="array" aca="1" ref="R132" ca="1">SUM(IF($AA$15:$FT$15="P_Pos",AA132:FT132))</f>
        <v>0</v>
      </c>
      <c r="S132" s="367"/>
      <c r="T132" s="391"/>
      <c r="U132" s="375">
        <f t="shared" ca="1" si="4726"/>
        <v>-9.9045888232620009E-3</v>
      </c>
      <c r="V132" s="391">
        <f t="array" aca="1" ref="V132" ca="1">SUM(IF($AA$15:$FT$15="O_Pos",AA132:FT132))</f>
        <v>0</v>
      </c>
      <c r="W132" s="367" t="str">
        <f t="shared" ca="1" si="5163"/>
        <v>USD</v>
      </c>
      <c r="X132" s="392">
        <f t="shared" ca="1" si="5164"/>
        <v>108.97</v>
      </c>
      <c r="Y132" s="393">
        <f t="shared" ca="1" si="5087"/>
        <v>0</v>
      </c>
      <c r="Z132" s="378">
        <f t="shared" ca="1" si="4730"/>
        <v>0.78225</v>
      </c>
      <c r="AA132" s="214"/>
      <c r="AB132" s="312" t="str">
        <f t="shared" ca="1" si="5088"/>
        <v/>
      </c>
      <c r="AC132" s="215"/>
      <c r="AD132" s="199">
        <f t="shared" ca="1" si="5285"/>
        <v>0</v>
      </c>
      <c r="AE132" s="199">
        <f t="shared" ca="1" si="5286"/>
        <v>0</v>
      </c>
      <c r="AF132" s="216">
        <f t="shared" ca="1" si="5287"/>
        <v>0</v>
      </c>
      <c r="AG132" s="202">
        <f t="shared" ca="1" si="5288"/>
        <v>0</v>
      </c>
      <c r="AH132" s="203">
        <f t="shared" ca="1" si="5289"/>
        <v>0</v>
      </c>
      <c r="AI132" s="203">
        <f t="shared" ca="1" si="5290"/>
        <v>0</v>
      </c>
      <c r="AJ132" s="204">
        <f t="shared" ca="1" si="4738"/>
        <v>0</v>
      </c>
      <c r="AK132" s="205"/>
      <c r="AL132" s="206">
        <f t="shared" ca="1" si="5291"/>
        <v>0</v>
      </c>
      <c r="AM132" s="206">
        <f t="shared" ca="1" si="5292"/>
        <v>0</v>
      </c>
      <c r="AN132" s="207">
        <f t="shared" ca="1" si="5293"/>
        <v>0</v>
      </c>
      <c r="AO132" s="391">
        <f t="shared" si="5497"/>
        <v>0</v>
      </c>
      <c r="AP132" s="391">
        <f ca="1">AD132+IF($T134 ="",AL132,0)</f>
        <v>0</v>
      </c>
      <c r="AQ132" s="391">
        <f t="shared" ca="1" si="5296"/>
        <v>0</v>
      </c>
      <c r="AR132" s="394">
        <f t="shared" ca="1" si="5297"/>
        <v>0</v>
      </c>
      <c r="AS132" s="209" t="str">
        <f t="shared" ca="1" si="5098"/>
        <v/>
      </c>
      <c r="AT132" s="214"/>
      <c r="AU132" s="312" t="str">
        <f t="shared" ca="1" si="5099"/>
        <v/>
      </c>
      <c r="AV132" s="215"/>
      <c r="AW132" s="199">
        <f t="shared" ca="1" si="5298"/>
        <v>0</v>
      </c>
      <c r="AX132" s="199">
        <f t="shared" ca="1" si="5299"/>
        <v>0</v>
      </c>
      <c r="AY132" s="216">
        <f t="shared" ca="1" si="5300"/>
        <v>0</v>
      </c>
      <c r="AZ132" s="202">
        <f t="shared" ca="1" si="5301"/>
        <v>0</v>
      </c>
      <c r="BA132" s="203">
        <f t="shared" ca="1" si="5302"/>
        <v>0</v>
      </c>
      <c r="BB132" s="203">
        <f t="shared" ca="1" si="5303"/>
        <v>0</v>
      </c>
      <c r="BC132" s="204">
        <f t="shared" ca="1" si="4751"/>
        <v>0</v>
      </c>
      <c r="BD132" s="205"/>
      <c r="BE132" s="206">
        <f t="shared" ca="1" si="5304"/>
        <v>0</v>
      </c>
      <c r="BF132" s="206">
        <f t="shared" ca="1" si="5305"/>
        <v>0</v>
      </c>
      <c r="BG132" s="207">
        <f t="shared" ca="1" si="5306"/>
        <v>0</v>
      </c>
      <c r="BH132" s="391">
        <f t="shared" si="5498"/>
        <v>0</v>
      </c>
      <c r="BI132" s="391">
        <f ca="1">AW132+IF($T134 ="",BE132,0)</f>
        <v>0</v>
      </c>
      <c r="BJ132" s="391">
        <f t="shared" ca="1" si="5309"/>
        <v>0</v>
      </c>
      <c r="BK132" s="394">
        <f t="shared" ca="1" si="5310"/>
        <v>0</v>
      </c>
      <c r="BL132" s="211" t="str">
        <f t="shared" ca="1" si="5109"/>
        <v/>
      </c>
      <c r="BM132" s="214"/>
      <c r="BN132" s="312" t="str">
        <f t="shared" ca="1" si="5110"/>
        <v/>
      </c>
      <c r="BO132" s="215"/>
      <c r="BP132" s="199">
        <f t="shared" ca="1" si="5311"/>
        <v>0</v>
      </c>
      <c r="BQ132" s="199">
        <f t="shared" ca="1" si="5312"/>
        <v>0</v>
      </c>
      <c r="BR132" s="216">
        <f t="shared" ca="1" si="5313"/>
        <v>0</v>
      </c>
      <c r="BS132" s="202">
        <f t="shared" ca="1" si="5314"/>
        <v>0</v>
      </c>
      <c r="BT132" s="203">
        <f t="shared" ca="1" si="5315"/>
        <v>0</v>
      </c>
      <c r="BU132" s="203">
        <f t="shared" ca="1" si="5316"/>
        <v>0</v>
      </c>
      <c r="BV132" s="204">
        <f t="shared" ca="1" si="4764"/>
        <v>0</v>
      </c>
      <c r="BW132" s="205"/>
      <c r="BX132" s="206">
        <f t="shared" ca="1" si="5317"/>
        <v>0</v>
      </c>
      <c r="BY132" s="206">
        <f t="shared" ca="1" si="5318"/>
        <v>0</v>
      </c>
      <c r="BZ132" s="207">
        <f t="shared" ca="1" si="5319"/>
        <v>0</v>
      </c>
      <c r="CA132" s="391">
        <f t="shared" si="5499"/>
        <v>0</v>
      </c>
      <c r="CB132" s="391">
        <f ca="1">BP132+IF($T134 ="",BX132,0)</f>
        <v>0</v>
      </c>
      <c r="CC132" s="391">
        <f t="shared" ca="1" si="5322"/>
        <v>0</v>
      </c>
      <c r="CD132" s="394">
        <f t="shared" ca="1" si="5323"/>
        <v>0</v>
      </c>
      <c r="CE132" s="212" t="str">
        <f t="shared" ca="1" si="5120"/>
        <v/>
      </c>
      <c r="CF132" s="214"/>
      <c r="CG132" s="312" t="str">
        <f t="shared" ca="1" si="5121"/>
        <v/>
      </c>
      <c r="CH132" s="215"/>
      <c r="CI132" s="199">
        <f t="shared" ca="1" si="5324"/>
        <v>0</v>
      </c>
      <c r="CJ132" s="199">
        <f t="shared" ca="1" si="5325"/>
        <v>0</v>
      </c>
      <c r="CK132" s="216">
        <f t="shared" ca="1" si="5326"/>
        <v>0</v>
      </c>
      <c r="CL132" s="202">
        <f t="shared" ca="1" si="5327"/>
        <v>0</v>
      </c>
      <c r="CM132" s="203">
        <f t="shared" ca="1" si="5328"/>
        <v>0</v>
      </c>
      <c r="CN132" s="203">
        <f t="shared" ca="1" si="5329"/>
        <v>0</v>
      </c>
      <c r="CO132" s="204">
        <f t="shared" ca="1" si="4777"/>
        <v>0</v>
      </c>
      <c r="CP132" s="205"/>
      <c r="CQ132" s="206">
        <f t="shared" ca="1" si="5330"/>
        <v>0</v>
      </c>
      <c r="CR132" s="206">
        <f t="shared" ca="1" si="5331"/>
        <v>0</v>
      </c>
      <c r="CS132" s="207">
        <f t="shared" ca="1" si="5332"/>
        <v>0</v>
      </c>
      <c r="CT132" s="391">
        <f t="shared" si="5500"/>
        <v>0</v>
      </c>
      <c r="CU132" s="391">
        <f ca="1">CI132+IF($T134 ="",CQ132,0)</f>
        <v>0</v>
      </c>
      <c r="CV132" s="391">
        <f t="shared" ca="1" si="5335"/>
        <v>0</v>
      </c>
      <c r="CW132" s="394">
        <f t="shared" ca="1" si="5336"/>
        <v>0</v>
      </c>
      <c r="CX132" s="211" t="str">
        <f t="shared" ca="1" si="5130"/>
        <v/>
      </c>
      <c r="CY132" s="197"/>
      <c r="CZ132" s="312" t="str">
        <f t="shared" ca="1" si="5131"/>
        <v/>
      </c>
      <c r="DA132" s="395"/>
      <c r="DB132" s="199">
        <f t="shared" ca="1" si="5132"/>
        <v>0</v>
      </c>
      <c r="DC132" s="199">
        <f t="shared" ca="1" si="5133"/>
        <v>0</v>
      </c>
      <c r="DD132" s="216">
        <f t="shared" ca="1" si="4717"/>
        <v>0</v>
      </c>
      <c r="DE132" s="202">
        <f t="shared" ca="1" si="5134"/>
        <v>0</v>
      </c>
      <c r="DF132" s="203">
        <f t="shared" ca="1" si="5135"/>
        <v>0</v>
      </c>
      <c r="DG132" s="203">
        <f t="shared" ca="1" si="5136"/>
        <v>0</v>
      </c>
      <c r="DH132" s="204">
        <f t="shared" ca="1" si="4791"/>
        <v>0</v>
      </c>
      <c r="DI132" s="205"/>
      <c r="DJ132" s="206">
        <f t="shared" ca="1" si="5137"/>
        <v>0</v>
      </c>
      <c r="DK132" s="206">
        <f t="shared" ca="1" si="5138"/>
        <v>0</v>
      </c>
      <c r="DL132" s="207">
        <f t="shared" ca="1" si="4718"/>
        <v>0</v>
      </c>
      <c r="DM132" s="391">
        <f t="shared" si="5501"/>
        <v>0</v>
      </c>
      <c r="DN132" s="391">
        <f ca="1">DB132+IF($T134 ="",DJ132,0)</f>
        <v>0</v>
      </c>
      <c r="DO132" s="391">
        <f t="shared" ca="1" si="5139"/>
        <v>0</v>
      </c>
      <c r="DP132" s="394">
        <f t="shared" ca="1" si="5339"/>
        <v>0</v>
      </c>
      <c r="DQ132" s="209" t="str">
        <f t="shared" ca="1" si="5140"/>
        <v/>
      </c>
      <c r="DR132" s="197"/>
      <c r="DS132" s="312" t="str">
        <f t="shared" ca="1" si="5340"/>
        <v/>
      </c>
      <c r="DT132" s="395"/>
      <c r="DU132" s="199">
        <f t="shared" ca="1" si="5341"/>
        <v>0</v>
      </c>
      <c r="DV132" s="199">
        <f t="shared" ca="1" si="5342"/>
        <v>0</v>
      </c>
      <c r="DW132" s="216">
        <f t="shared" ca="1" si="5343"/>
        <v>0</v>
      </c>
      <c r="DX132" s="202">
        <f t="shared" ca="1" si="5344"/>
        <v>0</v>
      </c>
      <c r="DY132" s="203">
        <f t="shared" ca="1" si="5345"/>
        <v>0</v>
      </c>
      <c r="DZ132" s="203">
        <f t="shared" ca="1" si="5346"/>
        <v>0</v>
      </c>
      <c r="EA132" s="204">
        <f t="shared" ca="1" si="4805"/>
        <v>0</v>
      </c>
      <c r="EB132" s="205"/>
      <c r="EC132" s="206">
        <f t="shared" ca="1" si="5347"/>
        <v>0</v>
      </c>
      <c r="ED132" s="206">
        <f t="shared" ca="1" si="5348"/>
        <v>0</v>
      </c>
      <c r="EE132" s="207">
        <f t="shared" ca="1" si="5349"/>
        <v>0</v>
      </c>
      <c r="EF132" s="391">
        <f t="shared" si="5350"/>
        <v>0</v>
      </c>
      <c r="EG132" s="391">
        <f ca="1">DU132+IF($T134 ="",EC132,0)</f>
        <v>0</v>
      </c>
      <c r="EH132" s="391">
        <f t="shared" ca="1" si="5352"/>
        <v>0</v>
      </c>
      <c r="EI132" s="394">
        <f t="shared" ca="1" si="5353"/>
        <v>0</v>
      </c>
      <c r="EJ132" s="214"/>
      <c r="EK132" s="312" t="str">
        <f t="shared" ca="1" si="5141"/>
        <v/>
      </c>
      <c r="EL132" s="222"/>
      <c r="EM132" s="199">
        <f t="shared" ca="1" si="5354"/>
        <v>0</v>
      </c>
      <c r="EN132" s="199">
        <f t="shared" ca="1" si="5355"/>
        <v>0</v>
      </c>
      <c r="EO132" s="216">
        <f t="shared" ca="1" si="5356"/>
        <v>0</v>
      </c>
      <c r="EP132" s="202">
        <f t="shared" ca="1" si="5357"/>
        <v>0</v>
      </c>
      <c r="EQ132" s="203">
        <f t="shared" ca="1" si="5358"/>
        <v>0</v>
      </c>
      <c r="ER132" s="203">
        <f t="shared" ca="1" si="5359"/>
        <v>0</v>
      </c>
      <c r="ES132" s="204">
        <f t="shared" ca="1" si="4818"/>
        <v>0</v>
      </c>
      <c r="ET132" s="205"/>
      <c r="EU132" s="206">
        <f t="shared" ca="1" si="5360"/>
        <v>0</v>
      </c>
      <c r="EV132" s="206">
        <f t="shared" ca="1" si="5361"/>
        <v>0</v>
      </c>
      <c r="EW132" s="207">
        <f t="shared" ca="1" si="5362"/>
        <v>0</v>
      </c>
      <c r="EX132" s="391">
        <f t="shared" si="5502"/>
        <v>0</v>
      </c>
      <c r="EY132" s="391">
        <f ca="1">EM132+IF($T134 ="",EU132,0)</f>
        <v>0</v>
      </c>
      <c r="EZ132" s="391">
        <f t="shared" ca="1" si="5365"/>
        <v>0</v>
      </c>
      <c r="FA132" s="394">
        <f t="shared" ca="1" si="5366"/>
        <v>0</v>
      </c>
      <c r="FB132" s="212" t="str">
        <f t="shared" ca="1" si="5151"/>
        <v/>
      </c>
      <c r="FC132" s="214"/>
      <c r="FD132" s="312" t="str">
        <f t="shared" ca="1" si="5152"/>
        <v/>
      </c>
      <c r="FE132" s="215"/>
      <c r="FF132" s="199">
        <f t="shared" ca="1" si="5368"/>
        <v>0</v>
      </c>
      <c r="FG132" s="199">
        <f t="shared" ca="1" si="5369"/>
        <v>0</v>
      </c>
      <c r="FH132" s="216">
        <f t="shared" ca="1" si="5370"/>
        <v>0</v>
      </c>
      <c r="FI132" s="202">
        <f t="shared" ca="1" si="5371"/>
        <v>0</v>
      </c>
      <c r="FJ132" s="203">
        <f t="shared" ca="1" si="5372"/>
        <v>0</v>
      </c>
      <c r="FK132" s="203">
        <f t="shared" ca="1" si="5373"/>
        <v>0</v>
      </c>
      <c r="FL132" s="204">
        <f t="shared" ca="1" si="4831"/>
        <v>0</v>
      </c>
      <c r="FM132" s="205"/>
      <c r="FN132" s="206">
        <f t="shared" ca="1" si="5374"/>
        <v>0</v>
      </c>
      <c r="FO132" s="206">
        <f t="shared" ca="1" si="5375"/>
        <v>0</v>
      </c>
      <c r="FP132" s="207">
        <f t="shared" ca="1" si="5376"/>
        <v>0</v>
      </c>
      <c r="FQ132" s="391">
        <f t="shared" si="5503"/>
        <v>0</v>
      </c>
      <c r="FR132" s="391">
        <f ca="1">FF132+IF($T134 ="",FN132,0)</f>
        <v>0</v>
      </c>
      <c r="FS132" s="391">
        <f t="shared" ca="1" si="5379"/>
        <v>0</v>
      </c>
      <c r="FT132" s="394">
        <f t="shared" ca="1" si="5380"/>
        <v>0</v>
      </c>
      <c r="FU132" s="209" t="str">
        <f t="shared" ca="1" si="5162"/>
        <v/>
      </c>
    </row>
    <row r="133" spans="1:177" outlineLevel="2" x14ac:dyDescent="0.2">
      <c r="A133" s="366"/>
      <c r="B133" s="366"/>
      <c r="C133" s="367" t="str">
        <f t="shared" ca="1" si="4721"/>
        <v>IE00BD4TYL27:CHF</v>
      </c>
      <c r="D133" s="368" t="str">
        <f t="shared" ca="1" si="4722"/>
        <v>IE00BD4TYL27</v>
      </c>
      <c r="E133" s="369" t="str">
        <f t="shared" ca="1" si="4722"/>
        <v>22375108</v>
      </c>
      <c r="F133" s="367" t="s">
        <v>524</v>
      </c>
      <c r="G133" s="414"/>
      <c r="H133" s="1713" t="str">
        <f t="shared" ca="1" si="4723"/>
        <v></v>
      </c>
      <c r="I133" s="1683" t="str">
        <f t="shared" ca="1" si="4659"/>
        <v>i</v>
      </c>
      <c r="J133" s="1713" t="str">
        <f t="shared" ca="1" si="4660"/>
        <v></v>
      </c>
      <c r="K133" s="1716" t="str">
        <f t="shared" ca="1" si="4660"/>
        <v></v>
      </c>
      <c r="L133" s="1717" t="str">
        <f t="shared" ca="1" si="4724"/>
        <v></v>
      </c>
      <c r="M133" s="366" t="str">
        <f t="shared" ca="1" si="4725"/>
        <v>Unit</v>
      </c>
      <c r="N133" s="417"/>
      <c r="O133" s="417"/>
      <c r="P133" s="428">
        <f t="shared" ca="1" si="4637"/>
        <v>0</v>
      </c>
      <c r="Q133" s="391">
        <f t="array" aca="1" ref="Q133" ca="1">SUM(IF($AA$15:$FT$15="I_pos",AA133:FT133))</f>
        <v>0</v>
      </c>
      <c r="R133" s="391">
        <f t="array" aca="1" ref="R133" ca="1">SUM(IF($AA$15:$FT$15="P_Pos",AA133:FT133))</f>
        <v>0</v>
      </c>
      <c r="S133" s="367"/>
      <c r="T133" s="391"/>
      <c r="U133" s="375">
        <f t="shared" ca="1" si="4726"/>
        <v>-1.16892520947554E-2</v>
      </c>
      <c r="V133" s="391">
        <f t="array" aca="1" ref="V133" ca="1">SUM(IF($AA$15:$FT$15="O_Pos",AA133:FT133))</f>
        <v>0</v>
      </c>
      <c r="W133" s="367" t="str">
        <f t="shared" ca="1" si="5163"/>
        <v>CHF</v>
      </c>
      <c r="X133" s="392">
        <f t="shared" ca="1" si="5164"/>
        <v>47.77</v>
      </c>
      <c r="Y133" s="393">
        <f t="shared" ca="1" si="5087"/>
        <v>0</v>
      </c>
      <c r="Z133" s="378">
        <f t="shared" ref="Z133" ca="1" si="5624">_xlfn.NUMBERVALUE(OFFSET(Origine,MATCH(W133&amp;"/"&amp;MRif,LUKB_Name,0),MATCH("Price",Intestazioni,0)-1,1,1))</f>
        <v>1.0000001300000001</v>
      </c>
      <c r="AA133" s="214"/>
      <c r="AB133" s="312" t="str">
        <f t="shared" ca="1" si="5088"/>
        <v/>
      </c>
      <c r="AC133" s="215"/>
      <c r="AD133" s="199">
        <f t="shared" ca="1" si="5285"/>
        <v>0</v>
      </c>
      <c r="AE133" s="199">
        <f t="shared" ca="1" si="5286"/>
        <v>0</v>
      </c>
      <c r="AF133" s="216">
        <f t="shared" ca="1" si="5287"/>
        <v>0</v>
      </c>
      <c r="AG133" s="202">
        <f t="shared" ca="1" si="5288"/>
        <v>0</v>
      </c>
      <c r="AH133" s="203">
        <f t="shared" ca="1" si="5289"/>
        <v>0</v>
      </c>
      <c r="AI133" s="203">
        <f t="shared" ca="1" si="5290"/>
        <v>0</v>
      </c>
      <c r="AJ133" s="204">
        <f t="shared" ca="1" si="4738"/>
        <v>0</v>
      </c>
      <c r="AK133" s="205"/>
      <c r="AL133" s="206">
        <f t="shared" ca="1" si="5291"/>
        <v>0</v>
      </c>
      <c r="AM133" s="206">
        <f t="shared" ca="1" si="5292"/>
        <v>0</v>
      </c>
      <c r="AN133" s="207">
        <f t="shared" ca="1" si="5293"/>
        <v>0</v>
      </c>
      <c r="AO133" s="391">
        <f t="shared" si="5497"/>
        <v>0</v>
      </c>
      <c r="AP133" s="391">
        <f ca="1">AD133+IF($T134 ="",AL133,0)</f>
        <v>0</v>
      </c>
      <c r="AQ133" s="391">
        <f t="shared" ca="1" si="5296"/>
        <v>0</v>
      </c>
      <c r="AR133" s="394">
        <f t="shared" ca="1" si="5297"/>
        <v>0</v>
      </c>
      <c r="AS133" s="209" t="str">
        <f t="shared" ca="1" si="5098"/>
        <v/>
      </c>
      <c r="AT133" s="214"/>
      <c r="AU133" s="312" t="str">
        <f t="shared" ca="1" si="5099"/>
        <v/>
      </c>
      <c r="AV133" s="215"/>
      <c r="AW133" s="199">
        <f t="shared" ca="1" si="5298"/>
        <v>0</v>
      </c>
      <c r="AX133" s="199">
        <f t="shared" ca="1" si="5299"/>
        <v>0</v>
      </c>
      <c r="AY133" s="216">
        <f t="shared" ca="1" si="5300"/>
        <v>0</v>
      </c>
      <c r="AZ133" s="202">
        <f t="shared" ca="1" si="5301"/>
        <v>0</v>
      </c>
      <c r="BA133" s="203">
        <f t="shared" ca="1" si="5302"/>
        <v>0</v>
      </c>
      <c r="BB133" s="203">
        <f t="shared" ca="1" si="5303"/>
        <v>0</v>
      </c>
      <c r="BC133" s="204">
        <f t="shared" ca="1" si="4751"/>
        <v>0</v>
      </c>
      <c r="BD133" s="205"/>
      <c r="BE133" s="206">
        <f t="shared" ca="1" si="5304"/>
        <v>0</v>
      </c>
      <c r="BF133" s="206">
        <f t="shared" ca="1" si="5305"/>
        <v>0</v>
      </c>
      <c r="BG133" s="207">
        <f t="shared" ca="1" si="5306"/>
        <v>0</v>
      </c>
      <c r="BH133" s="391">
        <f t="shared" si="5498"/>
        <v>0</v>
      </c>
      <c r="BI133" s="391">
        <f ca="1">AW133+IF($T134 ="",BE133,0)</f>
        <v>0</v>
      </c>
      <c r="BJ133" s="391">
        <f t="shared" ca="1" si="5309"/>
        <v>0</v>
      </c>
      <c r="BK133" s="394">
        <f t="shared" ca="1" si="5310"/>
        <v>0</v>
      </c>
      <c r="BL133" s="211" t="str">
        <f t="shared" ca="1" si="5109"/>
        <v/>
      </c>
      <c r="BM133" s="214">
        <f>180+-90+-90</f>
        <v>0</v>
      </c>
      <c r="BN133" s="312" t="str">
        <f t="shared" ca="1" si="5110"/>
        <v/>
      </c>
      <c r="BO133" s="215"/>
      <c r="BP133" s="199">
        <f t="shared" ca="1" si="5311"/>
        <v>0</v>
      </c>
      <c r="BQ133" s="199">
        <f t="shared" ca="1" si="5312"/>
        <v>0</v>
      </c>
      <c r="BR133" s="216">
        <f t="shared" ca="1" si="5313"/>
        <v>0</v>
      </c>
      <c r="BS133" s="202">
        <f t="shared" ca="1" si="5314"/>
        <v>0</v>
      </c>
      <c r="BT133" s="203">
        <f t="shared" ca="1" si="5315"/>
        <v>0</v>
      </c>
      <c r="BU133" s="203">
        <f t="shared" ca="1" si="5316"/>
        <v>0</v>
      </c>
      <c r="BV133" s="204">
        <f t="shared" ca="1" si="4764"/>
        <v>0</v>
      </c>
      <c r="BW133" s="205"/>
      <c r="BX133" s="206">
        <f t="shared" ca="1" si="5317"/>
        <v>0</v>
      </c>
      <c r="BY133" s="206">
        <f t="shared" ca="1" si="5318"/>
        <v>0</v>
      </c>
      <c r="BZ133" s="207">
        <f t="shared" ca="1" si="5319"/>
        <v>0</v>
      </c>
      <c r="CA133" s="391">
        <f t="shared" si="5499"/>
        <v>0</v>
      </c>
      <c r="CB133" s="391">
        <f ca="1">BP133+IF($T134 ="",BX133,0)</f>
        <v>0</v>
      </c>
      <c r="CC133" s="391">
        <f t="shared" ca="1" si="5322"/>
        <v>0</v>
      </c>
      <c r="CD133" s="394">
        <f t="shared" ca="1" si="5323"/>
        <v>0</v>
      </c>
      <c r="CE133" s="212" t="str">
        <f t="shared" ca="1" si="5120"/>
        <v/>
      </c>
      <c r="CF133" s="214">
        <f>100+-100</f>
        <v>0</v>
      </c>
      <c r="CG133" s="312" t="str">
        <f t="shared" ca="1" si="5121"/>
        <v/>
      </c>
      <c r="CH133" s="215"/>
      <c r="CI133" s="199">
        <f t="shared" ca="1" si="5324"/>
        <v>0</v>
      </c>
      <c r="CJ133" s="199">
        <f t="shared" ca="1" si="5325"/>
        <v>0</v>
      </c>
      <c r="CK133" s="216">
        <f t="shared" ca="1" si="5326"/>
        <v>0</v>
      </c>
      <c r="CL133" s="202">
        <f t="shared" ca="1" si="5327"/>
        <v>0</v>
      </c>
      <c r="CM133" s="203">
        <f t="shared" ca="1" si="5328"/>
        <v>0</v>
      </c>
      <c r="CN133" s="203">
        <f t="shared" ca="1" si="5329"/>
        <v>0</v>
      </c>
      <c r="CO133" s="204">
        <f t="shared" ca="1" si="4777"/>
        <v>0</v>
      </c>
      <c r="CP133" s="205"/>
      <c r="CQ133" s="206">
        <f t="shared" ca="1" si="5330"/>
        <v>0</v>
      </c>
      <c r="CR133" s="206">
        <f t="shared" ca="1" si="5331"/>
        <v>0</v>
      </c>
      <c r="CS133" s="207">
        <f t="shared" ca="1" si="5332"/>
        <v>0</v>
      </c>
      <c r="CT133" s="391">
        <f t="shared" si="5500"/>
        <v>0</v>
      </c>
      <c r="CU133" s="391">
        <f ca="1">CI133+IF($T134 ="",CQ133,0)</f>
        <v>0</v>
      </c>
      <c r="CV133" s="391">
        <f t="shared" ca="1" si="5335"/>
        <v>0</v>
      </c>
      <c r="CW133" s="394">
        <f t="shared" ca="1" si="5336"/>
        <v>0</v>
      </c>
      <c r="CX133" s="211" t="str">
        <f t="shared" ca="1" si="5130"/>
        <v/>
      </c>
      <c r="CY133" s="197"/>
      <c r="CZ133" s="312" t="str">
        <f t="shared" ca="1" si="5131"/>
        <v/>
      </c>
      <c r="DA133" s="395"/>
      <c r="DB133" s="199">
        <f t="shared" ca="1" si="5132"/>
        <v>0</v>
      </c>
      <c r="DC133" s="199">
        <f t="shared" ca="1" si="5133"/>
        <v>0</v>
      </c>
      <c r="DD133" s="216">
        <f t="shared" ca="1" si="4717"/>
        <v>0</v>
      </c>
      <c r="DE133" s="202">
        <f t="shared" ca="1" si="5134"/>
        <v>0</v>
      </c>
      <c r="DF133" s="203">
        <f t="shared" ca="1" si="5135"/>
        <v>0</v>
      </c>
      <c r="DG133" s="203">
        <f t="shared" ca="1" si="5136"/>
        <v>0</v>
      </c>
      <c r="DH133" s="204">
        <f t="shared" ca="1" si="4791"/>
        <v>0</v>
      </c>
      <c r="DI133" s="205"/>
      <c r="DJ133" s="206">
        <f t="shared" ca="1" si="5137"/>
        <v>0</v>
      </c>
      <c r="DK133" s="206">
        <f t="shared" ca="1" si="5138"/>
        <v>0</v>
      </c>
      <c r="DL133" s="207">
        <f t="shared" ca="1" si="4718"/>
        <v>0</v>
      </c>
      <c r="DM133" s="391">
        <f t="shared" si="5501"/>
        <v>0</v>
      </c>
      <c r="DN133" s="391">
        <f ca="1">DB133+IF($T134 ="",DJ133,0)</f>
        <v>0</v>
      </c>
      <c r="DO133" s="391">
        <f t="shared" ca="1" si="5139"/>
        <v>0</v>
      </c>
      <c r="DP133" s="394">
        <f t="shared" ca="1" si="5339"/>
        <v>0</v>
      </c>
      <c r="DQ133" s="209" t="str">
        <f t="shared" ca="1" si="5140"/>
        <v/>
      </c>
      <c r="DR133" s="197"/>
      <c r="DS133" s="312" t="str">
        <f t="shared" ca="1" si="5340"/>
        <v/>
      </c>
      <c r="DT133" s="395"/>
      <c r="DU133" s="199">
        <f t="shared" ca="1" si="5341"/>
        <v>0</v>
      </c>
      <c r="DV133" s="199">
        <f t="shared" ca="1" si="5342"/>
        <v>0</v>
      </c>
      <c r="DW133" s="216">
        <f t="shared" ca="1" si="5343"/>
        <v>0</v>
      </c>
      <c r="DX133" s="202">
        <f t="shared" ca="1" si="5344"/>
        <v>0</v>
      </c>
      <c r="DY133" s="203">
        <f t="shared" ca="1" si="5345"/>
        <v>0</v>
      </c>
      <c r="DZ133" s="203">
        <f t="shared" ca="1" si="5346"/>
        <v>0</v>
      </c>
      <c r="EA133" s="204">
        <f t="shared" ca="1" si="4805"/>
        <v>0</v>
      </c>
      <c r="EB133" s="205"/>
      <c r="EC133" s="206">
        <f t="shared" ca="1" si="5347"/>
        <v>0</v>
      </c>
      <c r="ED133" s="206">
        <f t="shared" ca="1" si="5348"/>
        <v>0</v>
      </c>
      <c r="EE133" s="207">
        <f t="shared" ca="1" si="5349"/>
        <v>0</v>
      </c>
      <c r="EF133" s="391">
        <f t="shared" si="5350"/>
        <v>0</v>
      </c>
      <c r="EG133" s="391">
        <f ca="1">DU133+IF($T134 ="",EC133,0)</f>
        <v>0</v>
      </c>
      <c r="EH133" s="391">
        <f t="shared" ca="1" si="5352"/>
        <v>0</v>
      </c>
      <c r="EI133" s="394">
        <f t="shared" ca="1" si="5353"/>
        <v>0</v>
      </c>
      <c r="EJ133" s="214"/>
      <c r="EK133" s="312" t="str">
        <f t="shared" ca="1" si="5141"/>
        <v/>
      </c>
      <c r="EL133" s="222"/>
      <c r="EM133" s="199">
        <f t="shared" ca="1" si="5354"/>
        <v>0</v>
      </c>
      <c r="EN133" s="199">
        <f t="shared" ca="1" si="5355"/>
        <v>0</v>
      </c>
      <c r="EO133" s="216">
        <f t="shared" ca="1" si="5356"/>
        <v>0</v>
      </c>
      <c r="EP133" s="202">
        <f t="shared" ca="1" si="5357"/>
        <v>0</v>
      </c>
      <c r="EQ133" s="203">
        <f t="shared" ca="1" si="5358"/>
        <v>0</v>
      </c>
      <c r="ER133" s="203">
        <f t="shared" ca="1" si="5359"/>
        <v>0</v>
      </c>
      <c r="ES133" s="204">
        <f t="shared" ca="1" si="4818"/>
        <v>0</v>
      </c>
      <c r="ET133" s="205"/>
      <c r="EU133" s="206">
        <f t="shared" ca="1" si="5360"/>
        <v>0</v>
      </c>
      <c r="EV133" s="206">
        <f t="shared" ca="1" si="5361"/>
        <v>0</v>
      </c>
      <c r="EW133" s="207">
        <f t="shared" ca="1" si="5362"/>
        <v>0</v>
      </c>
      <c r="EX133" s="391">
        <f t="shared" si="5502"/>
        <v>0</v>
      </c>
      <c r="EY133" s="391">
        <f ca="1">EM133+IF($T134 ="",EU133,0)</f>
        <v>0</v>
      </c>
      <c r="EZ133" s="391">
        <f t="shared" ca="1" si="5365"/>
        <v>0</v>
      </c>
      <c r="FA133" s="394">
        <f t="shared" ca="1" si="5366"/>
        <v>0</v>
      </c>
      <c r="FB133" s="212" t="str">
        <f t="shared" ca="1" si="5151"/>
        <v/>
      </c>
      <c r="FC133" s="214"/>
      <c r="FD133" s="312" t="str">
        <f t="shared" ca="1" si="5152"/>
        <v/>
      </c>
      <c r="FE133" s="215"/>
      <c r="FF133" s="199">
        <f t="shared" ca="1" si="5368"/>
        <v>0</v>
      </c>
      <c r="FG133" s="199">
        <f t="shared" ca="1" si="5369"/>
        <v>0</v>
      </c>
      <c r="FH133" s="216">
        <f t="shared" ca="1" si="5370"/>
        <v>0</v>
      </c>
      <c r="FI133" s="202">
        <f t="shared" ca="1" si="5371"/>
        <v>0</v>
      </c>
      <c r="FJ133" s="203">
        <f t="shared" ca="1" si="5372"/>
        <v>0</v>
      </c>
      <c r="FK133" s="203">
        <f t="shared" ca="1" si="5373"/>
        <v>0</v>
      </c>
      <c r="FL133" s="204">
        <f t="shared" ca="1" si="4831"/>
        <v>0</v>
      </c>
      <c r="FM133" s="205"/>
      <c r="FN133" s="206">
        <f t="shared" ca="1" si="5374"/>
        <v>0</v>
      </c>
      <c r="FO133" s="206">
        <f t="shared" ca="1" si="5375"/>
        <v>0</v>
      </c>
      <c r="FP133" s="207">
        <f t="shared" ca="1" si="5376"/>
        <v>0</v>
      </c>
      <c r="FQ133" s="391">
        <f t="shared" si="5503"/>
        <v>0</v>
      </c>
      <c r="FR133" s="391">
        <f ca="1">FF133+IF($T134 ="",FN133,0)</f>
        <v>0</v>
      </c>
      <c r="FS133" s="391">
        <f t="shared" ca="1" si="5379"/>
        <v>0</v>
      </c>
      <c r="FT133" s="394">
        <f t="shared" ca="1" si="5380"/>
        <v>0</v>
      </c>
      <c r="FU133" s="209" t="str">
        <f t="shared" ref="FU133" ca="1" si="5625">IF(SUM(FH133,FP133,FT133)&lt;&gt;0,"V","")</f>
        <v/>
      </c>
    </row>
    <row r="134" spans="1:177" outlineLevel="2" x14ac:dyDescent="0.2">
      <c r="A134" s="366"/>
      <c r="B134" s="366"/>
      <c r="C134" s="367" t="str">
        <f t="shared" ca="1" si="4721"/>
        <v>IE0002GFATQ6:CHF:P</v>
      </c>
      <c r="D134" s="368" t="str">
        <f t="shared" ca="1" si="4722"/>
        <v>IE0002GFATQ6</v>
      </c>
      <c r="E134" s="369" t="str">
        <f t="shared" ca="1" si="4722"/>
        <v>134865972</v>
      </c>
      <c r="F134" s="367" t="s">
        <v>4300</v>
      </c>
      <c r="G134" s="414"/>
      <c r="H134" s="1713" t="str">
        <f t="shared" ca="1" si="4723"/>
        <v></v>
      </c>
      <c r="I134" s="1683" t="str">
        <f t="shared" ca="1" si="4659"/>
        <v/>
      </c>
      <c r="J134" s="1713" t="str">
        <f t="shared" ca="1" si="4660"/>
        <v/>
      </c>
      <c r="K134" s="1716" t="str">
        <f t="shared" ca="1" si="4660"/>
        <v/>
      </c>
      <c r="L134" s="1717" t="str">
        <f t="shared" ca="1" si="4724"/>
        <v/>
      </c>
      <c r="M134" s="366" t="str">
        <f t="shared" ca="1" si="4725"/>
        <v>Unit</v>
      </c>
      <c r="N134" s="417">
        <v>0.03</v>
      </c>
      <c r="O134" s="417"/>
      <c r="P134" s="428">
        <f t="shared" ca="1" si="4637"/>
        <v>2.9259476671814097E-2</v>
      </c>
      <c r="Q134" s="391">
        <f t="array" aca="1" ref="Q134" ca="1">SUM(IF($AA$15:$FT$15="I_pos",AA134:FT134))</f>
        <v>24820</v>
      </c>
      <c r="R134" s="391">
        <f t="array" aca="1" ref="R134" ca="1">SUM(IF($AA$15:$FT$15="P_Pos",AA134:FT134))</f>
        <v>17629.421671647269</v>
      </c>
      <c r="S134" s="367"/>
      <c r="T134" s="391"/>
      <c r="U134" s="375">
        <f t="shared" ca="1" si="4726"/>
        <v>-2.5217207035388798E-2</v>
      </c>
      <c r="V134" s="391">
        <f t="array" aca="1" ref="V134" ca="1">SUM(IF($AA$15:$FT$15="O_Pos",AA134:FT134))</f>
        <v>0</v>
      </c>
      <c r="W134" s="367" t="str">
        <f t="shared" ca="1" si="5163"/>
        <v>CHF</v>
      </c>
      <c r="X134" s="392">
        <f t="shared" ca="1" si="5164"/>
        <v>9.1999999999999993</v>
      </c>
      <c r="Y134" s="393">
        <f t="shared" ca="1" si="5087"/>
        <v>0</v>
      </c>
      <c r="Z134" s="378">
        <f t="shared" ca="1" si="4730"/>
        <v>1.0000001300000001</v>
      </c>
      <c r="AA134" s="214">
        <f>1800</f>
        <v>1800</v>
      </c>
      <c r="AB134" s="312">
        <f t="shared" ref="AB134" ca="1" si="5626">IFERROR($X134/AC134-1,"")</f>
        <v>-2.2327074101231692E-2</v>
      </c>
      <c r="AC134" s="215">
        <v>9.4100999999999999</v>
      </c>
      <c r="AD134" s="199">
        <f t="shared" ref="AD134" ca="1" si="5627">AA134*$X134</f>
        <v>16560</v>
      </c>
      <c r="AE134" s="199">
        <f t="shared" ref="AE134" ca="1" si="5628">AD134*$Z134</f>
        <v>16560.002152800003</v>
      </c>
      <c r="AF134" s="216">
        <f t="shared" ref="AF134" ca="1" si="5629">IFERROR(AE134/AA$4,0)</f>
        <v>2.9492644085487848E-2</v>
      </c>
      <c r="AG134" s="202">
        <f t="shared" ref="AG134" ca="1" si="5630">AH134/$X134</f>
        <v>30.965031262532388</v>
      </c>
      <c r="AH134" s="203">
        <f t="shared" ref="AH134" ca="1" si="5631">AI134/$Z134</f>
        <v>284.87828761529795</v>
      </c>
      <c r="AI134" s="203">
        <f t="shared" ref="AI134" ca="1" si="5632">AJ134*AA$4</f>
        <v>284.87832464947536</v>
      </c>
      <c r="AJ134" s="204">
        <f t="shared" ca="1" si="4738"/>
        <v>5.0735591451215103E-4</v>
      </c>
      <c r="AK134" s="205"/>
      <c r="AL134" s="206">
        <f t="shared" ref="AL134" ca="1" si="5633">AK134*$X134</f>
        <v>0</v>
      </c>
      <c r="AM134" s="206">
        <f t="shared" ref="AM134" ca="1" si="5634">AL134*$Z134</f>
        <v>0</v>
      </c>
      <c r="AN134" s="207">
        <f t="shared" ref="AN134" ca="1" si="5635">IFERROR(AM134/AA$4,0)</f>
        <v>0</v>
      </c>
      <c r="AO134" s="391">
        <f t="shared" ref="AO134" si="5636">AA134+AK134</f>
        <v>1800</v>
      </c>
      <c r="AP134" s="391">
        <f ca="1">AD134+IF($T135 ="",AL134,0)</f>
        <v>16560</v>
      </c>
      <c r="AQ134" s="391">
        <f t="shared" ref="AQ134" ca="1" si="5637">AP134*$Z134</f>
        <v>16560.002152800003</v>
      </c>
      <c r="AR134" s="394">
        <f t="shared" ref="AR134" ca="1" si="5638">IFERROR(AQ134/AA$4,0)</f>
        <v>2.9492644085487848E-2</v>
      </c>
      <c r="AS134" s="209" t="str">
        <f t="shared" ref="AS134" ca="1" si="5639">IF(SUM(AF134,AN134,AR134)&lt;&gt;0,"V","")</f>
        <v>V</v>
      </c>
      <c r="AT134" s="214">
        <f>5500</f>
        <v>5500</v>
      </c>
      <c r="AU134" s="312">
        <f t="shared" ref="AU134" ca="1" si="5640">IFERROR($X134/AV134-1,"")</f>
        <v>-2.2327074101231692E-2</v>
      </c>
      <c r="AV134" s="215">
        <v>9.4100999999999999</v>
      </c>
      <c r="AW134" s="199">
        <f t="shared" ref="AW134" ca="1" si="5641">AT134*$X134</f>
        <v>50599.999999999993</v>
      </c>
      <c r="AX134" s="199">
        <f t="shared" ref="AX134" ca="1" si="5642">AW134*$Z134</f>
        <v>50600.006578</v>
      </c>
      <c r="AY134" s="216">
        <f t="shared" ref="AY134" ca="1" si="5643">IFERROR(AX134/AT$4,0)</f>
        <v>2.9217449193014503E-2</v>
      </c>
      <c r="AZ134" s="202">
        <f t="shared" ref="AZ134" ca="1" si="5644">BA134/$X134</f>
        <v>147.3102395074674</v>
      </c>
      <c r="BA134" s="203">
        <f t="shared" ref="BA134" ca="1" si="5645">BB134/$Z134</f>
        <v>1355.2542034687001</v>
      </c>
      <c r="BB134" s="203">
        <f t="shared" ref="BB134" ca="1" si="5646">BC134*AT$4</f>
        <v>1355.2543796517466</v>
      </c>
      <c r="BC134" s="204">
        <f t="shared" ca="1" si="4751"/>
        <v>7.825508069854957E-4</v>
      </c>
      <c r="BD134" s="205"/>
      <c r="BE134" s="206">
        <f t="shared" ref="BE134" ca="1" si="5647">BD134*$X134</f>
        <v>0</v>
      </c>
      <c r="BF134" s="206">
        <f t="shared" ref="BF134" ca="1" si="5648">BE134*$Z134</f>
        <v>0</v>
      </c>
      <c r="BG134" s="207">
        <f t="shared" ref="BG134" ca="1" si="5649">IFERROR(BF134/AT$4,0)</f>
        <v>0</v>
      </c>
      <c r="BH134" s="391">
        <f t="shared" ref="BH134" si="5650">AT134+BD134</f>
        <v>5500</v>
      </c>
      <c r="BI134" s="391">
        <f ca="1">AW134+IF($T135 ="",BE134,0)</f>
        <v>50599.999999999993</v>
      </c>
      <c r="BJ134" s="391">
        <f t="shared" ref="BJ134" ca="1" si="5651">BI134*$Z134</f>
        <v>50600.006578</v>
      </c>
      <c r="BK134" s="394">
        <f t="shared" ref="BK134" ca="1" si="5652">IFERROR(BJ134/AT$4,0)</f>
        <v>2.9217449193014503E-2</v>
      </c>
      <c r="BL134" s="211" t="str">
        <f t="shared" ref="BL134" ca="1" si="5653">IF(SUM(AY134,BG134,BK134)&lt;&gt;0,"V","")</f>
        <v>V</v>
      </c>
      <c r="BM134" s="214">
        <f>900</f>
        <v>900</v>
      </c>
      <c r="BN134" s="312">
        <f t="shared" ref="BN134" ca="1" si="5654">IFERROR($X134/BO134-1,"")</f>
        <v>-2.2327074101231692E-2</v>
      </c>
      <c r="BO134" s="215">
        <v>9.4100999999999999</v>
      </c>
      <c r="BP134" s="199">
        <f t="shared" ref="BP134" ca="1" si="5655">BM134*$X134</f>
        <v>8280</v>
      </c>
      <c r="BQ134" s="199">
        <f t="shared" ref="BQ134" ca="1" si="5656">BP134*$Z134</f>
        <v>8280.0010764000017</v>
      </c>
      <c r="BR134" s="216">
        <f t="shared" ref="BR134" ca="1" si="5657">IFERROR(BQ134/BM$4,0)</f>
        <v>2.9055465155015909E-2</v>
      </c>
      <c r="BS134" s="202">
        <f t="shared" ref="BS134" ca="1" si="5658">BT134/$X134</f>
        <v>29.257193300824845</v>
      </c>
      <c r="BT134" s="203">
        <f t="shared" ref="BT134" ca="1" si="5659">BU134/$Z134</f>
        <v>269.16617836758854</v>
      </c>
      <c r="BU134" s="203">
        <f t="shared" ref="BU134" ca="1" si="5660">BV134*BM$4</f>
        <v>269.16621335919177</v>
      </c>
      <c r="BV134" s="204">
        <f t="shared" ca="1" si="4764"/>
        <v>9.4453484498408999E-4</v>
      </c>
      <c r="BW134" s="205"/>
      <c r="BX134" s="206">
        <f t="shared" ref="BX134" ca="1" si="5661">BW134*$X134</f>
        <v>0</v>
      </c>
      <c r="BY134" s="206">
        <f t="shared" ref="BY134" ca="1" si="5662">BX134*$Z134</f>
        <v>0</v>
      </c>
      <c r="BZ134" s="207">
        <f t="shared" ref="BZ134" ca="1" si="5663">IFERROR(BY134/BM$4,0)</f>
        <v>0</v>
      </c>
      <c r="CA134" s="391">
        <f t="shared" ref="CA134" si="5664">BM134+BW134</f>
        <v>900</v>
      </c>
      <c r="CB134" s="391">
        <f ca="1">BP134+IF($T135 ="",BX134,0)</f>
        <v>8280</v>
      </c>
      <c r="CC134" s="391">
        <f t="shared" ref="CC134" ca="1" si="5665">CB134*$Z134</f>
        <v>8280.0010764000017</v>
      </c>
      <c r="CD134" s="394">
        <f t="shared" ref="CD134" ca="1" si="5666">IFERROR(CC134/BM$4,0)</f>
        <v>2.9055465155015909E-2</v>
      </c>
      <c r="CE134" s="212" t="str">
        <f t="shared" ref="CE134" ca="1" si="5667">IF(SUM(BR134,BZ134,CD134)&lt;&gt;0,"V","")</f>
        <v>V</v>
      </c>
      <c r="CF134" s="214">
        <f>2800</f>
        <v>2800</v>
      </c>
      <c r="CG134" s="312">
        <f t="shared" ref="CG134" ca="1" si="5668">IFERROR($X134/CH134-1,"")</f>
        <v>-2.2327074101231692E-2</v>
      </c>
      <c r="CH134" s="215">
        <v>9.4100999999999999</v>
      </c>
      <c r="CI134" s="199">
        <f t="shared" ref="CI134" ca="1" si="5669">CF134*$X134</f>
        <v>25759.999999999996</v>
      </c>
      <c r="CJ134" s="199">
        <f t="shared" ref="CJ134" ca="1" si="5670">CI134*$Z134</f>
        <v>25760.003348799997</v>
      </c>
      <c r="CK134" s="216">
        <f t="shared" ref="CK134" ca="1" si="5671">IFERROR(CJ134/CF$4,0)</f>
        <v>2.910867816442736E-2</v>
      </c>
      <c r="CL134" s="202">
        <f t="shared" ref="CL134" ca="1" si="5672">CM134/$X134</f>
        <v>85.737357275580251</v>
      </c>
      <c r="CM134" s="203">
        <f t="shared" ref="CM134" ca="1" si="5673">CN134/$Z134</f>
        <v>788.78368693533821</v>
      </c>
      <c r="CN134" s="203">
        <f t="shared" ref="CN134" ca="1" si="5674">CO134*CF$4</f>
        <v>788.78378947721762</v>
      </c>
      <c r="CO134" s="204">
        <f t="shared" ca="1" si="4777"/>
        <v>8.9132183557263933E-4</v>
      </c>
      <c r="CP134" s="205"/>
      <c r="CQ134" s="206">
        <f t="shared" ref="CQ134" ca="1" si="5675">CP134*$X134</f>
        <v>0</v>
      </c>
      <c r="CR134" s="206">
        <f t="shared" ref="CR134" ca="1" si="5676">CQ134*$Z134</f>
        <v>0</v>
      </c>
      <c r="CS134" s="207">
        <f t="shared" ref="CS134" ca="1" si="5677">IFERROR(CR134/CF$4,0)</f>
        <v>0</v>
      </c>
      <c r="CT134" s="391">
        <f t="shared" ref="CT134" si="5678">CF134+CP134</f>
        <v>2800</v>
      </c>
      <c r="CU134" s="391">
        <f ca="1">CI134+IF($T135 ="",CQ134,0)</f>
        <v>25759.999999999996</v>
      </c>
      <c r="CV134" s="391">
        <f t="shared" ref="CV134" ca="1" si="5679">CU134*$Z134</f>
        <v>25760.003348799997</v>
      </c>
      <c r="CW134" s="394">
        <f t="shared" ref="CW134" ca="1" si="5680">IFERROR(CV134/CF$4,0)</f>
        <v>2.910867816442736E-2</v>
      </c>
      <c r="CX134" s="211" t="str">
        <f t="shared" ref="CX134" ca="1" si="5681">IF(SUM(CK134,CS134,CW134)&lt;&gt;0,"V","")</f>
        <v>V</v>
      </c>
      <c r="CY134" s="197">
        <f>7700+3800</f>
        <v>11500</v>
      </c>
      <c r="CZ134" s="312">
        <f t="shared" ref="CZ134" ca="1" si="5682">IFERROR($X134/DA134-1,"")</f>
        <v>-1.167290894555606E-2</v>
      </c>
      <c r="DA134" s="395">
        <v>9.3086591304347834</v>
      </c>
      <c r="DB134" s="199">
        <f t="shared" ref="DB134" ca="1" si="5683">CY134*$X134</f>
        <v>105799.99999999999</v>
      </c>
      <c r="DC134" s="199">
        <f t="shared" ref="DC134" ca="1" si="5684">DB134*$Z134</f>
        <v>105800.013754</v>
      </c>
      <c r="DD134" s="216">
        <f t="shared" ref="DD134" ca="1" si="5685">IFERROR(DC134/CY$4,0)</f>
        <v>2.9508409074478732E-2</v>
      </c>
      <c r="DE134" s="202">
        <f t="shared" ref="DE134" ca="1" si="5686">DF134/$X134</f>
        <v>191.58252921144444</v>
      </c>
      <c r="DF134" s="203">
        <f t="shared" ref="DF134" ca="1" si="5687">DG134/$Z134</f>
        <v>1762.5592687452888</v>
      </c>
      <c r="DG134" s="203">
        <f t="shared" ref="DG134" ca="1" si="5688">DH134*CY$4</f>
        <v>1762.5594978779939</v>
      </c>
      <c r="DH134" s="204">
        <f t="shared" ca="1" si="4791"/>
        <v>4.9159092552126735E-4</v>
      </c>
      <c r="DI134" s="205"/>
      <c r="DJ134" s="206">
        <f t="shared" ref="DJ134" ca="1" si="5689">DI134*$X134</f>
        <v>0</v>
      </c>
      <c r="DK134" s="206">
        <f t="shared" ref="DK134" ca="1" si="5690">DJ134*$Z134</f>
        <v>0</v>
      </c>
      <c r="DL134" s="207">
        <f t="shared" ref="DL134" ca="1" si="5691">IFERROR(DK134/CY$4,0)</f>
        <v>0</v>
      </c>
      <c r="DM134" s="391">
        <f t="shared" ref="DM134" si="5692">CY134+DI134</f>
        <v>11500</v>
      </c>
      <c r="DN134" s="391">
        <f ca="1">DB134+IF($T135 ="",DJ134,0)</f>
        <v>105799.99999999999</v>
      </c>
      <c r="DO134" s="391">
        <f t="shared" ref="DO134" ca="1" si="5693">DN134*$Z134</f>
        <v>105800.013754</v>
      </c>
      <c r="DP134" s="394">
        <f t="shared" ref="DP134" ca="1" si="5694">IFERROR(DO134/CY$4,0)</f>
        <v>2.9508409074478732E-2</v>
      </c>
      <c r="DQ134" s="209" t="str">
        <f t="shared" ref="DQ134" ca="1" si="5695">IF(SUM(DD134,DL134,DP134)&lt;&gt;0,"V","")</f>
        <v>V</v>
      </c>
      <c r="DR134" s="197">
        <f>1570+750</f>
        <v>2320</v>
      </c>
      <c r="DS134" s="312">
        <f t="shared" ref="DS134" ca="1" si="5696">IFERROR($X134/DT134-1,"")</f>
        <v>-1.115860994585216E-2</v>
      </c>
      <c r="DT134" s="395">
        <v>9.3038176724137909</v>
      </c>
      <c r="DU134" s="199">
        <f t="shared" ref="DU134" ca="1" si="5697">DR134*$X134</f>
        <v>21344</v>
      </c>
      <c r="DV134" s="199">
        <f t="shared" ref="DV134" ca="1" si="5698">DU134*$Z134</f>
        <v>21344.002774720004</v>
      </c>
      <c r="DW134" s="216">
        <f t="shared" ref="DW134" ca="1" si="5699">IFERROR(DV134/DR$4,0)</f>
        <v>3.0414968459316655E-2</v>
      </c>
      <c r="DX134" s="202">
        <f t="shared" ref="DX134" ca="1" si="5700">DY134/$X134</f>
        <v>-31.653060133940105</v>
      </c>
      <c r="DY134" s="203">
        <f t="shared" ref="DY134" ca="1" si="5701">DZ134/$Z134</f>
        <v>-291.20815323224895</v>
      </c>
      <c r="DZ134" s="203">
        <f t="shared" ref="DZ134" ca="1" si="5702">EA134*DR$4</f>
        <v>-291.20819108930891</v>
      </c>
      <c r="EA134" s="204">
        <f t="shared" ca="1" si="4805"/>
        <v>-4.1496845931665582E-4</v>
      </c>
      <c r="EB134" s="205"/>
      <c r="EC134" s="206">
        <f t="shared" ref="EC134" ca="1" si="5703">EB134*$X134</f>
        <v>0</v>
      </c>
      <c r="ED134" s="206">
        <f t="shared" ref="ED134" ca="1" si="5704">EC134*$Z134</f>
        <v>0</v>
      </c>
      <c r="EE134" s="207">
        <f t="shared" ref="EE134" ca="1" si="5705">IFERROR(ED134/DR$4,0)</f>
        <v>0</v>
      </c>
      <c r="EF134" s="391">
        <f t="shared" ref="EF134" si="5706">DR134+EB134</f>
        <v>2320</v>
      </c>
      <c r="EG134" s="391">
        <f ca="1">DU134+IF($T135 ="",EC134,0)</f>
        <v>21344</v>
      </c>
      <c r="EH134" s="391">
        <f t="shared" ref="EH134" ca="1" si="5707">EG134*$Z134</f>
        <v>21344.002774720004</v>
      </c>
      <c r="EI134" s="394">
        <f t="shared" ref="EI134" ca="1" si="5708">IFERROR(EH134/DR$4,0)</f>
        <v>3.0414968459316655E-2</v>
      </c>
      <c r="EJ134" s="214"/>
      <c r="EK134" s="312" t="str">
        <f t="shared" ref="EK134" ca="1" si="5709">IFERROR($X134/EL134-1,"")</f>
        <v/>
      </c>
      <c r="EL134" s="222"/>
      <c r="EM134" s="199">
        <f t="shared" ref="EM134" ca="1" si="5710">EJ134*$X134</f>
        <v>0</v>
      </c>
      <c r="EN134" s="199">
        <f t="shared" ref="EN134" ca="1" si="5711">EM134*$Z134</f>
        <v>0</v>
      </c>
      <c r="EO134" s="216">
        <f t="shared" ref="EO134" ca="1" si="5712">IFERROR(EN134/EJ$4,0)</f>
        <v>0</v>
      </c>
      <c r="EP134" s="202">
        <f t="shared" ref="EP134" ca="1" si="5713">EQ134/$X134</f>
        <v>2314.3960318878594</v>
      </c>
      <c r="EQ134" s="203">
        <f t="shared" ref="EQ134" ca="1" si="5714">ER134/$Z134</f>
        <v>21292.443493368304</v>
      </c>
      <c r="ER134" s="203">
        <f t="shared" ref="ER134" ca="1" si="5715">ES134*EJ$4</f>
        <v>21292.446261385961</v>
      </c>
      <c r="ES134" s="204">
        <f t="shared" ca="1" si="4818"/>
        <v>0.03</v>
      </c>
      <c r="ET134" s="205"/>
      <c r="EU134" s="206">
        <f t="shared" ref="EU134" ca="1" si="5716">ET134*$X134</f>
        <v>0</v>
      </c>
      <c r="EV134" s="206">
        <f t="shared" ref="EV134" ca="1" si="5717">EU134*$Z134</f>
        <v>0</v>
      </c>
      <c r="EW134" s="207">
        <f t="shared" ref="EW134" ca="1" si="5718">IFERROR(EV134/EJ$4,0)</f>
        <v>0</v>
      </c>
      <c r="EX134" s="391">
        <f t="shared" ref="EX134" si="5719">EJ134+ET134</f>
        <v>0</v>
      </c>
      <c r="EY134" s="391">
        <f ca="1">EM134+IF($T135 ="",EU134,0)</f>
        <v>0</v>
      </c>
      <c r="EZ134" s="391">
        <f t="shared" ref="EZ134" ca="1" si="5720">EY134*$Z134</f>
        <v>0</v>
      </c>
      <c r="FA134" s="394">
        <f t="shared" ref="FA134" ca="1" si="5721">IFERROR(EZ134/EJ$4,0)</f>
        <v>0</v>
      </c>
      <c r="FB134" s="212" t="str">
        <f t="shared" ref="FB134" ca="1" si="5722">IF(SUM(EO134,EW134,FA134)&lt;&gt;0,"V","")</f>
        <v/>
      </c>
      <c r="FC134" s="214"/>
      <c r="FD134" s="312" t="str">
        <f t="shared" ref="FD134" ca="1" si="5723">IFERROR($X134/FE134-1,"")</f>
        <v/>
      </c>
      <c r="FE134" s="215"/>
      <c r="FF134" s="199">
        <f t="shared" ref="FF134" ca="1" si="5724">FC134*$X134</f>
        <v>0</v>
      </c>
      <c r="FG134" s="199">
        <f t="shared" ref="FG134" ca="1" si="5725">FF134*$Z134</f>
        <v>0</v>
      </c>
      <c r="FH134" s="216">
        <f t="shared" ref="FH134" ca="1" si="5726">IFERROR(FG134/FC$4,0)</f>
        <v>0</v>
      </c>
      <c r="FI134" s="202">
        <f t="shared" ref="FI134" ca="1" si="5727">FJ134/$X134</f>
        <v>14861.826349335501</v>
      </c>
      <c r="FJ134" s="203">
        <f t="shared" ref="FJ134" ca="1" si="5728">FK134/$Z134</f>
        <v>136728.80241388659</v>
      </c>
      <c r="FK134" s="203">
        <f t="shared" ref="FK134" ca="1" si="5729">FL134*FC$4</f>
        <v>136728.82018863093</v>
      </c>
      <c r="FL134" s="204">
        <f t="shared" ca="1" si="4831"/>
        <v>0.03</v>
      </c>
      <c r="FM134" s="205"/>
      <c r="FN134" s="206">
        <f t="shared" ref="FN134" ca="1" si="5730">FM134*$X134</f>
        <v>0</v>
      </c>
      <c r="FO134" s="206">
        <f t="shared" ref="FO134" ca="1" si="5731">FN134*$Z134</f>
        <v>0</v>
      </c>
      <c r="FP134" s="207">
        <f t="shared" ref="FP134" ca="1" si="5732">IFERROR(FO134/FC$4,0)</f>
        <v>0</v>
      </c>
      <c r="FQ134" s="391">
        <f t="shared" ref="FQ134" si="5733">FC134+FM134</f>
        <v>0</v>
      </c>
      <c r="FR134" s="391">
        <f ca="1">FF134+IF($T135 ="",FN134,0)</f>
        <v>0</v>
      </c>
      <c r="FS134" s="391">
        <f t="shared" ref="FS134" ca="1" si="5734">FR134*$Z134</f>
        <v>0</v>
      </c>
      <c r="FT134" s="394">
        <f t="shared" ref="FT134" ca="1" si="5735">IFERROR(FS134/FC$4,0)</f>
        <v>0</v>
      </c>
      <c r="FU134" s="209" t="str">
        <f t="shared" ca="1" si="5162"/>
        <v/>
      </c>
    </row>
    <row r="135" spans="1:177" outlineLevel="1" x14ac:dyDescent="0.2">
      <c r="A135" s="345"/>
      <c r="B135" s="345" t="s">
        <v>463</v>
      </c>
      <c r="C135" s="346"/>
      <c r="D135" s="347"/>
      <c r="E135" s="348"/>
      <c r="F135" s="346"/>
      <c r="G135" s="349"/>
      <c r="H135" s="1682"/>
      <c r="I135" s="1682"/>
      <c r="J135" s="1712"/>
      <c r="K135" s="1682"/>
      <c r="L135" s="1682"/>
      <c r="M135" s="345"/>
      <c r="N135" s="350">
        <f>SUM(N$136:N$140)</f>
        <v>0.06</v>
      </c>
      <c r="O135" s="350">
        <f>SUM(O$136:O$140)</f>
        <v>0.03</v>
      </c>
      <c r="P135" s="351">
        <f t="shared" ca="1" si="4637"/>
        <v>4.3803195244288509E-2</v>
      </c>
      <c r="Q135" s="421"/>
      <c r="R135" s="421"/>
      <c r="S135" s="346"/>
      <c r="T135" s="421"/>
      <c r="U135" s="353"/>
      <c r="V135" s="422"/>
      <c r="W135" s="346"/>
      <c r="X135" s="355"/>
      <c r="Y135" s="355"/>
      <c r="Z135" s="356"/>
      <c r="AA135" s="357"/>
      <c r="AB135" s="358"/>
      <c r="AC135" s="358"/>
      <c r="AD135" s="359"/>
      <c r="AE135" s="360">
        <f ca="1">SUM(AE$136:AE$140)</f>
        <v>26687.820604824999</v>
      </c>
      <c r="AF135" s="361">
        <f t="shared" ca="1" si="4640"/>
        <v>4.7529848562390981E-2</v>
      </c>
      <c r="AG135" s="362"/>
      <c r="AH135" s="359"/>
      <c r="AI135" s="360">
        <f ca="1">SUM(AI$136:AI$140)</f>
        <v>7001.9403500739572</v>
      </c>
      <c r="AJ135" s="363">
        <f ca="1">IFERROR(AI135/AA$4,0)</f>
        <v>1.2470151437609019E-2</v>
      </c>
      <c r="AK135" s="362"/>
      <c r="AL135" s="359"/>
      <c r="AM135" s="360">
        <f ca="1">SUM(AM$136:AM$140)</f>
        <v>8285.3182125000003</v>
      </c>
      <c r="AN135" s="363">
        <f t="shared" ca="1" si="4641"/>
        <v>1.4755791631038925E-2</v>
      </c>
      <c r="AO135" s="359"/>
      <c r="AP135" s="359"/>
      <c r="AQ135" s="360">
        <f ca="1">SUM(AQ$136:AQ$140)</f>
        <v>26687.820604824999</v>
      </c>
      <c r="AR135" s="361">
        <f t="shared" ca="1" si="5097"/>
        <v>4.7529848562390981E-2</v>
      </c>
      <c r="AS135" s="364" t="str">
        <f t="shared" ca="1" si="5098"/>
        <v>V</v>
      </c>
      <c r="AT135" s="357"/>
      <c r="AU135" s="358"/>
      <c r="AV135" s="358"/>
      <c r="AW135" s="359"/>
      <c r="AX135" s="360">
        <f ca="1">SUM(AX$136:AX$140)</f>
        <v>75945.007125000004</v>
      </c>
      <c r="AY135" s="361">
        <f t="shared" ca="1" si="4643"/>
        <v>4.3852156100362236E-2</v>
      </c>
      <c r="AZ135" s="362"/>
      <c r="BA135" s="359"/>
      <c r="BB135" s="360">
        <f ca="1">SUM(BB$136:BB$140)</f>
        <v>27965.514790303496</v>
      </c>
      <c r="BC135" s="363">
        <f ca="1">IFERROR(BB135/AT$4,0)</f>
        <v>1.6147843899637762E-2</v>
      </c>
      <c r="BD135" s="362"/>
      <c r="BE135" s="359"/>
      <c r="BF135" s="360">
        <f ca="1">SUM(BF$136:BF$140)</f>
        <v>12888.272775000001</v>
      </c>
      <c r="BG135" s="363">
        <f t="shared" ca="1" si="4644"/>
        <v>7.4419447833233556E-3</v>
      </c>
      <c r="BH135" s="359"/>
      <c r="BI135" s="359"/>
      <c r="BJ135" s="360">
        <f ca="1">SUM(BJ$136:BJ$140)</f>
        <v>75945.007125000004</v>
      </c>
      <c r="BK135" s="361">
        <f t="shared" ca="1" si="5108"/>
        <v>4.3852156100362236E-2</v>
      </c>
      <c r="BL135" s="295" t="str">
        <f t="shared" ca="1" si="5109"/>
        <v>V</v>
      </c>
      <c r="BM135" s="357"/>
      <c r="BN135" s="358"/>
      <c r="BO135" s="358"/>
      <c r="BP135" s="359"/>
      <c r="BQ135" s="360">
        <f ca="1">SUM(BQ$136:BQ$140)</f>
        <v>10305.401339702001</v>
      </c>
      <c r="BR135" s="361">
        <f t="shared" ca="1" si="4646"/>
        <v>3.6162824952717498E-2</v>
      </c>
      <c r="BS135" s="362"/>
      <c r="BT135" s="359"/>
      <c r="BU135" s="360">
        <f ca="1">SUM(BU$136:BU$140)</f>
        <v>6792.933239816386</v>
      </c>
      <c r="BV135" s="363">
        <f ca="1">IFERROR(BU135/BM$4,0)</f>
        <v>2.3837175047282496E-2</v>
      </c>
      <c r="BW135" s="362"/>
      <c r="BX135" s="359"/>
      <c r="BY135" s="360">
        <f ca="1">SUM(BY$136:BY$140)</f>
        <v>8285.3182125000003</v>
      </c>
      <c r="BZ135" s="363">
        <f t="shared" ca="1" si="4647"/>
        <v>2.9074123590111807E-2</v>
      </c>
      <c r="CA135" s="359"/>
      <c r="CB135" s="359"/>
      <c r="CC135" s="360">
        <f ca="1">SUM(CC$136:CC$140)</f>
        <v>10305.401339702001</v>
      </c>
      <c r="CD135" s="361">
        <f t="shared" ca="1" si="5119"/>
        <v>3.6162824952717498E-2</v>
      </c>
      <c r="CE135" s="295" t="str">
        <f t="shared" ca="1" si="5120"/>
        <v>V</v>
      </c>
      <c r="CF135" s="357"/>
      <c r="CG135" s="358"/>
      <c r="CH135" s="358"/>
      <c r="CI135" s="359"/>
      <c r="CJ135" s="360">
        <f ca="1">SUM(CJ$136:CJ$140)</f>
        <v>26499.603444947999</v>
      </c>
      <c r="CK135" s="361">
        <f t="shared" ca="1" si="4412"/>
        <v>2.994442266638429E-2</v>
      </c>
      <c r="CL135" s="362"/>
      <c r="CM135" s="359"/>
      <c r="CN135" s="360">
        <f ca="1">SUM(CN$136:CN$140)</f>
        <v>26597.970831606432</v>
      </c>
      <c r="CO135" s="363">
        <f ca="1">IFERROR(CN135/CF$4,0)</f>
        <v>3.0055577333615708E-2</v>
      </c>
      <c r="CP135" s="362"/>
      <c r="CQ135" s="359"/>
      <c r="CR135" s="360">
        <f ca="1">SUM(CR$136:CR$140)</f>
        <v>18411.81825</v>
      </c>
      <c r="CS135" s="363">
        <f t="shared" ca="1" si="4418"/>
        <v>2.0805264836510455E-2</v>
      </c>
      <c r="CT135" s="359"/>
      <c r="CU135" s="359"/>
      <c r="CV135" s="360">
        <f ca="1">SUM(CV$136:CV$140)</f>
        <v>26499.603444947999</v>
      </c>
      <c r="CW135" s="361">
        <f t="shared" ca="1" si="4463"/>
        <v>2.994442266638429E-2</v>
      </c>
      <c r="CX135" s="295" t="str">
        <f t="shared" ca="1" si="5130"/>
        <v>V</v>
      </c>
      <c r="CY135" s="357"/>
      <c r="CZ135" s="358"/>
      <c r="DA135" s="416"/>
      <c r="DB135" s="360"/>
      <c r="DC135" s="360">
        <f ca="1">SUM(DC$136:DC$140)</f>
        <v>122104.55892910407</v>
      </c>
      <c r="DD135" s="361">
        <f t="shared" ca="1" si="4717"/>
        <v>3.4055867734729607E-2</v>
      </c>
      <c r="DE135" s="362"/>
      <c r="DF135" s="359"/>
      <c r="DG135" s="360">
        <f ca="1">SUM(DG$136:DG$140)</f>
        <v>93020.58757465193</v>
      </c>
      <c r="DH135" s="363">
        <f ca="1">IFERROR(DG135/CY$4,0)</f>
        <v>2.5944132265270391E-2</v>
      </c>
      <c r="DI135" s="362"/>
      <c r="DJ135" s="359"/>
      <c r="DK135" s="360">
        <f ca="1">SUM(DK$136:DK$140)</f>
        <v>0</v>
      </c>
      <c r="DL135" s="363">
        <f t="shared" ca="1" si="4718"/>
        <v>0</v>
      </c>
      <c r="DM135" s="359"/>
      <c r="DN135" s="359"/>
      <c r="DO135" s="360">
        <f ca="1">SUM(DO$136:DO$140)</f>
        <v>122104.55892910407</v>
      </c>
      <c r="DP135" s="361">
        <f t="shared" ca="1" si="5339"/>
        <v>3.4055867734729607E-2</v>
      </c>
      <c r="DQ135" s="364" t="str">
        <f t="shared" ca="1" si="5140"/>
        <v>V</v>
      </c>
      <c r="DR135" s="357"/>
      <c r="DS135" s="358"/>
      <c r="DT135" s="416"/>
      <c r="DU135" s="360"/>
      <c r="DV135" s="360">
        <f ca="1">SUM(DV$136:DV$140)</f>
        <v>0</v>
      </c>
      <c r="DW135" s="361">
        <f t="shared" ca="1" si="5343"/>
        <v>0</v>
      </c>
      <c r="DX135" s="362"/>
      <c r="DY135" s="359"/>
      <c r="DZ135" s="360">
        <f ca="1">SUM(DZ$136:DZ$140)</f>
        <v>42105.589167261394</v>
      </c>
      <c r="EA135" s="363">
        <f ca="1">IFERROR(DZ135/DR$4,0)</f>
        <v>0.06</v>
      </c>
      <c r="EB135" s="362"/>
      <c r="EC135" s="359"/>
      <c r="ED135" s="360">
        <f ca="1">SUM(ED$136:ED$140)</f>
        <v>22094.1819</v>
      </c>
      <c r="EE135" s="363">
        <f t="shared" ca="1" si="5349"/>
        <v>3.1483965435893747E-2</v>
      </c>
      <c r="EF135" s="359"/>
      <c r="EG135" s="359"/>
      <c r="EH135" s="360">
        <f ca="1">SUM(EH$136:EH$140)</f>
        <v>0</v>
      </c>
      <c r="EI135" s="361">
        <f t="shared" ca="1" si="5353"/>
        <v>0</v>
      </c>
      <c r="EJ135" s="357"/>
      <c r="EK135" s="358"/>
      <c r="EL135" s="365"/>
      <c r="EM135" s="359"/>
      <c r="EN135" s="360">
        <f ca="1">SUM(EN$136:EN$140)</f>
        <v>0</v>
      </c>
      <c r="EO135" s="361">
        <f t="shared" ca="1" si="4649"/>
        <v>0</v>
      </c>
      <c r="EP135" s="362"/>
      <c r="EQ135" s="359"/>
      <c r="ER135" s="360">
        <f ca="1">SUM(ER$136:ER$140)</f>
        <v>42584.892522771923</v>
      </c>
      <c r="ES135" s="363">
        <f ca="1">IFERROR(ER135/EJ$4,0)</f>
        <v>0.06</v>
      </c>
      <c r="ET135" s="362"/>
      <c r="EU135" s="359"/>
      <c r="EV135" s="360">
        <f ca="1">SUM(EV$136:EV$140)</f>
        <v>0</v>
      </c>
      <c r="EW135" s="363">
        <f t="shared" ca="1" si="4650"/>
        <v>0</v>
      </c>
      <c r="EX135" s="359"/>
      <c r="EY135" s="359"/>
      <c r="EZ135" s="360">
        <f ca="1">SUM(EZ$136:EZ$140)</f>
        <v>0</v>
      </c>
      <c r="FA135" s="361">
        <f t="shared" ca="1" si="5150"/>
        <v>0</v>
      </c>
      <c r="FB135" s="295" t="str">
        <f t="shared" ca="1" si="5151"/>
        <v/>
      </c>
      <c r="FC135" s="357"/>
      <c r="FD135" s="358"/>
      <c r="FE135" s="358"/>
      <c r="FF135" s="359"/>
      <c r="FG135" s="360">
        <f ca="1">SUM(FG$136:FG$140)</f>
        <v>306900.03989700001</v>
      </c>
      <c r="FH135" s="361">
        <f t="shared" ca="1" si="4653"/>
        <v>6.7337677486048894E-2</v>
      </c>
      <c r="FI135" s="362"/>
      <c r="FJ135" s="359"/>
      <c r="FK135" s="360">
        <f ca="1">SUM(FK$136:FK$140)</f>
        <v>-33442.399519738159</v>
      </c>
      <c r="FL135" s="363">
        <f ca="1">IFERROR(FK135/FC$4,0)</f>
        <v>-7.3376774860488955E-3</v>
      </c>
      <c r="FM135" s="362"/>
      <c r="FN135" s="359"/>
      <c r="FO135" s="360">
        <f ca="1">SUM(FO$136:FO$140)</f>
        <v>0</v>
      </c>
      <c r="FP135" s="363">
        <f t="shared" ca="1" si="4654"/>
        <v>0</v>
      </c>
      <c r="FQ135" s="359"/>
      <c r="FR135" s="359"/>
      <c r="FS135" s="360">
        <f ca="1">SUM(FS$136:FS$140)</f>
        <v>306900.03989700001</v>
      </c>
      <c r="FT135" s="361">
        <f t="shared" ca="1" si="5161"/>
        <v>6.7337677486048894E-2</v>
      </c>
      <c r="FU135" s="364" t="str">
        <f t="shared" ca="1" si="5162"/>
        <v>V</v>
      </c>
    </row>
    <row r="136" spans="1:177" outlineLevel="2" x14ac:dyDescent="0.2">
      <c r="A136" s="366"/>
      <c r="B136" s="366"/>
      <c r="C136" s="367" t="str">
        <f t="shared" ref="C136:C140" ca="1" si="5736">OFFSET(Origine,MATCH($F136,Descrizioni,0),MATCH(C$15,Intestazioni,0)-1,1,1)</f>
        <v>AU000000RIO1:AUD</v>
      </c>
      <c r="D136" s="368" t="str">
        <f t="shared" ref="D136:D140" ca="1" si="5737">OFFSET(Origine,MATCH($F136,Descrizioni,0),MATCH(D$15,Intestazioni,0)-1,1,1)</f>
        <v>AU000000RIO1</v>
      </c>
      <c r="E136" s="369"/>
      <c r="F136" s="367" t="s">
        <v>769</v>
      </c>
      <c r="G136" s="414"/>
      <c r="H136" s="1713" t="str">
        <f ca="1">IF(OFFSET(Origine,MATCH($F136,Descrizioni,0),MATCH(H$15,Intestazioni,0)-1,1,1)&lt;&gt;"",HYPERLINK(OFFSET(Origine,MATCH($F136,Descrizioni,0),MATCH(H$15,Intestazioni,0)-1,1,1),""),"")</f>
        <v></v>
      </c>
      <c r="I136" s="1683" t="str">
        <f t="shared" ref="I136:I140" ca="1" si="5738">IF(OFFSET(Origine,MATCH($F136,Descrizioni,0),MATCH(I$15,Intestazioni,0)-1,1,1)&lt;&gt;"",HYPERLINK(OFFSET(Origine,MATCH($F136,Descrizioni,0),MATCH(I$15,Intestazioni,0)-1,1,1),"i"),"")</f>
        <v>i</v>
      </c>
      <c r="J136" s="1713" t="str">
        <f t="shared" ref="J136:K140" ca="1" si="5739">IF(OFFSET(Origine,MATCH($F136,Descrizioni,0),MATCH(J$15,Intestazioni,0)-1,1,1)&lt;&gt;"",HYPERLINK(OFFSET(Origine,MATCH($F136,Descrizioni,0),MATCH(J$15,Intestazioni,0)-1,1,1),""),"")</f>
        <v></v>
      </c>
      <c r="K136" s="1716" t="str">
        <f t="shared" ca="1" si="5739"/>
        <v></v>
      </c>
      <c r="L136" s="1717" t="str">
        <f t="shared" ref="L136:L140" ca="1" si="5740">IF(OFFSET(Origine,MATCH($F136,Descrizioni,0),MATCH(L$15,Intestazioni,0)-1,1,1)&lt;&gt;"",HYPERLINK("https://www.zonebourse.com/mods_a/charts/TV/inc_dyna_graph.php?c="&amp;OFFSET(Origine,MATCH($F136,Descrizioni,0),MATCH(L$15,Intestazioni,0)-1,1,1)&amp;"&amp;style=TradingView.CANDLES&amp;showAT=1",""),"")</f>
        <v></v>
      </c>
      <c r="M136" s="366" t="str">
        <f t="shared" ref="M136:M140" ca="1" si="5741">(OFFSET(Origine,MATCH($F136,Descrizioni,0),MATCH(M$15,Intestazioni,0)-1,1,1))</f>
        <v>Unit</v>
      </c>
      <c r="N136" s="417"/>
      <c r="O136" s="417"/>
      <c r="P136" s="418">
        <f t="shared" ca="1" si="4637"/>
        <v>1.445915525862404E-2</v>
      </c>
      <c r="Q136" s="391">
        <f t="array" aca="1" ref="Q136" ca="1">SUM(IF($AA$15:$FT$15="I_pos",AA136:FT136))</f>
        <v>400</v>
      </c>
      <c r="R136" s="391">
        <f t="array" aca="1" ref="R136" ca="1">SUM(IF($AA$15:$FT$15="P_Pos",AA136:FT136))</f>
        <v>-400</v>
      </c>
      <c r="S136" s="367"/>
      <c r="T136" s="391"/>
      <c r="U136" s="375">
        <f t="shared" ref="U136:U140" ca="1" si="5742">OFFSET(Origine,MATCH($F136,Descrizioni,0),MATCH(U$15,Intestazioni,0)-1,1,1)</f>
        <v>1.2609812944480901E-2</v>
      </c>
      <c r="V136" s="391">
        <f t="array" aca="1" ref="V136" ca="1">SUM(IF($AA$15:$FT$15="O_Pos",AA136:FT136))</f>
        <v>0</v>
      </c>
      <c r="W136" s="367" t="str">
        <f t="shared" ref="W136" ca="1" si="5743">OFFSET(Origine,MATCH($F136,Descrizioni,0),MATCH(W$15,Intestazioni,0)-1,1,1)</f>
        <v>AUD</v>
      </c>
      <c r="X136" s="392">
        <f t="shared" ref="X136" ca="1" si="5744">_xlfn.NUMBERVALUE(OFFSET(Origine,MATCH($F136,Descrizioni,0),MATCH(X$15,Intestazioni,0)-1,1,1))</f>
        <v>169.44</v>
      </c>
      <c r="Y136" s="393">
        <f t="shared" ref="Y136:Y140" ca="1" si="5745">_xlfn.NUMBERVALUE(OFFSET(Origine,MATCH($F136,Descrizioni,0),MATCH(Y$15,Intestazioni,0)-1,1,1))</f>
        <v>0</v>
      </c>
      <c r="Z136" s="378">
        <f t="shared" ref="Z136" ca="1" si="5746">_xlfn.NUMBERVALUE(OFFSET(Origine,MATCH(W136&amp;"/"&amp;MRif,LUKB_Name,0),MATCH("Price",Intestazioni,0)-1,1,1))</f>
        <v>0.55005000000000004</v>
      </c>
      <c r="AA136" s="214"/>
      <c r="AB136" s="312" t="str">
        <f t="shared" ref="AB136" ca="1" si="5747">IFERROR($X136/AC136-1,"")</f>
        <v/>
      </c>
      <c r="AC136" s="215"/>
      <c r="AD136" s="199">
        <f t="shared" ref="AD136" ca="1" si="5748">AA136*$X136</f>
        <v>0</v>
      </c>
      <c r="AE136" s="199">
        <f t="shared" ref="AE136" ca="1" si="5749">AD136*$Z136</f>
        <v>0</v>
      </c>
      <c r="AF136" s="216">
        <f t="shared" ref="AF136" ca="1" si="5750">IFERROR(AE136/AA$4,0)</f>
        <v>0</v>
      </c>
      <c r="AG136" s="202">
        <f t="shared" ref="AG136" ca="1" si="5751">AH136/$X136</f>
        <v>0</v>
      </c>
      <c r="AH136" s="203">
        <f t="shared" ref="AH136" ca="1" si="5752">AI136/$Z136</f>
        <v>0</v>
      </c>
      <c r="AI136" s="203">
        <f ca="1">AJ136*AA$4</f>
        <v>0</v>
      </c>
      <c r="AJ136" s="204">
        <f ca="1">IF(AA$6&lt;&gt;"",$O136,$N136)-AF136</f>
        <v>0</v>
      </c>
      <c r="AK136" s="205"/>
      <c r="AL136" s="206">
        <f t="shared" ref="AL136" ca="1" si="5753">AK136*$X136</f>
        <v>0</v>
      </c>
      <c r="AM136" s="206">
        <f t="shared" ref="AM136" ca="1" si="5754">AL136*$Z136</f>
        <v>0</v>
      </c>
      <c r="AN136" s="207">
        <f t="shared" ref="AN136" ca="1" si="5755">IFERROR(AM136/AA$4,0)</f>
        <v>0</v>
      </c>
      <c r="AO136" s="391">
        <f t="shared" ref="AO136" si="5756">AA136+AK136</f>
        <v>0</v>
      </c>
      <c r="AP136" s="391">
        <f t="shared" ref="AP136" ca="1" si="5757">AD136+IF($T136 ="",AL136,0)</f>
        <v>0</v>
      </c>
      <c r="AQ136" s="391">
        <f t="shared" ref="AQ136" ca="1" si="5758">AP136*$Z136</f>
        <v>0</v>
      </c>
      <c r="AR136" s="394">
        <f ca="1">IFERROR(AQ136/AA$4,0)</f>
        <v>0</v>
      </c>
      <c r="AS136" s="209" t="str">
        <f t="shared" ref="AS136" ca="1" si="5759">IF(SUM(AF136,AN136,AR136)&lt;&gt;0,"V","")</f>
        <v/>
      </c>
      <c r="AT136" s="214">
        <v>400</v>
      </c>
      <c r="AU136" s="312">
        <f t="shared" ref="AU136" ca="1" si="5760">IFERROR($X136/AV136-1,"")</f>
        <v>0.77818636324997548</v>
      </c>
      <c r="AV136" s="215">
        <v>95.2881</v>
      </c>
      <c r="AW136" s="199">
        <f t="shared" ref="AW136" ca="1" si="5761">AT136*$X136</f>
        <v>67776</v>
      </c>
      <c r="AX136" s="199">
        <f t="shared" ref="AX136" ca="1" si="5762">AW136*$Z136</f>
        <v>37280.188800000004</v>
      </c>
      <c r="AY136" s="216">
        <f t="shared" ref="AY136" ca="1" si="5763">IFERROR(AX136/AT$4,0)</f>
        <v>2.1526321750392173E-2</v>
      </c>
      <c r="AZ136" s="202">
        <f t="shared" ref="AZ136" ca="1" si="5764">BA136/$X136</f>
        <v>-400</v>
      </c>
      <c r="BA136" s="203">
        <f t="shared" ref="BA136" ca="1" si="5765">BB136/$Z136</f>
        <v>-67776</v>
      </c>
      <c r="BB136" s="203">
        <f ca="1">BC136*AT$4</f>
        <v>-37280.188800000004</v>
      </c>
      <c r="BC136" s="204">
        <f ca="1">IF(AT$6&lt;&gt;"",$O136,$N136)-AY136</f>
        <v>-2.1526321750392173E-2</v>
      </c>
      <c r="BD136" s="205"/>
      <c r="BE136" s="206">
        <f t="shared" ref="BE136" ca="1" si="5766">BD136*$X136</f>
        <v>0</v>
      </c>
      <c r="BF136" s="206">
        <f t="shared" ref="BF136" ca="1" si="5767">BE136*$Z136</f>
        <v>0</v>
      </c>
      <c r="BG136" s="207">
        <f t="shared" ref="BG136" ca="1" si="5768">IFERROR(BF136/AT$4,0)</f>
        <v>0</v>
      </c>
      <c r="BH136" s="391">
        <f t="shared" ref="BH136" si="5769">AT136+BD136</f>
        <v>400</v>
      </c>
      <c r="BI136" s="391">
        <f t="shared" ref="BI136" ca="1" si="5770">AW136+IF($T136 ="",BE136,0)</f>
        <v>67776</v>
      </c>
      <c r="BJ136" s="391">
        <f t="shared" ref="BJ136" ca="1" si="5771">BI136*$Z136</f>
        <v>37280.188800000004</v>
      </c>
      <c r="BK136" s="394">
        <f ca="1">IFERROR(BJ136/AT$4,0)</f>
        <v>2.1526321750392173E-2</v>
      </c>
      <c r="BL136" s="211" t="str">
        <f t="shared" ref="BL136" ca="1" si="5772">IF(SUM(AY136,BG136,BK136)&lt;&gt;0,"V","")</f>
        <v>V</v>
      </c>
      <c r="BM136" s="214"/>
      <c r="BN136" s="312" t="str">
        <f t="shared" ref="BN136" ca="1" si="5773">IFERROR($X136/BO136-1,"")</f>
        <v/>
      </c>
      <c r="BO136" s="215"/>
      <c r="BP136" s="199">
        <f t="shared" ref="BP136" ca="1" si="5774">BM136*$X136</f>
        <v>0</v>
      </c>
      <c r="BQ136" s="199">
        <f t="shared" ref="BQ136" ca="1" si="5775">BP136*$Z136</f>
        <v>0</v>
      </c>
      <c r="BR136" s="216">
        <f t="shared" ref="BR136" ca="1" si="5776">IFERROR(BQ136/BM$4,0)</f>
        <v>0</v>
      </c>
      <c r="BS136" s="202">
        <f t="shared" ref="BS136" ca="1" si="5777">BT136/$X136</f>
        <v>0</v>
      </c>
      <c r="BT136" s="203">
        <f t="shared" ref="BT136" ca="1" si="5778">BU136/$Z136</f>
        <v>0</v>
      </c>
      <c r="BU136" s="203">
        <f ca="1">BV136*BM$4</f>
        <v>0</v>
      </c>
      <c r="BV136" s="204">
        <f ca="1">IF(BM$6&lt;&gt;"",$O136,$N136)-BR136</f>
        <v>0</v>
      </c>
      <c r="BW136" s="205"/>
      <c r="BX136" s="206">
        <f t="shared" ref="BX136" ca="1" si="5779">BW136*$X136</f>
        <v>0</v>
      </c>
      <c r="BY136" s="206">
        <f t="shared" ref="BY136" ca="1" si="5780">BX136*$Z136</f>
        <v>0</v>
      </c>
      <c r="BZ136" s="207">
        <f t="shared" ref="BZ136" ca="1" si="5781">IFERROR(BY136/BM$4,0)</f>
        <v>0</v>
      </c>
      <c r="CA136" s="391">
        <f t="shared" ref="CA136" si="5782">BM136+BW136</f>
        <v>0</v>
      </c>
      <c r="CB136" s="391">
        <f t="shared" ref="CB136" ca="1" si="5783">BP136+IF($T136 ="",BX136,0)</f>
        <v>0</v>
      </c>
      <c r="CC136" s="391">
        <f t="shared" ref="CC136" ca="1" si="5784">CB136*$Z136</f>
        <v>0</v>
      </c>
      <c r="CD136" s="394">
        <f ca="1">IFERROR(CC136/BM$4,0)</f>
        <v>0</v>
      </c>
      <c r="CE136" s="212" t="str">
        <f t="shared" ref="CE136" ca="1" si="5785">IF(SUM(BR136,BZ136,CD136)&lt;&gt;0,"V","")</f>
        <v/>
      </c>
      <c r="CF136" s="214"/>
      <c r="CG136" s="312" t="str">
        <f t="shared" ref="CG136" ca="1" si="5786">IFERROR($X136/CH136-1,"")</f>
        <v/>
      </c>
      <c r="CH136" s="215"/>
      <c r="CI136" s="199">
        <f t="shared" ref="CI136" ca="1" si="5787">CF136*$X136</f>
        <v>0</v>
      </c>
      <c r="CJ136" s="199">
        <f t="shared" ref="CJ136" ca="1" si="5788">CI136*$Z136</f>
        <v>0</v>
      </c>
      <c r="CK136" s="216">
        <f t="shared" ref="CK136" ca="1" si="5789">IFERROR(CJ136/CF$4,0)</f>
        <v>0</v>
      </c>
      <c r="CL136" s="202">
        <f t="shared" ref="CL136" ca="1" si="5790">CM136/$X136</f>
        <v>0</v>
      </c>
      <c r="CM136" s="203">
        <f t="shared" ref="CM136" ca="1" si="5791">CN136/$Z136</f>
        <v>0</v>
      </c>
      <c r="CN136" s="203">
        <f t="shared" ref="CN136" ca="1" si="5792">CO136*CF$4</f>
        <v>0</v>
      </c>
      <c r="CO136" s="204">
        <f ca="1">IF(CF$6&lt;&gt;"",$O136,$N136)-CK136</f>
        <v>0</v>
      </c>
      <c r="CP136" s="205"/>
      <c r="CQ136" s="206">
        <f t="shared" ref="CQ136" ca="1" si="5793">CP136*$X136</f>
        <v>0</v>
      </c>
      <c r="CR136" s="206">
        <f t="shared" ref="CR136" ca="1" si="5794">CQ136*$Z136</f>
        <v>0</v>
      </c>
      <c r="CS136" s="207">
        <f t="shared" ref="CS136" ca="1" si="5795">IFERROR(CR136/CF$4,0)</f>
        <v>0</v>
      </c>
      <c r="CT136" s="391">
        <f t="shared" ref="CT136" si="5796">CF136+CP136</f>
        <v>0</v>
      </c>
      <c r="CU136" s="391">
        <f t="shared" ref="CU136" ca="1" si="5797">CI136+IF($T136 ="",CQ136,0)</f>
        <v>0</v>
      </c>
      <c r="CV136" s="391">
        <f t="shared" ref="CV136" ca="1" si="5798">CU136*$Z136</f>
        <v>0</v>
      </c>
      <c r="CW136" s="394">
        <f t="shared" ref="CW136" ca="1" si="5799">IFERROR(CV136/CF$4,0)</f>
        <v>0</v>
      </c>
      <c r="CX136" s="211" t="str">
        <f t="shared" ref="CX136" ca="1" si="5800">IF(SUM(CK136,CS136,CW136)&lt;&gt;0,"V","")</f>
        <v/>
      </c>
      <c r="CY136" s="197"/>
      <c r="CZ136" s="312" t="str">
        <f t="shared" ref="CZ136" ca="1" si="5801">IFERROR($X136/DA136-1,"")</f>
        <v/>
      </c>
      <c r="DA136" s="395"/>
      <c r="DB136" s="199">
        <f t="shared" ref="DB136" ca="1" si="5802">CY136*$X136</f>
        <v>0</v>
      </c>
      <c r="DC136" s="199">
        <f t="shared" ref="DC136" ca="1" si="5803">DB136*$Z136</f>
        <v>0</v>
      </c>
      <c r="DD136" s="216">
        <f t="shared" ref="DD136" ca="1" si="5804">IFERROR(DC136/CY$4,0)</f>
        <v>0</v>
      </c>
      <c r="DE136" s="202">
        <f t="shared" ref="DE136" ca="1" si="5805">DF136/$X136</f>
        <v>0</v>
      </c>
      <c r="DF136" s="203">
        <f t="shared" ref="DF136" ca="1" si="5806">DG136/$Z136</f>
        <v>0</v>
      </c>
      <c r="DG136" s="203">
        <f t="shared" ref="DG136" ca="1" si="5807">DH136*CY$4</f>
        <v>0</v>
      </c>
      <c r="DH136" s="204">
        <f ca="1">IF(CY$6&lt;&gt;"",$O136,$N136)-DD136</f>
        <v>0</v>
      </c>
      <c r="DI136" s="205"/>
      <c r="DJ136" s="206">
        <f t="shared" ref="DJ136" ca="1" si="5808">DI136*$X136</f>
        <v>0</v>
      </c>
      <c r="DK136" s="206">
        <f t="shared" ref="DK136" ca="1" si="5809">DJ136*$Z136</f>
        <v>0</v>
      </c>
      <c r="DL136" s="207">
        <f t="shared" ref="DL136" ca="1" si="5810">IFERROR(DK136/CY$4,0)</f>
        <v>0</v>
      </c>
      <c r="DM136" s="391">
        <f t="shared" ref="DM136" si="5811">CY136+DI136</f>
        <v>0</v>
      </c>
      <c r="DN136" s="391">
        <f t="shared" ref="DN136" ca="1" si="5812">DB136+IF($T136 ="",DJ136,0)</f>
        <v>0</v>
      </c>
      <c r="DO136" s="391">
        <f t="shared" ref="DO136" ca="1" si="5813">DN136*$Z136</f>
        <v>0</v>
      </c>
      <c r="DP136" s="394">
        <f t="shared" ref="DP136" ca="1" si="5814">IFERROR(DO136/CY$4,0)</f>
        <v>0</v>
      </c>
      <c r="DQ136" s="209" t="str">
        <f t="shared" ref="DQ136" ca="1" si="5815">IF(SUM(DD136,DL136,DP136)&lt;&gt;0,"V","")</f>
        <v/>
      </c>
      <c r="DR136" s="197"/>
      <c r="DS136" s="312" t="str">
        <f t="shared" ref="DS136" ca="1" si="5816">IFERROR($X136/DT136-1,"")</f>
        <v/>
      </c>
      <c r="DT136" s="395"/>
      <c r="DU136" s="199">
        <f t="shared" ref="DU136" ca="1" si="5817">DR136*$X136</f>
        <v>0</v>
      </c>
      <c r="DV136" s="199">
        <f t="shared" ref="DV136" ca="1" si="5818">DU136*$Z136</f>
        <v>0</v>
      </c>
      <c r="DW136" s="216">
        <f t="shared" ref="DW136" ca="1" si="5819">IFERROR(DV136/DR$4,0)</f>
        <v>0</v>
      </c>
      <c r="DX136" s="202">
        <f t="shared" ref="DX136" ca="1" si="5820">DY136/$X136</f>
        <v>0</v>
      </c>
      <c r="DY136" s="203">
        <f t="shared" ref="DY136" ca="1" si="5821">DZ136/$Z136</f>
        <v>0</v>
      </c>
      <c r="DZ136" s="203">
        <f t="shared" ref="DZ136" ca="1" si="5822">EA136*DR$4</f>
        <v>0</v>
      </c>
      <c r="EA136" s="204">
        <f ca="1">IF(DR$6&lt;&gt;"",$O136,$N136)-DW136</f>
        <v>0</v>
      </c>
      <c r="EB136" s="205"/>
      <c r="EC136" s="206">
        <f t="shared" ref="EC136" ca="1" si="5823">EB136*$X136</f>
        <v>0</v>
      </c>
      <c r="ED136" s="206">
        <f t="shared" ref="ED136" ca="1" si="5824">EC136*$Z136</f>
        <v>0</v>
      </c>
      <c r="EE136" s="207">
        <f t="shared" ref="EE136" ca="1" si="5825">IFERROR(ED136/DR$4,0)</f>
        <v>0</v>
      </c>
      <c r="EF136" s="391">
        <f t="shared" ref="EF136" si="5826">DR136+EB136</f>
        <v>0</v>
      </c>
      <c r="EG136" s="391">
        <f t="shared" ref="EG136" ca="1" si="5827">DU136+IF($T136 ="",EC136,0)</f>
        <v>0</v>
      </c>
      <c r="EH136" s="391">
        <f t="shared" ref="EH136" ca="1" si="5828">EG136*$Z136</f>
        <v>0</v>
      </c>
      <c r="EI136" s="394">
        <f t="shared" ref="EI136" ca="1" si="5829">IFERROR(EH136/DR$4,0)</f>
        <v>0</v>
      </c>
      <c r="EJ136" s="214"/>
      <c r="EK136" s="312" t="str">
        <f t="shared" ref="EK136" ca="1" si="5830">IFERROR($X136/EL136-1,"")</f>
        <v/>
      </c>
      <c r="EL136" s="222"/>
      <c r="EM136" s="199">
        <f t="shared" ref="EM136" ca="1" si="5831">EJ136*$X136</f>
        <v>0</v>
      </c>
      <c r="EN136" s="199">
        <f t="shared" ref="EN136" ca="1" si="5832">EM136*$Z136</f>
        <v>0</v>
      </c>
      <c r="EO136" s="216">
        <f t="shared" ref="EO136" ca="1" si="5833">IFERROR(EN136/EJ$4,0)</f>
        <v>0</v>
      </c>
      <c r="EP136" s="202">
        <f t="shared" ref="EP136" ca="1" si="5834">EQ136/$X136</f>
        <v>0</v>
      </c>
      <c r="EQ136" s="203">
        <f t="shared" ref="EQ136" ca="1" si="5835">ER136/$Z136</f>
        <v>0</v>
      </c>
      <c r="ER136" s="203">
        <f ca="1">ES136*EJ$4</f>
        <v>0</v>
      </c>
      <c r="ES136" s="204">
        <f ca="1">IF(EJ$6&lt;&gt;"",$O136,$N136)-EO136</f>
        <v>0</v>
      </c>
      <c r="ET136" s="205"/>
      <c r="EU136" s="206">
        <f t="shared" ref="EU136" ca="1" si="5836">ET136*$X136</f>
        <v>0</v>
      </c>
      <c r="EV136" s="206">
        <f t="shared" ref="EV136" ca="1" si="5837">EU136*$Z136</f>
        <v>0</v>
      </c>
      <c r="EW136" s="207">
        <f t="shared" ref="EW136" ca="1" si="5838">IFERROR(EV136/EJ$4,0)</f>
        <v>0</v>
      </c>
      <c r="EX136" s="391">
        <f t="shared" ref="EX136" si="5839">EJ136+ET136</f>
        <v>0</v>
      </c>
      <c r="EY136" s="391">
        <f t="shared" ref="EY136" ca="1" si="5840">EM136+IF($T136 ="",EU136,0)</f>
        <v>0</v>
      </c>
      <c r="EZ136" s="391">
        <f t="shared" ref="EZ136" ca="1" si="5841">EY136*$Z136</f>
        <v>0</v>
      </c>
      <c r="FA136" s="394">
        <f ca="1">IFERROR(EZ136/EJ$4,0)</f>
        <v>0</v>
      </c>
      <c r="FB136" s="212" t="str">
        <f t="shared" ref="FB136" ca="1" si="5842">IF(SUM(EO136,EW136,FA136)&lt;&gt;0,"V","")</f>
        <v/>
      </c>
      <c r="FC136" s="214"/>
      <c r="FD136" s="312" t="str">
        <f t="shared" ref="FD136" ca="1" si="5843">IFERROR($X136/FE136-1,"")</f>
        <v/>
      </c>
      <c r="FE136" s="215"/>
      <c r="FF136" s="199">
        <f t="shared" ref="FF136" ca="1" si="5844">FC136*$X136</f>
        <v>0</v>
      </c>
      <c r="FG136" s="199">
        <f t="shared" ref="FG136" ca="1" si="5845">FF136*$Z136</f>
        <v>0</v>
      </c>
      <c r="FH136" s="216">
        <f t="shared" ref="FH136" ca="1" si="5846">IFERROR(FG136/FC$4,0)</f>
        <v>0</v>
      </c>
      <c r="FI136" s="202">
        <f t="shared" ref="FI136" ca="1" si="5847">FJ136/$X136</f>
        <v>0</v>
      </c>
      <c r="FJ136" s="203">
        <f t="shared" ref="FJ136" ca="1" si="5848">FK136/$Z136</f>
        <v>0</v>
      </c>
      <c r="FK136" s="203">
        <f ca="1">FL136*FC$4</f>
        <v>0</v>
      </c>
      <c r="FL136" s="204">
        <f ca="1">IF(FC$6&lt;&gt;"",$O136,$N136)-FH136</f>
        <v>0</v>
      </c>
      <c r="FM136" s="205"/>
      <c r="FN136" s="206">
        <f t="shared" ref="FN136" ca="1" si="5849">FM136*$X136</f>
        <v>0</v>
      </c>
      <c r="FO136" s="206">
        <f t="shared" ref="FO136" ca="1" si="5850">FN136*$Z136</f>
        <v>0</v>
      </c>
      <c r="FP136" s="207">
        <f t="shared" ref="FP136" ca="1" si="5851">IFERROR(FO136/FC$4,0)</f>
        <v>0</v>
      </c>
      <c r="FQ136" s="391">
        <f t="shared" ref="FQ136" si="5852">FC136+FM136</f>
        <v>0</v>
      </c>
      <c r="FR136" s="391">
        <f t="shared" ref="FR136" ca="1" si="5853">FF136+IF($T136 ="",FN136,0)</f>
        <v>0</v>
      </c>
      <c r="FS136" s="391">
        <f t="shared" ref="FS136" ca="1" si="5854">FR136*$Z136</f>
        <v>0</v>
      </c>
      <c r="FT136" s="394">
        <f ca="1">IFERROR(FS136/FC$4,0)</f>
        <v>0</v>
      </c>
      <c r="FU136" s="209" t="str">
        <f t="shared" ref="FU136" ca="1" si="5855">IF(SUM(FH136,FP136,FT136)&lt;&gt;0,"V","")</f>
        <v/>
      </c>
    </row>
    <row r="137" spans="1:177" outlineLevel="2" x14ac:dyDescent="0.2">
      <c r="A137" s="366"/>
      <c r="B137" s="366"/>
      <c r="C137" s="367" t="str">
        <f t="shared" ca="1" si="5736"/>
        <v>IE00B52MJY50:USD</v>
      </c>
      <c r="D137" s="368" t="str">
        <f t="shared" ca="1" si="5737"/>
        <v>IE00B52MJY50</v>
      </c>
      <c r="E137" s="369" t="str">
        <f ca="1">OFFSET(Origine,MATCH($F137,Descrizioni,0),MATCH(E$15,Intestazioni,0)-1,1,1)</f>
        <v>10737120</v>
      </c>
      <c r="F137" s="367" t="s">
        <v>770</v>
      </c>
      <c r="G137" s="414"/>
      <c r="H137" s="1713" t="str">
        <f ca="1">IF(OFFSET(Origine,MATCH($F137,Descrizioni,0),MATCH(H$15,Intestazioni,0)-1,1,1)&lt;&gt;"",HYPERLINK(OFFSET(Origine,MATCH($F137,Descrizioni,0),MATCH(H$15,Intestazioni,0)-1,1,1),""),"")</f>
        <v></v>
      </c>
      <c r="I137" s="1683" t="str">
        <f t="shared" ca="1" si="5738"/>
        <v>i</v>
      </c>
      <c r="J137" s="1713" t="str">
        <f t="shared" ca="1" si="5739"/>
        <v></v>
      </c>
      <c r="K137" s="1716" t="str">
        <f t="shared" ca="1" si="5739"/>
        <v></v>
      </c>
      <c r="L137" s="1717" t="str">
        <f t="shared" ca="1" si="5740"/>
        <v></v>
      </c>
      <c r="M137" s="366" t="str">
        <f t="shared" ca="1" si="5741"/>
        <v>Unit</v>
      </c>
      <c r="N137" s="417">
        <v>0.03</v>
      </c>
      <c r="O137" s="417"/>
      <c r="P137" s="373">
        <f t="shared" ca="1" si="4637"/>
        <v>1.8209653316168556E-2</v>
      </c>
      <c r="Q137" s="391">
        <f t="array" aca="1" ref="Q137" ca="1">SUM(IF($AA$15:$FT$15="I_pos",AA137:FT137))</f>
        <v>495</v>
      </c>
      <c r="R137" s="391">
        <f t="array" aca="1" ref="R137" ca="1">SUM(IF($AA$15:$FT$15="P_Pos",AA137:FT137))</f>
        <v>1626.108979275652</v>
      </c>
      <c r="S137" s="367"/>
      <c r="T137" s="391" t="s">
        <v>4446</v>
      </c>
      <c r="U137" s="375">
        <f t="shared" ca="1" si="5742"/>
        <v>-2.8480620794980899E-2</v>
      </c>
      <c r="V137" s="391">
        <f t="array" aca="1" ref="V137" ca="1">SUM(IF($AA$15:$FT$15="O_Pos",AA137:FT137))</f>
        <v>380</v>
      </c>
      <c r="W137" s="367" t="str">
        <f t="shared" ref="W137" ca="1" si="5856">OFFSET(Origine,MATCH($F137,Descrizioni,0),MATCH(W$15,Intestazioni,0)-1,1,1)</f>
        <v>USD</v>
      </c>
      <c r="X137" s="392">
        <f t="shared" ref="X137" ca="1" si="5857">_xlfn.NUMBERVALUE(OFFSET(Origine,MATCH($F137,Descrizioni,0),MATCH(X$15,Intestazioni,0)-1,1,1))</f>
        <v>235.37</v>
      </c>
      <c r="Y137" s="393">
        <f t="shared" ca="1" si="5745"/>
        <v>0</v>
      </c>
      <c r="Z137" s="378">
        <f t="shared" ref="Z137:Z140" ca="1" si="5858">_xlfn.NUMBERVALUE(OFFSET(Origine,MATCH(W137&amp;"/"&amp;MRif,LUKB_Name,0),MATCH("Price",Intestazioni,0)-1,1,1))</f>
        <v>0.78225</v>
      </c>
      <c r="AA137" s="214">
        <v>45</v>
      </c>
      <c r="AB137" s="312">
        <f t="shared" ref="AB137:AB140" ca="1" si="5859">IFERROR($X137/AC137-1,"")</f>
        <v>0.5280948188775576</v>
      </c>
      <c r="AC137" s="215">
        <v>154.0284</v>
      </c>
      <c r="AD137" s="199">
        <f t="shared" ref="AD137:AD140" ca="1" si="5860">AA137*$X137</f>
        <v>10591.65</v>
      </c>
      <c r="AE137" s="199">
        <f t="shared" ref="AE137:AE140" ca="1" si="5861">AD137*$Z137</f>
        <v>8285.3182125000003</v>
      </c>
      <c r="AF137" s="216">
        <f t="shared" ca="1" si="4640"/>
        <v>1.4755791631038925E-2</v>
      </c>
      <c r="AG137" s="202">
        <f t="shared" ref="AG137:AG140" ca="1" si="5862">AH137/$X137</f>
        <v>46.489500106538785</v>
      </c>
      <c r="AH137" s="203">
        <f t="shared" ref="AH137:AH140" ca="1" si="5863">AI137/$Z137</f>
        <v>10942.233640076034</v>
      </c>
      <c r="AI137" s="203">
        <f t="shared" ref="AI137:AI140" ca="1" si="5864">AJ137*AA$4</f>
        <v>8559.562264949478</v>
      </c>
      <c r="AJ137" s="204">
        <f ca="1">IF(AA$6&lt;&gt;"",$O137,$N137)-AF137</f>
        <v>1.5244208368961074E-2</v>
      </c>
      <c r="AK137" s="205">
        <v>45</v>
      </c>
      <c r="AL137" s="206">
        <f t="shared" ref="AL137:AL140" ca="1" si="5865">AK137*$X137</f>
        <v>10591.65</v>
      </c>
      <c r="AM137" s="206">
        <f t="shared" ref="AM137:AM140" ca="1" si="5866">AL137*$Z137</f>
        <v>8285.3182125000003</v>
      </c>
      <c r="AN137" s="207">
        <f t="shared" ca="1" si="4641"/>
        <v>1.4755791631038925E-2</v>
      </c>
      <c r="AO137" s="391">
        <f t="shared" ref="AO137:AO140" si="5867">AA137+AK137</f>
        <v>90</v>
      </c>
      <c r="AP137" s="391">
        <f t="shared" ca="1" si="5295"/>
        <v>10591.65</v>
      </c>
      <c r="AQ137" s="391">
        <f t="shared" ref="AQ137:AQ140" ca="1" si="5868">AP137*$Z137</f>
        <v>8285.3182125000003</v>
      </c>
      <c r="AR137" s="394">
        <f t="shared" ref="AR137:AR141" ca="1" si="5869">IFERROR(AQ137/AA$4,0)</f>
        <v>1.4755791631038925E-2</v>
      </c>
      <c r="AS137" s="209" t="str">
        <f t="shared" ca="1" si="5098"/>
        <v>V</v>
      </c>
      <c r="AT137" s="214">
        <v>210</v>
      </c>
      <c r="AU137" s="312">
        <f t="shared" ref="AU137:AU140" ca="1" si="5870">IFERROR($X137/AV137-1,"")</f>
        <v>0.61733198286536517</v>
      </c>
      <c r="AV137" s="215">
        <v>145.52979999999999</v>
      </c>
      <c r="AW137" s="199">
        <f t="shared" ref="AW137:AW140" ca="1" si="5871">AT137*$X137</f>
        <v>49427.700000000004</v>
      </c>
      <c r="AX137" s="199">
        <f t="shared" ref="AX137:AX140" ca="1" si="5872">AW137*$Z137</f>
        <v>38664.818325</v>
      </c>
      <c r="AY137" s="216">
        <f t="shared" ca="1" si="4643"/>
        <v>2.2325834349970063E-2</v>
      </c>
      <c r="AZ137" s="202">
        <f t="shared" ref="AZ137:AZ140" ca="1" si="5873">BA137/$X137</f>
        <v>72.184302778742406</v>
      </c>
      <c r="BA137" s="203">
        <f t="shared" ref="BA137:BA140" ca="1" si="5874">BB137/$Z137</f>
        <v>16990.019345032601</v>
      </c>
      <c r="BB137" s="203">
        <f t="shared" ref="BB137:BB140" ca="1" si="5875">BC137*AT$4</f>
        <v>13290.442632651751</v>
      </c>
      <c r="BC137" s="204">
        <f ca="1">IF(AT$6&lt;&gt;"",$O137,$N137)-AY137</f>
        <v>7.6741656500299363E-3</v>
      </c>
      <c r="BD137" s="205">
        <v>70</v>
      </c>
      <c r="BE137" s="206">
        <f t="shared" ref="BE137:BE140" ca="1" si="5876">BD137*$X137</f>
        <v>16475.900000000001</v>
      </c>
      <c r="BF137" s="206">
        <f t="shared" ref="BF137:BF140" ca="1" si="5877">BE137*$Z137</f>
        <v>12888.272775000001</v>
      </c>
      <c r="BG137" s="207">
        <f t="shared" ca="1" si="4644"/>
        <v>7.4419447833233556E-3</v>
      </c>
      <c r="BH137" s="391">
        <f t="shared" ref="BH137:BH140" si="5878">AT137+BD137</f>
        <v>280</v>
      </c>
      <c r="BI137" s="391">
        <f t="shared" ca="1" si="5308"/>
        <v>49427.700000000004</v>
      </c>
      <c r="BJ137" s="391">
        <f t="shared" ref="BJ137:BJ140" ca="1" si="5879">BI137*$Z137</f>
        <v>38664.818325</v>
      </c>
      <c r="BK137" s="394">
        <f t="shared" ref="BK137:BK141" ca="1" si="5880">IFERROR(BJ137/AT$4,0)</f>
        <v>2.2325834349970063E-2</v>
      </c>
      <c r="BL137" s="211" t="str">
        <f t="shared" ca="1" si="5109"/>
        <v>V</v>
      </c>
      <c r="BM137" s="214"/>
      <c r="BN137" s="312" t="str">
        <f t="shared" ref="BN137:BN140" ca="1" si="5881">IFERROR($X137/BO137-1,"")</f>
        <v/>
      </c>
      <c r="BO137" s="215"/>
      <c r="BP137" s="199">
        <f t="shared" ref="BP137:BP140" ca="1" si="5882">BM137*$X137</f>
        <v>0</v>
      </c>
      <c r="BQ137" s="199">
        <f t="shared" ref="BQ137:BQ140" ca="1" si="5883">BP137*$Z137</f>
        <v>0</v>
      </c>
      <c r="BR137" s="216">
        <f t="shared" ca="1" si="4646"/>
        <v>0</v>
      </c>
      <c r="BS137" s="202">
        <f t="shared" ref="BS137:BS140" ca="1" si="5884">BT137/$X137</f>
        <v>46.433041939023006</v>
      </c>
      <c r="BT137" s="203">
        <f t="shared" ref="BT137:BT140" ca="1" si="5885">BU137/$Z137</f>
        <v>10928.945081187845</v>
      </c>
      <c r="BU137" s="203">
        <f t="shared" ref="BU137:BU140" ca="1" si="5886">BV137*BM$4</f>
        <v>8549.1672897591925</v>
      </c>
      <c r="BV137" s="204">
        <f ca="1">IF(BM$6&lt;&gt;"",$O137,$N137)-BR137</f>
        <v>0.03</v>
      </c>
      <c r="BW137" s="205">
        <v>45</v>
      </c>
      <c r="BX137" s="206">
        <f t="shared" ref="BX137:BX140" ca="1" si="5887">BW137*$X137</f>
        <v>10591.65</v>
      </c>
      <c r="BY137" s="206">
        <f t="shared" ref="BY137:BY140" ca="1" si="5888">BX137*$Z137</f>
        <v>8285.3182125000003</v>
      </c>
      <c r="BZ137" s="207">
        <f t="shared" ca="1" si="4647"/>
        <v>2.9074123590111807E-2</v>
      </c>
      <c r="CA137" s="391">
        <f t="shared" ref="CA137:CA140" si="5889">BM137+BW137</f>
        <v>45</v>
      </c>
      <c r="CB137" s="391">
        <f t="shared" ca="1" si="5321"/>
        <v>0</v>
      </c>
      <c r="CC137" s="391">
        <f t="shared" ref="CC137:CC140" ca="1" si="5890">CB137*$Z137</f>
        <v>0</v>
      </c>
      <c r="CD137" s="394">
        <f t="shared" ref="CD137:CD141" ca="1" si="5891">IFERROR(CC137/BM$4,0)</f>
        <v>0</v>
      </c>
      <c r="CE137" s="212" t="str">
        <f t="shared" ca="1" si="5120"/>
        <v>V</v>
      </c>
      <c r="CF137" s="214"/>
      <c r="CG137" s="312" t="str">
        <f t="shared" ref="CG137:CG140" ca="1" si="5892">IFERROR($X137/CH137-1,"")</f>
        <v/>
      </c>
      <c r="CH137" s="215"/>
      <c r="CI137" s="199">
        <f t="shared" ref="CI137:CI140" ca="1" si="5893">CF137*$X137</f>
        <v>0</v>
      </c>
      <c r="CJ137" s="199">
        <f t="shared" ref="CJ137:CJ140" ca="1" si="5894">CI137*$Z137</f>
        <v>0</v>
      </c>
      <c r="CK137" s="216">
        <f t="shared" ca="1" si="4412"/>
        <v>0</v>
      </c>
      <c r="CL137" s="202">
        <f t="shared" ref="CL137:CL140" ca="1" si="5895">CM137/$X137</f>
        <v>144.19427118925213</v>
      </c>
      <c r="CM137" s="203">
        <f t="shared" ref="CM137:CM140" ca="1" si="5896">CN137/$Z137</f>
        <v>33939.005609814274</v>
      </c>
      <c r="CN137" s="203">
        <f t="shared" ref="CN137:CN140" ca="1" si="5897">CO137*CF$4</f>
        <v>26548.787138277217</v>
      </c>
      <c r="CO137" s="204">
        <f ca="1">IF(CF$6&lt;&gt;"",$O137,$N137)-CK137</f>
        <v>0.03</v>
      </c>
      <c r="CP137" s="205">
        <v>100</v>
      </c>
      <c r="CQ137" s="206">
        <f t="shared" ref="CQ137:CQ140" ca="1" si="5898">CP137*$X137</f>
        <v>23537</v>
      </c>
      <c r="CR137" s="206">
        <f t="shared" ref="CR137:CR140" ca="1" si="5899">CQ137*$Z137</f>
        <v>18411.81825</v>
      </c>
      <c r="CS137" s="207">
        <f t="shared" ca="1" si="4418"/>
        <v>2.0805264836510455E-2</v>
      </c>
      <c r="CT137" s="391">
        <f t="shared" ref="CT137:CT140" si="5900">CF137+CP137</f>
        <v>100</v>
      </c>
      <c r="CU137" s="391">
        <f t="shared" ca="1" si="5334"/>
        <v>0</v>
      </c>
      <c r="CV137" s="391">
        <f t="shared" ref="CV137:CV140" ca="1" si="5901">CU137*$Z137</f>
        <v>0</v>
      </c>
      <c r="CW137" s="394">
        <f t="shared" ca="1" si="4463"/>
        <v>0</v>
      </c>
      <c r="CX137" s="211" t="str">
        <f t="shared" ca="1" si="5130"/>
        <v>V</v>
      </c>
      <c r="CY137" s="197">
        <v>240</v>
      </c>
      <c r="CZ137" s="312">
        <f t="shared" ref="CZ137:CZ140" ca="1" si="5902">IFERROR($X137/DA137-1,"")</f>
        <v>0.55216301767343734</v>
      </c>
      <c r="DA137" s="395">
        <v>151.63999999999999</v>
      </c>
      <c r="DB137" s="199">
        <f t="shared" ref="DB137:DB140" ca="1" si="5903">CY137*$X137</f>
        <v>56488.800000000003</v>
      </c>
      <c r="DC137" s="199">
        <f t="shared" ref="DC137:DC140" ca="1" si="5904">DB137*$Z137</f>
        <v>44188.363799999999</v>
      </c>
      <c r="DD137" s="216">
        <f t="shared" ca="1" si="4717"/>
        <v>1.2324462626007832E-2</v>
      </c>
      <c r="DE137" s="202">
        <f t="shared" ref="DE137:DE140" ca="1" si="5905">DF137/$X137</f>
        <v>344.20397046814207</v>
      </c>
      <c r="DF137" s="203">
        <f t="shared" ref="DF137:DF140" ca="1" si="5906">DG137/$Z137</f>
        <v>81015.288529086596</v>
      </c>
      <c r="DG137" s="203">
        <f t="shared" ref="DG137:DG140" ca="1" si="5907">DH137*CY$4</f>
        <v>63374.209451877992</v>
      </c>
      <c r="DH137" s="204">
        <f ca="1">IF(CY$6&lt;&gt;"",$O137,$N137)-DD137</f>
        <v>1.7675537373992169E-2</v>
      </c>
      <c r="DI137" s="205"/>
      <c r="DJ137" s="206">
        <f t="shared" ref="DJ137:DJ140" ca="1" si="5908">DI137*$X137</f>
        <v>0</v>
      </c>
      <c r="DK137" s="206">
        <f t="shared" ref="DK137:DK140" ca="1" si="5909">DJ137*$Z137</f>
        <v>0</v>
      </c>
      <c r="DL137" s="207">
        <f t="shared" ca="1" si="4718"/>
        <v>0</v>
      </c>
      <c r="DM137" s="391">
        <f t="shared" ref="DM137:DM140" si="5910">CY137+DI137</f>
        <v>240</v>
      </c>
      <c r="DN137" s="391">
        <f t="shared" ca="1" si="5338"/>
        <v>56488.800000000003</v>
      </c>
      <c r="DO137" s="391">
        <f t="shared" ref="DO137:DO140" ca="1" si="5911">DN137*$Z137</f>
        <v>44188.363799999999</v>
      </c>
      <c r="DP137" s="394">
        <f t="shared" ca="1" si="5339"/>
        <v>1.2324462626007832E-2</v>
      </c>
      <c r="DQ137" s="209" t="str">
        <f t="shared" ca="1" si="5140"/>
        <v>V</v>
      </c>
      <c r="DR137" s="197"/>
      <c r="DS137" s="312" t="str">
        <f t="shared" ref="DS137:DS140" ca="1" si="5912">IFERROR($X137/DT137-1,"")</f>
        <v/>
      </c>
      <c r="DT137" s="395"/>
      <c r="DU137" s="199">
        <f t="shared" ref="DU137:DU140" ca="1" si="5913">DR137*$X137</f>
        <v>0</v>
      </c>
      <c r="DV137" s="199">
        <f t="shared" ref="DV137:DV140" ca="1" si="5914">DU137*$Z137</f>
        <v>0</v>
      </c>
      <c r="DW137" s="216">
        <f t="shared" ca="1" si="5343"/>
        <v>0</v>
      </c>
      <c r="DX137" s="202">
        <f t="shared" ref="DX137:DX140" ca="1" si="5915">DY137/$X137</f>
        <v>114.34391920325793</v>
      </c>
      <c r="DY137" s="203">
        <f t="shared" ref="DY137:DY140" ca="1" si="5916">DZ137/$Z137</f>
        <v>26913.128262870818</v>
      </c>
      <c r="DZ137" s="203">
        <f t="shared" ref="DZ137:DZ140" ca="1" si="5917">EA137*DR$4</f>
        <v>21052.794583630697</v>
      </c>
      <c r="EA137" s="204">
        <f ca="1">IF(DR$6&lt;&gt;"",$O137,$N137)-DW137</f>
        <v>0.03</v>
      </c>
      <c r="EB137" s="205">
        <v>120</v>
      </c>
      <c r="EC137" s="206">
        <f t="shared" ref="EC137:EC140" ca="1" si="5918">EB137*$X137</f>
        <v>28244.400000000001</v>
      </c>
      <c r="ED137" s="206">
        <f t="shared" ref="ED137:ED140" ca="1" si="5919">EC137*$Z137</f>
        <v>22094.1819</v>
      </c>
      <c r="EE137" s="207">
        <f t="shared" ca="1" si="5349"/>
        <v>3.1483965435893747E-2</v>
      </c>
      <c r="EF137" s="391">
        <f t="shared" ref="EF137:EF140" si="5920">DR137+EB137</f>
        <v>120</v>
      </c>
      <c r="EG137" s="391">
        <f t="shared" ref="EG137:EG140" ca="1" si="5921">DU137+IF($T137 ="",EC137,0)</f>
        <v>0</v>
      </c>
      <c r="EH137" s="391">
        <f t="shared" ref="EH137:EH140" ca="1" si="5922">EG137*$Z137</f>
        <v>0</v>
      </c>
      <c r="EI137" s="394">
        <f t="shared" ca="1" si="5353"/>
        <v>0</v>
      </c>
      <c r="EJ137" s="214"/>
      <c r="EK137" s="312" t="str">
        <f t="shared" ref="EK137:EK140" ca="1" si="5923">IFERROR($X137/EL137-1,"")</f>
        <v/>
      </c>
      <c r="EL137" s="222"/>
      <c r="EM137" s="199">
        <f t="shared" ref="EM137:EM140" ca="1" si="5924">EJ137*$X137</f>
        <v>0</v>
      </c>
      <c r="EN137" s="199">
        <f t="shared" ref="EN137:EN140" ca="1" si="5925">EM137*$Z137</f>
        <v>0</v>
      </c>
      <c r="EO137" s="216">
        <f t="shared" ca="1" si="4649"/>
        <v>0</v>
      </c>
      <c r="EP137" s="202">
        <f t="shared" ref="EP137:EP140" ca="1" si="5926">EQ137/$X137</f>
        <v>115.64553794889845</v>
      </c>
      <c r="EQ137" s="203">
        <f t="shared" ref="EQ137:EQ140" ca="1" si="5927">ER137/$Z137</f>
        <v>27219.49026703223</v>
      </c>
      <c r="ER137" s="203">
        <f t="shared" ref="ER137:ER140" ca="1" si="5928">ES137*EJ$4</f>
        <v>21292.446261385961</v>
      </c>
      <c r="ES137" s="204">
        <f ca="1">IF(EJ$6&lt;&gt;"",$O137,$N137)-EO137</f>
        <v>0.03</v>
      </c>
      <c r="ET137" s="205"/>
      <c r="EU137" s="206">
        <f t="shared" ref="EU137:EU140" ca="1" si="5929">ET137*$X137</f>
        <v>0</v>
      </c>
      <c r="EV137" s="206">
        <f t="shared" ref="EV137:EV140" ca="1" si="5930">EU137*$Z137</f>
        <v>0</v>
      </c>
      <c r="EW137" s="207">
        <f t="shared" ca="1" si="4650"/>
        <v>0</v>
      </c>
      <c r="EX137" s="391">
        <f t="shared" ref="EX137:EX140" si="5931">EJ137+ET137</f>
        <v>0</v>
      </c>
      <c r="EY137" s="391">
        <f t="shared" ca="1" si="5364"/>
        <v>0</v>
      </c>
      <c r="EZ137" s="391">
        <f t="shared" ref="EZ137:EZ140" ca="1" si="5932">EY137*$Z137</f>
        <v>0</v>
      </c>
      <c r="FA137" s="394">
        <f t="shared" ref="FA137:FA141" ca="1" si="5933">IFERROR(EZ137/EJ$4,0)</f>
        <v>0</v>
      </c>
      <c r="FB137" s="212" t="str">
        <f t="shared" ca="1" si="5151"/>
        <v/>
      </c>
      <c r="FC137" s="214"/>
      <c r="FD137" s="312" t="str">
        <f t="shared" ref="FD137:FD140" ca="1" si="5934">IFERROR($X137/FE137-1,"")</f>
        <v/>
      </c>
      <c r="FE137" s="215"/>
      <c r="FF137" s="199">
        <f t="shared" ref="FF137:FF140" ca="1" si="5935">FC137*$X137</f>
        <v>0</v>
      </c>
      <c r="FG137" s="199">
        <f t="shared" ref="FG137:FG140" ca="1" si="5936">FF137*$Z137</f>
        <v>0</v>
      </c>
      <c r="FH137" s="216">
        <f t="shared" ca="1" si="4653"/>
        <v>0</v>
      </c>
      <c r="FI137" s="202">
        <f t="shared" ref="FI137:FI140" ca="1" si="5937">FJ137/$X137</f>
        <v>742.61443564179717</v>
      </c>
      <c r="FJ137" s="203">
        <f t="shared" ref="FJ137:FJ140" ca="1" si="5938">FK137/$Z137</f>
        <v>174789.15971700981</v>
      </c>
      <c r="FK137" s="203">
        <f t="shared" ref="FK137:FK140" ca="1" si="5939">FL137*FC$4</f>
        <v>136728.82018863093</v>
      </c>
      <c r="FL137" s="204">
        <f ca="1">IF(FC$6&lt;&gt;"",$O137,$N137)-FH137</f>
        <v>0.03</v>
      </c>
      <c r="FM137" s="205"/>
      <c r="FN137" s="206">
        <f t="shared" ref="FN137:FN140" ca="1" si="5940">FM137*$X137</f>
        <v>0</v>
      </c>
      <c r="FO137" s="206">
        <f t="shared" ref="FO137:FO140" ca="1" si="5941">FN137*$Z137</f>
        <v>0</v>
      </c>
      <c r="FP137" s="207">
        <f t="shared" ca="1" si="4654"/>
        <v>0</v>
      </c>
      <c r="FQ137" s="391">
        <f t="shared" ref="FQ137:FQ140" si="5942">FC137+FM137</f>
        <v>0</v>
      </c>
      <c r="FR137" s="391">
        <f t="shared" ca="1" si="5378"/>
        <v>0</v>
      </c>
      <c r="FS137" s="391">
        <f t="shared" ref="FS137:FS140" ca="1" si="5943">FR137*$Z137</f>
        <v>0</v>
      </c>
      <c r="FT137" s="394">
        <f t="shared" ref="FT137:FT141" ca="1" si="5944">IFERROR(FS137/FC$4,0)</f>
        <v>0</v>
      </c>
      <c r="FU137" s="209" t="str">
        <f t="shared" ca="1" si="5162"/>
        <v/>
      </c>
    </row>
    <row r="138" spans="1:177" outlineLevel="2" x14ac:dyDescent="0.2">
      <c r="A138" s="366"/>
      <c r="B138" s="366"/>
      <c r="C138" s="367" t="str">
        <f t="shared" ca="1" si="5736"/>
        <v>LU1781541252:CHF</v>
      </c>
      <c r="D138" s="368" t="str">
        <f t="shared" ca="1" si="5737"/>
        <v>LU1781541252</v>
      </c>
      <c r="E138" s="369" t="str">
        <f ca="1">OFFSET(Origine,MATCH($F138,Descrizioni,0),MATCH(E$15,Intestazioni,0)-1,1,1)</f>
        <v>40916345</v>
      </c>
      <c r="F138" s="367" t="s">
        <v>771</v>
      </c>
      <c r="G138" s="414"/>
      <c r="H138" s="1713" t="str">
        <f ca="1">IF(OFFSET(Origine,MATCH($F138,Descrizioni,0),MATCH(H$15,Intestazioni,0)-1,1,1)&lt;&gt;"",HYPERLINK(OFFSET(Origine,MATCH($F138,Descrizioni,0),MATCH(H$15,Intestazioni,0)-1,1,1),""),"")</f>
        <v></v>
      </c>
      <c r="I138" s="1683" t="str">
        <f t="shared" ca="1" si="5738"/>
        <v/>
      </c>
      <c r="J138" s="1713" t="str">
        <f t="shared" ca="1" si="5739"/>
        <v></v>
      </c>
      <c r="K138" s="1716" t="str">
        <f t="shared" ca="1" si="5739"/>
        <v/>
      </c>
      <c r="L138" s="1717" t="str">
        <f t="shared" ca="1" si="5740"/>
        <v/>
      </c>
      <c r="M138" s="366" t="str">
        <f t="shared" ca="1" si="5741"/>
        <v>Unit</v>
      </c>
      <c r="N138" s="429"/>
      <c r="O138" s="429"/>
      <c r="P138" s="418">
        <f t="shared" ca="1" si="4637"/>
        <v>0</v>
      </c>
      <c r="Q138" s="391">
        <f t="array" aca="1" ref="Q138" ca="1">SUM(IF($AA$15:$FT$15="I_pos",AA138:FT138))</f>
        <v>0</v>
      </c>
      <c r="R138" s="391">
        <f t="array" aca="1" ref="R138" ca="1">SUM(IF($AA$15:$FT$15="P_Pos",AA138:FT138))</f>
        <v>0</v>
      </c>
      <c r="S138" s="367"/>
      <c r="T138" s="391"/>
      <c r="U138" s="375">
        <f t="shared" ca="1" si="5742"/>
        <v>5.4829618242378001E-3</v>
      </c>
      <c r="V138" s="391">
        <f t="array" aca="1" ref="V138" ca="1">SUM(IF($AA$15:$FT$15="O_Pos",AA138:FT138))</f>
        <v>0</v>
      </c>
      <c r="W138" s="367" t="str">
        <f t="shared" ref="W138:W139" ca="1" si="5945">OFFSET(Origine,MATCH($F138,Descrizioni,0),MATCH(W$15,Intestazioni,0)-1,1,1)</f>
        <v>CHF</v>
      </c>
      <c r="X138" s="392">
        <f t="shared" ref="X138:X139" ca="1" si="5946">_xlfn.NUMBERVALUE(OFFSET(Origine,MATCH($F138,Descrizioni,0),MATCH(X$15,Intestazioni,0)-1,1,1))</f>
        <v>18.323</v>
      </c>
      <c r="Y138" s="393">
        <f t="shared" ca="1" si="5745"/>
        <v>0</v>
      </c>
      <c r="Z138" s="378">
        <f t="shared" ca="1" si="5858"/>
        <v>1.0000001300000001</v>
      </c>
      <c r="AA138" s="214"/>
      <c r="AB138" s="312" t="str">
        <f t="shared" ref="AB138" ca="1" si="5947">IFERROR($X138/AC138-1,"")</f>
        <v/>
      </c>
      <c r="AC138" s="215"/>
      <c r="AD138" s="199">
        <f t="shared" ref="AD138" ca="1" si="5948">AA138*$X138</f>
        <v>0</v>
      </c>
      <c r="AE138" s="199">
        <f t="shared" ref="AE138" ca="1" si="5949">AD138*$Z138</f>
        <v>0</v>
      </c>
      <c r="AF138" s="216">
        <f t="shared" ref="AF138" ca="1" si="5950">IFERROR(AE138/AA$4,0)</f>
        <v>0</v>
      </c>
      <c r="AG138" s="202">
        <f t="shared" ref="AG138" ca="1" si="5951">AH138/$X138</f>
        <v>0</v>
      </c>
      <c r="AH138" s="203">
        <f t="shared" ref="AH138" ca="1" si="5952">AI138/$Z138</f>
        <v>0</v>
      </c>
      <c r="AI138" s="203">
        <f t="shared" ref="AI138" ca="1" si="5953">AJ138*AA$4</f>
        <v>0</v>
      </c>
      <c r="AJ138" s="204">
        <f ca="1">IF(AA$6&lt;&gt;"",$O138,$N138)-AF138</f>
        <v>0</v>
      </c>
      <c r="AK138" s="205"/>
      <c r="AL138" s="206">
        <f t="shared" ref="AL138" ca="1" si="5954">AK138*$X138</f>
        <v>0</v>
      </c>
      <c r="AM138" s="206">
        <f t="shared" ref="AM138" ca="1" si="5955">AL138*$Z138</f>
        <v>0</v>
      </c>
      <c r="AN138" s="207">
        <f t="shared" ref="AN138" ca="1" si="5956">IFERROR(AM138/AA$4,0)</f>
        <v>0</v>
      </c>
      <c r="AO138" s="391">
        <f t="shared" ref="AO138" si="5957">AA138+AK138</f>
        <v>0</v>
      </c>
      <c r="AP138" s="391">
        <f t="shared" ref="AP138" ca="1" si="5958">AD138+IF($T138 ="",AL138,0)</f>
        <v>0</v>
      </c>
      <c r="AQ138" s="391">
        <f t="shared" ref="AQ138" ca="1" si="5959">AP138*$Z138</f>
        <v>0</v>
      </c>
      <c r="AR138" s="394">
        <f t="shared" ref="AR138" ca="1" si="5960">IFERROR(AQ138/AA$4,0)</f>
        <v>0</v>
      </c>
      <c r="AS138" s="209" t="str">
        <f t="shared" ref="AS138" ca="1" si="5961">IF(SUM(AF138,AN138,AR138)&lt;&gt;0,"V","")</f>
        <v/>
      </c>
      <c r="AT138" s="214"/>
      <c r="AU138" s="312" t="str">
        <f t="shared" ref="AU138" ca="1" si="5962">IFERROR($X138/AV138-1,"")</f>
        <v/>
      </c>
      <c r="AV138" s="215"/>
      <c r="AW138" s="199">
        <f t="shared" ref="AW138" ca="1" si="5963">AT138*$X138</f>
        <v>0</v>
      </c>
      <c r="AX138" s="199">
        <f t="shared" ref="AX138" ca="1" si="5964">AW138*$Z138</f>
        <v>0</v>
      </c>
      <c r="AY138" s="216">
        <f t="shared" ref="AY138" ca="1" si="5965">IFERROR(AX138/AT$4,0)</f>
        <v>0</v>
      </c>
      <c r="AZ138" s="202">
        <f t="shared" ref="AZ138" ca="1" si="5966">BA138/$X138</f>
        <v>0</v>
      </c>
      <c r="BA138" s="203">
        <f t="shared" ref="BA138" ca="1" si="5967">BB138/$Z138</f>
        <v>0</v>
      </c>
      <c r="BB138" s="203">
        <f t="shared" ref="BB138" ca="1" si="5968">BC138*AT$4</f>
        <v>0</v>
      </c>
      <c r="BC138" s="204">
        <f ca="1">IF(AT$6&lt;&gt;"",$O138,$N138)-AY138</f>
        <v>0</v>
      </c>
      <c r="BD138" s="205"/>
      <c r="BE138" s="206">
        <f t="shared" ref="BE138" ca="1" si="5969">BD138*$X138</f>
        <v>0</v>
      </c>
      <c r="BF138" s="206">
        <f t="shared" ref="BF138" ca="1" si="5970">BE138*$Z138</f>
        <v>0</v>
      </c>
      <c r="BG138" s="207">
        <f t="shared" ref="BG138" ca="1" si="5971">IFERROR(BF138/AT$4,0)</f>
        <v>0</v>
      </c>
      <c r="BH138" s="391">
        <f t="shared" ref="BH138" si="5972">AT138+BD138</f>
        <v>0</v>
      </c>
      <c r="BI138" s="391">
        <f t="shared" ref="BI138" ca="1" si="5973">AW138+IF($T138 ="",BE138,0)</f>
        <v>0</v>
      </c>
      <c r="BJ138" s="391">
        <f t="shared" ref="BJ138" ca="1" si="5974">BI138*$Z138</f>
        <v>0</v>
      </c>
      <c r="BK138" s="394">
        <f t="shared" ref="BK138" ca="1" si="5975">IFERROR(BJ138/AT$4,0)</f>
        <v>0</v>
      </c>
      <c r="BL138" s="211" t="str">
        <f t="shared" ref="BL138" ca="1" si="5976">IF(SUM(AY138,BG138,BK138)&lt;&gt;0,"V","")</f>
        <v/>
      </c>
      <c r="BM138" s="214"/>
      <c r="BN138" s="312" t="str">
        <f t="shared" ref="BN138" ca="1" si="5977">IFERROR($X138/BO138-1,"")</f>
        <v/>
      </c>
      <c r="BO138" s="215"/>
      <c r="BP138" s="199">
        <f t="shared" ref="BP138" ca="1" si="5978">BM138*$X138</f>
        <v>0</v>
      </c>
      <c r="BQ138" s="199">
        <f t="shared" ref="BQ138" ca="1" si="5979">BP138*$Z138</f>
        <v>0</v>
      </c>
      <c r="BR138" s="216">
        <f t="shared" ref="BR138" ca="1" si="5980">IFERROR(BQ138/BM$4,0)</f>
        <v>0</v>
      </c>
      <c r="BS138" s="202">
        <f t="shared" ref="BS138" ca="1" si="5981">BT138/$X138</f>
        <v>0</v>
      </c>
      <c r="BT138" s="203">
        <f t="shared" ref="BT138" ca="1" si="5982">BU138/$Z138</f>
        <v>0</v>
      </c>
      <c r="BU138" s="203">
        <f t="shared" ref="BU138" ca="1" si="5983">BV138*BM$4</f>
        <v>0</v>
      </c>
      <c r="BV138" s="204">
        <f ca="1">IF(BM$6&lt;&gt;"",$O138,$N138)-BR138</f>
        <v>0</v>
      </c>
      <c r="BW138" s="205"/>
      <c r="BX138" s="206">
        <f t="shared" ref="BX138" ca="1" si="5984">BW138*$X138</f>
        <v>0</v>
      </c>
      <c r="BY138" s="206">
        <f t="shared" ref="BY138" ca="1" si="5985">BX138*$Z138</f>
        <v>0</v>
      </c>
      <c r="BZ138" s="207">
        <f t="shared" ref="BZ138" ca="1" si="5986">IFERROR(BY138/BM$4,0)</f>
        <v>0</v>
      </c>
      <c r="CA138" s="391">
        <f t="shared" ref="CA138" si="5987">BM138+BW138</f>
        <v>0</v>
      </c>
      <c r="CB138" s="391">
        <f t="shared" ref="CB138" ca="1" si="5988">BP138+IF($T138 ="",BX138,0)</f>
        <v>0</v>
      </c>
      <c r="CC138" s="391">
        <f t="shared" ref="CC138" ca="1" si="5989">CB138*$Z138</f>
        <v>0</v>
      </c>
      <c r="CD138" s="394">
        <f t="shared" ref="CD138" ca="1" si="5990">IFERROR(CC138/BM$4,0)</f>
        <v>0</v>
      </c>
      <c r="CE138" s="212" t="str">
        <f t="shared" ref="CE138" ca="1" si="5991">IF(SUM(BR138,BZ138,CD138)&lt;&gt;0,"V","")</f>
        <v/>
      </c>
      <c r="CF138" s="214"/>
      <c r="CG138" s="312" t="str">
        <f t="shared" ref="CG138" ca="1" si="5992">IFERROR($X138/CH138-1,"")</f>
        <v/>
      </c>
      <c r="CH138" s="215"/>
      <c r="CI138" s="199">
        <f t="shared" ref="CI138" ca="1" si="5993">CF138*$X138</f>
        <v>0</v>
      </c>
      <c r="CJ138" s="199">
        <f t="shared" ref="CJ138" ca="1" si="5994">CI138*$Z138</f>
        <v>0</v>
      </c>
      <c r="CK138" s="216">
        <f t="shared" ref="CK138" ca="1" si="5995">IFERROR(CJ138/CF$4,0)</f>
        <v>0</v>
      </c>
      <c r="CL138" s="202">
        <f t="shared" ref="CL138" ca="1" si="5996">CM138/$X138</f>
        <v>0</v>
      </c>
      <c r="CM138" s="203">
        <f t="shared" ref="CM138" ca="1" si="5997">CN138/$Z138</f>
        <v>0</v>
      </c>
      <c r="CN138" s="203">
        <f t="shared" ref="CN138" ca="1" si="5998">CO138*CF$4</f>
        <v>0</v>
      </c>
      <c r="CO138" s="204">
        <f ca="1">IF(CF$6&lt;&gt;"",$O138,$N138)-CK138</f>
        <v>0</v>
      </c>
      <c r="CP138" s="205"/>
      <c r="CQ138" s="206">
        <f t="shared" ref="CQ138" ca="1" si="5999">CP138*$X138</f>
        <v>0</v>
      </c>
      <c r="CR138" s="206">
        <f t="shared" ref="CR138" ca="1" si="6000">CQ138*$Z138</f>
        <v>0</v>
      </c>
      <c r="CS138" s="207">
        <f t="shared" ref="CS138" ca="1" si="6001">IFERROR(CR138/CF$4,0)</f>
        <v>0</v>
      </c>
      <c r="CT138" s="391">
        <f t="shared" ref="CT138" si="6002">CF138+CP138</f>
        <v>0</v>
      </c>
      <c r="CU138" s="391">
        <f t="shared" ref="CU138" ca="1" si="6003">CI138+IF($T138 ="",CQ138,0)</f>
        <v>0</v>
      </c>
      <c r="CV138" s="391">
        <f t="shared" ref="CV138" ca="1" si="6004">CU138*$Z138</f>
        <v>0</v>
      </c>
      <c r="CW138" s="394">
        <f t="shared" ref="CW138" ca="1" si="6005">IFERROR(CV138/CF$4,0)</f>
        <v>0</v>
      </c>
      <c r="CX138" s="211" t="str">
        <f t="shared" ref="CX138" ca="1" si="6006">IF(SUM(CK138,CS138,CW138)&lt;&gt;0,"V","")</f>
        <v/>
      </c>
      <c r="CY138" s="197"/>
      <c r="CZ138" s="312" t="str">
        <f t="shared" ref="CZ138" ca="1" si="6007">IFERROR($X138/DA138-1,"")</f>
        <v/>
      </c>
      <c r="DA138" s="395"/>
      <c r="DB138" s="199">
        <f t="shared" ref="DB138" ca="1" si="6008">CY138*$X138</f>
        <v>0</v>
      </c>
      <c r="DC138" s="199">
        <f t="shared" ref="DC138" ca="1" si="6009">DB138*$Z138</f>
        <v>0</v>
      </c>
      <c r="DD138" s="216">
        <f t="shared" ref="DD138" ca="1" si="6010">IFERROR(DC138/CY$4,0)</f>
        <v>0</v>
      </c>
      <c r="DE138" s="202">
        <f t="shared" ref="DE138" ca="1" si="6011">DF138/$X138</f>
        <v>0</v>
      </c>
      <c r="DF138" s="203">
        <f t="shared" ref="DF138" ca="1" si="6012">DG138/$Z138</f>
        <v>0</v>
      </c>
      <c r="DG138" s="203">
        <f t="shared" ref="DG138" ca="1" si="6013">DH138*CY$4</f>
        <v>0</v>
      </c>
      <c r="DH138" s="204">
        <f ca="1">IF(CY$6&lt;&gt;"",$O138,$N138)-DD138</f>
        <v>0</v>
      </c>
      <c r="DI138" s="205"/>
      <c r="DJ138" s="206">
        <f t="shared" ref="DJ138" ca="1" si="6014">DI138*$X138</f>
        <v>0</v>
      </c>
      <c r="DK138" s="206">
        <f t="shared" ref="DK138" ca="1" si="6015">DJ138*$Z138</f>
        <v>0</v>
      </c>
      <c r="DL138" s="207">
        <f t="shared" ref="DL138" ca="1" si="6016">IFERROR(DK138/CY$4,0)</f>
        <v>0</v>
      </c>
      <c r="DM138" s="391">
        <f t="shared" si="5910"/>
        <v>0</v>
      </c>
      <c r="DN138" s="391">
        <f t="shared" ca="1" si="5338"/>
        <v>0</v>
      </c>
      <c r="DO138" s="391">
        <f t="shared" ca="1" si="5911"/>
        <v>0</v>
      </c>
      <c r="DP138" s="394">
        <f t="shared" ref="DP138" ca="1" si="6017">IFERROR(DO138/CY$4,0)</f>
        <v>0</v>
      </c>
      <c r="DQ138" s="209" t="str">
        <f t="shared" ref="DQ138" ca="1" si="6018">IF(SUM(DD138,DL138,DP138)&lt;&gt;0,"V","")</f>
        <v/>
      </c>
      <c r="DR138" s="197"/>
      <c r="DS138" s="312" t="str">
        <f t="shared" ca="1" si="5912"/>
        <v/>
      </c>
      <c r="DT138" s="395"/>
      <c r="DU138" s="199">
        <f t="shared" ca="1" si="5913"/>
        <v>0</v>
      </c>
      <c r="DV138" s="199">
        <f t="shared" ca="1" si="5914"/>
        <v>0</v>
      </c>
      <c r="DW138" s="216">
        <f t="shared" ca="1" si="5343"/>
        <v>0</v>
      </c>
      <c r="DX138" s="202">
        <f t="shared" ca="1" si="5915"/>
        <v>0</v>
      </c>
      <c r="DY138" s="203">
        <f t="shared" ca="1" si="5916"/>
        <v>0</v>
      </c>
      <c r="DZ138" s="203">
        <f t="shared" ca="1" si="5917"/>
        <v>0</v>
      </c>
      <c r="EA138" s="204">
        <f ca="1">IF(DR$6&lt;&gt;"",$O138,$N138)-DW138</f>
        <v>0</v>
      </c>
      <c r="EB138" s="205"/>
      <c r="EC138" s="206">
        <f t="shared" ca="1" si="5918"/>
        <v>0</v>
      </c>
      <c r="ED138" s="206">
        <f t="shared" ca="1" si="5919"/>
        <v>0</v>
      </c>
      <c r="EE138" s="207">
        <f t="shared" ca="1" si="5349"/>
        <v>0</v>
      </c>
      <c r="EF138" s="391">
        <f t="shared" si="5920"/>
        <v>0</v>
      </c>
      <c r="EG138" s="391">
        <f t="shared" ca="1" si="5921"/>
        <v>0</v>
      </c>
      <c r="EH138" s="391">
        <f t="shared" ca="1" si="5922"/>
        <v>0</v>
      </c>
      <c r="EI138" s="394">
        <f t="shared" ca="1" si="5353"/>
        <v>0</v>
      </c>
      <c r="EJ138" s="214"/>
      <c r="EK138" s="312" t="str">
        <f t="shared" ref="EK138" ca="1" si="6019">IFERROR($X138/EL138-1,"")</f>
        <v/>
      </c>
      <c r="EL138" s="222"/>
      <c r="EM138" s="199">
        <f t="shared" ref="EM138" ca="1" si="6020">EJ138*$X138</f>
        <v>0</v>
      </c>
      <c r="EN138" s="199">
        <f t="shared" ref="EN138" ca="1" si="6021">EM138*$Z138</f>
        <v>0</v>
      </c>
      <c r="EO138" s="216">
        <f t="shared" ref="EO138" ca="1" si="6022">IFERROR(EN138/EJ$4,0)</f>
        <v>0</v>
      </c>
      <c r="EP138" s="202">
        <f t="shared" ref="EP138" ca="1" si="6023">EQ138/$X138</f>
        <v>0</v>
      </c>
      <c r="EQ138" s="203">
        <f t="shared" ref="EQ138" ca="1" si="6024">ER138/$Z138</f>
        <v>0</v>
      </c>
      <c r="ER138" s="203">
        <f t="shared" ref="ER138" ca="1" si="6025">ES138*EJ$4</f>
        <v>0</v>
      </c>
      <c r="ES138" s="204">
        <f ca="1">IF(EJ$6&lt;&gt;"",$O138,$N138)-EO138</f>
        <v>0</v>
      </c>
      <c r="ET138" s="205"/>
      <c r="EU138" s="206">
        <f t="shared" ref="EU138" ca="1" si="6026">ET138*$X138</f>
        <v>0</v>
      </c>
      <c r="EV138" s="206">
        <f t="shared" ref="EV138" ca="1" si="6027">EU138*$Z138</f>
        <v>0</v>
      </c>
      <c r="EW138" s="207">
        <f t="shared" ref="EW138" ca="1" si="6028">IFERROR(EV138/EJ$4,0)</f>
        <v>0</v>
      </c>
      <c r="EX138" s="391">
        <f t="shared" ref="EX138" si="6029">EJ138+ET138</f>
        <v>0</v>
      </c>
      <c r="EY138" s="391">
        <f t="shared" ref="EY138" ca="1" si="6030">EM138+IF($T138 ="",EU138,0)</f>
        <v>0</v>
      </c>
      <c r="EZ138" s="391">
        <f t="shared" ref="EZ138" ca="1" si="6031">EY138*$Z138</f>
        <v>0</v>
      </c>
      <c r="FA138" s="394">
        <f t="shared" ref="FA138" ca="1" si="6032">IFERROR(EZ138/EJ$4,0)</f>
        <v>0</v>
      </c>
      <c r="FB138" s="212" t="str">
        <f t="shared" ref="FB138" ca="1" si="6033">IF(SUM(EO138,EW138,FA138)&lt;&gt;0,"V","")</f>
        <v/>
      </c>
      <c r="FC138" s="214"/>
      <c r="FD138" s="312" t="str">
        <f t="shared" ref="FD138" ca="1" si="6034">IFERROR($X138/FE138-1,"")</f>
        <v/>
      </c>
      <c r="FE138" s="215"/>
      <c r="FF138" s="199">
        <f t="shared" ref="FF138" ca="1" si="6035">FC138*$X138</f>
        <v>0</v>
      </c>
      <c r="FG138" s="199">
        <f t="shared" ref="FG138" ca="1" si="6036">FF138*$Z138</f>
        <v>0</v>
      </c>
      <c r="FH138" s="216">
        <f t="shared" ref="FH138" ca="1" si="6037">IFERROR(FG138/FC$4,0)</f>
        <v>0</v>
      </c>
      <c r="FI138" s="202">
        <f t="shared" ref="FI138" ca="1" si="6038">FJ138/$X138</f>
        <v>0</v>
      </c>
      <c r="FJ138" s="203">
        <f t="shared" ref="FJ138" ca="1" si="6039">FK138/$Z138</f>
        <v>0</v>
      </c>
      <c r="FK138" s="203">
        <f t="shared" ref="FK138" ca="1" si="6040">FL138*FC$4</f>
        <v>0</v>
      </c>
      <c r="FL138" s="204">
        <f ca="1">IF(FC$6&lt;&gt;"",$O138,$N138)-FH138</f>
        <v>0</v>
      </c>
      <c r="FM138" s="205"/>
      <c r="FN138" s="206">
        <f t="shared" ref="FN138" ca="1" si="6041">FM138*$X138</f>
        <v>0</v>
      </c>
      <c r="FO138" s="206">
        <f t="shared" ref="FO138" ca="1" si="6042">FN138*$Z138</f>
        <v>0</v>
      </c>
      <c r="FP138" s="207">
        <f t="shared" ref="FP138" ca="1" si="6043">IFERROR(FO138/FC$4,0)</f>
        <v>0</v>
      </c>
      <c r="FQ138" s="391">
        <f t="shared" ref="FQ138" si="6044">FC138+FM138</f>
        <v>0</v>
      </c>
      <c r="FR138" s="391">
        <f t="shared" ref="FR138" ca="1" si="6045">FF138+IF($T138 ="",FN138,0)</f>
        <v>0</v>
      </c>
      <c r="FS138" s="391">
        <f t="shared" ref="FS138" ca="1" si="6046">FR138*$Z138</f>
        <v>0</v>
      </c>
      <c r="FT138" s="394">
        <f t="shared" ref="FT138" ca="1" si="6047">IFERROR(FS138/FC$4,0)</f>
        <v>0</v>
      </c>
      <c r="FU138" s="209" t="str">
        <f t="shared" ref="FU138" ca="1" si="6048">IF(SUM(FH138,FP138,FT138)&lt;&gt;0,"V","")</f>
        <v/>
      </c>
    </row>
    <row r="139" spans="1:177" outlineLevel="2" x14ac:dyDescent="0.2">
      <c r="A139" s="366"/>
      <c r="B139" s="366"/>
      <c r="C139" s="367" t="str">
        <f t="shared" ca="1" si="5736"/>
        <v>LU1169821888:CHF</v>
      </c>
      <c r="D139" s="368" t="str">
        <f t="shared" ca="1" si="5737"/>
        <v>LU1169821888</v>
      </c>
      <c r="E139" s="369" t="str">
        <f ca="1">OFFSET(Origine,MATCH($F139,Descrizioni,0),MATCH(E$15,Intestazioni,0)-1,1,1)</f>
        <v>26751433</v>
      </c>
      <c r="F139" s="367" t="s">
        <v>496</v>
      </c>
      <c r="G139" s="414"/>
      <c r="H139" s="1713" t="str">
        <f ca="1">IF(OFFSET(Origine,MATCH($F139,Descrizioni,0),MATCH(H$15,Intestazioni,0)-1,1,1)&lt;&gt;"",HYPERLINK(OFFSET(Origine,MATCH($F139,Descrizioni,0),MATCH(H$15,Intestazioni,0)-1,1,1),""),"")</f>
        <v></v>
      </c>
      <c r="I139" s="1683" t="str">
        <f t="shared" ca="1" si="5738"/>
        <v>i</v>
      </c>
      <c r="J139" s="1713" t="str">
        <f t="shared" ca="1" si="5739"/>
        <v></v>
      </c>
      <c r="K139" s="1716" t="str">
        <f t="shared" ca="1" si="5739"/>
        <v></v>
      </c>
      <c r="L139" s="1717" t="str">
        <f t="shared" ca="1" si="5740"/>
        <v></v>
      </c>
      <c r="M139" s="366" t="str">
        <f t="shared" ca="1" si="5741"/>
        <v>Unit</v>
      </c>
      <c r="N139" s="429">
        <v>0.03</v>
      </c>
      <c r="O139" s="429">
        <v>0.03</v>
      </c>
      <c r="P139" s="418">
        <f t="shared" ca="1" si="4637"/>
        <v>1.1134386669495915E-2</v>
      </c>
      <c r="Q139" s="391">
        <f t="array" aca="1" ref="Q139" ca="1">SUM(IF($AA$15:$FT$15="I_pos",AA139:FT139))</f>
        <v>3617</v>
      </c>
      <c r="R139" s="391">
        <f t="array" aca="1" ref="R139" ca="1">SUM(IF($AA$15:$FT$15="P_Pos",AA139:FT139))</f>
        <v>6993.913717678437</v>
      </c>
      <c r="S139" s="367"/>
      <c r="T139" s="391"/>
      <c r="U139" s="375">
        <f t="shared" ca="1" si="5742"/>
        <v>-5.0438596491228005E-2</v>
      </c>
      <c r="V139" s="391">
        <f t="array" aca="1" ref="V139" ca="1">SUM(IF($AA$15:$FT$15="O_Pos",AA139:FT139))</f>
        <v>0</v>
      </c>
      <c r="W139" s="367" t="str">
        <f t="shared" ca="1" si="5945"/>
        <v>CHF</v>
      </c>
      <c r="X139" s="392">
        <f t="shared" ca="1" si="5946"/>
        <v>36.805</v>
      </c>
      <c r="Y139" s="393">
        <f t="shared" ca="1" si="5745"/>
        <v>0</v>
      </c>
      <c r="Z139" s="378">
        <f t="shared" ca="1" si="5858"/>
        <v>1.0000001300000001</v>
      </c>
      <c r="AA139" s="214">
        <f>500</f>
        <v>500</v>
      </c>
      <c r="AB139" s="312">
        <f t="shared" ca="1" si="5859"/>
        <v>0.99405116646981706</v>
      </c>
      <c r="AC139" s="215">
        <v>18.4574</v>
      </c>
      <c r="AD139" s="199">
        <f t="shared" ca="1" si="5860"/>
        <v>18402.5</v>
      </c>
      <c r="AE139" s="199">
        <f t="shared" ca="1" si="5861"/>
        <v>18402.502392325001</v>
      </c>
      <c r="AF139" s="216">
        <f t="shared" ca="1" si="4640"/>
        <v>3.2774056931352054E-2</v>
      </c>
      <c r="AG139" s="202">
        <f t="shared" ca="1" si="5862"/>
        <v>-42.32092684104601</v>
      </c>
      <c r="AH139" s="203">
        <f t="shared" ca="1" si="5863"/>
        <v>-1557.6217123846984</v>
      </c>
      <c r="AI139" s="203">
        <f t="shared" ca="1" si="5864"/>
        <v>-1557.6219148755213</v>
      </c>
      <c r="AJ139" s="204">
        <f ca="1">IF(AA$6&lt;&gt;"",$O139,$N139)-AF139</f>
        <v>-2.7740569313520549E-3</v>
      </c>
      <c r="AK139" s="205"/>
      <c r="AL139" s="206">
        <f t="shared" ca="1" si="5865"/>
        <v>0</v>
      </c>
      <c r="AM139" s="206">
        <f t="shared" ca="1" si="5866"/>
        <v>0</v>
      </c>
      <c r="AN139" s="207">
        <f t="shared" ca="1" si="4641"/>
        <v>0</v>
      </c>
      <c r="AO139" s="391">
        <f t="shared" si="5867"/>
        <v>500</v>
      </c>
      <c r="AP139" s="391">
        <f t="shared" ca="1" si="5295"/>
        <v>18402.5</v>
      </c>
      <c r="AQ139" s="391">
        <f t="shared" ca="1" si="5868"/>
        <v>18402.502392325001</v>
      </c>
      <c r="AR139" s="394">
        <f t="shared" ca="1" si="5869"/>
        <v>3.2774056931352054E-2</v>
      </c>
      <c r="AS139" s="209" t="str">
        <f t="shared" ca="1" si="5098"/>
        <v>V</v>
      </c>
      <c r="AT139" s="214"/>
      <c r="AU139" s="312" t="str">
        <f t="shared" ca="1" si="5870"/>
        <v/>
      </c>
      <c r="AV139" s="215"/>
      <c r="AW139" s="199">
        <f t="shared" ca="1" si="5871"/>
        <v>0</v>
      </c>
      <c r="AX139" s="199">
        <f t="shared" ca="1" si="5872"/>
        <v>0</v>
      </c>
      <c r="AY139" s="216">
        <f t="shared" ca="1" si="4643"/>
        <v>0</v>
      </c>
      <c r="AZ139" s="202">
        <f t="shared" ca="1" si="5873"/>
        <v>1411.6357615397012</v>
      </c>
      <c r="BA139" s="203">
        <f t="shared" ca="1" si="5874"/>
        <v>51955.254203468699</v>
      </c>
      <c r="BB139" s="203">
        <f t="shared" ca="1" si="5875"/>
        <v>51955.26095765175</v>
      </c>
      <c r="BC139" s="204">
        <f ca="1">IF(AT$6&lt;&gt;"",$O139,$N139)-AY139</f>
        <v>0.03</v>
      </c>
      <c r="BD139" s="205"/>
      <c r="BE139" s="206">
        <f t="shared" ca="1" si="5876"/>
        <v>0</v>
      </c>
      <c r="BF139" s="206">
        <f t="shared" ca="1" si="5877"/>
        <v>0</v>
      </c>
      <c r="BG139" s="207">
        <f t="shared" ca="1" si="4644"/>
        <v>0</v>
      </c>
      <c r="BH139" s="391">
        <f t="shared" si="5878"/>
        <v>0</v>
      </c>
      <c r="BI139" s="391">
        <f t="shared" ca="1" si="5308"/>
        <v>0</v>
      </c>
      <c r="BJ139" s="391">
        <f t="shared" ca="1" si="5879"/>
        <v>0</v>
      </c>
      <c r="BK139" s="394">
        <f t="shared" ca="1" si="5880"/>
        <v>0</v>
      </c>
      <c r="BL139" s="211" t="str">
        <f t="shared" ca="1" si="5109"/>
        <v/>
      </c>
      <c r="BM139" s="214">
        <f>280</f>
        <v>280</v>
      </c>
      <c r="BN139" s="312">
        <f t="shared" ca="1" si="5881"/>
        <v>0.57848914507260907</v>
      </c>
      <c r="BO139" s="215">
        <v>23.316600000000001</v>
      </c>
      <c r="BP139" s="199">
        <f t="shared" ca="1" si="5882"/>
        <v>10305.4</v>
      </c>
      <c r="BQ139" s="199">
        <f t="shared" ca="1" si="5883"/>
        <v>10305.401339702001</v>
      </c>
      <c r="BR139" s="216">
        <f t="shared" ca="1" si="4646"/>
        <v>3.6162824952717498E-2</v>
      </c>
      <c r="BS139" s="202">
        <f t="shared" ca="1" si="5884"/>
        <v>-47.717261829436474</v>
      </c>
      <c r="BT139" s="203">
        <f t="shared" ca="1" si="5885"/>
        <v>-1756.2338216324094</v>
      </c>
      <c r="BU139" s="203">
        <f t="shared" ca="1" si="5886"/>
        <v>-1756.2340499428065</v>
      </c>
      <c r="BV139" s="204">
        <f ca="1">IF(BM$6&lt;&gt;"",$O139,$N139)-BR139</f>
        <v>-6.1628249527174994E-3</v>
      </c>
      <c r="BW139" s="205"/>
      <c r="BX139" s="206">
        <f t="shared" ca="1" si="5887"/>
        <v>0</v>
      </c>
      <c r="BY139" s="206">
        <f t="shared" ca="1" si="5888"/>
        <v>0</v>
      </c>
      <c r="BZ139" s="207">
        <f t="shared" ca="1" si="4647"/>
        <v>0</v>
      </c>
      <c r="CA139" s="391">
        <f t="shared" si="5889"/>
        <v>280</v>
      </c>
      <c r="CB139" s="391">
        <f t="shared" ca="1" si="5321"/>
        <v>10305.4</v>
      </c>
      <c r="CC139" s="391">
        <f t="shared" ca="1" si="5890"/>
        <v>10305.401339702001</v>
      </c>
      <c r="CD139" s="394">
        <f t="shared" ca="1" si="5891"/>
        <v>3.6162824952717498E-2</v>
      </c>
      <c r="CE139" s="212" t="str">
        <f t="shared" ca="1" si="5120"/>
        <v>V</v>
      </c>
      <c r="CF139" s="214">
        <f>720</f>
        <v>720</v>
      </c>
      <c r="CG139" s="312">
        <f t="shared" ca="1" si="5892"/>
        <v>0.35521262533093245</v>
      </c>
      <c r="CH139" s="215">
        <v>27.158100000000001</v>
      </c>
      <c r="CI139" s="199">
        <f t="shared" ca="1" si="5893"/>
        <v>26499.599999999999</v>
      </c>
      <c r="CJ139" s="199">
        <f t="shared" ca="1" si="5894"/>
        <v>26499.603444947999</v>
      </c>
      <c r="CK139" s="216">
        <f t="shared" ca="1" si="4412"/>
        <v>2.994442266638429E-2</v>
      </c>
      <c r="CL139" s="202">
        <f t="shared" ca="1" si="5895"/>
        <v>1.3363316651361681</v>
      </c>
      <c r="CM139" s="203">
        <f t="shared" ca="1" si="5896"/>
        <v>49.183686935336667</v>
      </c>
      <c r="CN139" s="203">
        <f t="shared" ca="1" si="5897"/>
        <v>49.18369332921597</v>
      </c>
      <c r="CO139" s="204">
        <f ca="1">IF(CF$6&lt;&gt;"",$O139,$N139)-CK139</f>
        <v>5.5577333615709074E-5</v>
      </c>
      <c r="CP139" s="205"/>
      <c r="CQ139" s="206">
        <f t="shared" ca="1" si="5898"/>
        <v>0</v>
      </c>
      <c r="CR139" s="206">
        <f t="shared" ca="1" si="5899"/>
        <v>0</v>
      </c>
      <c r="CS139" s="207">
        <f t="shared" ca="1" si="4418"/>
        <v>0</v>
      </c>
      <c r="CT139" s="391">
        <f t="shared" si="5900"/>
        <v>720</v>
      </c>
      <c r="CU139" s="391">
        <f t="shared" ca="1" si="5334"/>
        <v>26499.599999999999</v>
      </c>
      <c r="CV139" s="391">
        <f t="shared" ca="1" si="5901"/>
        <v>26499.603444947999</v>
      </c>
      <c r="CW139" s="394">
        <f t="shared" ca="1" si="4463"/>
        <v>2.994442266638429E-2</v>
      </c>
      <c r="CX139" s="211" t="str">
        <f t="shared" ca="1" si="5130"/>
        <v>V</v>
      </c>
      <c r="CY139" s="197">
        <v>2117</v>
      </c>
      <c r="CZ139" s="312">
        <f t="shared" ca="1" si="5902"/>
        <v>1.2346690953248332</v>
      </c>
      <c r="DA139" s="395">
        <v>16.47</v>
      </c>
      <c r="DB139" s="199">
        <f t="shared" ca="1" si="5903"/>
        <v>77916.184999999998</v>
      </c>
      <c r="DC139" s="199">
        <f t="shared" ca="1" si="5904"/>
        <v>77916.19512910406</v>
      </c>
      <c r="DD139" s="216">
        <f t="shared" ca="1" si="4717"/>
        <v>2.1731405108721777E-2</v>
      </c>
      <c r="DE139" s="202">
        <f t="shared" ca="1" si="5905"/>
        <v>805.49855369502166</v>
      </c>
      <c r="DF139" s="203">
        <f t="shared" ca="1" si="5906"/>
        <v>29646.374268745272</v>
      </c>
      <c r="DG139" s="203">
        <f t="shared" ca="1" si="5907"/>
        <v>29646.378122773931</v>
      </c>
      <c r="DH139" s="204">
        <f ca="1">IF(CY$6&lt;&gt;"",$O139,$N139)-DD139</f>
        <v>8.268594891278222E-3</v>
      </c>
      <c r="DI139" s="205"/>
      <c r="DJ139" s="206">
        <f t="shared" ca="1" si="5908"/>
        <v>0</v>
      </c>
      <c r="DK139" s="206">
        <f t="shared" ca="1" si="5909"/>
        <v>0</v>
      </c>
      <c r="DL139" s="207">
        <f t="shared" ca="1" si="4718"/>
        <v>0</v>
      </c>
      <c r="DM139" s="391">
        <f t="shared" si="5910"/>
        <v>2117</v>
      </c>
      <c r="DN139" s="391">
        <f t="shared" ca="1" si="5338"/>
        <v>77916.184999999998</v>
      </c>
      <c r="DO139" s="391">
        <f t="shared" ca="1" si="5911"/>
        <v>77916.19512910406</v>
      </c>
      <c r="DP139" s="394">
        <f t="shared" ca="1" si="5339"/>
        <v>2.1731405108721777E-2</v>
      </c>
      <c r="DQ139" s="209" t="str">
        <f t="shared" ca="1" si="5140"/>
        <v>V</v>
      </c>
      <c r="DR139" s="197"/>
      <c r="DS139" s="312" t="str">
        <f t="shared" ca="1" si="5912"/>
        <v/>
      </c>
      <c r="DT139" s="395"/>
      <c r="DU139" s="199">
        <f t="shared" ca="1" si="5913"/>
        <v>0</v>
      </c>
      <c r="DV139" s="199">
        <f t="shared" ca="1" si="5914"/>
        <v>0</v>
      </c>
      <c r="DW139" s="216">
        <f t="shared" ca="1" si="5343"/>
        <v>0</v>
      </c>
      <c r="DX139" s="202">
        <f t="shared" ca="1" si="5915"/>
        <v>572.00901635016317</v>
      </c>
      <c r="DY139" s="203">
        <f t="shared" ca="1" si="5916"/>
        <v>21052.791846767755</v>
      </c>
      <c r="DZ139" s="203">
        <f t="shared" ca="1" si="5917"/>
        <v>21052.794583630697</v>
      </c>
      <c r="EA139" s="204">
        <f ca="1">IF(DR$6&lt;&gt;"",$O139,$N139)-DW139</f>
        <v>0.03</v>
      </c>
      <c r="EB139" s="205"/>
      <c r="EC139" s="206">
        <f t="shared" ca="1" si="5918"/>
        <v>0</v>
      </c>
      <c r="ED139" s="206">
        <f t="shared" ca="1" si="5919"/>
        <v>0</v>
      </c>
      <c r="EE139" s="207">
        <f t="shared" ca="1" si="5349"/>
        <v>0</v>
      </c>
      <c r="EF139" s="391">
        <f t="shared" si="5920"/>
        <v>0</v>
      </c>
      <c r="EG139" s="391">
        <f t="shared" ca="1" si="5921"/>
        <v>0</v>
      </c>
      <c r="EH139" s="391">
        <f t="shared" ca="1" si="5922"/>
        <v>0</v>
      </c>
      <c r="EI139" s="394">
        <f t="shared" ca="1" si="5353"/>
        <v>0</v>
      </c>
      <c r="EJ139" s="214"/>
      <c r="EK139" s="312" t="str">
        <f t="shared" ca="1" si="5923"/>
        <v/>
      </c>
      <c r="EL139" s="222"/>
      <c r="EM139" s="199">
        <f t="shared" ca="1" si="5924"/>
        <v>0</v>
      </c>
      <c r="EN139" s="199">
        <f t="shared" ca="1" si="5925"/>
        <v>0</v>
      </c>
      <c r="EO139" s="216">
        <f t="shared" ca="1" si="4649"/>
        <v>0</v>
      </c>
      <c r="EP139" s="202">
        <f t="shared" ca="1" si="5926"/>
        <v>578.52040465611481</v>
      </c>
      <c r="EQ139" s="203">
        <f t="shared" ca="1" si="5927"/>
        <v>21292.443493368304</v>
      </c>
      <c r="ER139" s="203">
        <f t="shared" ca="1" si="5928"/>
        <v>21292.446261385961</v>
      </c>
      <c r="ES139" s="204">
        <f ca="1">IF(EJ$6&lt;&gt;"",$O139,$N139)-EO139</f>
        <v>0.03</v>
      </c>
      <c r="ET139" s="205"/>
      <c r="EU139" s="206">
        <f t="shared" ca="1" si="5929"/>
        <v>0</v>
      </c>
      <c r="EV139" s="206">
        <f t="shared" ca="1" si="5930"/>
        <v>0</v>
      </c>
      <c r="EW139" s="207">
        <f t="shared" ca="1" si="4650"/>
        <v>0</v>
      </c>
      <c r="EX139" s="391">
        <f t="shared" si="5931"/>
        <v>0</v>
      </c>
      <c r="EY139" s="391">
        <f t="shared" ca="1" si="5364"/>
        <v>0</v>
      </c>
      <c r="EZ139" s="391">
        <f t="shared" ca="1" si="5932"/>
        <v>0</v>
      </c>
      <c r="FA139" s="394">
        <f t="shared" ca="1" si="5933"/>
        <v>0</v>
      </c>
      <c r="FB139" s="212" t="str">
        <f t="shared" ca="1" si="5151"/>
        <v/>
      </c>
      <c r="FC139" s="214"/>
      <c r="FD139" s="312" t="str">
        <f t="shared" ca="1" si="5934"/>
        <v/>
      </c>
      <c r="FE139" s="215"/>
      <c r="FF139" s="199">
        <f t="shared" ca="1" si="5935"/>
        <v>0</v>
      </c>
      <c r="FG139" s="199">
        <f t="shared" ca="1" si="5936"/>
        <v>0</v>
      </c>
      <c r="FH139" s="216">
        <f t="shared" ca="1" si="4653"/>
        <v>0</v>
      </c>
      <c r="FI139" s="202">
        <f t="shared" ca="1" si="5937"/>
        <v>3714.951838442782</v>
      </c>
      <c r="FJ139" s="203">
        <f t="shared" ca="1" si="5938"/>
        <v>136728.80241388659</v>
      </c>
      <c r="FK139" s="203">
        <f t="shared" ca="1" si="5939"/>
        <v>136728.82018863093</v>
      </c>
      <c r="FL139" s="204">
        <f ca="1">IF(FC$6&lt;&gt;"",$O139,$N139)-FH139</f>
        <v>0.03</v>
      </c>
      <c r="FM139" s="205"/>
      <c r="FN139" s="206">
        <f t="shared" ca="1" si="5940"/>
        <v>0</v>
      </c>
      <c r="FO139" s="206">
        <f t="shared" ca="1" si="5941"/>
        <v>0</v>
      </c>
      <c r="FP139" s="207">
        <f t="shared" ca="1" si="4654"/>
        <v>0</v>
      </c>
      <c r="FQ139" s="391">
        <f t="shared" si="5942"/>
        <v>0</v>
      </c>
      <c r="FR139" s="391">
        <f t="shared" ca="1" si="5378"/>
        <v>0</v>
      </c>
      <c r="FS139" s="391">
        <f t="shared" ca="1" si="5943"/>
        <v>0</v>
      </c>
      <c r="FT139" s="394">
        <f t="shared" ca="1" si="5944"/>
        <v>0</v>
      </c>
      <c r="FU139" s="209" t="str">
        <f t="shared" ca="1" si="5162"/>
        <v/>
      </c>
    </row>
    <row r="140" spans="1:177" outlineLevel="2" x14ac:dyDescent="0.2">
      <c r="A140" s="366"/>
      <c r="B140" s="366"/>
      <c r="C140" s="367" t="str">
        <f t="shared" ca="1" si="5736"/>
        <v>IE00B8J37J31:CHF</v>
      </c>
      <c r="D140" s="368" t="str">
        <f t="shared" ca="1" si="5737"/>
        <v>IE00B8J37J31</v>
      </c>
      <c r="E140" s="369" t="str">
        <f ca="1">OFFSET(Origine,MATCH($F140,Descrizioni,0),MATCH(E$15,Intestazioni,0)-1,1,1)</f>
        <v>19328344</v>
      </c>
      <c r="F140" s="367" t="s">
        <v>772</v>
      </c>
      <c r="G140" s="414"/>
      <c r="H140" s="1713" t="str">
        <f ca="1">IF(OFFSET(Origine,MATCH($F140,Descrizioni,0),MATCH(H$15,Intestazioni,0)-1,1,1)&lt;&gt;"",HYPERLINK(OFFSET(Origine,MATCH($F140,Descrizioni,0),MATCH(H$15,Intestazioni,0)-1,1,1),""),"")</f>
        <v></v>
      </c>
      <c r="I140" s="1683" t="str">
        <f t="shared" ca="1" si="5738"/>
        <v>i</v>
      </c>
      <c r="J140" s="1713" t="str">
        <f t="shared" ca="1" si="5739"/>
        <v></v>
      </c>
      <c r="K140" s="1716" t="str">
        <f t="shared" ca="1" si="5739"/>
        <v></v>
      </c>
      <c r="L140" s="1717" t="str">
        <f t="shared" ca="1" si="5740"/>
        <v></v>
      </c>
      <c r="M140" s="366" t="str">
        <f t="shared" ca="1" si="5741"/>
        <v>Unit</v>
      </c>
      <c r="N140" s="417"/>
      <c r="O140" s="417"/>
      <c r="P140" s="418">
        <f t="shared" ca="1" si="4637"/>
        <v>0</v>
      </c>
      <c r="Q140" s="391">
        <f t="array" aca="1" ref="Q140" ca="1">SUM(IF($AA$15:$FT$15="I_pos",AA140:FT140))</f>
        <v>2500</v>
      </c>
      <c r="R140" s="391">
        <f t="array" aca="1" ref="R140" ca="1">SUM(IF($AA$15:$FT$15="P_Pos",AA140:FT140))</f>
        <v>-2500</v>
      </c>
      <c r="S140" s="367"/>
      <c r="T140" s="391"/>
      <c r="U140" s="375">
        <f t="shared" ca="1" si="5742"/>
        <v>-5.2046332046332001E-2</v>
      </c>
      <c r="V140" s="391">
        <f t="array" aca="1" ref="V140" ca="1">SUM(IF($AA$15:$FT$15="O_Pos",AA140:FT140))</f>
        <v>0</v>
      </c>
      <c r="W140" s="367" t="str">
        <f t="shared" ref="W140" ca="1" si="6049">OFFSET(Origine,MATCH($F140,Descrizioni,0),MATCH(W$15,Intestazioni,0)-1,1,1)</f>
        <v>CHF</v>
      </c>
      <c r="X140" s="392">
        <f t="shared" ref="X140" ca="1" si="6050">_xlfn.NUMBERVALUE(OFFSET(Origine,MATCH($F140,Descrizioni,0),MATCH(X$15,Intestazioni,0)-1,1,1))</f>
        <v>122.76</v>
      </c>
      <c r="Y140" s="393">
        <f t="shared" ca="1" si="5745"/>
        <v>0</v>
      </c>
      <c r="Z140" s="378">
        <f t="shared" ca="1" si="5858"/>
        <v>1.0000001300000001</v>
      </c>
      <c r="AA140" s="214"/>
      <c r="AB140" s="312" t="str">
        <f t="shared" ca="1" si="5859"/>
        <v/>
      </c>
      <c r="AC140" s="215"/>
      <c r="AD140" s="199">
        <f t="shared" ca="1" si="5860"/>
        <v>0</v>
      </c>
      <c r="AE140" s="199">
        <f t="shared" ca="1" si="5861"/>
        <v>0</v>
      </c>
      <c r="AF140" s="216">
        <f t="shared" ca="1" si="4640"/>
        <v>0</v>
      </c>
      <c r="AG140" s="202">
        <f t="shared" ca="1" si="5862"/>
        <v>0</v>
      </c>
      <c r="AH140" s="203">
        <f t="shared" ca="1" si="5863"/>
        <v>0</v>
      </c>
      <c r="AI140" s="203">
        <f t="shared" ca="1" si="5864"/>
        <v>0</v>
      </c>
      <c r="AJ140" s="204">
        <f ca="1">IF(AA$6&lt;&gt;"",$O140,$N140)-AF140</f>
        <v>0</v>
      </c>
      <c r="AK140" s="205"/>
      <c r="AL140" s="206">
        <f t="shared" ca="1" si="5865"/>
        <v>0</v>
      </c>
      <c r="AM140" s="206">
        <f t="shared" ca="1" si="5866"/>
        <v>0</v>
      </c>
      <c r="AN140" s="207">
        <f t="shared" ca="1" si="4641"/>
        <v>0</v>
      </c>
      <c r="AO140" s="391">
        <f t="shared" si="5867"/>
        <v>0</v>
      </c>
      <c r="AP140" s="391">
        <f t="shared" ca="1" si="5295"/>
        <v>0</v>
      </c>
      <c r="AQ140" s="391">
        <f t="shared" ca="1" si="5868"/>
        <v>0</v>
      </c>
      <c r="AR140" s="394">
        <f t="shared" ca="1" si="5869"/>
        <v>0</v>
      </c>
      <c r="AS140" s="209" t="str">
        <f t="shared" ca="1" si="5098"/>
        <v/>
      </c>
      <c r="AT140" s="214"/>
      <c r="AU140" s="312" t="str">
        <f t="shared" ca="1" si="5870"/>
        <v/>
      </c>
      <c r="AV140" s="215"/>
      <c r="AW140" s="199">
        <f t="shared" ca="1" si="5871"/>
        <v>0</v>
      </c>
      <c r="AX140" s="199">
        <f t="shared" ca="1" si="5872"/>
        <v>0</v>
      </c>
      <c r="AY140" s="216">
        <f t="shared" ca="1" si="4643"/>
        <v>0</v>
      </c>
      <c r="AZ140" s="202">
        <f t="shared" ca="1" si="5873"/>
        <v>0</v>
      </c>
      <c r="BA140" s="203">
        <f t="shared" ca="1" si="5874"/>
        <v>0</v>
      </c>
      <c r="BB140" s="203">
        <f t="shared" ca="1" si="5875"/>
        <v>0</v>
      </c>
      <c r="BC140" s="204">
        <f ca="1">IF(AT$6&lt;&gt;"",$O140,$N140)-AY140</f>
        <v>0</v>
      </c>
      <c r="BD140" s="205"/>
      <c r="BE140" s="206">
        <f t="shared" ca="1" si="5876"/>
        <v>0</v>
      </c>
      <c r="BF140" s="206">
        <f t="shared" ca="1" si="5877"/>
        <v>0</v>
      </c>
      <c r="BG140" s="207">
        <f t="shared" ca="1" si="4644"/>
        <v>0</v>
      </c>
      <c r="BH140" s="391">
        <f t="shared" si="5878"/>
        <v>0</v>
      </c>
      <c r="BI140" s="391">
        <f t="shared" ca="1" si="5308"/>
        <v>0</v>
      </c>
      <c r="BJ140" s="391">
        <f t="shared" ca="1" si="5879"/>
        <v>0</v>
      </c>
      <c r="BK140" s="394">
        <f t="shared" ca="1" si="5880"/>
        <v>0</v>
      </c>
      <c r="BL140" s="211" t="str">
        <f t="shared" ca="1" si="5109"/>
        <v/>
      </c>
      <c r="BM140" s="214"/>
      <c r="BN140" s="312" t="str">
        <f t="shared" ca="1" si="5881"/>
        <v/>
      </c>
      <c r="BO140" s="215"/>
      <c r="BP140" s="199">
        <f t="shared" ca="1" si="5882"/>
        <v>0</v>
      </c>
      <c r="BQ140" s="199">
        <f t="shared" ca="1" si="5883"/>
        <v>0</v>
      </c>
      <c r="BR140" s="216">
        <f t="shared" ca="1" si="4646"/>
        <v>0</v>
      </c>
      <c r="BS140" s="202">
        <f t="shared" ca="1" si="5884"/>
        <v>0</v>
      </c>
      <c r="BT140" s="203">
        <f t="shared" ca="1" si="5885"/>
        <v>0</v>
      </c>
      <c r="BU140" s="203">
        <f t="shared" ca="1" si="5886"/>
        <v>0</v>
      </c>
      <c r="BV140" s="204">
        <f ca="1">IF(BM$6&lt;&gt;"",$O140,$N140)-BR140</f>
        <v>0</v>
      </c>
      <c r="BW140" s="205"/>
      <c r="BX140" s="206">
        <f t="shared" ca="1" si="5887"/>
        <v>0</v>
      </c>
      <c r="BY140" s="206">
        <f t="shared" ca="1" si="5888"/>
        <v>0</v>
      </c>
      <c r="BZ140" s="207">
        <f t="shared" ca="1" si="4647"/>
        <v>0</v>
      </c>
      <c r="CA140" s="391">
        <f t="shared" si="5889"/>
        <v>0</v>
      </c>
      <c r="CB140" s="391">
        <f t="shared" ca="1" si="5321"/>
        <v>0</v>
      </c>
      <c r="CC140" s="391">
        <f t="shared" ca="1" si="5890"/>
        <v>0</v>
      </c>
      <c r="CD140" s="394">
        <f t="shared" ca="1" si="5891"/>
        <v>0</v>
      </c>
      <c r="CE140" s="212" t="str">
        <f t="shared" ca="1" si="5120"/>
        <v/>
      </c>
      <c r="CF140" s="214"/>
      <c r="CG140" s="312" t="str">
        <f t="shared" ca="1" si="5892"/>
        <v/>
      </c>
      <c r="CH140" s="215"/>
      <c r="CI140" s="199">
        <f t="shared" ca="1" si="5893"/>
        <v>0</v>
      </c>
      <c r="CJ140" s="199">
        <f t="shared" ca="1" si="5894"/>
        <v>0</v>
      </c>
      <c r="CK140" s="216">
        <f t="shared" ca="1" si="4412"/>
        <v>0</v>
      </c>
      <c r="CL140" s="202">
        <f t="shared" ca="1" si="5895"/>
        <v>0</v>
      </c>
      <c r="CM140" s="203">
        <f t="shared" ca="1" si="5896"/>
        <v>0</v>
      </c>
      <c r="CN140" s="203">
        <f t="shared" ca="1" si="5897"/>
        <v>0</v>
      </c>
      <c r="CO140" s="204">
        <f ca="1">IF(CF$6&lt;&gt;"",$O140,$N140)-CK140</f>
        <v>0</v>
      </c>
      <c r="CP140" s="205"/>
      <c r="CQ140" s="206">
        <f t="shared" ca="1" si="5898"/>
        <v>0</v>
      </c>
      <c r="CR140" s="206">
        <f t="shared" ca="1" si="5899"/>
        <v>0</v>
      </c>
      <c r="CS140" s="207">
        <f t="shared" ca="1" si="4418"/>
        <v>0</v>
      </c>
      <c r="CT140" s="391">
        <f t="shared" si="5900"/>
        <v>0</v>
      </c>
      <c r="CU140" s="391">
        <f t="shared" ca="1" si="5334"/>
        <v>0</v>
      </c>
      <c r="CV140" s="391">
        <f t="shared" ca="1" si="5901"/>
        <v>0</v>
      </c>
      <c r="CW140" s="394">
        <f t="shared" ca="1" si="4463"/>
        <v>0</v>
      </c>
      <c r="CX140" s="211" t="str">
        <f t="shared" ca="1" si="5130"/>
        <v/>
      </c>
      <c r="CY140" s="197"/>
      <c r="CZ140" s="312" t="str">
        <f t="shared" ca="1" si="5902"/>
        <v/>
      </c>
      <c r="DA140" s="395"/>
      <c r="DB140" s="199">
        <f t="shared" ca="1" si="5903"/>
        <v>0</v>
      </c>
      <c r="DC140" s="199">
        <f t="shared" ca="1" si="5904"/>
        <v>0</v>
      </c>
      <c r="DD140" s="216">
        <f t="shared" ca="1" si="4717"/>
        <v>0</v>
      </c>
      <c r="DE140" s="202">
        <f t="shared" ca="1" si="5905"/>
        <v>0</v>
      </c>
      <c r="DF140" s="203">
        <f t="shared" ca="1" si="5906"/>
        <v>0</v>
      </c>
      <c r="DG140" s="203">
        <f t="shared" ca="1" si="5907"/>
        <v>0</v>
      </c>
      <c r="DH140" s="204">
        <f ca="1">IF(CY$6&lt;&gt;"",$O140,$N140)-DD140</f>
        <v>0</v>
      </c>
      <c r="DI140" s="205"/>
      <c r="DJ140" s="206">
        <f t="shared" ca="1" si="5908"/>
        <v>0</v>
      </c>
      <c r="DK140" s="206">
        <f t="shared" ca="1" si="5909"/>
        <v>0</v>
      </c>
      <c r="DL140" s="207">
        <f t="shared" ca="1" si="4718"/>
        <v>0</v>
      </c>
      <c r="DM140" s="391">
        <f t="shared" si="5910"/>
        <v>0</v>
      </c>
      <c r="DN140" s="391">
        <f t="shared" ca="1" si="5338"/>
        <v>0</v>
      </c>
      <c r="DO140" s="391">
        <f t="shared" ca="1" si="5911"/>
        <v>0</v>
      </c>
      <c r="DP140" s="394">
        <f t="shared" ca="1" si="5339"/>
        <v>0</v>
      </c>
      <c r="DQ140" s="209" t="str">
        <f t="shared" ca="1" si="5140"/>
        <v/>
      </c>
      <c r="DR140" s="197"/>
      <c r="DS140" s="312" t="str">
        <f t="shared" ca="1" si="5912"/>
        <v/>
      </c>
      <c r="DT140" s="395"/>
      <c r="DU140" s="199">
        <f t="shared" ca="1" si="5913"/>
        <v>0</v>
      </c>
      <c r="DV140" s="199">
        <f t="shared" ca="1" si="5914"/>
        <v>0</v>
      </c>
      <c r="DW140" s="216">
        <f t="shared" ca="1" si="5343"/>
        <v>0</v>
      </c>
      <c r="DX140" s="202">
        <f t="shared" ca="1" si="5915"/>
        <v>0</v>
      </c>
      <c r="DY140" s="203">
        <f t="shared" ca="1" si="5916"/>
        <v>0</v>
      </c>
      <c r="DZ140" s="203">
        <f t="shared" ca="1" si="5917"/>
        <v>0</v>
      </c>
      <c r="EA140" s="204">
        <f ca="1">IF(DR$6&lt;&gt;"",$O140,$N140)-DW140</f>
        <v>0</v>
      </c>
      <c r="EB140" s="205"/>
      <c r="EC140" s="206">
        <f t="shared" ca="1" si="5918"/>
        <v>0</v>
      </c>
      <c r="ED140" s="206">
        <f t="shared" ca="1" si="5919"/>
        <v>0</v>
      </c>
      <c r="EE140" s="207">
        <f t="shared" ca="1" si="5349"/>
        <v>0</v>
      </c>
      <c r="EF140" s="391">
        <f t="shared" si="5920"/>
        <v>0</v>
      </c>
      <c r="EG140" s="391">
        <f t="shared" ca="1" si="5921"/>
        <v>0</v>
      </c>
      <c r="EH140" s="391">
        <f t="shared" ca="1" si="5922"/>
        <v>0</v>
      </c>
      <c r="EI140" s="394">
        <f t="shared" ca="1" si="5353"/>
        <v>0</v>
      </c>
      <c r="EJ140" s="214"/>
      <c r="EK140" s="312" t="str">
        <f t="shared" ca="1" si="5923"/>
        <v/>
      </c>
      <c r="EL140" s="222"/>
      <c r="EM140" s="199">
        <f t="shared" ca="1" si="5924"/>
        <v>0</v>
      </c>
      <c r="EN140" s="199">
        <f t="shared" ca="1" si="5925"/>
        <v>0</v>
      </c>
      <c r="EO140" s="216">
        <f t="shared" ca="1" si="4649"/>
        <v>0</v>
      </c>
      <c r="EP140" s="202">
        <f t="shared" ca="1" si="5926"/>
        <v>0</v>
      </c>
      <c r="EQ140" s="203">
        <f t="shared" ca="1" si="5927"/>
        <v>0</v>
      </c>
      <c r="ER140" s="203">
        <f t="shared" ca="1" si="5928"/>
        <v>0</v>
      </c>
      <c r="ES140" s="204">
        <f ca="1">IF(EJ$6&lt;&gt;"",$O140,$N140)-EO140</f>
        <v>0</v>
      </c>
      <c r="ET140" s="205"/>
      <c r="EU140" s="206">
        <f t="shared" ca="1" si="5929"/>
        <v>0</v>
      </c>
      <c r="EV140" s="206">
        <f t="shared" ca="1" si="5930"/>
        <v>0</v>
      </c>
      <c r="EW140" s="207">
        <f t="shared" ca="1" si="4650"/>
        <v>0</v>
      </c>
      <c r="EX140" s="391">
        <f t="shared" si="5931"/>
        <v>0</v>
      </c>
      <c r="EY140" s="391">
        <f t="shared" ca="1" si="5364"/>
        <v>0</v>
      </c>
      <c r="EZ140" s="391">
        <f t="shared" ca="1" si="5932"/>
        <v>0</v>
      </c>
      <c r="FA140" s="394">
        <f t="shared" ca="1" si="5933"/>
        <v>0</v>
      </c>
      <c r="FB140" s="212" t="str">
        <f t="shared" ca="1" si="5151"/>
        <v/>
      </c>
      <c r="FC140" s="214">
        <v>2500</v>
      </c>
      <c r="FD140" s="312">
        <f t="shared" ca="1" si="5934"/>
        <v>2.0139945985759886</v>
      </c>
      <c r="FE140" s="215">
        <v>40.729999999999997</v>
      </c>
      <c r="FF140" s="199">
        <f t="shared" ca="1" si="5935"/>
        <v>306900</v>
      </c>
      <c r="FG140" s="199">
        <f t="shared" ca="1" si="5936"/>
        <v>306900.03989700001</v>
      </c>
      <c r="FH140" s="216">
        <f t="shared" ca="1" si="4653"/>
        <v>6.7337677486048894E-2</v>
      </c>
      <c r="FI140" s="202">
        <f t="shared" ca="1" si="5937"/>
        <v>-2500</v>
      </c>
      <c r="FJ140" s="203">
        <f t="shared" ca="1" si="5938"/>
        <v>-306900</v>
      </c>
      <c r="FK140" s="203">
        <f t="shared" ca="1" si="5939"/>
        <v>-306900.03989700001</v>
      </c>
      <c r="FL140" s="204">
        <f ca="1">IF(FC$6&lt;&gt;"",$O140,$N140)-FH140</f>
        <v>-6.7337677486048894E-2</v>
      </c>
      <c r="FM140" s="205"/>
      <c r="FN140" s="206">
        <f t="shared" ca="1" si="5940"/>
        <v>0</v>
      </c>
      <c r="FO140" s="206">
        <f t="shared" ca="1" si="5941"/>
        <v>0</v>
      </c>
      <c r="FP140" s="207">
        <f t="shared" ca="1" si="4654"/>
        <v>0</v>
      </c>
      <c r="FQ140" s="391">
        <f t="shared" si="5942"/>
        <v>2500</v>
      </c>
      <c r="FR140" s="391">
        <f t="shared" ca="1" si="5378"/>
        <v>306900</v>
      </c>
      <c r="FS140" s="391">
        <f t="shared" ca="1" si="5943"/>
        <v>306900.03989700001</v>
      </c>
      <c r="FT140" s="394">
        <f t="shared" ca="1" si="5944"/>
        <v>6.7337677486048894E-2</v>
      </c>
      <c r="FU140" s="209" t="str">
        <f t="shared" ca="1" si="5162"/>
        <v>V</v>
      </c>
    </row>
    <row r="141" spans="1:177" outlineLevel="1" x14ac:dyDescent="0.2">
      <c r="A141" s="345"/>
      <c r="B141" s="345" t="s">
        <v>420</v>
      </c>
      <c r="C141" s="346"/>
      <c r="D141" s="347"/>
      <c r="E141" s="348"/>
      <c r="F141" s="346"/>
      <c r="G141" s="349"/>
      <c r="H141" s="1682"/>
      <c r="I141" s="1682"/>
      <c r="J141" s="1712"/>
      <c r="K141" s="1682"/>
      <c r="L141" s="1682"/>
      <c r="M141" s="345"/>
      <c r="N141" s="350">
        <f>SUM(N$142:N$151)</f>
        <v>4.4999999999999998E-2</v>
      </c>
      <c r="O141" s="350">
        <f>SUM(O$142:O$151)</f>
        <v>0</v>
      </c>
      <c r="P141" s="351">
        <f t="shared" ca="1" si="4637"/>
        <v>3.9799316720629876E-2</v>
      </c>
      <c r="Q141" s="421"/>
      <c r="R141" s="421"/>
      <c r="S141" s="346"/>
      <c r="T141" s="421"/>
      <c r="U141" s="353"/>
      <c r="V141" s="422"/>
      <c r="W141" s="346"/>
      <c r="X141" s="355"/>
      <c r="Y141" s="355"/>
      <c r="Z141" s="356"/>
      <c r="AA141" s="357"/>
      <c r="AB141" s="358"/>
      <c r="AC141" s="358"/>
      <c r="AD141" s="359"/>
      <c r="AE141" s="360">
        <f ca="1">SUM(AE$142:AE$151)</f>
        <v>24286.906875000001</v>
      </c>
      <c r="AF141" s="361">
        <f t="shared" ca="1" si="4640"/>
        <v>4.3253925560671001E-2</v>
      </c>
      <c r="AG141" s="362"/>
      <c r="AH141" s="359"/>
      <c r="AI141" s="360">
        <f ca="1">SUM(AI$142:AI$151)</f>
        <v>980.41384117421899</v>
      </c>
      <c r="AJ141" s="363">
        <f ca="1">IFERROR(AI141/AA$4,0)</f>
        <v>1.7460744393289972E-3</v>
      </c>
      <c r="AK141" s="362"/>
      <c r="AL141" s="359"/>
      <c r="AM141" s="360">
        <f ca="1">SUM(AM$142:AM$151)</f>
        <v>0</v>
      </c>
      <c r="AN141" s="363">
        <f t="shared" ca="1" si="4641"/>
        <v>0</v>
      </c>
      <c r="AO141" s="359"/>
      <c r="AP141" s="359"/>
      <c r="AQ141" s="360">
        <f ca="1">SUM(AQ$142:AQ$151)</f>
        <v>24286.906875000001</v>
      </c>
      <c r="AR141" s="361">
        <f t="shared" ca="1" si="5869"/>
        <v>4.3253925560671001E-2</v>
      </c>
      <c r="AS141" s="364" t="str">
        <f t="shared" ca="1" si="5098"/>
        <v>V</v>
      </c>
      <c r="AT141" s="357"/>
      <c r="AU141" s="358"/>
      <c r="AV141" s="358"/>
      <c r="AW141" s="359"/>
      <c r="AX141" s="360">
        <f ca="1">SUM(AX$142:AX$151)</f>
        <v>70189.747556250004</v>
      </c>
      <c r="AY141" s="361">
        <f t="shared" ca="1" si="4643"/>
        <v>4.0528954871458162E-2</v>
      </c>
      <c r="AZ141" s="362"/>
      <c r="BA141" s="359"/>
      <c r="BB141" s="360">
        <f ca="1">SUM(BB$142:BB$151)</f>
        <v>7743.1438802276316</v>
      </c>
      <c r="BC141" s="363">
        <f ca="1">IFERROR(BB141/AT$4,0)</f>
        <v>4.4710451285418402E-3</v>
      </c>
      <c r="BD141" s="362"/>
      <c r="BE141" s="359"/>
      <c r="BF141" s="360">
        <f ca="1">SUM(BF$142:BF$151)</f>
        <v>0</v>
      </c>
      <c r="BG141" s="363">
        <f t="shared" ca="1" si="4644"/>
        <v>0</v>
      </c>
      <c r="BH141" s="359"/>
      <c r="BI141" s="359"/>
      <c r="BJ141" s="360">
        <f ca="1">SUM(BJ$142:BJ$151)</f>
        <v>70189.747556250004</v>
      </c>
      <c r="BK141" s="361">
        <f t="shared" ca="1" si="5880"/>
        <v>4.0528954871458162E-2</v>
      </c>
      <c r="BL141" s="295" t="str">
        <f t="shared" ca="1" si="5109"/>
        <v>V</v>
      </c>
      <c r="BM141" s="357"/>
      <c r="BN141" s="358"/>
      <c r="BO141" s="358"/>
      <c r="BP141" s="359"/>
      <c r="BQ141" s="360">
        <f ca="1">SUM(BQ$142:BQ$151)</f>
        <v>8138.3334375000004</v>
      </c>
      <c r="BR141" s="361">
        <f t="shared" ca="1" si="4646"/>
        <v>2.8558337303500939E-2</v>
      </c>
      <c r="BS141" s="362"/>
      <c r="BT141" s="359"/>
      <c r="BU141" s="360">
        <f ca="1">SUM(BU$142:BU$151)</f>
        <v>4685.4174971387911</v>
      </c>
      <c r="BV141" s="363">
        <f ca="1">IFERROR(BU141/BM$4,0)</f>
        <v>1.6441662696499063E-2</v>
      </c>
      <c r="BW141" s="362"/>
      <c r="BX141" s="359"/>
      <c r="BY141" s="360">
        <f ca="1">SUM(BY$142:BY$151)</f>
        <v>4894.9684875000003</v>
      </c>
      <c r="BZ141" s="363">
        <f t="shared" ca="1" si="4647"/>
        <v>1.717700094615137E-2</v>
      </c>
      <c r="CA141" s="359"/>
      <c r="CB141" s="359"/>
      <c r="CC141" s="360">
        <f ca="1">SUM(CC$142:CC$151)</f>
        <v>8138.3334375000004</v>
      </c>
      <c r="CD141" s="361">
        <f t="shared" ca="1" si="5891"/>
        <v>2.8558337303500939E-2</v>
      </c>
      <c r="CE141" s="295" t="str">
        <f t="shared" ca="1" si="5120"/>
        <v>V</v>
      </c>
      <c r="CF141" s="357"/>
      <c r="CG141" s="358"/>
      <c r="CH141" s="358"/>
      <c r="CI141" s="359"/>
      <c r="CJ141" s="360">
        <f ca="1">SUM(CJ$142:CJ$151)</f>
        <v>36758.944425000002</v>
      </c>
      <c r="CK141" s="361">
        <f t="shared" ca="1" si="4412"/>
        <v>4.153742794374448E-2</v>
      </c>
      <c r="CL141" s="362"/>
      <c r="CM141" s="359"/>
      <c r="CN141" s="360">
        <f ca="1">SUM(CN$142:CN$151)</f>
        <v>3064.2362824158258</v>
      </c>
      <c r="CO141" s="363">
        <f ca="1">IFERROR(CN141/CF$4,0)</f>
        <v>3.4625720562555251E-3</v>
      </c>
      <c r="CP141" s="362"/>
      <c r="CQ141" s="359"/>
      <c r="CR141" s="360">
        <f ca="1">SUM(CR$142:CR$151)</f>
        <v>0</v>
      </c>
      <c r="CS141" s="363">
        <f t="shared" ca="1" si="4418"/>
        <v>0</v>
      </c>
      <c r="CT141" s="359"/>
      <c r="CU141" s="359"/>
      <c r="CV141" s="360">
        <f ca="1">SUM(CV$142:CV$151)</f>
        <v>36758.944425000002</v>
      </c>
      <c r="CW141" s="361">
        <f t="shared" ca="1" si="4463"/>
        <v>4.153742794374448E-2</v>
      </c>
      <c r="CX141" s="295" t="str">
        <f t="shared" ca="1" si="5130"/>
        <v>V</v>
      </c>
      <c r="CY141" s="357"/>
      <c r="CZ141" s="358"/>
      <c r="DA141" s="416"/>
      <c r="DB141" s="360"/>
      <c r="DC141" s="360">
        <f ca="1">SUM(DC$142:DC$151)</f>
        <v>112642.23993749999</v>
      </c>
      <c r="DD141" s="361">
        <f t="shared" ca="1" si="4717"/>
        <v>3.1416756739463737E-2</v>
      </c>
      <c r="DE141" s="362"/>
      <c r="DF141" s="359"/>
      <c r="DG141" s="360">
        <f ca="1">SUM(DG$142:DG$151)</f>
        <v>48701.61994031701</v>
      </c>
      <c r="DH141" s="363">
        <f ca="1">IFERROR(DG141/CY$4,0)</f>
        <v>1.3583243260536266E-2</v>
      </c>
      <c r="DI141" s="362"/>
      <c r="DJ141" s="359"/>
      <c r="DK141" s="360">
        <f ca="1">SUM(DK$142:DK$151)</f>
        <v>0</v>
      </c>
      <c r="DL141" s="363">
        <f t="shared" ca="1" si="4718"/>
        <v>0</v>
      </c>
      <c r="DM141" s="359"/>
      <c r="DN141" s="359"/>
      <c r="DO141" s="360">
        <f ca="1">SUM(DO$142:DO$151)</f>
        <v>112642.23993749999</v>
      </c>
      <c r="DP141" s="361">
        <f t="shared" ca="1" si="5339"/>
        <v>3.1416756739463737E-2</v>
      </c>
      <c r="DQ141" s="364" t="str">
        <f t="shared" ca="1" si="5140"/>
        <v>V</v>
      </c>
      <c r="DR141" s="357"/>
      <c r="DS141" s="358"/>
      <c r="DT141" s="416"/>
      <c r="DU141" s="360"/>
      <c r="DV141" s="360">
        <f ca="1">SUM(DV$142:DV$151)</f>
        <v>13178.761312500001</v>
      </c>
      <c r="DW141" s="361">
        <f t="shared" ca="1" si="5343"/>
        <v>1.8779589465163397E-2</v>
      </c>
      <c r="DX141" s="362"/>
      <c r="DY141" s="359"/>
      <c r="DZ141" s="360">
        <f ca="1">SUM(DZ$142:DZ$151)</f>
        <v>18400.430562946047</v>
      </c>
      <c r="EA141" s="363">
        <f ca="1">IFERROR(DZ141/DR$4,0)</f>
        <v>2.6220410534836609E-2</v>
      </c>
      <c r="EB141" s="362"/>
      <c r="EC141" s="359"/>
      <c r="ED141" s="360">
        <f ca="1">SUM(ED$142:ED$151)</f>
        <v>0</v>
      </c>
      <c r="EE141" s="363">
        <f t="shared" ca="1" si="5349"/>
        <v>0</v>
      </c>
      <c r="EF141" s="359"/>
      <c r="EG141" s="359"/>
      <c r="EH141" s="360">
        <f ca="1">SUM(EH$142:EH$151)</f>
        <v>13178.761312500001</v>
      </c>
      <c r="EI141" s="361">
        <f t="shared" ca="1" si="5353"/>
        <v>1.8779589465163397E-2</v>
      </c>
      <c r="EJ141" s="357"/>
      <c r="EK141" s="358"/>
      <c r="EL141" s="365"/>
      <c r="EM141" s="359"/>
      <c r="EN141" s="360">
        <f ca="1">SUM(EN$142:EN$151)</f>
        <v>44880.854637148106</v>
      </c>
      <c r="EO141" s="361">
        <f t="shared" ca="1" si="4649"/>
        <v>6.3234896666438833E-2</v>
      </c>
      <c r="EP141" s="362"/>
      <c r="EQ141" s="359"/>
      <c r="ER141" s="360">
        <f ca="1">SUM(ER$142:ER$151)</f>
        <v>-12942.185245069166</v>
      </c>
      <c r="ES141" s="363">
        <f ca="1">IFERROR(ER141/EJ$4,0)</f>
        <v>-1.8234896666438839E-2</v>
      </c>
      <c r="ET141" s="362"/>
      <c r="EU141" s="359"/>
      <c r="EV141" s="360">
        <f ca="1">SUM(EV$142:EV$151)</f>
        <v>0</v>
      </c>
      <c r="EW141" s="363">
        <f t="shared" ca="1" si="4650"/>
        <v>0</v>
      </c>
      <c r="EX141" s="359"/>
      <c r="EY141" s="359"/>
      <c r="EZ141" s="360">
        <f ca="1">SUM(EZ$142:EZ$151)</f>
        <v>44880.854637148106</v>
      </c>
      <c r="FA141" s="361">
        <f t="shared" ca="1" si="5933"/>
        <v>6.3234896666438833E-2</v>
      </c>
      <c r="FB141" s="295" t="str">
        <f t="shared" ca="1" si="5151"/>
        <v>V</v>
      </c>
      <c r="FC141" s="357"/>
      <c r="FD141" s="358"/>
      <c r="FE141" s="358"/>
      <c r="FF141" s="359"/>
      <c r="FG141" s="360">
        <f ca="1">SUM(FG$142:FG$151)</f>
        <v>0</v>
      </c>
      <c r="FH141" s="361">
        <f t="shared" ca="1" si="4653"/>
        <v>0</v>
      </c>
      <c r="FI141" s="362"/>
      <c r="FJ141" s="359"/>
      <c r="FK141" s="360">
        <f ca="1">SUM(FK$142:FK$151)</f>
        <v>205093.23028294637</v>
      </c>
      <c r="FL141" s="363">
        <f ca="1">IFERROR(FK141/FC$4,0)</f>
        <v>4.4999999999999998E-2</v>
      </c>
      <c r="FM141" s="362"/>
      <c r="FN141" s="359"/>
      <c r="FO141" s="360">
        <f ca="1">SUM(FO$142:FO$151)</f>
        <v>0</v>
      </c>
      <c r="FP141" s="363">
        <f t="shared" ca="1" si="4654"/>
        <v>0</v>
      </c>
      <c r="FQ141" s="359"/>
      <c r="FR141" s="359"/>
      <c r="FS141" s="360">
        <f ca="1">SUM(FS$142:FS$151)</f>
        <v>0</v>
      </c>
      <c r="FT141" s="361">
        <f t="shared" ca="1" si="5944"/>
        <v>0</v>
      </c>
      <c r="FU141" s="364" t="str">
        <f t="shared" ca="1" si="5162"/>
        <v/>
      </c>
    </row>
    <row r="142" spans="1:177" outlineLevel="2" x14ac:dyDescent="0.2">
      <c r="A142" s="366"/>
      <c r="B142" s="366"/>
      <c r="C142" s="367" t="str">
        <f t="shared" ref="C142:C151" ca="1" si="6051">OFFSET(Origine,MATCH($F142,Descrizioni,0),MATCH(C$15,Intestazioni,0)-1,1,1)</f>
        <v>US01609W1027:USD</v>
      </c>
      <c r="D142" s="368" t="str">
        <f t="shared" ref="D142:E151" ca="1" si="6052">OFFSET(Origine,MATCH($F142,Descrizioni,0),MATCH(D$15,Intestazioni,0)-1,1,1)</f>
        <v>US01609W1027</v>
      </c>
      <c r="E142" s="369" t="str">
        <f t="shared" ca="1" si="6052"/>
        <v>24409862</v>
      </c>
      <c r="F142" s="367" t="s">
        <v>589</v>
      </c>
      <c r="G142" s="414"/>
      <c r="H142" s="1713" t="str">
        <f t="shared" ref="H142:H151" ca="1" si="6053">IF(OFFSET(Origine,MATCH($F142,Descrizioni,0),MATCH(H$15,Intestazioni,0)-1,1,1)&lt;&gt;"",HYPERLINK(OFFSET(Origine,MATCH($F142,Descrizioni,0),MATCH(H$15,Intestazioni,0)-1,1,1),""),"")</f>
        <v></v>
      </c>
      <c r="I142" s="1683" t="str">
        <f t="shared" ref="I142:I151" ca="1" si="6054">IF(OFFSET(Origine,MATCH($F142,Descrizioni,0),MATCH(I$15,Intestazioni,0)-1,1,1)&lt;&gt;"",HYPERLINK(OFFSET(Origine,MATCH($F142,Descrizioni,0),MATCH(I$15,Intestazioni,0)-1,1,1),"i"),"")</f>
        <v>i</v>
      </c>
      <c r="J142" s="1713" t="str">
        <f t="shared" ref="J142:K151" ca="1" si="6055">IF(OFFSET(Origine,MATCH($F142,Descrizioni,0),MATCH(J$15,Intestazioni,0)-1,1,1)&lt;&gt;"",HYPERLINK(OFFSET(Origine,MATCH($F142,Descrizioni,0),MATCH(J$15,Intestazioni,0)-1,1,1),""),"")</f>
        <v></v>
      </c>
      <c r="K142" s="1716" t="str">
        <f t="shared" ca="1" si="6055"/>
        <v></v>
      </c>
      <c r="L142" s="1717" t="str">
        <f t="shared" ref="L142:L151" ca="1" si="6056">IF(OFFSET(Origine,MATCH($F142,Descrizioni,0),MATCH(L$15,Intestazioni,0)-1,1,1)&lt;&gt;"",HYPERLINK("https://www.zonebourse.com/mods_a/charts/TV/inc_dyna_graph.php?c="&amp;OFFSET(Origine,MATCH($F142,Descrizioni,0),MATCH(L$15,Intestazioni,0)-1,1,1)&amp;"&amp;style=TradingView.CANDLES&amp;showAT=1",""),"")</f>
        <v></v>
      </c>
      <c r="M142" s="366" t="str">
        <f t="shared" ref="M142:M151" ca="1" si="6057">(OFFSET(Origine,MATCH($F142,Descrizioni,0),MATCH(M$15,Intestazioni,0)-1,1,1))</f>
        <v>Unit</v>
      </c>
      <c r="N142" s="417"/>
      <c r="O142" s="417"/>
      <c r="P142" s="418">
        <f t="shared" ca="1" si="4637"/>
        <v>0</v>
      </c>
      <c r="Q142" s="391">
        <f t="array" aca="1" ref="Q142" ca="1">SUM(IF($AA$15:$FT$15="I_pos",AA142:FT142))</f>
        <v>200</v>
      </c>
      <c r="R142" s="391">
        <f t="array" aca="1" ref="R142" ca="1">SUM(IF($AA$15:$FT$15="P_Pos",AA142:FT142))</f>
        <v>-200</v>
      </c>
      <c r="S142" s="367"/>
      <c r="T142" s="391"/>
      <c r="U142" s="375">
        <f t="shared" ref="U142:U151" ca="1" si="6058">OFFSET(Origine,MATCH($F142,Descrizioni,0),MATCH(U$15,Intestazioni,0)-1,1,1)</f>
        <v>-4.7278338945005702E-2</v>
      </c>
      <c r="V142" s="391">
        <f t="array" aca="1" ref="V142" ca="1">SUM(IF($AA$15:$FT$15="O_Pos",AA142:FT142))</f>
        <v>0</v>
      </c>
      <c r="W142" s="367" t="str">
        <f t="shared" ref="W142" ca="1" si="6059">OFFSET(Origine,MATCH($F142,Descrizioni,0),MATCH(W$15,Intestazioni,0)-1,1,1)</f>
        <v>USD</v>
      </c>
      <c r="X142" s="392">
        <f t="shared" ref="X142" ca="1" si="6060">_xlfn.NUMBERVALUE(OFFSET(Origine,MATCH($F142,Descrizioni,0),MATCH(X$15,Intestazioni,0)-1,1,1))</f>
        <v>135.82</v>
      </c>
      <c r="Y142" s="393">
        <f t="shared" ref="Y142:Y151" ca="1" si="6061">_xlfn.NUMBERVALUE(OFFSET(Origine,MATCH($F142,Descrizioni,0),MATCH(Y$15,Intestazioni,0)-1,1,1))</f>
        <v>2.6947430000000001E-2</v>
      </c>
      <c r="Z142" s="378">
        <f t="shared" ref="Z142" ca="1" si="6062">_xlfn.NUMBERVALUE(OFFSET(Origine,MATCH(W142&amp;"/"&amp;MRif,LUKB_Name,0),MATCH("Price",Intestazioni,0)-1,1,1))</f>
        <v>0.78225</v>
      </c>
      <c r="AA142" s="214"/>
      <c r="AB142" s="312" t="str">
        <f t="shared" ref="AB142" ca="1" si="6063">IFERROR($X142/AC142-1,"")</f>
        <v/>
      </c>
      <c r="AC142" s="215"/>
      <c r="AD142" s="199">
        <f t="shared" ref="AD142:AD146" ca="1" si="6064">AA142*$X142</f>
        <v>0</v>
      </c>
      <c r="AE142" s="199">
        <f t="shared" ref="AE142:AE146" ca="1" si="6065">AD142*$Z142</f>
        <v>0</v>
      </c>
      <c r="AF142" s="216">
        <f t="shared" ref="AF142:AF146" ca="1" si="6066">IFERROR(AE142/AA$4,0)</f>
        <v>0</v>
      </c>
      <c r="AG142" s="202">
        <f t="shared" ref="AG142:AG146" ca="1" si="6067">AH142/$X142</f>
        <v>0</v>
      </c>
      <c r="AH142" s="203">
        <f t="shared" ref="AH142:AH146" ca="1" si="6068">AI142/$Z142</f>
        <v>0</v>
      </c>
      <c r="AI142" s="203">
        <f t="shared" ref="AI142:AI146" ca="1" si="6069">AJ142*AA$4</f>
        <v>0</v>
      </c>
      <c r="AJ142" s="204">
        <f t="shared" ref="AJ142:AJ151" ca="1" si="6070">IF(AA$6&lt;&gt;"",$O142,$N142)-AF142</f>
        <v>0</v>
      </c>
      <c r="AK142" s="205"/>
      <c r="AL142" s="206">
        <f t="shared" ref="AL142:AL146" ca="1" si="6071">AK142*$X142</f>
        <v>0</v>
      </c>
      <c r="AM142" s="206">
        <f t="shared" ref="AM142:AM146" ca="1" si="6072">AL142*$Z142</f>
        <v>0</v>
      </c>
      <c r="AN142" s="207">
        <f t="shared" ref="AN142:AN146" ca="1" si="6073">IFERROR(AM142/AA$4,0)</f>
        <v>0</v>
      </c>
      <c r="AO142" s="391">
        <f t="shared" ref="AO142" si="6074">AA142+AK142</f>
        <v>0</v>
      </c>
      <c r="AP142" s="391">
        <f t="shared" ref="AP142" ca="1" si="6075">AD142+IF($T142 ="",AL142,0)</f>
        <v>0</v>
      </c>
      <c r="AQ142" s="391">
        <f t="shared" ref="AQ142:AQ146" ca="1" si="6076">AP142*$Z142</f>
        <v>0</v>
      </c>
      <c r="AR142" s="394">
        <f t="shared" ref="AR142:AR146" ca="1" si="6077">IFERROR(AQ142/AA$4,0)</f>
        <v>0</v>
      </c>
      <c r="AS142" s="209" t="str">
        <f t="shared" ref="AS142" ca="1" si="6078">IF(SUM(AF142,AN142,AR142)&lt;&gt;0,"V","")</f>
        <v/>
      </c>
      <c r="AT142" s="214"/>
      <c r="AU142" s="312" t="str">
        <f t="shared" ref="AU142" ca="1" si="6079">IFERROR($X142/AV142-1,"")</f>
        <v/>
      </c>
      <c r="AV142" s="215"/>
      <c r="AW142" s="199">
        <f t="shared" ref="AW142:AW146" ca="1" si="6080">AT142*$X142</f>
        <v>0</v>
      </c>
      <c r="AX142" s="199">
        <f t="shared" ref="AX142:AX146" ca="1" si="6081">AW142*$Z142</f>
        <v>0</v>
      </c>
      <c r="AY142" s="216">
        <f t="shared" ref="AY142:AY146" ca="1" si="6082">IFERROR(AX142/AT$4,0)</f>
        <v>0</v>
      </c>
      <c r="AZ142" s="202">
        <f t="shared" ref="AZ142:AZ146" ca="1" si="6083">BA142/$X142</f>
        <v>0</v>
      </c>
      <c r="BA142" s="203">
        <f t="shared" ref="BA142:BA146" ca="1" si="6084">BB142/$Z142</f>
        <v>0</v>
      </c>
      <c r="BB142" s="203">
        <f t="shared" ref="BB142:BB146" ca="1" si="6085">BC142*AT$4</f>
        <v>0</v>
      </c>
      <c r="BC142" s="204">
        <f t="shared" ref="BC142:BC151" ca="1" si="6086">IF(AT$6&lt;&gt;"",$O142,$N142)-AY142</f>
        <v>0</v>
      </c>
      <c r="BD142" s="205"/>
      <c r="BE142" s="206">
        <f t="shared" ref="BE142:BE146" ca="1" si="6087">BD142*$X142</f>
        <v>0</v>
      </c>
      <c r="BF142" s="206">
        <f t="shared" ref="BF142:BF146" ca="1" si="6088">BE142*$Z142</f>
        <v>0</v>
      </c>
      <c r="BG142" s="207">
        <f t="shared" ref="BG142:BG146" ca="1" si="6089">IFERROR(BF142/AT$4,0)</f>
        <v>0</v>
      </c>
      <c r="BH142" s="391">
        <f t="shared" ref="BH142" si="6090">AT142+BD142</f>
        <v>0</v>
      </c>
      <c r="BI142" s="391">
        <f t="shared" ref="BI142" ca="1" si="6091">AW142+IF($T142 ="",BE142,0)</f>
        <v>0</v>
      </c>
      <c r="BJ142" s="391">
        <f t="shared" ref="BJ142:BJ146" ca="1" si="6092">BI142*$Z142</f>
        <v>0</v>
      </c>
      <c r="BK142" s="394">
        <f t="shared" ref="BK142:BK146" ca="1" si="6093">IFERROR(BJ142/AT$4,0)</f>
        <v>0</v>
      </c>
      <c r="BL142" s="211" t="str">
        <f t="shared" ref="BL142" ca="1" si="6094">IF(SUM(AY142,BG142,BK142)&lt;&gt;0,"V","")</f>
        <v/>
      </c>
      <c r="BM142" s="214"/>
      <c r="BN142" s="312" t="str">
        <f t="shared" ref="BN142" ca="1" si="6095">IFERROR($X142/BO142-1,"")</f>
        <v/>
      </c>
      <c r="BO142" s="215"/>
      <c r="BP142" s="199">
        <f t="shared" ref="BP142:BP146" ca="1" si="6096">BM142*$X142</f>
        <v>0</v>
      </c>
      <c r="BQ142" s="199">
        <f t="shared" ref="BQ142:BQ146" ca="1" si="6097">BP142*$Z142</f>
        <v>0</v>
      </c>
      <c r="BR142" s="216">
        <f t="shared" ref="BR142:BR146" ca="1" si="6098">IFERROR(BQ142/BM$4,0)</f>
        <v>0</v>
      </c>
      <c r="BS142" s="202">
        <f t="shared" ref="BS142:BS146" ca="1" si="6099">BT142/$X142</f>
        <v>0</v>
      </c>
      <c r="BT142" s="203">
        <f t="shared" ref="BT142:BT146" ca="1" si="6100">BU142/$Z142</f>
        <v>0</v>
      </c>
      <c r="BU142" s="203">
        <f t="shared" ref="BU142:BU146" ca="1" si="6101">BV142*BM$4</f>
        <v>0</v>
      </c>
      <c r="BV142" s="204">
        <f t="shared" ref="BV142:BV151" ca="1" si="6102">IF(BM$6&lt;&gt;"",$O142,$N142)-BR142</f>
        <v>0</v>
      </c>
      <c r="BW142" s="205"/>
      <c r="BX142" s="206">
        <f t="shared" ref="BX142:BX146" ca="1" si="6103">BW142*$X142</f>
        <v>0</v>
      </c>
      <c r="BY142" s="206">
        <f t="shared" ref="BY142:BY146" ca="1" si="6104">BX142*$Z142</f>
        <v>0</v>
      </c>
      <c r="BZ142" s="207">
        <f t="shared" ref="BZ142:BZ146" ca="1" si="6105">IFERROR(BY142/BM$4,0)</f>
        <v>0</v>
      </c>
      <c r="CA142" s="391">
        <f t="shared" ref="CA142" si="6106">BM142+BW142</f>
        <v>0</v>
      </c>
      <c r="CB142" s="391">
        <f t="shared" ref="CB142" ca="1" si="6107">BP142+IF($T142 ="",BX142,0)</f>
        <v>0</v>
      </c>
      <c r="CC142" s="391">
        <f t="shared" ref="CC142:CC146" ca="1" si="6108">CB142*$Z142</f>
        <v>0</v>
      </c>
      <c r="CD142" s="394">
        <f t="shared" ref="CD142:CD146" ca="1" si="6109">IFERROR(CC142/BM$4,0)</f>
        <v>0</v>
      </c>
      <c r="CE142" s="212" t="str">
        <f t="shared" ref="CE142" ca="1" si="6110">IF(SUM(BR142,BZ142,CD142)&lt;&gt;0,"V","")</f>
        <v/>
      </c>
      <c r="CF142" s="214"/>
      <c r="CG142" s="312" t="str">
        <f t="shared" ref="CG142" ca="1" si="6111">IFERROR($X142/CH142-1,"")</f>
        <v/>
      </c>
      <c r="CH142" s="215"/>
      <c r="CI142" s="199">
        <f t="shared" ref="CI142:CI146" ca="1" si="6112">CF142*$X142</f>
        <v>0</v>
      </c>
      <c r="CJ142" s="199">
        <f t="shared" ref="CJ142:CJ146" ca="1" si="6113">CI142*$Z142</f>
        <v>0</v>
      </c>
      <c r="CK142" s="216">
        <f t="shared" ref="CK142:CK146" ca="1" si="6114">IFERROR(CJ142/CF$4,0)</f>
        <v>0</v>
      </c>
      <c r="CL142" s="202">
        <f t="shared" ref="CL142:CL146" ca="1" si="6115">CM142/$X142</f>
        <v>0</v>
      </c>
      <c r="CM142" s="203">
        <f t="shared" ref="CM142:CM146" ca="1" si="6116">CN142/$Z142</f>
        <v>0</v>
      </c>
      <c r="CN142" s="203">
        <f t="shared" ref="CN142:CN146" ca="1" si="6117">CO142*CF$4</f>
        <v>0</v>
      </c>
      <c r="CO142" s="204">
        <f t="shared" ref="CO142:CO151" ca="1" si="6118">IF(CF$6&lt;&gt;"",$O142,$N142)-CK142</f>
        <v>0</v>
      </c>
      <c r="CP142" s="205"/>
      <c r="CQ142" s="206">
        <f t="shared" ref="CQ142:CQ146" ca="1" si="6119">CP142*$X142</f>
        <v>0</v>
      </c>
      <c r="CR142" s="206">
        <f t="shared" ref="CR142:CR146" ca="1" si="6120">CQ142*$Z142</f>
        <v>0</v>
      </c>
      <c r="CS142" s="207">
        <f t="shared" ref="CS142:CS146" ca="1" si="6121">IFERROR(CR142/CF$4,0)</f>
        <v>0</v>
      </c>
      <c r="CT142" s="391">
        <f t="shared" ref="CT142" si="6122">CF142+CP142</f>
        <v>0</v>
      </c>
      <c r="CU142" s="391">
        <f t="shared" ref="CU142" ca="1" si="6123">CI142+IF($T142 ="",CQ142,0)</f>
        <v>0</v>
      </c>
      <c r="CV142" s="391">
        <f t="shared" ref="CV142:CV146" ca="1" si="6124">CU142*$Z142</f>
        <v>0</v>
      </c>
      <c r="CW142" s="394">
        <f t="shared" ref="CW142:CW146" ca="1" si="6125">IFERROR(CV142/CF$4,0)</f>
        <v>0</v>
      </c>
      <c r="CX142" s="211" t="str">
        <f t="shared" ref="CX142" ca="1" si="6126">IF(SUM(CK142,CS142,CW142)&lt;&gt;0,"V","")</f>
        <v/>
      </c>
      <c r="CY142" s="197"/>
      <c r="CZ142" s="312" t="str">
        <f t="shared" ref="CZ142" ca="1" si="6127">IFERROR($X142/DA142-1,"")</f>
        <v/>
      </c>
      <c r="DA142" s="395"/>
      <c r="DB142" s="199">
        <f t="shared" ref="DB142" ca="1" si="6128">CY142*$X142</f>
        <v>0</v>
      </c>
      <c r="DC142" s="199">
        <f t="shared" ref="DC142" ca="1" si="6129">DB142*$Z142</f>
        <v>0</v>
      </c>
      <c r="DD142" s="216">
        <f t="shared" ref="DD142" ca="1" si="6130">IFERROR(DC142/CY$4,0)</f>
        <v>0</v>
      </c>
      <c r="DE142" s="202">
        <f t="shared" ref="DE142" ca="1" si="6131">DF142/$X142</f>
        <v>0</v>
      </c>
      <c r="DF142" s="203">
        <f t="shared" ref="DF142" ca="1" si="6132">DG142/$Z142</f>
        <v>0</v>
      </c>
      <c r="DG142" s="203">
        <f t="shared" ref="DG142" ca="1" si="6133">DH142*CY$4</f>
        <v>0</v>
      </c>
      <c r="DH142" s="204">
        <f t="shared" ref="DH142:DH151" ca="1" si="6134">IF(CY$6&lt;&gt;"",$O142,$N142)-DD142</f>
        <v>0</v>
      </c>
      <c r="DI142" s="205"/>
      <c r="DJ142" s="206">
        <f t="shared" ref="DJ142" ca="1" si="6135">DI142*$X142</f>
        <v>0</v>
      </c>
      <c r="DK142" s="206">
        <f t="shared" ref="DK142" ca="1" si="6136">DJ142*$Z142</f>
        <v>0</v>
      </c>
      <c r="DL142" s="207">
        <f t="shared" ref="DL142" ca="1" si="6137">IFERROR(DK142/CY$4,0)</f>
        <v>0</v>
      </c>
      <c r="DM142" s="391">
        <f t="shared" ref="DM142" si="6138">CY142+DI142</f>
        <v>0</v>
      </c>
      <c r="DN142" s="391">
        <f t="shared" ref="DN142" ca="1" si="6139">DB142+IF($T142 ="",DJ142,0)</f>
        <v>0</v>
      </c>
      <c r="DO142" s="391">
        <f t="shared" ref="DO142:DO146" ca="1" si="6140">DN142*$Z142</f>
        <v>0</v>
      </c>
      <c r="DP142" s="394">
        <f t="shared" ref="DP142:DP146" ca="1" si="6141">IFERROR(DO142/CY$4,0)</f>
        <v>0</v>
      </c>
      <c r="DQ142" s="209" t="str">
        <f t="shared" ref="DQ142" ca="1" si="6142">IF(SUM(DD142,DL142,DP142)&lt;&gt;0,"V","")</f>
        <v/>
      </c>
      <c r="DR142" s="197"/>
      <c r="DS142" s="312" t="str">
        <f t="shared" ref="DS142" ca="1" si="6143">IFERROR($X142/DT142-1,"")</f>
        <v/>
      </c>
      <c r="DT142" s="395"/>
      <c r="DU142" s="199">
        <f t="shared" ref="DU142" ca="1" si="6144">DR142*$X142</f>
        <v>0</v>
      </c>
      <c r="DV142" s="199">
        <f t="shared" ref="DV142" ca="1" si="6145">DU142*$Z142</f>
        <v>0</v>
      </c>
      <c r="DW142" s="216">
        <f t="shared" ref="DW142" ca="1" si="6146">IFERROR(DV142/DR$4,0)</f>
        <v>0</v>
      </c>
      <c r="DX142" s="202">
        <f t="shared" ref="DX142" ca="1" si="6147">DY142/$X142</f>
        <v>0</v>
      </c>
      <c r="DY142" s="203">
        <f t="shared" ref="DY142" ca="1" si="6148">DZ142/$Z142</f>
        <v>0</v>
      </c>
      <c r="DZ142" s="203">
        <f t="shared" ref="DZ142" ca="1" si="6149">EA142*DR$4</f>
        <v>0</v>
      </c>
      <c r="EA142" s="204">
        <f t="shared" ref="EA142:EA151" ca="1" si="6150">IF(DR$6&lt;&gt;"",$O142,$N142)-DW142</f>
        <v>0</v>
      </c>
      <c r="EB142" s="205"/>
      <c r="EC142" s="206">
        <f t="shared" ref="EC142" ca="1" si="6151">EB142*$X142</f>
        <v>0</v>
      </c>
      <c r="ED142" s="206">
        <f t="shared" ref="ED142" ca="1" si="6152">EC142*$Z142</f>
        <v>0</v>
      </c>
      <c r="EE142" s="207">
        <f t="shared" ref="EE142" ca="1" si="6153">IFERROR(ED142/DR$4,0)</f>
        <v>0</v>
      </c>
      <c r="EF142" s="391">
        <f t="shared" ref="EF142" si="6154">DR142+EB142</f>
        <v>0</v>
      </c>
      <c r="EG142" s="391">
        <f t="shared" ref="EG142" ca="1" si="6155">DU142+IF($T142 ="",EC142,0)</f>
        <v>0</v>
      </c>
      <c r="EH142" s="391">
        <f t="shared" ref="EH142:EH146" ca="1" si="6156">EG142*$Z142</f>
        <v>0</v>
      </c>
      <c r="EI142" s="394">
        <f t="shared" ref="EI142:EI146" ca="1" si="6157">IFERROR(EH142/DR$4,0)</f>
        <v>0</v>
      </c>
      <c r="EJ142" s="430">
        <v>200</v>
      </c>
      <c r="EK142" s="312">
        <f t="shared" ref="EK142" ca="1" si="6158">IFERROR($X142/EL142-1,"")</f>
        <v>0.50651655482225055</v>
      </c>
      <c r="EL142" s="222">
        <v>90.155000000000001</v>
      </c>
      <c r="EM142" s="199">
        <f t="shared" ref="EM142:EM146" ca="1" si="6159">EJ142*$X142</f>
        <v>27164</v>
      </c>
      <c r="EN142" s="199">
        <f t="shared" ref="EN142:EN146" ca="1" si="6160">EM142*$Z142</f>
        <v>21249.039000000001</v>
      </c>
      <c r="EO142" s="216">
        <f t="shared" ref="EO142:EO146" ca="1" si="6161">IFERROR(EN142/EJ$4,0)</f>
        <v>2.9938841323087408E-2</v>
      </c>
      <c r="EP142" s="202">
        <f t="shared" ref="EP142:EP146" ca="1" si="6162">EQ142/$X142</f>
        <v>-200</v>
      </c>
      <c r="EQ142" s="203">
        <f t="shared" ref="EQ142:EQ146" ca="1" si="6163">ER142/$Z142</f>
        <v>-27164</v>
      </c>
      <c r="ER142" s="203">
        <f t="shared" ref="ER142:ER146" ca="1" si="6164">ES142*EJ$4</f>
        <v>-21249.039000000001</v>
      </c>
      <c r="ES142" s="204">
        <f t="shared" ref="ES142:ES151" ca="1" si="6165">IF(EJ$6&lt;&gt;"",$O142,$N142)-EO142</f>
        <v>-2.9938841323087408E-2</v>
      </c>
      <c r="ET142" s="205"/>
      <c r="EU142" s="206">
        <f t="shared" ref="EU142:EU146" ca="1" si="6166">ET142*$X142</f>
        <v>0</v>
      </c>
      <c r="EV142" s="206">
        <f t="shared" ref="EV142:EV146" ca="1" si="6167">EU142*$Z142</f>
        <v>0</v>
      </c>
      <c r="EW142" s="207">
        <f t="shared" ref="EW142:EW146" ca="1" si="6168">IFERROR(EV142/EJ$4,0)</f>
        <v>0</v>
      </c>
      <c r="EX142" s="391">
        <f t="shared" ref="EX142" si="6169">EJ142+ET142</f>
        <v>200</v>
      </c>
      <c r="EY142" s="391">
        <f t="shared" ref="EY142" ca="1" si="6170">EM142+IF($T142 ="",EU142,0)</f>
        <v>27164</v>
      </c>
      <c r="EZ142" s="391">
        <f t="shared" ref="EZ142:EZ146" ca="1" si="6171">EY142*$Z142</f>
        <v>21249.039000000001</v>
      </c>
      <c r="FA142" s="394">
        <f t="shared" ref="FA142:FA146" ca="1" si="6172">IFERROR(EZ142/EJ$4,0)</f>
        <v>2.9938841323087408E-2</v>
      </c>
      <c r="FB142" s="212" t="str">
        <f t="shared" ref="FB142" ca="1" si="6173">IF(SUM(EO142,EW142,FA142)&lt;&gt;0,"V","")</f>
        <v>V</v>
      </c>
      <c r="FC142" s="214"/>
      <c r="FD142" s="312" t="str">
        <f t="shared" ref="FD142" ca="1" si="6174">IFERROR($X142/FE142-1,"")</f>
        <v/>
      </c>
      <c r="FE142" s="215"/>
      <c r="FF142" s="199">
        <f t="shared" ref="FF142:FF146" ca="1" si="6175">FC142*$X142</f>
        <v>0</v>
      </c>
      <c r="FG142" s="199">
        <f t="shared" ref="FG142:FG146" ca="1" si="6176">FF142*$Z142</f>
        <v>0</v>
      </c>
      <c r="FH142" s="216">
        <f t="shared" ref="FH142:FH146" ca="1" si="6177">IFERROR(FG142/FC$4,0)</f>
        <v>0</v>
      </c>
      <c r="FI142" s="202">
        <f t="shared" ref="FI142:FI146" ca="1" si="6178">FJ142/$X142</f>
        <v>0</v>
      </c>
      <c r="FJ142" s="203">
        <f t="shared" ref="FJ142:FJ146" ca="1" si="6179">FK142/$Z142</f>
        <v>0</v>
      </c>
      <c r="FK142" s="203">
        <f t="shared" ref="FK142:FK146" ca="1" si="6180">FL142*FC$4</f>
        <v>0</v>
      </c>
      <c r="FL142" s="204">
        <f t="shared" ref="FL142:FL151" ca="1" si="6181">IF(FC$6&lt;&gt;"",$O142,$N142)-FH142</f>
        <v>0</v>
      </c>
      <c r="FM142" s="205"/>
      <c r="FN142" s="206">
        <f t="shared" ref="FN142:FN146" ca="1" si="6182">FM142*$X142</f>
        <v>0</v>
      </c>
      <c r="FO142" s="206">
        <f t="shared" ref="FO142:FO146" ca="1" si="6183">FN142*$Z142</f>
        <v>0</v>
      </c>
      <c r="FP142" s="207">
        <f t="shared" ref="FP142:FP146" ca="1" si="6184">IFERROR(FO142/FC$4,0)</f>
        <v>0</v>
      </c>
      <c r="FQ142" s="391">
        <f t="shared" ref="FQ142" si="6185">FC142+FM142</f>
        <v>0</v>
      </c>
      <c r="FR142" s="391">
        <f t="shared" ref="FR142" ca="1" si="6186">FF142+IF($T142 ="",FN142,0)</f>
        <v>0</v>
      </c>
      <c r="FS142" s="391">
        <f t="shared" ref="FS142:FS146" ca="1" si="6187">FR142*$Z142</f>
        <v>0</v>
      </c>
      <c r="FT142" s="394">
        <f t="shared" ref="FT142:FT146" ca="1" si="6188">IFERROR(FS142/FC$4,0)</f>
        <v>0</v>
      </c>
      <c r="FU142" s="209" t="str">
        <f t="shared" ref="FU142" ca="1" si="6189">IF(SUM(FH142,FP142,FT142)&lt;&gt;0,"V","")</f>
        <v/>
      </c>
    </row>
    <row r="143" spans="1:177" outlineLevel="2" x14ac:dyDescent="0.2">
      <c r="A143" s="366"/>
      <c r="B143" s="366"/>
      <c r="C143" s="367" t="str">
        <f t="shared" ref="C143:E146" ca="1" si="6190">OFFSET(Origine,MATCH($F143,Descrizioni,0),MATCH(C$15,Intestazioni,0)-1,1,1)</f>
        <v>US46138E8003:USD:P</v>
      </c>
      <c r="D143" s="368" t="str">
        <f t="shared" ca="1" si="6190"/>
        <v>US46138E8003</v>
      </c>
      <c r="E143" s="369" t="str">
        <f t="shared" ca="1" si="6190"/>
        <v>41970675</v>
      </c>
      <c r="F143" s="367" t="s">
        <v>4254</v>
      </c>
      <c r="G143" s="414"/>
      <c r="H143" s="1713" t="str">
        <f t="shared" ca="1" si="6053"/>
        <v></v>
      </c>
      <c r="I143" s="1683" t="str">
        <f t="shared" ref="I143:I146" ca="1" si="6191">IF(OFFSET(Origine,MATCH($F143,Descrizioni,0),MATCH(I$15,Intestazioni,0)-1,1,1)&lt;&gt;"",HYPERLINK(OFFSET(Origine,MATCH($F143,Descrizioni,0),MATCH(I$15,Intestazioni,0)-1,1,1),"i"),"")</f>
        <v/>
      </c>
      <c r="J143" s="1713" t="str">
        <f t="shared" ref="J143:K146" ca="1" si="6192">IF(OFFSET(Origine,MATCH($F143,Descrizioni,0),MATCH(J$15,Intestazioni,0)-1,1,1)&lt;&gt;"",HYPERLINK(OFFSET(Origine,MATCH($F143,Descrizioni,0),MATCH(J$15,Intestazioni,0)-1,1,1),""),"")</f>
        <v/>
      </c>
      <c r="K143" s="1716" t="str">
        <f t="shared" ca="1" si="6192"/>
        <v/>
      </c>
      <c r="L143" s="1717" t="str">
        <f t="shared" ref="L143:L146" ca="1" si="6193">IF(OFFSET(Origine,MATCH($F143,Descrizioni,0),MATCH(L$15,Intestazioni,0)-1,1,1)&lt;&gt;"",HYPERLINK("https://www.zonebourse.com/mods_a/charts/TV/inc_dyna_graph.php?c="&amp;OFFSET(Origine,MATCH($F143,Descrizioni,0),MATCH(L$15,Intestazioni,0)-1,1,1)&amp;"&amp;style=TradingView.CANDLES&amp;showAT=1",""),"")</f>
        <v/>
      </c>
      <c r="M143" s="366" t="str">
        <f t="shared" ref="M143:M146" ca="1" si="6194">(OFFSET(Origine,MATCH($F143,Descrizioni,0),MATCH(M$15,Intestazioni,0)-1,1,1))</f>
        <v>Unit</v>
      </c>
      <c r="N143" s="1699">
        <v>0.02</v>
      </c>
      <c r="O143" s="429"/>
      <c r="P143" s="418">
        <f t="shared" ca="1" si="4637"/>
        <v>1.49690842025633E-2</v>
      </c>
      <c r="Q143" s="391">
        <f t="array" aca="1" ref="Q143" ca="1">SUM(IF($AA$15:$FT$15="I_pos",AA143:FT143))</f>
        <v>3405</v>
      </c>
      <c r="R143" s="391">
        <f t="array" aca="1" ref="R143" ca="1">SUM(IF($AA$15:$FT$15="P_Pos",AA143:FT143))</f>
        <v>3509.5170936201685</v>
      </c>
      <c r="S143" s="367"/>
      <c r="T143" s="391" t="s">
        <v>4445</v>
      </c>
      <c r="U143" s="375">
        <f t="shared" ref="U143:U146" ca="1" si="6195">OFFSET(Origine,MATCH($F143,Descrizioni,0),MATCH(U$15,Intestazioni,0)-1,1,1)</f>
        <v>-5.7470139024867903E-2</v>
      </c>
      <c r="V143" s="391">
        <f t="array" aca="1" ref="V143" ca="1">SUM(IF($AA$15:$FT$15="O_Pos",AA143:FT143))</f>
        <v>130</v>
      </c>
      <c r="W143" s="367" t="str">
        <f t="shared" ref="W143:W146" ca="1" si="6196">OFFSET(Origine,MATCH($F143,Descrizioni,0),MATCH(W$15,Intestazioni,0)-1,1,1)</f>
        <v>USD</v>
      </c>
      <c r="X143" s="392">
        <f t="shared" ref="X143:Y146" ca="1" si="6197">_xlfn.NUMBERVALUE(OFFSET(Origine,MATCH($F143,Descrizioni,0),MATCH(X$15,Intestazioni,0)-1,1,1))</f>
        <v>48.134999999999998</v>
      </c>
      <c r="Y143" s="393">
        <f t="shared" ca="1" si="6197"/>
        <v>0</v>
      </c>
      <c r="Z143" s="378">
        <f t="shared" ref="Z143:Z146" ca="1" si="6198">_xlfn.NUMBERVALUE(OFFSET(Origine,MATCH(W143&amp;"/"&amp;MRif,LUKB_Name,0),MATCH("Price",Intestazioni,0)-1,1,1))</f>
        <v>0.78225</v>
      </c>
      <c r="AA143" s="214">
        <f>250</f>
        <v>250</v>
      </c>
      <c r="AB143" s="312">
        <f t="shared" ref="AB143:AB146" ca="1" si="6199">IFERROR($X143/AC143-1,"")</f>
        <v>-7.7659764044922364E-2</v>
      </c>
      <c r="AC143" s="215">
        <v>52.187899999999999</v>
      </c>
      <c r="AD143" s="199">
        <f t="shared" ref="AD143" ca="1" si="6200">AA143*$X143</f>
        <v>12033.75</v>
      </c>
      <c r="AE143" s="199">
        <f t="shared" ref="AE143" ca="1" si="6201">AD143*$Z143</f>
        <v>9413.4009375000005</v>
      </c>
      <c r="AF143" s="216">
        <f t="shared" ref="AF143" ca="1" si="6202">IFERROR(AE143/AA$4,0)</f>
        <v>1.6764857934317569E-2</v>
      </c>
      <c r="AG143" s="202">
        <f t="shared" ref="AG143" ca="1" si="6203">AH143/$X143</f>
        <v>48.242909041598772</v>
      </c>
      <c r="AH143" s="203">
        <f t="shared" ref="AH143" ca="1" si="6204">AI143/$Z143</f>
        <v>2322.1724267173568</v>
      </c>
      <c r="AI143" s="203">
        <f t="shared" ref="AI143" ca="1" si="6205">AJ143*AA$4</f>
        <v>1816.5193807996525</v>
      </c>
      <c r="AJ143" s="204">
        <f t="shared" ca="1" si="6070"/>
        <v>3.2351420656824316E-3</v>
      </c>
      <c r="AK143" s="205"/>
      <c r="AL143" s="206">
        <f t="shared" ref="AL143" ca="1" si="6206">AK143*$X143</f>
        <v>0</v>
      </c>
      <c r="AM143" s="206">
        <f t="shared" ref="AM143" ca="1" si="6207">AL143*$Z143</f>
        <v>0</v>
      </c>
      <c r="AN143" s="207">
        <f t="shared" ref="AN143" ca="1" si="6208">IFERROR(AM143/AA$4,0)</f>
        <v>0</v>
      </c>
      <c r="AO143" s="391">
        <f t="shared" ref="AO143:AO146" si="6209">AA143+AK143</f>
        <v>250</v>
      </c>
      <c r="AP143" s="391">
        <f t="shared" ref="AP143:AP146" ca="1" si="6210">AD143+IF($T143 ="",AL143,0)</f>
        <v>12033.75</v>
      </c>
      <c r="AQ143" s="391">
        <f t="shared" ref="AQ143" ca="1" si="6211">AP143*$Z143</f>
        <v>9413.4009375000005</v>
      </c>
      <c r="AR143" s="394">
        <f t="shared" ref="AR143" ca="1" si="6212">IFERROR(AQ143/AA$4,0)</f>
        <v>1.6764857934317569E-2</v>
      </c>
      <c r="AS143" s="209" t="str">
        <f t="shared" ref="AS143:AS146" ca="1" si="6213">IF(SUM(AF143,AN143,AR143)&lt;&gt;0,"V","")</f>
        <v>V</v>
      </c>
      <c r="AT143" s="214">
        <f>775</f>
        <v>775</v>
      </c>
      <c r="AU143" s="312">
        <f t="shared" ref="AU143:AU146" ca="1" si="6214">IFERROR($X143/AV143-1,"")</f>
        <v>-7.7659764044922364E-2</v>
      </c>
      <c r="AV143" s="215">
        <v>52.187899999999999</v>
      </c>
      <c r="AW143" s="199">
        <f t="shared" ref="AW143" ca="1" si="6215">AT143*$X143</f>
        <v>37304.625</v>
      </c>
      <c r="AX143" s="199">
        <f t="shared" ref="AX143" ca="1" si="6216">AW143*$Z143</f>
        <v>29181.542906250001</v>
      </c>
      <c r="AY143" s="216">
        <f t="shared" ref="AY143" ca="1" si="6217">IFERROR(AX143/AT$4,0)</f>
        <v>1.6850002695608979E-2</v>
      </c>
      <c r="AZ143" s="202">
        <f t="shared" ref="AZ143" ca="1" si="6218">BA143/$X143</f>
        <v>144.88115847834356</v>
      </c>
      <c r="BA143" s="203">
        <f t="shared" ref="BA143" ca="1" si="6219">BB143/$Z143</f>
        <v>6973.8545633550675</v>
      </c>
      <c r="BB143" s="203">
        <f t="shared" ref="BB143" ca="1" si="6220">BC143*AT$4</f>
        <v>5455.2977321845019</v>
      </c>
      <c r="BC143" s="204">
        <f t="shared" ca="1" si="6086"/>
        <v>3.1499973043910209E-3</v>
      </c>
      <c r="BD143" s="205"/>
      <c r="BE143" s="206">
        <f t="shared" ref="BE143" ca="1" si="6221">BD143*$X143</f>
        <v>0</v>
      </c>
      <c r="BF143" s="206">
        <f t="shared" ref="BF143" ca="1" si="6222">BE143*$Z143</f>
        <v>0</v>
      </c>
      <c r="BG143" s="207">
        <f t="shared" ref="BG143" ca="1" si="6223">IFERROR(BF143/AT$4,0)</f>
        <v>0</v>
      </c>
      <c r="BH143" s="391">
        <f t="shared" ref="BH143:BH146" si="6224">AT143+BD143</f>
        <v>775</v>
      </c>
      <c r="BI143" s="391">
        <f t="shared" ref="BI143:BI146" ca="1" si="6225">AW143+IF($T143 ="",BE143,0)</f>
        <v>37304.625</v>
      </c>
      <c r="BJ143" s="391">
        <f t="shared" ref="BJ143" ca="1" si="6226">BI143*$Z143</f>
        <v>29181.542906250001</v>
      </c>
      <c r="BK143" s="394">
        <f t="shared" ref="BK143" ca="1" si="6227">IFERROR(BJ143/AT$4,0)</f>
        <v>1.6850002695608979E-2</v>
      </c>
      <c r="BL143" s="211" t="str">
        <f t="shared" ref="BL143:BL146" ca="1" si="6228">IF(SUM(AY143,BG143,BK143)&lt;&gt;0,"V","")</f>
        <v>V</v>
      </c>
      <c r="BM143" s="214"/>
      <c r="BN143" s="312">
        <f t="shared" ref="BN143:BN146" ca="1" si="6229">IFERROR($X143/BO143-1,"")</f>
        <v>-0.1115725359911407</v>
      </c>
      <c r="BO143" s="215">
        <v>54.18</v>
      </c>
      <c r="BP143" s="199">
        <f t="shared" ref="BP143" ca="1" si="6230">BM143*$X143</f>
        <v>0</v>
      </c>
      <c r="BQ143" s="199">
        <f t="shared" ref="BQ143" ca="1" si="6231">BP143*$Z143</f>
        <v>0</v>
      </c>
      <c r="BR143" s="216">
        <f t="shared" ref="BR143" ca="1" si="6232">IFERROR(BQ143/BM$4,0)</f>
        <v>0</v>
      </c>
      <c r="BS143" s="202">
        <f t="shared" ref="BS143" ca="1" si="6233">BT143/$X143</f>
        <v>151.36518931045114</v>
      </c>
      <c r="BT143" s="203">
        <f t="shared" ref="BT143" ca="1" si="6234">BU143/$Z143</f>
        <v>7285.9633874585652</v>
      </c>
      <c r="BU143" s="203">
        <f t="shared" ref="BU143" ca="1" si="6235">BV143*BM$4</f>
        <v>5699.4448598394629</v>
      </c>
      <c r="BV143" s="204">
        <f t="shared" ca="1" si="6102"/>
        <v>0.02</v>
      </c>
      <c r="BW143" s="205">
        <v>130</v>
      </c>
      <c r="BX143" s="206">
        <f t="shared" ref="BX143" ca="1" si="6236">BW143*$X143</f>
        <v>6257.55</v>
      </c>
      <c r="BY143" s="206">
        <f t="shared" ref="BY143" ca="1" si="6237">BX143*$Z143</f>
        <v>4894.9684875000003</v>
      </c>
      <c r="BZ143" s="207">
        <f t="shared" ref="BZ143" ca="1" si="6238">IFERROR(BY143/BM$4,0)</f>
        <v>1.717700094615137E-2</v>
      </c>
      <c r="CA143" s="391">
        <f t="shared" ref="CA143:CA146" si="6239">BM143+BW143</f>
        <v>130</v>
      </c>
      <c r="CB143" s="391">
        <f t="shared" ref="CB143:CB146" ca="1" si="6240">BP143+IF($T143 ="",BX143,0)</f>
        <v>0</v>
      </c>
      <c r="CC143" s="391">
        <f t="shared" ref="CC143" ca="1" si="6241">CB143*$Z143</f>
        <v>0</v>
      </c>
      <c r="CD143" s="394">
        <f t="shared" ref="CD143" ca="1" si="6242">IFERROR(CC143/BM$4,0)</f>
        <v>0</v>
      </c>
      <c r="CE143" s="212" t="str">
        <f t="shared" ref="CE143:CE146" ca="1" si="6243">IF(SUM(BR143,BZ143,CD143)&lt;&gt;0,"V","")</f>
        <v>V</v>
      </c>
      <c r="CF143" s="214">
        <f>380</f>
        <v>380</v>
      </c>
      <c r="CG143" s="312">
        <f t="shared" ref="CG143:CG146" ca="1" si="6244">IFERROR($X143/CH143-1,"")</f>
        <v>-7.7659764044922364E-2</v>
      </c>
      <c r="CH143" s="215">
        <v>52.187899999999999</v>
      </c>
      <c r="CI143" s="199">
        <f t="shared" ref="CI143" ca="1" si="6245">CF143*$X143</f>
        <v>18291.3</v>
      </c>
      <c r="CJ143" s="199">
        <f t="shared" ref="CJ143" ca="1" si="6246">CI143*$Z143</f>
        <v>14308.369424999999</v>
      </c>
      <c r="CK143" s="216">
        <f t="shared" ref="CK143" ca="1" si="6247">IFERROR(CJ143/CF$4,0)</f>
        <v>1.616838767489755E-2</v>
      </c>
      <c r="CL143" s="202">
        <f t="shared" ref="CL143" ca="1" si="6248">CM143/$X143</f>
        <v>90.053053700554401</v>
      </c>
      <c r="CM143" s="203">
        <f t="shared" ref="CM143" ca="1" si="6249">CN143/$Z143</f>
        <v>4334.7037398761859</v>
      </c>
      <c r="CN143" s="203">
        <f t="shared" ref="CN143" ca="1" si="6250">CO143*CF$4</f>
        <v>3390.8220005181461</v>
      </c>
      <c r="CO143" s="204">
        <f t="shared" ca="1" si="6118"/>
        <v>3.83161232510245E-3</v>
      </c>
      <c r="CP143" s="205"/>
      <c r="CQ143" s="206">
        <f t="shared" ref="CQ143" ca="1" si="6251">CP143*$X143</f>
        <v>0</v>
      </c>
      <c r="CR143" s="206">
        <f t="shared" ref="CR143" ca="1" si="6252">CQ143*$Z143</f>
        <v>0</v>
      </c>
      <c r="CS143" s="207">
        <f t="shared" ref="CS143" ca="1" si="6253">IFERROR(CR143/CF$4,0)</f>
        <v>0</v>
      </c>
      <c r="CT143" s="391">
        <f t="shared" ref="CT143:CT146" si="6254">CF143+CP143</f>
        <v>380</v>
      </c>
      <c r="CU143" s="391">
        <f t="shared" ref="CU143:CU146" ca="1" si="6255">CI143+IF($T143 ="",CQ143,0)</f>
        <v>18291.3</v>
      </c>
      <c r="CV143" s="391">
        <f t="shared" ref="CV143" ca="1" si="6256">CU143*$Z143</f>
        <v>14308.369424999999</v>
      </c>
      <c r="CW143" s="394">
        <f t="shared" ref="CW143" ca="1" si="6257">IFERROR(CV143/CF$4,0)</f>
        <v>1.616838767489755E-2</v>
      </c>
      <c r="CX143" s="211" t="str">
        <f t="shared" ref="CX143:CX146" ca="1" si="6258">IF(SUM(CK143,CS143,CW143)&lt;&gt;0,"V","")</f>
        <v>V</v>
      </c>
      <c r="CY143" s="197">
        <f>1650</f>
        <v>1650</v>
      </c>
      <c r="CZ143" s="312">
        <f t="shared" ref="CZ143:CZ146" ca="1" si="6259">IFERROR($X143/DA143-1,"")</f>
        <v>-7.7520122652357304E-2</v>
      </c>
      <c r="DA143" s="395">
        <v>52.18</v>
      </c>
      <c r="DB143" s="199">
        <f t="shared" ref="DB143:DB146" ca="1" si="6260">CY143*$X143</f>
        <v>79422.75</v>
      </c>
      <c r="DC143" s="199">
        <f t="shared" ref="DC143:DC146" ca="1" si="6261">DB143*$Z143</f>
        <v>62128.446187499998</v>
      </c>
      <c r="DD143" s="216">
        <f t="shared" ref="DD143:DD146" ca="1" si="6262">IFERROR(DC143/CY$4,0)</f>
        <v>1.7328084753610688E-2</v>
      </c>
      <c r="DE143" s="202">
        <f t="shared" ref="DE143:DE146" ca="1" si="6263">DF143/$X143</f>
        <v>254.42281817231554</v>
      </c>
      <c r="DF143" s="203">
        <f t="shared" ref="DF143:DF146" ca="1" si="6264">DG143/$Z143</f>
        <v>12246.642352724408</v>
      </c>
      <c r="DG143" s="203">
        <f t="shared" ref="DG143:DG146" ca="1" si="6265">DH143*CY$4</f>
        <v>9579.9359804186679</v>
      </c>
      <c r="DH143" s="204">
        <f t="shared" ca="1" si="6134"/>
        <v>2.6719152463893121E-3</v>
      </c>
      <c r="DI143" s="205"/>
      <c r="DJ143" s="206">
        <f t="shared" ref="DJ143:DJ146" ca="1" si="6266">DI143*$X143</f>
        <v>0</v>
      </c>
      <c r="DK143" s="206">
        <f t="shared" ref="DK143:DK146" ca="1" si="6267">DJ143*$Z143</f>
        <v>0</v>
      </c>
      <c r="DL143" s="207">
        <f t="shared" ref="DL143:DL146" ca="1" si="6268">IFERROR(DK143/CY$4,0)</f>
        <v>0</v>
      </c>
      <c r="DM143" s="391">
        <f t="shared" ref="DM143:DM146" si="6269">CY143+DI143</f>
        <v>1650</v>
      </c>
      <c r="DN143" s="391">
        <f t="shared" ref="DN143:DN146" ca="1" si="6270">DB143+IF($T143 ="",DJ143,0)</f>
        <v>79422.75</v>
      </c>
      <c r="DO143" s="391">
        <f t="shared" ref="DO143" ca="1" si="6271">DN143*$Z143</f>
        <v>62128.446187499998</v>
      </c>
      <c r="DP143" s="394">
        <f t="shared" ref="DP143" ca="1" si="6272">IFERROR(DO143/CY$4,0)</f>
        <v>1.7328084753610688E-2</v>
      </c>
      <c r="DQ143" s="209" t="str">
        <f t="shared" ref="DQ143:DQ146" ca="1" si="6273">IF(SUM(DD143,DL143,DP143)&lt;&gt;0,"V","")</f>
        <v>V</v>
      </c>
      <c r="DR143" s="197">
        <f>350</f>
        <v>350</v>
      </c>
      <c r="DS143" s="312">
        <f t="shared" ref="DS143:DS146" ca="1" si="6274">IFERROR($X143/DT143-1,"")</f>
        <v>-0.1115725359911407</v>
      </c>
      <c r="DT143" s="395">
        <v>54.18</v>
      </c>
      <c r="DU143" s="199">
        <f t="shared" ref="DU143:DU146" ca="1" si="6275">DR143*$X143</f>
        <v>16847.25</v>
      </c>
      <c r="DV143" s="199">
        <f t="shared" ref="DV143:DV146" ca="1" si="6276">DU143*$Z143</f>
        <v>13178.761312500001</v>
      </c>
      <c r="DW143" s="216">
        <f t="shared" ref="DW143:DW146" ca="1" si="6277">IFERROR(DV143/DR$4,0)</f>
        <v>1.8779589465163397E-2</v>
      </c>
      <c r="DX143" s="202">
        <f t="shared" ref="DX143:DX146" ca="1" si="6278">DY143/$X143</f>
        <v>22.74510249466174</v>
      </c>
      <c r="DY143" s="203">
        <f t="shared" ref="DY143:DY146" ca="1" si="6279">DZ143/$Z143</f>
        <v>1094.8355085805429</v>
      </c>
      <c r="DZ143" s="203">
        <f t="shared" ref="DZ143:DZ146" ca="1" si="6280">EA143*DR$4</f>
        <v>856.43507658712974</v>
      </c>
      <c r="EA143" s="204">
        <f t="shared" ca="1" si="6150"/>
        <v>1.2204105348366037E-3</v>
      </c>
      <c r="EB143" s="205"/>
      <c r="EC143" s="206">
        <f t="shared" ref="EC143:EC146" ca="1" si="6281">EB143*$X143</f>
        <v>0</v>
      </c>
      <c r="ED143" s="206">
        <f t="shared" ref="ED143:ED146" ca="1" si="6282">EC143*$Z143</f>
        <v>0</v>
      </c>
      <c r="EE143" s="207">
        <f t="shared" ref="EE143:EE146" ca="1" si="6283">IFERROR(ED143/DR$4,0)</f>
        <v>0</v>
      </c>
      <c r="EF143" s="391">
        <f t="shared" ref="EF143:EF146" si="6284">DR143+EB143</f>
        <v>350</v>
      </c>
      <c r="EG143" s="391">
        <f t="shared" ref="EG143:EG146" ca="1" si="6285">DU143+IF($T143 ="",EC143,0)</f>
        <v>16847.25</v>
      </c>
      <c r="EH143" s="391">
        <f t="shared" ref="EH143" ca="1" si="6286">EG143*$Z143</f>
        <v>13178.761312500001</v>
      </c>
      <c r="EI143" s="394">
        <f t="shared" ref="EI143" ca="1" si="6287">IFERROR(EH143/DR$4,0)</f>
        <v>1.8779589465163397E-2</v>
      </c>
      <c r="EJ143" s="214"/>
      <c r="EK143" s="312" t="str">
        <f t="shared" ref="EK143:EK146" ca="1" si="6288">IFERROR($X143/EL143-1,"")</f>
        <v/>
      </c>
      <c r="EL143" s="222"/>
      <c r="EM143" s="199">
        <f t="shared" ref="EM143" ca="1" si="6289">EJ143*$X143</f>
        <v>0</v>
      </c>
      <c r="EN143" s="199">
        <f t="shared" ref="EN143" ca="1" si="6290">EM143*$Z143</f>
        <v>0</v>
      </c>
      <c r="EO143" s="216">
        <f t="shared" ref="EO143" ca="1" si="6291">IFERROR(EN143/EJ$4,0)</f>
        <v>0</v>
      </c>
      <c r="EP143" s="202">
        <f t="shared" ref="EP143" ca="1" si="6292">EQ143/$X143</f>
        <v>376.98819662798695</v>
      </c>
      <c r="EQ143" s="203">
        <f t="shared" ref="EQ143" ca="1" si="6293">ER143/$Z143</f>
        <v>18146.326844688152</v>
      </c>
      <c r="ER143" s="203">
        <f t="shared" ref="ER143" ca="1" si="6294">ES143*EJ$4</f>
        <v>14194.964174257308</v>
      </c>
      <c r="ES143" s="204">
        <f t="shared" ca="1" si="6165"/>
        <v>0.02</v>
      </c>
      <c r="ET143" s="205"/>
      <c r="EU143" s="206">
        <f t="shared" ref="EU143" ca="1" si="6295">ET143*$X143</f>
        <v>0</v>
      </c>
      <c r="EV143" s="206">
        <f t="shared" ref="EV143" ca="1" si="6296">EU143*$Z143</f>
        <v>0</v>
      </c>
      <c r="EW143" s="207">
        <f t="shared" ref="EW143" ca="1" si="6297">IFERROR(EV143/EJ$4,0)</f>
        <v>0</v>
      </c>
      <c r="EX143" s="391">
        <f t="shared" ref="EX143:EX146" si="6298">EJ143+ET143</f>
        <v>0</v>
      </c>
      <c r="EY143" s="391">
        <f t="shared" ref="EY143:EY146" ca="1" si="6299">EM143+IF($T143 ="",EU143,0)</f>
        <v>0</v>
      </c>
      <c r="EZ143" s="391">
        <f t="shared" ref="EZ143" ca="1" si="6300">EY143*$Z143</f>
        <v>0</v>
      </c>
      <c r="FA143" s="394">
        <f t="shared" ref="FA143" ca="1" si="6301">IFERROR(EZ143/EJ$4,0)</f>
        <v>0</v>
      </c>
      <c r="FB143" s="212" t="str">
        <f t="shared" ref="FB143:FB146" ca="1" si="6302">IF(SUM(EO143,EW143,FA143)&lt;&gt;0,"V","")</f>
        <v/>
      </c>
      <c r="FC143" s="214"/>
      <c r="FD143" s="312" t="str">
        <f t="shared" ref="FD143:FD146" ca="1" si="6303">IFERROR($X143/FE143-1,"")</f>
        <v/>
      </c>
      <c r="FE143" s="215"/>
      <c r="FF143" s="199">
        <f t="shared" ref="FF143" ca="1" si="6304">FC143*$X143</f>
        <v>0</v>
      </c>
      <c r="FG143" s="199">
        <f t="shared" ref="FG143" ca="1" si="6305">FF143*$Z143</f>
        <v>0</v>
      </c>
      <c r="FH143" s="216">
        <f t="shared" ref="FH143" ca="1" si="6306">IFERROR(FG143/FC$4,0)</f>
        <v>0</v>
      </c>
      <c r="FI143" s="202">
        <f t="shared" ref="FI143" ca="1" si="6307">FJ143/$X143</f>
        <v>2420.8186657942565</v>
      </c>
      <c r="FJ143" s="203">
        <f t="shared" ref="FJ143" ca="1" si="6308">FK143/$Z143</f>
        <v>116526.10647800654</v>
      </c>
      <c r="FK143" s="203">
        <f t="shared" ref="FK143" ca="1" si="6309">FL143*FC$4</f>
        <v>91152.546792420617</v>
      </c>
      <c r="FL143" s="204">
        <f t="shared" ca="1" si="6181"/>
        <v>0.02</v>
      </c>
      <c r="FM143" s="205"/>
      <c r="FN143" s="206">
        <f t="shared" ref="FN143" ca="1" si="6310">FM143*$X143</f>
        <v>0</v>
      </c>
      <c r="FO143" s="206">
        <f t="shared" ref="FO143" ca="1" si="6311">FN143*$Z143</f>
        <v>0</v>
      </c>
      <c r="FP143" s="207">
        <f t="shared" ref="FP143" ca="1" si="6312">IFERROR(FO143/FC$4,0)</f>
        <v>0</v>
      </c>
      <c r="FQ143" s="391">
        <f t="shared" ref="FQ143:FQ146" si="6313">FC143+FM143</f>
        <v>0</v>
      </c>
      <c r="FR143" s="391">
        <f t="shared" ref="FR143:FR146" ca="1" si="6314">FF143+IF($T143 ="",FN143,0)</f>
        <v>0</v>
      </c>
      <c r="FS143" s="391">
        <f t="shared" ref="FS143" ca="1" si="6315">FR143*$Z143</f>
        <v>0</v>
      </c>
      <c r="FT143" s="394">
        <f t="shared" ref="FT143" ca="1" si="6316">IFERROR(FS143/FC$4,0)</f>
        <v>0</v>
      </c>
      <c r="FU143" s="209" t="str">
        <f t="shared" ref="FU143:FU146" ca="1" si="6317">IF(SUM(FH143,FP143,FT143)&lt;&gt;0,"V","")</f>
        <v/>
      </c>
    </row>
    <row r="144" spans="1:177" outlineLevel="2" x14ac:dyDescent="0.2">
      <c r="A144" s="366"/>
      <c r="B144" s="366"/>
      <c r="C144" s="367" t="str">
        <f t="shared" ca="1" si="6190"/>
        <v>LU0390135332:USD</v>
      </c>
      <c r="D144" s="368" t="str">
        <f t="shared" ca="1" si="6190"/>
        <v>LU0390135332</v>
      </c>
      <c r="E144" s="369" t="str">
        <f t="shared" ca="1" si="6190"/>
        <v>4613240</v>
      </c>
      <c r="F144" s="367" t="s">
        <v>422</v>
      </c>
      <c r="G144" s="414"/>
      <c r="H144" s="1713" t="str">
        <f t="shared" ca="1" si="6053"/>
        <v></v>
      </c>
      <c r="I144" s="1683" t="str">
        <f t="shared" ca="1" si="6191"/>
        <v>i</v>
      </c>
      <c r="J144" s="1713" t="str">
        <f t="shared" ca="1" si="6192"/>
        <v></v>
      </c>
      <c r="K144" s="1716" t="str">
        <f t="shared" ca="1" si="6192"/>
        <v></v>
      </c>
      <c r="L144" s="1717" t="str">
        <f t="shared" ca="1" si="6193"/>
        <v></v>
      </c>
      <c r="M144" s="366" t="str">
        <f t="shared" ca="1" si="6194"/>
        <v>Unit</v>
      </c>
      <c r="N144" s="1699">
        <v>2.5000000000000001E-2</v>
      </c>
      <c r="O144" s="429"/>
      <c r="P144" s="418">
        <f t="shared" ref="P144:P173" ca="1" si="6318">SUMIF($AA$15:$CD$15,"I_Ctrlv",$AA144:$CD144)/$Q$2</f>
        <v>8.925162908768396E-3</v>
      </c>
      <c r="Q144" s="391">
        <f t="array" aca="1" ref="Q144" ca="1">SUM(IF($AA$15:$FT$15="I_pos",AA144:FT144))</f>
        <v>1710</v>
      </c>
      <c r="R144" s="391">
        <f t="array" aca="1" ref="R144" ca="1">SUM(IF($AA$15:$FT$15="P_Pos",AA144:FT144))</f>
        <v>4088.4369390488991</v>
      </c>
      <c r="S144" s="367"/>
      <c r="T144" s="391" t="s">
        <v>4445</v>
      </c>
      <c r="U144" s="375">
        <f t="shared" ca="1" si="6195"/>
        <v>-1.9272826681246538E-2</v>
      </c>
      <c r="V144" s="391">
        <f t="array" aca="1" ref="V144" ca="1">SUM(IF($AA$15:$FT$15="O_Pos",AA144:FT144))</f>
        <v>0</v>
      </c>
      <c r="W144" s="367" t="str">
        <f t="shared" ca="1" si="6196"/>
        <v>USD</v>
      </c>
      <c r="X144" s="392">
        <f t="shared" ca="1" si="6197"/>
        <v>71.75</v>
      </c>
      <c r="Y144" s="393">
        <f t="shared" ca="1" si="6197"/>
        <v>0</v>
      </c>
      <c r="Z144" s="378">
        <f t="shared" ca="1" si="6198"/>
        <v>0.78225</v>
      </c>
      <c r="AA144" s="214">
        <f>125+140</f>
        <v>265</v>
      </c>
      <c r="AB144" s="312">
        <f t="shared" ca="1" si="6199"/>
        <v>0.37717516900386561</v>
      </c>
      <c r="AC144" s="215">
        <v>52.099400000000003</v>
      </c>
      <c r="AD144" s="199">
        <f t="shared" ca="1" si="6064"/>
        <v>19013.75</v>
      </c>
      <c r="AE144" s="199">
        <f t="shared" ca="1" si="6065"/>
        <v>14873.5059375</v>
      </c>
      <c r="AF144" s="216">
        <f t="shared" ca="1" si="6066"/>
        <v>2.6489067626353436E-2</v>
      </c>
      <c r="AG144" s="202">
        <f t="shared" ca="1" si="6067"/>
        <v>-14.896821834192371</v>
      </c>
      <c r="AH144" s="203">
        <f t="shared" ca="1" si="6068"/>
        <v>-1068.8469666033027</v>
      </c>
      <c r="AI144" s="203">
        <f t="shared" ca="1" si="6069"/>
        <v>-836.10553962543349</v>
      </c>
      <c r="AJ144" s="204">
        <f t="shared" ca="1" si="6070"/>
        <v>-1.4890676263534346E-3</v>
      </c>
      <c r="AK144" s="205"/>
      <c r="AL144" s="206">
        <f t="shared" ca="1" si="6071"/>
        <v>0</v>
      </c>
      <c r="AM144" s="206">
        <f t="shared" ca="1" si="6072"/>
        <v>0</v>
      </c>
      <c r="AN144" s="207">
        <f t="shared" ca="1" si="6073"/>
        <v>0</v>
      </c>
      <c r="AO144" s="391">
        <f t="shared" si="6209"/>
        <v>265</v>
      </c>
      <c r="AP144" s="391">
        <f t="shared" ca="1" si="6210"/>
        <v>19013.75</v>
      </c>
      <c r="AQ144" s="391">
        <f t="shared" ca="1" si="6076"/>
        <v>14873.5059375</v>
      </c>
      <c r="AR144" s="394">
        <f t="shared" ca="1" si="6077"/>
        <v>2.6489067626353436E-2</v>
      </c>
      <c r="AS144" s="209" t="str">
        <f t="shared" ca="1" si="6213"/>
        <v>V</v>
      </c>
      <c r="AT144" s="214"/>
      <c r="AU144" s="312" t="str">
        <f t="shared" ca="1" si="6214"/>
        <v/>
      </c>
      <c r="AV144" s="215"/>
      <c r="AW144" s="199">
        <f t="shared" ca="1" si="6080"/>
        <v>0</v>
      </c>
      <c r="AX144" s="199">
        <f t="shared" ca="1" si="6081"/>
        <v>0</v>
      </c>
      <c r="AY144" s="216">
        <f t="shared" ca="1" si="6082"/>
        <v>0</v>
      </c>
      <c r="AZ144" s="202">
        <f t="shared" ca="1" si="6083"/>
        <v>771.40208298527989</v>
      </c>
      <c r="BA144" s="203">
        <f t="shared" ca="1" si="6084"/>
        <v>55348.099454193834</v>
      </c>
      <c r="BB144" s="203">
        <f t="shared" ca="1" si="6085"/>
        <v>43296.050798043128</v>
      </c>
      <c r="BC144" s="204">
        <f t="shared" ca="1" si="6086"/>
        <v>2.5000000000000001E-2</v>
      </c>
      <c r="BD144" s="205"/>
      <c r="BE144" s="206">
        <f t="shared" ca="1" si="6087"/>
        <v>0</v>
      </c>
      <c r="BF144" s="206">
        <f t="shared" ca="1" si="6088"/>
        <v>0</v>
      </c>
      <c r="BG144" s="207">
        <f t="shared" ca="1" si="6089"/>
        <v>0</v>
      </c>
      <c r="BH144" s="391">
        <f t="shared" si="6224"/>
        <v>0</v>
      </c>
      <c r="BI144" s="391">
        <f t="shared" ca="1" si="6225"/>
        <v>0</v>
      </c>
      <c r="BJ144" s="391">
        <f t="shared" ca="1" si="6092"/>
        <v>0</v>
      </c>
      <c r="BK144" s="394">
        <f t="shared" ca="1" si="6093"/>
        <v>0</v>
      </c>
      <c r="BL144" s="211" t="str">
        <f t="shared" ca="1" si="6228"/>
        <v/>
      </c>
      <c r="BM144" s="214">
        <f>145</f>
        <v>145</v>
      </c>
      <c r="BN144" s="312" t="str">
        <f t="shared" ca="1" si="6229"/>
        <v/>
      </c>
      <c r="BO144" s="215"/>
      <c r="BP144" s="199">
        <f t="shared" ca="1" si="6096"/>
        <v>10403.75</v>
      </c>
      <c r="BQ144" s="199">
        <f t="shared" ca="1" si="6097"/>
        <v>8138.3334375000004</v>
      </c>
      <c r="BR144" s="216">
        <f t="shared" ca="1" si="6098"/>
        <v>2.8558337303500939E-2</v>
      </c>
      <c r="BS144" s="202">
        <f t="shared" ca="1" si="6099"/>
        <v>-18.066839939746252</v>
      </c>
      <c r="BT144" s="203">
        <f t="shared" ca="1" si="6100"/>
        <v>-1296.2957656767935</v>
      </c>
      <c r="BU144" s="203">
        <f t="shared" ca="1" si="6101"/>
        <v>-1014.0273627006717</v>
      </c>
      <c r="BV144" s="204">
        <f t="shared" ca="1" si="6102"/>
        <v>-3.5583373035009379E-3</v>
      </c>
      <c r="BW144" s="205"/>
      <c r="BX144" s="206">
        <f t="shared" ca="1" si="6103"/>
        <v>0</v>
      </c>
      <c r="BY144" s="206">
        <f t="shared" ca="1" si="6104"/>
        <v>0</v>
      </c>
      <c r="BZ144" s="207">
        <f t="shared" ca="1" si="6105"/>
        <v>0</v>
      </c>
      <c r="CA144" s="391">
        <f t="shared" si="6239"/>
        <v>145</v>
      </c>
      <c r="CB144" s="391">
        <f t="shared" ca="1" si="6240"/>
        <v>10403.75</v>
      </c>
      <c r="CC144" s="391">
        <f t="shared" ca="1" si="6108"/>
        <v>8138.3334375000004</v>
      </c>
      <c r="CD144" s="394">
        <f t="shared" ca="1" si="6109"/>
        <v>2.8558337303500939E-2</v>
      </c>
      <c r="CE144" s="212" t="str">
        <f t="shared" ca="1" si="6243"/>
        <v>V</v>
      </c>
      <c r="CF144" s="214">
        <f>400</f>
        <v>400</v>
      </c>
      <c r="CG144" s="312">
        <f t="shared" ca="1" si="6244"/>
        <v>5.0169563963742503E-2</v>
      </c>
      <c r="CH144" s="215">
        <v>68.322299999999998</v>
      </c>
      <c r="CI144" s="199">
        <f t="shared" ca="1" si="6112"/>
        <v>28700</v>
      </c>
      <c r="CJ144" s="199">
        <f t="shared" ca="1" si="6113"/>
        <v>22450.575000000001</v>
      </c>
      <c r="CK144" s="216">
        <f t="shared" ca="1" si="6114"/>
        <v>2.5369040268846926E-2</v>
      </c>
      <c r="CL144" s="202">
        <f t="shared" ca="1" si="6115"/>
        <v>-5.8187501763731264</v>
      </c>
      <c r="CM144" s="203">
        <f t="shared" ca="1" si="6116"/>
        <v>-417.49532515477182</v>
      </c>
      <c r="CN144" s="203">
        <f t="shared" ca="1" si="6117"/>
        <v>-326.58571810232024</v>
      </c>
      <c r="CO144" s="204">
        <f t="shared" ca="1" si="6118"/>
        <v>-3.6904026884692492E-4</v>
      </c>
      <c r="CP144" s="205"/>
      <c r="CQ144" s="206">
        <f t="shared" ca="1" si="6119"/>
        <v>0</v>
      </c>
      <c r="CR144" s="206">
        <f t="shared" ca="1" si="6120"/>
        <v>0</v>
      </c>
      <c r="CS144" s="207">
        <f t="shared" ca="1" si="6121"/>
        <v>0</v>
      </c>
      <c r="CT144" s="391">
        <f t="shared" si="6254"/>
        <v>400</v>
      </c>
      <c r="CU144" s="391">
        <f t="shared" ca="1" si="6255"/>
        <v>28700</v>
      </c>
      <c r="CV144" s="391">
        <f t="shared" ca="1" si="6124"/>
        <v>22450.575000000001</v>
      </c>
      <c r="CW144" s="394">
        <f t="shared" ca="1" si="6125"/>
        <v>2.5369040268846926E-2</v>
      </c>
      <c r="CX144" s="211" t="str">
        <f t="shared" ca="1" si="6258"/>
        <v>V</v>
      </c>
      <c r="CY144" s="197">
        <f>720+1080+-900</f>
        <v>900</v>
      </c>
      <c r="CZ144" s="312">
        <f t="shared" ca="1" si="6259"/>
        <v>0.16993869032089748</v>
      </c>
      <c r="DA144" s="395">
        <v>61.328000000000003</v>
      </c>
      <c r="DB144" s="199">
        <f t="shared" ca="1" si="6260"/>
        <v>64575</v>
      </c>
      <c r="DC144" s="199">
        <f t="shared" ca="1" si="6261"/>
        <v>50513.793749999997</v>
      </c>
      <c r="DD144" s="216">
        <f t="shared" ca="1" si="6262"/>
        <v>1.4088671985853047E-2</v>
      </c>
      <c r="DE144" s="202">
        <f t="shared" ca="1" si="6263"/>
        <v>697.0277413366623</v>
      </c>
      <c r="DF144" s="203">
        <f t="shared" ca="1" si="6264"/>
        <v>50011.740440905516</v>
      </c>
      <c r="DG144" s="203">
        <f t="shared" ca="1" si="6265"/>
        <v>39121.683959898342</v>
      </c>
      <c r="DH144" s="204">
        <f t="shared" ca="1" si="6134"/>
        <v>1.0911328014146954E-2</v>
      </c>
      <c r="DI144" s="205"/>
      <c r="DJ144" s="206">
        <f t="shared" ca="1" si="6266"/>
        <v>0</v>
      </c>
      <c r="DK144" s="206">
        <f t="shared" ca="1" si="6267"/>
        <v>0</v>
      </c>
      <c r="DL144" s="207">
        <f t="shared" ca="1" si="6268"/>
        <v>0</v>
      </c>
      <c r="DM144" s="391">
        <f t="shared" si="6269"/>
        <v>900</v>
      </c>
      <c r="DN144" s="391">
        <f t="shared" ca="1" si="6270"/>
        <v>64575</v>
      </c>
      <c r="DO144" s="391">
        <f t="shared" ca="1" si="6140"/>
        <v>50513.793749999997</v>
      </c>
      <c r="DP144" s="394">
        <f t="shared" ca="1" si="6141"/>
        <v>1.4088671985853047E-2</v>
      </c>
      <c r="DQ144" s="209" t="str">
        <f t="shared" ca="1" si="6273"/>
        <v>V</v>
      </c>
      <c r="DR144" s="197"/>
      <c r="DS144" s="312" t="str">
        <f t="shared" ca="1" si="6274"/>
        <v/>
      </c>
      <c r="DT144" s="395"/>
      <c r="DU144" s="199">
        <f t="shared" ca="1" si="6275"/>
        <v>0</v>
      </c>
      <c r="DV144" s="199">
        <f t="shared" ca="1" si="6276"/>
        <v>0</v>
      </c>
      <c r="DW144" s="216">
        <f t="shared" ca="1" si="6277"/>
        <v>0</v>
      </c>
      <c r="DX144" s="202">
        <f t="shared" ca="1" si="6278"/>
        <v>312.57988690906876</v>
      </c>
      <c r="DY144" s="203">
        <f t="shared" ca="1" si="6279"/>
        <v>22427.606885725683</v>
      </c>
      <c r="DZ144" s="203">
        <f t="shared" ca="1" si="6280"/>
        <v>17543.995486358916</v>
      </c>
      <c r="EA144" s="204">
        <f t="shared" ca="1" si="6150"/>
        <v>2.5000000000000001E-2</v>
      </c>
      <c r="EB144" s="205"/>
      <c r="EC144" s="206">
        <f t="shared" ca="1" si="6281"/>
        <v>0</v>
      </c>
      <c r="ED144" s="206">
        <f t="shared" ca="1" si="6282"/>
        <v>0</v>
      </c>
      <c r="EE144" s="207">
        <f t="shared" ca="1" si="6283"/>
        <v>0</v>
      </c>
      <c r="EF144" s="391">
        <f t="shared" si="6284"/>
        <v>0</v>
      </c>
      <c r="EG144" s="391">
        <f t="shared" ca="1" si="6285"/>
        <v>0</v>
      </c>
      <c r="EH144" s="391">
        <f t="shared" ca="1" si="6156"/>
        <v>0</v>
      </c>
      <c r="EI144" s="394">
        <f t="shared" ca="1" si="6157"/>
        <v>0</v>
      </c>
      <c r="EJ144" s="214"/>
      <c r="EK144" s="312" t="str">
        <f t="shared" ca="1" si="6288"/>
        <v/>
      </c>
      <c r="EL144" s="222"/>
      <c r="EM144" s="199">
        <f t="shared" ca="1" si="6159"/>
        <v>0</v>
      </c>
      <c r="EN144" s="199">
        <f t="shared" ca="1" si="6160"/>
        <v>0</v>
      </c>
      <c r="EO144" s="216">
        <f t="shared" ca="1" si="6161"/>
        <v>0</v>
      </c>
      <c r="EP144" s="202">
        <f t="shared" ca="1" si="6162"/>
        <v>316.1380983395149</v>
      </c>
      <c r="EQ144" s="203">
        <f t="shared" ca="1" si="6163"/>
        <v>22682.908555860195</v>
      </c>
      <c r="ER144" s="203">
        <f t="shared" ca="1" si="6164"/>
        <v>17743.705217821636</v>
      </c>
      <c r="ES144" s="204">
        <f t="shared" ca="1" si="6165"/>
        <v>2.5000000000000001E-2</v>
      </c>
      <c r="ET144" s="205"/>
      <c r="EU144" s="206">
        <f t="shared" ca="1" si="6166"/>
        <v>0</v>
      </c>
      <c r="EV144" s="206">
        <f t="shared" ca="1" si="6167"/>
        <v>0</v>
      </c>
      <c r="EW144" s="207">
        <f t="shared" ca="1" si="6168"/>
        <v>0</v>
      </c>
      <c r="EX144" s="391">
        <f t="shared" si="6298"/>
        <v>0</v>
      </c>
      <c r="EY144" s="391">
        <f t="shared" ca="1" si="6299"/>
        <v>0</v>
      </c>
      <c r="EZ144" s="391">
        <f t="shared" ca="1" si="6171"/>
        <v>0</v>
      </c>
      <c r="FA144" s="394">
        <f t="shared" ca="1" si="6172"/>
        <v>0</v>
      </c>
      <c r="FB144" s="212" t="str">
        <f t="shared" ca="1" si="6302"/>
        <v/>
      </c>
      <c r="FC144" s="214">
        <f>2500+-2500</f>
        <v>0</v>
      </c>
      <c r="FD144" s="312" t="str">
        <f t="shared" ca="1" si="6303"/>
        <v/>
      </c>
      <c r="FE144" s="215"/>
      <c r="FF144" s="199">
        <f t="shared" ca="1" si="6175"/>
        <v>0</v>
      </c>
      <c r="FG144" s="199">
        <f t="shared" ca="1" si="6176"/>
        <v>0</v>
      </c>
      <c r="FH144" s="216">
        <f t="shared" ca="1" si="6177"/>
        <v>0</v>
      </c>
      <c r="FI144" s="202">
        <f t="shared" ca="1" si="6178"/>
        <v>2030.0715414286851</v>
      </c>
      <c r="FJ144" s="203">
        <f t="shared" ca="1" si="6179"/>
        <v>145657.63309750817</v>
      </c>
      <c r="FK144" s="203">
        <f t="shared" ca="1" si="6180"/>
        <v>113940.68349052577</v>
      </c>
      <c r="FL144" s="204">
        <f t="shared" ca="1" si="6181"/>
        <v>2.5000000000000001E-2</v>
      </c>
      <c r="FM144" s="205"/>
      <c r="FN144" s="206">
        <f t="shared" ca="1" si="6182"/>
        <v>0</v>
      </c>
      <c r="FO144" s="206">
        <f t="shared" ca="1" si="6183"/>
        <v>0</v>
      </c>
      <c r="FP144" s="207">
        <f t="shared" ca="1" si="6184"/>
        <v>0</v>
      </c>
      <c r="FQ144" s="391">
        <f t="shared" si="6313"/>
        <v>0</v>
      </c>
      <c r="FR144" s="391">
        <f t="shared" ca="1" si="6314"/>
        <v>0</v>
      </c>
      <c r="FS144" s="391">
        <f t="shared" ca="1" si="6187"/>
        <v>0</v>
      </c>
      <c r="FT144" s="394">
        <f t="shared" ca="1" si="6188"/>
        <v>0</v>
      </c>
      <c r="FU144" s="209" t="str">
        <f t="shared" ca="1" si="6317"/>
        <v/>
      </c>
    </row>
    <row r="145" spans="1:177" outlineLevel="2" x14ac:dyDescent="0.2">
      <c r="A145" s="366"/>
      <c r="B145" s="366"/>
      <c r="C145" s="367" t="str">
        <f t="shared" ca="1" si="6190"/>
        <v>LU0390136223:USD</v>
      </c>
      <c r="D145" s="368" t="str">
        <f t="shared" ca="1" si="6190"/>
        <v>LU0390136223</v>
      </c>
      <c r="E145" s="369" t="str">
        <f t="shared" ca="1" si="6190"/>
        <v>4613654</v>
      </c>
      <c r="F145" s="367" t="s">
        <v>421</v>
      </c>
      <c r="G145" s="414"/>
      <c r="H145" s="1713" t="str">
        <f t="shared" ca="1" si="6053"/>
        <v></v>
      </c>
      <c r="I145" s="1683" t="str">
        <f t="shared" ca="1" si="6191"/>
        <v>i</v>
      </c>
      <c r="J145" s="1713" t="str">
        <f t="shared" ca="1" si="6192"/>
        <v></v>
      </c>
      <c r="K145" s="1716" t="str">
        <f t="shared" ca="1" si="6192"/>
        <v/>
      </c>
      <c r="L145" s="1717" t="str">
        <f t="shared" ca="1" si="6193"/>
        <v></v>
      </c>
      <c r="M145" s="366" t="str">
        <f t="shared" ca="1" si="6194"/>
        <v>Unit</v>
      </c>
      <c r="N145" s="431"/>
      <c r="O145" s="431"/>
      <c r="P145" s="418">
        <f t="shared" ca="1" si="6318"/>
        <v>1.5905069609298175E-2</v>
      </c>
      <c r="Q145" s="391">
        <f t="array" aca="1" ref="Q145" ca="1">SUM(IF($AA$15:$FT$15="I_pos",AA145:FT145))</f>
        <v>610</v>
      </c>
      <c r="R145" s="391">
        <f t="array" aca="1" ref="R145" ca="1">SUM(IF($AA$15:$FT$15="P_Pos",AA145:FT145))</f>
        <v>-610</v>
      </c>
      <c r="S145" s="367"/>
      <c r="T145" s="391"/>
      <c r="U145" s="375">
        <f t="shared" ca="1" si="6195"/>
        <v>-1.9285632774164074E-2</v>
      </c>
      <c r="V145" s="391">
        <f t="array" aca="1" ref="V145" ca="1">SUM(IF($AA$15:$FT$15="O_Pos",AA145:FT145))</f>
        <v>0</v>
      </c>
      <c r="W145" s="367" t="str">
        <f t="shared" ca="1" si="6196"/>
        <v>USD</v>
      </c>
      <c r="X145" s="392">
        <f t="shared" ca="1" si="6197"/>
        <v>85.94</v>
      </c>
      <c r="Y145" s="393">
        <f t="shared" ca="1" si="6197"/>
        <v>0</v>
      </c>
      <c r="Z145" s="378">
        <f t="shared" ca="1" si="6198"/>
        <v>0.78225</v>
      </c>
      <c r="AA145" s="214"/>
      <c r="AB145" s="312" t="str">
        <f t="shared" ca="1" si="6199"/>
        <v/>
      </c>
      <c r="AC145" s="215"/>
      <c r="AD145" s="199">
        <f t="shared" ca="1" si="6064"/>
        <v>0</v>
      </c>
      <c r="AE145" s="199">
        <f t="shared" ca="1" si="6065"/>
        <v>0</v>
      </c>
      <c r="AF145" s="216">
        <f t="shared" ca="1" si="6066"/>
        <v>0</v>
      </c>
      <c r="AG145" s="202">
        <f t="shared" ca="1" si="6067"/>
        <v>0</v>
      </c>
      <c r="AH145" s="203">
        <f t="shared" ca="1" si="6068"/>
        <v>0</v>
      </c>
      <c r="AI145" s="203">
        <f t="shared" ca="1" si="6069"/>
        <v>0</v>
      </c>
      <c r="AJ145" s="204">
        <f t="shared" ca="1" si="6070"/>
        <v>0</v>
      </c>
      <c r="AK145" s="205"/>
      <c r="AL145" s="206">
        <f t="shared" ca="1" si="6071"/>
        <v>0</v>
      </c>
      <c r="AM145" s="206">
        <f t="shared" ca="1" si="6072"/>
        <v>0</v>
      </c>
      <c r="AN145" s="207">
        <f t="shared" ca="1" si="6073"/>
        <v>0</v>
      </c>
      <c r="AO145" s="391">
        <f t="shared" si="6209"/>
        <v>0</v>
      </c>
      <c r="AP145" s="391">
        <f t="shared" ca="1" si="6210"/>
        <v>0</v>
      </c>
      <c r="AQ145" s="391">
        <f t="shared" ca="1" si="6076"/>
        <v>0</v>
      </c>
      <c r="AR145" s="394">
        <f t="shared" ca="1" si="6077"/>
        <v>0</v>
      </c>
      <c r="AS145" s="209" t="str">
        <f t="shared" ca="1" si="6213"/>
        <v/>
      </c>
      <c r="AT145" s="214">
        <f>600+100+-90</f>
        <v>610</v>
      </c>
      <c r="AU145" s="312">
        <f t="shared" ca="1" si="6214"/>
        <v>1.0793612388095815</v>
      </c>
      <c r="AV145" s="215">
        <v>41.33</v>
      </c>
      <c r="AW145" s="199">
        <f t="shared" ca="1" si="6080"/>
        <v>52423.4</v>
      </c>
      <c r="AX145" s="199">
        <f t="shared" ca="1" si="6081"/>
        <v>41008.20465</v>
      </c>
      <c r="AY145" s="216">
        <f t="shared" ca="1" si="6082"/>
        <v>2.3678952175849182E-2</v>
      </c>
      <c r="AZ145" s="202">
        <f t="shared" ca="1" si="6083"/>
        <v>-610</v>
      </c>
      <c r="BA145" s="203">
        <f t="shared" ca="1" si="6084"/>
        <v>-52423.4</v>
      </c>
      <c r="BB145" s="203">
        <f t="shared" ca="1" si="6085"/>
        <v>-41008.20465</v>
      </c>
      <c r="BC145" s="204">
        <f t="shared" ca="1" si="6086"/>
        <v>-2.3678952175849182E-2</v>
      </c>
      <c r="BD145" s="205"/>
      <c r="BE145" s="206">
        <f t="shared" ca="1" si="6087"/>
        <v>0</v>
      </c>
      <c r="BF145" s="206">
        <f t="shared" ca="1" si="6088"/>
        <v>0</v>
      </c>
      <c r="BG145" s="207">
        <f t="shared" ca="1" si="6089"/>
        <v>0</v>
      </c>
      <c r="BH145" s="391">
        <f t="shared" si="6224"/>
        <v>610</v>
      </c>
      <c r="BI145" s="391">
        <f t="shared" ca="1" si="6225"/>
        <v>52423.4</v>
      </c>
      <c r="BJ145" s="391">
        <f t="shared" ca="1" si="6092"/>
        <v>41008.20465</v>
      </c>
      <c r="BK145" s="394">
        <f t="shared" ca="1" si="6093"/>
        <v>2.3678952175849182E-2</v>
      </c>
      <c r="BL145" s="211" t="str">
        <f t="shared" ca="1" si="6228"/>
        <v>V</v>
      </c>
      <c r="BM145" s="214"/>
      <c r="BN145" s="312" t="str">
        <f t="shared" ca="1" si="6229"/>
        <v/>
      </c>
      <c r="BO145" s="215"/>
      <c r="BP145" s="199">
        <f t="shared" ca="1" si="6096"/>
        <v>0</v>
      </c>
      <c r="BQ145" s="199">
        <f t="shared" ca="1" si="6097"/>
        <v>0</v>
      </c>
      <c r="BR145" s="216">
        <f t="shared" ca="1" si="6098"/>
        <v>0</v>
      </c>
      <c r="BS145" s="202">
        <f t="shared" ca="1" si="6099"/>
        <v>0</v>
      </c>
      <c r="BT145" s="203">
        <f t="shared" ca="1" si="6100"/>
        <v>0</v>
      </c>
      <c r="BU145" s="203">
        <f t="shared" ca="1" si="6101"/>
        <v>0</v>
      </c>
      <c r="BV145" s="204">
        <f t="shared" ca="1" si="6102"/>
        <v>0</v>
      </c>
      <c r="BW145" s="205"/>
      <c r="BX145" s="206">
        <f t="shared" ca="1" si="6103"/>
        <v>0</v>
      </c>
      <c r="BY145" s="206">
        <f t="shared" ca="1" si="6104"/>
        <v>0</v>
      </c>
      <c r="BZ145" s="207">
        <f t="shared" ca="1" si="6105"/>
        <v>0</v>
      </c>
      <c r="CA145" s="391">
        <f t="shared" si="6239"/>
        <v>0</v>
      </c>
      <c r="CB145" s="391">
        <f t="shared" ca="1" si="6240"/>
        <v>0</v>
      </c>
      <c r="CC145" s="391">
        <f t="shared" ca="1" si="6108"/>
        <v>0</v>
      </c>
      <c r="CD145" s="394">
        <f t="shared" ca="1" si="6109"/>
        <v>0</v>
      </c>
      <c r="CE145" s="212" t="str">
        <f t="shared" ca="1" si="6243"/>
        <v/>
      </c>
      <c r="CF145" s="214"/>
      <c r="CG145" s="312" t="str">
        <f t="shared" ca="1" si="6244"/>
        <v/>
      </c>
      <c r="CH145" s="215"/>
      <c r="CI145" s="199">
        <f t="shared" ca="1" si="6112"/>
        <v>0</v>
      </c>
      <c r="CJ145" s="199">
        <f t="shared" ca="1" si="6113"/>
        <v>0</v>
      </c>
      <c r="CK145" s="216">
        <f t="shared" ca="1" si="6114"/>
        <v>0</v>
      </c>
      <c r="CL145" s="202">
        <f t="shared" ca="1" si="6115"/>
        <v>0</v>
      </c>
      <c r="CM145" s="203">
        <f t="shared" ca="1" si="6116"/>
        <v>0</v>
      </c>
      <c r="CN145" s="203">
        <f t="shared" ca="1" si="6117"/>
        <v>0</v>
      </c>
      <c r="CO145" s="204">
        <f t="shared" ca="1" si="6118"/>
        <v>0</v>
      </c>
      <c r="CP145" s="205"/>
      <c r="CQ145" s="206">
        <f t="shared" ca="1" si="6119"/>
        <v>0</v>
      </c>
      <c r="CR145" s="206">
        <f t="shared" ca="1" si="6120"/>
        <v>0</v>
      </c>
      <c r="CS145" s="207">
        <f t="shared" ca="1" si="6121"/>
        <v>0</v>
      </c>
      <c r="CT145" s="391">
        <f t="shared" si="6254"/>
        <v>0</v>
      </c>
      <c r="CU145" s="391">
        <f t="shared" ca="1" si="6255"/>
        <v>0</v>
      </c>
      <c r="CV145" s="391">
        <f t="shared" ca="1" si="6124"/>
        <v>0</v>
      </c>
      <c r="CW145" s="394">
        <f t="shared" ca="1" si="6125"/>
        <v>0</v>
      </c>
      <c r="CX145" s="211" t="str">
        <f t="shared" ca="1" si="6258"/>
        <v/>
      </c>
      <c r="CY145" s="197"/>
      <c r="CZ145" s="312" t="str">
        <f t="shared" ca="1" si="6259"/>
        <v/>
      </c>
      <c r="DA145" s="395"/>
      <c r="DB145" s="199">
        <f t="shared" ca="1" si="6260"/>
        <v>0</v>
      </c>
      <c r="DC145" s="199">
        <f t="shared" ca="1" si="6261"/>
        <v>0</v>
      </c>
      <c r="DD145" s="216">
        <f t="shared" ca="1" si="6262"/>
        <v>0</v>
      </c>
      <c r="DE145" s="202">
        <f t="shared" ca="1" si="6263"/>
        <v>0</v>
      </c>
      <c r="DF145" s="203">
        <f t="shared" ca="1" si="6264"/>
        <v>0</v>
      </c>
      <c r="DG145" s="203">
        <f t="shared" ca="1" si="6265"/>
        <v>0</v>
      </c>
      <c r="DH145" s="204">
        <f t="shared" ca="1" si="6134"/>
        <v>0</v>
      </c>
      <c r="DI145" s="205"/>
      <c r="DJ145" s="206">
        <f t="shared" ca="1" si="6266"/>
        <v>0</v>
      </c>
      <c r="DK145" s="206">
        <f t="shared" ca="1" si="6267"/>
        <v>0</v>
      </c>
      <c r="DL145" s="207">
        <f t="shared" ca="1" si="6268"/>
        <v>0</v>
      </c>
      <c r="DM145" s="391">
        <f t="shared" si="6269"/>
        <v>0</v>
      </c>
      <c r="DN145" s="391">
        <f t="shared" ca="1" si="6270"/>
        <v>0</v>
      </c>
      <c r="DO145" s="391">
        <f t="shared" ca="1" si="6140"/>
        <v>0</v>
      </c>
      <c r="DP145" s="394">
        <f t="shared" ca="1" si="6141"/>
        <v>0</v>
      </c>
      <c r="DQ145" s="209" t="str">
        <f t="shared" ca="1" si="6273"/>
        <v/>
      </c>
      <c r="DR145" s="197"/>
      <c r="DS145" s="312" t="str">
        <f t="shared" ca="1" si="6274"/>
        <v/>
      </c>
      <c r="DT145" s="395"/>
      <c r="DU145" s="199">
        <f t="shared" ca="1" si="6275"/>
        <v>0</v>
      </c>
      <c r="DV145" s="199">
        <f t="shared" ca="1" si="6276"/>
        <v>0</v>
      </c>
      <c r="DW145" s="216">
        <f t="shared" ca="1" si="6277"/>
        <v>0</v>
      </c>
      <c r="DX145" s="202">
        <f t="shared" ca="1" si="6278"/>
        <v>0</v>
      </c>
      <c r="DY145" s="203">
        <f t="shared" ca="1" si="6279"/>
        <v>0</v>
      </c>
      <c r="DZ145" s="203">
        <f t="shared" ca="1" si="6280"/>
        <v>0</v>
      </c>
      <c r="EA145" s="204">
        <f t="shared" ca="1" si="6150"/>
        <v>0</v>
      </c>
      <c r="EB145" s="205"/>
      <c r="EC145" s="206">
        <f t="shared" ca="1" si="6281"/>
        <v>0</v>
      </c>
      <c r="ED145" s="206">
        <f t="shared" ca="1" si="6282"/>
        <v>0</v>
      </c>
      <c r="EE145" s="207">
        <f t="shared" ca="1" si="6283"/>
        <v>0</v>
      </c>
      <c r="EF145" s="391">
        <f t="shared" si="6284"/>
        <v>0</v>
      </c>
      <c r="EG145" s="391">
        <f t="shared" ca="1" si="6285"/>
        <v>0</v>
      </c>
      <c r="EH145" s="391">
        <f t="shared" ca="1" si="6156"/>
        <v>0</v>
      </c>
      <c r="EI145" s="394">
        <f t="shared" ca="1" si="6157"/>
        <v>0</v>
      </c>
      <c r="EJ145" s="214"/>
      <c r="EK145" s="312" t="str">
        <f t="shared" ca="1" si="6288"/>
        <v/>
      </c>
      <c r="EL145" s="222"/>
      <c r="EM145" s="199">
        <f t="shared" ca="1" si="6159"/>
        <v>0</v>
      </c>
      <c r="EN145" s="199">
        <f t="shared" ca="1" si="6160"/>
        <v>0</v>
      </c>
      <c r="EO145" s="216">
        <f t="shared" ca="1" si="6161"/>
        <v>0</v>
      </c>
      <c r="EP145" s="202">
        <f t="shared" ca="1" si="6162"/>
        <v>0</v>
      </c>
      <c r="EQ145" s="203">
        <f t="shared" ca="1" si="6163"/>
        <v>0</v>
      </c>
      <c r="ER145" s="203">
        <f t="shared" ca="1" si="6164"/>
        <v>0</v>
      </c>
      <c r="ES145" s="204">
        <f t="shared" ca="1" si="6165"/>
        <v>0</v>
      </c>
      <c r="ET145" s="205"/>
      <c r="EU145" s="206">
        <f t="shared" ca="1" si="6166"/>
        <v>0</v>
      </c>
      <c r="EV145" s="206">
        <f t="shared" ca="1" si="6167"/>
        <v>0</v>
      </c>
      <c r="EW145" s="207">
        <f t="shared" ca="1" si="6168"/>
        <v>0</v>
      </c>
      <c r="EX145" s="391">
        <f t="shared" si="6298"/>
        <v>0</v>
      </c>
      <c r="EY145" s="391">
        <f t="shared" ca="1" si="6299"/>
        <v>0</v>
      </c>
      <c r="EZ145" s="391">
        <f t="shared" ca="1" si="6171"/>
        <v>0</v>
      </c>
      <c r="FA145" s="394">
        <f t="shared" ca="1" si="6172"/>
        <v>0</v>
      </c>
      <c r="FB145" s="212" t="str">
        <f t="shared" ca="1" si="6302"/>
        <v/>
      </c>
      <c r="FC145" s="214"/>
      <c r="FD145" s="312" t="str">
        <f t="shared" ca="1" si="6303"/>
        <v/>
      </c>
      <c r="FE145" s="215"/>
      <c r="FF145" s="199">
        <f t="shared" ca="1" si="6175"/>
        <v>0</v>
      </c>
      <c r="FG145" s="199">
        <f t="shared" ca="1" si="6176"/>
        <v>0</v>
      </c>
      <c r="FH145" s="216">
        <f t="shared" ca="1" si="6177"/>
        <v>0</v>
      </c>
      <c r="FI145" s="202">
        <f t="shared" ca="1" si="6178"/>
        <v>0</v>
      </c>
      <c r="FJ145" s="203">
        <f t="shared" ca="1" si="6179"/>
        <v>0</v>
      </c>
      <c r="FK145" s="203">
        <f t="shared" ca="1" si="6180"/>
        <v>0</v>
      </c>
      <c r="FL145" s="204">
        <f t="shared" ca="1" si="6181"/>
        <v>0</v>
      </c>
      <c r="FM145" s="205"/>
      <c r="FN145" s="206">
        <f t="shared" ca="1" si="6182"/>
        <v>0</v>
      </c>
      <c r="FO145" s="206">
        <f t="shared" ca="1" si="6183"/>
        <v>0</v>
      </c>
      <c r="FP145" s="207">
        <f t="shared" ca="1" si="6184"/>
        <v>0</v>
      </c>
      <c r="FQ145" s="391">
        <f t="shared" si="6313"/>
        <v>0</v>
      </c>
      <c r="FR145" s="391">
        <f t="shared" ca="1" si="6314"/>
        <v>0</v>
      </c>
      <c r="FS145" s="391">
        <f t="shared" ca="1" si="6187"/>
        <v>0</v>
      </c>
      <c r="FT145" s="394">
        <f t="shared" ca="1" si="6188"/>
        <v>0</v>
      </c>
      <c r="FU145" s="209" t="str">
        <f t="shared" ca="1" si="6317"/>
        <v/>
      </c>
    </row>
    <row r="146" spans="1:177" outlineLevel="2" x14ac:dyDescent="0.2">
      <c r="A146" s="366"/>
      <c r="B146" s="366"/>
      <c r="C146" s="367" t="str">
        <f t="shared" ca="1" si="6190"/>
        <v>LU0292107991:USD</v>
      </c>
      <c r="D146" s="368" t="str">
        <f t="shared" ca="1" si="6190"/>
        <v>LU0292107991</v>
      </c>
      <c r="E146" s="369" t="str">
        <f t="shared" ca="1" si="6190"/>
        <v>3067298</v>
      </c>
      <c r="F146" s="367" t="s">
        <v>465</v>
      </c>
      <c r="G146" s="414"/>
      <c r="H146" s="1713" t="str">
        <f t="shared" ca="1" si="6053"/>
        <v></v>
      </c>
      <c r="I146" s="1683" t="str">
        <f t="shared" ca="1" si="6191"/>
        <v>i</v>
      </c>
      <c r="J146" s="1713" t="str">
        <f t="shared" ca="1" si="6192"/>
        <v></v>
      </c>
      <c r="K146" s="1716" t="str">
        <f t="shared" ca="1" si="6192"/>
        <v></v>
      </c>
      <c r="L146" s="1717" t="str">
        <f t="shared" ca="1" si="6193"/>
        <v></v>
      </c>
      <c r="M146" s="366" t="str">
        <f t="shared" ca="1" si="6194"/>
        <v>Unit</v>
      </c>
      <c r="N146" s="372"/>
      <c r="O146" s="427"/>
      <c r="P146" s="432">
        <f t="shared" ca="1" si="6318"/>
        <v>0</v>
      </c>
      <c r="Q146" s="391">
        <f t="array" aca="1" ref="Q146" ca="1">SUM(IF($AA$15:$FT$15="I_pos",AA146:FT146))</f>
        <v>0</v>
      </c>
      <c r="R146" s="391">
        <f t="array" aca="1" ref="R146" ca="1">SUM(IF($AA$15:$FT$15="P_Pos",AA146:FT146))</f>
        <v>0</v>
      </c>
      <c r="S146" s="367"/>
      <c r="T146" s="391"/>
      <c r="U146" s="375">
        <f t="shared" ca="1" si="6195"/>
        <v>-4.4256534153305598E-2</v>
      </c>
      <c r="V146" s="391">
        <f t="array" aca="1" ref="V146" ca="1">SUM(IF($AA$15:$FT$15="O_Pos",AA146:FT146))</f>
        <v>0</v>
      </c>
      <c r="W146" s="367" t="str">
        <f t="shared" ca="1" si="6196"/>
        <v>USD</v>
      </c>
      <c r="X146" s="392">
        <f t="shared" ca="1" si="6197"/>
        <v>86.364999999999995</v>
      </c>
      <c r="Y146" s="393">
        <f t="shared" ca="1" si="6197"/>
        <v>0</v>
      </c>
      <c r="Z146" s="378">
        <f t="shared" ca="1" si="6198"/>
        <v>0.78225</v>
      </c>
      <c r="AA146" s="214">
        <f>190+-190</f>
        <v>0</v>
      </c>
      <c r="AB146" s="312" t="str">
        <f t="shared" ca="1" si="6199"/>
        <v/>
      </c>
      <c r="AC146" s="215"/>
      <c r="AD146" s="199">
        <f t="shared" ca="1" si="6064"/>
        <v>0</v>
      </c>
      <c r="AE146" s="199">
        <f t="shared" ca="1" si="6065"/>
        <v>0</v>
      </c>
      <c r="AF146" s="216">
        <f t="shared" ca="1" si="6066"/>
        <v>0</v>
      </c>
      <c r="AG146" s="202">
        <f t="shared" ca="1" si="6067"/>
        <v>0</v>
      </c>
      <c r="AH146" s="203">
        <f t="shared" ca="1" si="6068"/>
        <v>0</v>
      </c>
      <c r="AI146" s="203">
        <f t="shared" ca="1" si="6069"/>
        <v>0</v>
      </c>
      <c r="AJ146" s="204">
        <f t="shared" ca="1" si="6070"/>
        <v>0</v>
      </c>
      <c r="AK146" s="205"/>
      <c r="AL146" s="206">
        <f t="shared" ca="1" si="6071"/>
        <v>0</v>
      </c>
      <c r="AM146" s="206">
        <f t="shared" ca="1" si="6072"/>
        <v>0</v>
      </c>
      <c r="AN146" s="207">
        <f t="shared" ca="1" si="6073"/>
        <v>0</v>
      </c>
      <c r="AO146" s="391">
        <f t="shared" si="6209"/>
        <v>0</v>
      </c>
      <c r="AP146" s="391">
        <f t="shared" ca="1" si="6210"/>
        <v>0</v>
      </c>
      <c r="AQ146" s="391">
        <f t="shared" ca="1" si="6076"/>
        <v>0</v>
      </c>
      <c r="AR146" s="394">
        <f t="shared" ca="1" si="6077"/>
        <v>0</v>
      </c>
      <c r="AS146" s="209" t="str">
        <f t="shared" ca="1" si="6213"/>
        <v/>
      </c>
      <c r="AT146" s="214">
        <f>590+-590</f>
        <v>0</v>
      </c>
      <c r="AU146" s="312" t="str">
        <f t="shared" ca="1" si="6214"/>
        <v/>
      </c>
      <c r="AV146" s="215"/>
      <c r="AW146" s="199">
        <f t="shared" ca="1" si="6080"/>
        <v>0</v>
      </c>
      <c r="AX146" s="199">
        <f t="shared" ca="1" si="6081"/>
        <v>0</v>
      </c>
      <c r="AY146" s="216">
        <f t="shared" ca="1" si="6082"/>
        <v>0</v>
      </c>
      <c r="AZ146" s="202">
        <f t="shared" ca="1" si="6083"/>
        <v>0</v>
      </c>
      <c r="BA146" s="203">
        <f t="shared" ca="1" si="6084"/>
        <v>0</v>
      </c>
      <c r="BB146" s="203">
        <f t="shared" ca="1" si="6085"/>
        <v>0</v>
      </c>
      <c r="BC146" s="204">
        <f t="shared" ca="1" si="6086"/>
        <v>0</v>
      </c>
      <c r="BD146" s="205"/>
      <c r="BE146" s="206">
        <f t="shared" ca="1" si="6087"/>
        <v>0</v>
      </c>
      <c r="BF146" s="206">
        <f t="shared" ca="1" si="6088"/>
        <v>0</v>
      </c>
      <c r="BG146" s="207">
        <f t="shared" ca="1" si="6089"/>
        <v>0</v>
      </c>
      <c r="BH146" s="391">
        <f t="shared" si="6224"/>
        <v>0</v>
      </c>
      <c r="BI146" s="391">
        <f t="shared" ca="1" si="6225"/>
        <v>0</v>
      </c>
      <c r="BJ146" s="391">
        <f t="shared" ca="1" si="6092"/>
        <v>0</v>
      </c>
      <c r="BK146" s="394">
        <f t="shared" ca="1" si="6093"/>
        <v>0</v>
      </c>
      <c r="BL146" s="211" t="str">
        <f t="shared" ca="1" si="6228"/>
        <v/>
      </c>
      <c r="BM146" s="214">
        <f>105+-105</f>
        <v>0</v>
      </c>
      <c r="BN146" s="312" t="str">
        <f t="shared" ca="1" si="6229"/>
        <v/>
      </c>
      <c r="BO146" s="215"/>
      <c r="BP146" s="199">
        <f t="shared" ca="1" si="6096"/>
        <v>0</v>
      </c>
      <c r="BQ146" s="199">
        <f t="shared" ca="1" si="6097"/>
        <v>0</v>
      </c>
      <c r="BR146" s="216">
        <f t="shared" ca="1" si="6098"/>
        <v>0</v>
      </c>
      <c r="BS146" s="202">
        <f t="shared" ca="1" si="6099"/>
        <v>0</v>
      </c>
      <c r="BT146" s="203">
        <f t="shared" ca="1" si="6100"/>
        <v>0</v>
      </c>
      <c r="BU146" s="203">
        <f t="shared" ca="1" si="6101"/>
        <v>0</v>
      </c>
      <c r="BV146" s="204">
        <f t="shared" ca="1" si="6102"/>
        <v>0</v>
      </c>
      <c r="BW146" s="205"/>
      <c r="BX146" s="206">
        <f t="shared" ca="1" si="6103"/>
        <v>0</v>
      </c>
      <c r="BY146" s="206">
        <f t="shared" ca="1" si="6104"/>
        <v>0</v>
      </c>
      <c r="BZ146" s="207">
        <f t="shared" ca="1" si="6105"/>
        <v>0</v>
      </c>
      <c r="CA146" s="391">
        <f t="shared" si="6239"/>
        <v>0</v>
      </c>
      <c r="CB146" s="391">
        <f t="shared" ca="1" si="6240"/>
        <v>0</v>
      </c>
      <c r="CC146" s="391">
        <f t="shared" ca="1" si="6108"/>
        <v>0</v>
      </c>
      <c r="CD146" s="394">
        <f t="shared" ca="1" si="6109"/>
        <v>0</v>
      </c>
      <c r="CE146" s="212" t="str">
        <f t="shared" ca="1" si="6243"/>
        <v/>
      </c>
      <c r="CF146" s="214">
        <f>300+-300</f>
        <v>0</v>
      </c>
      <c r="CG146" s="312" t="str">
        <f t="shared" ca="1" si="6244"/>
        <v/>
      </c>
      <c r="CH146" s="215"/>
      <c r="CI146" s="199">
        <f t="shared" ca="1" si="6112"/>
        <v>0</v>
      </c>
      <c r="CJ146" s="199">
        <f t="shared" ca="1" si="6113"/>
        <v>0</v>
      </c>
      <c r="CK146" s="216">
        <f t="shared" ca="1" si="6114"/>
        <v>0</v>
      </c>
      <c r="CL146" s="202">
        <f t="shared" ca="1" si="6115"/>
        <v>0</v>
      </c>
      <c r="CM146" s="203">
        <f t="shared" ca="1" si="6116"/>
        <v>0</v>
      </c>
      <c r="CN146" s="203">
        <f t="shared" ca="1" si="6117"/>
        <v>0</v>
      </c>
      <c r="CO146" s="204">
        <f t="shared" ca="1" si="6118"/>
        <v>0</v>
      </c>
      <c r="CP146" s="205"/>
      <c r="CQ146" s="206">
        <f t="shared" ca="1" si="6119"/>
        <v>0</v>
      </c>
      <c r="CR146" s="206">
        <f t="shared" ca="1" si="6120"/>
        <v>0</v>
      </c>
      <c r="CS146" s="207">
        <f t="shared" ca="1" si="6121"/>
        <v>0</v>
      </c>
      <c r="CT146" s="391">
        <f t="shared" si="6254"/>
        <v>0</v>
      </c>
      <c r="CU146" s="391">
        <f t="shared" ca="1" si="6255"/>
        <v>0</v>
      </c>
      <c r="CV146" s="391">
        <f t="shared" ca="1" si="6124"/>
        <v>0</v>
      </c>
      <c r="CW146" s="394">
        <f t="shared" ca="1" si="6125"/>
        <v>0</v>
      </c>
      <c r="CX146" s="211" t="str">
        <f t="shared" ca="1" si="6258"/>
        <v/>
      </c>
      <c r="CY146" s="197">
        <v>0</v>
      </c>
      <c r="CZ146" s="312" t="str">
        <f t="shared" ca="1" si="6259"/>
        <v/>
      </c>
      <c r="DA146" s="395"/>
      <c r="DB146" s="199">
        <f t="shared" ca="1" si="6260"/>
        <v>0</v>
      </c>
      <c r="DC146" s="199">
        <f t="shared" ca="1" si="6261"/>
        <v>0</v>
      </c>
      <c r="DD146" s="216">
        <f t="shared" ca="1" si="6262"/>
        <v>0</v>
      </c>
      <c r="DE146" s="202">
        <f t="shared" ca="1" si="6263"/>
        <v>0</v>
      </c>
      <c r="DF146" s="203">
        <f t="shared" ca="1" si="6264"/>
        <v>0</v>
      </c>
      <c r="DG146" s="203">
        <f t="shared" ca="1" si="6265"/>
        <v>0</v>
      </c>
      <c r="DH146" s="204">
        <f t="shared" ca="1" si="6134"/>
        <v>0</v>
      </c>
      <c r="DI146" s="205"/>
      <c r="DJ146" s="206">
        <f t="shared" ca="1" si="6266"/>
        <v>0</v>
      </c>
      <c r="DK146" s="206">
        <f t="shared" ca="1" si="6267"/>
        <v>0</v>
      </c>
      <c r="DL146" s="207">
        <f t="shared" ca="1" si="6268"/>
        <v>0</v>
      </c>
      <c r="DM146" s="391">
        <f t="shared" si="6269"/>
        <v>0</v>
      </c>
      <c r="DN146" s="391">
        <f t="shared" ca="1" si="6270"/>
        <v>0</v>
      </c>
      <c r="DO146" s="391">
        <f t="shared" ca="1" si="6140"/>
        <v>0</v>
      </c>
      <c r="DP146" s="394">
        <f t="shared" ca="1" si="6141"/>
        <v>0</v>
      </c>
      <c r="DQ146" s="209" t="str">
        <f t="shared" ca="1" si="6273"/>
        <v/>
      </c>
      <c r="DR146" s="197"/>
      <c r="DS146" s="312" t="str">
        <f t="shared" ca="1" si="6274"/>
        <v/>
      </c>
      <c r="DT146" s="395"/>
      <c r="DU146" s="199">
        <f t="shared" ca="1" si="6275"/>
        <v>0</v>
      </c>
      <c r="DV146" s="199">
        <f t="shared" ca="1" si="6276"/>
        <v>0</v>
      </c>
      <c r="DW146" s="216">
        <f t="shared" ca="1" si="6277"/>
        <v>0</v>
      </c>
      <c r="DX146" s="202">
        <f t="shared" ca="1" si="6278"/>
        <v>0</v>
      </c>
      <c r="DY146" s="203">
        <f t="shared" ca="1" si="6279"/>
        <v>0</v>
      </c>
      <c r="DZ146" s="203">
        <f t="shared" ca="1" si="6280"/>
        <v>0</v>
      </c>
      <c r="EA146" s="204">
        <f t="shared" ca="1" si="6150"/>
        <v>0</v>
      </c>
      <c r="EB146" s="205"/>
      <c r="EC146" s="206">
        <f t="shared" ca="1" si="6281"/>
        <v>0</v>
      </c>
      <c r="ED146" s="206">
        <f t="shared" ca="1" si="6282"/>
        <v>0</v>
      </c>
      <c r="EE146" s="207">
        <f t="shared" ca="1" si="6283"/>
        <v>0</v>
      </c>
      <c r="EF146" s="391">
        <f t="shared" si="6284"/>
        <v>0</v>
      </c>
      <c r="EG146" s="391">
        <f t="shared" ca="1" si="6285"/>
        <v>0</v>
      </c>
      <c r="EH146" s="391">
        <f t="shared" ca="1" si="6156"/>
        <v>0</v>
      </c>
      <c r="EI146" s="394">
        <f t="shared" ca="1" si="6157"/>
        <v>0</v>
      </c>
      <c r="EJ146" s="214"/>
      <c r="EK146" s="312" t="str">
        <f t="shared" ca="1" si="6288"/>
        <v/>
      </c>
      <c r="EL146" s="222"/>
      <c r="EM146" s="199">
        <f t="shared" ca="1" si="6159"/>
        <v>0</v>
      </c>
      <c r="EN146" s="199">
        <f t="shared" ca="1" si="6160"/>
        <v>0</v>
      </c>
      <c r="EO146" s="216">
        <f t="shared" ca="1" si="6161"/>
        <v>0</v>
      </c>
      <c r="EP146" s="202">
        <f t="shared" ca="1" si="6162"/>
        <v>0</v>
      </c>
      <c r="EQ146" s="203">
        <f t="shared" ca="1" si="6163"/>
        <v>0</v>
      </c>
      <c r="ER146" s="203">
        <f t="shared" ca="1" si="6164"/>
        <v>0</v>
      </c>
      <c r="ES146" s="204">
        <f t="shared" ca="1" si="6165"/>
        <v>0</v>
      </c>
      <c r="ET146" s="205"/>
      <c r="EU146" s="206">
        <f t="shared" ca="1" si="6166"/>
        <v>0</v>
      </c>
      <c r="EV146" s="206">
        <f t="shared" ca="1" si="6167"/>
        <v>0</v>
      </c>
      <c r="EW146" s="207">
        <f t="shared" ca="1" si="6168"/>
        <v>0</v>
      </c>
      <c r="EX146" s="391">
        <f t="shared" si="6298"/>
        <v>0</v>
      </c>
      <c r="EY146" s="391">
        <f t="shared" ca="1" si="6299"/>
        <v>0</v>
      </c>
      <c r="EZ146" s="391">
        <f t="shared" ca="1" si="6171"/>
        <v>0</v>
      </c>
      <c r="FA146" s="394">
        <f t="shared" ca="1" si="6172"/>
        <v>0</v>
      </c>
      <c r="FB146" s="212" t="str">
        <f t="shared" ca="1" si="6302"/>
        <v/>
      </c>
      <c r="FC146" s="214">
        <f>8650+-8650</f>
        <v>0</v>
      </c>
      <c r="FD146" s="312" t="str">
        <f t="shared" ca="1" si="6303"/>
        <v/>
      </c>
      <c r="FE146" s="215"/>
      <c r="FF146" s="199">
        <f t="shared" ca="1" si="6175"/>
        <v>0</v>
      </c>
      <c r="FG146" s="199">
        <f t="shared" ca="1" si="6176"/>
        <v>0</v>
      </c>
      <c r="FH146" s="216">
        <f t="shared" ca="1" si="6177"/>
        <v>0</v>
      </c>
      <c r="FI146" s="202">
        <f t="shared" ca="1" si="6178"/>
        <v>0</v>
      </c>
      <c r="FJ146" s="203">
        <f t="shared" ca="1" si="6179"/>
        <v>0</v>
      </c>
      <c r="FK146" s="203">
        <f t="shared" ca="1" si="6180"/>
        <v>0</v>
      </c>
      <c r="FL146" s="204">
        <f t="shared" ca="1" si="6181"/>
        <v>0</v>
      </c>
      <c r="FM146" s="205"/>
      <c r="FN146" s="206">
        <f t="shared" ca="1" si="6182"/>
        <v>0</v>
      </c>
      <c r="FO146" s="206">
        <f t="shared" ca="1" si="6183"/>
        <v>0</v>
      </c>
      <c r="FP146" s="207">
        <f t="shared" ca="1" si="6184"/>
        <v>0</v>
      </c>
      <c r="FQ146" s="391">
        <f t="shared" si="6313"/>
        <v>0</v>
      </c>
      <c r="FR146" s="391">
        <f t="shared" ca="1" si="6314"/>
        <v>0</v>
      </c>
      <c r="FS146" s="391">
        <f t="shared" ca="1" si="6187"/>
        <v>0</v>
      </c>
      <c r="FT146" s="394">
        <f t="shared" ca="1" si="6188"/>
        <v>0</v>
      </c>
      <c r="FU146" s="209" t="str">
        <f t="shared" ca="1" si="6317"/>
        <v/>
      </c>
    </row>
    <row r="147" spans="1:177" outlineLevel="2" x14ac:dyDescent="0.2">
      <c r="A147" s="366"/>
      <c r="B147" s="366"/>
      <c r="C147" s="367" t="str">
        <f t="shared" ca="1" si="6051"/>
        <v>LU1900066462:EUR</v>
      </c>
      <c r="D147" s="368" t="str">
        <f t="shared" ca="1" si="6052"/>
        <v>LU1900066462</v>
      </c>
      <c r="E147" s="369" t="str">
        <f t="shared" ca="1" si="6052"/>
        <v>45209801</v>
      </c>
      <c r="F147" s="367" t="s">
        <v>773</v>
      </c>
      <c r="G147" s="414"/>
      <c r="H147" s="1713" t="str">
        <f t="shared" ca="1" si="6053"/>
        <v></v>
      </c>
      <c r="I147" s="1683" t="str">
        <f t="shared" ca="1" si="6054"/>
        <v>i</v>
      </c>
      <c r="J147" s="1713" t="str">
        <f t="shared" ca="1" si="6055"/>
        <v></v>
      </c>
      <c r="K147" s="1716" t="str">
        <f t="shared" ca="1" si="6055"/>
        <v></v>
      </c>
      <c r="L147" s="1717" t="str">
        <f t="shared" ca="1" si="6056"/>
        <v></v>
      </c>
      <c r="M147" s="366" t="str">
        <f t="shared" ca="1" si="6057"/>
        <v>Unit</v>
      </c>
      <c r="N147" s="417"/>
      <c r="O147" s="417"/>
      <c r="P147" s="418">
        <f t="shared" ca="1" si="6318"/>
        <v>0</v>
      </c>
      <c r="Q147" s="391">
        <f t="array" aca="1" ref="Q147" ca="1">SUM(IF($AA$15:$FT$15="I_pos",AA147:FT147))</f>
        <v>0</v>
      </c>
      <c r="R147" s="391">
        <f t="array" aca="1" ref="R147" ca="1">SUM(IF($AA$15:$FT$15="P_Pos",AA147:FT147))</f>
        <v>0</v>
      </c>
      <c r="S147" s="367"/>
      <c r="T147" s="391"/>
      <c r="U147" s="375">
        <f t="shared" ca="1" si="6058"/>
        <v>-1.48203968852049E-2</v>
      </c>
      <c r="V147" s="391">
        <f t="array" aca="1" ref="V147" ca="1">SUM(IF($AA$15:$FT$15="O_Pos",AA147:FT147))</f>
        <v>0</v>
      </c>
      <c r="W147" s="367" t="str">
        <f t="shared" ref="W147" ca="1" si="6319">OFFSET(Origine,MATCH($F147,Descrizioni,0),MATCH(W$15,Intestazioni,0)-1,1,1)</f>
        <v>EUR</v>
      </c>
      <c r="X147" s="392">
        <f t="shared" ref="X147" ca="1" si="6320">_xlfn.NUMBERVALUE(OFFSET(Origine,MATCH($F147,Descrizioni,0),MATCH(X$15,Intestazioni,0)-1,1,1))</f>
        <v>39.22</v>
      </c>
      <c r="Y147" s="393">
        <f t="shared" ca="1" si="6061"/>
        <v>0</v>
      </c>
      <c r="Z147" s="378">
        <f t="shared" ref="Z147:Z148" ca="1" si="6321">_xlfn.NUMBERVALUE(OFFSET(Origine,MATCH(W147&amp;"/"&amp;MRif,LUKB_Name,0),MATCH("Price",Intestazioni,0)-1,1,1))</f>
        <v>0.90754999999999997</v>
      </c>
      <c r="AA147" s="214"/>
      <c r="AB147" s="312" t="str">
        <f t="shared" ref="AB147:AB148" ca="1" si="6322">IFERROR($X147/AC147-1,"")</f>
        <v/>
      </c>
      <c r="AC147" s="215"/>
      <c r="AD147" s="199">
        <f t="shared" ref="AD147" ca="1" si="6323">AA147*$X147</f>
        <v>0</v>
      </c>
      <c r="AE147" s="199">
        <f t="shared" ref="AE147" ca="1" si="6324">AD147*$Z147</f>
        <v>0</v>
      </c>
      <c r="AF147" s="216">
        <f t="shared" ref="AF147:AF153" ca="1" si="6325">IFERROR(AE147/AA$4,0)</f>
        <v>0</v>
      </c>
      <c r="AG147" s="202">
        <f t="shared" ref="AG147" ca="1" si="6326">AH147/$X147</f>
        <v>0</v>
      </c>
      <c r="AH147" s="203">
        <f t="shared" ref="AH147" ca="1" si="6327">AI147/$Z147</f>
        <v>0</v>
      </c>
      <c r="AI147" s="203">
        <f t="shared" ref="AI147:AI151" ca="1" si="6328">AJ147*AA$4</f>
        <v>0</v>
      </c>
      <c r="AJ147" s="204">
        <f t="shared" ca="1" si="6070"/>
        <v>0</v>
      </c>
      <c r="AK147" s="205"/>
      <c r="AL147" s="206">
        <f t="shared" ref="AL147" ca="1" si="6329">AK147*$X147</f>
        <v>0</v>
      </c>
      <c r="AM147" s="206">
        <f t="shared" ref="AM147" ca="1" si="6330">AL147*$Z147</f>
        <v>0</v>
      </c>
      <c r="AN147" s="207">
        <f t="shared" ref="AN147:AN153" ca="1" si="6331">IFERROR(AM147/AA$4,0)</f>
        <v>0</v>
      </c>
      <c r="AO147" s="391">
        <f t="shared" ref="AO147:AO148" si="6332">AA147+AK147</f>
        <v>0</v>
      </c>
      <c r="AP147" s="391">
        <f t="shared" ca="1" si="5295"/>
        <v>0</v>
      </c>
      <c r="AQ147" s="391">
        <f t="shared" ref="AQ147" ca="1" si="6333">AP147*$Z147</f>
        <v>0</v>
      </c>
      <c r="AR147" s="394">
        <f t="shared" ref="AR147:AR148" ca="1" si="6334">IFERROR(AQ147/AA$4,0)</f>
        <v>0</v>
      </c>
      <c r="AS147" s="209" t="str">
        <f t="shared" ca="1" si="5098"/>
        <v/>
      </c>
      <c r="AT147" s="214"/>
      <c r="AU147" s="312" t="str">
        <f t="shared" ref="AU147:AU148" ca="1" si="6335">IFERROR($X147/AV147-1,"")</f>
        <v/>
      </c>
      <c r="AV147" s="215"/>
      <c r="AW147" s="199">
        <f t="shared" ref="AW147" ca="1" si="6336">AT147*$X147</f>
        <v>0</v>
      </c>
      <c r="AX147" s="199">
        <f t="shared" ref="AX147" ca="1" si="6337">AW147*$Z147</f>
        <v>0</v>
      </c>
      <c r="AY147" s="216">
        <f t="shared" ref="AY147:AY153" ca="1" si="6338">IFERROR(AX147/AT$4,0)</f>
        <v>0</v>
      </c>
      <c r="AZ147" s="202">
        <f t="shared" ref="AZ147" ca="1" si="6339">BA147/$X147</f>
        <v>0</v>
      </c>
      <c r="BA147" s="203">
        <f t="shared" ref="BA147" ca="1" si="6340">BB147/$Z147</f>
        <v>0</v>
      </c>
      <c r="BB147" s="203">
        <f t="shared" ref="BB147:BB151" ca="1" si="6341">BC147*AT$4</f>
        <v>0</v>
      </c>
      <c r="BC147" s="204">
        <f t="shared" ca="1" si="6086"/>
        <v>0</v>
      </c>
      <c r="BD147" s="205"/>
      <c r="BE147" s="206">
        <f t="shared" ref="BE147" ca="1" si="6342">BD147*$X147</f>
        <v>0</v>
      </c>
      <c r="BF147" s="206">
        <f t="shared" ref="BF147" ca="1" si="6343">BE147*$Z147</f>
        <v>0</v>
      </c>
      <c r="BG147" s="207">
        <f t="shared" ref="BG147:BG153" ca="1" si="6344">IFERROR(BF147/AT$4,0)</f>
        <v>0</v>
      </c>
      <c r="BH147" s="391">
        <f t="shared" ref="BH147:BH148" si="6345">AT147+BD147</f>
        <v>0</v>
      </c>
      <c r="BI147" s="391">
        <f t="shared" ca="1" si="5308"/>
        <v>0</v>
      </c>
      <c r="BJ147" s="391">
        <f t="shared" ref="BJ147" ca="1" si="6346">BI147*$Z147</f>
        <v>0</v>
      </c>
      <c r="BK147" s="394">
        <f t="shared" ref="BK147:BK148" ca="1" si="6347">IFERROR(BJ147/AT$4,0)</f>
        <v>0</v>
      </c>
      <c r="BL147" s="211" t="str">
        <f t="shared" ca="1" si="5109"/>
        <v/>
      </c>
      <c r="BM147" s="214"/>
      <c r="BN147" s="312" t="str">
        <f t="shared" ref="BN147:BN148" ca="1" si="6348">IFERROR($X147/BO147-1,"")</f>
        <v/>
      </c>
      <c r="BO147" s="215"/>
      <c r="BP147" s="199">
        <f t="shared" ref="BP147" ca="1" si="6349">BM147*$X147</f>
        <v>0</v>
      </c>
      <c r="BQ147" s="199">
        <f t="shared" ref="BQ147" ca="1" si="6350">BP147*$Z147</f>
        <v>0</v>
      </c>
      <c r="BR147" s="216">
        <f t="shared" ref="BR147:BR153" ca="1" si="6351">IFERROR(BQ147/BM$4,0)</f>
        <v>0</v>
      </c>
      <c r="BS147" s="202">
        <f t="shared" ref="BS147" ca="1" si="6352">BT147/$X147</f>
        <v>0</v>
      </c>
      <c r="BT147" s="203">
        <f t="shared" ref="BT147" ca="1" si="6353">BU147/$Z147</f>
        <v>0</v>
      </c>
      <c r="BU147" s="203">
        <f t="shared" ref="BU147:BU151" ca="1" si="6354">BV147*BM$4</f>
        <v>0</v>
      </c>
      <c r="BV147" s="204">
        <f t="shared" ca="1" si="6102"/>
        <v>0</v>
      </c>
      <c r="BW147" s="205"/>
      <c r="BX147" s="206">
        <f t="shared" ref="BX147" ca="1" si="6355">BW147*$X147</f>
        <v>0</v>
      </c>
      <c r="BY147" s="206">
        <f t="shared" ref="BY147" ca="1" si="6356">BX147*$Z147</f>
        <v>0</v>
      </c>
      <c r="BZ147" s="207">
        <f t="shared" ref="BZ147:BZ153" ca="1" si="6357">IFERROR(BY147/BM$4,0)</f>
        <v>0</v>
      </c>
      <c r="CA147" s="391">
        <f t="shared" ref="CA147:CA148" si="6358">BM147+BW147</f>
        <v>0</v>
      </c>
      <c r="CB147" s="391">
        <f t="shared" ca="1" si="5321"/>
        <v>0</v>
      </c>
      <c r="CC147" s="391">
        <f t="shared" ref="CC147" ca="1" si="6359">CB147*$Z147</f>
        <v>0</v>
      </c>
      <c r="CD147" s="394">
        <f t="shared" ref="CD147:CD148" ca="1" si="6360">IFERROR(CC147/BM$4,0)</f>
        <v>0</v>
      </c>
      <c r="CE147" s="212" t="str">
        <f t="shared" ca="1" si="5120"/>
        <v/>
      </c>
      <c r="CF147" s="214"/>
      <c r="CG147" s="312" t="str">
        <f t="shared" ref="CG147:CG148" ca="1" si="6361">IFERROR($X147/CH147-1,"")</f>
        <v/>
      </c>
      <c r="CH147" s="215"/>
      <c r="CI147" s="199">
        <f t="shared" ref="CI147:CI151" ca="1" si="6362">CF147*$X147</f>
        <v>0</v>
      </c>
      <c r="CJ147" s="199">
        <f t="shared" ref="CJ147:CJ151" ca="1" si="6363">CI147*$Z147</f>
        <v>0</v>
      </c>
      <c r="CK147" s="216">
        <f t="shared" ref="CK147:CK153" ca="1" si="6364">IFERROR(CJ147/CF$4,0)</f>
        <v>0</v>
      </c>
      <c r="CL147" s="202">
        <f t="shared" ref="CL147:CL151" ca="1" si="6365">CM147/$X147</f>
        <v>0</v>
      </c>
      <c r="CM147" s="203">
        <f t="shared" ref="CM147:CM151" ca="1" si="6366">CN147/$Z147</f>
        <v>0</v>
      </c>
      <c r="CN147" s="203">
        <f t="shared" ref="CN147:CN151" ca="1" si="6367">CO147*CF$4</f>
        <v>0</v>
      </c>
      <c r="CO147" s="204">
        <f t="shared" ca="1" si="6118"/>
        <v>0</v>
      </c>
      <c r="CP147" s="205"/>
      <c r="CQ147" s="206">
        <f t="shared" ref="CQ147:CQ151" ca="1" si="6368">CP147*$X147</f>
        <v>0</v>
      </c>
      <c r="CR147" s="206">
        <f t="shared" ref="CR147:CR151" ca="1" si="6369">CQ147*$Z147</f>
        <v>0</v>
      </c>
      <c r="CS147" s="207">
        <f t="shared" ref="CS147:CS153" ca="1" si="6370">IFERROR(CR147/CF$4,0)</f>
        <v>0</v>
      </c>
      <c r="CT147" s="391">
        <f t="shared" ref="CT147:CT148" si="6371">CF147+CP147</f>
        <v>0</v>
      </c>
      <c r="CU147" s="391">
        <f t="shared" ca="1" si="5334"/>
        <v>0</v>
      </c>
      <c r="CV147" s="391">
        <f t="shared" ref="CV147:CV151" ca="1" si="6372">CU147*$Z147</f>
        <v>0</v>
      </c>
      <c r="CW147" s="394">
        <f t="shared" ref="CW147:CW153" ca="1" si="6373">IFERROR(CV147/CF$4,0)</f>
        <v>0</v>
      </c>
      <c r="CX147" s="211" t="str">
        <f t="shared" ca="1" si="5130"/>
        <v/>
      </c>
      <c r="CY147" s="197"/>
      <c r="CZ147" s="312" t="str">
        <f t="shared" ref="CZ147:CZ148" ca="1" si="6374">IFERROR($X147/DA147-1,"")</f>
        <v/>
      </c>
      <c r="DA147" s="395"/>
      <c r="DB147" s="199">
        <f t="shared" ref="DB147:DB148" ca="1" si="6375">CY147*$X147</f>
        <v>0</v>
      </c>
      <c r="DC147" s="199">
        <f t="shared" ref="DC147:DC148" ca="1" si="6376">DB147*$Z147</f>
        <v>0</v>
      </c>
      <c r="DD147" s="216">
        <f t="shared" ca="1" si="4717"/>
        <v>0</v>
      </c>
      <c r="DE147" s="202">
        <f t="shared" ref="DE147:DE148" ca="1" si="6377">DF147/$X147</f>
        <v>0</v>
      </c>
      <c r="DF147" s="203">
        <f t="shared" ref="DF147:DF148" ca="1" si="6378">DG147/$Z147</f>
        <v>0</v>
      </c>
      <c r="DG147" s="203">
        <f t="shared" ref="DG147:DG148" ca="1" si="6379">DH147*CY$4</f>
        <v>0</v>
      </c>
      <c r="DH147" s="204">
        <f t="shared" ca="1" si="6134"/>
        <v>0</v>
      </c>
      <c r="DI147" s="205"/>
      <c r="DJ147" s="206">
        <f t="shared" ref="DJ147:DJ148" ca="1" si="6380">DI147*$X147</f>
        <v>0</v>
      </c>
      <c r="DK147" s="206">
        <f t="shared" ref="DK147:DK148" ca="1" si="6381">DJ147*$Z147</f>
        <v>0</v>
      </c>
      <c r="DL147" s="207">
        <f t="shared" ca="1" si="4718"/>
        <v>0</v>
      </c>
      <c r="DM147" s="391">
        <f t="shared" ref="DM147:DM148" si="6382">CY147+DI147</f>
        <v>0</v>
      </c>
      <c r="DN147" s="391">
        <f t="shared" ca="1" si="5338"/>
        <v>0</v>
      </c>
      <c r="DO147" s="391">
        <f t="shared" ref="DO147:DO151" ca="1" si="6383">DN147*$Z147</f>
        <v>0</v>
      </c>
      <c r="DP147" s="394">
        <f t="shared" ref="DP147:DP153" ca="1" si="6384">IFERROR(DO147/CY$4,0)</f>
        <v>0</v>
      </c>
      <c r="DQ147" s="209" t="str">
        <f t="shared" ca="1" si="5140"/>
        <v/>
      </c>
      <c r="DR147" s="197"/>
      <c r="DS147" s="312" t="str">
        <f t="shared" ref="DS147:DS148" ca="1" si="6385">IFERROR($X147/DT147-1,"")</f>
        <v/>
      </c>
      <c r="DT147" s="395"/>
      <c r="DU147" s="199">
        <f t="shared" ref="DU147:DU148" ca="1" si="6386">DR147*$X147</f>
        <v>0</v>
      </c>
      <c r="DV147" s="199">
        <f t="shared" ref="DV147:DV148" ca="1" si="6387">DU147*$Z147</f>
        <v>0</v>
      </c>
      <c r="DW147" s="216">
        <f t="shared" ca="1" si="5343"/>
        <v>0</v>
      </c>
      <c r="DX147" s="202">
        <f t="shared" ref="DX147:DX148" ca="1" si="6388">DY147/$X147</f>
        <v>0</v>
      </c>
      <c r="DY147" s="203">
        <f t="shared" ref="DY147:DY148" ca="1" si="6389">DZ147/$Z147</f>
        <v>0</v>
      </c>
      <c r="DZ147" s="203">
        <f t="shared" ref="DZ147:DZ148" ca="1" si="6390">EA147*DR$4</f>
        <v>0</v>
      </c>
      <c r="EA147" s="204">
        <f t="shared" ca="1" si="6150"/>
        <v>0</v>
      </c>
      <c r="EB147" s="205"/>
      <c r="EC147" s="206">
        <f t="shared" ref="EC147:EC148" ca="1" si="6391">EB147*$X147</f>
        <v>0</v>
      </c>
      <c r="ED147" s="206">
        <f t="shared" ref="ED147:ED148" ca="1" si="6392">EC147*$Z147</f>
        <v>0</v>
      </c>
      <c r="EE147" s="207">
        <f t="shared" ca="1" si="5349"/>
        <v>0</v>
      </c>
      <c r="EF147" s="391">
        <f t="shared" ref="EF147:EF148" si="6393">DR147+EB147</f>
        <v>0</v>
      </c>
      <c r="EG147" s="391">
        <f t="shared" ref="EG147:EG148" ca="1" si="6394">DU147+IF($T147 ="",EC147,0)</f>
        <v>0</v>
      </c>
      <c r="EH147" s="391">
        <f t="shared" ref="EH147:EH151" ca="1" si="6395">EG147*$Z147</f>
        <v>0</v>
      </c>
      <c r="EI147" s="394">
        <f t="shared" ref="EI147:EI153" ca="1" si="6396">IFERROR(EH147/DR$4,0)</f>
        <v>0</v>
      </c>
      <c r="EJ147" s="214"/>
      <c r="EK147" s="312" t="str">
        <f t="shared" ref="EK147:EK148" ca="1" si="6397">IFERROR($X147/EL147-1,"")</f>
        <v/>
      </c>
      <c r="EL147" s="222"/>
      <c r="EM147" s="199">
        <f t="shared" ref="EM147" ca="1" si="6398">EJ147*$X147</f>
        <v>0</v>
      </c>
      <c r="EN147" s="199">
        <f t="shared" ref="EN147" ca="1" si="6399">EM147*$Z147</f>
        <v>0</v>
      </c>
      <c r="EO147" s="216">
        <f t="shared" ref="EO147:EO153" ca="1" si="6400">IFERROR(EN147/EJ$4,0)</f>
        <v>0</v>
      </c>
      <c r="EP147" s="202">
        <f t="shared" ref="EP147" ca="1" si="6401">EQ147/$X147</f>
        <v>0</v>
      </c>
      <c r="EQ147" s="203">
        <f t="shared" ref="EQ147" ca="1" si="6402">ER147/$Z147</f>
        <v>0</v>
      </c>
      <c r="ER147" s="203">
        <f t="shared" ref="ER147:ER151" ca="1" si="6403">ES147*EJ$4</f>
        <v>0</v>
      </c>
      <c r="ES147" s="204">
        <f t="shared" ca="1" si="6165"/>
        <v>0</v>
      </c>
      <c r="ET147" s="205"/>
      <c r="EU147" s="206">
        <f t="shared" ref="EU147" ca="1" si="6404">ET147*$X147</f>
        <v>0</v>
      </c>
      <c r="EV147" s="206">
        <f t="shared" ref="EV147" ca="1" si="6405">EU147*$Z147</f>
        <v>0</v>
      </c>
      <c r="EW147" s="207">
        <f t="shared" ref="EW147:EW153" ca="1" si="6406">IFERROR(EV147/EJ$4,0)</f>
        <v>0</v>
      </c>
      <c r="EX147" s="391">
        <f t="shared" ref="EX147:EX154" si="6407">EJ147+ET147</f>
        <v>0</v>
      </c>
      <c r="EY147" s="391">
        <f t="shared" ca="1" si="5364"/>
        <v>0</v>
      </c>
      <c r="EZ147" s="391">
        <f t="shared" ref="EZ147" ca="1" si="6408">EY147*$Z147</f>
        <v>0</v>
      </c>
      <c r="FA147" s="394">
        <f t="shared" ref="FA147:FA148" ca="1" si="6409">IFERROR(EZ147/EJ$4,0)</f>
        <v>0</v>
      </c>
      <c r="FB147" s="212" t="str">
        <f t="shared" ca="1" si="5151"/>
        <v/>
      </c>
      <c r="FC147" s="214"/>
      <c r="FD147" s="312" t="str">
        <f t="shared" ref="FD147:FD148" ca="1" si="6410">IFERROR($X147/FE147-1,"")</f>
        <v/>
      </c>
      <c r="FE147" s="215"/>
      <c r="FF147" s="199">
        <f t="shared" ref="FF147" ca="1" si="6411">FC147*$X147</f>
        <v>0</v>
      </c>
      <c r="FG147" s="199">
        <f t="shared" ref="FG147" ca="1" si="6412">FF147*$Z147</f>
        <v>0</v>
      </c>
      <c r="FH147" s="216">
        <f t="shared" ref="FH147:FH153" ca="1" si="6413">IFERROR(FG147/FC$4,0)</f>
        <v>0</v>
      </c>
      <c r="FI147" s="202">
        <f t="shared" ref="FI147" ca="1" si="6414">FJ147/$X147</f>
        <v>0</v>
      </c>
      <c r="FJ147" s="203">
        <f t="shared" ref="FJ147" ca="1" si="6415">FK147/$Z147</f>
        <v>0</v>
      </c>
      <c r="FK147" s="203">
        <f t="shared" ref="FK147:FK151" ca="1" si="6416">FL147*FC$4</f>
        <v>0</v>
      </c>
      <c r="FL147" s="204">
        <f t="shared" ca="1" si="6181"/>
        <v>0</v>
      </c>
      <c r="FM147" s="205"/>
      <c r="FN147" s="206">
        <f t="shared" ref="FN147" ca="1" si="6417">FM147*$X147</f>
        <v>0</v>
      </c>
      <c r="FO147" s="206">
        <f t="shared" ref="FO147" ca="1" si="6418">FN147*$Z147</f>
        <v>0</v>
      </c>
      <c r="FP147" s="207">
        <f t="shared" ref="FP147:FP153" ca="1" si="6419">IFERROR(FO147/FC$4,0)</f>
        <v>0</v>
      </c>
      <c r="FQ147" s="391">
        <f t="shared" ref="FQ147:FQ148" si="6420">FC147+FM147</f>
        <v>0</v>
      </c>
      <c r="FR147" s="391">
        <f t="shared" ca="1" si="5378"/>
        <v>0</v>
      </c>
      <c r="FS147" s="391">
        <f t="shared" ref="FS147" ca="1" si="6421">FR147*$Z147</f>
        <v>0</v>
      </c>
      <c r="FT147" s="394">
        <f t="shared" ref="FT147:FT148" ca="1" si="6422">IFERROR(FS147/FC$4,0)</f>
        <v>0</v>
      </c>
      <c r="FU147" s="209" t="str">
        <f t="shared" ca="1" si="5162"/>
        <v/>
      </c>
    </row>
    <row r="148" spans="1:177" outlineLevel="2" x14ac:dyDescent="0.2">
      <c r="A148" s="366"/>
      <c r="B148" s="366"/>
      <c r="C148" s="367" t="str">
        <f t="shared" ca="1" si="6051"/>
        <v>IE00B27YCK28:USD</v>
      </c>
      <c r="D148" s="368" t="str">
        <f t="shared" ca="1" si="6052"/>
        <v>IE00B27YCK28</v>
      </c>
      <c r="E148" s="369" t="str">
        <f t="shared" ca="1" si="6052"/>
        <v>3477137</v>
      </c>
      <c r="F148" s="367" t="s">
        <v>774</v>
      </c>
      <c r="G148" s="414"/>
      <c r="H148" s="1713" t="str">
        <f t="shared" ca="1" si="6053"/>
        <v></v>
      </c>
      <c r="I148" s="1683" t="str">
        <f t="shared" ca="1" si="6054"/>
        <v>i</v>
      </c>
      <c r="J148" s="1713" t="str">
        <f t="shared" ca="1" si="6055"/>
        <v></v>
      </c>
      <c r="K148" s="1716" t="str">
        <f t="shared" ca="1" si="6055"/>
        <v></v>
      </c>
      <c r="L148" s="1717" t="str">
        <f t="shared" ca="1" si="6056"/>
        <v></v>
      </c>
      <c r="M148" s="366" t="str">
        <f t="shared" ca="1" si="6057"/>
        <v>Unit</v>
      </c>
      <c r="N148" s="417"/>
      <c r="O148" s="417"/>
      <c r="P148" s="418">
        <f t="shared" ca="1" si="6318"/>
        <v>0</v>
      </c>
      <c r="Q148" s="391">
        <f t="array" aca="1" ref="Q148" ca="1">SUM(IF($AA$15:$FT$15="I_pos",AA148:FT148))</f>
        <v>0</v>
      </c>
      <c r="R148" s="391">
        <f t="array" aca="1" ref="R148" ca="1">SUM(IF($AA$15:$FT$15="P_Pos",AA148:FT148))</f>
        <v>0</v>
      </c>
      <c r="S148" s="367"/>
      <c r="T148" s="391"/>
      <c r="U148" s="375">
        <f t="shared" ca="1" si="6058"/>
        <v>-4.8007246376811794E-2</v>
      </c>
      <c r="V148" s="391">
        <f t="array" aca="1" ref="V148" ca="1">SUM(IF($AA$15:$FT$15="O_Pos",AA148:FT148))</f>
        <v>0</v>
      </c>
      <c r="W148" s="367" t="str">
        <f t="shared" ref="W148" ca="1" si="6423">OFFSET(Origine,MATCH($F148,Descrizioni,0),MATCH(W$15,Intestazioni,0)-1,1,1)</f>
        <v>USD</v>
      </c>
      <c r="X148" s="392">
        <f t="shared" ref="X148" ca="1" si="6424">_xlfn.NUMBERVALUE(OFFSET(Origine,MATCH($F148,Descrizioni,0),MATCH(X$15,Intestazioni,0)-1,1,1))</f>
        <v>21.02</v>
      </c>
      <c r="Y148" s="393">
        <f t="shared" ca="1" si="6061"/>
        <v>0</v>
      </c>
      <c r="Z148" s="378">
        <f t="shared" ca="1" si="6321"/>
        <v>0.78225</v>
      </c>
      <c r="AA148" s="214"/>
      <c r="AB148" s="312" t="str">
        <f t="shared" ca="1" si="6322"/>
        <v/>
      </c>
      <c r="AC148" s="215"/>
      <c r="AD148" s="199">
        <f t="shared" ref="AD148" ca="1" si="6425">AA148*$X148</f>
        <v>0</v>
      </c>
      <c r="AE148" s="199">
        <f t="shared" ref="AE148" ca="1" si="6426">AD148*$Z148</f>
        <v>0</v>
      </c>
      <c r="AF148" s="216">
        <f t="shared" ca="1" si="6325"/>
        <v>0</v>
      </c>
      <c r="AG148" s="202">
        <f t="shared" ref="AG148:AG151" ca="1" si="6427">AH148/$X148</f>
        <v>0</v>
      </c>
      <c r="AH148" s="203">
        <f t="shared" ref="AH148:AH151" ca="1" si="6428">AI148/$Z148</f>
        <v>0</v>
      </c>
      <c r="AI148" s="203">
        <f t="shared" ca="1" si="6328"/>
        <v>0</v>
      </c>
      <c r="AJ148" s="204">
        <f t="shared" ca="1" si="6070"/>
        <v>0</v>
      </c>
      <c r="AK148" s="205"/>
      <c r="AL148" s="206">
        <f t="shared" ref="AL148" ca="1" si="6429">AK148*$X148</f>
        <v>0</v>
      </c>
      <c r="AM148" s="206">
        <f t="shared" ref="AM148" ca="1" si="6430">AL148*$Z148</f>
        <v>0</v>
      </c>
      <c r="AN148" s="207">
        <f t="shared" ca="1" si="6331"/>
        <v>0</v>
      </c>
      <c r="AO148" s="391">
        <f t="shared" si="6332"/>
        <v>0</v>
      </c>
      <c r="AP148" s="391">
        <f t="shared" ca="1" si="5295"/>
        <v>0</v>
      </c>
      <c r="AQ148" s="391">
        <f t="shared" ref="AQ148" ca="1" si="6431">AP148*$Z148</f>
        <v>0</v>
      </c>
      <c r="AR148" s="394">
        <f t="shared" ca="1" si="6334"/>
        <v>0</v>
      </c>
      <c r="AS148" s="209" t="str">
        <f t="shared" ca="1" si="5098"/>
        <v/>
      </c>
      <c r="AT148" s="214"/>
      <c r="AU148" s="312" t="str">
        <f t="shared" ca="1" si="6335"/>
        <v/>
      </c>
      <c r="AV148" s="215"/>
      <c r="AW148" s="199">
        <f t="shared" ref="AW148:AW151" ca="1" si="6432">AT148*$X148</f>
        <v>0</v>
      </c>
      <c r="AX148" s="199">
        <f t="shared" ref="AX148:AX151" ca="1" si="6433">AW148*$Z148</f>
        <v>0</v>
      </c>
      <c r="AY148" s="216">
        <f t="shared" ca="1" si="6338"/>
        <v>0</v>
      </c>
      <c r="AZ148" s="202">
        <f t="shared" ref="AZ148:AZ151" ca="1" si="6434">BA148/$X148</f>
        <v>0</v>
      </c>
      <c r="BA148" s="203">
        <f t="shared" ref="BA148:BA151" ca="1" si="6435">BB148/$Z148</f>
        <v>0</v>
      </c>
      <c r="BB148" s="203">
        <f t="shared" ca="1" si="6341"/>
        <v>0</v>
      </c>
      <c r="BC148" s="204">
        <f t="shared" ca="1" si="6086"/>
        <v>0</v>
      </c>
      <c r="BD148" s="205"/>
      <c r="BE148" s="206">
        <f t="shared" ref="BE148:BE151" ca="1" si="6436">BD148*$X148</f>
        <v>0</v>
      </c>
      <c r="BF148" s="206">
        <f t="shared" ref="BF148:BF151" ca="1" si="6437">BE148*$Z148</f>
        <v>0</v>
      </c>
      <c r="BG148" s="207">
        <f t="shared" ca="1" si="6344"/>
        <v>0</v>
      </c>
      <c r="BH148" s="391">
        <f t="shared" si="6345"/>
        <v>0</v>
      </c>
      <c r="BI148" s="391">
        <f t="shared" ca="1" si="5308"/>
        <v>0</v>
      </c>
      <c r="BJ148" s="391">
        <f t="shared" ref="BJ148:BJ151" ca="1" si="6438">BI148*$Z148</f>
        <v>0</v>
      </c>
      <c r="BK148" s="394">
        <f t="shared" ca="1" si="6347"/>
        <v>0</v>
      </c>
      <c r="BL148" s="211" t="str">
        <f t="shared" ca="1" si="5109"/>
        <v/>
      </c>
      <c r="BM148" s="214"/>
      <c r="BN148" s="312" t="str">
        <f t="shared" ca="1" si="6348"/>
        <v/>
      </c>
      <c r="BO148" s="215"/>
      <c r="BP148" s="199">
        <f t="shared" ref="BP148:BP151" ca="1" si="6439">BM148*$X148</f>
        <v>0</v>
      </c>
      <c r="BQ148" s="199">
        <f t="shared" ref="BQ148:BQ151" ca="1" si="6440">BP148*$Z148</f>
        <v>0</v>
      </c>
      <c r="BR148" s="216">
        <f t="shared" ca="1" si="6351"/>
        <v>0</v>
      </c>
      <c r="BS148" s="202">
        <f t="shared" ref="BS148:BS151" ca="1" si="6441">BT148/$X148</f>
        <v>0</v>
      </c>
      <c r="BT148" s="203">
        <f t="shared" ref="BT148:BT151" ca="1" si="6442">BU148/$Z148</f>
        <v>0</v>
      </c>
      <c r="BU148" s="203">
        <f t="shared" ca="1" si="6354"/>
        <v>0</v>
      </c>
      <c r="BV148" s="204">
        <f t="shared" ca="1" si="6102"/>
        <v>0</v>
      </c>
      <c r="BW148" s="205"/>
      <c r="BX148" s="206">
        <f t="shared" ref="BX148:BX151" ca="1" si="6443">BW148*$X148</f>
        <v>0</v>
      </c>
      <c r="BY148" s="206">
        <f t="shared" ref="BY148:BY151" ca="1" si="6444">BX148*$Z148</f>
        <v>0</v>
      </c>
      <c r="BZ148" s="207">
        <f t="shared" ca="1" si="6357"/>
        <v>0</v>
      </c>
      <c r="CA148" s="391">
        <f t="shared" si="6358"/>
        <v>0</v>
      </c>
      <c r="CB148" s="391">
        <f t="shared" ca="1" si="5321"/>
        <v>0</v>
      </c>
      <c r="CC148" s="391">
        <f t="shared" ref="CC148:CC151" ca="1" si="6445">CB148*$Z148</f>
        <v>0</v>
      </c>
      <c r="CD148" s="394">
        <f t="shared" ca="1" si="6360"/>
        <v>0</v>
      </c>
      <c r="CE148" s="212" t="str">
        <f t="shared" ca="1" si="5120"/>
        <v/>
      </c>
      <c r="CF148" s="214"/>
      <c r="CG148" s="312" t="str">
        <f t="shared" ca="1" si="6361"/>
        <v/>
      </c>
      <c r="CH148" s="215"/>
      <c r="CI148" s="199">
        <f t="shared" ca="1" si="6362"/>
        <v>0</v>
      </c>
      <c r="CJ148" s="199">
        <f t="shared" ca="1" si="6363"/>
        <v>0</v>
      </c>
      <c r="CK148" s="216">
        <f t="shared" ca="1" si="6364"/>
        <v>0</v>
      </c>
      <c r="CL148" s="202">
        <f t="shared" ca="1" si="6365"/>
        <v>0</v>
      </c>
      <c r="CM148" s="203">
        <f t="shared" ca="1" si="6366"/>
        <v>0</v>
      </c>
      <c r="CN148" s="203">
        <f t="shared" ca="1" si="6367"/>
        <v>0</v>
      </c>
      <c r="CO148" s="204">
        <f t="shared" ca="1" si="6118"/>
        <v>0</v>
      </c>
      <c r="CP148" s="205"/>
      <c r="CQ148" s="206">
        <f t="shared" ca="1" si="6368"/>
        <v>0</v>
      </c>
      <c r="CR148" s="206">
        <f t="shared" ca="1" si="6369"/>
        <v>0</v>
      </c>
      <c r="CS148" s="207">
        <f t="shared" ca="1" si="6370"/>
        <v>0</v>
      </c>
      <c r="CT148" s="391">
        <f t="shared" si="6371"/>
        <v>0</v>
      </c>
      <c r="CU148" s="391">
        <f t="shared" ca="1" si="5334"/>
        <v>0</v>
      </c>
      <c r="CV148" s="391">
        <f t="shared" ca="1" si="6372"/>
        <v>0</v>
      </c>
      <c r="CW148" s="394">
        <f t="shared" ca="1" si="6373"/>
        <v>0</v>
      </c>
      <c r="CX148" s="211" t="str">
        <f t="shared" ca="1" si="5130"/>
        <v/>
      </c>
      <c r="CY148" s="197">
        <f>1780+-1780</f>
        <v>0</v>
      </c>
      <c r="CZ148" s="312" t="str">
        <f t="shared" ca="1" si="6374"/>
        <v/>
      </c>
      <c r="DA148" s="395"/>
      <c r="DB148" s="199">
        <f t="shared" ca="1" si="6375"/>
        <v>0</v>
      </c>
      <c r="DC148" s="199">
        <f t="shared" ca="1" si="6376"/>
        <v>0</v>
      </c>
      <c r="DD148" s="216">
        <f t="shared" ca="1" si="4717"/>
        <v>0</v>
      </c>
      <c r="DE148" s="202">
        <f t="shared" ca="1" si="6377"/>
        <v>0</v>
      </c>
      <c r="DF148" s="203">
        <f t="shared" ca="1" si="6378"/>
        <v>0</v>
      </c>
      <c r="DG148" s="203">
        <f t="shared" ca="1" si="6379"/>
        <v>0</v>
      </c>
      <c r="DH148" s="204">
        <f t="shared" ca="1" si="6134"/>
        <v>0</v>
      </c>
      <c r="DI148" s="205"/>
      <c r="DJ148" s="206">
        <f t="shared" ca="1" si="6380"/>
        <v>0</v>
      </c>
      <c r="DK148" s="206">
        <f t="shared" ca="1" si="6381"/>
        <v>0</v>
      </c>
      <c r="DL148" s="207">
        <f t="shared" ca="1" si="4718"/>
        <v>0</v>
      </c>
      <c r="DM148" s="391">
        <f t="shared" si="6382"/>
        <v>0</v>
      </c>
      <c r="DN148" s="391">
        <f t="shared" ca="1" si="5338"/>
        <v>0</v>
      </c>
      <c r="DO148" s="391">
        <f t="shared" ca="1" si="6383"/>
        <v>0</v>
      </c>
      <c r="DP148" s="394">
        <f t="shared" ca="1" si="6384"/>
        <v>0</v>
      </c>
      <c r="DQ148" s="209" t="str">
        <f t="shared" ca="1" si="5140"/>
        <v/>
      </c>
      <c r="DR148" s="197"/>
      <c r="DS148" s="312" t="str">
        <f t="shared" ca="1" si="6385"/>
        <v/>
      </c>
      <c r="DT148" s="395"/>
      <c r="DU148" s="199">
        <f t="shared" ca="1" si="6386"/>
        <v>0</v>
      </c>
      <c r="DV148" s="199">
        <f t="shared" ca="1" si="6387"/>
        <v>0</v>
      </c>
      <c r="DW148" s="216">
        <f t="shared" ca="1" si="5343"/>
        <v>0</v>
      </c>
      <c r="DX148" s="202">
        <f t="shared" ca="1" si="6388"/>
        <v>0</v>
      </c>
      <c r="DY148" s="203">
        <f t="shared" ca="1" si="6389"/>
        <v>0</v>
      </c>
      <c r="DZ148" s="203">
        <f t="shared" ca="1" si="6390"/>
        <v>0</v>
      </c>
      <c r="EA148" s="204">
        <f t="shared" ca="1" si="6150"/>
        <v>0</v>
      </c>
      <c r="EB148" s="205"/>
      <c r="EC148" s="206">
        <f t="shared" ca="1" si="6391"/>
        <v>0</v>
      </c>
      <c r="ED148" s="206">
        <f t="shared" ca="1" si="6392"/>
        <v>0</v>
      </c>
      <c r="EE148" s="207">
        <f t="shared" ca="1" si="5349"/>
        <v>0</v>
      </c>
      <c r="EF148" s="391">
        <f t="shared" si="6393"/>
        <v>0</v>
      </c>
      <c r="EG148" s="391">
        <f t="shared" ca="1" si="6394"/>
        <v>0</v>
      </c>
      <c r="EH148" s="391">
        <f t="shared" ca="1" si="6395"/>
        <v>0</v>
      </c>
      <c r="EI148" s="394">
        <f t="shared" ca="1" si="6396"/>
        <v>0</v>
      </c>
      <c r="EJ148" s="214"/>
      <c r="EK148" s="312" t="str">
        <f t="shared" ca="1" si="6397"/>
        <v/>
      </c>
      <c r="EL148" s="222"/>
      <c r="EM148" s="199">
        <f t="shared" ref="EM148:EM151" ca="1" si="6446">EJ148*$X148</f>
        <v>0</v>
      </c>
      <c r="EN148" s="199">
        <f t="shared" ref="EN148:EN151" ca="1" si="6447">EM148*$Z148</f>
        <v>0</v>
      </c>
      <c r="EO148" s="216">
        <f t="shared" ca="1" si="6400"/>
        <v>0</v>
      </c>
      <c r="EP148" s="202">
        <f t="shared" ref="EP148:EP151" ca="1" si="6448">EQ148/$X148</f>
        <v>0</v>
      </c>
      <c r="EQ148" s="203">
        <f t="shared" ref="EQ148:EQ151" ca="1" si="6449">ER148/$Z148</f>
        <v>0</v>
      </c>
      <c r="ER148" s="203">
        <f t="shared" ca="1" si="6403"/>
        <v>0</v>
      </c>
      <c r="ES148" s="204">
        <f t="shared" ca="1" si="6165"/>
        <v>0</v>
      </c>
      <c r="ET148" s="205"/>
      <c r="EU148" s="206">
        <f t="shared" ref="EU148:EU151" ca="1" si="6450">ET148*$X148</f>
        <v>0</v>
      </c>
      <c r="EV148" s="206">
        <f t="shared" ref="EV148:EV151" ca="1" si="6451">EU148*$Z148</f>
        <v>0</v>
      </c>
      <c r="EW148" s="207">
        <f t="shared" ca="1" si="6406"/>
        <v>0</v>
      </c>
      <c r="EX148" s="391">
        <f t="shared" si="6407"/>
        <v>0</v>
      </c>
      <c r="EY148" s="391">
        <f t="shared" ca="1" si="5364"/>
        <v>0</v>
      </c>
      <c r="EZ148" s="391">
        <f t="shared" ref="EZ148:EZ151" ca="1" si="6452">EY148*$Z148</f>
        <v>0</v>
      </c>
      <c r="FA148" s="394">
        <f t="shared" ca="1" si="6409"/>
        <v>0</v>
      </c>
      <c r="FB148" s="212" t="str">
        <f t="shared" ca="1" si="5151"/>
        <v/>
      </c>
      <c r="FC148" s="214">
        <v>0</v>
      </c>
      <c r="FD148" s="312" t="str">
        <f t="shared" ca="1" si="6410"/>
        <v/>
      </c>
      <c r="FE148" s="215"/>
      <c r="FF148" s="199">
        <f t="shared" ref="FF148:FF151" ca="1" si="6453">FC148*$X148</f>
        <v>0</v>
      </c>
      <c r="FG148" s="199">
        <f t="shared" ref="FG148:FG151" ca="1" si="6454">FF148*$Z148</f>
        <v>0</v>
      </c>
      <c r="FH148" s="216">
        <f t="shared" ca="1" si="6413"/>
        <v>0</v>
      </c>
      <c r="FI148" s="202">
        <f t="shared" ref="FI148:FI151" ca="1" si="6455">FJ148/$X148</f>
        <v>0</v>
      </c>
      <c r="FJ148" s="203">
        <f t="shared" ref="FJ148:FJ151" ca="1" si="6456">FK148/$Z148</f>
        <v>0</v>
      </c>
      <c r="FK148" s="203">
        <f t="shared" ca="1" si="6416"/>
        <v>0</v>
      </c>
      <c r="FL148" s="204">
        <f t="shared" ca="1" si="6181"/>
        <v>0</v>
      </c>
      <c r="FM148" s="205"/>
      <c r="FN148" s="206">
        <f t="shared" ref="FN148:FN151" ca="1" si="6457">FM148*$X148</f>
        <v>0</v>
      </c>
      <c r="FO148" s="206">
        <f t="shared" ref="FO148:FO151" ca="1" si="6458">FN148*$Z148</f>
        <v>0</v>
      </c>
      <c r="FP148" s="207">
        <f t="shared" ca="1" si="6419"/>
        <v>0</v>
      </c>
      <c r="FQ148" s="391">
        <f t="shared" si="6420"/>
        <v>0</v>
      </c>
      <c r="FR148" s="391">
        <f t="shared" ca="1" si="5378"/>
        <v>0</v>
      </c>
      <c r="FS148" s="391">
        <f t="shared" ref="FS148:FS151" ca="1" si="6459">FR148*$Z148</f>
        <v>0</v>
      </c>
      <c r="FT148" s="394">
        <f t="shared" ca="1" si="6422"/>
        <v>0</v>
      </c>
      <c r="FU148" s="209" t="str">
        <f t="shared" ca="1" si="5162"/>
        <v/>
      </c>
    </row>
    <row r="149" spans="1:177" outlineLevel="2" x14ac:dyDescent="0.2">
      <c r="A149" s="366"/>
      <c r="B149" s="366"/>
      <c r="C149" s="367" t="str">
        <f t="shared" ca="1" si="6051"/>
        <v>FR0010435297:USD</v>
      </c>
      <c r="D149" s="368" t="str">
        <f t="shared" ca="1" si="6052"/>
        <v>FR0010435297</v>
      </c>
      <c r="E149" s="369" t="str">
        <f t="shared" ca="1" si="6052"/>
        <v>2914124</v>
      </c>
      <c r="F149" s="367" t="s">
        <v>591</v>
      </c>
      <c r="G149" s="414"/>
      <c r="H149" s="1713" t="str">
        <f t="shared" ca="1" si="6053"/>
        <v></v>
      </c>
      <c r="I149" s="1683" t="str">
        <f t="shared" ca="1" si="6054"/>
        <v>i</v>
      </c>
      <c r="J149" s="1713" t="str">
        <f t="shared" ca="1" si="6055"/>
        <v></v>
      </c>
      <c r="K149" s="1716" t="str">
        <f t="shared" ca="1" si="6055"/>
        <v></v>
      </c>
      <c r="L149" s="1717" t="str">
        <f t="shared" ca="1" si="6056"/>
        <v></v>
      </c>
      <c r="M149" s="366" t="str">
        <f t="shared" ca="1" si="6057"/>
        <v>Unit</v>
      </c>
      <c r="N149" s="417"/>
      <c r="O149" s="417"/>
      <c r="P149" s="418">
        <f t="shared" ca="1" si="6318"/>
        <v>0</v>
      </c>
      <c r="Q149" s="391">
        <f t="array" aca="1" ref="Q149" ca="1">SUM(IF($AA$15:$FT$15="I_pos",AA149:FT149))</f>
        <v>0</v>
      </c>
      <c r="R149" s="391">
        <f t="array" aca="1" ref="R149" ca="1">SUM(IF($AA$15:$FT$15="P_Pos",AA149:FT149))</f>
        <v>0</v>
      </c>
      <c r="S149" s="367"/>
      <c r="T149" s="391"/>
      <c r="U149" s="375">
        <f t="shared" ca="1" si="6058"/>
        <v>-5.9594305153080597E-2</v>
      </c>
      <c r="V149" s="391">
        <f t="array" aca="1" ref="V149" ca="1">SUM(IF($AA$15:$FT$15="O_Pos",AA149:FT149))</f>
        <v>0</v>
      </c>
      <c r="W149" s="367" t="str">
        <f t="shared" ref="W149" ca="1" si="6460">OFFSET(Origine,MATCH($F149,Descrizioni,0),MATCH(W$15,Intestazioni,0)-1,1,1)</f>
        <v>USD</v>
      </c>
      <c r="X149" s="392">
        <f t="shared" ref="X149" ca="1" si="6461">_xlfn.NUMBERVALUE(OFFSET(Origine,MATCH($F149,Descrizioni,0),MATCH(X$15,Intestazioni,0)-1,1,1))</f>
        <v>18.7925</v>
      </c>
      <c r="Y149" s="393">
        <f t="shared" ca="1" si="6061"/>
        <v>0</v>
      </c>
      <c r="Z149" s="378">
        <f t="shared" ref="Z149" ca="1" si="6462">_xlfn.NUMBERVALUE(OFFSET(Origine,MATCH(W149&amp;"/"&amp;MRif,LUKB_Name,0),MATCH("Price",Intestazioni,0)-1,1,1))</f>
        <v>0.78225</v>
      </c>
      <c r="AA149" s="214"/>
      <c r="AB149" s="312" t="str">
        <f t="shared" ref="AB149" ca="1" si="6463">IFERROR($X149/AC149-1,"")</f>
        <v/>
      </c>
      <c r="AC149" s="215"/>
      <c r="AD149" s="199">
        <f ca="1">AA149*$X149</f>
        <v>0</v>
      </c>
      <c r="AE149" s="199">
        <f ca="1">AD149*$Z149</f>
        <v>0</v>
      </c>
      <c r="AF149" s="216">
        <f ca="1">IFERROR(AE149/AA$4,0)</f>
        <v>0</v>
      </c>
      <c r="AG149" s="202">
        <f ca="1">AH149/$X149</f>
        <v>0</v>
      </c>
      <c r="AH149" s="203">
        <f ca="1">AI149/$Z149</f>
        <v>0</v>
      </c>
      <c r="AI149" s="203">
        <f ca="1">AJ149*AA$4</f>
        <v>0</v>
      </c>
      <c r="AJ149" s="204">
        <f t="shared" ca="1" si="6070"/>
        <v>0</v>
      </c>
      <c r="AK149" s="205"/>
      <c r="AL149" s="206">
        <f ca="1">AK149*$X149</f>
        <v>0</v>
      </c>
      <c r="AM149" s="206">
        <f ca="1">AL149*$Z149</f>
        <v>0</v>
      </c>
      <c r="AN149" s="207">
        <f ca="1">IFERROR(AM149/AA$4,0)</f>
        <v>0</v>
      </c>
      <c r="AO149" s="391">
        <f t="shared" ref="AO149" si="6464">AA149+AK149</f>
        <v>0</v>
      </c>
      <c r="AP149" s="391">
        <f t="shared" ref="AP149" ca="1" si="6465">AD149+IF($T149 ="",AL149,0)</f>
        <v>0</v>
      </c>
      <c r="AQ149" s="391">
        <f ca="1">AP149*$Z149</f>
        <v>0</v>
      </c>
      <c r="AR149" s="394">
        <f ca="1">IFERROR(AQ149/AA$4,0)</f>
        <v>0</v>
      </c>
      <c r="AS149" s="209" t="str">
        <f t="shared" ref="AS149" ca="1" si="6466">IF(SUM(AF149,AN149,AR149)&lt;&gt;0,"V","")</f>
        <v/>
      </c>
      <c r="AT149" s="214"/>
      <c r="AU149" s="312" t="str">
        <f t="shared" ref="AU149" ca="1" si="6467">IFERROR($X149/AV149-1,"")</f>
        <v/>
      </c>
      <c r="AV149" s="215"/>
      <c r="AW149" s="199">
        <f ca="1">AT149*$X149</f>
        <v>0</v>
      </c>
      <c r="AX149" s="199">
        <f ca="1">AW149*$Z149</f>
        <v>0</v>
      </c>
      <c r="AY149" s="216">
        <f ca="1">IFERROR(AX149/AT$4,0)</f>
        <v>0</v>
      </c>
      <c r="AZ149" s="202">
        <f ca="1">BA149/$X149</f>
        <v>0</v>
      </c>
      <c r="BA149" s="203">
        <f ca="1">BB149/$Z149</f>
        <v>0</v>
      </c>
      <c r="BB149" s="203">
        <f ca="1">BC149*AT$4</f>
        <v>0</v>
      </c>
      <c r="BC149" s="204">
        <f t="shared" ca="1" si="6086"/>
        <v>0</v>
      </c>
      <c r="BD149" s="205"/>
      <c r="BE149" s="206">
        <f ca="1">BD149*$X149</f>
        <v>0</v>
      </c>
      <c r="BF149" s="206">
        <f ca="1">BE149*$Z149</f>
        <v>0</v>
      </c>
      <c r="BG149" s="207">
        <f ca="1">IFERROR(BF149/AT$4,0)</f>
        <v>0</v>
      </c>
      <c r="BH149" s="391">
        <f t="shared" ref="BH149" si="6468">AT149+BD149</f>
        <v>0</v>
      </c>
      <c r="BI149" s="391">
        <f t="shared" ref="BI149" ca="1" si="6469">AW149+IF($T149 ="",BE149,0)</f>
        <v>0</v>
      </c>
      <c r="BJ149" s="391">
        <f ca="1">BI149*$Z149</f>
        <v>0</v>
      </c>
      <c r="BK149" s="394">
        <f ca="1">IFERROR(BJ149/AT$4,0)</f>
        <v>0</v>
      </c>
      <c r="BL149" s="211" t="str">
        <f t="shared" ref="BL149" ca="1" si="6470">IF(SUM(AY149,BG149,BK149)&lt;&gt;0,"V","")</f>
        <v/>
      </c>
      <c r="BM149" s="214"/>
      <c r="BN149" s="312" t="str">
        <f t="shared" ref="BN149" ca="1" si="6471">IFERROR($X149/BO149-1,"")</f>
        <v/>
      </c>
      <c r="BO149" s="215"/>
      <c r="BP149" s="199">
        <f ca="1">BM149*$X149</f>
        <v>0</v>
      </c>
      <c r="BQ149" s="199">
        <f ca="1">BP149*$Z149</f>
        <v>0</v>
      </c>
      <c r="BR149" s="216">
        <f ca="1">IFERROR(BQ149/BM$4,0)</f>
        <v>0</v>
      </c>
      <c r="BS149" s="202">
        <f ca="1">BT149/$X149</f>
        <v>0</v>
      </c>
      <c r="BT149" s="203">
        <f ca="1">BU149/$Z149</f>
        <v>0</v>
      </c>
      <c r="BU149" s="203">
        <f ca="1">BV149*BM$4</f>
        <v>0</v>
      </c>
      <c r="BV149" s="204">
        <f t="shared" ca="1" si="6102"/>
        <v>0</v>
      </c>
      <c r="BW149" s="205"/>
      <c r="BX149" s="206">
        <f ca="1">BW149*$X149</f>
        <v>0</v>
      </c>
      <c r="BY149" s="206">
        <f ca="1">BX149*$Z149</f>
        <v>0</v>
      </c>
      <c r="BZ149" s="207">
        <f ca="1">IFERROR(BY149/BM$4,0)</f>
        <v>0</v>
      </c>
      <c r="CA149" s="391">
        <f t="shared" ref="CA149" si="6472">BM149+BW149</f>
        <v>0</v>
      </c>
      <c r="CB149" s="391">
        <f t="shared" ref="CB149" ca="1" si="6473">BP149+IF($T149 ="",BX149,0)</f>
        <v>0</v>
      </c>
      <c r="CC149" s="391">
        <f ca="1">CB149*$Z149</f>
        <v>0</v>
      </c>
      <c r="CD149" s="394">
        <f ca="1">IFERROR(CC149/BM$4,0)</f>
        <v>0</v>
      </c>
      <c r="CE149" s="212" t="str">
        <f t="shared" ref="CE149" ca="1" si="6474">IF(SUM(BR149,BZ149,CD149)&lt;&gt;0,"V","")</f>
        <v/>
      </c>
      <c r="CF149" s="214"/>
      <c r="CG149" s="312" t="str">
        <f t="shared" ref="CG149" ca="1" si="6475">IFERROR($X149/CH149-1,"")</f>
        <v/>
      </c>
      <c r="CH149" s="215"/>
      <c r="CI149" s="199">
        <f ca="1">CF149*$X149</f>
        <v>0</v>
      </c>
      <c r="CJ149" s="199">
        <f ca="1">CI149*$Z149</f>
        <v>0</v>
      </c>
      <c r="CK149" s="216">
        <f ca="1">IFERROR(CJ149/CF$4,0)</f>
        <v>0</v>
      </c>
      <c r="CL149" s="202">
        <f ca="1">CM149/$X149</f>
        <v>0</v>
      </c>
      <c r="CM149" s="203">
        <f ca="1">CN149/$Z149</f>
        <v>0</v>
      </c>
      <c r="CN149" s="203">
        <f ca="1">CO149*CF$4</f>
        <v>0</v>
      </c>
      <c r="CO149" s="204">
        <f t="shared" ca="1" si="6118"/>
        <v>0</v>
      </c>
      <c r="CP149" s="205"/>
      <c r="CQ149" s="206">
        <f ca="1">CP149*$X149</f>
        <v>0</v>
      </c>
      <c r="CR149" s="206">
        <f ca="1">CQ149*$Z149</f>
        <v>0</v>
      </c>
      <c r="CS149" s="207">
        <f ca="1">IFERROR(CR149/CF$4,0)</f>
        <v>0</v>
      </c>
      <c r="CT149" s="391">
        <f t="shared" ref="CT149" si="6476">CF149+CP149</f>
        <v>0</v>
      </c>
      <c r="CU149" s="391">
        <f t="shared" ref="CU149" ca="1" si="6477">CI149+IF($T149 ="",CQ149,0)</f>
        <v>0</v>
      </c>
      <c r="CV149" s="391">
        <f ca="1">CU149*$Z149</f>
        <v>0</v>
      </c>
      <c r="CW149" s="394">
        <f ca="1">IFERROR(CV149/CF$4,0)</f>
        <v>0</v>
      </c>
      <c r="CX149" s="211" t="str">
        <f t="shared" ref="CX149" ca="1" si="6478">IF(SUM(CK149,CS149,CW149)&lt;&gt;0,"V","")</f>
        <v/>
      </c>
      <c r="CY149" s="197"/>
      <c r="CZ149" s="312" t="str">
        <f t="shared" ref="CZ149" ca="1" si="6479">IFERROR($X149/DA149-1,"")</f>
        <v/>
      </c>
      <c r="DA149" s="395"/>
      <c r="DB149" s="199">
        <f t="shared" ref="DB149" ca="1" si="6480">CY149*$X149</f>
        <v>0</v>
      </c>
      <c r="DC149" s="199">
        <f t="shared" ref="DC149" ca="1" si="6481">DB149*$Z149</f>
        <v>0</v>
      </c>
      <c r="DD149" s="216">
        <f t="shared" ref="DD149" ca="1" si="6482">IFERROR(DC149/CY$4,0)</f>
        <v>0</v>
      </c>
      <c r="DE149" s="202">
        <f t="shared" ref="DE149" ca="1" si="6483">DF149/$X149</f>
        <v>0</v>
      </c>
      <c r="DF149" s="203">
        <f t="shared" ref="DF149" ca="1" si="6484">DG149/$Z149</f>
        <v>0</v>
      </c>
      <c r="DG149" s="203">
        <f t="shared" ref="DG149" ca="1" si="6485">DH149*CY$4</f>
        <v>0</v>
      </c>
      <c r="DH149" s="204">
        <f t="shared" ca="1" si="6134"/>
        <v>0</v>
      </c>
      <c r="DI149" s="205"/>
      <c r="DJ149" s="206">
        <f t="shared" ref="DJ149" ca="1" si="6486">DI149*$X149</f>
        <v>0</v>
      </c>
      <c r="DK149" s="206">
        <f t="shared" ref="DK149" ca="1" si="6487">DJ149*$Z149</f>
        <v>0</v>
      </c>
      <c r="DL149" s="207">
        <f t="shared" ref="DL149" ca="1" si="6488">IFERROR(DK149/CY$4,0)</f>
        <v>0</v>
      </c>
      <c r="DM149" s="391">
        <f t="shared" ref="DM149" si="6489">CY149+DI149</f>
        <v>0</v>
      </c>
      <c r="DN149" s="391">
        <f t="shared" ref="DN149" ca="1" si="6490">DB149+IF($T149 ="",DJ149,0)</f>
        <v>0</v>
      </c>
      <c r="DO149" s="391">
        <f ca="1">DN149*$Z149</f>
        <v>0</v>
      </c>
      <c r="DP149" s="394">
        <f ca="1">IFERROR(DO149/CY$4,0)</f>
        <v>0</v>
      </c>
      <c r="DQ149" s="209" t="str">
        <f t="shared" ref="DQ149" ca="1" si="6491">IF(SUM(DD149,DL149,DP149)&lt;&gt;0,"V","")</f>
        <v/>
      </c>
      <c r="DR149" s="197"/>
      <c r="DS149" s="312" t="str">
        <f t="shared" ref="DS149" ca="1" si="6492">IFERROR($X149/DT149-1,"")</f>
        <v/>
      </c>
      <c r="DT149" s="395"/>
      <c r="DU149" s="199">
        <f t="shared" ref="DU149" ca="1" si="6493">DR149*$X149</f>
        <v>0</v>
      </c>
      <c r="DV149" s="199">
        <f t="shared" ref="DV149" ca="1" si="6494">DU149*$Z149</f>
        <v>0</v>
      </c>
      <c r="DW149" s="216">
        <f t="shared" ref="DW149" ca="1" si="6495">IFERROR(DV149/DR$4,0)</f>
        <v>0</v>
      </c>
      <c r="DX149" s="202">
        <f t="shared" ref="DX149" ca="1" si="6496">DY149/$X149</f>
        <v>0</v>
      </c>
      <c r="DY149" s="203">
        <f t="shared" ref="DY149" ca="1" si="6497">DZ149/$Z149</f>
        <v>0</v>
      </c>
      <c r="DZ149" s="203">
        <f t="shared" ref="DZ149" ca="1" si="6498">EA149*DR$4</f>
        <v>0</v>
      </c>
      <c r="EA149" s="204">
        <f t="shared" ca="1" si="6150"/>
        <v>0</v>
      </c>
      <c r="EB149" s="205"/>
      <c r="EC149" s="206">
        <f t="shared" ref="EC149" ca="1" si="6499">EB149*$X149</f>
        <v>0</v>
      </c>
      <c r="ED149" s="206">
        <f t="shared" ref="ED149" ca="1" si="6500">EC149*$Z149</f>
        <v>0</v>
      </c>
      <c r="EE149" s="207">
        <f t="shared" ref="EE149" ca="1" si="6501">IFERROR(ED149/DR$4,0)</f>
        <v>0</v>
      </c>
      <c r="EF149" s="391">
        <f t="shared" ref="EF149" si="6502">DR149+EB149</f>
        <v>0</v>
      </c>
      <c r="EG149" s="391">
        <f t="shared" ref="EG149" ca="1" si="6503">DU149+IF($T149 ="",EC149,0)</f>
        <v>0</v>
      </c>
      <c r="EH149" s="391">
        <f ca="1">EG149*$Z149</f>
        <v>0</v>
      </c>
      <c r="EI149" s="394">
        <f ca="1">IFERROR(EH149/DR$4,0)</f>
        <v>0</v>
      </c>
      <c r="EJ149" s="214"/>
      <c r="EK149" s="312" t="str">
        <f t="shared" ref="EK149" ca="1" si="6504">IFERROR($X149/EL149-1,"")</f>
        <v/>
      </c>
      <c r="EL149" s="222"/>
      <c r="EM149" s="199">
        <f ca="1">EJ149*$X149</f>
        <v>0</v>
      </c>
      <c r="EN149" s="199">
        <f ca="1">EM149*$Z149</f>
        <v>0</v>
      </c>
      <c r="EO149" s="216">
        <f ca="1">IFERROR(EN149/EJ$4,0)</f>
        <v>0</v>
      </c>
      <c r="EP149" s="202">
        <f ca="1">EQ149/$X149</f>
        <v>0</v>
      </c>
      <c r="EQ149" s="203">
        <f ca="1">ER149/$Z149</f>
        <v>0</v>
      </c>
      <c r="ER149" s="203">
        <f ca="1">ES149*EJ$4</f>
        <v>0</v>
      </c>
      <c r="ES149" s="204">
        <f t="shared" ca="1" si="6165"/>
        <v>0</v>
      </c>
      <c r="ET149" s="205"/>
      <c r="EU149" s="206">
        <f ca="1">ET149*$X149</f>
        <v>0</v>
      </c>
      <c r="EV149" s="206">
        <f ca="1">EU149*$Z149</f>
        <v>0</v>
      </c>
      <c r="EW149" s="207">
        <f ca="1">IFERROR(EV149/EJ$4,0)</f>
        <v>0</v>
      </c>
      <c r="EX149" s="391">
        <f t="shared" ref="EX149" si="6505">EJ149+ET149</f>
        <v>0</v>
      </c>
      <c r="EY149" s="391">
        <f t="shared" ref="EY149" ca="1" si="6506">EM149+IF($T149 ="",EU149,0)</f>
        <v>0</v>
      </c>
      <c r="EZ149" s="391">
        <f ca="1">EY149*$Z149</f>
        <v>0</v>
      </c>
      <c r="FA149" s="394">
        <f ca="1">IFERROR(EZ149/EJ$4,0)</f>
        <v>0</v>
      </c>
      <c r="FB149" s="212" t="str">
        <f t="shared" ref="FB149" ca="1" si="6507">IF(SUM(EO149,EW149,FA149)&lt;&gt;0,"V","")</f>
        <v/>
      </c>
      <c r="FC149" s="214"/>
      <c r="FD149" s="312" t="str">
        <f t="shared" ref="FD149" ca="1" si="6508">IFERROR($X149/FE149-1,"")</f>
        <v/>
      </c>
      <c r="FE149" s="215"/>
      <c r="FF149" s="199">
        <f ca="1">FC149*$X149</f>
        <v>0</v>
      </c>
      <c r="FG149" s="199">
        <f ca="1">FF149*$Z149</f>
        <v>0</v>
      </c>
      <c r="FH149" s="216">
        <f ca="1">IFERROR(FG149/FC$4,0)</f>
        <v>0</v>
      </c>
      <c r="FI149" s="202">
        <f ca="1">FJ149/$X149</f>
        <v>0</v>
      </c>
      <c r="FJ149" s="203">
        <f ca="1">FK149/$Z149</f>
        <v>0</v>
      </c>
      <c r="FK149" s="203">
        <f ca="1">FL149*FC$4</f>
        <v>0</v>
      </c>
      <c r="FL149" s="204">
        <f t="shared" ca="1" si="6181"/>
        <v>0</v>
      </c>
      <c r="FM149" s="205"/>
      <c r="FN149" s="206">
        <f ca="1">FM149*$X149</f>
        <v>0</v>
      </c>
      <c r="FO149" s="206">
        <f ca="1">FN149*$Z149</f>
        <v>0</v>
      </c>
      <c r="FP149" s="207">
        <f ca="1">IFERROR(FO149/FC$4,0)</f>
        <v>0</v>
      </c>
      <c r="FQ149" s="391">
        <f t="shared" ref="FQ149" si="6509">FC149+FM149</f>
        <v>0</v>
      </c>
      <c r="FR149" s="391">
        <f t="shared" ref="FR149" ca="1" si="6510">FF149+IF($T149 ="",FN149,0)</f>
        <v>0</v>
      </c>
      <c r="FS149" s="391">
        <f ca="1">FR149*$Z149</f>
        <v>0</v>
      </c>
      <c r="FT149" s="394">
        <f ca="1">IFERROR(FS149/FC$4,0)</f>
        <v>0</v>
      </c>
      <c r="FU149" s="209" t="str">
        <f t="shared" ref="FU149" ca="1" si="6511">IF(SUM(FH149,FP149,FT149)&lt;&gt;0,"V","")</f>
        <v/>
      </c>
    </row>
    <row r="150" spans="1:177" outlineLevel="2" x14ac:dyDescent="0.2">
      <c r="A150" s="366"/>
      <c r="B150" s="366"/>
      <c r="C150" s="367" t="str">
        <f ca="1">OFFSET(Origine,MATCH($F150,Descrizioni,0),MATCH(C$15,Intestazioni,0)-1,1,1)</f>
        <v>LU2373031488:EUR</v>
      </c>
      <c r="D150" s="368" t="str">
        <f ca="1">OFFSET(Origine,MATCH($F150,Descrizioni,0),MATCH(D$15,Intestazioni,0)-1,1,1)</f>
        <v>LU2373031488</v>
      </c>
      <c r="E150" s="369" t="str">
        <f ca="1">OFFSET(Origine,MATCH($F150,Descrizioni,0),MATCH(E$15,Intestazioni,0)-1,1,1)</f>
        <v>113422565</v>
      </c>
      <c r="F150" s="367" t="s">
        <v>775</v>
      </c>
      <c r="G150" s="414"/>
      <c r="H150" s="1713" t="str">
        <f t="shared" ca="1" si="6053"/>
        <v></v>
      </c>
      <c r="I150" s="1683" t="str">
        <f ca="1">IF(OFFSET(Origine,MATCH($F150,Descrizioni,0),MATCH(I$15,Intestazioni,0)-1,1,1)&lt;&gt;"",HYPERLINK(OFFSET(Origine,MATCH($F150,Descrizioni,0),MATCH(I$15,Intestazioni,0)-1,1,1),"i"),"")</f>
        <v>i</v>
      </c>
      <c r="J150" s="1713" t="str">
        <f ca="1">IF(OFFSET(Origine,MATCH($F150,Descrizioni,0),MATCH(J$15,Intestazioni,0)-1,1,1)&lt;&gt;"",HYPERLINK(OFFSET(Origine,MATCH($F150,Descrizioni,0),MATCH(J$15,Intestazioni,0)-1,1,1),""),"")</f>
        <v/>
      </c>
      <c r="K150" s="1716" t="str">
        <f ca="1">IF(OFFSET(Origine,MATCH($F150,Descrizioni,0),MATCH(K$15,Intestazioni,0)-1,1,1)&lt;&gt;"",HYPERLINK(OFFSET(Origine,MATCH($F150,Descrizioni,0),MATCH(K$15,Intestazioni,0)-1,1,1),""),"")</f>
        <v/>
      </c>
      <c r="L150" s="1717" t="str">
        <f ca="1">IF(OFFSET(Origine,MATCH($F150,Descrizioni,0),MATCH(L$15,Intestazioni,0)-1,1,1)&lt;&gt;"",HYPERLINK("https://www.zonebourse.com/mods_a/charts/TV/inc_dyna_graph.php?c="&amp;OFFSET(Origine,MATCH($F150,Descrizioni,0),MATCH(L$15,Intestazioni,0)-1,1,1)&amp;"&amp;style=TradingView.CANDLES&amp;showAT=1",""),"")</f>
        <v/>
      </c>
      <c r="M150" s="366" t="str">
        <f ca="1">(OFFSET(Origine,MATCH($F150,Descrizioni,0),MATCH(M$15,Intestazioni,0)-1,1,1))</f>
        <v>Unit</v>
      </c>
      <c r="N150" s="417"/>
      <c r="O150" s="417"/>
      <c r="P150" s="418">
        <f t="shared" ca="1" si="6318"/>
        <v>0</v>
      </c>
      <c r="Q150" s="391">
        <f t="array" aca="1" ref="Q150" ca="1">SUM(IF($AA$15:$FT$15="I_pos",AA150:FT150))</f>
        <v>2061.069</v>
      </c>
      <c r="R150" s="391">
        <f t="array" aca="1" ref="R150" ca="1">SUM(IF($AA$15:$FT$15="P_Pos",AA150:FT150))</f>
        <v>-2061.069</v>
      </c>
      <c r="S150" s="367"/>
      <c r="T150" s="391"/>
      <c r="U150" s="375">
        <f ca="1">OFFSET(Origine,MATCH($F150,Descrizioni,0),MATCH(U$15,Intestazioni,0)-1,1,1)</f>
        <v>-1.2498339026239506E-2</v>
      </c>
      <c r="V150" s="391">
        <f t="array" aca="1" ref="V150" ca="1">SUM(IF($AA$15:$FT$15="O_Pos",AA150:FT150))</f>
        <v>0</v>
      </c>
      <c r="W150" s="367" t="str">
        <f ca="1">OFFSET(Origine,MATCH($F150,Descrizioni,0),MATCH(W$15,Intestazioni,0)-1,1,1)</f>
        <v>EUR</v>
      </c>
      <c r="X150" s="392">
        <f ca="1">_xlfn.NUMBERVALUE(OFFSET(Origine,MATCH($F150,Descrizioni,0),MATCH(X$15,Intestazioni,0)-1,1,1))</f>
        <v>12.633800000000001</v>
      </c>
      <c r="Y150" s="393">
        <f ca="1">_xlfn.NUMBERVALUE(OFFSET(Origine,MATCH($F150,Descrizioni,0),MATCH(Y$15,Intestazioni,0)-1,1,1))</f>
        <v>0</v>
      </c>
      <c r="Z150" s="378">
        <f ca="1">_xlfn.NUMBERVALUE(OFFSET(Origine,MATCH(W150&amp;"/"&amp;MRif,LUKB_Name,0),MATCH("Price",Intestazioni,0)-1,1,1))</f>
        <v>0.90754999999999997</v>
      </c>
      <c r="AA150" s="214"/>
      <c r="AB150" s="312" t="str">
        <f ca="1">IFERROR($X150/AC150-1,"")</f>
        <v/>
      </c>
      <c r="AC150" s="215"/>
      <c r="AD150" s="199">
        <f ca="1">AA150*$X150</f>
        <v>0</v>
      </c>
      <c r="AE150" s="199">
        <f ca="1">AD150*$Z150</f>
        <v>0</v>
      </c>
      <c r="AF150" s="216">
        <f ca="1">IFERROR(AE150/AA$4,0)</f>
        <v>0</v>
      </c>
      <c r="AG150" s="202">
        <f ca="1">AH150/$X150</f>
        <v>0</v>
      </c>
      <c r="AH150" s="203">
        <f ca="1">AI150/$Z150</f>
        <v>0</v>
      </c>
      <c r="AI150" s="203">
        <f ca="1">AJ150*AA$4</f>
        <v>0</v>
      </c>
      <c r="AJ150" s="204">
        <f t="shared" ca="1" si="6070"/>
        <v>0</v>
      </c>
      <c r="AK150" s="205"/>
      <c r="AL150" s="206">
        <f ca="1">AK150*$X150</f>
        <v>0</v>
      </c>
      <c r="AM150" s="206">
        <f ca="1">AL150*$Z150</f>
        <v>0</v>
      </c>
      <c r="AN150" s="207">
        <f ca="1">IFERROR(AM150/AA$4,0)</f>
        <v>0</v>
      </c>
      <c r="AO150" s="391">
        <f t="shared" ref="AO150" si="6512">AA150+AK150</f>
        <v>0</v>
      </c>
      <c r="AP150" s="391">
        <f ca="1">AD150+IF($T150 ="",AL150,0)</f>
        <v>0</v>
      </c>
      <c r="AQ150" s="391">
        <f ca="1">AP150*$Z150</f>
        <v>0</v>
      </c>
      <c r="AR150" s="394">
        <f ca="1">IFERROR(AQ150/AA$4,0)</f>
        <v>0</v>
      </c>
      <c r="AS150" s="209" t="str">
        <f t="shared" ref="AS150" ca="1" si="6513">IF(SUM(AF150,AN150,AR150)&lt;&gt;0,"V","")</f>
        <v/>
      </c>
      <c r="AT150" s="214"/>
      <c r="AU150" s="312" t="str">
        <f ca="1">IFERROR($X150/AV150-1,"")</f>
        <v/>
      </c>
      <c r="AV150" s="215"/>
      <c r="AW150" s="199">
        <f ca="1">AT150*$X150</f>
        <v>0</v>
      </c>
      <c r="AX150" s="199">
        <f ca="1">AW150*$Z150</f>
        <v>0</v>
      </c>
      <c r="AY150" s="216">
        <f ca="1">IFERROR(AX150/AT$4,0)</f>
        <v>0</v>
      </c>
      <c r="AZ150" s="202">
        <f ca="1">BA150/$X150</f>
        <v>0</v>
      </c>
      <c r="BA150" s="203">
        <f ca="1">BB150/$Z150</f>
        <v>0</v>
      </c>
      <c r="BB150" s="203">
        <f ca="1">BC150*AT$4</f>
        <v>0</v>
      </c>
      <c r="BC150" s="204">
        <f t="shared" ca="1" si="6086"/>
        <v>0</v>
      </c>
      <c r="BD150" s="205"/>
      <c r="BE150" s="206">
        <f ca="1">BD150*$X150</f>
        <v>0</v>
      </c>
      <c r="BF150" s="206">
        <f ca="1">BE150*$Z150</f>
        <v>0</v>
      </c>
      <c r="BG150" s="207">
        <f ca="1">IFERROR(BF150/AT$4,0)</f>
        <v>0</v>
      </c>
      <c r="BH150" s="391">
        <f t="shared" ref="BH150" si="6514">AT150+BD150</f>
        <v>0</v>
      </c>
      <c r="BI150" s="391">
        <f ca="1">AW150+IF($T150 ="",BE150,0)</f>
        <v>0</v>
      </c>
      <c r="BJ150" s="391">
        <f ca="1">BI150*$Z150</f>
        <v>0</v>
      </c>
      <c r="BK150" s="394">
        <f ca="1">IFERROR(BJ150/AT$4,0)</f>
        <v>0</v>
      </c>
      <c r="BL150" s="211" t="str">
        <f t="shared" ref="BL150" ca="1" si="6515">IF(SUM(AY150,BG150,BK150)&lt;&gt;0,"V","")</f>
        <v/>
      </c>
      <c r="BM150" s="214"/>
      <c r="BN150" s="312" t="str">
        <f ca="1">IFERROR($X150/BO150-1,"")</f>
        <v/>
      </c>
      <c r="BO150" s="215"/>
      <c r="BP150" s="199">
        <f ca="1">BM150*$X150</f>
        <v>0</v>
      </c>
      <c r="BQ150" s="199">
        <f ca="1">BP150*$Z150</f>
        <v>0</v>
      </c>
      <c r="BR150" s="216">
        <f ca="1">IFERROR(BQ150/BM$4,0)</f>
        <v>0</v>
      </c>
      <c r="BS150" s="202">
        <f ca="1">BT150/$X150</f>
        <v>0</v>
      </c>
      <c r="BT150" s="203">
        <f ca="1">BU150/$Z150</f>
        <v>0</v>
      </c>
      <c r="BU150" s="203">
        <f ca="1">BV150*BM$4</f>
        <v>0</v>
      </c>
      <c r="BV150" s="204">
        <f t="shared" ca="1" si="6102"/>
        <v>0</v>
      </c>
      <c r="BW150" s="205"/>
      <c r="BX150" s="206">
        <f ca="1">BW150*$X150</f>
        <v>0</v>
      </c>
      <c r="BY150" s="206">
        <f ca="1">BX150*$Z150</f>
        <v>0</v>
      </c>
      <c r="BZ150" s="207">
        <f ca="1">IFERROR(BY150/BM$4,0)</f>
        <v>0</v>
      </c>
      <c r="CA150" s="391">
        <f t="shared" ref="CA150" si="6516">BM150+BW150</f>
        <v>0</v>
      </c>
      <c r="CB150" s="391">
        <f ca="1">BP150+IF($T150 ="",BX150,0)</f>
        <v>0</v>
      </c>
      <c r="CC150" s="391">
        <f ca="1">CB150*$Z150</f>
        <v>0</v>
      </c>
      <c r="CD150" s="394">
        <f ca="1">IFERROR(CC150/BM$4,0)</f>
        <v>0</v>
      </c>
      <c r="CE150" s="212" t="str">
        <f t="shared" ref="CE150" ca="1" si="6517">IF(SUM(BR150,BZ150,CD150)&lt;&gt;0,"V","")</f>
        <v/>
      </c>
      <c r="CF150" s="214"/>
      <c r="CG150" s="312" t="str">
        <f ca="1">IFERROR($X150/CH150-1,"")</f>
        <v/>
      </c>
      <c r="CH150" s="215"/>
      <c r="CI150" s="199">
        <f ca="1">CF150*$X150</f>
        <v>0</v>
      </c>
      <c r="CJ150" s="199">
        <f ca="1">CI150*$Z150</f>
        <v>0</v>
      </c>
      <c r="CK150" s="216">
        <f ca="1">IFERROR(CJ150/CF$4,0)</f>
        <v>0</v>
      </c>
      <c r="CL150" s="202">
        <f ca="1">CM150/$X150</f>
        <v>0</v>
      </c>
      <c r="CM150" s="203">
        <f ca="1">CN150/$Z150</f>
        <v>0</v>
      </c>
      <c r="CN150" s="203">
        <f ca="1">CO150*CF$4</f>
        <v>0</v>
      </c>
      <c r="CO150" s="204">
        <f t="shared" ca="1" si="6118"/>
        <v>0</v>
      </c>
      <c r="CP150" s="205"/>
      <c r="CQ150" s="206">
        <f ca="1">CP150*$X150</f>
        <v>0</v>
      </c>
      <c r="CR150" s="206">
        <f ca="1">CQ150*$Z150</f>
        <v>0</v>
      </c>
      <c r="CS150" s="207">
        <f ca="1">IFERROR(CR150/CF$4,0)</f>
        <v>0</v>
      </c>
      <c r="CT150" s="391">
        <f t="shared" ref="CT150" si="6518">CF150+CP150</f>
        <v>0</v>
      </c>
      <c r="CU150" s="391">
        <f ca="1">CI150+IF($T150 ="",CQ150,0)</f>
        <v>0</v>
      </c>
      <c r="CV150" s="391">
        <f ca="1">CU150*$Z150</f>
        <v>0</v>
      </c>
      <c r="CW150" s="394">
        <f ca="1">IFERROR(CV150/CF$4,0)</f>
        <v>0</v>
      </c>
      <c r="CX150" s="211" t="str">
        <f t="shared" ref="CX150" ca="1" si="6519">IF(SUM(CK150,CS150,CW150)&lt;&gt;0,"V","")</f>
        <v/>
      </c>
      <c r="CY150" s="197"/>
      <c r="CZ150" s="312" t="str">
        <f ca="1">IFERROR($X150/DA150-1,"")</f>
        <v/>
      </c>
      <c r="DA150" s="395"/>
      <c r="DB150" s="199">
        <f ca="1">CY150*$X150</f>
        <v>0</v>
      </c>
      <c r="DC150" s="199">
        <f ca="1">DB150*$Z150</f>
        <v>0</v>
      </c>
      <c r="DD150" s="216">
        <f ca="1">IFERROR(DC150/CY$4,0)</f>
        <v>0</v>
      </c>
      <c r="DE150" s="202">
        <f ca="1">DF150/$X150</f>
        <v>0</v>
      </c>
      <c r="DF150" s="203">
        <f ca="1">DG150/$Z150</f>
        <v>0</v>
      </c>
      <c r="DG150" s="203">
        <f ca="1">DH150*CY$4</f>
        <v>0</v>
      </c>
      <c r="DH150" s="204">
        <f t="shared" ca="1" si="6134"/>
        <v>0</v>
      </c>
      <c r="DI150" s="205"/>
      <c r="DJ150" s="206">
        <f ca="1">DI150*$X150</f>
        <v>0</v>
      </c>
      <c r="DK150" s="206">
        <f ca="1">DJ150*$Z150</f>
        <v>0</v>
      </c>
      <c r="DL150" s="207">
        <f ca="1">IFERROR(DK150/CY$4,0)</f>
        <v>0</v>
      </c>
      <c r="DM150" s="391">
        <f t="shared" ref="DM150" si="6520">CY150+DI150</f>
        <v>0</v>
      </c>
      <c r="DN150" s="391">
        <f ca="1">DB150+IF($T150 ="",DJ150,0)</f>
        <v>0</v>
      </c>
      <c r="DO150" s="391">
        <f ca="1">DN150*$Z150</f>
        <v>0</v>
      </c>
      <c r="DP150" s="394">
        <f ca="1">IFERROR(DO150/CY$4,0)</f>
        <v>0</v>
      </c>
      <c r="DQ150" s="209" t="str">
        <f t="shared" ref="DQ150" ca="1" si="6521">IF(SUM(DD150,DL150,DP150)&lt;&gt;0,"V","")</f>
        <v/>
      </c>
      <c r="DR150" s="197"/>
      <c r="DS150" s="312" t="str">
        <f ca="1">IFERROR($X150/DT150-1,"")</f>
        <v/>
      </c>
      <c r="DT150" s="395"/>
      <c r="DU150" s="199">
        <f ca="1">DR150*$X150</f>
        <v>0</v>
      </c>
      <c r="DV150" s="199">
        <f ca="1">DU150*$Z150</f>
        <v>0</v>
      </c>
      <c r="DW150" s="216">
        <f ca="1">IFERROR(DV150/DR$4,0)</f>
        <v>0</v>
      </c>
      <c r="DX150" s="202">
        <f ca="1">DY150/$X150</f>
        <v>0</v>
      </c>
      <c r="DY150" s="203">
        <f ca="1">DZ150/$Z150</f>
        <v>0</v>
      </c>
      <c r="DZ150" s="203">
        <f ca="1">EA150*DR$4</f>
        <v>0</v>
      </c>
      <c r="EA150" s="204">
        <f t="shared" ca="1" si="6150"/>
        <v>0</v>
      </c>
      <c r="EB150" s="205"/>
      <c r="EC150" s="206">
        <f ca="1">EB150*$X150</f>
        <v>0</v>
      </c>
      <c r="ED150" s="206">
        <f ca="1">EC150*$Z150</f>
        <v>0</v>
      </c>
      <c r="EE150" s="207">
        <f ca="1">IFERROR(ED150/DR$4,0)</f>
        <v>0</v>
      </c>
      <c r="EF150" s="391">
        <f>DR150+EB150</f>
        <v>0</v>
      </c>
      <c r="EG150" s="391">
        <f ca="1">DU150+IF($T150 ="",EC150,0)</f>
        <v>0</v>
      </c>
      <c r="EH150" s="391">
        <f ca="1">EG150*$Z150</f>
        <v>0</v>
      </c>
      <c r="EI150" s="394">
        <f ca="1">IFERROR(EH150/DR$4,0)</f>
        <v>0</v>
      </c>
      <c r="EJ150" s="433">
        <v>2061.069</v>
      </c>
      <c r="EK150" s="312">
        <f ca="1">IFERROR($X150/EL150-1,"")</f>
        <v>1.2809810937724837</v>
      </c>
      <c r="EL150" s="222">
        <v>5.5387570000000004</v>
      </c>
      <c r="EM150" s="199">
        <f ca="1">EJ150*$X150</f>
        <v>26039.133532200001</v>
      </c>
      <c r="EN150" s="199">
        <f ca="1">EM150*$Z150</f>
        <v>23631.815637148109</v>
      </c>
      <c r="EO150" s="216">
        <f ca="1">IFERROR(EN150/EJ$4,0)</f>
        <v>3.3296055343351436E-2</v>
      </c>
      <c r="EP150" s="202">
        <f ca="1">EQ150/$X150</f>
        <v>-2061.069</v>
      </c>
      <c r="EQ150" s="203">
        <f ca="1">ER150/$Z150</f>
        <v>-26039.133532200001</v>
      </c>
      <c r="ER150" s="203">
        <f ca="1">ES150*EJ$4</f>
        <v>-23631.815637148109</v>
      </c>
      <c r="ES150" s="204">
        <f t="shared" ca="1" si="6165"/>
        <v>-3.3296055343351436E-2</v>
      </c>
      <c r="ET150" s="205"/>
      <c r="EU150" s="206">
        <f ca="1">ET150*$X150</f>
        <v>0</v>
      </c>
      <c r="EV150" s="206">
        <f ca="1">EU150*$Z150</f>
        <v>0</v>
      </c>
      <c r="EW150" s="207">
        <f ca="1">IFERROR(EV150/EJ$4,0)</f>
        <v>0</v>
      </c>
      <c r="EX150" s="391">
        <f t="shared" ref="EX150" si="6522">EJ150+ET150</f>
        <v>2061.069</v>
      </c>
      <c r="EY150" s="391">
        <f ca="1">EM150+IF($T150 ="",EU150,0)</f>
        <v>26039.133532200001</v>
      </c>
      <c r="EZ150" s="391">
        <f ca="1">EY150*$Z150</f>
        <v>23631.815637148109</v>
      </c>
      <c r="FA150" s="394">
        <f ca="1">IFERROR(EZ150/EJ$4,0)</f>
        <v>3.3296055343351436E-2</v>
      </c>
      <c r="FB150" s="212" t="str">
        <f t="shared" ref="FB150" ca="1" si="6523">IF(SUM(EO150,EW150,FA150)&lt;&gt;0,"V","")</f>
        <v>V</v>
      </c>
      <c r="FC150" s="214"/>
      <c r="FD150" s="312" t="str">
        <f ca="1">IFERROR($X150/FE150-1,"")</f>
        <v/>
      </c>
      <c r="FE150" s="215"/>
      <c r="FF150" s="199">
        <f ca="1">FC150*$X150</f>
        <v>0</v>
      </c>
      <c r="FG150" s="199">
        <f ca="1">FF150*$Z150</f>
        <v>0</v>
      </c>
      <c r="FH150" s="216">
        <f ca="1">IFERROR(FG150/FC$4,0)</f>
        <v>0</v>
      </c>
      <c r="FI150" s="202">
        <f ca="1">FJ150/$X150</f>
        <v>0</v>
      </c>
      <c r="FJ150" s="203">
        <f ca="1">FK150/$Z150</f>
        <v>0</v>
      </c>
      <c r="FK150" s="203">
        <f ca="1">FL150*FC$4</f>
        <v>0</v>
      </c>
      <c r="FL150" s="204">
        <f t="shared" ca="1" si="6181"/>
        <v>0</v>
      </c>
      <c r="FM150" s="205"/>
      <c r="FN150" s="206">
        <f ca="1">FM150*$X150</f>
        <v>0</v>
      </c>
      <c r="FO150" s="206">
        <f ca="1">FN150*$Z150</f>
        <v>0</v>
      </c>
      <c r="FP150" s="207">
        <f ca="1">IFERROR(FO150/FC$4,0)</f>
        <v>0</v>
      </c>
      <c r="FQ150" s="391">
        <f t="shared" ref="FQ150" si="6524">FC150+FM150</f>
        <v>0</v>
      </c>
      <c r="FR150" s="391">
        <f ca="1">FF150+IF($T150 ="",FN150,0)</f>
        <v>0</v>
      </c>
      <c r="FS150" s="391">
        <f ca="1">FR150*$Z150</f>
        <v>0</v>
      </c>
      <c r="FT150" s="394">
        <f ca="1">IFERROR(FS150/FC$4,0)</f>
        <v>0</v>
      </c>
      <c r="FU150" s="209" t="str">
        <f t="shared" ref="FU150" ca="1" si="6525">IF(SUM(FH150,FP150,FT150)&lt;&gt;0,"V","")</f>
        <v/>
      </c>
    </row>
    <row r="151" spans="1:177" outlineLevel="2" x14ac:dyDescent="0.2">
      <c r="A151" s="366"/>
      <c r="B151" s="366"/>
      <c r="C151" s="367" t="str">
        <f t="shared" ca="1" si="6051"/>
        <v>LU1953056766:CHF</v>
      </c>
      <c r="D151" s="368" t="str">
        <f t="shared" ca="1" si="6052"/>
        <v>LU1953056766</v>
      </c>
      <c r="E151" s="369" t="str">
        <f t="shared" ca="1" si="6052"/>
        <v>46424244</v>
      </c>
      <c r="F151" s="367" t="s">
        <v>776</v>
      </c>
      <c r="G151" s="414"/>
      <c r="H151" s="1713" t="str">
        <f t="shared" ca="1" si="6053"/>
        <v></v>
      </c>
      <c r="I151" s="1683" t="str">
        <f t="shared" ca="1" si="6054"/>
        <v>i</v>
      </c>
      <c r="J151" s="1713" t="str">
        <f t="shared" ca="1" si="6055"/>
        <v></v>
      </c>
      <c r="K151" s="1716" t="str">
        <f t="shared" ca="1" si="6055"/>
        <v/>
      </c>
      <c r="L151" s="1717" t="str">
        <f t="shared" ca="1" si="6056"/>
        <v/>
      </c>
      <c r="M151" s="366" t="str">
        <f t="shared" ca="1" si="6057"/>
        <v>Unit</v>
      </c>
      <c r="N151" s="417"/>
      <c r="O151" s="417"/>
      <c r="P151" s="418">
        <f t="shared" ca="1" si="6318"/>
        <v>0</v>
      </c>
      <c r="Q151" s="391">
        <f t="array" aca="1" ref="Q151" ca="1">SUM(IF($AA$15:$FT$15="I_pos",AA151:FT151))</f>
        <v>0</v>
      </c>
      <c r="R151" s="391">
        <f t="array" aca="1" ref="R151" ca="1">SUM(IF($AA$15:$FT$15="P_Pos",AA151:FT151))</f>
        <v>0</v>
      </c>
      <c r="S151" s="367"/>
      <c r="T151" s="391"/>
      <c r="U151" s="375">
        <f t="shared" ca="1" si="6058"/>
        <v>-2.9307492318600793E-2</v>
      </c>
      <c r="V151" s="391">
        <f t="array" aca="1" ref="V151" ca="1">SUM(IF($AA$15:$FT$15="O_Pos",AA151:FT151))</f>
        <v>0</v>
      </c>
      <c r="W151" s="367" t="str">
        <f t="shared" ref="W151" ca="1" si="6526">OFFSET(Origine,MATCH($F151,Descrizioni,0),MATCH(W$15,Intestazioni,0)-1,1,1)</f>
        <v>CHF</v>
      </c>
      <c r="X151" s="392">
        <f t="shared" ref="X151" ca="1" si="6527">_xlfn.NUMBERVALUE(OFFSET(Origine,MATCH($F151,Descrizioni,0),MATCH(X$15,Intestazioni,0)-1,1,1))</f>
        <v>123.21</v>
      </c>
      <c r="Y151" s="393">
        <f t="shared" ca="1" si="6061"/>
        <v>0</v>
      </c>
      <c r="Z151" s="378">
        <f t="shared" ref="Z151" ca="1" si="6528">_xlfn.NUMBERVALUE(OFFSET(Origine,MATCH(W151&amp;"/"&amp;MRif,LUKB_Name,0),MATCH("Price",Intestazioni,0)-1,1,1))</f>
        <v>1.0000001300000001</v>
      </c>
      <c r="AA151" s="214"/>
      <c r="AB151" s="312" t="str">
        <f t="shared" ref="AB151" ca="1" si="6529">IFERROR($X151/AC151-1,"")</f>
        <v/>
      </c>
      <c r="AC151" s="215"/>
      <c r="AD151" s="199">
        <f t="shared" ref="AD151" ca="1" si="6530">AA151*$X151</f>
        <v>0</v>
      </c>
      <c r="AE151" s="199">
        <f t="shared" ref="AE151" ca="1" si="6531">AD151*$Z151</f>
        <v>0</v>
      </c>
      <c r="AF151" s="216">
        <f t="shared" ca="1" si="6325"/>
        <v>0</v>
      </c>
      <c r="AG151" s="202">
        <f t="shared" ca="1" si="6427"/>
        <v>0</v>
      </c>
      <c r="AH151" s="203">
        <f t="shared" ca="1" si="6428"/>
        <v>0</v>
      </c>
      <c r="AI151" s="203">
        <f t="shared" ca="1" si="6328"/>
        <v>0</v>
      </c>
      <c r="AJ151" s="204">
        <f t="shared" ca="1" si="6070"/>
        <v>0</v>
      </c>
      <c r="AK151" s="205"/>
      <c r="AL151" s="206">
        <f t="shared" ref="AL151" ca="1" si="6532">AK151*$X151</f>
        <v>0</v>
      </c>
      <c r="AM151" s="206">
        <f t="shared" ref="AM151" ca="1" si="6533">AL151*$Z151</f>
        <v>0</v>
      </c>
      <c r="AN151" s="207">
        <f t="shared" ca="1" si="6331"/>
        <v>0</v>
      </c>
      <c r="AO151" s="391">
        <f t="shared" ref="AO151" si="6534">AA151+AK151</f>
        <v>0</v>
      </c>
      <c r="AP151" s="391">
        <f t="shared" ref="AP151" ca="1" si="6535">AD151+IF($T151 ="",AL151,0)</f>
        <v>0</v>
      </c>
      <c r="AQ151" s="391">
        <f t="shared" ref="AQ151" ca="1" si="6536">AP151*$Z151</f>
        <v>0</v>
      </c>
      <c r="AR151" s="394">
        <f t="shared" ref="AR151:AR153" ca="1" si="6537">IFERROR(AQ151/AA$4,0)</f>
        <v>0</v>
      </c>
      <c r="AS151" s="209" t="str">
        <f t="shared" ref="AS151" ca="1" si="6538">IF(SUM(AF151,AN151,AR151)&lt;&gt;0,"V","")</f>
        <v/>
      </c>
      <c r="AT151" s="214"/>
      <c r="AU151" s="312" t="str">
        <f t="shared" ref="AU151" ca="1" si="6539">IFERROR($X151/AV151-1,"")</f>
        <v/>
      </c>
      <c r="AV151" s="215"/>
      <c r="AW151" s="199">
        <f t="shared" ca="1" si="6432"/>
        <v>0</v>
      </c>
      <c r="AX151" s="199">
        <f t="shared" ca="1" si="6433"/>
        <v>0</v>
      </c>
      <c r="AY151" s="216">
        <f t="shared" ca="1" si="6338"/>
        <v>0</v>
      </c>
      <c r="AZ151" s="202">
        <f t="shared" ca="1" si="6434"/>
        <v>0</v>
      </c>
      <c r="BA151" s="203">
        <f t="shared" ca="1" si="6435"/>
        <v>0</v>
      </c>
      <c r="BB151" s="203">
        <f t="shared" ca="1" si="6341"/>
        <v>0</v>
      </c>
      <c r="BC151" s="204">
        <f t="shared" ca="1" si="6086"/>
        <v>0</v>
      </c>
      <c r="BD151" s="205"/>
      <c r="BE151" s="206">
        <f t="shared" ca="1" si="6436"/>
        <v>0</v>
      </c>
      <c r="BF151" s="206">
        <f t="shared" ca="1" si="6437"/>
        <v>0</v>
      </c>
      <c r="BG151" s="207">
        <f t="shared" ca="1" si="6344"/>
        <v>0</v>
      </c>
      <c r="BH151" s="391">
        <f t="shared" ref="BH151" si="6540">AT151+BD151</f>
        <v>0</v>
      </c>
      <c r="BI151" s="391">
        <f t="shared" ref="BI151" ca="1" si="6541">AW151+IF($T151 ="",BE151,0)</f>
        <v>0</v>
      </c>
      <c r="BJ151" s="391">
        <f t="shared" ca="1" si="6438"/>
        <v>0</v>
      </c>
      <c r="BK151" s="394">
        <f t="shared" ref="BK151:BK153" ca="1" si="6542">IFERROR(BJ151/AT$4,0)</f>
        <v>0</v>
      </c>
      <c r="BL151" s="211" t="str">
        <f t="shared" ref="BL151" ca="1" si="6543">IF(SUM(AY151,BG151,BK151)&lt;&gt;0,"V","")</f>
        <v/>
      </c>
      <c r="BM151" s="214"/>
      <c r="BN151" s="312" t="str">
        <f t="shared" ref="BN151" ca="1" si="6544">IFERROR($X151/BO151-1,"")</f>
        <v/>
      </c>
      <c r="BO151" s="215"/>
      <c r="BP151" s="199">
        <f t="shared" ca="1" si="6439"/>
        <v>0</v>
      </c>
      <c r="BQ151" s="199">
        <f t="shared" ca="1" si="6440"/>
        <v>0</v>
      </c>
      <c r="BR151" s="216">
        <f t="shared" ca="1" si="6351"/>
        <v>0</v>
      </c>
      <c r="BS151" s="202">
        <f t="shared" ca="1" si="6441"/>
        <v>0</v>
      </c>
      <c r="BT151" s="203">
        <f t="shared" ca="1" si="6442"/>
        <v>0</v>
      </c>
      <c r="BU151" s="203">
        <f t="shared" ca="1" si="6354"/>
        <v>0</v>
      </c>
      <c r="BV151" s="204">
        <f t="shared" ca="1" si="6102"/>
        <v>0</v>
      </c>
      <c r="BW151" s="205"/>
      <c r="BX151" s="206">
        <f t="shared" ca="1" si="6443"/>
        <v>0</v>
      </c>
      <c r="BY151" s="206">
        <f t="shared" ca="1" si="6444"/>
        <v>0</v>
      </c>
      <c r="BZ151" s="207">
        <f t="shared" ca="1" si="6357"/>
        <v>0</v>
      </c>
      <c r="CA151" s="391">
        <f t="shared" ref="CA151" si="6545">BM151+BW151</f>
        <v>0</v>
      </c>
      <c r="CB151" s="391">
        <f t="shared" ref="CB151" ca="1" si="6546">BP151+IF($T151 ="",BX151,0)</f>
        <v>0</v>
      </c>
      <c r="CC151" s="391">
        <f t="shared" ca="1" si="6445"/>
        <v>0</v>
      </c>
      <c r="CD151" s="394">
        <f t="shared" ref="CD151:CD153" ca="1" si="6547">IFERROR(CC151/BM$4,0)</f>
        <v>0</v>
      </c>
      <c r="CE151" s="212" t="str">
        <f t="shared" ref="CE151" ca="1" si="6548">IF(SUM(BR151,BZ151,CD151)&lt;&gt;0,"V","")</f>
        <v/>
      </c>
      <c r="CF151" s="214"/>
      <c r="CG151" s="312" t="str">
        <f t="shared" ref="CG151" ca="1" si="6549">IFERROR($X151/CH151-1,"")</f>
        <v/>
      </c>
      <c r="CH151" s="215"/>
      <c r="CI151" s="199">
        <f t="shared" ca="1" si="6362"/>
        <v>0</v>
      </c>
      <c r="CJ151" s="199">
        <f t="shared" ca="1" si="6363"/>
        <v>0</v>
      </c>
      <c r="CK151" s="216">
        <f t="shared" ca="1" si="6364"/>
        <v>0</v>
      </c>
      <c r="CL151" s="202">
        <f t="shared" ca="1" si="6365"/>
        <v>0</v>
      </c>
      <c r="CM151" s="203">
        <f t="shared" ca="1" si="6366"/>
        <v>0</v>
      </c>
      <c r="CN151" s="203">
        <f t="shared" ca="1" si="6367"/>
        <v>0</v>
      </c>
      <c r="CO151" s="204">
        <f t="shared" ca="1" si="6118"/>
        <v>0</v>
      </c>
      <c r="CP151" s="205"/>
      <c r="CQ151" s="206">
        <f t="shared" ca="1" si="6368"/>
        <v>0</v>
      </c>
      <c r="CR151" s="206">
        <f t="shared" ca="1" si="6369"/>
        <v>0</v>
      </c>
      <c r="CS151" s="207">
        <f t="shared" ca="1" si="6370"/>
        <v>0</v>
      </c>
      <c r="CT151" s="391">
        <f t="shared" ref="CT151" si="6550">CF151+CP151</f>
        <v>0</v>
      </c>
      <c r="CU151" s="391">
        <f t="shared" ref="CU151" ca="1" si="6551">CI151+IF($T151 ="",CQ151,0)</f>
        <v>0</v>
      </c>
      <c r="CV151" s="391">
        <f t="shared" ca="1" si="6372"/>
        <v>0</v>
      </c>
      <c r="CW151" s="394">
        <f t="shared" ca="1" si="6373"/>
        <v>0</v>
      </c>
      <c r="CX151" s="211" t="str">
        <f t="shared" ref="CX151" ca="1" si="6552">IF(SUM(CK151,CS151,CW151)&lt;&gt;0,"V","")</f>
        <v/>
      </c>
      <c r="CY151" s="197"/>
      <c r="CZ151" s="312" t="str">
        <f ca="1">IFERROR($X151/#REF!-1,"")</f>
        <v/>
      </c>
      <c r="DA151" s="395"/>
      <c r="DB151" s="199">
        <f t="shared" ref="DB151" ca="1" si="6553">CY151*$X151</f>
        <v>0</v>
      </c>
      <c r="DC151" s="199">
        <f t="shared" ref="DC151" ca="1" si="6554">DB151*$Z151</f>
        <v>0</v>
      </c>
      <c r="DD151" s="216">
        <f t="shared" ref="DD151" ca="1" si="6555">IFERROR(DC151/CY$4,0)</f>
        <v>0</v>
      </c>
      <c r="DE151" s="202">
        <f t="shared" ref="DE151" ca="1" si="6556">DF151/$X151</f>
        <v>0</v>
      </c>
      <c r="DF151" s="203">
        <f t="shared" ref="DF151" ca="1" si="6557">DG151/$Z151</f>
        <v>0</v>
      </c>
      <c r="DG151" s="203">
        <f t="shared" ref="DG151" ca="1" si="6558">DH151*CY$4</f>
        <v>0</v>
      </c>
      <c r="DH151" s="204">
        <f t="shared" ca="1" si="6134"/>
        <v>0</v>
      </c>
      <c r="DI151" s="205"/>
      <c r="DJ151" s="206">
        <f t="shared" ref="DJ151" ca="1" si="6559">DI151*$X151</f>
        <v>0</v>
      </c>
      <c r="DK151" s="206">
        <f t="shared" ref="DK151" ca="1" si="6560">DJ151*$Z151</f>
        <v>0</v>
      </c>
      <c r="DL151" s="207">
        <f t="shared" ref="DL151" ca="1" si="6561">IFERROR(DK151/CY$4,0)</f>
        <v>0</v>
      </c>
      <c r="DM151" s="391">
        <f t="shared" ref="DM151" si="6562">CY151+DI151</f>
        <v>0</v>
      </c>
      <c r="DN151" s="391">
        <f t="shared" ref="DN151" ca="1" si="6563">DB151+IF($T151 ="",DJ151,0)</f>
        <v>0</v>
      </c>
      <c r="DO151" s="391">
        <f t="shared" ca="1" si="6383"/>
        <v>0</v>
      </c>
      <c r="DP151" s="394">
        <f t="shared" ca="1" si="6384"/>
        <v>0</v>
      </c>
      <c r="DQ151" s="209" t="str">
        <f t="shared" ref="DQ151" ca="1" si="6564">IF(SUM(DD151,DL151,DP151)&lt;&gt;0,"V","")</f>
        <v/>
      </c>
      <c r="DR151" s="197"/>
      <c r="DS151" s="312" t="str">
        <f ca="1">IFERROR($X151/#REF!-1,"")</f>
        <v/>
      </c>
      <c r="DT151" s="395"/>
      <c r="DU151" s="199">
        <f t="shared" ref="DU151" ca="1" si="6565">DR151*$X151</f>
        <v>0</v>
      </c>
      <c r="DV151" s="199">
        <f t="shared" ref="DV151" ca="1" si="6566">DU151*$Z151</f>
        <v>0</v>
      </c>
      <c r="DW151" s="216">
        <f t="shared" ref="DW151" ca="1" si="6567">IFERROR(DV151/DR$4,0)</f>
        <v>0</v>
      </c>
      <c r="DX151" s="202">
        <f t="shared" ref="DX151" ca="1" si="6568">DY151/$X151</f>
        <v>0</v>
      </c>
      <c r="DY151" s="203">
        <f t="shared" ref="DY151" ca="1" si="6569">DZ151/$Z151</f>
        <v>0</v>
      </c>
      <c r="DZ151" s="203">
        <f t="shared" ref="DZ151" ca="1" si="6570">EA151*DR$4</f>
        <v>0</v>
      </c>
      <c r="EA151" s="204">
        <f t="shared" ca="1" si="6150"/>
        <v>0</v>
      </c>
      <c r="EB151" s="205"/>
      <c r="EC151" s="206">
        <f t="shared" ref="EC151" ca="1" si="6571">EB151*$X151</f>
        <v>0</v>
      </c>
      <c r="ED151" s="206">
        <f t="shared" ref="ED151" ca="1" si="6572">EC151*$Z151</f>
        <v>0</v>
      </c>
      <c r="EE151" s="207">
        <f t="shared" ref="EE151" ca="1" si="6573">IFERROR(ED151/DR$4,0)</f>
        <v>0</v>
      </c>
      <c r="EF151" s="391">
        <f t="shared" ref="EF151" si="6574">DR151+EB151</f>
        <v>0</v>
      </c>
      <c r="EG151" s="391">
        <f t="shared" ref="EG151" ca="1" si="6575">DU151+IF($T151 ="",EC151,0)</f>
        <v>0</v>
      </c>
      <c r="EH151" s="391">
        <f t="shared" ca="1" si="6395"/>
        <v>0</v>
      </c>
      <c r="EI151" s="394">
        <f t="shared" ca="1" si="6396"/>
        <v>0</v>
      </c>
      <c r="EJ151" s="214"/>
      <c r="EK151" s="312" t="str">
        <f t="shared" ref="EK151" ca="1" si="6576">IFERROR($X151/EL151-1,"")</f>
        <v/>
      </c>
      <c r="EL151" s="222"/>
      <c r="EM151" s="199">
        <f t="shared" ca="1" si="6446"/>
        <v>0</v>
      </c>
      <c r="EN151" s="199">
        <f t="shared" ca="1" si="6447"/>
        <v>0</v>
      </c>
      <c r="EO151" s="216">
        <f t="shared" ca="1" si="6400"/>
        <v>0</v>
      </c>
      <c r="EP151" s="202">
        <f t="shared" ca="1" si="6448"/>
        <v>0</v>
      </c>
      <c r="EQ151" s="203">
        <f t="shared" ca="1" si="6449"/>
        <v>0</v>
      </c>
      <c r="ER151" s="203">
        <f t="shared" ca="1" si="6403"/>
        <v>0</v>
      </c>
      <c r="ES151" s="204">
        <f t="shared" ca="1" si="6165"/>
        <v>0</v>
      </c>
      <c r="ET151" s="205"/>
      <c r="EU151" s="206">
        <f t="shared" ca="1" si="6450"/>
        <v>0</v>
      </c>
      <c r="EV151" s="206">
        <f t="shared" ca="1" si="6451"/>
        <v>0</v>
      </c>
      <c r="EW151" s="207">
        <f t="shared" ca="1" si="6406"/>
        <v>0</v>
      </c>
      <c r="EX151" s="391">
        <f t="shared" ref="EX151" si="6577">EJ151+ET151</f>
        <v>0</v>
      </c>
      <c r="EY151" s="391">
        <f t="shared" ref="EY151" ca="1" si="6578">EM151+IF($T151 ="",EU151,0)</f>
        <v>0</v>
      </c>
      <c r="EZ151" s="391">
        <f t="shared" ca="1" si="6452"/>
        <v>0</v>
      </c>
      <c r="FA151" s="394">
        <f t="shared" ref="FA151:FA153" ca="1" si="6579">IFERROR(EZ151/EJ$4,0)</f>
        <v>0</v>
      </c>
      <c r="FB151" s="212" t="str">
        <f t="shared" ref="FB151" ca="1" si="6580">IF(SUM(EO151,EW151,FA151)&lt;&gt;0,"V","")</f>
        <v/>
      </c>
      <c r="FC151" s="214"/>
      <c r="FD151" s="312" t="str">
        <f t="shared" ref="FD151" ca="1" si="6581">IFERROR($X151/FE151-1,"")</f>
        <v/>
      </c>
      <c r="FE151" s="215"/>
      <c r="FF151" s="199">
        <f t="shared" ca="1" si="6453"/>
        <v>0</v>
      </c>
      <c r="FG151" s="199">
        <f t="shared" ca="1" si="6454"/>
        <v>0</v>
      </c>
      <c r="FH151" s="216">
        <f t="shared" ca="1" si="6413"/>
        <v>0</v>
      </c>
      <c r="FI151" s="202">
        <f t="shared" ca="1" si="6455"/>
        <v>0</v>
      </c>
      <c r="FJ151" s="203">
        <f t="shared" ca="1" si="6456"/>
        <v>0</v>
      </c>
      <c r="FK151" s="203">
        <f t="shared" ca="1" si="6416"/>
        <v>0</v>
      </c>
      <c r="FL151" s="204">
        <f t="shared" ca="1" si="6181"/>
        <v>0</v>
      </c>
      <c r="FM151" s="205"/>
      <c r="FN151" s="206">
        <f t="shared" ca="1" si="6457"/>
        <v>0</v>
      </c>
      <c r="FO151" s="206">
        <f t="shared" ca="1" si="6458"/>
        <v>0</v>
      </c>
      <c r="FP151" s="207">
        <f t="shared" ca="1" si="6419"/>
        <v>0</v>
      </c>
      <c r="FQ151" s="391">
        <f t="shared" ref="FQ151" si="6582">FC151+FM151</f>
        <v>0</v>
      </c>
      <c r="FR151" s="391">
        <f t="shared" ref="FR151" ca="1" si="6583">FF151+IF($T151 ="",FN151,0)</f>
        <v>0</v>
      </c>
      <c r="FS151" s="391">
        <f t="shared" ca="1" si="6459"/>
        <v>0</v>
      </c>
      <c r="FT151" s="394">
        <f t="shared" ref="FT151:FT153" ca="1" si="6584">IFERROR(FS151/FC$4,0)</f>
        <v>0</v>
      </c>
      <c r="FU151" s="209" t="str">
        <f t="shared" ref="FU151" ca="1" si="6585">IF(SUM(FH151,FP151,FT151)&lt;&gt;0,"V","")</f>
        <v/>
      </c>
    </row>
    <row r="152" spans="1:177" outlineLevel="1" x14ac:dyDescent="0.2">
      <c r="A152" s="345"/>
      <c r="B152" s="345" t="s">
        <v>423</v>
      </c>
      <c r="C152" s="346"/>
      <c r="D152" s="347"/>
      <c r="E152" s="348"/>
      <c r="F152" s="346"/>
      <c r="G152" s="349"/>
      <c r="H152" s="1682"/>
      <c r="I152" s="1682"/>
      <c r="J152" s="1712"/>
      <c r="K152" s="1682"/>
      <c r="L152" s="1682"/>
      <c r="M152" s="345"/>
      <c r="N152" s="350">
        <f>SUM(N153:N154)</f>
        <v>2.5000000000000001E-2</v>
      </c>
      <c r="O152" s="350">
        <f>SUM(O153:O154)</f>
        <v>2.5000000000000001E-2</v>
      </c>
      <c r="P152" s="351">
        <f t="shared" ca="1" si="6318"/>
        <v>2.5559066463765181E-2</v>
      </c>
      <c r="Q152" s="421"/>
      <c r="R152" s="421"/>
      <c r="S152" s="346"/>
      <c r="T152" s="421"/>
      <c r="U152" s="353"/>
      <c r="V152" s="422"/>
      <c r="W152" s="346"/>
      <c r="X152" s="355"/>
      <c r="Y152" s="355"/>
      <c r="Z152" s="356"/>
      <c r="AA152" s="357"/>
      <c r="AB152" s="358"/>
      <c r="AC152" s="358"/>
      <c r="AD152" s="359"/>
      <c r="AE152" s="360">
        <f ca="1">SUM(AE$153:AE$154)</f>
        <v>11417.564550000001</v>
      </c>
      <c r="AF152" s="361">
        <f t="shared" ca="1" si="6325"/>
        <v>2.0334186221062627E-2</v>
      </c>
      <c r="AG152" s="362"/>
      <c r="AH152" s="359"/>
      <c r="AI152" s="360">
        <f ca="1">SUM(AI$153:AI$154)</f>
        <v>2619.8358478745654</v>
      </c>
      <c r="AJ152" s="363">
        <f ca="1">IFERROR(AI152/AA$4,0)</f>
        <v>4.6658137789373742E-3</v>
      </c>
      <c r="AK152" s="362"/>
      <c r="AL152" s="359"/>
      <c r="AM152" s="360">
        <f ca="1">SUM(AM$153:AM$154)</f>
        <v>0</v>
      </c>
      <c r="AN152" s="363">
        <f t="shared" ca="1" si="6331"/>
        <v>0</v>
      </c>
      <c r="AO152" s="359"/>
      <c r="AP152" s="359"/>
      <c r="AQ152" s="360">
        <f ca="1">SUM(AQ$153:AQ$154)</f>
        <v>11417.564550000001</v>
      </c>
      <c r="AR152" s="361">
        <f t="shared" ca="1" si="6537"/>
        <v>2.0334186221062627E-2</v>
      </c>
      <c r="AS152" s="364" t="str">
        <f t="shared" ca="1" si="5098"/>
        <v>V</v>
      </c>
      <c r="AT152" s="357"/>
      <c r="AU152" s="358"/>
      <c r="AV152" s="358"/>
      <c r="AW152" s="359"/>
      <c r="AX152" s="360">
        <f ca="1">SUM(AX$153:AX$154)</f>
        <v>45546.154237499999</v>
      </c>
      <c r="AY152" s="361">
        <f t="shared" ca="1" si="6338"/>
        <v>2.6299254434285824E-2</v>
      </c>
      <c r="AZ152" s="362"/>
      <c r="BA152" s="359"/>
      <c r="BB152" s="360">
        <f ca="1">SUM(BB$153:BB$154)</f>
        <v>-2250.1034394568696</v>
      </c>
      <c r="BC152" s="363">
        <f ca="1">IFERROR(BB152/AT$4,0)</f>
        <v>-1.2992544342858223E-3</v>
      </c>
      <c r="BD152" s="362"/>
      <c r="BE152" s="359"/>
      <c r="BF152" s="360">
        <f ca="1">SUM(BF$153:BF$154)</f>
        <v>0</v>
      </c>
      <c r="BG152" s="363">
        <f t="shared" ca="1" si="6344"/>
        <v>0</v>
      </c>
      <c r="BH152" s="359"/>
      <c r="BI152" s="359"/>
      <c r="BJ152" s="360">
        <f ca="1">SUM(BJ$153:BJ$154)</f>
        <v>45546.154237499999</v>
      </c>
      <c r="BK152" s="361">
        <f t="shared" ca="1" si="6542"/>
        <v>2.6299254434285824E-2</v>
      </c>
      <c r="BL152" s="295" t="str">
        <f t="shared" ca="1" si="5109"/>
        <v>V</v>
      </c>
      <c r="BM152" s="357"/>
      <c r="BN152" s="358"/>
      <c r="BO152" s="358"/>
      <c r="BP152" s="359"/>
      <c r="BQ152" s="360">
        <f ca="1">SUM(BQ$153:BQ$154)</f>
        <v>8935.4853000000003</v>
      </c>
      <c r="BR152" s="361">
        <f t="shared" ca="1" si="6351"/>
        <v>3.1355633819577608E-2</v>
      </c>
      <c r="BS152" s="362"/>
      <c r="BT152" s="359"/>
      <c r="BU152" s="360">
        <f ca="1">SUM(BU$153:BU$154)</f>
        <v>-1811.1792252006719</v>
      </c>
      <c r="BV152" s="363">
        <f ca="1">IFERROR(BU152/BM$4,0)</f>
        <v>-6.3556338195776066E-3</v>
      </c>
      <c r="BW152" s="362"/>
      <c r="BX152" s="359"/>
      <c r="BY152" s="360">
        <f ca="1">SUM(BY$153:BY$154)</f>
        <v>0</v>
      </c>
      <c r="BZ152" s="363">
        <f t="shared" ca="1" si="6357"/>
        <v>0</v>
      </c>
      <c r="CA152" s="359"/>
      <c r="CB152" s="359"/>
      <c r="CC152" s="360">
        <f ca="1">SUM(CC$153:CC$154)</f>
        <v>8935.4853000000003</v>
      </c>
      <c r="CD152" s="361">
        <f t="shared" ca="1" si="6547"/>
        <v>3.1355633819577608E-2</v>
      </c>
      <c r="CE152" s="295" t="str">
        <f t="shared" ca="1" si="5120"/>
        <v>V</v>
      </c>
      <c r="CF152" s="357"/>
      <c r="CG152" s="358"/>
      <c r="CH152" s="358"/>
      <c r="CI152" s="359"/>
      <c r="CJ152" s="360">
        <f ca="1">SUM(CJ$153:CJ$154)</f>
        <v>23579.752874999998</v>
      </c>
      <c r="CK152" s="361">
        <f t="shared" ca="1" si="6364"/>
        <v>2.6645005761114535E-2</v>
      </c>
      <c r="CL152" s="362"/>
      <c r="CM152" s="359"/>
      <c r="CN152" s="360">
        <f ca="1">SUM(CN$153:CN$154)</f>
        <v>-1455.7635931023153</v>
      </c>
      <c r="CO152" s="363">
        <f ca="1">IFERROR(CN152/CF$4,0)</f>
        <v>-1.6450057611145338E-3</v>
      </c>
      <c r="CP152" s="362"/>
      <c r="CQ152" s="359"/>
      <c r="CR152" s="360">
        <f ca="1">SUM(CR$153:CR$154)</f>
        <v>0</v>
      </c>
      <c r="CS152" s="363">
        <f t="shared" ca="1" si="6370"/>
        <v>0</v>
      </c>
      <c r="CT152" s="359"/>
      <c r="CU152" s="359"/>
      <c r="CV152" s="360">
        <f ca="1">SUM(CV$153:CV$154)</f>
        <v>23579.752874999998</v>
      </c>
      <c r="CW152" s="361">
        <f t="shared" ca="1" si="6373"/>
        <v>2.6645005761114535E-2</v>
      </c>
      <c r="CX152" s="295" t="str">
        <f t="shared" ca="1" si="5130"/>
        <v>V</v>
      </c>
      <c r="CY152" s="357"/>
      <c r="CZ152" s="358"/>
      <c r="DA152" s="359"/>
      <c r="DB152" s="360"/>
      <c r="DC152" s="360">
        <f ca="1">SUM(DC$153:DC$154)</f>
        <v>43436.386874999997</v>
      </c>
      <c r="DD152" s="361">
        <f t="shared" ca="1" si="4717"/>
        <v>1.2114730680518082E-2</v>
      </c>
      <c r="DE152" s="362"/>
      <c r="DF152" s="359"/>
      <c r="DG152" s="360">
        <f ca="1">SUM(DG$153:DG$154)</f>
        <v>46199.090834898336</v>
      </c>
      <c r="DH152" s="363">
        <f ca="1">IFERROR(DG152/CY$4,0)</f>
        <v>1.288526931948192E-2</v>
      </c>
      <c r="DI152" s="362"/>
      <c r="DJ152" s="359"/>
      <c r="DK152" s="360">
        <f ca="1">SUM(DK$153:DK$154)</f>
        <v>0</v>
      </c>
      <c r="DL152" s="363">
        <f t="shared" ca="1" si="4718"/>
        <v>0</v>
      </c>
      <c r="DM152" s="359"/>
      <c r="DN152" s="359"/>
      <c r="DO152" s="360">
        <f ca="1">SUM(DO$153:DO$154)</f>
        <v>43436.386874999997</v>
      </c>
      <c r="DP152" s="361">
        <f t="shared" ca="1" si="6384"/>
        <v>1.2114730680518082E-2</v>
      </c>
      <c r="DQ152" s="364" t="str">
        <f t="shared" ca="1" si="5140"/>
        <v>V</v>
      </c>
      <c r="DR152" s="357"/>
      <c r="DS152" s="358"/>
      <c r="DT152" s="359"/>
      <c r="DU152" s="360"/>
      <c r="DV152" s="360">
        <f ca="1">SUM(DV$153:DV$154)</f>
        <v>0</v>
      </c>
      <c r="DW152" s="361">
        <f t="shared" ca="1" si="5343"/>
        <v>0</v>
      </c>
      <c r="DX152" s="362"/>
      <c r="DY152" s="359"/>
      <c r="DZ152" s="360">
        <f ca="1">SUM(DZ$153:DZ$154)</f>
        <v>17543.995486358916</v>
      </c>
      <c r="EA152" s="363">
        <f ca="1">IFERROR(DZ152/DR$4,0)</f>
        <v>2.5000000000000001E-2</v>
      </c>
      <c r="EB152" s="362"/>
      <c r="EC152" s="359"/>
      <c r="ED152" s="360">
        <f ca="1">SUM(ED$153:ED$154)</f>
        <v>0</v>
      </c>
      <c r="EE152" s="363">
        <f t="shared" ca="1" si="5349"/>
        <v>0</v>
      </c>
      <c r="EF152" s="359"/>
      <c r="EG152" s="359"/>
      <c r="EH152" s="360">
        <f ca="1">SUM(EH$153:EH$154)</f>
        <v>0</v>
      </c>
      <c r="EI152" s="361">
        <f t="shared" ca="1" si="6396"/>
        <v>0</v>
      </c>
      <c r="EJ152" s="357"/>
      <c r="EK152" s="358"/>
      <c r="EL152" s="365"/>
      <c r="EM152" s="359"/>
      <c r="EN152" s="360">
        <f ca="1">SUM(EN$153:EN$154)</f>
        <v>0</v>
      </c>
      <c r="EO152" s="361">
        <f t="shared" ca="1" si="6400"/>
        <v>0</v>
      </c>
      <c r="EP152" s="362"/>
      <c r="EQ152" s="359"/>
      <c r="ER152" s="360">
        <f ca="1">SUM(ER$153:ER$154)</f>
        <v>17743.705217821636</v>
      </c>
      <c r="ES152" s="363">
        <f ca="1">IFERROR(ER152/EJ$4,0)</f>
        <v>2.5000000000000001E-2</v>
      </c>
      <c r="ET152" s="362"/>
      <c r="EU152" s="359"/>
      <c r="EV152" s="360">
        <f ca="1">SUM(EV$153:EV$154)</f>
        <v>0</v>
      </c>
      <c r="EW152" s="363">
        <f t="shared" ca="1" si="6406"/>
        <v>0</v>
      </c>
      <c r="EX152" s="423">
        <f t="shared" si="6407"/>
        <v>0</v>
      </c>
      <c r="EY152" s="359"/>
      <c r="EZ152" s="360">
        <f ca="1">SUM(EZ$153:EZ$154)</f>
        <v>0</v>
      </c>
      <c r="FA152" s="361">
        <f t="shared" ca="1" si="6579"/>
        <v>0</v>
      </c>
      <c r="FB152" s="295" t="str">
        <f t="shared" ca="1" si="5151"/>
        <v/>
      </c>
      <c r="FC152" s="357"/>
      <c r="FD152" s="358"/>
      <c r="FE152" s="358"/>
      <c r="FF152" s="359"/>
      <c r="FG152" s="360">
        <f ca="1">SUM(FG$153:FG$154)</f>
        <v>0</v>
      </c>
      <c r="FH152" s="361">
        <f t="shared" ca="1" si="6413"/>
        <v>0</v>
      </c>
      <c r="FI152" s="362"/>
      <c r="FJ152" s="359"/>
      <c r="FK152" s="360">
        <f ca="1">SUM(FK$153:FK$154)</f>
        <v>113940.68349052577</v>
      </c>
      <c r="FL152" s="363">
        <f ca="1">IFERROR(FK152/FC$4,0)</f>
        <v>2.5000000000000001E-2</v>
      </c>
      <c r="FM152" s="362"/>
      <c r="FN152" s="359"/>
      <c r="FO152" s="360">
        <f ca="1">SUM(FO$153:FO$154)</f>
        <v>0</v>
      </c>
      <c r="FP152" s="363">
        <f t="shared" ca="1" si="6419"/>
        <v>0</v>
      </c>
      <c r="FQ152" s="359"/>
      <c r="FR152" s="359"/>
      <c r="FS152" s="360">
        <f ca="1">SUM(FS$153:FS$154)</f>
        <v>0</v>
      </c>
      <c r="FT152" s="361">
        <f t="shared" ca="1" si="6584"/>
        <v>0</v>
      </c>
      <c r="FU152" s="364" t="str">
        <f t="shared" ca="1" si="5162"/>
        <v/>
      </c>
    </row>
    <row r="153" spans="1:177" outlineLevel="2" x14ac:dyDescent="0.2">
      <c r="A153" s="366"/>
      <c r="B153" s="366"/>
      <c r="C153" s="367" t="str">
        <f t="shared" ref="C153:E154" ca="1" si="6586">OFFSET(Origine,MATCH($F153,Descrizioni,0),MATCH(C$15,Intestazioni,0)-1,1,1)</f>
        <v>LU0390136736:USD</v>
      </c>
      <c r="D153" s="368" t="str">
        <f t="shared" ca="1" si="6586"/>
        <v>LU0390136736</v>
      </c>
      <c r="E153" s="369" t="str">
        <f t="shared" ca="1" si="6586"/>
        <v>4613685</v>
      </c>
      <c r="F153" s="367" t="s">
        <v>424</v>
      </c>
      <c r="G153" s="414"/>
      <c r="H153" s="1713" t="str">
        <f ca="1">IF(OFFSET(Origine,MATCH($F153,Descrizioni,0),MATCH(H$15,Intestazioni,0)-1,1,1)&lt;&gt;"",HYPERLINK(OFFSET(Origine,MATCH($F153,Descrizioni,0),MATCH(H$15,Intestazioni,0)-1,1,1),""),"")</f>
        <v></v>
      </c>
      <c r="I153" s="1683" t="str">
        <f ca="1">IF(OFFSET(Origine,MATCH($F153,Descrizioni,0),MATCH(I$15,Intestazioni,0)-1,1,1)&lt;&gt;"",HYPERLINK(OFFSET(Origine,MATCH($F153,Descrizioni,0),MATCH(I$15,Intestazioni,0)-1,1,1),"i"),"")</f>
        <v>i</v>
      </c>
      <c r="J153" s="1713" t="str">
        <f ca="1">IF(OFFSET(Origine,MATCH($F153,Descrizioni,0),MATCH(J$15,Intestazioni,0)-1,1,1)&lt;&gt;"",HYPERLINK(OFFSET(Origine,MATCH($F153,Descrizioni,0),MATCH(J$15,Intestazioni,0)-1,1,1),""),"")</f>
        <v></v>
      </c>
      <c r="K153" s="1716" t="str">
        <f ca="1">IF(OFFSET(Origine,MATCH($F153,Descrizioni,0),MATCH(K$15,Intestazioni,0)-1,1,1)&lt;&gt;"",HYPERLINK(OFFSET(Origine,MATCH($F153,Descrizioni,0),MATCH(K$15,Intestazioni,0)-1,1,1),""),"")</f>
        <v></v>
      </c>
      <c r="L153" s="1717" t="str">
        <f ca="1">IF(OFFSET(Origine,MATCH($F153,Descrizioni,0),MATCH(L$15,Intestazioni,0)-1,1,1)&lt;&gt;"",HYPERLINK("https://www.zonebourse.com/mods_a/charts/TV/inc_dyna_graph.php?c="&amp;OFFSET(Origine,MATCH($F153,Descrizioni,0),MATCH(L$15,Intestazioni,0)-1,1,1)&amp;"&amp;style=TradingView.CANDLES&amp;showAT=1",""),"")</f>
        <v></v>
      </c>
      <c r="M153" s="366" t="str">
        <f ca="1">(OFFSET(Origine,MATCH($F153,Descrizioni,0),MATCH(M$15,Intestazioni,0)-1,1,1))</f>
        <v>Unit</v>
      </c>
      <c r="N153" s="417">
        <v>2.5000000000000001E-2</v>
      </c>
      <c r="O153" s="417">
        <v>2.5000000000000001E-2</v>
      </c>
      <c r="P153" s="418">
        <f t="shared" ca="1" si="6318"/>
        <v>2.5559066463765181E-2</v>
      </c>
      <c r="Q153" s="391">
        <f t="array" aca="1" ref="Q153" ca="1">SUM(IF($AA$15:$FT$15="I_pos",AA153:FT153))</f>
        <v>5355</v>
      </c>
      <c r="R153" s="391">
        <f t="array" aca="1" ref="R153" ca="1">SUM(IF($AA$15:$FT$15="P_Pos",AA153:FT153))</f>
        <v>7756.8137528130646</v>
      </c>
      <c r="S153" s="367"/>
      <c r="T153" s="391"/>
      <c r="U153" s="375">
        <f ca="1">OFFSET(Origine,MATCH($F153,Descrizioni,0),MATCH(U$15,Intestazioni,0)-1,1,1)</f>
        <v>3.7096088435374201E-2</v>
      </c>
      <c r="V153" s="391">
        <f t="array" aca="1" ref="V153" ca="1">SUM(IF($AA$15:$FT$15="O_Pos",AA153:FT153))</f>
        <v>0</v>
      </c>
      <c r="W153" s="367" t="str">
        <f ca="1">OFFSET(Origine,MATCH($F153,Descrizioni,0),MATCH(W$15,Intestazioni,0)-1,1,1)</f>
        <v>USD</v>
      </c>
      <c r="X153" s="376">
        <f ca="1">_xlfn.NUMBERVALUE(OFFSET(Origine,MATCH($F153,Descrizioni,0),MATCH(X$15,Intestazioni,0)-1,1,1))</f>
        <v>31.73</v>
      </c>
      <c r="Y153" s="393">
        <f t="shared" ref="Y153:Y154" ca="1" si="6587">_xlfn.NUMBERVALUE(OFFSET(Origine,MATCH($F153,Descrizioni,0),MATCH(Y$15,Intestazioni,0)-1,1,1))</f>
        <v>0</v>
      </c>
      <c r="Z153" s="378">
        <f ca="1">_xlfn.NUMBERVALUE(OFFSET(Origine,MATCH(W153&amp;"/"&amp;MRif,LUKB_Name,0),MATCH("Price",Intestazioni,0)-1,1,1))</f>
        <v>0.78225</v>
      </c>
      <c r="AA153" s="214">
        <f>310+150</f>
        <v>460</v>
      </c>
      <c r="AB153" s="312">
        <f t="shared" ref="AB153:AB154" ca="1" si="6588">IFERROR($X153/AC153-1,"")</f>
        <v>0.65016330011857448</v>
      </c>
      <c r="AC153" s="215">
        <v>19.228400000000001</v>
      </c>
      <c r="AD153" s="199">
        <f ca="1">AA153*$X153</f>
        <v>14595.800000000001</v>
      </c>
      <c r="AE153" s="199">
        <f ca="1">AD153*$Z153</f>
        <v>11417.564550000001</v>
      </c>
      <c r="AF153" s="216">
        <f t="shared" ca="1" si="6325"/>
        <v>2.0334186221062627E-2</v>
      </c>
      <c r="AG153" s="202">
        <f ca="1">AH153/$X153</f>
        <v>105.55004832640076</v>
      </c>
      <c r="AH153" s="203">
        <f ca="1">AI153/$Z153</f>
        <v>3349.103033396696</v>
      </c>
      <c r="AI153" s="203">
        <f ca="1">AJ153*AA$4</f>
        <v>2619.8358478745654</v>
      </c>
      <c r="AJ153" s="204">
        <f ca="1">IF(AA$6&lt;&gt;"",$O153,$N153)-AF153</f>
        <v>4.6658137789373742E-3</v>
      </c>
      <c r="AK153" s="205"/>
      <c r="AL153" s="206">
        <f ca="1">AK153*$X153</f>
        <v>0</v>
      </c>
      <c r="AM153" s="206">
        <f ca="1">AL153*$Z153</f>
        <v>0</v>
      </c>
      <c r="AN153" s="207">
        <f t="shared" ca="1" si="6331"/>
        <v>0</v>
      </c>
      <c r="AO153" s="391">
        <f>AA153+AK153</f>
        <v>460</v>
      </c>
      <c r="AP153" s="391">
        <f t="shared" ca="1" si="5295"/>
        <v>14595.800000000001</v>
      </c>
      <c r="AQ153" s="391">
        <f ca="1">AP153*$Z153</f>
        <v>11417.564550000001</v>
      </c>
      <c r="AR153" s="394">
        <f t="shared" ca="1" si="6537"/>
        <v>2.0334186221062627E-2</v>
      </c>
      <c r="AS153" s="209" t="str">
        <f t="shared" ca="1" si="5098"/>
        <v>V</v>
      </c>
      <c r="AT153" s="214">
        <f>1470+600+730+-965</f>
        <v>1835</v>
      </c>
      <c r="AU153" s="312">
        <f t="shared" ref="AU153:AU154" ca="1" si="6589">IFERROR($X153/AV153-1,"")</f>
        <v>0.69005832379024756</v>
      </c>
      <c r="AV153" s="215">
        <v>18.7745</v>
      </c>
      <c r="AW153" s="199">
        <f ca="1">AT153*$X153</f>
        <v>58224.55</v>
      </c>
      <c r="AX153" s="199">
        <f ca="1">AW153*$Z153</f>
        <v>45546.154237499999</v>
      </c>
      <c r="AY153" s="216">
        <f t="shared" ca="1" si="6338"/>
        <v>2.6299254434285824E-2</v>
      </c>
      <c r="AZ153" s="202">
        <f ca="1">BA153/$X153</f>
        <v>-90.653972448980809</v>
      </c>
      <c r="BA153" s="203">
        <f ca="1">BB153/$Z153</f>
        <v>-2876.4505458061612</v>
      </c>
      <c r="BB153" s="203">
        <f ca="1">BC153*AT$4</f>
        <v>-2250.1034394568696</v>
      </c>
      <c r="BC153" s="204">
        <f ca="1">IF(AT$6&lt;&gt;"",$O153,$N153)-AY153</f>
        <v>-1.2992544342858223E-3</v>
      </c>
      <c r="BD153" s="205"/>
      <c r="BE153" s="206">
        <f ca="1">BD153*$X153</f>
        <v>0</v>
      </c>
      <c r="BF153" s="206">
        <f ca="1">BE153*$Z153</f>
        <v>0</v>
      </c>
      <c r="BG153" s="207">
        <f t="shared" ca="1" si="6344"/>
        <v>0</v>
      </c>
      <c r="BH153" s="391">
        <f>AT153+BD153</f>
        <v>1835</v>
      </c>
      <c r="BI153" s="391">
        <f t="shared" ca="1" si="5308"/>
        <v>58224.55</v>
      </c>
      <c r="BJ153" s="391">
        <f ca="1">BI153*$Z153</f>
        <v>45546.154237499999</v>
      </c>
      <c r="BK153" s="394">
        <f t="shared" ca="1" si="6542"/>
        <v>2.6299254434285824E-2</v>
      </c>
      <c r="BL153" s="211" t="str">
        <f t="shared" ca="1" si="5109"/>
        <v>V</v>
      </c>
      <c r="BM153" s="214">
        <f>455+245+-340</f>
        <v>360</v>
      </c>
      <c r="BN153" s="312">
        <f t="shared" ref="BN153:BN154" ca="1" si="6590">IFERROR($X153/BO153-1,"")</f>
        <v>0.68933847996805553</v>
      </c>
      <c r="BO153" s="215">
        <v>18.782499999999999</v>
      </c>
      <c r="BP153" s="199">
        <f ca="1">BM153*$X153</f>
        <v>11422.8</v>
      </c>
      <c r="BQ153" s="199">
        <f ca="1">BP153*$Z153</f>
        <v>8935.4853000000003</v>
      </c>
      <c r="BR153" s="216">
        <f t="shared" ca="1" si="6351"/>
        <v>3.1355633819577608E-2</v>
      </c>
      <c r="BS153" s="202">
        <f ca="1">BT153/$X153</f>
        <v>-72.970241590822368</v>
      </c>
      <c r="BT153" s="203">
        <f ca="1">BU153/$Z153</f>
        <v>-2315.3457656767937</v>
      </c>
      <c r="BU153" s="203">
        <f ca="1">BV153*BM$4</f>
        <v>-1811.1792252006719</v>
      </c>
      <c r="BV153" s="204">
        <f ca="1">IF(BM$6&lt;&gt;"",$O153,$N153)-BR153</f>
        <v>-6.3556338195776066E-3</v>
      </c>
      <c r="BW153" s="205"/>
      <c r="BX153" s="206">
        <f ca="1">BW153*$X153</f>
        <v>0</v>
      </c>
      <c r="BY153" s="206">
        <f ca="1">BX153*$Z153</f>
        <v>0</v>
      </c>
      <c r="BZ153" s="207">
        <f t="shared" ca="1" si="6357"/>
        <v>0</v>
      </c>
      <c r="CA153" s="391">
        <f>BM153+BW153</f>
        <v>360</v>
      </c>
      <c r="CB153" s="391">
        <f t="shared" ca="1" si="5321"/>
        <v>11422.8</v>
      </c>
      <c r="CC153" s="391">
        <f ca="1">CB153*$Z153</f>
        <v>8935.4853000000003</v>
      </c>
      <c r="CD153" s="394">
        <f t="shared" ca="1" si="6547"/>
        <v>3.1355633819577608E-2</v>
      </c>
      <c r="CE153" s="212" t="str">
        <f t="shared" ca="1" si="5120"/>
        <v>V</v>
      </c>
      <c r="CF153" s="214">
        <f>1000+440+-490</f>
        <v>950</v>
      </c>
      <c r="CG153" s="312">
        <f t="shared" ref="CG153:CG154" ca="1" si="6591">IFERROR($X153/CH153-1,"")</f>
        <v>0.82401398046643703</v>
      </c>
      <c r="CH153" s="215">
        <v>17.395700000000001</v>
      </c>
      <c r="CI153" s="199">
        <f ca="1">CF153*$X153</f>
        <v>30143.5</v>
      </c>
      <c r="CJ153" s="199">
        <f ca="1">CI153*$Z153</f>
        <v>23579.752874999998</v>
      </c>
      <c r="CK153" s="216">
        <f t="shared" ca="1" si="6364"/>
        <v>2.6645005761114535E-2</v>
      </c>
      <c r="CL153" s="202">
        <f ca="1">CM153/$X153</f>
        <v>-58.650971482974015</v>
      </c>
      <c r="CM153" s="203">
        <f ca="1">CN153/$Z153</f>
        <v>-1860.9953251547656</v>
      </c>
      <c r="CN153" s="203">
        <f ca="1">CO153*CF$4</f>
        <v>-1455.7635931023153</v>
      </c>
      <c r="CO153" s="204">
        <f ca="1">IF(CF$6&lt;&gt;"",$O153,$N153)-CK153</f>
        <v>-1.645005761114534E-3</v>
      </c>
      <c r="CP153" s="205"/>
      <c r="CQ153" s="206">
        <f ca="1">CP153*$X153</f>
        <v>0</v>
      </c>
      <c r="CR153" s="206">
        <f ca="1">CQ153*$Z153</f>
        <v>0</v>
      </c>
      <c r="CS153" s="207">
        <f t="shared" ca="1" si="6370"/>
        <v>0</v>
      </c>
      <c r="CT153" s="391">
        <f>CF153+CP153</f>
        <v>950</v>
      </c>
      <c r="CU153" s="391">
        <f t="shared" ca="1" si="5334"/>
        <v>30143.5</v>
      </c>
      <c r="CV153" s="391">
        <f ca="1">CU153*$Z153</f>
        <v>23579.752874999998</v>
      </c>
      <c r="CW153" s="394">
        <f t="shared" ca="1" si="6373"/>
        <v>2.6645005761114535E-2</v>
      </c>
      <c r="CX153" s="211" t="str">
        <f t="shared" ca="1" si="5130"/>
        <v>V</v>
      </c>
      <c r="CY153" s="197">
        <v>1750</v>
      </c>
      <c r="CZ153" s="312">
        <f t="shared" ref="CZ153:CZ154" ca="1" si="6592">IFERROR($X153/DA153-1,"")</f>
        <v>0.51023322227510692</v>
      </c>
      <c r="DA153" s="395">
        <v>21.01</v>
      </c>
      <c r="DB153" s="199">
        <f ca="1">CY153*$X153</f>
        <v>55527.5</v>
      </c>
      <c r="DC153" s="199">
        <f ca="1">DB153*$Z153</f>
        <v>43436.386874999997</v>
      </c>
      <c r="DD153" s="216">
        <f t="shared" ca="1" si="4717"/>
        <v>1.2114730680518082E-2</v>
      </c>
      <c r="DE153" s="202">
        <f ca="1">DF153/$X153</f>
        <v>1861.3060334354084</v>
      </c>
      <c r="DF153" s="203">
        <f ca="1">DG153/$Z153</f>
        <v>59059.240440905509</v>
      </c>
      <c r="DG153" s="203">
        <f ca="1">DH153*CY$4</f>
        <v>46199.090834898336</v>
      </c>
      <c r="DH153" s="204">
        <f ca="1">IF(CY$6&lt;&gt;"",$O153,$N153)-DD153</f>
        <v>1.288526931948192E-2</v>
      </c>
      <c r="DI153" s="205"/>
      <c r="DJ153" s="206">
        <f ca="1">DI153*$X153</f>
        <v>0</v>
      </c>
      <c r="DK153" s="206">
        <f ca="1">DJ153*$Z153</f>
        <v>0</v>
      </c>
      <c r="DL153" s="207">
        <f t="shared" ca="1" si="4718"/>
        <v>0</v>
      </c>
      <c r="DM153" s="391">
        <f>CY153+DI153</f>
        <v>1750</v>
      </c>
      <c r="DN153" s="391">
        <f t="shared" ca="1" si="5338"/>
        <v>55527.5</v>
      </c>
      <c r="DO153" s="391">
        <f ca="1">DN153*$Z153</f>
        <v>43436.386874999997</v>
      </c>
      <c r="DP153" s="394">
        <f t="shared" ca="1" si="6384"/>
        <v>1.2114730680518082E-2</v>
      </c>
      <c r="DQ153" s="209" t="str">
        <f t="shared" ca="1" si="5140"/>
        <v>V</v>
      </c>
      <c r="DR153" s="197"/>
      <c r="DS153" s="312" t="str">
        <f t="shared" ref="DS153:DS154" ca="1" si="6593">IFERROR($X153/DT153-1,"")</f>
        <v/>
      </c>
      <c r="DT153" s="395"/>
      <c r="DU153" s="199">
        <f ca="1">DR153*$X153</f>
        <v>0</v>
      </c>
      <c r="DV153" s="199">
        <f ca="1">DU153*$Z153</f>
        <v>0</v>
      </c>
      <c r="DW153" s="216">
        <f t="shared" ca="1" si="5343"/>
        <v>0</v>
      </c>
      <c r="DX153" s="202">
        <f ca="1">DY153/$X153</f>
        <v>706.82656431533826</v>
      </c>
      <c r="DY153" s="203">
        <f ca="1">DZ153/$Z153</f>
        <v>22427.606885725683</v>
      </c>
      <c r="DZ153" s="203">
        <f ca="1">EA153*DR$4</f>
        <v>17543.995486358916</v>
      </c>
      <c r="EA153" s="204">
        <f ca="1">IF(DR$6&lt;&gt;"",$O153,$N153)-DW153</f>
        <v>2.5000000000000001E-2</v>
      </c>
      <c r="EB153" s="205"/>
      <c r="EC153" s="206">
        <f ca="1">EB153*$X153</f>
        <v>0</v>
      </c>
      <c r="ED153" s="206">
        <f ca="1">EC153*$Z153</f>
        <v>0</v>
      </c>
      <c r="EE153" s="207">
        <f t="shared" ca="1" si="5349"/>
        <v>0</v>
      </c>
      <c r="EF153" s="391">
        <f>DR153+EB153</f>
        <v>0</v>
      </c>
      <c r="EG153" s="391">
        <f t="shared" ref="EG153:EG154" ca="1" si="6594">DU153+IF($T153 ="",EC153,0)</f>
        <v>0</v>
      </c>
      <c r="EH153" s="391">
        <f ca="1">EG153*$Z153</f>
        <v>0</v>
      </c>
      <c r="EI153" s="394">
        <f t="shared" ca="1" si="6396"/>
        <v>0</v>
      </c>
      <c r="EJ153" s="214"/>
      <c r="EK153" s="312" t="str">
        <f t="shared" ref="EK153:EK154" ca="1" si="6595">IFERROR($X153/EL153-1,"")</f>
        <v/>
      </c>
      <c r="EL153" s="222"/>
      <c r="EM153" s="199">
        <f ca="1">EJ153*$X153</f>
        <v>0</v>
      </c>
      <c r="EN153" s="199">
        <f ca="1">EM153*$Z153</f>
        <v>0</v>
      </c>
      <c r="EO153" s="216">
        <f t="shared" ca="1" si="6400"/>
        <v>0</v>
      </c>
      <c r="EP153" s="202">
        <f ca="1">EQ153/$X153</f>
        <v>714.87263018784097</v>
      </c>
      <c r="EQ153" s="203">
        <f ca="1">ER153/$Z153</f>
        <v>22682.908555860195</v>
      </c>
      <c r="ER153" s="203">
        <f ca="1">ES153*EJ$4</f>
        <v>17743.705217821636</v>
      </c>
      <c r="ES153" s="204">
        <f ca="1">IF(EJ$6&lt;&gt;"",$O153,$N153)-EO153</f>
        <v>2.5000000000000001E-2</v>
      </c>
      <c r="ET153" s="205"/>
      <c r="EU153" s="206">
        <f ca="1">ET153*$X153</f>
        <v>0</v>
      </c>
      <c r="EV153" s="206">
        <f ca="1">EU153*$Z153</f>
        <v>0</v>
      </c>
      <c r="EW153" s="207">
        <f t="shared" ca="1" si="6406"/>
        <v>0</v>
      </c>
      <c r="EX153" s="391">
        <f t="shared" si="6407"/>
        <v>0</v>
      </c>
      <c r="EY153" s="391">
        <f t="shared" ca="1" si="5364"/>
        <v>0</v>
      </c>
      <c r="EZ153" s="391">
        <f ca="1">EY153*$Z153</f>
        <v>0</v>
      </c>
      <c r="FA153" s="394">
        <f t="shared" ca="1" si="6579"/>
        <v>0</v>
      </c>
      <c r="FB153" s="212" t="str">
        <f t="shared" ca="1" si="5151"/>
        <v/>
      </c>
      <c r="FC153" s="214"/>
      <c r="FD153" s="312" t="str">
        <f t="shared" ref="FD153:FD154" ca="1" si="6596">IFERROR($X153/FE153-1,"")</f>
        <v/>
      </c>
      <c r="FE153" s="215"/>
      <c r="FF153" s="199">
        <f ca="1">FC153*$X153</f>
        <v>0</v>
      </c>
      <c r="FG153" s="199">
        <f ca="1">FF153*$Z153</f>
        <v>0</v>
      </c>
      <c r="FH153" s="216">
        <f t="shared" ca="1" si="6413"/>
        <v>0</v>
      </c>
      <c r="FI153" s="202">
        <f ca="1">FJ153/$X153</f>
        <v>4590.5336620708531</v>
      </c>
      <c r="FJ153" s="203">
        <f ca="1">FK153/$Z153</f>
        <v>145657.63309750817</v>
      </c>
      <c r="FK153" s="203">
        <f ca="1">FL153*FC$4</f>
        <v>113940.68349052577</v>
      </c>
      <c r="FL153" s="204">
        <f ca="1">IF(FC$6&lt;&gt;"",$O153,$N153)-FH153</f>
        <v>2.5000000000000001E-2</v>
      </c>
      <c r="FM153" s="205"/>
      <c r="FN153" s="206">
        <f ca="1">FM153*$X153</f>
        <v>0</v>
      </c>
      <c r="FO153" s="206">
        <f ca="1">FN153*$Z153</f>
        <v>0</v>
      </c>
      <c r="FP153" s="207">
        <f t="shared" ca="1" si="6419"/>
        <v>0</v>
      </c>
      <c r="FQ153" s="391">
        <f>FC153+FM153</f>
        <v>0</v>
      </c>
      <c r="FR153" s="391">
        <f t="shared" ca="1" si="5378"/>
        <v>0</v>
      </c>
      <c r="FS153" s="391">
        <f ca="1">FR153*$Z153</f>
        <v>0</v>
      </c>
      <c r="FT153" s="394">
        <f t="shared" ca="1" si="6584"/>
        <v>0</v>
      </c>
      <c r="FU153" s="209" t="str">
        <f t="shared" ca="1" si="5162"/>
        <v/>
      </c>
    </row>
    <row r="154" spans="1:177" outlineLevel="2" x14ac:dyDescent="0.2">
      <c r="A154" s="366"/>
      <c r="B154" s="366"/>
      <c r="C154" s="367" t="str">
        <f t="shared" ca="1" si="6586"/>
        <v>LU2128486979:USD</v>
      </c>
      <c r="D154" s="368" t="str">
        <f t="shared" ca="1" si="6586"/>
        <v>LU2128486979</v>
      </c>
      <c r="E154" s="369" t="str">
        <f t="shared" ca="1" si="6586"/>
        <v>56356692</v>
      </c>
      <c r="F154" s="367" t="s">
        <v>777</v>
      </c>
      <c r="G154" s="414"/>
      <c r="H154" s="1713" t="str">
        <f ca="1">IF(OFFSET(Origine,MATCH($F154,Descrizioni,0),MATCH(H$15,Intestazioni,0)-1,1,1)&lt;&gt;"",HYPERLINK(OFFSET(Origine,MATCH($F154,Descrizioni,0),MATCH(H$15,Intestazioni,0)-1,1,1),""),"")</f>
        <v></v>
      </c>
      <c r="I154" s="1683" t="str">
        <f ca="1">IF(OFFSET(Origine,MATCH($F154,Descrizioni,0),MATCH(I$15,Intestazioni,0)-1,1,1)&lt;&gt;"",HYPERLINK(OFFSET(Origine,MATCH($F154,Descrizioni,0),MATCH(I$15,Intestazioni,0)-1,1,1),"i"),"")</f>
        <v>i</v>
      </c>
      <c r="J154" s="1713" t="str">
        <f ca="1">IF(OFFSET(Origine,MATCH($F154,Descrizioni,0),MATCH(J$15,Intestazioni,0)-1,1,1)&lt;&gt;"",HYPERLINK(OFFSET(Origine,MATCH($F154,Descrizioni,0),MATCH(J$15,Intestazioni,0)-1,1,1),""),"")</f>
        <v></v>
      </c>
      <c r="K154" s="1714" t="str">
        <f ca="1">IF(OFFSET(Origine,MATCH($F154,Descrizioni,0),MATCH(K$15,Intestazioni,0)-1,1,1)&lt;&gt;"",HYPERLINK(OFFSET(Origine,MATCH($F154,Descrizioni,0),MATCH(K$15,Intestazioni,0)-1,1,1),""),"")</f>
        <v/>
      </c>
      <c r="L154" s="1715" t="str">
        <f ca="1">IF(OFFSET(Origine,MATCH($F154,Descrizioni,0),MATCH(L$15,Intestazioni,0)-1,1,1)&lt;&gt;"",HYPERLINK("https://www.zonebourse.com/mods_a/charts/TV/inc_dyna_graph.php?c="&amp;OFFSET(Origine,MATCH($F154,Descrizioni,0),MATCH(L$15,Intestazioni,0)-1,1,1)&amp;"&amp;style=TradingView.CANDLES&amp;showAT=1",""),"")</f>
        <v/>
      </c>
      <c r="M154" s="366" t="str">
        <f ca="1">(OFFSET(Origine,MATCH($F154,Descrizioni,0),MATCH(M$15,Intestazioni,0)-1,1,1))</f>
        <v>Unit</v>
      </c>
      <c r="N154" s="417"/>
      <c r="O154" s="417"/>
      <c r="P154" s="418">
        <f t="shared" ca="1" si="6318"/>
        <v>0</v>
      </c>
      <c r="Q154" s="374">
        <f t="array" aca="1" ref="Q154" ca="1">SUM(IF($AA$15:$FT$15="I_pos",AA154:FT154))</f>
        <v>0</v>
      </c>
      <c r="R154" s="374">
        <f t="array" aca="1" ref="R154" ca="1">SUM(IF($AA$15:$FT$15="P_Pos",AA154:FT154))</f>
        <v>0</v>
      </c>
      <c r="S154" s="367"/>
      <c r="T154" s="374"/>
      <c r="U154" s="375">
        <f ca="1">OFFSET(Origine,MATCH($F154,Descrizioni,0),MATCH(U$15,Intestazioni,0)-1,1,1)</f>
        <v>-3.1762667529723752E-2</v>
      </c>
      <c r="V154" s="374">
        <f t="array" aca="1" ref="V154" ca="1">SUM(IF($AA$15:$FT$15="O_Pos",AA154:FT154))</f>
        <v>0</v>
      </c>
      <c r="W154" s="367" t="str">
        <f ca="1">OFFSET(Origine,MATCH($F154,Descrizioni,0),MATCH(W$15,Intestazioni,0)-1,1,1)</f>
        <v>USD</v>
      </c>
      <c r="X154" s="376">
        <f ca="1">_xlfn.NUMBERVALUE(OFFSET(Origine,MATCH($F154,Descrizioni,0),MATCH(X$15,Intestazioni,0)-1,1,1))</f>
        <v>408.06130000000002</v>
      </c>
      <c r="Y154" s="377">
        <f t="shared" ca="1" si="6587"/>
        <v>0</v>
      </c>
      <c r="Z154" s="378">
        <f ca="1">_xlfn.NUMBERVALUE(OFFSET(Origine,MATCH(W154&amp;"/"&amp;MRif,LUKB_Name,0),MATCH("Price",Intestazioni,0)-1,1,1))</f>
        <v>0.78225</v>
      </c>
      <c r="AA154" s="214"/>
      <c r="AB154" s="312" t="str">
        <f t="shared" ca="1" si="6588"/>
        <v/>
      </c>
      <c r="AC154" s="215"/>
      <c r="AD154" s="381">
        <f ca="1">AA154*$X154</f>
        <v>0</v>
      </c>
      <c r="AE154" s="381">
        <f ca="1">AD154*$Z154</f>
        <v>0</v>
      </c>
      <c r="AF154" s="382">
        <f ca="1">IFERROR(AE154/AA$4,0)</f>
        <v>0</v>
      </c>
      <c r="AG154" s="202">
        <f ca="1">AH154/$X154</f>
        <v>0</v>
      </c>
      <c r="AH154" s="383">
        <f ca="1">AI154/$Z154</f>
        <v>0</v>
      </c>
      <c r="AI154" s="383">
        <f ca="1">AJ154*AA$4</f>
        <v>0</v>
      </c>
      <c r="AJ154" s="204">
        <f ca="1">IF(AA$6&lt;&gt;"",$O154,$N154)-AF154</f>
        <v>0</v>
      </c>
      <c r="AK154" s="205"/>
      <c r="AL154" s="384">
        <f ca="1">AK154*$X154</f>
        <v>0</v>
      </c>
      <c r="AM154" s="384">
        <f ca="1">AL154*$Z154</f>
        <v>0</v>
      </c>
      <c r="AN154" s="207">
        <f ca="1">IFERROR(AM154/AA$4,0)</f>
        <v>0</v>
      </c>
      <c r="AO154" s="374">
        <f>AA154+AK154</f>
        <v>0</v>
      </c>
      <c r="AP154" s="374">
        <f t="shared" ca="1" si="5295"/>
        <v>0</v>
      </c>
      <c r="AQ154" s="374">
        <f ca="1">AP154*$Z154</f>
        <v>0</v>
      </c>
      <c r="AR154" s="394">
        <f ca="1">IFERROR(AQ154/AA$4,0)</f>
        <v>0</v>
      </c>
      <c r="AS154" s="209" t="str">
        <f t="shared" ca="1" si="5098"/>
        <v/>
      </c>
      <c r="AT154" s="214"/>
      <c r="AU154" s="312" t="str">
        <f t="shared" ca="1" si="6589"/>
        <v/>
      </c>
      <c r="AV154" s="215"/>
      <c r="AW154" s="381">
        <f ca="1">AT154*$X154</f>
        <v>0</v>
      </c>
      <c r="AX154" s="381">
        <f ca="1">AW154*$Z154</f>
        <v>0</v>
      </c>
      <c r="AY154" s="382">
        <f ca="1">IFERROR(AX154/AT$4,0)</f>
        <v>0</v>
      </c>
      <c r="AZ154" s="202">
        <f ca="1">BA154/$X154</f>
        <v>0</v>
      </c>
      <c r="BA154" s="383">
        <f ca="1">BB154/$Z154</f>
        <v>0</v>
      </c>
      <c r="BB154" s="383">
        <f ca="1">BC154*AT$4</f>
        <v>0</v>
      </c>
      <c r="BC154" s="204">
        <f ca="1">IF(AT$6&lt;&gt;"",$O154,$N154)-AY154</f>
        <v>0</v>
      </c>
      <c r="BD154" s="205"/>
      <c r="BE154" s="384">
        <f ca="1">BD154*$X154</f>
        <v>0</v>
      </c>
      <c r="BF154" s="384">
        <f ca="1">BE154*$Z154</f>
        <v>0</v>
      </c>
      <c r="BG154" s="207">
        <f ca="1">IFERROR(BF154/AT$4,0)</f>
        <v>0</v>
      </c>
      <c r="BH154" s="374">
        <f>AT154+BD154</f>
        <v>0</v>
      </c>
      <c r="BI154" s="374">
        <f t="shared" ca="1" si="5308"/>
        <v>0</v>
      </c>
      <c r="BJ154" s="374">
        <f ca="1">BI154*$Z154</f>
        <v>0</v>
      </c>
      <c r="BK154" s="394">
        <f ca="1">IFERROR(BJ154/AT$4,0)</f>
        <v>0</v>
      </c>
      <c r="BL154" s="211" t="str">
        <f t="shared" ca="1" si="5109"/>
        <v/>
      </c>
      <c r="BM154" s="214"/>
      <c r="BN154" s="312" t="str">
        <f t="shared" ca="1" si="6590"/>
        <v/>
      </c>
      <c r="BO154" s="215"/>
      <c r="BP154" s="381">
        <f ca="1">BM154*$X154</f>
        <v>0</v>
      </c>
      <c r="BQ154" s="381">
        <f ca="1">BP154*$Z154</f>
        <v>0</v>
      </c>
      <c r="BR154" s="382">
        <f ca="1">IFERROR(BQ154/BM$4,0)</f>
        <v>0</v>
      </c>
      <c r="BS154" s="202">
        <f ca="1">BT154/$X154</f>
        <v>0</v>
      </c>
      <c r="BT154" s="383">
        <f ca="1">BU154/$Z154</f>
        <v>0</v>
      </c>
      <c r="BU154" s="383">
        <f ca="1">BV154*BM$4</f>
        <v>0</v>
      </c>
      <c r="BV154" s="204">
        <f ca="1">IF(BM$6&lt;&gt;"",$O154,$N154)-BR154</f>
        <v>0</v>
      </c>
      <c r="BW154" s="205"/>
      <c r="BX154" s="384">
        <f ca="1">BW154*$X154</f>
        <v>0</v>
      </c>
      <c r="BY154" s="384">
        <f ca="1">BX154*$Z154</f>
        <v>0</v>
      </c>
      <c r="BZ154" s="207">
        <f ca="1">IFERROR(BY154/BM$4,0)</f>
        <v>0</v>
      </c>
      <c r="CA154" s="374">
        <f>BM154+BW154</f>
        <v>0</v>
      </c>
      <c r="CB154" s="374">
        <f t="shared" ca="1" si="5321"/>
        <v>0</v>
      </c>
      <c r="CC154" s="374">
        <f ca="1">CB154*$Z154</f>
        <v>0</v>
      </c>
      <c r="CD154" s="394">
        <f ca="1">IFERROR(CC154/BM$4,0)</f>
        <v>0</v>
      </c>
      <c r="CE154" s="212" t="str">
        <f t="shared" ca="1" si="5120"/>
        <v/>
      </c>
      <c r="CF154" s="214"/>
      <c r="CG154" s="312" t="str">
        <f t="shared" ca="1" si="6591"/>
        <v/>
      </c>
      <c r="CH154" s="215"/>
      <c r="CI154" s="381">
        <f ca="1">CF154*$X154</f>
        <v>0</v>
      </c>
      <c r="CJ154" s="381">
        <f ca="1">CI154*$Z154</f>
        <v>0</v>
      </c>
      <c r="CK154" s="382">
        <f ca="1">IFERROR(CJ154/CF$4,0)</f>
        <v>0</v>
      </c>
      <c r="CL154" s="202">
        <f ca="1">CM154/$X154</f>
        <v>0</v>
      </c>
      <c r="CM154" s="383">
        <f ca="1">CN154/$Z154</f>
        <v>0</v>
      </c>
      <c r="CN154" s="383">
        <f ca="1">CO154*CF$4</f>
        <v>0</v>
      </c>
      <c r="CO154" s="204">
        <f ca="1">IF(CF$6&lt;&gt;"",$O154,$N154)-CK154</f>
        <v>0</v>
      </c>
      <c r="CP154" s="205"/>
      <c r="CQ154" s="384">
        <f ca="1">CP154*$X154</f>
        <v>0</v>
      </c>
      <c r="CR154" s="384">
        <f ca="1">CQ154*$Z154</f>
        <v>0</v>
      </c>
      <c r="CS154" s="207">
        <f ca="1">IFERROR(CR154/CF$4,0)</f>
        <v>0</v>
      </c>
      <c r="CT154" s="374">
        <f>CF154+CP154</f>
        <v>0</v>
      </c>
      <c r="CU154" s="374">
        <f t="shared" ca="1" si="5334"/>
        <v>0</v>
      </c>
      <c r="CV154" s="374">
        <f ca="1">CU154*$Z154</f>
        <v>0</v>
      </c>
      <c r="CW154" s="394">
        <f ca="1">IFERROR(CV154/CF$4,0)</f>
        <v>0</v>
      </c>
      <c r="CX154" s="211" t="str">
        <f t="shared" ca="1" si="5130"/>
        <v/>
      </c>
      <c r="CY154" s="197"/>
      <c r="CZ154" s="312" t="str">
        <f t="shared" ca="1" si="6592"/>
        <v/>
      </c>
      <c r="DA154" s="395"/>
      <c r="DB154" s="381">
        <f ca="1">CY154*$X154</f>
        <v>0</v>
      </c>
      <c r="DC154" s="381">
        <f ca="1">DB154*$Z154</f>
        <v>0</v>
      </c>
      <c r="DD154" s="382">
        <f t="shared" ca="1" si="4717"/>
        <v>0</v>
      </c>
      <c r="DE154" s="202">
        <f ca="1">DF154/$X154</f>
        <v>0</v>
      </c>
      <c r="DF154" s="383">
        <f ca="1">DG154/$Z154</f>
        <v>0</v>
      </c>
      <c r="DG154" s="383">
        <f ca="1">DH154*CY$4</f>
        <v>0</v>
      </c>
      <c r="DH154" s="204">
        <f ca="1">IF(CY$6&lt;&gt;"",$O154,$N154)-DD154</f>
        <v>0</v>
      </c>
      <c r="DI154" s="205"/>
      <c r="DJ154" s="384">
        <f ca="1">DI154*$X154</f>
        <v>0</v>
      </c>
      <c r="DK154" s="384">
        <f ca="1">DJ154*$Z154</f>
        <v>0</v>
      </c>
      <c r="DL154" s="207">
        <f t="shared" ca="1" si="4718"/>
        <v>0</v>
      </c>
      <c r="DM154" s="374">
        <f>CY154+DI154</f>
        <v>0</v>
      </c>
      <c r="DN154" s="374">
        <f t="shared" ca="1" si="5338"/>
        <v>0</v>
      </c>
      <c r="DO154" s="374">
        <f ca="1">DN154*$Z154</f>
        <v>0</v>
      </c>
      <c r="DP154" s="394">
        <f ca="1">IFERROR(DO154/CY$4,0)</f>
        <v>0</v>
      </c>
      <c r="DQ154" s="209" t="str">
        <f t="shared" ca="1" si="5140"/>
        <v/>
      </c>
      <c r="DR154" s="197"/>
      <c r="DS154" s="312" t="str">
        <f t="shared" ca="1" si="6593"/>
        <v/>
      </c>
      <c r="DT154" s="395"/>
      <c r="DU154" s="381">
        <f ca="1">DR154*$X154</f>
        <v>0</v>
      </c>
      <c r="DV154" s="381">
        <f ca="1">DU154*$Z154</f>
        <v>0</v>
      </c>
      <c r="DW154" s="382">
        <f t="shared" ca="1" si="5343"/>
        <v>0</v>
      </c>
      <c r="DX154" s="202">
        <f ca="1">DY154/$X154</f>
        <v>0</v>
      </c>
      <c r="DY154" s="383">
        <f ca="1">DZ154/$Z154</f>
        <v>0</v>
      </c>
      <c r="DZ154" s="383">
        <f ca="1">EA154*DR$4</f>
        <v>0</v>
      </c>
      <c r="EA154" s="204">
        <f ca="1">IF(DR$6&lt;&gt;"",$O154,$N154)-DW154</f>
        <v>0</v>
      </c>
      <c r="EB154" s="205"/>
      <c r="EC154" s="384">
        <f ca="1">EB154*$X154</f>
        <v>0</v>
      </c>
      <c r="ED154" s="384">
        <f ca="1">EC154*$Z154</f>
        <v>0</v>
      </c>
      <c r="EE154" s="207">
        <f t="shared" ca="1" si="5349"/>
        <v>0</v>
      </c>
      <c r="EF154" s="374">
        <f>DR154+EB154</f>
        <v>0</v>
      </c>
      <c r="EG154" s="374">
        <f t="shared" ca="1" si="6594"/>
        <v>0</v>
      </c>
      <c r="EH154" s="374">
        <f ca="1">EG154*$Z154</f>
        <v>0</v>
      </c>
      <c r="EI154" s="394">
        <f ca="1">IFERROR(EH154/DR$4,0)</f>
        <v>0</v>
      </c>
      <c r="EJ154" s="214"/>
      <c r="EK154" s="312" t="str">
        <f t="shared" ca="1" si="6595"/>
        <v/>
      </c>
      <c r="EL154" s="222"/>
      <c r="EM154" s="381">
        <f ca="1">EJ154*$X154</f>
        <v>0</v>
      </c>
      <c r="EN154" s="381">
        <f ca="1">EM154*$Z154</f>
        <v>0</v>
      </c>
      <c r="EO154" s="382">
        <f ca="1">IFERROR(EN154/EJ$4,0)</f>
        <v>0</v>
      </c>
      <c r="EP154" s="202">
        <f ca="1">EQ154/$X154</f>
        <v>0</v>
      </c>
      <c r="EQ154" s="383">
        <f ca="1">ER154/$Z154</f>
        <v>0</v>
      </c>
      <c r="ER154" s="383">
        <f ca="1">ES154*EJ$4</f>
        <v>0</v>
      </c>
      <c r="ES154" s="204">
        <f ca="1">IF(EJ$6&lt;&gt;"",$O154,$N154)-EO154</f>
        <v>0</v>
      </c>
      <c r="ET154" s="205"/>
      <c r="EU154" s="384">
        <f ca="1">ET154*$X154</f>
        <v>0</v>
      </c>
      <c r="EV154" s="384">
        <f ca="1">EU154*$Z154</f>
        <v>0</v>
      </c>
      <c r="EW154" s="207">
        <f ca="1">IFERROR(EV154/EJ$4,0)</f>
        <v>0</v>
      </c>
      <c r="EX154" s="374">
        <f t="shared" si="6407"/>
        <v>0</v>
      </c>
      <c r="EY154" s="374">
        <f t="shared" ca="1" si="5364"/>
        <v>0</v>
      </c>
      <c r="EZ154" s="374">
        <f ca="1">EY154*$Z154</f>
        <v>0</v>
      </c>
      <c r="FA154" s="394">
        <f ca="1">IFERROR(EZ154/EJ$4,0)</f>
        <v>0</v>
      </c>
      <c r="FB154" s="212" t="str">
        <f t="shared" ca="1" si="5151"/>
        <v/>
      </c>
      <c r="FC154" s="214"/>
      <c r="FD154" s="312" t="str">
        <f t="shared" ca="1" si="6596"/>
        <v/>
      </c>
      <c r="FE154" s="215"/>
      <c r="FF154" s="381">
        <f ca="1">FC154*$X154</f>
        <v>0</v>
      </c>
      <c r="FG154" s="381">
        <f ca="1">FF154*$Z154</f>
        <v>0</v>
      </c>
      <c r="FH154" s="382">
        <f ca="1">IFERROR(FG154/FC$4,0)</f>
        <v>0</v>
      </c>
      <c r="FI154" s="202">
        <f ca="1">FJ154/$X154</f>
        <v>0</v>
      </c>
      <c r="FJ154" s="383">
        <f ca="1">FK154/$Z154</f>
        <v>0</v>
      </c>
      <c r="FK154" s="383">
        <f ca="1">FL154*FC$4</f>
        <v>0</v>
      </c>
      <c r="FL154" s="204">
        <f ca="1">IF(FC$6&lt;&gt;"",$O154,$N154)-FH154</f>
        <v>0</v>
      </c>
      <c r="FM154" s="205"/>
      <c r="FN154" s="384">
        <f ca="1">FM154*$X154</f>
        <v>0</v>
      </c>
      <c r="FO154" s="384">
        <f ca="1">FN154*$Z154</f>
        <v>0</v>
      </c>
      <c r="FP154" s="207">
        <f ca="1">IFERROR(FO154/FC$4,0)</f>
        <v>0</v>
      </c>
      <c r="FQ154" s="374">
        <f>FC154+FM154</f>
        <v>0</v>
      </c>
      <c r="FR154" s="374">
        <f t="shared" ca="1" si="5378"/>
        <v>0</v>
      </c>
      <c r="FS154" s="374">
        <f ca="1">FR154*$Z154</f>
        <v>0</v>
      </c>
      <c r="FT154" s="394">
        <f ca="1">IFERROR(FS154/FC$4,0)</f>
        <v>0</v>
      </c>
      <c r="FU154" s="209" t="str">
        <f t="shared" ca="1" si="5162"/>
        <v/>
      </c>
    </row>
    <row r="155" spans="1:177" outlineLevel="1" x14ac:dyDescent="0.2">
      <c r="A155" s="345"/>
      <c r="B155" s="345" t="s">
        <v>491</v>
      </c>
      <c r="C155" s="346"/>
      <c r="D155" s="347"/>
      <c r="E155" s="348"/>
      <c r="F155" s="346"/>
      <c r="G155" s="349"/>
      <c r="H155" s="1682"/>
      <c r="I155" s="1682"/>
      <c r="J155" s="1712"/>
      <c r="K155" s="1682"/>
      <c r="L155" s="1682"/>
      <c r="M155" s="345"/>
      <c r="N155" s="350">
        <f>SUM(N156:N159)</f>
        <v>0.02</v>
      </c>
      <c r="O155" s="350">
        <f>SUM(O156:O159)</f>
        <v>0</v>
      </c>
      <c r="P155" s="351">
        <f t="shared" ca="1" si="6318"/>
        <v>2.0043274827635474E-2</v>
      </c>
      <c r="Q155" s="421"/>
      <c r="R155" s="421"/>
      <c r="S155" s="346"/>
      <c r="T155" s="421"/>
      <c r="U155" s="353"/>
      <c r="V155" s="422"/>
      <c r="W155" s="346"/>
      <c r="X155" s="355"/>
      <c r="Y155" s="355"/>
      <c r="Z155" s="356"/>
      <c r="AA155" s="357"/>
      <c r="AB155" s="358"/>
      <c r="AC155" s="358"/>
      <c r="AD155" s="359"/>
      <c r="AE155" s="360">
        <f ca="1">SUM(AE$156:AE$159)</f>
        <v>11295.69</v>
      </c>
      <c r="AF155" s="361">
        <f t="shared" ref="AF155" ca="1" si="6597">IFERROR(AE155/AA$4,0)</f>
        <v>2.0117132944555579E-2</v>
      </c>
      <c r="AG155" s="362"/>
      <c r="AH155" s="359"/>
      <c r="AI155" s="360">
        <f ca="1">SUM(AI$156:AI$159)</f>
        <v>-65.769681700347917</v>
      </c>
      <c r="AJ155" s="363">
        <f ca="1">IFERROR(AI155/AA$4,0)</f>
        <v>-1.1713294455557856E-4</v>
      </c>
      <c r="AK155" s="362"/>
      <c r="AL155" s="359"/>
      <c r="AM155" s="360">
        <f ca="1">SUM(AM$156:AM$159)</f>
        <v>0</v>
      </c>
      <c r="AN155" s="363">
        <f t="shared" ref="AN155" ca="1" si="6598">IFERROR(AM155/AA$4,0)</f>
        <v>0</v>
      </c>
      <c r="AO155" s="359"/>
      <c r="AP155" s="359"/>
      <c r="AQ155" s="360">
        <f ca="1">SUM(AQ$156:AQ$159)</f>
        <v>11295.69</v>
      </c>
      <c r="AR155" s="361">
        <f t="shared" ref="AR155" ca="1" si="6599">IFERROR(AQ155/AA$4,0)</f>
        <v>2.0117132944555579E-2</v>
      </c>
      <c r="AS155" s="364" t="str">
        <f t="shared" ca="1" si="5098"/>
        <v>V</v>
      </c>
      <c r="AT155" s="357"/>
      <c r="AU155" s="358"/>
      <c r="AV155" s="358"/>
      <c r="AW155" s="359"/>
      <c r="AX155" s="360">
        <f ca="1">SUM(AX$156:AX$159)</f>
        <v>35299.03125</v>
      </c>
      <c r="AY155" s="361">
        <f t="shared" ref="AY155" ca="1" si="6600">IFERROR(AX155/AT$4,0)</f>
        <v>2.0382362016488711E-2</v>
      </c>
      <c r="AZ155" s="362"/>
      <c r="BA155" s="359"/>
      <c r="BB155" s="360">
        <f ca="1">SUM(BB$156:BB$159)</f>
        <v>-662.19061156549628</v>
      </c>
      <c r="BC155" s="363">
        <f ca="1">IFERROR(BB155/AT$4,0)</f>
        <v>-3.8236201648871038E-4</v>
      </c>
      <c r="BD155" s="362"/>
      <c r="BE155" s="359"/>
      <c r="BF155" s="360">
        <f ca="1">SUM(BF$156:BF$159)</f>
        <v>0</v>
      </c>
      <c r="BG155" s="363">
        <f t="shared" ref="BG155" ca="1" si="6601">IFERROR(BF155/AT$4,0)</f>
        <v>0</v>
      </c>
      <c r="BH155" s="359"/>
      <c r="BI155" s="359"/>
      <c r="BJ155" s="360">
        <f ca="1">SUM(BJ$156:BJ$159)</f>
        <v>35299.03125</v>
      </c>
      <c r="BK155" s="361">
        <f t="shared" ref="BK155" ca="1" si="6602">IFERROR(BJ155/AT$4,0)</f>
        <v>2.0382362016488711E-2</v>
      </c>
      <c r="BL155" s="295" t="str">
        <f t="shared" ca="1" si="5109"/>
        <v>V</v>
      </c>
      <c r="BM155" s="357"/>
      <c r="BN155" s="358"/>
      <c r="BO155" s="358"/>
      <c r="BP155" s="359"/>
      <c r="BQ155" s="360">
        <f ca="1">SUM(BQ$156:BQ$159)</f>
        <v>5083.0604999999996</v>
      </c>
      <c r="BR155" s="361">
        <f t="shared" ref="BR155" ca="1" si="6603">IFERROR(BQ155/BM$4,0)</f>
        <v>1.7837037202753727E-2</v>
      </c>
      <c r="BS155" s="362"/>
      <c r="BT155" s="359"/>
      <c r="BU155" s="360">
        <f ca="1">SUM(BU$156:BU$159)</f>
        <v>616.38435983946295</v>
      </c>
      <c r="BV155" s="363">
        <f ca="1">IFERROR(BU155/BM$4,0)</f>
        <v>2.1629627972462734E-3</v>
      </c>
      <c r="BW155" s="362"/>
      <c r="BX155" s="359"/>
      <c r="BY155" s="360">
        <f ca="1">SUM(BY$156:BY$159)</f>
        <v>0</v>
      </c>
      <c r="BZ155" s="363">
        <f t="shared" ref="BZ155" ca="1" si="6604">IFERROR(BY155/BM$4,0)</f>
        <v>0</v>
      </c>
      <c r="CA155" s="359"/>
      <c r="CB155" s="359"/>
      <c r="CC155" s="360">
        <f ca="1">SUM(CC$156:CC$159)</f>
        <v>5083.0604999999996</v>
      </c>
      <c r="CD155" s="361">
        <f t="shared" ref="CD155" ca="1" si="6605">IFERROR(CC155/BM$4,0)</f>
        <v>1.7837037202753727E-2</v>
      </c>
      <c r="CE155" s="295" t="str">
        <f t="shared" ca="1" si="5120"/>
        <v>V</v>
      </c>
      <c r="CF155" s="357"/>
      <c r="CG155" s="358"/>
      <c r="CH155" s="358"/>
      <c r="CI155" s="359"/>
      <c r="CJ155" s="360">
        <f ca="1">SUM(CJ$156:CJ$159)</f>
        <v>18073.103999999999</v>
      </c>
      <c r="CK155" s="361">
        <f t="shared" ref="CK155:CK193" ca="1" si="6606">IFERROR(CJ155/CF$4,0)</f>
        <v>2.0422519385764434E-2</v>
      </c>
      <c r="CL155" s="362"/>
      <c r="CM155" s="359"/>
      <c r="CN155" s="360">
        <f ca="1">SUM(CN$156:CN$159)</f>
        <v>-373.91257448185314</v>
      </c>
      <c r="CO155" s="363">
        <f ca="1">IFERROR(CN155/CF$4,0)</f>
        <v>-4.2251938576443396E-4</v>
      </c>
      <c r="CP155" s="362"/>
      <c r="CQ155" s="359"/>
      <c r="CR155" s="360">
        <f ca="1">SUM(CR$156:CR$159)</f>
        <v>0</v>
      </c>
      <c r="CS155" s="363">
        <f t="shared" ref="CS155:CS193" ca="1" si="6607">IFERROR(CR155/CF$4,0)</f>
        <v>0</v>
      </c>
      <c r="CT155" s="359"/>
      <c r="CU155" s="359"/>
      <c r="CV155" s="360">
        <f ca="1">SUM(CV$156:CV$159)</f>
        <v>18073.103999999999</v>
      </c>
      <c r="CW155" s="361">
        <f t="shared" ref="CW155:CW193" ca="1" si="6608">IFERROR(CV155/CF$4,0)</f>
        <v>2.0422519385764434E-2</v>
      </c>
      <c r="CX155" s="295" t="str">
        <f t="shared" ca="1" si="5130"/>
        <v>V</v>
      </c>
      <c r="CY155" s="357"/>
      <c r="CZ155" s="358"/>
      <c r="DA155" s="359"/>
      <c r="DB155" s="360"/>
      <c r="DC155" s="360">
        <f ca="1">SUM(DC$156:DC$159)</f>
        <v>73421.985000000001</v>
      </c>
      <c r="DD155" s="361">
        <f t="shared" ca="1" si="4717"/>
        <v>2.047793654807847E-2</v>
      </c>
      <c r="DE155" s="362"/>
      <c r="DF155" s="359"/>
      <c r="DG155" s="360">
        <f ca="1">SUM(DG$156:DG$159)</f>
        <v>-1713.6028320813371</v>
      </c>
      <c r="DH155" s="363">
        <f ca="1">IFERROR(DG155/CY$4,0)</f>
        <v>-4.7793654807846975E-4</v>
      </c>
      <c r="DI155" s="362"/>
      <c r="DJ155" s="359"/>
      <c r="DK155" s="360">
        <f ca="1">SUM(DK$156:DK$159)</f>
        <v>0</v>
      </c>
      <c r="DL155" s="363">
        <f t="shared" ca="1" si="4718"/>
        <v>0</v>
      </c>
      <c r="DM155" s="359"/>
      <c r="DN155" s="359"/>
      <c r="DO155" s="360">
        <f ca="1">SUM(DO$156:DO$159)</f>
        <v>73421.985000000001</v>
      </c>
      <c r="DP155" s="361">
        <f t="shared" ref="DP155:DP193" ca="1" si="6609">IFERROR(DO155/CY$4,0)</f>
        <v>2.047793654807847E-2</v>
      </c>
      <c r="DQ155" s="364" t="str">
        <f t="shared" ca="1" si="5140"/>
        <v>V</v>
      </c>
      <c r="DR155" s="357"/>
      <c r="DS155" s="358"/>
      <c r="DT155" s="359"/>
      <c r="DU155" s="360"/>
      <c r="DV155" s="360">
        <f ca="1">SUM(DV$156:DV$159)</f>
        <v>14684.397000000001</v>
      </c>
      <c r="DW155" s="361">
        <f t="shared" ca="1" si="5343"/>
        <v>2.0925103707729584E-2</v>
      </c>
      <c r="DX155" s="362"/>
      <c r="DY155" s="359"/>
      <c r="DZ155" s="360">
        <f ca="1">SUM(DZ$156:DZ$159)</f>
        <v>-649.20061091286823</v>
      </c>
      <c r="EA155" s="363">
        <f ca="1">IFERROR(DZ155/DR$4,0)</f>
        <v>-9.2510370772958331E-4</v>
      </c>
      <c r="EB155" s="362"/>
      <c r="EC155" s="359"/>
      <c r="ED155" s="360">
        <f ca="1">SUM(ED$156:ED$159)</f>
        <v>0</v>
      </c>
      <c r="EE155" s="363">
        <f t="shared" ca="1" si="5349"/>
        <v>0</v>
      </c>
      <c r="EF155" s="359"/>
      <c r="EG155" s="359"/>
      <c r="EH155" s="360">
        <f ca="1">SUM(EH$156:EH$159)</f>
        <v>14684.397000000001</v>
      </c>
      <c r="EI155" s="361">
        <f t="shared" ref="EI155:EI200" ca="1" si="6610">IFERROR(EH155/DR$4,0)</f>
        <v>2.0925103707729584E-2</v>
      </c>
      <c r="EJ155" s="357"/>
      <c r="EK155" s="358"/>
      <c r="EL155" s="365"/>
      <c r="EM155" s="359"/>
      <c r="EN155" s="360">
        <f ca="1">SUM(EN$156:EN$159)</f>
        <v>56131.150687499998</v>
      </c>
      <c r="EO155" s="361">
        <f t="shared" ref="EO155" ca="1" si="6611">IFERROR(EN155/EJ$4,0)</f>
        <v>7.9086005429015921E-2</v>
      </c>
      <c r="EP155" s="362"/>
      <c r="EQ155" s="359"/>
      <c r="ER155" s="360">
        <f ca="1">SUM(ER$156:ER$159)</f>
        <v>-41936.18651324269</v>
      </c>
      <c r="ES155" s="363">
        <f ca="1">IFERROR(ER155/EJ$4,0)</f>
        <v>-5.9086005429015924E-2</v>
      </c>
      <c r="ET155" s="362"/>
      <c r="EU155" s="359"/>
      <c r="EV155" s="360">
        <f ca="1">SUM(EV$156:EV$159)</f>
        <v>0</v>
      </c>
      <c r="EW155" s="363">
        <f t="shared" ref="EW155" ca="1" si="6612">IFERROR(EV155/EJ$4,0)</f>
        <v>0</v>
      </c>
      <c r="EX155" s="359"/>
      <c r="EY155" s="359"/>
      <c r="EZ155" s="360">
        <f ca="1">SUM(EZ$156:EZ$159)</f>
        <v>56131.150687499998</v>
      </c>
      <c r="FA155" s="361">
        <f t="shared" ref="FA155" ca="1" si="6613">IFERROR(EZ155/EJ$4,0)</f>
        <v>7.9086005429015921E-2</v>
      </c>
      <c r="FB155" s="295" t="str">
        <f t="shared" ca="1" si="5151"/>
        <v>V</v>
      </c>
      <c r="FC155" s="357"/>
      <c r="FD155" s="358"/>
      <c r="FE155" s="358"/>
      <c r="FF155" s="359"/>
      <c r="FG155" s="360">
        <f ca="1">SUM(FG$156:FG$159)</f>
        <v>0</v>
      </c>
      <c r="FH155" s="361">
        <f t="shared" ref="FH155" ca="1" si="6614">IFERROR(FG155/FC$4,0)</f>
        <v>0</v>
      </c>
      <c r="FI155" s="362"/>
      <c r="FJ155" s="359"/>
      <c r="FK155" s="360">
        <f ca="1">SUM(FK$156:FK$159)</f>
        <v>91152.546792420617</v>
      </c>
      <c r="FL155" s="363">
        <f ca="1">IFERROR(FK155/FC$4,0)</f>
        <v>0.02</v>
      </c>
      <c r="FM155" s="362"/>
      <c r="FN155" s="359"/>
      <c r="FO155" s="360">
        <f ca="1">SUM(FO$156:FO$159)</f>
        <v>0</v>
      </c>
      <c r="FP155" s="363">
        <f t="shared" ref="FP155" ca="1" si="6615">IFERROR(FO155/FC$4,0)</f>
        <v>0</v>
      </c>
      <c r="FQ155" s="359"/>
      <c r="FR155" s="359"/>
      <c r="FS155" s="360">
        <f ca="1">SUM(FS$156:FS$159)</f>
        <v>0</v>
      </c>
      <c r="FT155" s="361">
        <f t="shared" ref="FT155" ca="1" si="6616">IFERROR(FS155/FC$4,0)</f>
        <v>0</v>
      </c>
      <c r="FU155" s="364" t="str">
        <f t="shared" ca="1" si="5162"/>
        <v/>
      </c>
    </row>
    <row r="156" spans="1:177" outlineLevel="2" x14ac:dyDescent="0.2">
      <c r="A156" s="366"/>
      <c r="B156" s="366"/>
      <c r="C156" s="367" t="str">
        <f t="shared" ref="C156:E159" ca="1" si="6617">OFFSET(Origine,MATCH($F156,Descrizioni,0),MATCH(C$15,Intestazioni,0)-1,1,1)</f>
        <v>LU0171305526:EUR:P</v>
      </c>
      <c r="D156" s="368" t="str">
        <f t="shared" ca="1" si="6617"/>
        <v>LU0171305526</v>
      </c>
      <c r="E156" s="369" t="str">
        <f t="shared" ca="1" si="6617"/>
        <v>1781011</v>
      </c>
      <c r="F156" s="424" t="s">
        <v>492</v>
      </c>
      <c r="G156" s="425"/>
      <c r="H156" s="1713" t="str">
        <f ca="1">IF(OFFSET(Origine,MATCH($F156,Descrizioni,0),MATCH(H$15,Intestazioni,0)-1,1,1)&lt;&gt;"",HYPERLINK(OFFSET(Origine,MATCH($F156,Descrizioni,0),MATCH(H$15,Intestazioni,0)-1,1,1),""),"")</f>
        <v></v>
      </c>
      <c r="I156" s="1683" t="str">
        <f t="shared" ref="I156:I159" ca="1" si="6618">IF(OFFSET(Origine,MATCH($F156,Descrizioni,0),MATCH(I$15,Intestazioni,0)-1,1,1)&lt;&gt;"",HYPERLINK(OFFSET(Origine,MATCH($F156,Descrizioni,0),MATCH(I$15,Intestazioni,0)-1,1,1),"i"),"")</f>
        <v>i</v>
      </c>
      <c r="J156" s="1713" t="str">
        <f t="shared" ref="J156:K159" ca="1" si="6619">IF(OFFSET(Origine,MATCH($F156,Descrizioni,0),MATCH(J$15,Intestazioni,0)-1,1,1)&lt;&gt;"",HYPERLINK(OFFSET(Origine,MATCH($F156,Descrizioni,0),MATCH(J$15,Intestazioni,0)-1,1,1),""),"")</f>
        <v></v>
      </c>
      <c r="K156" s="1716" t="str">
        <f t="shared" ca="1" si="6619"/>
        <v></v>
      </c>
      <c r="L156" s="1717" t="str">
        <f t="shared" ref="L156:L159" ca="1" si="6620">IF(OFFSET(Origine,MATCH($F156,Descrizioni,0),MATCH(L$15,Intestazioni,0)-1,1,1)&lt;&gt;"",HYPERLINK("https://www.zonebourse.com/mods_a/charts/TV/inc_dyna_graph.php?c="&amp;OFFSET(Origine,MATCH($F156,Descrizioni,0),MATCH(L$15,Intestazioni,0)-1,1,1)&amp;"&amp;style=TradingView.CANDLES&amp;showAT=1",""),"")</f>
        <v></v>
      </c>
      <c r="M156" s="366" t="str">
        <f t="shared" ref="M156:M159" ca="1" si="6621">(OFFSET(Origine,MATCH($F156,Descrizioni,0),MATCH(M$15,Intestazioni,0)-1,1,1))</f>
        <v>Unit</v>
      </c>
      <c r="N156" s="417"/>
      <c r="O156" s="417"/>
      <c r="P156" s="418">
        <f t="shared" ca="1" si="6318"/>
        <v>0</v>
      </c>
      <c r="Q156" s="391">
        <f t="array" aca="1" ref="Q156" ca="1">SUM(IF($AA$15:$FT$15="I_pos",AA156:FT156))</f>
        <v>400</v>
      </c>
      <c r="R156" s="391">
        <f t="array" aca="1" ref="R156" ca="1">SUM(IF($AA$15:$FT$15="P_Pos",AA156:FT156))</f>
        <v>-400</v>
      </c>
      <c r="S156" s="367"/>
      <c r="T156" s="391"/>
      <c r="U156" s="375">
        <f ca="1">OFFSET(Origine,MATCH($F156,Descrizioni,0),MATCH(U$15,Intestazioni,0)-1,1,1)</f>
        <v>-6.1888870947485602E-2</v>
      </c>
      <c r="V156" s="391">
        <f t="array" aca="1" ref="V156" ca="1">SUM(IF($AA$15:$FT$15="O_Pos",AA156:FT156))</f>
        <v>0</v>
      </c>
      <c r="W156" s="367" t="str">
        <f t="shared" ref="W156:W159" ca="1" si="6622">OFFSET(Origine,MATCH($F156,Descrizioni,0),MATCH(W$15,Intestazioni,0)-1,1,1)</f>
        <v>EUR</v>
      </c>
      <c r="X156" s="392">
        <f t="shared" ref="X156:X159" ca="1" si="6623">_xlfn.NUMBERVALUE(OFFSET(Origine,MATCH($F156,Descrizioni,0),MATCH(X$15,Intestazioni,0)-1,1,1))</f>
        <v>104.575</v>
      </c>
      <c r="Y156" s="393">
        <f t="shared" ref="Y156:Y159" ca="1" si="6624">_xlfn.NUMBERVALUE(OFFSET(Origine,MATCH($F156,Descrizioni,0),MATCH(Y$15,Intestazioni,0)-1,1,1))</f>
        <v>0</v>
      </c>
      <c r="Z156" s="378">
        <f t="shared" ref="Z156:Z159" ca="1" si="6625">_xlfn.NUMBERVALUE(OFFSET(Origine,MATCH(W156&amp;"/"&amp;MRif,LUKB_Name,0),MATCH("Price",Intestazioni,0)-1,1,1))</f>
        <v>0.90754999999999997</v>
      </c>
      <c r="AA156" s="214"/>
      <c r="AB156" s="312" t="str">
        <f t="shared" ref="AB156:AB159" ca="1" si="6626">IFERROR($X156/AC156-1,"")</f>
        <v/>
      </c>
      <c r="AC156" s="215"/>
      <c r="AD156" s="199">
        <f t="shared" ref="AD156:AD159" ca="1" si="6627">AA156*$X156</f>
        <v>0</v>
      </c>
      <c r="AE156" s="199">
        <f t="shared" ref="AE156:AE159" ca="1" si="6628">AD156*$Z156</f>
        <v>0</v>
      </c>
      <c r="AF156" s="216">
        <f ca="1">IFERROR(AE156/AA$4,0)</f>
        <v>0</v>
      </c>
      <c r="AG156" s="202">
        <f t="shared" ref="AG156:AG159" ca="1" si="6629">AH156/$X156</f>
        <v>0</v>
      </c>
      <c r="AH156" s="203">
        <f t="shared" ref="AH156:AH159" ca="1" si="6630">AI156/$Z156</f>
        <v>0</v>
      </c>
      <c r="AI156" s="203">
        <f t="shared" ref="AI156:AI159" ca="1" si="6631">AJ156*AA$4</f>
        <v>0</v>
      </c>
      <c r="AJ156" s="204">
        <f t="shared" ref="AJ156:AJ159" ca="1" si="6632">IF(AA$6&lt;&gt;"",$O156,$N156)-AF156</f>
        <v>0</v>
      </c>
      <c r="AK156" s="205"/>
      <c r="AL156" s="206">
        <f t="shared" ref="AL156:AL159" ca="1" si="6633">AK156*$X156</f>
        <v>0</v>
      </c>
      <c r="AM156" s="206">
        <f t="shared" ref="AM156:AM159" ca="1" si="6634">AL156*$Z156</f>
        <v>0</v>
      </c>
      <c r="AN156" s="207">
        <f ca="1">IFERROR(AM156/AA$4,0)</f>
        <v>0</v>
      </c>
      <c r="AO156" s="391">
        <f>AA156+AK156</f>
        <v>0</v>
      </c>
      <c r="AP156" s="391">
        <f t="shared" ca="1" si="5295"/>
        <v>0</v>
      </c>
      <c r="AQ156" s="391">
        <f t="shared" ref="AQ156:AQ159" ca="1" si="6635">AP156*$Z156</f>
        <v>0</v>
      </c>
      <c r="AR156" s="394">
        <f ca="1">IFERROR(AQ156/AA$4,0)</f>
        <v>0</v>
      </c>
      <c r="AS156" s="209" t="str">
        <f t="shared" ca="1" si="5098"/>
        <v/>
      </c>
      <c r="AT156" s="214"/>
      <c r="AU156" s="312" t="str">
        <f t="shared" ref="AU156:AU159" ca="1" si="6636">IFERROR($X156/AV156-1,"")</f>
        <v/>
      </c>
      <c r="AV156" s="215"/>
      <c r="AW156" s="199">
        <f t="shared" ref="AW156:AW159" ca="1" si="6637">AT156*$X156</f>
        <v>0</v>
      </c>
      <c r="AX156" s="199">
        <f t="shared" ref="AX156:AX159" ca="1" si="6638">AW156*$Z156</f>
        <v>0</v>
      </c>
      <c r="AY156" s="216">
        <f ca="1">IFERROR(AX156/AT$4,0)</f>
        <v>0</v>
      </c>
      <c r="AZ156" s="202">
        <f t="shared" ref="AZ156:AZ159" ca="1" si="6639">BA156/$X156</f>
        <v>0</v>
      </c>
      <c r="BA156" s="203">
        <f t="shared" ref="BA156:BA159" ca="1" si="6640">BB156/$Z156</f>
        <v>0</v>
      </c>
      <c r="BB156" s="203">
        <f t="shared" ref="BB156:BB159" ca="1" si="6641">BC156*AT$4</f>
        <v>0</v>
      </c>
      <c r="BC156" s="204">
        <f t="shared" ref="BC156:BC159" ca="1" si="6642">IF(AT$6&lt;&gt;"",$O156,$N156)-AY156</f>
        <v>0</v>
      </c>
      <c r="BD156" s="205"/>
      <c r="BE156" s="206">
        <f t="shared" ref="BE156:BE159" ca="1" si="6643">BD156*$X156</f>
        <v>0</v>
      </c>
      <c r="BF156" s="206">
        <f t="shared" ref="BF156:BF159" ca="1" si="6644">BE156*$Z156</f>
        <v>0</v>
      </c>
      <c r="BG156" s="207">
        <f ca="1">IFERROR(BF156/AT$4,0)</f>
        <v>0</v>
      </c>
      <c r="BH156" s="391">
        <f>AT156+BD156</f>
        <v>0</v>
      </c>
      <c r="BI156" s="391">
        <f t="shared" ca="1" si="5308"/>
        <v>0</v>
      </c>
      <c r="BJ156" s="391">
        <f t="shared" ref="BJ156:BJ159" ca="1" si="6645">BI156*$Z156</f>
        <v>0</v>
      </c>
      <c r="BK156" s="394">
        <f ca="1">IFERROR(BJ156/AT$4,0)</f>
        <v>0</v>
      </c>
      <c r="BL156" s="211" t="str">
        <f t="shared" ca="1" si="5109"/>
        <v/>
      </c>
      <c r="BM156" s="214"/>
      <c r="BN156" s="312" t="str">
        <f t="shared" ref="BN156:BN159" ca="1" si="6646">IFERROR($X156/BO156-1,"")</f>
        <v/>
      </c>
      <c r="BO156" s="215"/>
      <c r="BP156" s="199">
        <f t="shared" ref="BP156:BP159" ca="1" si="6647">BM156*$X156</f>
        <v>0</v>
      </c>
      <c r="BQ156" s="199">
        <f t="shared" ref="BQ156:BQ159" ca="1" si="6648">BP156*$Z156</f>
        <v>0</v>
      </c>
      <c r="BR156" s="216">
        <f ca="1">IFERROR(BQ156/BM$4,0)</f>
        <v>0</v>
      </c>
      <c r="BS156" s="202">
        <f t="shared" ref="BS156:BS159" ca="1" si="6649">BT156/$X156</f>
        <v>0</v>
      </c>
      <c r="BT156" s="203">
        <f t="shared" ref="BT156:BT159" ca="1" si="6650">BU156/$Z156</f>
        <v>0</v>
      </c>
      <c r="BU156" s="203">
        <f t="shared" ref="BU156:BU159" ca="1" si="6651">BV156*BM$4</f>
        <v>0</v>
      </c>
      <c r="BV156" s="204">
        <f t="shared" ref="BV156:BV159" ca="1" si="6652">IF(BM$6&lt;&gt;"",$O156,$N156)-BR156</f>
        <v>0</v>
      </c>
      <c r="BW156" s="205"/>
      <c r="BX156" s="206">
        <f t="shared" ref="BX156:BX159" ca="1" si="6653">BW156*$X156</f>
        <v>0</v>
      </c>
      <c r="BY156" s="206">
        <f t="shared" ref="BY156:BY159" ca="1" si="6654">BX156*$Z156</f>
        <v>0</v>
      </c>
      <c r="BZ156" s="207">
        <f ca="1">IFERROR(BY156/BM$4,0)</f>
        <v>0</v>
      </c>
      <c r="CA156" s="391">
        <f>BM156+BW156</f>
        <v>0</v>
      </c>
      <c r="CB156" s="391">
        <f t="shared" ca="1" si="5321"/>
        <v>0</v>
      </c>
      <c r="CC156" s="391">
        <f t="shared" ref="CC156:CC159" ca="1" si="6655">CB156*$Z156</f>
        <v>0</v>
      </c>
      <c r="CD156" s="394">
        <f ca="1">IFERROR(CC156/BM$4,0)</f>
        <v>0</v>
      </c>
      <c r="CE156" s="212" t="str">
        <f t="shared" ca="1" si="5120"/>
        <v/>
      </c>
      <c r="CF156" s="214"/>
      <c r="CG156" s="312" t="str">
        <f t="shared" ref="CG156:CG159" ca="1" si="6656">IFERROR($X156/CH156-1,"")</f>
        <v/>
      </c>
      <c r="CH156" s="215"/>
      <c r="CI156" s="199">
        <f t="shared" ref="CI156:CI159" ca="1" si="6657">CF156*$X156</f>
        <v>0</v>
      </c>
      <c r="CJ156" s="199">
        <f t="shared" ref="CJ156:CJ159" ca="1" si="6658">CI156*$Z156</f>
        <v>0</v>
      </c>
      <c r="CK156" s="216">
        <f t="shared" ca="1" si="6606"/>
        <v>0</v>
      </c>
      <c r="CL156" s="202">
        <f t="shared" ref="CL156:CL159" ca="1" si="6659">CM156/$X156</f>
        <v>0</v>
      </c>
      <c r="CM156" s="203">
        <f t="shared" ref="CM156:CM159" ca="1" si="6660">CN156/$Z156</f>
        <v>0</v>
      </c>
      <c r="CN156" s="203">
        <f t="shared" ref="CN156:CN159" ca="1" si="6661">CO156*CF$4</f>
        <v>0</v>
      </c>
      <c r="CO156" s="204">
        <f t="shared" ref="CO156:CO159" ca="1" si="6662">IF(CF$6&lt;&gt;"",$O156,$N156)-CK156</f>
        <v>0</v>
      </c>
      <c r="CP156" s="205"/>
      <c r="CQ156" s="206">
        <f t="shared" ref="CQ156:CQ159" ca="1" si="6663">CP156*$X156</f>
        <v>0</v>
      </c>
      <c r="CR156" s="206">
        <f t="shared" ref="CR156:CR159" ca="1" si="6664">CQ156*$Z156</f>
        <v>0</v>
      </c>
      <c r="CS156" s="207">
        <f t="shared" ca="1" si="6607"/>
        <v>0</v>
      </c>
      <c r="CT156" s="391">
        <f>CF156+CP156</f>
        <v>0</v>
      </c>
      <c r="CU156" s="391">
        <f t="shared" ca="1" si="5334"/>
        <v>0</v>
      </c>
      <c r="CV156" s="391">
        <f t="shared" ref="CV156:CV159" ca="1" si="6665">CU156*$Z156</f>
        <v>0</v>
      </c>
      <c r="CW156" s="394">
        <f t="shared" ca="1" si="6608"/>
        <v>0</v>
      </c>
      <c r="CX156" s="211" t="str">
        <f t="shared" ca="1" si="5130"/>
        <v/>
      </c>
      <c r="CY156" s="197"/>
      <c r="CZ156" s="312" t="str">
        <f t="shared" ref="CZ156:CZ159" ca="1" si="6666">IFERROR($X156/DA156-1,"")</f>
        <v/>
      </c>
      <c r="DA156" s="395"/>
      <c r="DB156" s="199">
        <f t="shared" ref="DB156:DB159" ca="1" si="6667">CY156*$X156</f>
        <v>0</v>
      </c>
      <c r="DC156" s="199">
        <f t="shared" ref="DC156:DC159" ca="1" si="6668">DB156*$Z156</f>
        <v>0</v>
      </c>
      <c r="DD156" s="216">
        <f t="shared" ca="1" si="4717"/>
        <v>0</v>
      </c>
      <c r="DE156" s="202">
        <f t="shared" ref="DE156:DE159" ca="1" si="6669">DF156/$X156</f>
        <v>0</v>
      </c>
      <c r="DF156" s="203">
        <f t="shared" ref="DF156:DF159" ca="1" si="6670">DG156/$Z156</f>
        <v>0</v>
      </c>
      <c r="DG156" s="203">
        <f t="shared" ref="DG156:DG159" ca="1" si="6671">DH156*CY$4</f>
        <v>0</v>
      </c>
      <c r="DH156" s="204">
        <f t="shared" ref="DH156:DH159" ca="1" si="6672">IF(CY$6&lt;&gt;"",$O156,$N156)-DD156</f>
        <v>0</v>
      </c>
      <c r="DI156" s="205"/>
      <c r="DJ156" s="206">
        <f t="shared" ref="DJ156:DJ159" ca="1" si="6673">DI156*$X156</f>
        <v>0</v>
      </c>
      <c r="DK156" s="206">
        <f t="shared" ref="DK156:DK159" ca="1" si="6674">DJ156*$Z156</f>
        <v>0</v>
      </c>
      <c r="DL156" s="207">
        <f t="shared" ca="1" si="4718"/>
        <v>0</v>
      </c>
      <c r="DM156" s="391">
        <f>CY156+DI156</f>
        <v>0</v>
      </c>
      <c r="DN156" s="391">
        <f t="shared" ca="1" si="5338"/>
        <v>0</v>
      </c>
      <c r="DO156" s="391">
        <f t="shared" ref="DO156:DO159" ca="1" si="6675">DN156*$Z156</f>
        <v>0</v>
      </c>
      <c r="DP156" s="394">
        <f t="shared" ca="1" si="6609"/>
        <v>0</v>
      </c>
      <c r="DQ156" s="209" t="str">
        <f t="shared" ca="1" si="5140"/>
        <v/>
      </c>
      <c r="DR156" s="197"/>
      <c r="DS156" s="312" t="str">
        <f t="shared" ref="DS156:DS159" ca="1" si="6676">IFERROR($X156/DT156-1,"")</f>
        <v/>
      </c>
      <c r="DT156" s="395"/>
      <c r="DU156" s="199">
        <f t="shared" ref="DU156:DU159" ca="1" si="6677">DR156*$X156</f>
        <v>0</v>
      </c>
      <c r="DV156" s="199">
        <f t="shared" ref="DV156:DV159" ca="1" si="6678">DU156*$Z156</f>
        <v>0</v>
      </c>
      <c r="DW156" s="216">
        <f t="shared" ca="1" si="5343"/>
        <v>0</v>
      </c>
      <c r="DX156" s="202">
        <f t="shared" ref="DX156:DX159" ca="1" si="6679">DY156/$X156</f>
        <v>0</v>
      </c>
      <c r="DY156" s="203">
        <f t="shared" ref="DY156:DY159" ca="1" si="6680">DZ156/$Z156</f>
        <v>0</v>
      </c>
      <c r="DZ156" s="203">
        <f t="shared" ref="DZ156:DZ159" ca="1" si="6681">EA156*DR$4</f>
        <v>0</v>
      </c>
      <c r="EA156" s="204">
        <f t="shared" ref="EA156:EA159" ca="1" si="6682">IF(DR$6&lt;&gt;"",$O156,$N156)-DW156</f>
        <v>0</v>
      </c>
      <c r="EB156" s="205"/>
      <c r="EC156" s="206">
        <f t="shared" ref="EC156:EC159" ca="1" si="6683">EB156*$X156</f>
        <v>0</v>
      </c>
      <c r="ED156" s="206">
        <f t="shared" ref="ED156:ED159" ca="1" si="6684">EC156*$Z156</f>
        <v>0</v>
      </c>
      <c r="EE156" s="207">
        <f t="shared" ca="1" si="5349"/>
        <v>0</v>
      </c>
      <c r="EF156" s="391">
        <f>DR156+EB156</f>
        <v>0</v>
      </c>
      <c r="EG156" s="391">
        <f t="shared" ref="EG156:EG159" ca="1" si="6685">DU156+IF($T156 ="",EC156,0)</f>
        <v>0</v>
      </c>
      <c r="EH156" s="391">
        <f t="shared" ref="EH156:EH159" ca="1" si="6686">EG156*$Z156</f>
        <v>0</v>
      </c>
      <c r="EI156" s="394">
        <f t="shared" ca="1" si="6610"/>
        <v>0</v>
      </c>
      <c r="EJ156" s="214">
        <f>600+-200</f>
        <v>400</v>
      </c>
      <c r="EK156" s="312">
        <f t="shared" ref="EK156:EK159" ca="1" si="6687">IFERROR($X156/EL156-1,"")</f>
        <v>3.6836860373978277</v>
      </c>
      <c r="EL156" s="222">
        <v>22.327500000000001</v>
      </c>
      <c r="EM156" s="199">
        <f t="shared" ref="EM156:EM159" ca="1" si="6688">EJ156*$X156</f>
        <v>41830</v>
      </c>
      <c r="EN156" s="199">
        <f t="shared" ref="EN156:EN159" ca="1" si="6689">EM156*$Z156</f>
        <v>37962.816500000001</v>
      </c>
      <c r="EO156" s="216">
        <f ca="1">IFERROR(EN156/EJ$4,0)</f>
        <v>5.3487724285836383E-2</v>
      </c>
      <c r="EP156" s="202">
        <f t="shared" ref="EP156:EP159" ca="1" si="6690">EQ156/$X156</f>
        <v>-400</v>
      </c>
      <c r="EQ156" s="203">
        <f t="shared" ref="EQ156:EQ159" ca="1" si="6691">ER156/$Z156</f>
        <v>-41830</v>
      </c>
      <c r="ER156" s="203">
        <f t="shared" ref="ER156:ER159" ca="1" si="6692">ES156*EJ$4</f>
        <v>-37962.816500000001</v>
      </c>
      <c r="ES156" s="204">
        <f t="shared" ref="ES156:ES159" ca="1" si="6693">IF(EJ$6&lt;&gt;"",$O156,$N156)-EO156</f>
        <v>-5.3487724285836383E-2</v>
      </c>
      <c r="ET156" s="205"/>
      <c r="EU156" s="206">
        <f t="shared" ref="EU156:EU159" ca="1" si="6694">ET156*$X156</f>
        <v>0</v>
      </c>
      <c r="EV156" s="206">
        <f t="shared" ref="EV156:EV159" ca="1" si="6695">EU156*$Z156</f>
        <v>0</v>
      </c>
      <c r="EW156" s="207">
        <f ca="1">IFERROR(EV156/EJ$4,0)</f>
        <v>0</v>
      </c>
      <c r="EX156" s="391">
        <f>EJ156+ET156</f>
        <v>400</v>
      </c>
      <c r="EY156" s="391">
        <f t="shared" ca="1" si="5364"/>
        <v>41830</v>
      </c>
      <c r="EZ156" s="391">
        <f t="shared" ref="EZ156:EZ159" ca="1" si="6696">EY156*$Z156</f>
        <v>37962.816500000001</v>
      </c>
      <c r="FA156" s="394">
        <f ca="1">IFERROR(EZ156/EJ$4,0)</f>
        <v>5.3487724285836383E-2</v>
      </c>
      <c r="FB156" s="212" t="str">
        <f t="shared" ca="1" si="5151"/>
        <v>V</v>
      </c>
      <c r="FC156" s="214"/>
      <c r="FD156" s="312" t="str">
        <f t="shared" ref="FD156:FD159" ca="1" si="6697">IFERROR($X156/FE156-1,"")</f>
        <v/>
      </c>
      <c r="FE156" s="215"/>
      <c r="FF156" s="199">
        <f t="shared" ref="FF156:FF159" ca="1" si="6698">FC156*$X156</f>
        <v>0</v>
      </c>
      <c r="FG156" s="199">
        <f t="shared" ref="FG156:FG159" ca="1" si="6699">FF156*$Z156</f>
        <v>0</v>
      </c>
      <c r="FH156" s="216">
        <f ca="1">IFERROR(FG156/FC$4,0)</f>
        <v>0</v>
      </c>
      <c r="FI156" s="202">
        <f t="shared" ref="FI156:FI159" ca="1" si="6700">FJ156/$X156</f>
        <v>0</v>
      </c>
      <c r="FJ156" s="203">
        <f t="shared" ref="FJ156:FJ159" ca="1" si="6701">FK156/$Z156</f>
        <v>0</v>
      </c>
      <c r="FK156" s="203">
        <f t="shared" ref="FK156:FK159" ca="1" si="6702">FL156*FC$4</f>
        <v>0</v>
      </c>
      <c r="FL156" s="204">
        <f t="shared" ref="FL156:FL159" ca="1" si="6703">IF(FC$6&lt;&gt;"",$O156,$N156)-FH156</f>
        <v>0</v>
      </c>
      <c r="FM156" s="205"/>
      <c r="FN156" s="206">
        <f t="shared" ref="FN156:FN159" ca="1" si="6704">FM156*$X156</f>
        <v>0</v>
      </c>
      <c r="FO156" s="206">
        <f t="shared" ref="FO156:FO159" ca="1" si="6705">FN156*$Z156</f>
        <v>0</v>
      </c>
      <c r="FP156" s="207">
        <f ca="1">IFERROR(FO156/FC$4,0)</f>
        <v>0</v>
      </c>
      <c r="FQ156" s="391">
        <f>FC156+FM156</f>
        <v>0</v>
      </c>
      <c r="FR156" s="391">
        <f t="shared" ca="1" si="5378"/>
        <v>0</v>
      </c>
      <c r="FS156" s="391">
        <f t="shared" ref="FS156:FS159" ca="1" si="6706">FR156*$Z156</f>
        <v>0</v>
      </c>
      <c r="FT156" s="394">
        <f ca="1">IFERROR(FS156/FC$4,0)</f>
        <v>0</v>
      </c>
      <c r="FU156" s="209" t="str">
        <f t="shared" ca="1" si="5162"/>
        <v/>
      </c>
    </row>
    <row r="157" spans="1:177" outlineLevel="2" x14ac:dyDescent="0.2">
      <c r="A157" s="366"/>
      <c r="B157" s="366"/>
      <c r="C157" s="367" t="str">
        <f t="shared" ca="1" si="6617"/>
        <v>IE00BJQTJ848:EUR</v>
      </c>
      <c r="D157" s="368" t="str">
        <f t="shared" ca="1" si="6617"/>
        <v>IE00BJQTJ848</v>
      </c>
      <c r="E157" s="369" t="str">
        <f t="shared" ca="1" si="6617"/>
        <v>47284465</v>
      </c>
      <c r="F157" s="424" t="s">
        <v>592</v>
      </c>
      <c r="G157" s="425"/>
      <c r="H157" s="1713" t="str">
        <f ca="1">IF(OFFSET(Origine,MATCH($F157,Descrizioni,0),MATCH(H$15,Intestazioni,0)-1,1,1)&lt;&gt;"",HYPERLINK(OFFSET(Origine,MATCH($F157,Descrizioni,0),MATCH(H$15,Intestazioni,0)-1,1,1),""),"")</f>
        <v></v>
      </c>
      <c r="I157" s="1683" t="str">
        <f t="shared" ca="1" si="6618"/>
        <v>i</v>
      </c>
      <c r="J157" s="1713" t="str">
        <f t="shared" ca="1" si="6619"/>
        <v></v>
      </c>
      <c r="K157" s="1716" t="str">
        <f t="shared" ca="1" si="6619"/>
        <v></v>
      </c>
      <c r="L157" s="1717" t="str">
        <f t="shared" ca="1" si="6620"/>
        <v></v>
      </c>
      <c r="M157" s="366" t="str">
        <f t="shared" ca="1" si="6621"/>
        <v>Unit</v>
      </c>
      <c r="N157" s="417"/>
      <c r="O157" s="417"/>
      <c r="P157" s="418">
        <f t="shared" ca="1" si="6318"/>
        <v>0</v>
      </c>
      <c r="Q157" s="391">
        <f t="array" aca="1" ref="Q157" ca="1">SUM(IF($AA$15:$FT$15="I_pos",AA157:FT157))</f>
        <v>2500</v>
      </c>
      <c r="R157" s="391">
        <f t="array" aca="1" ref="R157" ca="1">SUM(IF($AA$15:$FT$15="P_Pos",AA157:FT157))</f>
        <v>-2500</v>
      </c>
      <c r="S157" s="367"/>
      <c r="T157" s="391"/>
      <c r="U157" s="375">
        <f ca="1">OFFSET(Origine,MATCH($F157,Descrizioni,0),MATCH(U$15,Intestazioni,0)-1,1,1)</f>
        <v>8.1632653061225E-3</v>
      </c>
      <c r="V157" s="391">
        <f t="array" aca="1" ref="V157" ca="1">SUM(IF($AA$15:$FT$15="O_Pos",AA157:FT157))</f>
        <v>0</v>
      </c>
      <c r="W157" s="367" t="str">
        <f t="shared" ca="1" si="6622"/>
        <v>EUR</v>
      </c>
      <c r="X157" s="392">
        <f t="shared" ca="1" si="6623"/>
        <v>6.68</v>
      </c>
      <c r="Y157" s="393">
        <f t="shared" ca="1" si="6624"/>
        <v>0</v>
      </c>
      <c r="Z157" s="378">
        <f t="shared" ca="1" si="6625"/>
        <v>0.90754999999999997</v>
      </c>
      <c r="AA157" s="214"/>
      <c r="AB157" s="312" t="str">
        <f t="shared" ca="1" si="6626"/>
        <v/>
      </c>
      <c r="AC157" s="215"/>
      <c r="AD157" s="199">
        <f t="shared" ca="1" si="6627"/>
        <v>0</v>
      </c>
      <c r="AE157" s="199">
        <f t="shared" ca="1" si="6628"/>
        <v>0</v>
      </c>
      <c r="AF157" s="216">
        <f ca="1">IFERROR(AE157/AA$4,0)</f>
        <v>0</v>
      </c>
      <c r="AG157" s="202">
        <f t="shared" ca="1" si="6629"/>
        <v>0</v>
      </c>
      <c r="AH157" s="203">
        <f t="shared" ca="1" si="6630"/>
        <v>0</v>
      </c>
      <c r="AI157" s="203">
        <f t="shared" ca="1" si="6631"/>
        <v>0</v>
      </c>
      <c r="AJ157" s="204">
        <f t="shared" ca="1" si="6632"/>
        <v>0</v>
      </c>
      <c r="AK157" s="205"/>
      <c r="AL157" s="206">
        <f t="shared" ca="1" si="6633"/>
        <v>0</v>
      </c>
      <c r="AM157" s="206">
        <f t="shared" ca="1" si="6634"/>
        <v>0</v>
      </c>
      <c r="AN157" s="207">
        <f ca="1">IFERROR(AM157/AA$4,0)</f>
        <v>0</v>
      </c>
      <c r="AO157" s="391">
        <f>AA157+AK157</f>
        <v>0</v>
      </c>
      <c r="AP157" s="391">
        <f t="shared" ca="1" si="5295"/>
        <v>0</v>
      </c>
      <c r="AQ157" s="391">
        <f t="shared" ca="1" si="6635"/>
        <v>0</v>
      </c>
      <c r="AR157" s="394">
        <f ca="1">IFERROR(AQ157/AA$4,0)</f>
        <v>0</v>
      </c>
      <c r="AS157" s="209" t="str">
        <f t="shared" ca="1" si="5098"/>
        <v/>
      </c>
      <c r="AT157" s="214"/>
      <c r="AU157" s="312" t="str">
        <f t="shared" ca="1" si="6636"/>
        <v/>
      </c>
      <c r="AV157" s="215"/>
      <c r="AW157" s="199">
        <f t="shared" ca="1" si="6637"/>
        <v>0</v>
      </c>
      <c r="AX157" s="199">
        <f t="shared" ca="1" si="6638"/>
        <v>0</v>
      </c>
      <c r="AY157" s="216">
        <f ca="1">IFERROR(AX157/AT$4,0)</f>
        <v>0</v>
      </c>
      <c r="AZ157" s="202">
        <f t="shared" ca="1" si="6639"/>
        <v>0</v>
      </c>
      <c r="BA157" s="203">
        <f t="shared" ca="1" si="6640"/>
        <v>0</v>
      </c>
      <c r="BB157" s="203">
        <f t="shared" ca="1" si="6641"/>
        <v>0</v>
      </c>
      <c r="BC157" s="204">
        <f t="shared" ca="1" si="6642"/>
        <v>0</v>
      </c>
      <c r="BD157" s="205"/>
      <c r="BE157" s="206">
        <f t="shared" ca="1" si="6643"/>
        <v>0</v>
      </c>
      <c r="BF157" s="206">
        <f t="shared" ca="1" si="6644"/>
        <v>0</v>
      </c>
      <c r="BG157" s="207">
        <f ca="1">IFERROR(BF157/AT$4,0)</f>
        <v>0</v>
      </c>
      <c r="BH157" s="391">
        <f>AT157+BD157</f>
        <v>0</v>
      </c>
      <c r="BI157" s="391">
        <f t="shared" ca="1" si="5308"/>
        <v>0</v>
      </c>
      <c r="BJ157" s="391">
        <f t="shared" ca="1" si="6645"/>
        <v>0</v>
      </c>
      <c r="BK157" s="394">
        <f ca="1">IFERROR(BJ157/AT$4,0)</f>
        <v>0</v>
      </c>
      <c r="BL157" s="211" t="str">
        <f t="shared" ca="1" si="5109"/>
        <v/>
      </c>
      <c r="BM157" s="214"/>
      <c r="BN157" s="312" t="str">
        <f t="shared" ca="1" si="6646"/>
        <v/>
      </c>
      <c r="BO157" s="215"/>
      <c r="BP157" s="199">
        <f t="shared" ca="1" si="6647"/>
        <v>0</v>
      </c>
      <c r="BQ157" s="199">
        <f t="shared" ca="1" si="6648"/>
        <v>0</v>
      </c>
      <c r="BR157" s="216">
        <f ca="1">IFERROR(BQ157/BM$4,0)</f>
        <v>0</v>
      </c>
      <c r="BS157" s="202">
        <f t="shared" ca="1" si="6649"/>
        <v>0</v>
      </c>
      <c r="BT157" s="203">
        <f t="shared" ca="1" si="6650"/>
        <v>0</v>
      </c>
      <c r="BU157" s="203">
        <f t="shared" ca="1" si="6651"/>
        <v>0</v>
      </c>
      <c r="BV157" s="204">
        <f t="shared" ca="1" si="6652"/>
        <v>0</v>
      </c>
      <c r="BW157" s="205"/>
      <c r="BX157" s="206">
        <f t="shared" ca="1" si="6653"/>
        <v>0</v>
      </c>
      <c r="BY157" s="206">
        <f t="shared" ca="1" si="6654"/>
        <v>0</v>
      </c>
      <c r="BZ157" s="207">
        <f ca="1">IFERROR(BY157/BM$4,0)</f>
        <v>0</v>
      </c>
      <c r="CA157" s="391">
        <f>BM157+BW157</f>
        <v>0</v>
      </c>
      <c r="CB157" s="391">
        <f t="shared" ca="1" si="5321"/>
        <v>0</v>
      </c>
      <c r="CC157" s="391">
        <f t="shared" ca="1" si="6655"/>
        <v>0</v>
      </c>
      <c r="CD157" s="394">
        <f ca="1">IFERROR(CC157/BM$4,0)</f>
        <v>0</v>
      </c>
      <c r="CE157" s="212" t="str">
        <f t="shared" ca="1" si="5120"/>
        <v/>
      </c>
      <c r="CF157" s="214"/>
      <c r="CG157" s="312" t="str">
        <f t="shared" ca="1" si="6656"/>
        <v/>
      </c>
      <c r="CH157" s="215"/>
      <c r="CI157" s="199">
        <f t="shared" ca="1" si="6657"/>
        <v>0</v>
      </c>
      <c r="CJ157" s="199">
        <f t="shared" ca="1" si="6658"/>
        <v>0</v>
      </c>
      <c r="CK157" s="216">
        <f t="shared" ca="1" si="6606"/>
        <v>0</v>
      </c>
      <c r="CL157" s="202">
        <f t="shared" ca="1" si="6659"/>
        <v>0</v>
      </c>
      <c r="CM157" s="203">
        <f t="shared" ca="1" si="6660"/>
        <v>0</v>
      </c>
      <c r="CN157" s="203">
        <f t="shared" ca="1" si="6661"/>
        <v>0</v>
      </c>
      <c r="CO157" s="204">
        <f t="shared" ca="1" si="6662"/>
        <v>0</v>
      </c>
      <c r="CP157" s="205"/>
      <c r="CQ157" s="206">
        <f t="shared" ca="1" si="6663"/>
        <v>0</v>
      </c>
      <c r="CR157" s="206">
        <f t="shared" ca="1" si="6664"/>
        <v>0</v>
      </c>
      <c r="CS157" s="207">
        <f t="shared" ca="1" si="6607"/>
        <v>0</v>
      </c>
      <c r="CT157" s="391">
        <f>CF157+CP157</f>
        <v>0</v>
      </c>
      <c r="CU157" s="391">
        <f t="shared" ca="1" si="5334"/>
        <v>0</v>
      </c>
      <c r="CV157" s="391">
        <f t="shared" ca="1" si="6665"/>
        <v>0</v>
      </c>
      <c r="CW157" s="394">
        <f t="shared" ca="1" si="6608"/>
        <v>0</v>
      </c>
      <c r="CX157" s="211" t="str">
        <f t="shared" ca="1" si="5130"/>
        <v/>
      </c>
      <c r="CY157" s="197"/>
      <c r="CZ157" s="312" t="str">
        <f t="shared" ca="1" si="6666"/>
        <v/>
      </c>
      <c r="DA157" s="395"/>
      <c r="DB157" s="199">
        <f t="shared" ca="1" si="6667"/>
        <v>0</v>
      </c>
      <c r="DC157" s="199">
        <f t="shared" ca="1" si="6668"/>
        <v>0</v>
      </c>
      <c r="DD157" s="216">
        <f t="shared" ca="1" si="4717"/>
        <v>0</v>
      </c>
      <c r="DE157" s="202">
        <f t="shared" ca="1" si="6669"/>
        <v>0</v>
      </c>
      <c r="DF157" s="203">
        <f t="shared" ca="1" si="6670"/>
        <v>0</v>
      </c>
      <c r="DG157" s="203">
        <f t="shared" ca="1" si="6671"/>
        <v>0</v>
      </c>
      <c r="DH157" s="204">
        <f t="shared" ca="1" si="6672"/>
        <v>0</v>
      </c>
      <c r="DI157" s="205"/>
      <c r="DJ157" s="206">
        <f t="shared" ca="1" si="6673"/>
        <v>0</v>
      </c>
      <c r="DK157" s="206">
        <f t="shared" ca="1" si="6674"/>
        <v>0</v>
      </c>
      <c r="DL157" s="207">
        <f t="shared" ca="1" si="4718"/>
        <v>0</v>
      </c>
      <c r="DM157" s="391">
        <f>CY157+DI157</f>
        <v>0</v>
      </c>
      <c r="DN157" s="391">
        <f t="shared" ca="1" si="5338"/>
        <v>0</v>
      </c>
      <c r="DO157" s="391">
        <f t="shared" ca="1" si="6675"/>
        <v>0</v>
      </c>
      <c r="DP157" s="394">
        <f t="shared" ca="1" si="6609"/>
        <v>0</v>
      </c>
      <c r="DQ157" s="209" t="str">
        <f t="shared" ca="1" si="5140"/>
        <v/>
      </c>
      <c r="DR157" s="197"/>
      <c r="DS157" s="312" t="str">
        <f t="shared" ca="1" si="6676"/>
        <v/>
      </c>
      <c r="DT157" s="395"/>
      <c r="DU157" s="199">
        <f t="shared" ca="1" si="6677"/>
        <v>0</v>
      </c>
      <c r="DV157" s="199">
        <f t="shared" ca="1" si="6678"/>
        <v>0</v>
      </c>
      <c r="DW157" s="216">
        <f t="shared" ca="1" si="5343"/>
        <v>0</v>
      </c>
      <c r="DX157" s="202">
        <f t="shared" ca="1" si="6679"/>
        <v>0</v>
      </c>
      <c r="DY157" s="203">
        <f t="shared" ca="1" si="6680"/>
        <v>0</v>
      </c>
      <c r="DZ157" s="203">
        <f t="shared" ca="1" si="6681"/>
        <v>0</v>
      </c>
      <c r="EA157" s="204">
        <f t="shared" ca="1" si="6682"/>
        <v>0</v>
      </c>
      <c r="EB157" s="205"/>
      <c r="EC157" s="206">
        <f t="shared" ca="1" si="6683"/>
        <v>0</v>
      </c>
      <c r="ED157" s="206">
        <f t="shared" ca="1" si="6684"/>
        <v>0</v>
      </c>
      <c r="EE157" s="207">
        <f t="shared" ca="1" si="5349"/>
        <v>0</v>
      </c>
      <c r="EF157" s="391">
        <f>DR157+EB157</f>
        <v>0</v>
      </c>
      <c r="EG157" s="391">
        <f t="shared" ca="1" si="6685"/>
        <v>0</v>
      </c>
      <c r="EH157" s="391">
        <f t="shared" ca="1" si="6686"/>
        <v>0</v>
      </c>
      <c r="EI157" s="394">
        <f t="shared" ca="1" si="6610"/>
        <v>0</v>
      </c>
      <c r="EJ157" s="197">
        <f>1500+1000</f>
        <v>2500</v>
      </c>
      <c r="EK157" s="312">
        <f t="shared" ca="1" si="6687"/>
        <v>-0.17287833386988938</v>
      </c>
      <c r="EL157" s="222">
        <v>8.0762</v>
      </c>
      <c r="EM157" s="199">
        <f t="shared" ca="1" si="6688"/>
        <v>16700</v>
      </c>
      <c r="EN157" s="199">
        <f t="shared" ca="1" si="6689"/>
        <v>15156.084999999999</v>
      </c>
      <c r="EO157" s="216">
        <f ca="1">IFERROR(EN157/EJ$4,0)</f>
        <v>2.1354171541321243E-2</v>
      </c>
      <c r="EP157" s="202">
        <f t="shared" ca="1" si="6690"/>
        <v>-2500</v>
      </c>
      <c r="EQ157" s="203">
        <f t="shared" ca="1" si="6691"/>
        <v>-16700</v>
      </c>
      <c r="ER157" s="203">
        <f t="shared" ca="1" si="6692"/>
        <v>-15156.084999999999</v>
      </c>
      <c r="ES157" s="204">
        <f t="shared" ca="1" si="6693"/>
        <v>-2.1354171541321243E-2</v>
      </c>
      <c r="ET157" s="426"/>
      <c r="EU157" s="206">
        <f t="shared" ca="1" si="6694"/>
        <v>0</v>
      </c>
      <c r="EV157" s="206">
        <f t="shared" ca="1" si="6695"/>
        <v>0</v>
      </c>
      <c r="EW157" s="207">
        <f ca="1">IFERROR(EV157/EJ$4,0)</f>
        <v>0</v>
      </c>
      <c r="EX157" s="391">
        <f>EJ157+ET157</f>
        <v>2500</v>
      </c>
      <c r="EY157" s="391">
        <f t="shared" ca="1" si="5364"/>
        <v>16700</v>
      </c>
      <c r="EZ157" s="391">
        <f t="shared" ca="1" si="6696"/>
        <v>15156.084999999999</v>
      </c>
      <c r="FA157" s="394">
        <f ca="1">IFERROR(EZ157/EJ$4,0)</f>
        <v>2.1354171541321243E-2</v>
      </c>
      <c r="FB157" s="212" t="str">
        <f t="shared" ca="1" si="5151"/>
        <v>V</v>
      </c>
      <c r="FC157" s="214"/>
      <c r="FD157" s="312" t="str">
        <f t="shared" ca="1" si="6697"/>
        <v/>
      </c>
      <c r="FE157" s="215"/>
      <c r="FF157" s="199">
        <f t="shared" ca="1" si="6698"/>
        <v>0</v>
      </c>
      <c r="FG157" s="199">
        <f t="shared" ca="1" si="6699"/>
        <v>0</v>
      </c>
      <c r="FH157" s="216">
        <f ca="1">IFERROR(FG157/FC$4,0)</f>
        <v>0</v>
      </c>
      <c r="FI157" s="202">
        <f t="shared" ca="1" si="6700"/>
        <v>0</v>
      </c>
      <c r="FJ157" s="203">
        <f t="shared" ca="1" si="6701"/>
        <v>0</v>
      </c>
      <c r="FK157" s="203">
        <f t="shared" ca="1" si="6702"/>
        <v>0</v>
      </c>
      <c r="FL157" s="204">
        <f t="shared" ca="1" si="6703"/>
        <v>0</v>
      </c>
      <c r="FM157" s="205"/>
      <c r="FN157" s="206">
        <f t="shared" ca="1" si="6704"/>
        <v>0</v>
      </c>
      <c r="FO157" s="206">
        <f t="shared" ca="1" si="6705"/>
        <v>0</v>
      </c>
      <c r="FP157" s="207">
        <f ca="1">IFERROR(FO157/FC$4,0)</f>
        <v>0</v>
      </c>
      <c r="FQ157" s="391">
        <f>FC157+FM157</f>
        <v>0</v>
      </c>
      <c r="FR157" s="391">
        <f t="shared" ca="1" si="5378"/>
        <v>0</v>
      </c>
      <c r="FS157" s="391">
        <f t="shared" ca="1" si="6706"/>
        <v>0</v>
      </c>
      <c r="FT157" s="394">
        <f ca="1">IFERROR(FS157/FC$4,0)</f>
        <v>0</v>
      </c>
      <c r="FU157" s="209" t="str">
        <f t="shared" ca="1" si="5162"/>
        <v/>
      </c>
    </row>
    <row r="158" spans="1:177" outlineLevel="2" x14ac:dyDescent="0.2">
      <c r="A158" s="366"/>
      <c r="B158" s="366"/>
      <c r="C158" s="367" t="str">
        <f t="shared" ca="1" si="6617"/>
        <v>IE00BJQTJ848:USD</v>
      </c>
      <c r="D158" s="368" t="str">
        <f t="shared" ca="1" si="6617"/>
        <v>IE00BJQTJ848</v>
      </c>
      <c r="E158" s="369" t="str">
        <f t="shared" ca="1" si="6617"/>
        <v>47284465</v>
      </c>
      <c r="F158" s="424" t="s">
        <v>778</v>
      </c>
      <c r="G158" s="425"/>
      <c r="H158" s="1713" t="str">
        <f ca="1">IF(OFFSET(Origine,MATCH($F158,Descrizioni,0),MATCH(H$15,Intestazioni,0)-1,1,1)&lt;&gt;"",HYPERLINK(OFFSET(Origine,MATCH($F158,Descrizioni,0),MATCH(H$15,Intestazioni,0)-1,1,1),""),"")</f>
        <v></v>
      </c>
      <c r="I158" s="1683" t="str">
        <f t="shared" ca="1" si="6618"/>
        <v>i</v>
      </c>
      <c r="J158" s="1713" t="str">
        <f t="shared" ca="1" si="6619"/>
        <v></v>
      </c>
      <c r="K158" s="1716" t="str">
        <f t="shared" ca="1" si="6619"/>
        <v></v>
      </c>
      <c r="L158" s="1717" t="str">
        <f t="shared" ca="1" si="6620"/>
        <v></v>
      </c>
      <c r="M158" s="366" t="str">
        <f t="shared" ca="1" si="6621"/>
        <v>Unit</v>
      </c>
      <c r="N158" s="417"/>
      <c r="O158" s="417"/>
      <c r="P158" s="418">
        <f t="shared" ca="1" si="6318"/>
        <v>0</v>
      </c>
      <c r="Q158" s="391">
        <f t="array" aca="1" ref="Q158" ca="1">SUM(IF($AA$15:$FT$15="I_pos",AA158:FT158))</f>
        <v>500</v>
      </c>
      <c r="R158" s="391">
        <f t="array" aca="1" ref="R158" ca="1">SUM(IF($AA$15:$FT$15="P_Pos",AA158:FT158))</f>
        <v>-500.00000000000006</v>
      </c>
      <c r="S158" s="367"/>
      <c r="T158" s="391"/>
      <c r="U158" s="375"/>
      <c r="V158" s="391">
        <f t="array" aca="1" ref="V158" ca="1">SUM(IF($AA$15:$FT$15="O_Pos",AA158:FT158))</f>
        <v>0</v>
      </c>
      <c r="W158" s="367" t="str">
        <f t="shared" ca="1" si="6622"/>
        <v>USD</v>
      </c>
      <c r="X158" s="392">
        <f t="shared" ca="1" si="6623"/>
        <v>7.7015000000000002</v>
      </c>
      <c r="Y158" s="393">
        <f t="shared" ca="1" si="6624"/>
        <v>0</v>
      </c>
      <c r="Z158" s="378">
        <f t="shared" ca="1" si="6625"/>
        <v>0.78225</v>
      </c>
      <c r="AA158" s="214"/>
      <c r="AB158" s="312" t="str">
        <f t="shared" ca="1" si="6626"/>
        <v/>
      </c>
      <c r="AC158" s="215"/>
      <c r="AD158" s="199">
        <f t="shared" ca="1" si="6627"/>
        <v>0</v>
      </c>
      <c r="AE158" s="199">
        <f t="shared" ca="1" si="6628"/>
        <v>0</v>
      </c>
      <c r="AF158" s="216">
        <f ca="1">IFERROR(AE158/AA$4,0)</f>
        <v>0</v>
      </c>
      <c r="AG158" s="202">
        <f t="shared" ca="1" si="6629"/>
        <v>0</v>
      </c>
      <c r="AH158" s="203">
        <f t="shared" ca="1" si="6630"/>
        <v>0</v>
      </c>
      <c r="AI158" s="203">
        <f t="shared" ca="1" si="6631"/>
        <v>0</v>
      </c>
      <c r="AJ158" s="204">
        <f t="shared" ca="1" si="6632"/>
        <v>0</v>
      </c>
      <c r="AK158" s="205"/>
      <c r="AL158" s="206">
        <f t="shared" ca="1" si="6633"/>
        <v>0</v>
      </c>
      <c r="AM158" s="206">
        <f t="shared" ca="1" si="6634"/>
        <v>0</v>
      </c>
      <c r="AN158" s="207">
        <f ca="1">IFERROR(AM158/AA$4,0)</f>
        <v>0</v>
      </c>
      <c r="AO158" s="391">
        <f>AA158+AK158</f>
        <v>0</v>
      </c>
      <c r="AP158" s="391">
        <f t="shared" ca="1" si="5295"/>
        <v>0</v>
      </c>
      <c r="AQ158" s="391">
        <f t="shared" ca="1" si="6635"/>
        <v>0</v>
      </c>
      <c r="AR158" s="394">
        <f ca="1">IFERROR(AQ158/AA$4,0)</f>
        <v>0</v>
      </c>
      <c r="AS158" s="209" t="str">
        <f t="shared" ca="1" si="5098"/>
        <v/>
      </c>
      <c r="AT158" s="214"/>
      <c r="AU158" s="312" t="str">
        <f t="shared" ca="1" si="6636"/>
        <v/>
      </c>
      <c r="AV158" s="215"/>
      <c r="AW158" s="199">
        <f t="shared" ca="1" si="6637"/>
        <v>0</v>
      </c>
      <c r="AX158" s="199">
        <f t="shared" ca="1" si="6638"/>
        <v>0</v>
      </c>
      <c r="AY158" s="216">
        <f ca="1">IFERROR(AX158/AT$4,0)</f>
        <v>0</v>
      </c>
      <c r="AZ158" s="202">
        <f t="shared" ca="1" si="6639"/>
        <v>0</v>
      </c>
      <c r="BA158" s="203">
        <f t="shared" ca="1" si="6640"/>
        <v>0</v>
      </c>
      <c r="BB158" s="203">
        <f t="shared" ca="1" si="6641"/>
        <v>0</v>
      </c>
      <c r="BC158" s="204">
        <f t="shared" ca="1" si="6642"/>
        <v>0</v>
      </c>
      <c r="BD158" s="205"/>
      <c r="BE158" s="206">
        <f t="shared" ca="1" si="6643"/>
        <v>0</v>
      </c>
      <c r="BF158" s="206">
        <f t="shared" ca="1" si="6644"/>
        <v>0</v>
      </c>
      <c r="BG158" s="207">
        <f ca="1">IFERROR(BF158/AT$4,0)</f>
        <v>0</v>
      </c>
      <c r="BH158" s="391">
        <f>AT158+BD158</f>
        <v>0</v>
      </c>
      <c r="BI158" s="391">
        <f t="shared" ca="1" si="5308"/>
        <v>0</v>
      </c>
      <c r="BJ158" s="391">
        <f t="shared" ca="1" si="6645"/>
        <v>0</v>
      </c>
      <c r="BK158" s="394">
        <f ca="1">IFERROR(BJ158/AT$4,0)</f>
        <v>0</v>
      </c>
      <c r="BL158" s="211" t="str">
        <f t="shared" ca="1" si="5109"/>
        <v/>
      </c>
      <c r="BM158" s="214"/>
      <c r="BN158" s="312" t="str">
        <f t="shared" ca="1" si="6646"/>
        <v/>
      </c>
      <c r="BO158" s="215"/>
      <c r="BP158" s="199">
        <f t="shared" ca="1" si="6647"/>
        <v>0</v>
      </c>
      <c r="BQ158" s="199">
        <f t="shared" ca="1" si="6648"/>
        <v>0</v>
      </c>
      <c r="BR158" s="216">
        <f ca="1">IFERROR(BQ158/BM$4,0)</f>
        <v>0</v>
      </c>
      <c r="BS158" s="202">
        <f t="shared" ca="1" si="6649"/>
        <v>0</v>
      </c>
      <c r="BT158" s="203">
        <f t="shared" ca="1" si="6650"/>
        <v>0</v>
      </c>
      <c r="BU158" s="203">
        <f t="shared" ca="1" si="6651"/>
        <v>0</v>
      </c>
      <c r="BV158" s="204">
        <f t="shared" ca="1" si="6652"/>
        <v>0</v>
      </c>
      <c r="BW158" s="205"/>
      <c r="BX158" s="206">
        <f t="shared" ca="1" si="6653"/>
        <v>0</v>
      </c>
      <c r="BY158" s="206">
        <f t="shared" ca="1" si="6654"/>
        <v>0</v>
      </c>
      <c r="BZ158" s="207">
        <f ca="1">IFERROR(BY158/BM$4,0)</f>
        <v>0</v>
      </c>
      <c r="CA158" s="391">
        <f>BM158+BW158</f>
        <v>0</v>
      </c>
      <c r="CB158" s="391">
        <f t="shared" ca="1" si="5321"/>
        <v>0</v>
      </c>
      <c r="CC158" s="391">
        <f t="shared" ca="1" si="6655"/>
        <v>0</v>
      </c>
      <c r="CD158" s="394">
        <f ca="1">IFERROR(CC158/BM$4,0)</f>
        <v>0</v>
      </c>
      <c r="CE158" s="212" t="str">
        <f t="shared" ca="1" si="5120"/>
        <v/>
      </c>
      <c r="CF158" s="214"/>
      <c r="CG158" s="312" t="str">
        <f t="shared" ca="1" si="6656"/>
        <v/>
      </c>
      <c r="CH158" s="215"/>
      <c r="CI158" s="199">
        <f t="shared" ca="1" si="6657"/>
        <v>0</v>
      </c>
      <c r="CJ158" s="199">
        <f t="shared" ca="1" si="6658"/>
        <v>0</v>
      </c>
      <c r="CK158" s="216">
        <f t="shared" ca="1" si="6606"/>
        <v>0</v>
      </c>
      <c r="CL158" s="202">
        <f t="shared" ca="1" si="6659"/>
        <v>0</v>
      </c>
      <c r="CM158" s="203">
        <f t="shared" ca="1" si="6660"/>
        <v>0</v>
      </c>
      <c r="CN158" s="203">
        <f t="shared" ca="1" si="6661"/>
        <v>0</v>
      </c>
      <c r="CO158" s="204">
        <f t="shared" ca="1" si="6662"/>
        <v>0</v>
      </c>
      <c r="CP158" s="205"/>
      <c r="CQ158" s="206">
        <f t="shared" ca="1" si="6663"/>
        <v>0</v>
      </c>
      <c r="CR158" s="206">
        <f t="shared" ca="1" si="6664"/>
        <v>0</v>
      </c>
      <c r="CS158" s="207">
        <f t="shared" ca="1" si="6607"/>
        <v>0</v>
      </c>
      <c r="CT158" s="391">
        <f>CF158+CP158</f>
        <v>0</v>
      </c>
      <c r="CU158" s="391">
        <f t="shared" ca="1" si="5334"/>
        <v>0</v>
      </c>
      <c r="CV158" s="391">
        <f t="shared" ca="1" si="6665"/>
        <v>0</v>
      </c>
      <c r="CW158" s="394">
        <f t="shared" ca="1" si="6608"/>
        <v>0</v>
      </c>
      <c r="CX158" s="211" t="str">
        <f t="shared" ca="1" si="5130"/>
        <v/>
      </c>
      <c r="CY158" s="197"/>
      <c r="CZ158" s="312" t="str">
        <f t="shared" ca="1" si="6666"/>
        <v/>
      </c>
      <c r="DA158" s="395"/>
      <c r="DB158" s="199">
        <f t="shared" ca="1" si="6667"/>
        <v>0</v>
      </c>
      <c r="DC158" s="199">
        <f t="shared" ca="1" si="6668"/>
        <v>0</v>
      </c>
      <c r="DD158" s="216">
        <f t="shared" ca="1" si="4717"/>
        <v>0</v>
      </c>
      <c r="DE158" s="202">
        <f t="shared" ca="1" si="6669"/>
        <v>0</v>
      </c>
      <c r="DF158" s="203">
        <f t="shared" ca="1" si="6670"/>
        <v>0</v>
      </c>
      <c r="DG158" s="203">
        <f t="shared" ca="1" si="6671"/>
        <v>0</v>
      </c>
      <c r="DH158" s="204">
        <f t="shared" ca="1" si="6672"/>
        <v>0</v>
      </c>
      <c r="DI158" s="205"/>
      <c r="DJ158" s="206">
        <f t="shared" ca="1" si="6673"/>
        <v>0</v>
      </c>
      <c r="DK158" s="206">
        <f t="shared" ca="1" si="6674"/>
        <v>0</v>
      </c>
      <c r="DL158" s="207">
        <f t="shared" ca="1" si="4718"/>
        <v>0</v>
      </c>
      <c r="DM158" s="391">
        <f>CY158+DI158</f>
        <v>0</v>
      </c>
      <c r="DN158" s="391">
        <f t="shared" ca="1" si="5338"/>
        <v>0</v>
      </c>
      <c r="DO158" s="391">
        <f t="shared" ca="1" si="6675"/>
        <v>0</v>
      </c>
      <c r="DP158" s="394">
        <f t="shared" ca="1" si="6609"/>
        <v>0</v>
      </c>
      <c r="DQ158" s="209" t="str">
        <f t="shared" ca="1" si="5140"/>
        <v/>
      </c>
      <c r="DR158" s="197"/>
      <c r="DS158" s="312" t="str">
        <f t="shared" ca="1" si="6676"/>
        <v/>
      </c>
      <c r="DT158" s="395"/>
      <c r="DU158" s="199">
        <f t="shared" ca="1" si="6677"/>
        <v>0</v>
      </c>
      <c r="DV158" s="199">
        <f t="shared" ca="1" si="6678"/>
        <v>0</v>
      </c>
      <c r="DW158" s="216">
        <f t="shared" ca="1" si="5343"/>
        <v>0</v>
      </c>
      <c r="DX158" s="202">
        <f t="shared" ca="1" si="6679"/>
        <v>0</v>
      </c>
      <c r="DY158" s="203">
        <f t="shared" ca="1" si="6680"/>
        <v>0</v>
      </c>
      <c r="DZ158" s="203">
        <f t="shared" ca="1" si="6681"/>
        <v>0</v>
      </c>
      <c r="EA158" s="204">
        <f t="shared" ca="1" si="6682"/>
        <v>0</v>
      </c>
      <c r="EB158" s="205"/>
      <c r="EC158" s="206">
        <f t="shared" ca="1" si="6683"/>
        <v>0</v>
      </c>
      <c r="ED158" s="206">
        <f t="shared" ca="1" si="6684"/>
        <v>0</v>
      </c>
      <c r="EE158" s="207">
        <f t="shared" ca="1" si="5349"/>
        <v>0</v>
      </c>
      <c r="EF158" s="391">
        <f>DR158+EB158</f>
        <v>0</v>
      </c>
      <c r="EG158" s="391">
        <f t="shared" ca="1" si="6685"/>
        <v>0</v>
      </c>
      <c r="EH158" s="391">
        <f t="shared" ca="1" si="6686"/>
        <v>0</v>
      </c>
      <c r="EI158" s="394">
        <f t="shared" ca="1" si="6610"/>
        <v>0</v>
      </c>
      <c r="EJ158" s="197">
        <v>500</v>
      </c>
      <c r="EK158" s="312">
        <f t="shared" ca="1" si="6687"/>
        <v>-9.3301153755592114E-2</v>
      </c>
      <c r="EL158" s="222">
        <v>8.4939999999999998</v>
      </c>
      <c r="EM158" s="199">
        <f t="shared" ca="1" si="6688"/>
        <v>3850.75</v>
      </c>
      <c r="EN158" s="199">
        <f t="shared" ca="1" si="6689"/>
        <v>3012.2491875000001</v>
      </c>
      <c r="EO158" s="216">
        <f ca="1">IFERROR(EN158/EJ$4,0)</f>
        <v>4.2441096018582996E-3</v>
      </c>
      <c r="EP158" s="202">
        <f t="shared" ca="1" si="6690"/>
        <v>-500.00000000000006</v>
      </c>
      <c r="EQ158" s="203">
        <f t="shared" ca="1" si="6691"/>
        <v>-3850.7500000000005</v>
      </c>
      <c r="ER158" s="203">
        <f t="shared" ca="1" si="6692"/>
        <v>-3012.2491875000005</v>
      </c>
      <c r="ES158" s="204">
        <f t="shared" ca="1" si="6693"/>
        <v>-4.2441096018582996E-3</v>
      </c>
      <c r="ET158" s="205"/>
      <c r="EU158" s="206">
        <f t="shared" ca="1" si="6694"/>
        <v>0</v>
      </c>
      <c r="EV158" s="206">
        <f t="shared" ca="1" si="6695"/>
        <v>0</v>
      </c>
      <c r="EW158" s="207">
        <f ca="1">IFERROR(EV158/EJ$4,0)</f>
        <v>0</v>
      </c>
      <c r="EX158" s="391">
        <f>EJ158+ET158</f>
        <v>500</v>
      </c>
      <c r="EY158" s="391">
        <f t="shared" ca="1" si="5364"/>
        <v>3850.75</v>
      </c>
      <c r="EZ158" s="391">
        <f t="shared" ca="1" si="6696"/>
        <v>3012.2491875000001</v>
      </c>
      <c r="FA158" s="394">
        <f ca="1">IFERROR(EZ158/EJ$4,0)</f>
        <v>4.2441096018582996E-3</v>
      </c>
      <c r="FB158" s="212" t="str">
        <f t="shared" ca="1" si="5151"/>
        <v>V</v>
      </c>
      <c r="FC158" s="214"/>
      <c r="FD158" s="312" t="str">
        <f t="shared" ca="1" si="6697"/>
        <v/>
      </c>
      <c r="FE158" s="215"/>
      <c r="FF158" s="199">
        <f t="shared" ca="1" si="6698"/>
        <v>0</v>
      </c>
      <c r="FG158" s="199">
        <f t="shared" ca="1" si="6699"/>
        <v>0</v>
      </c>
      <c r="FH158" s="216">
        <f ca="1">IFERROR(FG158/FC$4,0)</f>
        <v>0</v>
      </c>
      <c r="FI158" s="202">
        <f t="shared" ca="1" si="6700"/>
        <v>0</v>
      </c>
      <c r="FJ158" s="203">
        <f t="shared" ca="1" si="6701"/>
        <v>0</v>
      </c>
      <c r="FK158" s="203">
        <f t="shared" ca="1" si="6702"/>
        <v>0</v>
      </c>
      <c r="FL158" s="204">
        <f t="shared" ca="1" si="6703"/>
        <v>0</v>
      </c>
      <c r="FM158" s="205"/>
      <c r="FN158" s="206">
        <f t="shared" ca="1" si="6704"/>
        <v>0</v>
      </c>
      <c r="FO158" s="206">
        <f t="shared" ca="1" si="6705"/>
        <v>0</v>
      </c>
      <c r="FP158" s="207">
        <f ca="1">IFERROR(FO158/FC$4,0)</f>
        <v>0</v>
      </c>
      <c r="FQ158" s="391">
        <f>FC158+FM158</f>
        <v>0</v>
      </c>
      <c r="FR158" s="391">
        <f t="shared" ca="1" si="5378"/>
        <v>0</v>
      </c>
      <c r="FS158" s="391">
        <f t="shared" ca="1" si="6706"/>
        <v>0</v>
      </c>
      <c r="FT158" s="394">
        <f ca="1">IFERROR(FS158/FC$4,0)</f>
        <v>0</v>
      </c>
      <c r="FU158" s="209" t="str">
        <f t="shared" ca="1" si="5162"/>
        <v/>
      </c>
    </row>
    <row r="159" spans="1:177" outlineLevel="2" x14ac:dyDescent="0.2">
      <c r="A159" s="366"/>
      <c r="B159" s="366"/>
      <c r="C159" s="367" t="str">
        <f t="shared" ca="1" si="6617"/>
        <v>IE000YYE6WK5:USD</v>
      </c>
      <c r="D159" s="368" t="str">
        <f t="shared" ca="1" si="6617"/>
        <v>IE000YYE6WK5</v>
      </c>
      <c r="E159" s="369" t="str">
        <f t="shared" ca="1" si="6617"/>
        <v>125816101</v>
      </c>
      <c r="F159" s="367" t="s">
        <v>4473</v>
      </c>
      <c r="G159" s="414"/>
      <c r="H159" s="1713" t="str">
        <f ca="1">IF(OFFSET(Origine,MATCH($F159,Descrizioni,0),MATCH(H$15,Intestazioni,0)-1,1,1)&lt;&gt;"",HYPERLINK(OFFSET(Origine,MATCH($F159,Descrizioni,0),MATCH(H$15,Intestazioni,0)-1,1,1),""),"")</f>
        <v></v>
      </c>
      <c r="I159" s="1683" t="str">
        <f t="shared" ca="1" si="6618"/>
        <v/>
      </c>
      <c r="J159" s="1713" t="str">
        <f t="shared" ca="1" si="6619"/>
        <v/>
      </c>
      <c r="K159" s="1716" t="str">
        <f t="shared" ca="1" si="6619"/>
        <v/>
      </c>
      <c r="L159" s="1717" t="str">
        <f t="shared" ca="1" si="6620"/>
        <v/>
      </c>
      <c r="M159" s="366" t="str">
        <f t="shared" ca="1" si="6621"/>
        <v>Unit</v>
      </c>
      <c r="N159" s="417">
        <v>0.02</v>
      </c>
      <c r="O159" s="417"/>
      <c r="P159" s="418">
        <f t="shared" ca="1" si="6318"/>
        <v>2.0043274827635474E-2</v>
      </c>
      <c r="Q159" s="391">
        <f t="array" aca="1" ref="Q159" ca="1">SUM(IF($AA$15:$FT$15="I_pos",AA159:FT159))</f>
        <v>2795</v>
      </c>
      <c r="R159" s="391">
        <f t="array" aca="1" ref="R159" ca="1">SUM(IF($AA$15:$FT$15="P_Pos",AA159:FT159))</f>
        <v>1814.8376773048035</v>
      </c>
      <c r="S159" s="367"/>
      <c r="T159" s="391"/>
      <c r="U159" s="375">
        <f ca="1">OFFSET(Origine,MATCH($F159,Descrizioni,0),MATCH(U$15,Intestazioni,0)-1,1,1)</f>
        <v>3.7536493813430001E-3</v>
      </c>
      <c r="V159" s="391">
        <f t="array" aca="1" ref="V159" ca="1">SUM(IF($AA$15:$FT$15="O_Pos",AA159:FT159))</f>
        <v>0</v>
      </c>
      <c r="W159" s="367" t="str">
        <f t="shared" ca="1" si="6622"/>
        <v>USD</v>
      </c>
      <c r="X159" s="392">
        <f t="shared" ca="1" si="6623"/>
        <v>72.2</v>
      </c>
      <c r="Y159" s="393">
        <f t="shared" ca="1" si="6624"/>
        <v>0</v>
      </c>
      <c r="Z159" s="378">
        <f t="shared" ca="1" si="6625"/>
        <v>0.78225</v>
      </c>
      <c r="AA159" s="214">
        <f>200</f>
        <v>200</v>
      </c>
      <c r="AB159" s="312">
        <f t="shared" ca="1" si="6626"/>
        <v>1.0194287505211896E-2</v>
      </c>
      <c r="AC159" s="215">
        <v>71.471400000000003</v>
      </c>
      <c r="AD159" s="199">
        <f t="shared" ca="1" si="6627"/>
        <v>14440</v>
      </c>
      <c r="AE159" s="199">
        <f t="shared" ca="1" si="6628"/>
        <v>11295.69</v>
      </c>
      <c r="AF159" s="216">
        <f t="shared" ref="AF159" ca="1" si="6707">IFERROR(AE159/AA$4,0)</f>
        <v>2.0117132944555579E-2</v>
      </c>
      <c r="AG159" s="202">
        <f t="shared" ca="1" si="6629"/>
        <v>-1.1645093252443706</v>
      </c>
      <c r="AH159" s="203">
        <f t="shared" ca="1" si="6630"/>
        <v>-84.077573282643556</v>
      </c>
      <c r="AI159" s="203">
        <f t="shared" ca="1" si="6631"/>
        <v>-65.769681700347917</v>
      </c>
      <c r="AJ159" s="204">
        <f t="shared" ca="1" si="6632"/>
        <v>-1.1713294455557854E-4</v>
      </c>
      <c r="AK159" s="205"/>
      <c r="AL159" s="206">
        <f t="shared" ca="1" si="6633"/>
        <v>0</v>
      </c>
      <c r="AM159" s="206">
        <f t="shared" ca="1" si="6634"/>
        <v>0</v>
      </c>
      <c r="AN159" s="207">
        <f t="shared" ref="AN159" ca="1" si="6708">IFERROR(AM159/AA$4,0)</f>
        <v>0</v>
      </c>
      <c r="AO159" s="391">
        <f>AA159+AK159</f>
        <v>200</v>
      </c>
      <c r="AP159" s="391">
        <f t="shared" ca="1" si="5295"/>
        <v>14440</v>
      </c>
      <c r="AQ159" s="391">
        <f t="shared" ca="1" si="6635"/>
        <v>11295.69</v>
      </c>
      <c r="AR159" s="394">
        <f t="shared" ref="AR159" ca="1" si="6709">IFERROR(AQ159/AA$4,0)</f>
        <v>2.0117132944555579E-2</v>
      </c>
      <c r="AS159" s="209" t="str">
        <f t="shared" ca="1" si="5098"/>
        <v>V</v>
      </c>
      <c r="AT159" s="214">
        <f>625</f>
        <v>625</v>
      </c>
      <c r="AU159" s="312">
        <f t="shared" ca="1" si="6636"/>
        <v>1.0194287505211896E-2</v>
      </c>
      <c r="AV159" s="215">
        <v>71.471400000000003</v>
      </c>
      <c r="AW159" s="199">
        <f t="shared" ca="1" si="6637"/>
        <v>45125</v>
      </c>
      <c r="AX159" s="199">
        <f t="shared" ca="1" si="6638"/>
        <v>35299.03125</v>
      </c>
      <c r="AY159" s="216">
        <f t="shared" ref="AY159" ca="1" si="6710">IFERROR(AX159/AT$4,0)</f>
        <v>2.0382362016488711E-2</v>
      </c>
      <c r="AZ159" s="202">
        <f t="shared" ca="1" si="6639"/>
        <v>-11.724659787325896</v>
      </c>
      <c r="BA159" s="203">
        <f t="shared" ca="1" si="6640"/>
        <v>-846.52043664492976</v>
      </c>
      <c r="BB159" s="203">
        <f t="shared" ca="1" si="6641"/>
        <v>-662.19061156549628</v>
      </c>
      <c r="BC159" s="204">
        <f t="shared" ca="1" si="6642"/>
        <v>-3.8236201648871038E-4</v>
      </c>
      <c r="BD159" s="205"/>
      <c r="BE159" s="206">
        <f t="shared" ca="1" si="6643"/>
        <v>0</v>
      </c>
      <c r="BF159" s="206">
        <f t="shared" ca="1" si="6644"/>
        <v>0</v>
      </c>
      <c r="BG159" s="207">
        <f t="shared" ref="BG159" ca="1" si="6711">IFERROR(BF159/AT$4,0)</f>
        <v>0</v>
      </c>
      <c r="BH159" s="391">
        <f>AT159+BD159</f>
        <v>625</v>
      </c>
      <c r="BI159" s="391">
        <f t="shared" ca="1" si="5308"/>
        <v>45125</v>
      </c>
      <c r="BJ159" s="391">
        <f t="shared" ca="1" si="6645"/>
        <v>35299.03125</v>
      </c>
      <c r="BK159" s="394">
        <f t="shared" ref="BK159" ca="1" si="6712">IFERROR(BJ159/AT$4,0)</f>
        <v>2.0382362016488711E-2</v>
      </c>
      <c r="BL159" s="211" t="str">
        <f t="shared" ca="1" si="5109"/>
        <v>V</v>
      </c>
      <c r="BM159" s="214">
        <f>90</f>
        <v>90</v>
      </c>
      <c r="BN159" s="312">
        <f t="shared" ca="1" si="6646"/>
        <v>1.0194287505211896E-2</v>
      </c>
      <c r="BO159" s="215">
        <v>71.471400000000003</v>
      </c>
      <c r="BP159" s="199">
        <f t="shared" ca="1" si="6647"/>
        <v>6498</v>
      </c>
      <c r="BQ159" s="199">
        <f t="shared" ca="1" si="6648"/>
        <v>5083.0604999999996</v>
      </c>
      <c r="BR159" s="216">
        <f t="shared" ref="BR159" ca="1" si="6713">IFERROR(BQ159/BM$4,0)</f>
        <v>1.7837037202753727E-2</v>
      </c>
      <c r="BS159" s="202">
        <f t="shared" ca="1" si="6649"/>
        <v>10.91362032491088</v>
      </c>
      <c r="BT159" s="203">
        <f t="shared" ca="1" si="6650"/>
        <v>787.96338745856565</v>
      </c>
      <c r="BU159" s="203">
        <f t="shared" ca="1" si="6651"/>
        <v>616.38435983946295</v>
      </c>
      <c r="BV159" s="204">
        <f t="shared" ca="1" si="6652"/>
        <v>2.1629627972462734E-3</v>
      </c>
      <c r="BW159" s="205"/>
      <c r="BX159" s="206">
        <f t="shared" ca="1" si="6653"/>
        <v>0</v>
      </c>
      <c r="BY159" s="206">
        <f t="shared" ca="1" si="6654"/>
        <v>0</v>
      </c>
      <c r="BZ159" s="207">
        <f t="shared" ref="BZ159" ca="1" si="6714">IFERROR(BY159/BM$4,0)</f>
        <v>0</v>
      </c>
      <c r="CA159" s="391">
        <f>BM159+BW159</f>
        <v>90</v>
      </c>
      <c r="CB159" s="391">
        <f t="shared" ca="1" si="5321"/>
        <v>6498</v>
      </c>
      <c r="CC159" s="391">
        <f t="shared" ca="1" si="6655"/>
        <v>5083.0604999999996</v>
      </c>
      <c r="CD159" s="394">
        <f t="shared" ref="CD159" ca="1" si="6715">IFERROR(CC159/BM$4,0)</f>
        <v>1.7837037202753727E-2</v>
      </c>
      <c r="CE159" s="212" t="str">
        <f t="shared" ca="1" si="5120"/>
        <v>V</v>
      </c>
      <c r="CF159" s="214">
        <f>320</f>
        <v>320</v>
      </c>
      <c r="CG159" s="312">
        <f t="shared" ca="1" si="6656"/>
        <v>1.0194287505211896E-2</v>
      </c>
      <c r="CH159" s="215">
        <v>71.471400000000003</v>
      </c>
      <c r="CI159" s="199">
        <f t="shared" ca="1" si="6657"/>
        <v>23104</v>
      </c>
      <c r="CJ159" s="199">
        <f t="shared" ca="1" si="6658"/>
        <v>18073.103999999999</v>
      </c>
      <c r="CK159" s="216">
        <f t="shared" ca="1" si="6606"/>
        <v>2.0422519385764434E-2</v>
      </c>
      <c r="CL159" s="202">
        <f t="shared" ca="1" si="6659"/>
        <v>-6.6204468161193013</v>
      </c>
      <c r="CM159" s="203">
        <f t="shared" ca="1" si="6660"/>
        <v>-477.99626012381356</v>
      </c>
      <c r="CN159" s="203">
        <f t="shared" ca="1" si="6661"/>
        <v>-373.91257448185314</v>
      </c>
      <c r="CO159" s="204">
        <f t="shared" ca="1" si="6662"/>
        <v>-4.2251938576443396E-4</v>
      </c>
      <c r="CP159" s="205"/>
      <c r="CQ159" s="206">
        <f t="shared" ca="1" si="6663"/>
        <v>0</v>
      </c>
      <c r="CR159" s="206">
        <f t="shared" ca="1" si="6664"/>
        <v>0</v>
      </c>
      <c r="CS159" s="207">
        <f t="shared" ca="1" si="6607"/>
        <v>0</v>
      </c>
      <c r="CT159" s="391">
        <f>CF159+CP159</f>
        <v>320</v>
      </c>
      <c r="CU159" s="391">
        <f t="shared" ca="1" si="5334"/>
        <v>23104</v>
      </c>
      <c r="CV159" s="391">
        <f t="shared" ca="1" si="6665"/>
        <v>18073.103999999999</v>
      </c>
      <c r="CW159" s="394">
        <f t="shared" ca="1" si="6608"/>
        <v>2.0422519385764434E-2</v>
      </c>
      <c r="CX159" s="211" t="str">
        <f t="shared" ca="1" si="5130"/>
        <v>V</v>
      </c>
      <c r="CY159" s="197">
        <f>1300</f>
        <v>1300</v>
      </c>
      <c r="CZ159" s="312">
        <f t="shared" ca="1" si="6666"/>
        <v>1.0584543375352418E-2</v>
      </c>
      <c r="DA159" s="395">
        <v>71.443799999999996</v>
      </c>
      <c r="DB159" s="199">
        <f t="shared" ca="1" si="6667"/>
        <v>93860</v>
      </c>
      <c r="DC159" s="199">
        <f t="shared" ca="1" si="6668"/>
        <v>73421.985000000001</v>
      </c>
      <c r="DD159" s="216">
        <f t="shared" ca="1" si="4717"/>
        <v>2.047793654807847E-2</v>
      </c>
      <c r="DE159" s="202">
        <f t="shared" ca="1" si="6669"/>
        <v>-30.340826139551226</v>
      </c>
      <c r="DF159" s="203">
        <f t="shared" ca="1" si="6670"/>
        <v>-2190.6076472755985</v>
      </c>
      <c r="DG159" s="203">
        <f t="shared" ca="1" si="6671"/>
        <v>-1713.6028320813371</v>
      </c>
      <c r="DH159" s="204">
        <f t="shared" ca="1" si="6672"/>
        <v>-4.7793654807846975E-4</v>
      </c>
      <c r="DI159" s="205"/>
      <c r="DJ159" s="206">
        <f t="shared" ca="1" si="6673"/>
        <v>0</v>
      </c>
      <c r="DK159" s="206">
        <f t="shared" ca="1" si="6674"/>
        <v>0</v>
      </c>
      <c r="DL159" s="207">
        <f t="shared" ca="1" si="4718"/>
        <v>0</v>
      </c>
      <c r="DM159" s="391">
        <f>CY159+DI159</f>
        <v>1300</v>
      </c>
      <c r="DN159" s="391">
        <f t="shared" ca="1" si="5338"/>
        <v>93860</v>
      </c>
      <c r="DO159" s="391">
        <f t="shared" ca="1" si="6675"/>
        <v>73421.985000000001</v>
      </c>
      <c r="DP159" s="394">
        <f t="shared" ca="1" si="6609"/>
        <v>2.047793654807847E-2</v>
      </c>
      <c r="DQ159" s="209" t="str">
        <f t="shared" ca="1" si="5140"/>
        <v>V</v>
      </c>
      <c r="DR159" s="197">
        <f>260</f>
        <v>260</v>
      </c>
      <c r="DS159" s="312">
        <f t="shared" ca="1" si="6676"/>
        <v>8.8490876343327862E-3</v>
      </c>
      <c r="DT159" s="395">
        <v>71.566699999999997</v>
      </c>
      <c r="DU159" s="199">
        <f t="shared" ca="1" si="6677"/>
        <v>18772</v>
      </c>
      <c r="DV159" s="199">
        <f t="shared" ca="1" si="6678"/>
        <v>14684.397000000001</v>
      </c>
      <c r="DW159" s="216">
        <f t="shared" ca="1" si="5343"/>
        <v>2.0925103707729584E-2</v>
      </c>
      <c r="DX159" s="202">
        <f t="shared" ca="1" si="6679"/>
        <v>-11.494660545975822</v>
      </c>
      <c r="DY159" s="203">
        <f t="shared" ca="1" si="6680"/>
        <v>-829.91449141945441</v>
      </c>
      <c r="DZ159" s="203">
        <f t="shared" ca="1" si="6681"/>
        <v>-649.20061091286823</v>
      </c>
      <c r="EA159" s="204">
        <f t="shared" ca="1" si="6682"/>
        <v>-9.2510370772958331E-4</v>
      </c>
      <c r="EB159" s="205"/>
      <c r="EC159" s="206">
        <f t="shared" ca="1" si="6683"/>
        <v>0</v>
      </c>
      <c r="ED159" s="206">
        <f t="shared" ca="1" si="6684"/>
        <v>0</v>
      </c>
      <c r="EE159" s="207">
        <f t="shared" ca="1" si="5349"/>
        <v>0</v>
      </c>
      <c r="EF159" s="391">
        <f>DR159+EB159</f>
        <v>260</v>
      </c>
      <c r="EG159" s="391">
        <f t="shared" ca="1" si="6685"/>
        <v>18772</v>
      </c>
      <c r="EH159" s="391">
        <f t="shared" ca="1" si="6686"/>
        <v>14684.397000000001</v>
      </c>
      <c r="EI159" s="394">
        <f t="shared" ca="1" si="6610"/>
        <v>2.0925103707729584E-2</v>
      </c>
      <c r="EJ159" s="214"/>
      <c r="EK159" s="312" t="str">
        <f t="shared" ca="1" si="6687"/>
        <v/>
      </c>
      <c r="EL159" s="222"/>
      <c r="EM159" s="199">
        <f t="shared" ca="1" si="6688"/>
        <v>0</v>
      </c>
      <c r="EN159" s="199">
        <f t="shared" ca="1" si="6689"/>
        <v>0</v>
      </c>
      <c r="EO159" s="216">
        <f t="shared" ref="EO159" ca="1" si="6716">IFERROR(EN159/EJ$4,0)</f>
        <v>0</v>
      </c>
      <c r="EP159" s="202">
        <f t="shared" ca="1" si="6690"/>
        <v>251.33416682393562</v>
      </c>
      <c r="EQ159" s="203">
        <f t="shared" ca="1" si="6691"/>
        <v>18146.326844688152</v>
      </c>
      <c r="ER159" s="203">
        <f t="shared" ca="1" si="6692"/>
        <v>14194.964174257308</v>
      </c>
      <c r="ES159" s="204">
        <f t="shared" ca="1" si="6693"/>
        <v>0.02</v>
      </c>
      <c r="ET159" s="205"/>
      <c r="EU159" s="206">
        <f t="shared" ca="1" si="6694"/>
        <v>0</v>
      </c>
      <c r="EV159" s="206">
        <f t="shared" ca="1" si="6695"/>
        <v>0</v>
      </c>
      <c r="EW159" s="207">
        <f t="shared" ref="EW159" ca="1" si="6717">IFERROR(EV159/EJ$4,0)</f>
        <v>0</v>
      </c>
      <c r="EX159" s="391">
        <f>EJ159+ET159</f>
        <v>0</v>
      </c>
      <c r="EY159" s="391">
        <f t="shared" ca="1" si="5364"/>
        <v>0</v>
      </c>
      <c r="EZ159" s="391">
        <f t="shared" ca="1" si="6696"/>
        <v>0</v>
      </c>
      <c r="FA159" s="394">
        <f t="shared" ref="FA159" ca="1" si="6718">IFERROR(EZ159/EJ$4,0)</f>
        <v>0</v>
      </c>
      <c r="FB159" s="212" t="str">
        <f t="shared" ca="1" si="5151"/>
        <v/>
      </c>
      <c r="FC159" s="214"/>
      <c r="FD159" s="312" t="str">
        <f t="shared" ca="1" si="6697"/>
        <v/>
      </c>
      <c r="FE159" s="215"/>
      <c r="FF159" s="199">
        <f t="shared" ca="1" si="6698"/>
        <v>0</v>
      </c>
      <c r="FG159" s="199">
        <f t="shared" ca="1" si="6699"/>
        <v>0</v>
      </c>
      <c r="FH159" s="216">
        <f t="shared" ref="FH159" ca="1" si="6719">IFERROR(FG159/FC$4,0)</f>
        <v>0</v>
      </c>
      <c r="FI159" s="202">
        <f t="shared" ca="1" si="6700"/>
        <v>1613.9349927701735</v>
      </c>
      <c r="FJ159" s="203">
        <f t="shared" ca="1" si="6701"/>
        <v>116526.10647800654</v>
      </c>
      <c r="FK159" s="203">
        <f t="shared" ca="1" si="6702"/>
        <v>91152.546792420617</v>
      </c>
      <c r="FL159" s="204">
        <f t="shared" ca="1" si="6703"/>
        <v>0.02</v>
      </c>
      <c r="FM159" s="205"/>
      <c r="FN159" s="206">
        <f t="shared" ca="1" si="6704"/>
        <v>0</v>
      </c>
      <c r="FO159" s="206">
        <f t="shared" ca="1" si="6705"/>
        <v>0</v>
      </c>
      <c r="FP159" s="207">
        <f t="shared" ref="FP159" ca="1" si="6720">IFERROR(FO159/FC$4,0)</f>
        <v>0</v>
      </c>
      <c r="FQ159" s="391">
        <f>FC159+FM159</f>
        <v>0</v>
      </c>
      <c r="FR159" s="391">
        <f t="shared" ca="1" si="5378"/>
        <v>0</v>
      </c>
      <c r="FS159" s="391">
        <f t="shared" ca="1" si="6706"/>
        <v>0</v>
      </c>
      <c r="FT159" s="394">
        <f t="shared" ref="FT159" ca="1" si="6721">IFERROR(FS159/FC$4,0)</f>
        <v>0</v>
      </c>
      <c r="FU159" s="209" t="str">
        <f t="shared" ca="1" si="5162"/>
        <v/>
      </c>
    </row>
    <row r="160" spans="1:177" x14ac:dyDescent="0.2">
      <c r="A160" s="434" t="s">
        <v>577</v>
      </c>
      <c r="B160" s="434"/>
      <c r="C160" s="435"/>
      <c r="D160" s="436"/>
      <c r="E160" s="437"/>
      <c r="F160" s="435"/>
      <c r="G160" s="438"/>
      <c r="H160" s="1721"/>
      <c r="I160" s="1685"/>
      <c r="J160" s="1721"/>
      <c r="K160" s="1685"/>
      <c r="L160" s="1685"/>
      <c r="M160" s="434"/>
      <c r="N160" s="439">
        <f>SUM(N$161,N$164)</f>
        <v>0</v>
      </c>
      <c r="O160" s="439">
        <f>SUM(O$161,O$164)</f>
        <v>0</v>
      </c>
      <c r="P160" s="440">
        <f t="shared" ca="1" si="6318"/>
        <v>0</v>
      </c>
      <c r="Q160" s="441"/>
      <c r="R160" s="441"/>
      <c r="S160" s="435"/>
      <c r="T160" s="441"/>
      <c r="U160" s="442"/>
      <c r="V160" s="441"/>
      <c r="W160" s="435"/>
      <c r="X160" s="443"/>
      <c r="Y160" s="443"/>
      <c r="Z160" s="444"/>
      <c r="AA160" s="445"/>
      <c r="AB160" s="446"/>
      <c r="AC160" s="446"/>
      <c r="AD160" s="447"/>
      <c r="AE160" s="448">
        <f ca="1">SUM(AE$161,AE$164)</f>
        <v>0</v>
      </c>
      <c r="AF160" s="449">
        <f ca="1">IFERROR(AE160/AA$4,0)</f>
        <v>0</v>
      </c>
      <c r="AG160" s="450"/>
      <c r="AH160" s="451"/>
      <c r="AI160" s="448">
        <f ca="1">SUM(AI$161,AI$164)</f>
        <v>0</v>
      </c>
      <c r="AJ160" s="452">
        <f ca="1">IFERROR(AI160/AA$4,0)</f>
        <v>0</v>
      </c>
      <c r="AK160" s="450"/>
      <c r="AL160" s="451"/>
      <c r="AM160" s="448">
        <f ca="1">SUM(AM$161,AM$164)</f>
        <v>0</v>
      </c>
      <c r="AN160" s="452">
        <f ca="1">IFERROR(AM160/AA$4,0)</f>
        <v>0</v>
      </c>
      <c r="AO160" s="451"/>
      <c r="AP160" s="451"/>
      <c r="AQ160" s="448">
        <f ca="1">SUM(AQ$161,AQ$164)</f>
        <v>0</v>
      </c>
      <c r="AR160" s="449">
        <f ca="1">IFERROR(AQ160/AA$4,0)</f>
        <v>0</v>
      </c>
      <c r="AS160" s="183" t="str">
        <f t="shared" ca="1" si="5098"/>
        <v/>
      </c>
      <c r="AT160" s="445"/>
      <c r="AU160" s="446"/>
      <c r="AV160" s="446"/>
      <c r="AW160" s="447"/>
      <c r="AX160" s="448">
        <f ca="1">SUM(AX$161,AX$164)</f>
        <v>0</v>
      </c>
      <c r="AY160" s="449">
        <f ca="1">IFERROR(AX160/AT$4,0)</f>
        <v>0</v>
      </c>
      <c r="AZ160" s="450"/>
      <c r="BA160" s="451"/>
      <c r="BB160" s="448">
        <f ca="1">SUM(BB$161,BB$164)</f>
        <v>0</v>
      </c>
      <c r="BC160" s="452">
        <f ca="1">IFERROR(BB160/AT$4,0)</f>
        <v>0</v>
      </c>
      <c r="BD160" s="450"/>
      <c r="BE160" s="451"/>
      <c r="BF160" s="448">
        <f ca="1">SUM(BF$161,BF$164)</f>
        <v>0</v>
      </c>
      <c r="BG160" s="452">
        <f ca="1">IFERROR(BF160/AT$4,0)</f>
        <v>0</v>
      </c>
      <c r="BH160" s="451"/>
      <c r="BI160" s="451"/>
      <c r="BJ160" s="448">
        <f ca="1">SUM(BJ$161,BJ$164)</f>
        <v>0</v>
      </c>
      <c r="BK160" s="449">
        <f ca="1">IFERROR(BJ160/AT$4,0)</f>
        <v>0</v>
      </c>
      <c r="BL160" s="53" t="str">
        <f t="shared" ca="1" si="5109"/>
        <v/>
      </c>
      <c r="BM160" s="445"/>
      <c r="BN160" s="446"/>
      <c r="BO160" s="446"/>
      <c r="BP160" s="447"/>
      <c r="BQ160" s="448">
        <f ca="1">SUM(BQ$161,BQ$164)</f>
        <v>0</v>
      </c>
      <c r="BR160" s="449">
        <f ca="1">IFERROR(BQ160/BM$4,0)</f>
        <v>0</v>
      </c>
      <c r="BS160" s="450"/>
      <c r="BT160" s="451"/>
      <c r="BU160" s="448">
        <f ca="1">SUM(BU$161,BU$164)</f>
        <v>0</v>
      </c>
      <c r="BV160" s="452">
        <f ca="1">IFERROR(BU160/BM$4,0)</f>
        <v>0</v>
      </c>
      <c r="BW160" s="450"/>
      <c r="BX160" s="451"/>
      <c r="BY160" s="448">
        <f ca="1">SUM(BY$161,BY$164)</f>
        <v>0</v>
      </c>
      <c r="BZ160" s="452">
        <f ca="1">IFERROR(BY160/BM$4,0)</f>
        <v>0</v>
      </c>
      <c r="CA160" s="451"/>
      <c r="CB160" s="451"/>
      <c r="CC160" s="448">
        <f ca="1">SUM(CC$161,CC$164)</f>
        <v>0</v>
      </c>
      <c r="CD160" s="449">
        <f ca="1">IFERROR(CC160/BM$4,0)</f>
        <v>0</v>
      </c>
      <c r="CE160" s="184" t="str">
        <f t="shared" ca="1" si="5120"/>
        <v/>
      </c>
      <c r="CF160" s="445"/>
      <c r="CG160" s="446"/>
      <c r="CH160" s="446"/>
      <c r="CI160" s="447"/>
      <c r="CJ160" s="448">
        <f ca="1">SUM(CJ$161,CJ$164)</f>
        <v>0</v>
      </c>
      <c r="CK160" s="449">
        <f t="shared" ca="1" si="6606"/>
        <v>0</v>
      </c>
      <c r="CL160" s="450"/>
      <c r="CM160" s="451"/>
      <c r="CN160" s="448">
        <f ca="1">SUM(CN$161,CN$164)</f>
        <v>0</v>
      </c>
      <c r="CO160" s="452">
        <f ca="1">IFERROR(CN160/CF$4,0)</f>
        <v>0</v>
      </c>
      <c r="CP160" s="450"/>
      <c r="CQ160" s="451"/>
      <c r="CR160" s="448">
        <f ca="1">SUM(CR$161,CR$164)</f>
        <v>0</v>
      </c>
      <c r="CS160" s="452">
        <f t="shared" ca="1" si="6607"/>
        <v>0</v>
      </c>
      <c r="CT160" s="451"/>
      <c r="CU160" s="451"/>
      <c r="CV160" s="448">
        <f ca="1">SUM(CV$161,CV$164)</f>
        <v>0</v>
      </c>
      <c r="CW160" s="449">
        <f t="shared" ca="1" si="6608"/>
        <v>0</v>
      </c>
      <c r="CX160" s="53" t="str">
        <f t="shared" ca="1" si="5130"/>
        <v/>
      </c>
      <c r="CY160" s="453"/>
      <c r="CZ160" s="446"/>
      <c r="DA160" s="447"/>
      <c r="DB160" s="448"/>
      <c r="DC160" s="448">
        <f ca="1">SUM(DC$161,DC$164)</f>
        <v>0</v>
      </c>
      <c r="DD160" s="449">
        <f t="shared" ca="1" si="4717"/>
        <v>0</v>
      </c>
      <c r="DE160" s="450"/>
      <c r="DF160" s="451"/>
      <c r="DG160" s="448">
        <f ca="1">SUM(DG$161,DG$164)</f>
        <v>0</v>
      </c>
      <c r="DH160" s="452">
        <f ca="1">IFERROR(DG160/CY$4,0)</f>
        <v>0</v>
      </c>
      <c r="DI160" s="450"/>
      <c r="DJ160" s="451"/>
      <c r="DK160" s="448">
        <f ca="1">SUM(DK$161,DK$164)</f>
        <v>0</v>
      </c>
      <c r="DL160" s="452">
        <f t="shared" ca="1" si="4718"/>
        <v>0</v>
      </c>
      <c r="DM160" s="451"/>
      <c r="DN160" s="451"/>
      <c r="DO160" s="448">
        <f ca="1">SUM(DO$161,DO$164)</f>
        <v>0</v>
      </c>
      <c r="DP160" s="449">
        <f t="shared" ca="1" si="6609"/>
        <v>0</v>
      </c>
      <c r="DQ160" s="183" t="str">
        <f t="shared" ca="1" si="5140"/>
        <v/>
      </c>
      <c r="DR160" s="453"/>
      <c r="DS160" s="446"/>
      <c r="DT160" s="447"/>
      <c r="DU160" s="448"/>
      <c r="DV160" s="448">
        <f ca="1">SUM(DV$161,DV$164)</f>
        <v>0</v>
      </c>
      <c r="DW160" s="449">
        <f t="shared" ca="1" si="5343"/>
        <v>0</v>
      </c>
      <c r="DX160" s="450"/>
      <c r="DY160" s="451"/>
      <c r="DZ160" s="448">
        <f ca="1">SUM(DZ$161,DZ$164)</f>
        <v>0</v>
      </c>
      <c r="EA160" s="452">
        <f ca="1">IFERROR(DZ160/DR$4,0)</f>
        <v>0</v>
      </c>
      <c r="EB160" s="450"/>
      <c r="EC160" s="451"/>
      <c r="ED160" s="448">
        <f ca="1">SUM(ED$161,ED$164)</f>
        <v>0</v>
      </c>
      <c r="EE160" s="452">
        <f t="shared" ca="1" si="5349"/>
        <v>0</v>
      </c>
      <c r="EF160" s="451"/>
      <c r="EG160" s="451"/>
      <c r="EH160" s="448">
        <f ca="1">SUM(EH$161,EH$164)</f>
        <v>0</v>
      </c>
      <c r="EI160" s="449">
        <f t="shared" ca="1" si="6610"/>
        <v>0</v>
      </c>
      <c r="EJ160" s="445"/>
      <c r="EK160" s="446"/>
      <c r="EL160" s="454"/>
      <c r="EM160" s="447"/>
      <c r="EN160" s="448">
        <f ca="1">SUM(EN$161,EN$164)</f>
        <v>0</v>
      </c>
      <c r="EO160" s="449">
        <f ca="1">IFERROR(EN160/EJ$4,0)</f>
        <v>0</v>
      </c>
      <c r="EP160" s="450"/>
      <c r="EQ160" s="451"/>
      <c r="ER160" s="448">
        <f ca="1">SUM(ER$161,ER$164)</f>
        <v>0</v>
      </c>
      <c r="ES160" s="452">
        <f ca="1">IFERROR(ER160/EJ$4,0)</f>
        <v>0</v>
      </c>
      <c r="ET160" s="450"/>
      <c r="EU160" s="451"/>
      <c r="EV160" s="448">
        <f ca="1">SUM(EV$161,EV$164)</f>
        <v>0</v>
      </c>
      <c r="EW160" s="452">
        <f ca="1">IFERROR(EV160/EJ$4,0)</f>
        <v>0</v>
      </c>
      <c r="EX160" s="451"/>
      <c r="EY160" s="451"/>
      <c r="EZ160" s="448">
        <f ca="1">SUM(EZ$161,EZ$164)</f>
        <v>0</v>
      </c>
      <c r="FA160" s="449">
        <f ca="1">IFERROR(EZ160/EJ$4,0)</f>
        <v>0</v>
      </c>
      <c r="FB160" s="184" t="str">
        <f t="shared" ca="1" si="5151"/>
        <v/>
      </c>
      <c r="FC160" s="445"/>
      <c r="FD160" s="446"/>
      <c r="FE160" s="446"/>
      <c r="FF160" s="447"/>
      <c r="FG160" s="448">
        <f ca="1">SUM(FG$161,FG$164)</f>
        <v>0</v>
      </c>
      <c r="FH160" s="449">
        <f ca="1">IFERROR(FG160/FC$4,0)</f>
        <v>0</v>
      </c>
      <c r="FI160" s="450"/>
      <c r="FJ160" s="451"/>
      <c r="FK160" s="448">
        <f ca="1">SUM(FK$161,FK$164)</f>
        <v>0</v>
      </c>
      <c r="FL160" s="452">
        <f ca="1">IFERROR(FK160/FC$4,0)</f>
        <v>0</v>
      </c>
      <c r="FM160" s="450"/>
      <c r="FN160" s="451"/>
      <c r="FO160" s="448">
        <f ca="1">SUM(FO$161,FO$164)</f>
        <v>0</v>
      </c>
      <c r="FP160" s="452">
        <f ca="1">IFERROR(FO160/FC$4,0)</f>
        <v>0</v>
      </c>
      <c r="FQ160" s="451"/>
      <c r="FR160" s="451"/>
      <c r="FS160" s="448">
        <f ca="1">SUM(FS$161,FS$164)</f>
        <v>0</v>
      </c>
      <c r="FT160" s="449">
        <f ca="1">IFERROR(FS160/FC$4,0)</f>
        <v>0</v>
      </c>
      <c r="FU160" s="183" t="str">
        <f t="shared" ca="1" si="5162"/>
        <v/>
      </c>
    </row>
    <row r="161" spans="1:177" outlineLevel="1" x14ac:dyDescent="0.2">
      <c r="A161" s="455"/>
      <c r="B161" s="455" t="s">
        <v>397</v>
      </c>
      <c r="C161" s="456"/>
      <c r="D161" s="457"/>
      <c r="E161" s="458"/>
      <c r="F161" s="456"/>
      <c r="G161" s="459"/>
      <c r="H161" s="1686"/>
      <c r="I161" s="1686"/>
      <c r="J161" s="1722"/>
      <c r="K161" s="1686"/>
      <c r="L161" s="1686"/>
      <c r="M161" s="455"/>
      <c r="N161" s="460">
        <f>SUM(N$162)</f>
        <v>0</v>
      </c>
      <c r="O161" s="460">
        <f>SUM(O$162)</f>
        <v>0</v>
      </c>
      <c r="P161" s="461">
        <f t="shared" ca="1" si="6318"/>
        <v>0</v>
      </c>
      <c r="Q161" s="462"/>
      <c r="R161" s="462"/>
      <c r="S161" s="456"/>
      <c r="T161" s="462"/>
      <c r="U161" s="463"/>
      <c r="V161" s="462"/>
      <c r="W161" s="464"/>
      <c r="X161" s="465"/>
      <c r="Y161" s="465"/>
      <c r="Z161" s="466"/>
      <c r="AA161" s="467"/>
      <c r="AB161" s="468"/>
      <c r="AC161" s="468"/>
      <c r="AD161" s="456"/>
      <c r="AE161" s="469">
        <f ca="1">SUM(AE$162)</f>
        <v>0</v>
      </c>
      <c r="AF161" s="470">
        <f ca="1">IFERROR(AE161/AA$4,0)</f>
        <v>0</v>
      </c>
      <c r="AG161" s="471"/>
      <c r="AH161" s="456"/>
      <c r="AI161" s="469">
        <f ca="1">SUM(AI$162)</f>
        <v>0</v>
      </c>
      <c r="AJ161" s="472">
        <f ca="1">IFERROR(AI161/AA$4,0)</f>
        <v>0</v>
      </c>
      <c r="AK161" s="471"/>
      <c r="AL161" s="456"/>
      <c r="AM161" s="469">
        <f ca="1">SUM(AM$162)</f>
        <v>0</v>
      </c>
      <c r="AN161" s="472">
        <f ca="1">IFERROR(AM161/AA$4,0)</f>
        <v>0</v>
      </c>
      <c r="AO161" s="456"/>
      <c r="AP161" s="456"/>
      <c r="AQ161" s="469">
        <f ca="1">SUM(AQ$162)</f>
        <v>0</v>
      </c>
      <c r="AR161" s="470">
        <f ca="1">IFERROR(AQ161/AA$4,0)</f>
        <v>0</v>
      </c>
      <c r="AS161" s="473" t="str">
        <f t="shared" ca="1" si="5098"/>
        <v/>
      </c>
      <c r="AT161" s="467"/>
      <c r="AU161" s="468"/>
      <c r="AV161" s="468"/>
      <c r="AW161" s="456"/>
      <c r="AX161" s="469">
        <f ca="1">SUM(AX$162)</f>
        <v>0</v>
      </c>
      <c r="AY161" s="470">
        <f ca="1">IFERROR(AX161/AT$4,0)</f>
        <v>0</v>
      </c>
      <c r="AZ161" s="471"/>
      <c r="BA161" s="456"/>
      <c r="BB161" s="469">
        <f ca="1">SUM(BB$162)</f>
        <v>0</v>
      </c>
      <c r="BC161" s="472">
        <f ca="1">IFERROR(BB161/AT$4,0)</f>
        <v>0</v>
      </c>
      <c r="BD161" s="471"/>
      <c r="BE161" s="456"/>
      <c r="BF161" s="469">
        <f ca="1">SUM(BF$162)</f>
        <v>0</v>
      </c>
      <c r="BG161" s="472">
        <f ca="1">IFERROR(BF161/AT$4,0)</f>
        <v>0</v>
      </c>
      <c r="BH161" s="456"/>
      <c r="BI161" s="456"/>
      <c r="BJ161" s="469">
        <f ca="1">SUM(BJ$162)</f>
        <v>0</v>
      </c>
      <c r="BK161" s="470">
        <f ca="1">IFERROR(BJ161/AT$4,0)</f>
        <v>0</v>
      </c>
      <c r="BL161" s="295" t="str">
        <f t="shared" ca="1" si="5109"/>
        <v/>
      </c>
      <c r="BM161" s="467"/>
      <c r="BN161" s="468"/>
      <c r="BO161" s="468"/>
      <c r="BP161" s="456"/>
      <c r="BQ161" s="469">
        <f ca="1">SUM(BQ$162)</f>
        <v>0</v>
      </c>
      <c r="BR161" s="470">
        <f ca="1">IFERROR(BQ161/BM$4,0)</f>
        <v>0</v>
      </c>
      <c r="BS161" s="471"/>
      <c r="BT161" s="456"/>
      <c r="BU161" s="469">
        <f ca="1">SUM(BU$162)</f>
        <v>0</v>
      </c>
      <c r="BV161" s="472">
        <f ca="1">IFERROR(BU161/BM$4,0)</f>
        <v>0</v>
      </c>
      <c r="BW161" s="471"/>
      <c r="BX161" s="456"/>
      <c r="BY161" s="469">
        <f ca="1">SUM(BY$162)</f>
        <v>0</v>
      </c>
      <c r="BZ161" s="472">
        <f ca="1">IFERROR(BY161/BM$4,0)</f>
        <v>0</v>
      </c>
      <c r="CA161" s="456"/>
      <c r="CB161" s="456"/>
      <c r="CC161" s="469">
        <f ca="1">SUM(CC$162)</f>
        <v>0</v>
      </c>
      <c r="CD161" s="470">
        <f ca="1">IFERROR(CC161/BM$4,0)</f>
        <v>0</v>
      </c>
      <c r="CE161" s="474" t="str">
        <f t="shared" ca="1" si="5120"/>
        <v/>
      </c>
      <c r="CF161" s="467"/>
      <c r="CG161" s="468"/>
      <c r="CH161" s="468"/>
      <c r="CI161" s="456"/>
      <c r="CJ161" s="469">
        <f ca="1">SUM(CJ$162)</f>
        <v>0</v>
      </c>
      <c r="CK161" s="470">
        <f t="shared" ca="1" si="6606"/>
        <v>0</v>
      </c>
      <c r="CL161" s="471"/>
      <c r="CM161" s="456"/>
      <c r="CN161" s="469">
        <f ca="1">SUM(CN$162)</f>
        <v>0</v>
      </c>
      <c r="CO161" s="472">
        <f ca="1">IFERROR(CN161/CF$4,0)</f>
        <v>0</v>
      </c>
      <c r="CP161" s="471"/>
      <c r="CQ161" s="456"/>
      <c r="CR161" s="469">
        <f ca="1">SUM(CR$162)</f>
        <v>0</v>
      </c>
      <c r="CS161" s="472">
        <f t="shared" ca="1" si="6607"/>
        <v>0</v>
      </c>
      <c r="CT161" s="456"/>
      <c r="CU161" s="456"/>
      <c r="CV161" s="469">
        <f ca="1">SUM(CV$162)</f>
        <v>0</v>
      </c>
      <c r="CW161" s="470">
        <f t="shared" ca="1" si="6608"/>
        <v>0</v>
      </c>
      <c r="CX161" s="295" t="str">
        <f t="shared" ca="1" si="5130"/>
        <v/>
      </c>
      <c r="CY161" s="475"/>
      <c r="CZ161" s="468"/>
      <c r="DA161" s="456"/>
      <c r="DB161" s="469"/>
      <c r="DC161" s="469">
        <f ca="1">SUM(DC$162)</f>
        <v>0</v>
      </c>
      <c r="DD161" s="470">
        <f t="shared" ca="1" si="4717"/>
        <v>0</v>
      </c>
      <c r="DE161" s="471"/>
      <c r="DF161" s="456"/>
      <c r="DG161" s="469">
        <f ca="1">SUM(DG$162)</f>
        <v>0</v>
      </c>
      <c r="DH161" s="472">
        <f ca="1">IFERROR(DG161/CY$4,0)</f>
        <v>0</v>
      </c>
      <c r="DI161" s="471"/>
      <c r="DJ161" s="456"/>
      <c r="DK161" s="469">
        <f ca="1">SUM(DK$162)</f>
        <v>0</v>
      </c>
      <c r="DL161" s="472">
        <f t="shared" ca="1" si="4718"/>
        <v>0</v>
      </c>
      <c r="DM161" s="456"/>
      <c r="DN161" s="456"/>
      <c r="DO161" s="469">
        <f ca="1">SUM(DO$162)</f>
        <v>0</v>
      </c>
      <c r="DP161" s="470">
        <f t="shared" ca="1" si="6609"/>
        <v>0</v>
      </c>
      <c r="DQ161" s="473" t="str">
        <f t="shared" ca="1" si="5140"/>
        <v/>
      </c>
      <c r="DR161" s="475"/>
      <c r="DS161" s="468"/>
      <c r="DT161" s="456"/>
      <c r="DU161" s="469"/>
      <c r="DV161" s="469">
        <f ca="1">SUM(DV$162)</f>
        <v>0</v>
      </c>
      <c r="DW161" s="470">
        <f t="shared" ca="1" si="5343"/>
        <v>0</v>
      </c>
      <c r="DX161" s="471"/>
      <c r="DY161" s="456"/>
      <c r="DZ161" s="469">
        <f ca="1">SUM(DZ$162)</f>
        <v>0</v>
      </c>
      <c r="EA161" s="472">
        <f ca="1">IFERROR(DZ161/DR$4,0)</f>
        <v>0</v>
      </c>
      <c r="EB161" s="471"/>
      <c r="EC161" s="456"/>
      <c r="ED161" s="469">
        <f ca="1">SUM(ED$162)</f>
        <v>0</v>
      </c>
      <c r="EE161" s="472">
        <f t="shared" ca="1" si="5349"/>
        <v>0</v>
      </c>
      <c r="EF161" s="456"/>
      <c r="EG161" s="456"/>
      <c r="EH161" s="469">
        <f ca="1">SUM(EH$162)</f>
        <v>0</v>
      </c>
      <c r="EI161" s="470">
        <f t="shared" ca="1" si="6610"/>
        <v>0</v>
      </c>
      <c r="EJ161" s="467"/>
      <c r="EK161" s="468"/>
      <c r="EL161" s="476"/>
      <c r="EM161" s="456"/>
      <c r="EN161" s="469">
        <f ca="1">SUM(EN$162)</f>
        <v>0</v>
      </c>
      <c r="EO161" s="470">
        <f ca="1">IFERROR(EN161/EJ$4,0)</f>
        <v>0</v>
      </c>
      <c r="EP161" s="471"/>
      <c r="EQ161" s="456"/>
      <c r="ER161" s="469">
        <f ca="1">SUM(ER$162)</f>
        <v>0</v>
      </c>
      <c r="ES161" s="472">
        <f ca="1">IFERROR(ER161/EJ$4,0)</f>
        <v>0</v>
      </c>
      <c r="ET161" s="471"/>
      <c r="EU161" s="456"/>
      <c r="EV161" s="469">
        <f ca="1">SUM(EV$162)</f>
        <v>0</v>
      </c>
      <c r="EW161" s="472">
        <f ca="1">IFERROR(EV161/EJ$4,0)</f>
        <v>0</v>
      </c>
      <c r="EX161" s="456"/>
      <c r="EY161" s="456"/>
      <c r="EZ161" s="469">
        <f ca="1">SUM(EZ$162)</f>
        <v>0</v>
      </c>
      <c r="FA161" s="470">
        <f ca="1">IFERROR(EZ161/EJ$4,0)</f>
        <v>0</v>
      </c>
      <c r="FB161" s="474" t="str">
        <f t="shared" ca="1" si="5151"/>
        <v/>
      </c>
      <c r="FC161" s="467"/>
      <c r="FD161" s="468"/>
      <c r="FE161" s="468"/>
      <c r="FF161" s="456"/>
      <c r="FG161" s="469">
        <f ca="1">SUM(FG$162)</f>
        <v>0</v>
      </c>
      <c r="FH161" s="470">
        <f ca="1">IFERROR(FG161/FC$4,0)</f>
        <v>0</v>
      </c>
      <c r="FI161" s="471"/>
      <c r="FJ161" s="456"/>
      <c r="FK161" s="469">
        <f ca="1">SUM(FK$162)</f>
        <v>0</v>
      </c>
      <c r="FL161" s="472">
        <f ca="1">IFERROR(FK161/FC$4,0)</f>
        <v>0</v>
      </c>
      <c r="FM161" s="471"/>
      <c r="FN161" s="456"/>
      <c r="FO161" s="469">
        <f ca="1">SUM(FO$162)</f>
        <v>0</v>
      </c>
      <c r="FP161" s="472">
        <f ca="1">IFERROR(FO161/FC$4,0)</f>
        <v>0</v>
      </c>
      <c r="FQ161" s="456"/>
      <c r="FR161" s="456"/>
      <c r="FS161" s="469">
        <f ca="1">SUM(FS$162)</f>
        <v>0</v>
      </c>
      <c r="FT161" s="470">
        <f ca="1">IFERROR(FS161/FC$4,0)</f>
        <v>0</v>
      </c>
      <c r="FU161" s="473" t="str">
        <f t="shared" ca="1" si="5162"/>
        <v/>
      </c>
    </row>
    <row r="162" spans="1:177" outlineLevel="2" x14ac:dyDescent="0.2">
      <c r="A162" s="477"/>
      <c r="B162" s="477"/>
      <c r="C162" s="478" t="str">
        <f ca="1">OFFSET(Origine,MATCH($F162,Descrizioni,0),MATCH(C$15,Intestazioni,0)-1,1,1)</f>
        <v>CH0014420829:CHF</v>
      </c>
      <c r="D162" s="479" t="str">
        <f ca="1">OFFSET(Origine,MATCH($F162,Descrizioni,0),MATCH(D$15,Intestazioni,0)-1,1,1)</f>
        <v>CH0014420829</v>
      </c>
      <c r="E162" s="480" t="str">
        <f ca="1">OFFSET(Origine,MATCH($F162,Descrizioni,0),MATCH(E$15,Intestazioni,0)-1,1,1)</f>
        <v>1442082</v>
      </c>
      <c r="F162" s="478" t="s">
        <v>578</v>
      </c>
      <c r="G162" s="481"/>
      <c r="H162" s="1723" t="str">
        <f ca="1">IF(OFFSET(Origine,MATCH($F162,Descrizioni,0),MATCH(H$15,Intestazioni,0)-1,1,1)&lt;&gt;"",HYPERLINK(OFFSET(Origine,MATCH($F162,Descrizioni,0),MATCH(H$15,Intestazioni,0)-1,1,1),""),"")</f>
        <v></v>
      </c>
      <c r="I162" s="1687" t="str">
        <f ca="1">IF(OFFSET(Origine,MATCH($F162,Descrizioni,0),MATCH(I$15,Intestazioni,0)-1,1,1)&lt;&gt;"",HYPERLINK(OFFSET(Origine,MATCH($F162,Descrizioni,0),MATCH(I$15,Intestazioni,0)-1,1,1),"i"),"")</f>
        <v>i</v>
      </c>
      <c r="J162" s="1723" t="str">
        <f ca="1">IF(OFFSET(Origine,MATCH($F162,Descrizioni,0),MATCH(J$15,Intestazioni,0)-1,1,1)&lt;&gt;"",HYPERLINK(OFFSET(Origine,MATCH($F162,Descrizioni,0),MATCH(J$15,Intestazioni,0)-1,1,1),""),"")</f>
        <v></v>
      </c>
      <c r="K162" s="1724" t="str">
        <f ca="1">IF(OFFSET(Origine,MATCH($F162,Descrizioni,0),MATCH(K$15,Intestazioni,0)-1,1,1)&lt;&gt;"",HYPERLINK(OFFSET(Origine,MATCH($F162,Descrizioni,0),MATCH(K$15,Intestazioni,0)-1,1,1),""),"")</f>
        <v></v>
      </c>
      <c r="L162" s="1725" t="str">
        <f ca="1">IF(OFFSET(Origine,MATCH($F162,Descrizioni,0),MATCH(L$15,Intestazioni,0)-1,1,1)&lt;&gt;"",HYPERLINK("https://www.zonebourse.com/mods_a/charts/TV/inc_dyna_graph.php?c="&amp;OFFSET(Origine,MATCH($F162,Descrizioni,0),MATCH(L$15,Intestazioni,0)-1,1,1)&amp;"&amp;style=TradingView.CANDLES&amp;showAT=1",""),"")</f>
        <v></v>
      </c>
      <c r="M162" s="477" t="str">
        <f ca="1">(OFFSET(Origine,MATCH($F162,Descrizioni,0),MATCH(M$15,Intestazioni,0)-1,1,1))</f>
        <v>Unit</v>
      </c>
      <c r="N162" s="482"/>
      <c r="O162" s="482"/>
      <c r="P162" s="483">
        <f t="shared" ca="1" si="6318"/>
        <v>0</v>
      </c>
      <c r="Q162" s="484">
        <f t="array" aca="1" ref="Q162" ca="1">SUM(IF($AA$15:$FT$15="I_pos",AA162:FT162))</f>
        <v>0</v>
      </c>
      <c r="R162" s="484">
        <f t="array" aca="1" ref="R162" ca="1">SUM(IF($AA$15:$FT$15="P_Pos",AA162:FT162))</f>
        <v>0</v>
      </c>
      <c r="S162" s="478"/>
      <c r="T162" s="484"/>
      <c r="U162" s="485">
        <f ca="1">OFFSET(Origine,MATCH($F162,Descrizioni,0),MATCH(U$15,Intestazioni,0)-1,1,1)</f>
        <v>-1.9230769230768998E-3</v>
      </c>
      <c r="V162" s="484">
        <f t="array" aca="1" ref="V162" ca="1">SUM(IF($AA$15:$FT$15="O_Pos",AA162:FT162))</f>
        <v>0</v>
      </c>
      <c r="W162" s="478" t="str">
        <f ca="1">OFFSET(Origine,MATCH($F162,Descrizioni,0),MATCH(W$15,Intestazioni,0)-1,1,1)</f>
        <v>CHF</v>
      </c>
      <c r="X162" s="486">
        <f ca="1">_xlfn.NUMBERVALUE(OFFSET(Origine,MATCH($F162,Descrizioni,0),MATCH(X$15,Intestazioni,0)-1,1,1))</f>
        <v>103.8</v>
      </c>
      <c r="Y162" s="487">
        <f t="shared" ref="Y162" ca="1" si="6722">_xlfn.NUMBERVALUE(OFFSET(Origine,MATCH($F162,Descrizioni,0),MATCH(Y$15,Intestazioni,0)-1,1,1))</f>
        <v>0</v>
      </c>
      <c r="Z162" s="488">
        <f ca="1">_xlfn.NUMBERVALUE(OFFSET(Origine,MATCH(W162&amp;"/"&amp;MRif,LUKB_Name,0),MATCH("Price",Intestazioni,0)-1,1,1))</f>
        <v>1.0000001300000001</v>
      </c>
      <c r="AA162" s="214">
        <f>95+-95</f>
        <v>0</v>
      </c>
      <c r="AB162" s="489" t="str">
        <f ca="1">IFERROR($X162/AC162-1,"")</f>
        <v/>
      </c>
      <c r="AC162" s="215"/>
      <c r="AD162" s="199">
        <f ca="1">AA162*$X162</f>
        <v>0</v>
      </c>
      <c r="AE162" s="199">
        <f ca="1">AD162*$Z162</f>
        <v>0</v>
      </c>
      <c r="AF162" s="216">
        <f ca="1">IFERROR(AE162/AA$4,0)</f>
        <v>0</v>
      </c>
      <c r="AG162" s="202">
        <f ca="1">AH162/$X162</f>
        <v>0</v>
      </c>
      <c r="AH162" s="203">
        <f ca="1">AI162/$Z162</f>
        <v>0</v>
      </c>
      <c r="AI162" s="203">
        <f ca="1">AJ162*AA$4</f>
        <v>0</v>
      </c>
      <c r="AJ162" s="204">
        <f ca="1">IF(AA$6&lt;&gt;"",$O162,$N162)-AF162</f>
        <v>0</v>
      </c>
      <c r="AK162" s="205"/>
      <c r="AL162" s="206">
        <f ca="1">AK162*$X162</f>
        <v>0</v>
      </c>
      <c r="AM162" s="206">
        <f ca="1">AL162*$Z162</f>
        <v>0</v>
      </c>
      <c r="AN162" s="207">
        <f ca="1">IFERROR(AM162/AA$4,0)</f>
        <v>0</v>
      </c>
      <c r="AO162" s="484">
        <f>AA162+AK162</f>
        <v>0</v>
      </c>
      <c r="AP162" s="484">
        <f t="shared" ca="1" si="5295"/>
        <v>0</v>
      </c>
      <c r="AQ162" s="484">
        <f ca="1">AP162*$Z162</f>
        <v>0</v>
      </c>
      <c r="AR162" s="490">
        <f ca="1">IFERROR(AQ162/AA$4,0)</f>
        <v>0</v>
      </c>
      <c r="AS162" s="209" t="str">
        <f t="shared" ca="1" si="5098"/>
        <v/>
      </c>
      <c r="AT162" s="214">
        <f>875+-525+-350</f>
        <v>0</v>
      </c>
      <c r="AU162" s="489" t="str">
        <f ca="1">IFERROR($X162/AV162-1,"")</f>
        <v/>
      </c>
      <c r="AV162" s="215"/>
      <c r="AW162" s="199">
        <f ca="1">AT162*$X162</f>
        <v>0</v>
      </c>
      <c r="AX162" s="199">
        <f ca="1">AW162*$Z162</f>
        <v>0</v>
      </c>
      <c r="AY162" s="216">
        <f ca="1">IFERROR(AX162/AT$4,0)</f>
        <v>0</v>
      </c>
      <c r="AZ162" s="202">
        <f ca="1">BA162/$X162</f>
        <v>0</v>
      </c>
      <c r="BA162" s="203">
        <f ca="1">BB162/$Z162</f>
        <v>0</v>
      </c>
      <c r="BB162" s="203">
        <f ca="1">BC162*AT$4</f>
        <v>0</v>
      </c>
      <c r="BC162" s="204">
        <f ca="1">IF(AT$6&lt;&gt;"",$O162,$N162)-AY162</f>
        <v>0</v>
      </c>
      <c r="BD162" s="205"/>
      <c r="BE162" s="206">
        <f ca="1">BD162*$X162</f>
        <v>0</v>
      </c>
      <c r="BF162" s="206">
        <f ca="1">BE162*$Z162</f>
        <v>0</v>
      </c>
      <c r="BG162" s="207">
        <f ca="1">IFERROR(BF162/AT$4,0)</f>
        <v>0</v>
      </c>
      <c r="BH162" s="484">
        <f>AT162+BD162</f>
        <v>0</v>
      </c>
      <c r="BI162" s="484">
        <f t="shared" ca="1" si="5308"/>
        <v>0</v>
      </c>
      <c r="BJ162" s="484">
        <f ca="1">BI162*$Z162</f>
        <v>0</v>
      </c>
      <c r="BK162" s="490">
        <f ca="1">IFERROR(BJ162/AT$4,0)</f>
        <v>0</v>
      </c>
      <c r="BL162" s="211" t="str">
        <f t="shared" ca="1" si="5109"/>
        <v/>
      </c>
      <c r="BM162" s="214"/>
      <c r="BN162" s="489" t="str">
        <f ca="1">IFERROR($X162/BO162-1,"")</f>
        <v/>
      </c>
      <c r="BO162" s="215"/>
      <c r="BP162" s="199">
        <f ca="1">BM162*$X162</f>
        <v>0</v>
      </c>
      <c r="BQ162" s="199">
        <f ca="1">BP162*$Z162</f>
        <v>0</v>
      </c>
      <c r="BR162" s="216">
        <f ca="1">IFERROR(BQ162/BM$4,0)</f>
        <v>0</v>
      </c>
      <c r="BS162" s="202">
        <f ca="1">BT162/$X162</f>
        <v>0</v>
      </c>
      <c r="BT162" s="203">
        <f ca="1">BU162/$Z162</f>
        <v>0</v>
      </c>
      <c r="BU162" s="203">
        <f ca="1">BV162*BM$4</f>
        <v>0</v>
      </c>
      <c r="BV162" s="204">
        <f ca="1">IF(BM$6&lt;&gt;"",$O162,$N162)-BR162</f>
        <v>0</v>
      </c>
      <c r="BW162" s="205"/>
      <c r="BX162" s="206">
        <f ca="1">BW162*$X162</f>
        <v>0</v>
      </c>
      <c r="BY162" s="206">
        <f ca="1">BX162*$Z162</f>
        <v>0</v>
      </c>
      <c r="BZ162" s="207">
        <f ca="1">IFERROR(BY162/BM$4,0)</f>
        <v>0</v>
      </c>
      <c r="CA162" s="484">
        <f>BM162+BW162</f>
        <v>0</v>
      </c>
      <c r="CB162" s="484">
        <f t="shared" ca="1" si="5321"/>
        <v>0</v>
      </c>
      <c r="CC162" s="484">
        <f ca="1">CB162*$Z162</f>
        <v>0</v>
      </c>
      <c r="CD162" s="490">
        <f ca="1">IFERROR(CC162/BM$4,0)</f>
        <v>0</v>
      </c>
      <c r="CE162" s="212" t="str">
        <f t="shared" ca="1" si="5120"/>
        <v/>
      </c>
      <c r="CF162" s="214"/>
      <c r="CG162" s="489" t="str">
        <f ca="1">IFERROR($X162/CH162-1,"")</f>
        <v/>
      </c>
      <c r="CH162" s="215"/>
      <c r="CI162" s="199">
        <f ca="1">CF162*$X162</f>
        <v>0</v>
      </c>
      <c r="CJ162" s="199">
        <f ca="1">CI162*$Z162</f>
        <v>0</v>
      </c>
      <c r="CK162" s="216">
        <f t="shared" ca="1" si="6606"/>
        <v>0</v>
      </c>
      <c r="CL162" s="202">
        <f ca="1">CM162/$X162</f>
        <v>0</v>
      </c>
      <c r="CM162" s="203">
        <f ca="1">CN162/$Z162</f>
        <v>0</v>
      </c>
      <c r="CN162" s="203">
        <f ca="1">CO162*CF$4</f>
        <v>0</v>
      </c>
      <c r="CO162" s="204">
        <f ca="1">IF(CF$6&lt;&gt;"",$O162,$N162)-CK162</f>
        <v>0</v>
      </c>
      <c r="CP162" s="205"/>
      <c r="CQ162" s="206">
        <f ca="1">CP162*$X162</f>
        <v>0</v>
      </c>
      <c r="CR162" s="206">
        <f ca="1">CQ162*$Z162</f>
        <v>0</v>
      </c>
      <c r="CS162" s="207">
        <f t="shared" ca="1" si="6607"/>
        <v>0</v>
      </c>
      <c r="CT162" s="484">
        <f>CF162+CP162</f>
        <v>0</v>
      </c>
      <c r="CU162" s="484">
        <f t="shared" ca="1" si="5334"/>
        <v>0</v>
      </c>
      <c r="CV162" s="484">
        <f ca="1">CU162*$Z162</f>
        <v>0</v>
      </c>
      <c r="CW162" s="490">
        <f t="shared" ca="1" si="6608"/>
        <v>0</v>
      </c>
      <c r="CX162" s="211" t="str">
        <f t="shared" ca="1" si="5130"/>
        <v/>
      </c>
      <c r="CY162" s="197">
        <f>1000+-350+-300+-350</f>
        <v>0</v>
      </c>
      <c r="CZ162" s="489" t="str">
        <f ca="1">IFERROR($X162/DA162-1,"")</f>
        <v/>
      </c>
      <c r="DA162" s="395"/>
      <c r="DB162" s="199">
        <f ca="1">CY162*$X162</f>
        <v>0</v>
      </c>
      <c r="DC162" s="199">
        <f ca="1">DB162*$Z162</f>
        <v>0</v>
      </c>
      <c r="DD162" s="216">
        <f t="shared" ca="1" si="4717"/>
        <v>0</v>
      </c>
      <c r="DE162" s="202">
        <f ca="1">DF162/$X162</f>
        <v>0</v>
      </c>
      <c r="DF162" s="203">
        <f ca="1">DG162/$Z162</f>
        <v>0</v>
      </c>
      <c r="DG162" s="203">
        <f ca="1">DH162*CY$4</f>
        <v>0</v>
      </c>
      <c r="DH162" s="204">
        <f ca="1">IF(CY$6&lt;&gt;"",$O162,$N162)-DD162</f>
        <v>0</v>
      </c>
      <c r="DI162" s="205"/>
      <c r="DJ162" s="206">
        <f ca="1">DI162*$X162</f>
        <v>0</v>
      </c>
      <c r="DK162" s="206">
        <f ca="1">DJ162*$Z162</f>
        <v>0</v>
      </c>
      <c r="DL162" s="207">
        <f t="shared" ca="1" si="4718"/>
        <v>0</v>
      </c>
      <c r="DM162" s="484">
        <f>CY162+DI162</f>
        <v>0</v>
      </c>
      <c r="DN162" s="484">
        <f t="shared" ca="1" si="5338"/>
        <v>0</v>
      </c>
      <c r="DO162" s="484">
        <f ca="1">DN162*$Z162</f>
        <v>0</v>
      </c>
      <c r="DP162" s="490">
        <f t="shared" ca="1" si="6609"/>
        <v>0</v>
      </c>
      <c r="DQ162" s="209" t="str">
        <f t="shared" ca="1" si="5140"/>
        <v/>
      </c>
      <c r="DR162" s="197"/>
      <c r="DS162" s="489" t="str">
        <f ca="1">IFERROR($X162/DT162-1,"")</f>
        <v/>
      </c>
      <c r="DT162" s="395"/>
      <c r="DU162" s="199">
        <f ca="1">DR162*$X162</f>
        <v>0</v>
      </c>
      <c r="DV162" s="199">
        <f ca="1">DU162*$Z162</f>
        <v>0</v>
      </c>
      <c r="DW162" s="216">
        <f t="shared" ca="1" si="5343"/>
        <v>0</v>
      </c>
      <c r="DX162" s="202">
        <f ca="1">DY162/$X162</f>
        <v>0</v>
      </c>
      <c r="DY162" s="203">
        <f ca="1">DZ162/$Z162</f>
        <v>0</v>
      </c>
      <c r="DZ162" s="203">
        <f ca="1">EA162*DR$4</f>
        <v>0</v>
      </c>
      <c r="EA162" s="204">
        <f ca="1">IF(DR$6&lt;&gt;"",$O162,$N162)-DW162</f>
        <v>0</v>
      </c>
      <c r="EB162" s="205"/>
      <c r="EC162" s="206">
        <f ca="1">EB162*$X162</f>
        <v>0</v>
      </c>
      <c r="ED162" s="206">
        <f ca="1">EC162*$Z162</f>
        <v>0</v>
      </c>
      <c r="EE162" s="207">
        <f t="shared" ca="1" si="5349"/>
        <v>0</v>
      </c>
      <c r="EF162" s="484">
        <f>DR162+EB162</f>
        <v>0</v>
      </c>
      <c r="EG162" s="484">
        <f t="shared" ref="EG162" ca="1" si="6723">DU162+IF($T162 ="",EC162,0)</f>
        <v>0</v>
      </c>
      <c r="EH162" s="484">
        <f ca="1">EG162*$Z162</f>
        <v>0</v>
      </c>
      <c r="EI162" s="490">
        <f t="shared" ca="1" si="6610"/>
        <v>0</v>
      </c>
      <c r="EJ162" s="214"/>
      <c r="EK162" s="489" t="str">
        <f ca="1">IFERROR($X162/EL162-1,"")</f>
        <v/>
      </c>
      <c r="EL162" s="222"/>
      <c r="EM162" s="199">
        <f ca="1">EJ162*$X162</f>
        <v>0</v>
      </c>
      <c r="EN162" s="199">
        <f ca="1">EM162*$Z162</f>
        <v>0</v>
      </c>
      <c r="EO162" s="216">
        <f ca="1">IFERROR(EN162/EJ$4,0)</f>
        <v>0</v>
      </c>
      <c r="EP162" s="202">
        <f ca="1">EQ162/$X162</f>
        <v>0</v>
      </c>
      <c r="EQ162" s="203">
        <f ca="1">ER162/$Z162</f>
        <v>0</v>
      </c>
      <c r="ER162" s="203">
        <f ca="1">ES162*EJ$4</f>
        <v>0</v>
      </c>
      <c r="ES162" s="204">
        <f ca="1">IF(EJ$6&lt;&gt;"",$O162,$N162)-EO162</f>
        <v>0</v>
      </c>
      <c r="ET162" s="205"/>
      <c r="EU162" s="206">
        <f ca="1">ET162*$X162</f>
        <v>0</v>
      </c>
      <c r="EV162" s="206">
        <f ca="1">EU162*$Z162</f>
        <v>0</v>
      </c>
      <c r="EW162" s="207">
        <f ca="1">IFERROR(EV162/EJ$4,0)</f>
        <v>0</v>
      </c>
      <c r="EX162" s="484">
        <f>EJ162+ET162</f>
        <v>0</v>
      </c>
      <c r="EY162" s="484">
        <f t="shared" ca="1" si="5364"/>
        <v>0</v>
      </c>
      <c r="EZ162" s="484">
        <f ca="1">EY162*$Z162</f>
        <v>0</v>
      </c>
      <c r="FA162" s="490">
        <f ca="1">IFERROR(EZ162/EJ$4,0)</f>
        <v>0</v>
      </c>
      <c r="FB162" s="212" t="str">
        <f t="shared" ca="1" si="5151"/>
        <v/>
      </c>
      <c r="FC162" s="214"/>
      <c r="FD162" s="489" t="str">
        <f ca="1">IFERROR($X162/FE162-1,"")</f>
        <v/>
      </c>
      <c r="FE162" s="215"/>
      <c r="FF162" s="199">
        <f ca="1">FC162*$X162</f>
        <v>0</v>
      </c>
      <c r="FG162" s="199">
        <f ca="1">FF162*$Z162</f>
        <v>0</v>
      </c>
      <c r="FH162" s="216">
        <f ca="1">IFERROR(FG162/FC$4,0)</f>
        <v>0</v>
      </c>
      <c r="FI162" s="202">
        <f ca="1">FJ162/$X162</f>
        <v>0</v>
      </c>
      <c r="FJ162" s="203">
        <f ca="1">FK162/$Z162</f>
        <v>0</v>
      </c>
      <c r="FK162" s="203">
        <f ca="1">FL162*FC$4</f>
        <v>0</v>
      </c>
      <c r="FL162" s="204">
        <f ca="1">IF(FC$6&lt;&gt;"",$O162,$N162)-FH162</f>
        <v>0</v>
      </c>
      <c r="FM162" s="205"/>
      <c r="FN162" s="206">
        <f ca="1">FM162*$X162</f>
        <v>0</v>
      </c>
      <c r="FO162" s="206">
        <f ca="1">FN162*$Z162</f>
        <v>0</v>
      </c>
      <c r="FP162" s="207">
        <f ca="1">IFERROR(FO162/FC$4,0)</f>
        <v>0</v>
      </c>
      <c r="FQ162" s="484">
        <f>FC162+FM162</f>
        <v>0</v>
      </c>
      <c r="FR162" s="484">
        <f t="shared" ca="1" si="5378"/>
        <v>0</v>
      </c>
      <c r="FS162" s="484">
        <f ca="1">FR162*$Z162</f>
        <v>0</v>
      </c>
      <c r="FT162" s="490">
        <f ca="1">IFERROR(FS162/FC$4,0)</f>
        <v>0</v>
      </c>
      <c r="FU162" s="209" t="str">
        <f t="shared" ca="1" si="5162"/>
        <v/>
      </c>
    </row>
    <row r="163" spans="1:177" outlineLevel="1" x14ac:dyDescent="0.2">
      <c r="A163" s="455"/>
      <c r="B163" s="455" t="s">
        <v>782</v>
      </c>
      <c r="C163" s="456"/>
      <c r="D163" s="457"/>
      <c r="E163" s="458"/>
      <c r="F163" s="456"/>
      <c r="G163" s="459"/>
      <c r="H163" s="1686"/>
      <c r="I163" s="1686"/>
      <c r="J163" s="1722"/>
      <c r="K163" s="1686"/>
      <c r="L163" s="1686"/>
      <c r="M163" s="455"/>
      <c r="N163" s="460">
        <f>SUM(N$164)</f>
        <v>0</v>
      </c>
      <c r="O163" s="460">
        <f>SUM(O$164)</f>
        <v>0</v>
      </c>
      <c r="P163" s="461">
        <f t="shared" ca="1" si="6318"/>
        <v>0</v>
      </c>
      <c r="Q163" s="462"/>
      <c r="R163" s="462"/>
      <c r="S163" s="456"/>
      <c r="T163" s="462"/>
      <c r="U163" s="463"/>
      <c r="V163" s="462"/>
      <c r="W163" s="464"/>
      <c r="X163" s="465"/>
      <c r="Y163" s="465"/>
      <c r="Z163" s="466"/>
      <c r="AA163" s="467"/>
      <c r="AB163" s="468"/>
      <c r="AC163" s="468"/>
      <c r="AD163" s="456"/>
      <c r="AE163" s="469">
        <f ca="1">SUM(AE$164)</f>
        <v>0</v>
      </c>
      <c r="AF163" s="470">
        <f ca="1">IFERROR(AE163/AA$4,0)</f>
        <v>0</v>
      </c>
      <c r="AG163" s="471"/>
      <c r="AH163" s="456"/>
      <c r="AI163" s="469">
        <f ca="1">SUM(AI$164)</f>
        <v>0</v>
      </c>
      <c r="AJ163" s="472">
        <f ca="1">IFERROR(AI163/AA$4,0)</f>
        <v>0</v>
      </c>
      <c r="AK163" s="471"/>
      <c r="AL163" s="456"/>
      <c r="AM163" s="469">
        <f ca="1">SUM(AM$164)</f>
        <v>0</v>
      </c>
      <c r="AN163" s="472">
        <f ca="1">IFERROR(AM163/AA$4,0)</f>
        <v>0</v>
      </c>
      <c r="AO163" s="456"/>
      <c r="AP163" s="456"/>
      <c r="AQ163" s="469">
        <f ca="1">SUM(AQ$164)</f>
        <v>0</v>
      </c>
      <c r="AR163" s="470">
        <f ca="1">IFERROR(AQ163/AA$4,0)</f>
        <v>0</v>
      </c>
      <c r="AS163" s="473" t="str">
        <f t="shared" ca="1" si="5098"/>
        <v/>
      </c>
      <c r="AT163" s="467"/>
      <c r="AU163" s="468"/>
      <c r="AV163" s="468"/>
      <c r="AW163" s="456"/>
      <c r="AX163" s="469">
        <f ca="1">SUM(AX$164)</f>
        <v>0</v>
      </c>
      <c r="AY163" s="470">
        <f ca="1">IFERROR(AX163/AT$4,0)</f>
        <v>0</v>
      </c>
      <c r="AZ163" s="471"/>
      <c r="BA163" s="456"/>
      <c r="BB163" s="469">
        <f ca="1">SUM(BB$164)</f>
        <v>0</v>
      </c>
      <c r="BC163" s="472">
        <f ca="1">IFERROR(BB163/AT$4,0)</f>
        <v>0</v>
      </c>
      <c r="BD163" s="471"/>
      <c r="BE163" s="456"/>
      <c r="BF163" s="469">
        <f ca="1">SUM(BF$164)</f>
        <v>0</v>
      </c>
      <c r="BG163" s="472">
        <f ca="1">IFERROR(BF163/AT$4,0)</f>
        <v>0</v>
      </c>
      <c r="BH163" s="456"/>
      <c r="BI163" s="456"/>
      <c r="BJ163" s="469">
        <f ca="1">SUM(BJ$164)</f>
        <v>0</v>
      </c>
      <c r="BK163" s="470">
        <f ca="1">IFERROR(BJ163/AT$4,0)</f>
        <v>0</v>
      </c>
      <c r="BL163" s="295" t="str">
        <f t="shared" ca="1" si="5109"/>
        <v/>
      </c>
      <c r="BM163" s="467"/>
      <c r="BN163" s="468"/>
      <c r="BO163" s="468"/>
      <c r="BP163" s="456"/>
      <c r="BQ163" s="469">
        <f ca="1">SUM(BQ$164)</f>
        <v>0</v>
      </c>
      <c r="BR163" s="470">
        <f ca="1">IFERROR(BQ163/BM$4,0)</f>
        <v>0</v>
      </c>
      <c r="BS163" s="471"/>
      <c r="BT163" s="456"/>
      <c r="BU163" s="469">
        <f ca="1">SUM(BU$164)</f>
        <v>0</v>
      </c>
      <c r="BV163" s="472">
        <f ca="1">IFERROR(BU163/BM$4,0)</f>
        <v>0</v>
      </c>
      <c r="BW163" s="471"/>
      <c r="BX163" s="456"/>
      <c r="BY163" s="469">
        <f ca="1">SUM(BY$164)</f>
        <v>0</v>
      </c>
      <c r="BZ163" s="472">
        <f ca="1">IFERROR(BY163/BM$4,0)</f>
        <v>0</v>
      </c>
      <c r="CA163" s="456"/>
      <c r="CB163" s="456"/>
      <c r="CC163" s="469">
        <f ca="1">SUM(CC$164)</f>
        <v>0</v>
      </c>
      <c r="CD163" s="470">
        <f ca="1">IFERROR(CC163/BM$4,0)</f>
        <v>0</v>
      </c>
      <c r="CE163" s="474" t="str">
        <f t="shared" ca="1" si="5120"/>
        <v/>
      </c>
      <c r="CF163" s="467"/>
      <c r="CG163" s="468"/>
      <c r="CH163" s="468"/>
      <c r="CI163" s="456"/>
      <c r="CJ163" s="469">
        <f ca="1">SUM(CJ$164)</f>
        <v>0</v>
      </c>
      <c r="CK163" s="470">
        <f t="shared" ca="1" si="6606"/>
        <v>0</v>
      </c>
      <c r="CL163" s="471"/>
      <c r="CM163" s="456"/>
      <c r="CN163" s="469">
        <f ca="1">SUM(CN$164)</f>
        <v>0</v>
      </c>
      <c r="CO163" s="472">
        <f ca="1">IFERROR(CN163/CF$4,0)</f>
        <v>0</v>
      </c>
      <c r="CP163" s="471"/>
      <c r="CQ163" s="456"/>
      <c r="CR163" s="469">
        <f ca="1">SUM(CR$164)</f>
        <v>0</v>
      </c>
      <c r="CS163" s="472">
        <f t="shared" ca="1" si="6607"/>
        <v>0</v>
      </c>
      <c r="CT163" s="456"/>
      <c r="CU163" s="456"/>
      <c r="CV163" s="469">
        <f ca="1">SUM(CV$164)</f>
        <v>0</v>
      </c>
      <c r="CW163" s="470">
        <f t="shared" ca="1" si="6608"/>
        <v>0</v>
      </c>
      <c r="CX163" s="295" t="str">
        <f t="shared" ca="1" si="5130"/>
        <v/>
      </c>
      <c r="CY163" s="475"/>
      <c r="CZ163" s="468"/>
      <c r="DA163" s="456"/>
      <c r="DB163" s="469"/>
      <c r="DC163" s="469">
        <f ca="1">SUM(DC$164)</f>
        <v>0</v>
      </c>
      <c r="DD163" s="470">
        <f t="shared" ca="1" si="4717"/>
        <v>0</v>
      </c>
      <c r="DE163" s="471"/>
      <c r="DF163" s="456"/>
      <c r="DG163" s="469">
        <f ca="1">SUM(DG$164)</f>
        <v>0</v>
      </c>
      <c r="DH163" s="472">
        <f ca="1">IFERROR(DG163/CY$4,0)</f>
        <v>0</v>
      </c>
      <c r="DI163" s="471"/>
      <c r="DJ163" s="456"/>
      <c r="DK163" s="469">
        <f ca="1">SUM(DK$164)</f>
        <v>0</v>
      </c>
      <c r="DL163" s="472">
        <f t="shared" ca="1" si="4718"/>
        <v>0</v>
      </c>
      <c r="DM163" s="456"/>
      <c r="DN163" s="456"/>
      <c r="DO163" s="469">
        <f ca="1">SUM(DO$164)</f>
        <v>0</v>
      </c>
      <c r="DP163" s="470">
        <f t="shared" ca="1" si="6609"/>
        <v>0</v>
      </c>
      <c r="DQ163" s="473" t="str">
        <f t="shared" ca="1" si="5140"/>
        <v/>
      </c>
      <c r="DR163" s="475"/>
      <c r="DS163" s="468"/>
      <c r="DT163" s="456"/>
      <c r="DU163" s="469"/>
      <c r="DV163" s="469">
        <f ca="1">SUM(DV$164)</f>
        <v>0</v>
      </c>
      <c r="DW163" s="470">
        <f t="shared" ca="1" si="5343"/>
        <v>0</v>
      </c>
      <c r="DX163" s="471"/>
      <c r="DY163" s="456"/>
      <c r="DZ163" s="469">
        <f ca="1">SUM(DZ$164)</f>
        <v>0</v>
      </c>
      <c r="EA163" s="472">
        <f ca="1">IFERROR(DZ163/DR$4,0)</f>
        <v>0</v>
      </c>
      <c r="EB163" s="471"/>
      <c r="EC163" s="456"/>
      <c r="ED163" s="469">
        <f ca="1">SUM(ED$164)</f>
        <v>0</v>
      </c>
      <c r="EE163" s="472">
        <f t="shared" ca="1" si="5349"/>
        <v>0</v>
      </c>
      <c r="EF163" s="456"/>
      <c r="EG163" s="456"/>
      <c r="EH163" s="469">
        <f ca="1">SUM(EH$164)</f>
        <v>0</v>
      </c>
      <c r="EI163" s="470">
        <f t="shared" ca="1" si="6610"/>
        <v>0</v>
      </c>
      <c r="EJ163" s="467"/>
      <c r="EK163" s="468"/>
      <c r="EL163" s="476"/>
      <c r="EM163" s="456"/>
      <c r="EN163" s="469">
        <f ca="1">SUM(EN$164)</f>
        <v>0</v>
      </c>
      <c r="EO163" s="470">
        <f ca="1">IFERROR(EN163/EJ$4,0)</f>
        <v>0</v>
      </c>
      <c r="EP163" s="471"/>
      <c r="EQ163" s="456"/>
      <c r="ER163" s="469">
        <f ca="1">SUM(ER$164)</f>
        <v>0</v>
      </c>
      <c r="ES163" s="472">
        <f ca="1">IFERROR(ER163/EJ$4,0)</f>
        <v>0</v>
      </c>
      <c r="ET163" s="471"/>
      <c r="EU163" s="456"/>
      <c r="EV163" s="469">
        <f ca="1">SUM(EV$164)</f>
        <v>0</v>
      </c>
      <c r="EW163" s="472">
        <f ca="1">IFERROR(EV163/EJ$4,0)</f>
        <v>0</v>
      </c>
      <c r="EX163" s="456"/>
      <c r="EY163" s="456"/>
      <c r="EZ163" s="469">
        <f ca="1">SUM(EZ$164)</f>
        <v>0</v>
      </c>
      <c r="FA163" s="470">
        <f ca="1">IFERROR(EZ163/EJ$4,0)</f>
        <v>0</v>
      </c>
      <c r="FB163" s="474" t="str">
        <f t="shared" ca="1" si="5151"/>
        <v/>
      </c>
      <c r="FC163" s="467"/>
      <c r="FD163" s="468"/>
      <c r="FE163" s="468"/>
      <c r="FF163" s="456"/>
      <c r="FG163" s="469">
        <f ca="1">SUM(FG$164)</f>
        <v>0</v>
      </c>
      <c r="FH163" s="470">
        <f ca="1">IFERROR(FG163/FC$4,0)</f>
        <v>0</v>
      </c>
      <c r="FI163" s="471"/>
      <c r="FJ163" s="456"/>
      <c r="FK163" s="469">
        <f ca="1">SUM(FK$164)</f>
        <v>0</v>
      </c>
      <c r="FL163" s="472">
        <f ca="1">IFERROR(FK163/FC$4,0)</f>
        <v>0</v>
      </c>
      <c r="FM163" s="471"/>
      <c r="FN163" s="456"/>
      <c r="FO163" s="469">
        <f ca="1">SUM(FO$164)</f>
        <v>0</v>
      </c>
      <c r="FP163" s="472">
        <f ca="1">IFERROR(FO163/FC$4,0)</f>
        <v>0</v>
      </c>
      <c r="FQ163" s="456"/>
      <c r="FR163" s="456"/>
      <c r="FS163" s="469">
        <f ca="1">SUM(FS$164)</f>
        <v>0</v>
      </c>
      <c r="FT163" s="470">
        <f ca="1">IFERROR(FS163/FC$4,0)</f>
        <v>0</v>
      </c>
      <c r="FU163" s="473" t="str">
        <f t="shared" ca="1" si="5162"/>
        <v/>
      </c>
    </row>
    <row r="164" spans="1:177" outlineLevel="2" x14ac:dyDescent="0.2">
      <c r="A164" s="477"/>
      <c r="B164" s="477"/>
      <c r="C164" s="478" t="str">
        <f ca="1">OFFSET(Origine,MATCH($F164,Descrizioni,0),MATCH(C$15,Intestazioni,0)-1,1,1)</f>
        <v>IE00BSJCQV56:EUR</v>
      </c>
      <c r="D164" s="479" t="str">
        <f ca="1">OFFSET(Origine,MATCH($F164,Descrizioni,0),MATCH(D$15,Intestazioni,0)-1,1,1)</f>
        <v>IE00BSJCQV56</v>
      </c>
      <c r="E164" s="480" t="str">
        <f ca="1">OFFSET(Origine,MATCH($F164,Descrizioni,0),MATCH(E$15,Intestazioni,0)-1,1,1)</f>
        <v>29091268</v>
      </c>
      <c r="F164" s="478" t="s">
        <v>783</v>
      </c>
      <c r="G164" s="481"/>
      <c r="H164" s="1723" t="str">
        <f ca="1">IF(OFFSET(Origine,MATCH($F164,Descrizioni,0),MATCH(H$15,Intestazioni,0)-1,1,1)&lt;&gt;"",HYPERLINK(OFFSET(Origine,MATCH($F164,Descrizioni,0),MATCH(H$15,Intestazioni,0)-1,1,1),""),"")</f>
        <v></v>
      </c>
      <c r="I164" s="1687" t="str">
        <f ca="1">IF(OFFSET(Origine,MATCH($F164,Descrizioni,0),MATCH(I$15,Intestazioni,0)-1,1,1)&lt;&gt;"",HYPERLINK(OFFSET(Origine,MATCH($F164,Descrizioni,0),MATCH(I$15,Intestazioni,0)-1,1,1),"i"),"")</f>
        <v>i</v>
      </c>
      <c r="J164" s="1723" t="str">
        <f ca="1">IF(OFFSET(Origine,MATCH($F164,Descrizioni,0),MATCH(J$15,Intestazioni,0)-1,1,1)&lt;&gt;"",HYPERLINK(OFFSET(Origine,MATCH($F164,Descrizioni,0),MATCH(J$15,Intestazioni,0)-1,1,1),""),"")</f>
        <v></v>
      </c>
      <c r="K164" s="1724" t="str">
        <f ca="1">IF(OFFSET(Origine,MATCH($F164,Descrizioni,0),MATCH(K$15,Intestazioni,0)-1,1,1)&lt;&gt;"",HYPERLINK(OFFSET(Origine,MATCH($F164,Descrizioni,0),MATCH(K$15,Intestazioni,0)-1,1,1),""),"")</f>
        <v></v>
      </c>
      <c r="L164" s="1726" t="str">
        <f ca="1">IF(OFFSET(Origine,MATCH($F164,Descrizioni,0),MATCH(L$15,Intestazioni,0)-1,1,1)&lt;&gt;"",HYPERLINK("https://www.zonebourse.com/mods_a/charts/TV/inc_dyna_graph.php?c="&amp;OFFSET(Origine,MATCH($F164,Descrizioni,0),MATCH(L$15,Intestazioni,0)-1,1,1)&amp;"&amp;style=TradingView.CANDLES&amp;showAT=1",""),"")</f>
        <v></v>
      </c>
      <c r="M164" s="477" t="str">
        <f ca="1">(OFFSET(Origine,MATCH($F164,Descrizioni,0),MATCH(M$15,Intestazioni,0)-1,1,1))</f>
        <v>Unit</v>
      </c>
      <c r="N164" s="482"/>
      <c r="O164" s="482"/>
      <c r="P164" s="483">
        <f t="shared" ca="1" si="6318"/>
        <v>0</v>
      </c>
      <c r="Q164" s="484">
        <f t="array" aca="1" ref="Q164" ca="1">SUM(IF($AA$15:$FT$15="I_pos",AA164:FT164))</f>
        <v>0</v>
      </c>
      <c r="R164" s="484">
        <f t="array" aca="1" ref="R164" ca="1">SUM(IF($AA$15:$FT$15="P_Pos",AA164:FT164))</f>
        <v>0</v>
      </c>
      <c r="S164" s="478"/>
      <c r="T164" s="484"/>
      <c r="U164" s="485"/>
      <c r="V164" s="484">
        <f t="array" aca="1" ref="V164" ca="1">SUM(IF($AA$15:$FT$15="O_Pos",AA164:FT164))</f>
        <v>0</v>
      </c>
      <c r="W164" s="478" t="str">
        <f ca="1">OFFSET(Origine,MATCH($F164,Descrizioni,0),MATCH(W$15,Intestazioni,0)-1,1,1)</f>
        <v>EUR</v>
      </c>
      <c r="X164" s="486">
        <f ca="1">_xlfn.NUMBERVALUE(OFFSET(Origine,MATCH($F164,Descrizioni,0),MATCH(X$15,Intestazioni,0)-1,1,1))</f>
        <v>31.88</v>
      </c>
      <c r="Y164" s="487">
        <f t="shared" ref="Y164" ca="1" si="6724">_xlfn.NUMBERVALUE(OFFSET(Origine,MATCH($F164,Descrizioni,0),MATCH(Y$15,Intestazioni,0)-1,1,1))</f>
        <v>0</v>
      </c>
      <c r="Z164" s="488">
        <f ca="1">_xlfn.NUMBERVALUE(OFFSET(Origine,MATCH(W164&amp;"/"&amp;MRif,LUKB_Name,0),MATCH("Price",Intestazioni,0)-1,1,1))</f>
        <v>0.90754999999999997</v>
      </c>
      <c r="AA164" s="214"/>
      <c r="AB164" s="489" t="str">
        <f ca="1">IFERROR($X164/AC164-1,"")</f>
        <v/>
      </c>
      <c r="AC164" s="215"/>
      <c r="AD164" s="199">
        <f ca="1">AA164*$X164</f>
        <v>0</v>
      </c>
      <c r="AE164" s="199">
        <f ca="1">AD164*$Z164</f>
        <v>0</v>
      </c>
      <c r="AF164" s="216">
        <f ca="1">IFERROR(AE164/AA$4,0)</f>
        <v>0</v>
      </c>
      <c r="AG164" s="202">
        <f ca="1">AH164/$X164</f>
        <v>0</v>
      </c>
      <c r="AH164" s="203">
        <f ca="1">AI164/$Z164</f>
        <v>0</v>
      </c>
      <c r="AI164" s="203">
        <f ca="1">AJ164*AA$4</f>
        <v>0</v>
      </c>
      <c r="AJ164" s="204">
        <f ca="1">IF(AA$6&lt;&gt;"",$O164,$N164)-AF164</f>
        <v>0</v>
      </c>
      <c r="AK164" s="205"/>
      <c r="AL164" s="206">
        <f ca="1">AK164*$X164</f>
        <v>0</v>
      </c>
      <c r="AM164" s="206">
        <f ca="1">AL164*$Z164</f>
        <v>0</v>
      </c>
      <c r="AN164" s="207">
        <f ca="1">IFERROR(AM164/AA$4,0)</f>
        <v>0</v>
      </c>
      <c r="AO164" s="484">
        <f>AA164+AK164</f>
        <v>0</v>
      </c>
      <c r="AP164" s="484">
        <f t="shared" ca="1" si="5295"/>
        <v>0</v>
      </c>
      <c r="AQ164" s="484">
        <f ca="1">AP164*$Z164</f>
        <v>0</v>
      </c>
      <c r="AR164" s="490">
        <f ca="1">IFERROR(AQ164/AA$4,0)</f>
        <v>0</v>
      </c>
      <c r="AS164" s="209" t="str">
        <f t="shared" ca="1" si="5098"/>
        <v/>
      </c>
      <c r="AT164" s="214"/>
      <c r="AU164" s="489" t="str">
        <f ca="1">IFERROR($X164/AV164-1,"")</f>
        <v/>
      </c>
      <c r="AV164" s="215"/>
      <c r="AW164" s="199">
        <f ca="1">AT164*$X164</f>
        <v>0</v>
      </c>
      <c r="AX164" s="199">
        <f ca="1">AW164*$Z164</f>
        <v>0</v>
      </c>
      <c r="AY164" s="216">
        <f ca="1">IFERROR(AX164/AT$4,0)</f>
        <v>0</v>
      </c>
      <c r="AZ164" s="202">
        <f ca="1">BA164/$X164</f>
        <v>0</v>
      </c>
      <c r="BA164" s="203">
        <f ca="1">BB164/$Z164</f>
        <v>0</v>
      </c>
      <c r="BB164" s="203">
        <f ca="1">BC164*AT$4</f>
        <v>0</v>
      </c>
      <c r="BC164" s="204">
        <f ca="1">IF(AT$6&lt;&gt;"",$O164,$N164)-AY164</f>
        <v>0</v>
      </c>
      <c r="BD164" s="205"/>
      <c r="BE164" s="206">
        <f ca="1">BD164*$X164</f>
        <v>0</v>
      </c>
      <c r="BF164" s="206">
        <f ca="1">BE164*$Z164</f>
        <v>0</v>
      </c>
      <c r="BG164" s="207">
        <f ca="1">IFERROR(BF164/AT$4,0)</f>
        <v>0</v>
      </c>
      <c r="BH164" s="484">
        <f>AT164+BD164</f>
        <v>0</v>
      </c>
      <c r="BI164" s="484">
        <f t="shared" ca="1" si="5308"/>
        <v>0</v>
      </c>
      <c r="BJ164" s="484">
        <f ca="1">BI164*$Z164</f>
        <v>0</v>
      </c>
      <c r="BK164" s="490">
        <f ca="1">IFERROR(BJ164/AT$4,0)</f>
        <v>0</v>
      </c>
      <c r="BL164" s="211" t="str">
        <f t="shared" ca="1" si="5109"/>
        <v/>
      </c>
      <c r="BM164" s="214"/>
      <c r="BN164" s="489" t="str">
        <f ca="1">IFERROR($X164/BO164-1,"")</f>
        <v/>
      </c>
      <c r="BO164" s="215"/>
      <c r="BP164" s="199">
        <f ca="1">BM164*$X164</f>
        <v>0</v>
      </c>
      <c r="BQ164" s="199">
        <f ca="1">BP164*$Z164</f>
        <v>0</v>
      </c>
      <c r="BR164" s="216">
        <f ca="1">IFERROR(BQ164/BM$4,0)</f>
        <v>0</v>
      </c>
      <c r="BS164" s="202">
        <f ca="1">BT164/$X164</f>
        <v>0</v>
      </c>
      <c r="BT164" s="203">
        <f ca="1">BU164/$Z164</f>
        <v>0</v>
      </c>
      <c r="BU164" s="203">
        <f ca="1">BV164*BM$4</f>
        <v>0</v>
      </c>
      <c r="BV164" s="204">
        <f ca="1">IF(BM$6&lt;&gt;"",$O164,$N164)-BR164</f>
        <v>0</v>
      </c>
      <c r="BW164" s="205"/>
      <c r="BX164" s="206">
        <f ca="1">BW164*$X164</f>
        <v>0</v>
      </c>
      <c r="BY164" s="206">
        <f ca="1">BX164*$Z164</f>
        <v>0</v>
      </c>
      <c r="BZ164" s="207">
        <f ca="1">IFERROR(BY164/BM$4,0)</f>
        <v>0</v>
      </c>
      <c r="CA164" s="484">
        <f>BM164+BW164</f>
        <v>0</v>
      </c>
      <c r="CB164" s="484">
        <f t="shared" ca="1" si="5321"/>
        <v>0</v>
      </c>
      <c r="CC164" s="484">
        <f ca="1">CB164*$Z164</f>
        <v>0</v>
      </c>
      <c r="CD164" s="490">
        <f ca="1">IFERROR(CC164/BM$4,0)</f>
        <v>0</v>
      </c>
      <c r="CE164" s="212" t="str">
        <f t="shared" ca="1" si="5120"/>
        <v/>
      </c>
      <c r="CF164" s="214"/>
      <c r="CG164" s="489" t="str">
        <f ca="1">IFERROR($X164/CH164-1,"")</f>
        <v/>
      </c>
      <c r="CH164" s="215"/>
      <c r="CI164" s="199">
        <f ca="1">CF164*$X164</f>
        <v>0</v>
      </c>
      <c r="CJ164" s="199">
        <f ca="1">CI164*$Z164</f>
        <v>0</v>
      </c>
      <c r="CK164" s="216">
        <f t="shared" ca="1" si="6606"/>
        <v>0</v>
      </c>
      <c r="CL164" s="202">
        <f ca="1">CM164/$X164</f>
        <v>0</v>
      </c>
      <c r="CM164" s="203">
        <f ca="1">CN164/$Z164</f>
        <v>0</v>
      </c>
      <c r="CN164" s="203">
        <f ca="1">CO164*CF$4</f>
        <v>0</v>
      </c>
      <c r="CO164" s="204">
        <f ca="1">IF(CF$6&lt;&gt;"",$O164,$N164)-CK164</f>
        <v>0</v>
      </c>
      <c r="CP164" s="205"/>
      <c r="CQ164" s="206">
        <f ca="1">CP164*$X164</f>
        <v>0</v>
      </c>
      <c r="CR164" s="206">
        <f ca="1">CQ164*$Z164</f>
        <v>0</v>
      </c>
      <c r="CS164" s="207">
        <f t="shared" ca="1" si="6607"/>
        <v>0</v>
      </c>
      <c r="CT164" s="484">
        <f>CF164+CP164</f>
        <v>0</v>
      </c>
      <c r="CU164" s="484">
        <f t="shared" ca="1" si="5334"/>
        <v>0</v>
      </c>
      <c r="CV164" s="484">
        <f ca="1">CU164*$Z164</f>
        <v>0</v>
      </c>
      <c r="CW164" s="490">
        <f t="shared" ca="1" si="6608"/>
        <v>0</v>
      </c>
      <c r="CX164" s="211" t="str">
        <f t="shared" ca="1" si="5130"/>
        <v/>
      </c>
      <c r="CY164" s="197"/>
      <c r="CZ164" s="489" t="str">
        <f ca="1">IFERROR($X164/DA164-1,"")</f>
        <v/>
      </c>
      <c r="DA164" s="395"/>
      <c r="DB164" s="199">
        <f ca="1">CY164*$X164</f>
        <v>0</v>
      </c>
      <c r="DC164" s="199">
        <f ca="1">DB164*$Z164</f>
        <v>0</v>
      </c>
      <c r="DD164" s="216">
        <f t="shared" ca="1" si="4717"/>
        <v>0</v>
      </c>
      <c r="DE164" s="202">
        <f ca="1">DF164/$X164</f>
        <v>0</v>
      </c>
      <c r="DF164" s="203">
        <f ca="1">DG164/$Z164</f>
        <v>0</v>
      </c>
      <c r="DG164" s="203">
        <f ca="1">DH164*CY$4</f>
        <v>0</v>
      </c>
      <c r="DH164" s="204">
        <f ca="1">IF(CY$6&lt;&gt;"",$O164,$N164)-DD164</f>
        <v>0</v>
      </c>
      <c r="DI164" s="205"/>
      <c r="DJ164" s="206">
        <f ca="1">DI164*$X164</f>
        <v>0</v>
      </c>
      <c r="DK164" s="206">
        <f ca="1">DJ164*$Z164</f>
        <v>0</v>
      </c>
      <c r="DL164" s="207">
        <f t="shared" ca="1" si="4718"/>
        <v>0</v>
      </c>
      <c r="DM164" s="484">
        <f>CY164+DI164</f>
        <v>0</v>
      </c>
      <c r="DN164" s="484">
        <f t="shared" ca="1" si="5338"/>
        <v>0</v>
      </c>
      <c r="DO164" s="484">
        <f ca="1">DN164*$Z164</f>
        <v>0</v>
      </c>
      <c r="DP164" s="490">
        <f t="shared" ca="1" si="6609"/>
        <v>0</v>
      </c>
      <c r="DQ164" s="209" t="str">
        <f t="shared" ca="1" si="5140"/>
        <v/>
      </c>
      <c r="DR164" s="197"/>
      <c r="DS164" s="489" t="str">
        <f ca="1">IFERROR($X164/DT164-1,"")</f>
        <v/>
      </c>
      <c r="DT164" s="395"/>
      <c r="DU164" s="199">
        <f ca="1">DR164*$X164</f>
        <v>0</v>
      </c>
      <c r="DV164" s="199">
        <f ca="1">DU164*$Z164</f>
        <v>0</v>
      </c>
      <c r="DW164" s="216">
        <f t="shared" ca="1" si="5343"/>
        <v>0</v>
      </c>
      <c r="DX164" s="202">
        <f ca="1">DY164/$X164</f>
        <v>0</v>
      </c>
      <c r="DY164" s="203">
        <f ca="1">DZ164/$Z164</f>
        <v>0</v>
      </c>
      <c r="DZ164" s="203">
        <f ca="1">EA164*DR$4</f>
        <v>0</v>
      </c>
      <c r="EA164" s="204">
        <f ca="1">IF(DR$6&lt;&gt;"",$O164,$N164)-DW164</f>
        <v>0</v>
      </c>
      <c r="EB164" s="205"/>
      <c r="EC164" s="206">
        <f ca="1">EB164*$X164</f>
        <v>0</v>
      </c>
      <c r="ED164" s="206">
        <f ca="1">EC164*$Z164</f>
        <v>0</v>
      </c>
      <c r="EE164" s="207">
        <f t="shared" ca="1" si="5349"/>
        <v>0</v>
      </c>
      <c r="EF164" s="484">
        <f>DR164+EB164</f>
        <v>0</v>
      </c>
      <c r="EG164" s="484">
        <f t="shared" ref="EG164" ca="1" si="6725">DU164+IF($T164 ="",EC164,0)</f>
        <v>0</v>
      </c>
      <c r="EH164" s="484">
        <f ca="1">EG164*$Z164</f>
        <v>0</v>
      </c>
      <c r="EI164" s="490">
        <f t="shared" ca="1" si="6610"/>
        <v>0</v>
      </c>
      <c r="EJ164" s="214"/>
      <c r="EK164" s="489" t="str">
        <f ca="1">IFERROR($X164/EL164-1,"")</f>
        <v/>
      </c>
      <c r="EL164" s="222"/>
      <c r="EM164" s="199">
        <f ca="1">EJ164*$X164</f>
        <v>0</v>
      </c>
      <c r="EN164" s="199">
        <f ca="1">EM164*$Z164</f>
        <v>0</v>
      </c>
      <c r="EO164" s="216">
        <f ca="1">IFERROR(EN164/EJ$4,0)</f>
        <v>0</v>
      </c>
      <c r="EP164" s="202">
        <f ca="1">EQ164/$X164</f>
        <v>0</v>
      </c>
      <c r="EQ164" s="203">
        <f ca="1">ER164/$Z164</f>
        <v>0</v>
      </c>
      <c r="ER164" s="203">
        <f ca="1">ES164*EJ$4</f>
        <v>0</v>
      </c>
      <c r="ES164" s="204">
        <f ca="1">IF(EJ$6&lt;&gt;"",$O164,$N164)-EO164</f>
        <v>0</v>
      </c>
      <c r="ET164" s="205"/>
      <c r="EU164" s="206">
        <f ca="1">ET164*$X164</f>
        <v>0</v>
      </c>
      <c r="EV164" s="206">
        <f ca="1">EU164*$Z164</f>
        <v>0</v>
      </c>
      <c r="EW164" s="207">
        <f ca="1">IFERROR(EV164/EJ$4,0)</f>
        <v>0</v>
      </c>
      <c r="EX164" s="484">
        <f>EJ164+ET164</f>
        <v>0</v>
      </c>
      <c r="EY164" s="484">
        <f t="shared" ca="1" si="5364"/>
        <v>0</v>
      </c>
      <c r="EZ164" s="484">
        <f ca="1">EY164*$Z164</f>
        <v>0</v>
      </c>
      <c r="FA164" s="490">
        <f ca="1">IFERROR(EZ164/EJ$4,0)</f>
        <v>0</v>
      </c>
      <c r="FB164" s="212" t="str">
        <f t="shared" ca="1" si="5151"/>
        <v/>
      </c>
      <c r="FC164" s="214"/>
      <c r="FD164" s="489" t="str">
        <f ca="1">IFERROR($X164/FE164-1,"")</f>
        <v/>
      </c>
      <c r="FE164" s="215"/>
      <c r="FF164" s="199">
        <f ca="1">FC164*$X164</f>
        <v>0</v>
      </c>
      <c r="FG164" s="199">
        <f ca="1">FF164*$Z164</f>
        <v>0</v>
      </c>
      <c r="FH164" s="216">
        <f ca="1">IFERROR(FG164/FC$4,0)</f>
        <v>0</v>
      </c>
      <c r="FI164" s="202">
        <f ca="1">FJ164/$X164</f>
        <v>0</v>
      </c>
      <c r="FJ164" s="203">
        <f ca="1">FK164/$Z164</f>
        <v>0</v>
      </c>
      <c r="FK164" s="203">
        <f ca="1">FL164*FC$4</f>
        <v>0</v>
      </c>
      <c r="FL164" s="204">
        <f ca="1">IF(FC$6&lt;&gt;"",$O164,$N164)-FH164</f>
        <v>0</v>
      </c>
      <c r="FM164" s="205"/>
      <c r="FN164" s="206">
        <f ca="1">FM164*$X164</f>
        <v>0</v>
      </c>
      <c r="FO164" s="206">
        <f ca="1">FN164*$Z164</f>
        <v>0</v>
      </c>
      <c r="FP164" s="207">
        <f ca="1">IFERROR(FO164/FC$4,0)</f>
        <v>0</v>
      </c>
      <c r="FQ164" s="484">
        <f>FC164+FM164</f>
        <v>0</v>
      </c>
      <c r="FR164" s="484">
        <f t="shared" ca="1" si="5378"/>
        <v>0</v>
      </c>
      <c r="FS164" s="484">
        <f ca="1">FR164*$Z164</f>
        <v>0</v>
      </c>
      <c r="FT164" s="490">
        <f ca="1">IFERROR(FS164/FC$4,0)</f>
        <v>0</v>
      </c>
      <c r="FU164" s="209" t="str">
        <f t="shared" ca="1" si="5162"/>
        <v/>
      </c>
    </row>
    <row r="165" spans="1:177" x14ac:dyDescent="0.2">
      <c r="A165" s="491" t="s">
        <v>393</v>
      </c>
      <c r="B165" s="491"/>
      <c r="C165" s="492"/>
      <c r="D165" s="493"/>
      <c r="E165" s="494"/>
      <c r="F165" s="492"/>
      <c r="G165" s="495"/>
      <c r="H165" s="1727"/>
      <c r="I165" s="1688"/>
      <c r="J165" s="1727"/>
      <c r="K165" s="1688"/>
      <c r="L165" s="1688"/>
      <c r="M165" s="491"/>
      <c r="N165" s="497">
        <f>SUMIF($B$166:$B$193,"&gt;A",$N$166:$N$193)</f>
        <v>0.17500000000000002</v>
      </c>
      <c r="O165" s="497">
        <v>0.13500000000000001</v>
      </c>
      <c r="P165" s="498">
        <f t="shared" ca="1" si="6318"/>
        <v>0.15145002709847782</v>
      </c>
      <c r="Q165" s="499"/>
      <c r="R165" s="499"/>
      <c r="S165" s="492"/>
      <c r="T165" s="499"/>
      <c r="U165" s="500"/>
      <c r="V165" s="499"/>
      <c r="W165" s="492"/>
      <c r="X165" s="501"/>
      <c r="Y165" s="501"/>
      <c r="Z165" s="502"/>
      <c r="AA165" s="503"/>
      <c r="AB165" s="504"/>
      <c r="AC165" s="504"/>
      <c r="AD165" s="492"/>
      <c r="AE165" s="499">
        <f ca="1">SUMIF($B$166:$B$193,"&gt;A",AE$166:AE$193)</f>
        <v>79353.863826852001</v>
      </c>
      <c r="AF165" s="505">
        <f t="shared" ref="AF165:AF190" ca="1" si="6726">IFERROR(AE165/AA$4,0)</f>
        <v>0.14132578251252836</v>
      </c>
      <c r="AG165" s="506"/>
      <c r="AH165" s="492"/>
      <c r="AI165" s="499">
        <f ca="1">SUMIF($B$166:$B$193,"&gt;A",AI$166:AI$193)</f>
        <v>18907.938958269959</v>
      </c>
      <c r="AJ165" s="507">
        <f ca="1">IFERROR(AI165/AA$4,0)</f>
        <v>3.3674217487471632E-2</v>
      </c>
      <c r="AK165" s="508"/>
      <c r="AL165" s="496"/>
      <c r="AM165" s="499">
        <f ca="1">SUMIF($B$166:$B$193,"&gt;A",AM$166:AM$193)</f>
        <v>0</v>
      </c>
      <c r="AN165" s="507">
        <f t="shared" ref="AN165:AN190" ca="1" si="6727">IFERROR(AM165/AA$4,0)</f>
        <v>0</v>
      </c>
      <c r="AO165" s="496"/>
      <c r="AP165" s="496"/>
      <c r="AQ165" s="499">
        <f ca="1">SUMIF($B$166:$B$193,"&gt;A",AQ$166:AQ$193)</f>
        <v>79353.863826852001</v>
      </c>
      <c r="AR165" s="505">
        <f t="shared" ref="AR165:AR190" ca="1" si="6728">IFERROR(AQ165/AA$4,0)</f>
        <v>0.14132578251252836</v>
      </c>
      <c r="AS165" s="183" t="str">
        <f t="shared" ca="1" si="5098"/>
        <v>V</v>
      </c>
      <c r="AT165" s="503"/>
      <c r="AU165" s="504"/>
      <c r="AV165" s="504"/>
      <c r="AW165" s="492"/>
      <c r="AX165" s="499">
        <f ca="1">SUMIF($B$166:$B$193,"&gt;A",AX$166:AX$193)</f>
        <v>256686.03336918002</v>
      </c>
      <c r="AY165" s="505">
        <f t="shared" ref="AY165:AY190" ca="1" si="6729">IFERROR(AX165/AT$4,0)</f>
        <v>0.14821561588059529</v>
      </c>
      <c r="AZ165" s="506"/>
      <c r="BA165" s="492"/>
      <c r="BB165" s="499">
        <f ca="1">SUMIF($B$166:$B$193,"&gt;A",BB$166:BB$193)</f>
        <v>46386.322217121851</v>
      </c>
      <c r="BC165" s="507">
        <f ca="1">IFERROR(BB165/AT$4,0)</f>
        <v>2.678438411940472E-2</v>
      </c>
      <c r="BD165" s="508"/>
      <c r="BE165" s="496"/>
      <c r="BF165" s="499">
        <f ca="1">SUMIF($B$166:$B$193,"&gt;A",BF$166:BF$193)</f>
        <v>0</v>
      </c>
      <c r="BG165" s="507">
        <f t="shared" ref="BG165:BG190" ca="1" si="6730">IFERROR(BF165/AT$4,0)</f>
        <v>0</v>
      </c>
      <c r="BH165" s="496"/>
      <c r="BI165" s="496"/>
      <c r="BJ165" s="499">
        <f ca="1">SUMIF($B$166:$B$193,"&gt;A",BJ$166:BJ$193)</f>
        <v>256686.03336918002</v>
      </c>
      <c r="BK165" s="505">
        <f t="shared" ref="BK165:BK190" ca="1" si="6731">IFERROR(BJ165/AT$4,0)</f>
        <v>0.14821561588059529</v>
      </c>
      <c r="BL165" s="53" t="str">
        <f t="shared" ca="1" si="5109"/>
        <v>V</v>
      </c>
      <c r="BM165" s="503"/>
      <c r="BN165" s="504"/>
      <c r="BO165" s="504"/>
      <c r="BP165" s="492"/>
      <c r="BQ165" s="499">
        <f ca="1">SUMIF($B$166:$B$193,"&gt;A",BQ$166:BQ$193)</f>
        <v>54445.266218256002</v>
      </c>
      <c r="BR165" s="505">
        <f t="shared" ref="BR165:BR190" ca="1" si="6732">IFERROR(BQ165/BM$4,0)</f>
        <v>0.19105462920397329</v>
      </c>
      <c r="BS165" s="506"/>
      <c r="BT165" s="492"/>
      <c r="BU165" s="499">
        <f ca="1">SUMIF($B$166:$B$193,"&gt;A",BU$166:BU$193)</f>
        <v>-4575.1236946607087</v>
      </c>
      <c r="BV165" s="507">
        <f ca="1">IFERROR(BU165/BM$4,0)</f>
        <v>-1.6054629203973304E-2</v>
      </c>
      <c r="BW165" s="508"/>
      <c r="BX165" s="496"/>
      <c r="BY165" s="499">
        <f ca="1">SUMIF($B$166:$B$193,"&gt;A",BY$166:BY$193)</f>
        <v>0</v>
      </c>
      <c r="BZ165" s="507">
        <f t="shared" ref="BZ165:BZ190" ca="1" si="6733">IFERROR(BY165/BM$4,0)</f>
        <v>0</v>
      </c>
      <c r="CA165" s="496"/>
      <c r="CB165" s="496"/>
      <c r="CC165" s="499">
        <f ca="1">SUMIF($B$166:$B$193,"&gt;A",CC$166:CC$193)</f>
        <v>54445.266218256002</v>
      </c>
      <c r="CD165" s="505">
        <f t="shared" ref="CD165:CD190" ca="1" si="6734">IFERROR(CC165/BM$4,0)</f>
        <v>0.19105462920397329</v>
      </c>
      <c r="CE165" s="184" t="str">
        <f t="shared" ca="1" si="5120"/>
        <v>V</v>
      </c>
      <c r="CF165" s="503"/>
      <c r="CG165" s="504"/>
      <c r="CH165" s="504"/>
      <c r="CI165" s="492"/>
      <c r="CJ165" s="499">
        <f ca="1">SUMIF($B$166:$B$193,"&gt;A",CJ$166:CJ$193)</f>
        <v>130252.01693276002</v>
      </c>
      <c r="CK165" s="505">
        <f t="shared" ca="1" si="6606"/>
        <v>0.14718414395469695</v>
      </c>
      <c r="CL165" s="506"/>
      <c r="CM165" s="492"/>
      <c r="CN165" s="499">
        <f ca="1">SUMIF($B$166:$B$193,"&gt;A",CN$166:CN$193)</f>
        <v>24615.908040523762</v>
      </c>
      <c r="CO165" s="507">
        <f ca="1">IFERROR(CN165/CF$4,0)</f>
        <v>2.7815856045303077E-2</v>
      </c>
      <c r="CP165" s="508"/>
      <c r="CQ165" s="496"/>
      <c r="CR165" s="499">
        <f ca="1">SUMIF($B$166:$B$193,"&gt;A",CR$166:CR$193)</f>
        <v>0</v>
      </c>
      <c r="CS165" s="507">
        <f t="shared" ca="1" si="6607"/>
        <v>0</v>
      </c>
      <c r="CT165" s="496"/>
      <c r="CU165" s="496"/>
      <c r="CV165" s="499">
        <f ca="1">SUMIF($B$166:$B$193,"&gt;A",CV$166:CV$193)</f>
        <v>130252.01693276002</v>
      </c>
      <c r="CW165" s="505">
        <f t="shared" ca="1" si="6608"/>
        <v>0.14718414395469695</v>
      </c>
      <c r="CX165" s="53" t="str">
        <f t="shared" ca="1" si="5130"/>
        <v>V</v>
      </c>
      <c r="CY165" s="509"/>
      <c r="CZ165" s="504"/>
      <c r="DA165" s="510"/>
      <c r="DB165" s="511"/>
      <c r="DC165" s="499">
        <f ca="1">SUMIF($B$166:$B$193,"&gt;A",DC$166:DC$193)</f>
        <v>447713.67730277055</v>
      </c>
      <c r="DD165" s="505">
        <f t="shared" ca="1" si="4717"/>
        <v>0.12487066749166499</v>
      </c>
      <c r="DE165" s="506"/>
      <c r="DF165" s="492"/>
      <c r="DG165" s="499">
        <f ca="1">SUMIF($B$166:$B$193,"&gt;A",DG$166:DG$193)</f>
        <v>179734.66666651773</v>
      </c>
      <c r="DH165" s="507">
        <f ca="1">IFERROR(DG165/CY$4,0)</f>
        <v>5.0129332508334998E-2</v>
      </c>
      <c r="DI165" s="508"/>
      <c r="DJ165" s="496"/>
      <c r="DK165" s="499">
        <f ca="1">SUMIF($B$166:$B$193,"&gt;A",DK$166:DK$193)</f>
        <v>0</v>
      </c>
      <c r="DL165" s="507">
        <f t="shared" ca="1" si="4718"/>
        <v>0</v>
      </c>
      <c r="DM165" s="496"/>
      <c r="DN165" s="496"/>
      <c r="DO165" s="499">
        <f ca="1">SUMIF($B$166:$B$193,"&gt;A",DO$166:DO$193)</f>
        <v>447713.67730277055</v>
      </c>
      <c r="DP165" s="505">
        <f t="shared" ca="1" si="6609"/>
        <v>0.12487066749166499</v>
      </c>
      <c r="DQ165" s="183" t="str">
        <f t="shared" ca="1" si="5140"/>
        <v>V</v>
      </c>
      <c r="DR165" s="509"/>
      <c r="DS165" s="504"/>
      <c r="DT165" s="510"/>
      <c r="DU165" s="511"/>
      <c r="DV165" s="499">
        <f ca="1">SUMIF($B$166:$B$193,"&gt;A",DV$166:DV$193)</f>
        <v>90608.862936360005</v>
      </c>
      <c r="DW165" s="505">
        <f t="shared" ca="1" si="5343"/>
        <v>0.12911662997008241</v>
      </c>
      <c r="DX165" s="506"/>
      <c r="DY165" s="492"/>
      <c r="DZ165" s="499">
        <f ca="1">SUMIF($B$166:$B$193,"&gt;A",DZ$166:DZ$193)</f>
        <v>32199.105468152404</v>
      </c>
      <c r="EA165" s="507">
        <f ca="1">IFERROR(DZ165/DR$4,0)</f>
        <v>4.5883370029917589E-2</v>
      </c>
      <c r="EB165" s="508"/>
      <c r="EC165" s="496"/>
      <c r="ED165" s="499">
        <f ca="1">SUMIF($B$166:$B$193,"&gt;A",ED$166:ED$193)</f>
        <v>0</v>
      </c>
      <c r="EE165" s="507">
        <f t="shared" ca="1" si="5349"/>
        <v>0</v>
      </c>
      <c r="EF165" s="496"/>
      <c r="EG165" s="496"/>
      <c r="EH165" s="499">
        <f ca="1">SUMIF($B$166:$B$193,"&gt;A",EH$166:EH$193)</f>
        <v>90608.862936360005</v>
      </c>
      <c r="EI165" s="505">
        <f t="shared" ca="1" si="6610"/>
        <v>0.12911662997008241</v>
      </c>
      <c r="EJ165" s="503"/>
      <c r="EK165" s="504"/>
      <c r="EL165" s="512"/>
      <c r="EM165" s="492"/>
      <c r="EN165" s="499">
        <f ca="1">SUMIF($B$166:$B$193,"&gt;A",EN$166:EN$193)</f>
        <v>125994.79842599999</v>
      </c>
      <c r="EO165" s="505">
        <f t="shared" ref="EO165:EO190" ca="1" si="6735">IFERROR(EN165/EJ$4,0)</f>
        <v>0.17752041763443499</v>
      </c>
      <c r="EP165" s="506"/>
      <c r="EQ165" s="492"/>
      <c r="ER165" s="499">
        <f ca="1">SUMIF($B$166:$B$193,"&gt;A",ER$166:ER$193)</f>
        <v>-1788.8619012485542</v>
      </c>
      <c r="ES165" s="507">
        <f ca="1">IFERROR(ER165/EJ$4,0)</f>
        <v>-2.5204176344349937E-3</v>
      </c>
      <c r="ET165" s="508"/>
      <c r="EU165" s="496"/>
      <c r="EV165" s="499">
        <f ca="1">SUMIF($B$166:$B$193,"&gt;A",EV$166:EV$193)</f>
        <v>0</v>
      </c>
      <c r="EW165" s="507">
        <f t="shared" ref="EW165:EW190" ca="1" si="6736">IFERROR(EV165/EJ$4,0)</f>
        <v>0</v>
      </c>
      <c r="EX165" s="496"/>
      <c r="EY165" s="496"/>
      <c r="EZ165" s="499">
        <f ca="1">SUMIF($B$166:$B$193,"&gt;A",EZ$166:EZ$193)</f>
        <v>125994.79842599999</v>
      </c>
      <c r="FA165" s="505">
        <f t="shared" ref="FA165:FA190" ca="1" si="6737">IFERROR(EZ165/EJ$4,0)</f>
        <v>0.17752041763443499</v>
      </c>
      <c r="FB165" s="184" t="str">
        <f t="shared" ca="1" si="5151"/>
        <v>V</v>
      </c>
      <c r="FC165" s="503"/>
      <c r="FD165" s="504"/>
      <c r="FE165" s="504"/>
      <c r="FF165" s="492"/>
      <c r="FG165" s="499">
        <f ca="1">SUMIF($B$166:$B$193,"&gt;A",FG$166:FG$193)</f>
        <v>938880.12205440004</v>
      </c>
      <c r="FH165" s="505">
        <f t="shared" ref="FH165:FH166" ca="1" si="6738">IFERROR(FG165/FC$4,0)</f>
        <v>0.20600195059661644</v>
      </c>
      <c r="FI165" s="506"/>
      <c r="FJ165" s="492"/>
      <c r="FK165" s="499">
        <f ca="1">SUMIF($B$166:$B$193,"&gt;A",FK$166:FK$193)</f>
        <v>-141295.33762071963</v>
      </c>
      <c r="FL165" s="507">
        <f ca="1">IFERROR(FK165/FC$4,0)</f>
        <v>-3.1001950596616444E-2</v>
      </c>
      <c r="FM165" s="508"/>
      <c r="FN165" s="496"/>
      <c r="FO165" s="499">
        <f ca="1">SUMIF($B$166:$B$193,"&gt;A",FO$166:FO$193)</f>
        <v>0</v>
      </c>
      <c r="FP165" s="507">
        <f t="shared" ref="FP165:FP190" ca="1" si="6739">IFERROR(FO165/FC$4,0)</f>
        <v>0</v>
      </c>
      <c r="FQ165" s="496"/>
      <c r="FR165" s="496"/>
      <c r="FS165" s="499">
        <f ca="1">SUMIF($B$166:$B$193,"&gt;A",FS$166:FS$193)</f>
        <v>938880.12205440004</v>
      </c>
      <c r="FT165" s="505">
        <f t="shared" ref="FT165:FT190" ca="1" si="6740">IFERROR(FS165/FC$4,0)</f>
        <v>0.20600195059661644</v>
      </c>
      <c r="FU165" s="183" t="str">
        <f t="shared" ca="1" si="5162"/>
        <v>V</v>
      </c>
    </row>
    <row r="166" spans="1:177" outlineLevel="1" x14ac:dyDescent="0.2">
      <c r="A166" s="513"/>
      <c r="B166" s="513" t="s">
        <v>539</v>
      </c>
      <c r="C166" s="514"/>
      <c r="D166" s="515"/>
      <c r="E166" s="516"/>
      <c r="F166" s="514"/>
      <c r="G166" s="517"/>
      <c r="H166" s="1689"/>
      <c r="I166" s="1689"/>
      <c r="J166" s="1728"/>
      <c r="K166" s="1689"/>
      <c r="L166" s="1689"/>
      <c r="M166" s="513"/>
      <c r="N166" s="518">
        <f>SUM(N$167:N$169)</f>
        <v>2.5000000000000001E-2</v>
      </c>
      <c r="O166" s="518">
        <f>SUM(O$167:O$169)</f>
        <v>0</v>
      </c>
      <c r="P166" s="519">
        <f t="shared" ca="1" si="6318"/>
        <v>0</v>
      </c>
      <c r="Q166" s="520"/>
      <c r="R166" s="520"/>
      <c r="S166" s="514"/>
      <c r="T166" s="520"/>
      <c r="U166" s="521"/>
      <c r="V166" s="520"/>
      <c r="W166" s="522"/>
      <c r="X166" s="523"/>
      <c r="Y166" s="523"/>
      <c r="Z166" s="524"/>
      <c r="AA166" s="525"/>
      <c r="AB166" s="526"/>
      <c r="AC166" s="526"/>
      <c r="AD166" s="514"/>
      <c r="AE166" s="527">
        <f ca="1">SUM(AE$167:AE$169)</f>
        <v>0</v>
      </c>
      <c r="AF166" s="528">
        <f t="shared" ca="1" si="6726"/>
        <v>0</v>
      </c>
      <c r="AG166" s="529"/>
      <c r="AH166" s="514"/>
      <c r="AI166" s="527">
        <f ca="1">SUM(AI$167:AI$169)</f>
        <v>14037.400397874568</v>
      </c>
      <c r="AJ166" s="530">
        <f ca="1">IFERROR(AI166/AA$4,0)</f>
        <v>2.5000000000000001E-2</v>
      </c>
      <c r="AK166" s="529"/>
      <c r="AL166" s="514"/>
      <c r="AM166" s="527">
        <f ca="1">SUM(AM$167:AM$169)</f>
        <v>0</v>
      </c>
      <c r="AN166" s="530">
        <f t="shared" ca="1" si="6727"/>
        <v>0</v>
      </c>
      <c r="AO166" s="514"/>
      <c r="AP166" s="514"/>
      <c r="AQ166" s="527">
        <f ca="1">SUM(AQ$167:AQ$169)</f>
        <v>0</v>
      </c>
      <c r="AR166" s="528">
        <f t="shared" ca="1" si="6728"/>
        <v>0</v>
      </c>
      <c r="AS166" s="473" t="str">
        <f t="shared" ca="1" si="5098"/>
        <v/>
      </c>
      <c r="AT166" s="525"/>
      <c r="AU166" s="526"/>
      <c r="AV166" s="526"/>
      <c r="AW166" s="514"/>
      <c r="AX166" s="527">
        <f ca="1">SUM(AX$167:AX$169)</f>
        <v>0</v>
      </c>
      <c r="AY166" s="528">
        <f t="shared" ca="1" si="6729"/>
        <v>0</v>
      </c>
      <c r="AZ166" s="529"/>
      <c r="BA166" s="514"/>
      <c r="BB166" s="527">
        <f ca="1">SUM(BB$167:BB$169)</f>
        <v>43296.050798043128</v>
      </c>
      <c r="BC166" s="530">
        <f ca="1">IFERROR(BB166/AT$4,0)</f>
        <v>2.5000000000000001E-2</v>
      </c>
      <c r="BD166" s="529"/>
      <c r="BE166" s="514"/>
      <c r="BF166" s="527">
        <f ca="1">SUM(BF$167:BF$169)</f>
        <v>0</v>
      </c>
      <c r="BG166" s="530">
        <f t="shared" ca="1" si="6730"/>
        <v>0</v>
      </c>
      <c r="BH166" s="514"/>
      <c r="BI166" s="514"/>
      <c r="BJ166" s="527">
        <f ca="1">SUM(BJ$167:BJ$169)</f>
        <v>0</v>
      </c>
      <c r="BK166" s="528">
        <f t="shared" ca="1" si="6731"/>
        <v>0</v>
      </c>
      <c r="BL166" s="295" t="str">
        <f t="shared" ca="1" si="5109"/>
        <v/>
      </c>
      <c r="BM166" s="525"/>
      <c r="BN166" s="526"/>
      <c r="BO166" s="526"/>
      <c r="BP166" s="514"/>
      <c r="BQ166" s="527">
        <f ca="1">SUM(BQ$167:BQ$169)</f>
        <v>0</v>
      </c>
      <c r="BR166" s="528">
        <f t="shared" ca="1" si="6732"/>
        <v>0</v>
      </c>
      <c r="BS166" s="529"/>
      <c r="BT166" s="514"/>
      <c r="BU166" s="527">
        <f ca="1">SUM(BU$167:BU$169)</f>
        <v>7124.3060747993286</v>
      </c>
      <c r="BV166" s="530">
        <f ca="1">IFERROR(BU166/BM$4,0)</f>
        <v>2.5000000000000001E-2</v>
      </c>
      <c r="BW166" s="529"/>
      <c r="BX166" s="514"/>
      <c r="BY166" s="527">
        <f ca="1">SUM(BY$167:BY$169)</f>
        <v>0</v>
      </c>
      <c r="BZ166" s="530">
        <f t="shared" ca="1" si="6733"/>
        <v>0</v>
      </c>
      <c r="CA166" s="514"/>
      <c r="CB166" s="514"/>
      <c r="CC166" s="527">
        <f ca="1">SUM(CC$167:CC$169)</f>
        <v>0</v>
      </c>
      <c r="CD166" s="528">
        <f t="shared" ca="1" si="6734"/>
        <v>0</v>
      </c>
      <c r="CE166" s="474" t="str">
        <f t="shared" ca="1" si="5120"/>
        <v/>
      </c>
      <c r="CF166" s="525"/>
      <c r="CG166" s="526"/>
      <c r="CH166" s="526"/>
      <c r="CI166" s="514"/>
      <c r="CJ166" s="527">
        <f ca="1">SUM(CJ$167:CJ$169)</f>
        <v>0</v>
      </c>
      <c r="CK166" s="528">
        <f t="shared" ca="1" si="6606"/>
        <v>0</v>
      </c>
      <c r="CL166" s="529"/>
      <c r="CM166" s="514"/>
      <c r="CN166" s="527">
        <f ca="1">SUM(CN$167:CN$169)</f>
        <v>22123.98928189768</v>
      </c>
      <c r="CO166" s="530">
        <f ca="1">IFERROR(CN166/CF$4,0)</f>
        <v>2.5000000000000001E-2</v>
      </c>
      <c r="CP166" s="529"/>
      <c r="CQ166" s="514"/>
      <c r="CR166" s="527">
        <f ca="1">SUM(CR$167:CR$169)</f>
        <v>0</v>
      </c>
      <c r="CS166" s="530">
        <f t="shared" ca="1" si="6607"/>
        <v>0</v>
      </c>
      <c r="CT166" s="514"/>
      <c r="CU166" s="514"/>
      <c r="CV166" s="527">
        <f ca="1">SUM(CV$167:CV$169)</f>
        <v>0</v>
      </c>
      <c r="CW166" s="528">
        <f t="shared" ca="1" si="6608"/>
        <v>0</v>
      </c>
      <c r="CX166" s="295" t="str">
        <f t="shared" ca="1" si="5130"/>
        <v/>
      </c>
      <c r="CY166" s="531"/>
      <c r="CZ166" s="526"/>
      <c r="DA166" s="532"/>
      <c r="DB166" s="527"/>
      <c r="DC166" s="527">
        <f ca="1">SUM(DC$167:DC$169)</f>
        <v>0</v>
      </c>
      <c r="DD166" s="528">
        <f t="shared" ca="1" si="4717"/>
        <v>0</v>
      </c>
      <c r="DE166" s="529"/>
      <c r="DF166" s="514"/>
      <c r="DG166" s="527">
        <f ca="1">SUM(DG$167:DG$169)</f>
        <v>89635.477709898332</v>
      </c>
      <c r="DH166" s="530">
        <f ca="1">IFERROR(DG166/CY$4,0)</f>
        <v>2.5000000000000001E-2</v>
      </c>
      <c r="DI166" s="529"/>
      <c r="DJ166" s="514"/>
      <c r="DK166" s="527">
        <f ca="1">SUM(DK$167:DK$169)</f>
        <v>0</v>
      </c>
      <c r="DL166" s="530">
        <f t="shared" ca="1" si="4718"/>
        <v>0</v>
      </c>
      <c r="DM166" s="514"/>
      <c r="DN166" s="514"/>
      <c r="DO166" s="527">
        <f ca="1">SUM(DO$167:DO$169)</f>
        <v>0</v>
      </c>
      <c r="DP166" s="528">
        <f t="shared" ca="1" si="6609"/>
        <v>0</v>
      </c>
      <c r="DQ166" s="473" t="str">
        <f t="shared" ca="1" si="5140"/>
        <v/>
      </c>
      <c r="DR166" s="531"/>
      <c r="DS166" s="526"/>
      <c r="DT166" s="532"/>
      <c r="DU166" s="527"/>
      <c r="DV166" s="527">
        <f ca="1">SUM(DV$167:DV$169)</f>
        <v>0</v>
      </c>
      <c r="DW166" s="528">
        <f t="shared" ca="1" si="5343"/>
        <v>0</v>
      </c>
      <c r="DX166" s="529"/>
      <c r="DY166" s="514"/>
      <c r="DZ166" s="527">
        <f ca="1">SUM(DZ$167:DZ$169)</f>
        <v>17543.995486358916</v>
      </c>
      <c r="EA166" s="530">
        <f ca="1">IFERROR(DZ166/DR$4,0)</f>
        <v>2.5000000000000001E-2</v>
      </c>
      <c r="EB166" s="529"/>
      <c r="EC166" s="514"/>
      <c r="ED166" s="527">
        <f ca="1">SUM(ED$167:ED$169)</f>
        <v>0</v>
      </c>
      <c r="EE166" s="530">
        <f t="shared" ca="1" si="5349"/>
        <v>0</v>
      </c>
      <c r="EF166" s="514"/>
      <c r="EG166" s="514"/>
      <c r="EH166" s="527">
        <f ca="1">SUM(EH$167:EH$169)</f>
        <v>0</v>
      </c>
      <c r="EI166" s="528">
        <f t="shared" ca="1" si="6610"/>
        <v>0</v>
      </c>
      <c r="EJ166" s="525"/>
      <c r="EK166" s="526"/>
      <c r="EL166" s="533"/>
      <c r="EM166" s="514"/>
      <c r="EN166" s="527">
        <f ca="1">SUM(EN$167:EN$169)</f>
        <v>0</v>
      </c>
      <c r="EO166" s="528">
        <f t="shared" ca="1" si="6735"/>
        <v>0</v>
      </c>
      <c r="EP166" s="529"/>
      <c r="EQ166" s="514"/>
      <c r="ER166" s="527">
        <f ca="1">SUM(ER$167:ER$169)</f>
        <v>17743.705217821636</v>
      </c>
      <c r="ES166" s="530">
        <f ca="1">IFERROR(ER166/EJ$4,0)</f>
        <v>2.5000000000000001E-2</v>
      </c>
      <c r="ET166" s="529"/>
      <c r="EU166" s="514"/>
      <c r="EV166" s="527">
        <f ca="1">SUM(EV$167:EV$169)</f>
        <v>0</v>
      </c>
      <c r="EW166" s="530">
        <f t="shared" ca="1" si="6736"/>
        <v>0</v>
      </c>
      <c r="EX166" s="514"/>
      <c r="EY166" s="514"/>
      <c r="EZ166" s="527">
        <f ca="1">SUM(EZ$167:EZ$169)</f>
        <v>0</v>
      </c>
      <c r="FA166" s="528">
        <f t="shared" ca="1" si="6737"/>
        <v>0</v>
      </c>
      <c r="FB166" s="474" t="str">
        <f t="shared" ca="1" si="5151"/>
        <v/>
      </c>
      <c r="FC166" s="525"/>
      <c r="FD166" s="526"/>
      <c r="FE166" s="526"/>
      <c r="FF166" s="514"/>
      <c r="FG166" s="527">
        <f ca="1">SUM(FG$167:FG$169)</f>
        <v>0</v>
      </c>
      <c r="FH166" s="528">
        <f t="shared" ca="1" si="6738"/>
        <v>0</v>
      </c>
      <c r="FI166" s="529"/>
      <c r="FJ166" s="514"/>
      <c r="FK166" s="527">
        <f ca="1">SUM(FK$167:FK$169)</f>
        <v>113940.68349052577</v>
      </c>
      <c r="FL166" s="530">
        <f ca="1">IFERROR(FK166/FC$4,0)</f>
        <v>2.5000000000000001E-2</v>
      </c>
      <c r="FM166" s="529"/>
      <c r="FN166" s="514"/>
      <c r="FO166" s="527">
        <f ca="1">SUM(FO$167:FO$169)</f>
        <v>0</v>
      </c>
      <c r="FP166" s="530">
        <f t="shared" ca="1" si="6739"/>
        <v>0</v>
      </c>
      <c r="FQ166" s="514"/>
      <c r="FR166" s="514"/>
      <c r="FS166" s="527">
        <f ca="1">SUM(FS$167:FS$169)</f>
        <v>0</v>
      </c>
      <c r="FT166" s="528">
        <f t="shared" ca="1" si="6740"/>
        <v>0</v>
      </c>
      <c r="FU166" s="473" t="str">
        <f t="shared" ca="1" si="5162"/>
        <v/>
      </c>
    </row>
    <row r="167" spans="1:177" outlineLevel="2" x14ac:dyDescent="0.2">
      <c r="A167" s="534"/>
      <c r="B167" s="534"/>
      <c r="C167" s="535" t="str">
        <f t="shared" ref="C167:E169" ca="1" si="6741">OFFSET(Origine,MATCH($F167,Descrizioni,0),MATCH(C$15,Intestazioni,0)-1,1,1)</f>
        <v>IE00BDFL4P12:USD</v>
      </c>
      <c r="D167" s="536" t="str">
        <f t="shared" ca="1" si="6741"/>
        <v>IE00BDFL4P12</v>
      </c>
      <c r="E167" s="537" t="str">
        <f t="shared" ca="1" si="6741"/>
        <v>36082553</v>
      </c>
      <c r="F167" s="535" t="s">
        <v>540</v>
      </c>
      <c r="G167" s="538"/>
      <c r="H167" s="1729" t="str">
        <f ca="1">IF(OFFSET(Origine,MATCH($F167,Descrizioni,0),MATCH(H$15,Intestazioni,0)-1,1,1)&lt;&gt;"",HYPERLINK(OFFSET(Origine,MATCH($F167,Descrizioni,0),MATCH(H$15,Intestazioni,0)-1,1,1),""),"")</f>
        <v></v>
      </c>
      <c r="I167" s="1690" t="str">
        <f ca="1">IF(OFFSET(Origine,MATCH($F167,Descrizioni,0),MATCH(I$15,Intestazioni,0)-1,1,1)&lt;&gt;"",HYPERLINK(OFFSET(Origine,MATCH($F167,Descrizioni,0),MATCH(I$15,Intestazioni,0)-1,1,1),"i"),"")</f>
        <v>i</v>
      </c>
      <c r="J167" s="1729" t="str">
        <f t="shared" ref="J167:K169" ca="1" si="6742">IF(OFFSET(Origine,MATCH($F167,Descrizioni,0),MATCH(J$15,Intestazioni,0)-1,1,1)&lt;&gt;"",HYPERLINK(OFFSET(Origine,MATCH($F167,Descrizioni,0),MATCH(J$15,Intestazioni,0)-1,1,1),""),"")</f>
        <v></v>
      </c>
      <c r="K167" s="1730" t="str">
        <f t="shared" ca="1" si="6742"/>
        <v></v>
      </c>
      <c r="L167" s="1731" t="str">
        <f ca="1">IF(OFFSET(Origine,MATCH($F167,Descrizioni,0),MATCH(L$15,Intestazioni,0)-1,1,1)&lt;&gt;"",HYPERLINK("https://www.zonebourse.com/mods_a/charts/TV/inc_dyna_graph.php?c="&amp;OFFSET(Origine,MATCH($F167,Descrizioni,0),MATCH(L$15,Intestazioni,0)-1,1,1)&amp;"&amp;style=TradingView.CANDLES&amp;showAT=1",""),"")</f>
        <v></v>
      </c>
      <c r="M167" s="534" t="str">
        <f ca="1">(OFFSET(Origine,MATCH($F167,Descrizioni,0),MATCH(M$15,Intestazioni,0)-1,1,1))</f>
        <v>Unit</v>
      </c>
      <c r="N167" s="539"/>
      <c r="O167" s="539"/>
      <c r="P167" s="540">
        <f t="shared" ca="1" si="6318"/>
        <v>0</v>
      </c>
      <c r="Q167" s="541">
        <f t="array" aca="1" ref="Q167" ca="1">SUM(IF($AA$15:$FT$15="I_pos",AA167:FT167))</f>
        <v>0</v>
      </c>
      <c r="R167" s="541">
        <f t="array" aca="1" ref="R167" ca="1">SUM(IF($AA$15:$FT$15="P_Pos",AA167:FT167))</f>
        <v>0</v>
      </c>
      <c r="S167" s="535"/>
      <c r="T167" s="541"/>
      <c r="U167" s="542">
        <f ca="1">OFFSET(Origine,MATCH($F167,Descrizioni,0),MATCH(U$15,Intestazioni,0)-1,1,1)</f>
        <v>1.4096185737977001E-2</v>
      </c>
      <c r="V167" s="541">
        <f t="array" aca="1" ref="V167" ca="1">SUM(IF($AA$15:$FT$15="O_Pos",AA167:FT167))</f>
        <v>0</v>
      </c>
      <c r="W167" s="535" t="str">
        <f t="shared" ref="W167" ca="1" si="6743">OFFSET(Origine,MATCH($F167,Descrizioni,0),MATCH(W$15,Intestazioni,0)-1,1,1)</f>
        <v>USD</v>
      </c>
      <c r="X167" s="543">
        <f t="shared" ref="X167:Y169" ca="1" si="6744">_xlfn.NUMBERVALUE(OFFSET(Origine,MATCH($F167,Descrizioni,0),MATCH(X$15,Intestazioni,0)-1,1,1))</f>
        <v>9.1724999999999994</v>
      </c>
      <c r="Y167" s="544">
        <f t="shared" ca="1" si="6744"/>
        <v>0</v>
      </c>
      <c r="Z167" s="545">
        <f ca="1">_xlfn.NUMBERVALUE(OFFSET(Origine,MATCH(W167&amp;"/"&amp;MRif,LUKB_Name,0),MATCH("Price",Intestazioni,0)-1,1,1))</f>
        <v>0.78225</v>
      </c>
      <c r="AA167" s="214"/>
      <c r="AB167" s="489" t="str">
        <f t="shared" ref="AB167:AB169" ca="1" si="6745">IFERROR($X167/AC167-1,"")</f>
        <v/>
      </c>
      <c r="AC167" s="215"/>
      <c r="AD167" s="199">
        <f t="shared" ref="AD167:AD169" ca="1" si="6746">AA167*$X167</f>
        <v>0</v>
      </c>
      <c r="AE167" s="199">
        <f t="shared" ref="AE167:AE169" ca="1" si="6747">AD167*$Z167</f>
        <v>0</v>
      </c>
      <c r="AF167" s="216">
        <f t="shared" ca="1" si="6726"/>
        <v>0</v>
      </c>
      <c r="AG167" s="202">
        <f t="shared" ref="AG167:AG169" ca="1" si="6748">AH167/$X167</f>
        <v>0</v>
      </c>
      <c r="AH167" s="203">
        <f t="shared" ref="AH167:AH169" ca="1" si="6749">AI167/$Z167</f>
        <v>0</v>
      </c>
      <c r="AI167" s="203">
        <f t="shared" ref="AI167:AI169" ca="1" si="6750">AJ167*AA$4</f>
        <v>0</v>
      </c>
      <c r="AJ167" s="204">
        <f ca="1">IF(AA$6&lt;&gt;"",$O167,$N167)-AF167</f>
        <v>0</v>
      </c>
      <c r="AK167" s="205"/>
      <c r="AL167" s="206">
        <f t="shared" ref="AL167:AL169" ca="1" si="6751">AK167*$X167</f>
        <v>0</v>
      </c>
      <c r="AM167" s="206">
        <f t="shared" ref="AM167:AM169" ca="1" si="6752">AL167*$Z167</f>
        <v>0</v>
      </c>
      <c r="AN167" s="207">
        <f t="shared" ca="1" si="6727"/>
        <v>0</v>
      </c>
      <c r="AO167" s="541">
        <f>AA167+AK167</f>
        <v>0</v>
      </c>
      <c r="AP167" s="541">
        <f t="shared" ca="1" si="5295"/>
        <v>0</v>
      </c>
      <c r="AQ167" s="541">
        <f t="shared" ref="AQ167:AQ169" ca="1" si="6753">AP167*$Z167</f>
        <v>0</v>
      </c>
      <c r="AR167" s="546">
        <f t="shared" ca="1" si="6728"/>
        <v>0</v>
      </c>
      <c r="AS167" s="209" t="str">
        <f t="shared" ca="1" si="5098"/>
        <v/>
      </c>
      <c r="AT167" s="214"/>
      <c r="AU167" s="489" t="str">
        <f t="shared" ref="AU167:AU169" ca="1" si="6754">IFERROR($X167/AV167-1,"")</f>
        <v/>
      </c>
      <c r="AV167" s="215"/>
      <c r="AW167" s="199">
        <f t="shared" ref="AW167:AW169" ca="1" si="6755">AT167*$X167</f>
        <v>0</v>
      </c>
      <c r="AX167" s="199">
        <f t="shared" ref="AX167:AX169" ca="1" si="6756">AW167*$Z167</f>
        <v>0</v>
      </c>
      <c r="AY167" s="216">
        <f t="shared" ca="1" si="6729"/>
        <v>0</v>
      </c>
      <c r="AZ167" s="202">
        <f t="shared" ref="AZ167:AZ169" ca="1" si="6757">BA167/$X167</f>
        <v>0</v>
      </c>
      <c r="BA167" s="203">
        <f t="shared" ref="BA167:BA169" ca="1" si="6758">BB167/$Z167</f>
        <v>0</v>
      </c>
      <c r="BB167" s="203">
        <f t="shared" ref="BB167:BB169" ca="1" si="6759">BC167*AT$4</f>
        <v>0</v>
      </c>
      <c r="BC167" s="204">
        <f ca="1">IF(AT$6&lt;&gt;"",$O167,$N167)-AY167</f>
        <v>0</v>
      </c>
      <c r="BD167" s="205"/>
      <c r="BE167" s="206">
        <f t="shared" ref="BE167:BE169" ca="1" si="6760">BD167*$X167</f>
        <v>0</v>
      </c>
      <c r="BF167" s="206">
        <f t="shared" ref="BF167:BF169" ca="1" si="6761">BE167*$Z167</f>
        <v>0</v>
      </c>
      <c r="BG167" s="207">
        <f t="shared" ca="1" si="6730"/>
        <v>0</v>
      </c>
      <c r="BH167" s="541">
        <f>AT167+BD167</f>
        <v>0</v>
      </c>
      <c r="BI167" s="541">
        <f t="shared" ca="1" si="5308"/>
        <v>0</v>
      </c>
      <c r="BJ167" s="541">
        <f t="shared" ref="BJ167:BJ169" ca="1" si="6762">BI167*$Z167</f>
        <v>0</v>
      </c>
      <c r="BK167" s="546">
        <f t="shared" ca="1" si="6731"/>
        <v>0</v>
      </c>
      <c r="BL167" s="211" t="str">
        <f t="shared" ca="1" si="5109"/>
        <v/>
      </c>
      <c r="BM167" s="214"/>
      <c r="BN167" s="489" t="str">
        <f t="shared" ref="BN167:BN169" ca="1" si="6763">IFERROR($X167/BO167-1,"")</f>
        <v/>
      </c>
      <c r="BO167" s="215"/>
      <c r="BP167" s="199">
        <f t="shared" ref="BP167:BP169" ca="1" si="6764">BM167*$X167</f>
        <v>0</v>
      </c>
      <c r="BQ167" s="199">
        <f t="shared" ref="BQ167:BQ169" ca="1" si="6765">BP167*$Z167</f>
        <v>0</v>
      </c>
      <c r="BR167" s="216">
        <f t="shared" ca="1" si="6732"/>
        <v>0</v>
      </c>
      <c r="BS167" s="202">
        <f t="shared" ref="BS167:BS169" ca="1" si="6766">BT167/$X167</f>
        <v>0</v>
      </c>
      <c r="BT167" s="203">
        <f t="shared" ref="BT167:BT169" ca="1" si="6767">BU167/$Z167</f>
        <v>0</v>
      </c>
      <c r="BU167" s="203">
        <f t="shared" ref="BU167:BU169" ca="1" si="6768">BV167*BM$4</f>
        <v>0</v>
      </c>
      <c r="BV167" s="204">
        <f ca="1">IF(BM$6&lt;&gt;"",$O167,$N167)-BR167</f>
        <v>0</v>
      </c>
      <c r="BW167" s="205"/>
      <c r="BX167" s="206">
        <f t="shared" ref="BX167:BX169" ca="1" si="6769">BW167*$X167</f>
        <v>0</v>
      </c>
      <c r="BY167" s="206">
        <f t="shared" ref="BY167:BY169" ca="1" si="6770">BX167*$Z167</f>
        <v>0</v>
      </c>
      <c r="BZ167" s="207">
        <f t="shared" ca="1" si="6733"/>
        <v>0</v>
      </c>
      <c r="CA167" s="541">
        <f>BM167+BW167</f>
        <v>0</v>
      </c>
      <c r="CB167" s="541">
        <f t="shared" ca="1" si="5321"/>
        <v>0</v>
      </c>
      <c r="CC167" s="541">
        <f t="shared" ref="CC167:CC169" ca="1" si="6771">CB167*$Z167</f>
        <v>0</v>
      </c>
      <c r="CD167" s="546">
        <f t="shared" ca="1" si="6734"/>
        <v>0</v>
      </c>
      <c r="CE167" s="212" t="str">
        <f t="shared" ca="1" si="5120"/>
        <v/>
      </c>
      <c r="CF167" s="214"/>
      <c r="CG167" s="489" t="str">
        <f t="shared" ref="CG167:CG169" ca="1" si="6772">IFERROR($X167/CH167-1,"")</f>
        <v/>
      </c>
      <c r="CH167" s="215"/>
      <c r="CI167" s="199">
        <f ca="1">CF167*$X167</f>
        <v>0</v>
      </c>
      <c r="CJ167" s="199">
        <f ca="1">CI167*$Z167</f>
        <v>0</v>
      </c>
      <c r="CK167" s="216">
        <f t="shared" ca="1" si="6606"/>
        <v>0</v>
      </c>
      <c r="CL167" s="202">
        <f ca="1">CM167/$X167</f>
        <v>0</v>
      </c>
      <c r="CM167" s="203">
        <f ca="1">CN167/$Z167</f>
        <v>0</v>
      </c>
      <c r="CN167" s="203">
        <f ca="1">CO167*CF$4</f>
        <v>0</v>
      </c>
      <c r="CO167" s="204">
        <f ca="1">IF(CF$6&lt;&gt;"",$O167,$N167)-CK167</f>
        <v>0</v>
      </c>
      <c r="CP167" s="205"/>
      <c r="CQ167" s="206">
        <f ca="1">CP167*$X167</f>
        <v>0</v>
      </c>
      <c r="CR167" s="206">
        <f ca="1">CQ167*$Z167</f>
        <v>0</v>
      </c>
      <c r="CS167" s="207">
        <f t="shared" ca="1" si="6607"/>
        <v>0</v>
      </c>
      <c r="CT167" s="541">
        <f>CF167+CP167</f>
        <v>0</v>
      </c>
      <c r="CU167" s="541">
        <f t="shared" ca="1" si="5334"/>
        <v>0</v>
      </c>
      <c r="CV167" s="541">
        <f ca="1">CU167*$Z167</f>
        <v>0</v>
      </c>
      <c r="CW167" s="546">
        <f t="shared" ca="1" si="6608"/>
        <v>0</v>
      </c>
      <c r="CX167" s="211" t="str">
        <f t="shared" ca="1" si="5130"/>
        <v/>
      </c>
      <c r="CY167" s="197"/>
      <c r="CZ167" s="489" t="str">
        <f t="shared" ref="CZ167:CZ169" ca="1" si="6773">IFERROR($X167/DA167-1,"")</f>
        <v/>
      </c>
      <c r="DA167" s="395"/>
      <c r="DB167" s="199">
        <f ca="1">CY167*$X167</f>
        <v>0</v>
      </c>
      <c r="DC167" s="199">
        <f ca="1">DB167*$Z167</f>
        <v>0</v>
      </c>
      <c r="DD167" s="216">
        <f t="shared" ca="1" si="4717"/>
        <v>0</v>
      </c>
      <c r="DE167" s="202">
        <f ca="1">DF167/$X167</f>
        <v>0</v>
      </c>
      <c r="DF167" s="203">
        <f ca="1">DG167/$Z167</f>
        <v>0</v>
      </c>
      <c r="DG167" s="203">
        <f ca="1">DH167*CY$4</f>
        <v>0</v>
      </c>
      <c r="DH167" s="204">
        <f ca="1">IF(CY$6&lt;&gt;"",$O167,$N167)-DD167</f>
        <v>0</v>
      </c>
      <c r="DI167" s="205"/>
      <c r="DJ167" s="206">
        <f ca="1">DI167*$X167</f>
        <v>0</v>
      </c>
      <c r="DK167" s="206">
        <f ca="1">DJ167*$Z167</f>
        <v>0</v>
      </c>
      <c r="DL167" s="207">
        <f t="shared" ca="1" si="4718"/>
        <v>0</v>
      </c>
      <c r="DM167" s="541">
        <f>CY167+DI167</f>
        <v>0</v>
      </c>
      <c r="DN167" s="541">
        <f t="shared" ca="1" si="5338"/>
        <v>0</v>
      </c>
      <c r="DO167" s="541">
        <f ca="1">DN167*$Z167</f>
        <v>0</v>
      </c>
      <c r="DP167" s="546">
        <f t="shared" ca="1" si="6609"/>
        <v>0</v>
      </c>
      <c r="DQ167" s="209" t="str">
        <f t="shared" ca="1" si="5140"/>
        <v/>
      </c>
      <c r="DR167" s="197"/>
      <c r="DS167" s="489" t="str">
        <f t="shared" ref="DS167:DS169" ca="1" si="6774">IFERROR($X167/DT167-1,"")</f>
        <v/>
      </c>
      <c r="DT167" s="395"/>
      <c r="DU167" s="199">
        <f ca="1">DR167*$X167</f>
        <v>0</v>
      </c>
      <c r="DV167" s="199">
        <f ca="1">DU167*$Z167</f>
        <v>0</v>
      </c>
      <c r="DW167" s="216">
        <f t="shared" ca="1" si="5343"/>
        <v>0</v>
      </c>
      <c r="DX167" s="202">
        <f ca="1">DY167/$X167</f>
        <v>0</v>
      </c>
      <c r="DY167" s="203">
        <f ca="1">DZ167/$Z167</f>
        <v>0</v>
      </c>
      <c r="DZ167" s="203">
        <f ca="1">EA167*DR$4</f>
        <v>0</v>
      </c>
      <c r="EA167" s="204">
        <f ca="1">IF(DR$6&lt;&gt;"",$O167,$N167)-DW167</f>
        <v>0</v>
      </c>
      <c r="EB167" s="205"/>
      <c r="EC167" s="206">
        <f ca="1">EB167*$X167</f>
        <v>0</v>
      </c>
      <c r="ED167" s="206">
        <f ca="1">EC167*$Z167</f>
        <v>0</v>
      </c>
      <c r="EE167" s="207">
        <f t="shared" ca="1" si="5349"/>
        <v>0</v>
      </c>
      <c r="EF167" s="541">
        <f>DR167+EB167</f>
        <v>0</v>
      </c>
      <c r="EG167" s="541">
        <f t="shared" ref="EG167:EG169" ca="1" si="6775">DU167+IF($T167 ="",EC167,0)</f>
        <v>0</v>
      </c>
      <c r="EH167" s="541">
        <f ca="1">EG167*$Z167</f>
        <v>0</v>
      </c>
      <c r="EI167" s="546">
        <f t="shared" ca="1" si="6610"/>
        <v>0</v>
      </c>
      <c r="EJ167" s="214"/>
      <c r="EK167" s="489" t="str">
        <f t="shared" ref="EK167:EK169" ca="1" si="6776">IFERROR($X167/EL167-1,"")</f>
        <v/>
      </c>
      <c r="EL167" s="222"/>
      <c r="EM167" s="199">
        <f t="shared" ref="EM167:EM169" ca="1" si="6777">EJ167*$X167</f>
        <v>0</v>
      </c>
      <c r="EN167" s="199">
        <f t="shared" ref="EN167:EN169" ca="1" si="6778">EM167*$Z167</f>
        <v>0</v>
      </c>
      <c r="EO167" s="216">
        <f t="shared" ca="1" si="6735"/>
        <v>0</v>
      </c>
      <c r="EP167" s="202">
        <f t="shared" ref="EP167:EP169" ca="1" si="6779">EQ167/$X167</f>
        <v>0</v>
      </c>
      <c r="EQ167" s="203">
        <f t="shared" ref="EQ167:EQ169" ca="1" si="6780">ER167/$Z167</f>
        <v>0</v>
      </c>
      <c r="ER167" s="203">
        <f t="shared" ref="ER167:ER169" ca="1" si="6781">ES167*EJ$4</f>
        <v>0</v>
      </c>
      <c r="ES167" s="204">
        <f ca="1">IF(EJ$6&lt;&gt;"",$O167,$N167)-EO167</f>
        <v>0</v>
      </c>
      <c r="ET167" s="205"/>
      <c r="EU167" s="206">
        <f t="shared" ref="EU167:EU169" ca="1" si="6782">ET167*$X167</f>
        <v>0</v>
      </c>
      <c r="EV167" s="206">
        <f t="shared" ref="EV167:EV169" ca="1" si="6783">EU167*$Z167</f>
        <v>0</v>
      </c>
      <c r="EW167" s="207">
        <f t="shared" ca="1" si="6736"/>
        <v>0</v>
      </c>
      <c r="EX167" s="541">
        <f>EJ167+ET167</f>
        <v>0</v>
      </c>
      <c r="EY167" s="541">
        <f t="shared" ca="1" si="5364"/>
        <v>0</v>
      </c>
      <c r="EZ167" s="541">
        <f t="shared" ref="EZ167:EZ169" ca="1" si="6784">EY167*$Z167</f>
        <v>0</v>
      </c>
      <c r="FA167" s="546">
        <f t="shared" ca="1" si="6737"/>
        <v>0</v>
      </c>
      <c r="FB167" s="212" t="str">
        <f t="shared" ca="1" si="5151"/>
        <v/>
      </c>
      <c r="FC167" s="214"/>
      <c r="FD167" s="489" t="str">
        <f t="shared" ref="FD167:FD169" ca="1" si="6785">IFERROR($X167/FE167-1,"")</f>
        <v/>
      </c>
      <c r="FE167" s="215"/>
      <c r="FF167" s="199">
        <f t="shared" ref="FF167:FF169" ca="1" si="6786">FC167*$X167</f>
        <v>0</v>
      </c>
      <c r="FG167" s="199">
        <f t="shared" ref="FG167:FG169" ca="1" si="6787">FF167*$Z167</f>
        <v>0</v>
      </c>
      <c r="FH167" s="216">
        <f t="shared" ref="FH167:FH170" ca="1" si="6788">IFERROR(FG167/FC$4,0)</f>
        <v>0</v>
      </c>
      <c r="FI167" s="202">
        <f t="shared" ref="FI167:FI169" ca="1" si="6789">FJ167/$X167</f>
        <v>0</v>
      </c>
      <c r="FJ167" s="203">
        <f t="shared" ref="FJ167:FJ169" ca="1" si="6790">FK167/$Z167</f>
        <v>0</v>
      </c>
      <c r="FK167" s="203">
        <f t="shared" ref="FK167:FK169" ca="1" si="6791">FL167*FC$4</f>
        <v>0</v>
      </c>
      <c r="FL167" s="204">
        <f ca="1">IF(FC$6&lt;&gt;"",$O167,$N167)-FH167</f>
        <v>0</v>
      </c>
      <c r="FM167" s="205"/>
      <c r="FN167" s="206">
        <f t="shared" ref="FN167:FN169" ca="1" si="6792">FM167*$X167</f>
        <v>0</v>
      </c>
      <c r="FO167" s="206">
        <f t="shared" ref="FO167:FO169" ca="1" si="6793">FN167*$Z167</f>
        <v>0</v>
      </c>
      <c r="FP167" s="207">
        <f t="shared" ca="1" si="6739"/>
        <v>0</v>
      </c>
      <c r="FQ167" s="541">
        <f>FC167+FM167</f>
        <v>0</v>
      </c>
      <c r="FR167" s="541">
        <f t="shared" ca="1" si="5378"/>
        <v>0</v>
      </c>
      <c r="FS167" s="541">
        <f t="shared" ref="FS167:FS169" ca="1" si="6794">FR167*$Z167</f>
        <v>0</v>
      </c>
      <c r="FT167" s="546">
        <f t="shared" ca="1" si="6740"/>
        <v>0</v>
      </c>
      <c r="FU167" s="209" t="str">
        <f t="shared" ca="1" si="5162"/>
        <v/>
      </c>
    </row>
    <row r="168" spans="1:177" outlineLevel="2" x14ac:dyDescent="0.2">
      <c r="A168" s="534"/>
      <c r="B168" s="534"/>
      <c r="C168" s="535" t="str">
        <f t="shared" ca="1" si="6741"/>
        <v>IE00B53H0131:USD</v>
      </c>
      <c r="D168" s="536" t="s">
        <v>785</v>
      </c>
      <c r="E168" s="537" t="str">
        <f t="shared" ca="1" si="6741"/>
        <v>11926603</v>
      </c>
      <c r="F168" s="535" t="s">
        <v>786</v>
      </c>
      <c r="G168" s="538"/>
      <c r="H168" s="1729" t="str">
        <f ca="1">IF(OFFSET(Origine,MATCH($F168,Descrizioni,0),MATCH(H$15,Intestazioni,0)-1,1,1)&lt;&gt;"",HYPERLINK(OFFSET(Origine,MATCH($F168,Descrizioni,0),MATCH(H$15,Intestazioni,0)-1,1,1),""),"")</f>
        <v></v>
      </c>
      <c r="I168" s="1690" t="str">
        <f ca="1">IF(OFFSET(Origine,MATCH($F168,Descrizioni,0),MATCH(I$15,Intestazioni,0)-1,1,1)&lt;&gt;"",HYPERLINK(OFFSET(Origine,MATCH($F168,Descrizioni,0),MATCH(I$15,Intestazioni,0)-1,1,1),"i"),"")</f>
        <v/>
      </c>
      <c r="J168" s="1729" t="str">
        <f t="shared" ca="1" si="6742"/>
        <v/>
      </c>
      <c r="K168" s="1730" t="str">
        <f t="shared" ca="1" si="6742"/>
        <v/>
      </c>
      <c r="L168" s="1731" t="str">
        <f ca="1">IF(OFFSET(Origine,MATCH($F168,Descrizioni,0),MATCH(L$15,Intestazioni,0)-1,1,1)&lt;&gt;"",HYPERLINK("https://www.zonebourse.com/mods_a/charts/TV/inc_dyna_graph.php?c="&amp;OFFSET(Origine,MATCH($F168,Descrizioni,0),MATCH(L$15,Intestazioni,0)-1,1,1)&amp;"&amp;style=TradingView.CANDLES&amp;showAT=1",""),"")</f>
        <v/>
      </c>
      <c r="M168" s="534" t="str">
        <f ca="1">(OFFSET(Origine,MATCH($F168,Descrizioni,0),MATCH(M$15,Intestazioni,0)-1,1,1))</f>
        <v>Unit</v>
      </c>
      <c r="N168" s="539">
        <v>2.5000000000000001E-2</v>
      </c>
      <c r="O168" s="539"/>
      <c r="P168" s="540">
        <f t="shared" ca="1" si="6318"/>
        <v>0</v>
      </c>
      <c r="Q168" s="541">
        <f t="array" aca="1" ref="Q168" ca="1">SUM(IF($AA$15:$FT$15="I_pos",AA168:FT168))</f>
        <v>0</v>
      </c>
      <c r="R168" s="541">
        <f t="array" aca="1" ref="R168" ca="1">SUM(IF($AA$15:$FT$15="P_Pos",AA168:FT168))</f>
        <v>3288.8367618716088</v>
      </c>
      <c r="S168" s="535"/>
      <c r="T168" s="541"/>
      <c r="U168" s="542"/>
      <c r="V168" s="541">
        <f t="array" aca="1" ref="V168" ca="1">SUM(IF($AA$15:$FT$15="O_Pos",AA168:FT168))</f>
        <v>0</v>
      </c>
      <c r="W168" s="535" t="str">
        <f t="shared" ref="W168" ca="1" si="6795">OFFSET(Origine,MATCH($F168,Descrizioni,0),MATCH(W$15,Intestazioni,0)-1,1,1)</f>
        <v>USD</v>
      </c>
      <c r="X168" s="543">
        <f t="shared" ref="X168" ca="1" si="6796">_xlfn.NUMBERVALUE(OFFSET(Origine,MATCH($F168,Descrizioni,0),MATCH(X$15,Intestazioni,0)-1,1,1))</f>
        <v>126.5</v>
      </c>
      <c r="Y168" s="544">
        <f t="shared" ca="1" si="6744"/>
        <v>0</v>
      </c>
      <c r="Z168" s="545">
        <f ca="1">_xlfn.NUMBERVALUE(OFFSET(Origine,MATCH(W168&amp;"/"&amp;MRif,LUKB_Name,0),MATCH("Price",Intestazioni,0)-1,1,1))</f>
        <v>0.78225</v>
      </c>
      <c r="AA168" s="214"/>
      <c r="AB168" s="489" t="str">
        <f t="shared" ca="1" si="6745"/>
        <v/>
      </c>
      <c r="AC168" s="215"/>
      <c r="AD168" s="199">
        <f t="shared" ca="1" si="6746"/>
        <v>0</v>
      </c>
      <c r="AE168" s="199">
        <f t="shared" ca="1" si="6747"/>
        <v>0</v>
      </c>
      <c r="AF168" s="216">
        <f t="shared" ca="1" si="6726"/>
        <v>0</v>
      </c>
      <c r="AG168" s="202">
        <f t="shared" ca="1" si="6748"/>
        <v>141.85694097546798</v>
      </c>
      <c r="AH168" s="203">
        <f t="shared" ca="1" si="6749"/>
        <v>17944.903033396698</v>
      </c>
      <c r="AI168" s="203">
        <f t="shared" ca="1" si="6750"/>
        <v>14037.400397874568</v>
      </c>
      <c r="AJ168" s="204">
        <f ca="1">IF(AA$6&lt;&gt;"",$O168,$N168)-AF168</f>
        <v>2.5000000000000001E-2</v>
      </c>
      <c r="AK168" s="205"/>
      <c r="AL168" s="206">
        <f t="shared" ca="1" si="6751"/>
        <v>0</v>
      </c>
      <c r="AM168" s="206">
        <f t="shared" ca="1" si="6752"/>
        <v>0</v>
      </c>
      <c r="AN168" s="207">
        <f t="shared" ca="1" si="6727"/>
        <v>0</v>
      </c>
      <c r="AO168" s="541">
        <f>AA168+AK168</f>
        <v>0</v>
      </c>
      <c r="AP168" s="541">
        <f t="shared" ca="1" si="5295"/>
        <v>0</v>
      </c>
      <c r="AQ168" s="541">
        <f t="shared" ca="1" si="6753"/>
        <v>0</v>
      </c>
      <c r="AR168" s="546">
        <f t="shared" ca="1" si="6728"/>
        <v>0</v>
      </c>
      <c r="AS168" s="209" t="str">
        <f t="shared" ca="1" si="5098"/>
        <v/>
      </c>
      <c r="AT168" s="214"/>
      <c r="AU168" s="489" t="str">
        <f t="shared" ca="1" si="6754"/>
        <v/>
      </c>
      <c r="AV168" s="215"/>
      <c r="AW168" s="199">
        <f t="shared" ca="1" si="6755"/>
        <v>0</v>
      </c>
      <c r="AX168" s="199">
        <f t="shared" ca="1" si="6756"/>
        <v>0</v>
      </c>
      <c r="AY168" s="216">
        <f t="shared" ca="1" si="6729"/>
        <v>0</v>
      </c>
      <c r="AZ168" s="202">
        <f t="shared" ca="1" si="6757"/>
        <v>437.53438303710539</v>
      </c>
      <c r="BA168" s="203">
        <f t="shared" ca="1" si="6758"/>
        <v>55348.099454193834</v>
      </c>
      <c r="BB168" s="203">
        <f t="shared" ca="1" si="6759"/>
        <v>43296.050798043128</v>
      </c>
      <c r="BC168" s="204">
        <f ca="1">IF(AT$6&lt;&gt;"",$O168,$N168)-AY168</f>
        <v>2.5000000000000001E-2</v>
      </c>
      <c r="BD168" s="205"/>
      <c r="BE168" s="206">
        <f t="shared" ca="1" si="6760"/>
        <v>0</v>
      </c>
      <c r="BF168" s="206">
        <f t="shared" ca="1" si="6761"/>
        <v>0</v>
      </c>
      <c r="BG168" s="207">
        <f t="shared" ca="1" si="6730"/>
        <v>0</v>
      </c>
      <c r="BH168" s="541">
        <f>AT168+BD168</f>
        <v>0</v>
      </c>
      <c r="BI168" s="541">
        <f t="shared" ca="1" si="5308"/>
        <v>0</v>
      </c>
      <c r="BJ168" s="541">
        <f t="shared" ca="1" si="6762"/>
        <v>0</v>
      </c>
      <c r="BK168" s="546">
        <f t="shared" ca="1" si="6731"/>
        <v>0</v>
      </c>
      <c r="BL168" s="211" t="str">
        <f t="shared" ca="1" si="5109"/>
        <v/>
      </c>
      <c r="BM168" s="214"/>
      <c r="BN168" s="489" t="str">
        <f t="shared" ca="1" si="6763"/>
        <v/>
      </c>
      <c r="BO168" s="215"/>
      <c r="BP168" s="199">
        <f t="shared" ca="1" si="6764"/>
        <v>0</v>
      </c>
      <c r="BQ168" s="199">
        <f t="shared" ca="1" si="6765"/>
        <v>0</v>
      </c>
      <c r="BR168" s="216">
        <f t="shared" ca="1" si="6732"/>
        <v>0</v>
      </c>
      <c r="BS168" s="202">
        <f t="shared" ca="1" si="6766"/>
        <v>71.995685646823759</v>
      </c>
      <c r="BT168" s="203">
        <f t="shared" ca="1" si="6767"/>
        <v>9107.454234323206</v>
      </c>
      <c r="BU168" s="203">
        <f t="shared" ca="1" si="6768"/>
        <v>7124.3060747993286</v>
      </c>
      <c r="BV168" s="204">
        <f ca="1">IF(BM$6&lt;&gt;"",$O168,$N168)-BR168</f>
        <v>2.5000000000000001E-2</v>
      </c>
      <c r="BW168" s="205"/>
      <c r="BX168" s="206">
        <f t="shared" ca="1" si="6769"/>
        <v>0</v>
      </c>
      <c r="BY168" s="206">
        <f t="shared" ca="1" si="6770"/>
        <v>0</v>
      </c>
      <c r="BZ168" s="207">
        <f t="shared" ca="1" si="6733"/>
        <v>0</v>
      </c>
      <c r="CA168" s="541">
        <f>BM168+BW168</f>
        <v>0</v>
      </c>
      <c r="CB168" s="541">
        <f t="shared" ca="1" si="5321"/>
        <v>0</v>
      </c>
      <c r="CC168" s="541">
        <f t="shared" ca="1" si="6771"/>
        <v>0</v>
      </c>
      <c r="CD168" s="546">
        <f t="shared" ca="1" si="6734"/>
        <v>0</v>
      </c>
      <c r="CE168" s="212" t="str">
        <f t="shared" ca="1" si="5120"/>
        <v/>
      </c>
      <c r="CF168" s="214"/>
      <c r="CG168" s="489" t="str">
        <f t="shared" ca="1" si="6772"/>
        <v/>
      </c>
      <c r="CH168" s="215"/>
      <c r="CI168" s="199">
        <f ca="1">CF168*$X168</f>
        <v>0</v>
      </c>
      <c r="CJ168" s="199">
        <f ca="1">CI168*$Z168</f>
        <v>0</v>
      </c>
      <c r="CK168" s="216">
        <f t="shared" ca="1" si="6606"/>
        <v>0</v>
      </c>
      <c r="CL168" s="202">
        <f ca="1">CM168/$X168</f>
        <v>223.57711205411249</v>
      </c>
      <c r="CM168" s="203">
        <f ca="1">CN168/$Z168</f>
        <v>28282.50467484523</v>
      </c>
      <c r="CN168" s="203">
        <f ca="1">CO168*CF$4</f>
        <v>22123.98928189768</v>
      </c>
      <c r="CO168" s="204">
        <f ca="1">IF(CF$6&lt;&gt;"",$O168,$N168)-CK168</f>
        <v>2.5000000000000001E-2</v>
      </c>
      <c r="CP168" s="205"/>
      <c r="CQ168" s="206">
        <f ca="1">CP168*$X168</f>
        <v>0</v>
      </c>
      <c r="CR168" s="206">
        <f ca="1">CQ168*$Z168</f>
        <v>0</v>
      </c>
      <c r="CS168" s="207">
        <f t="shared" ca="1" si="6607"/>
        <v>0</v>
      </c>
      <c r="CT168" s="541">
        <f>CF168+CP168</f>
        <v>0</v>
      </c>
      <c r="CU168" s="541">
        <f t="shared" ca="1" si="5334"/>
        <v>0</v>
      </c>
      <c r="CV168" s="541">
        <f ca="1">CU168*$Z168</f>
        <v>0</v>
      </c>
      <c r="CW168" s="546">
        <f t="shared" ca="1" si="6608"/>
        <v>0</v>
      </c>
      <c r="CX168" s="211" t="str">
        <f t="shared" ca="1" si="5130"/>
        <v/>
      </c>
      <c r="CY168" s="197"/>
      <c r="CZ168" s="489" t="str">
        <f t="shared" ca="1" si="6773"/>
        <v/>
      </c>
      <c r="DA168" s="395"/>
      <c r="DB168" s="199">
        <f ca="1">CY168*$X168</f>
        <v>0</v>
      </c>
      <c r="DC168" s="199">
        <f ca="1">DB168*$Z168</f>
        <v>0</v>
      </c>
      <c r="DD168" s="216">
        <f t="shared" ca="1" si="4717"/>
        <v>0</v>
      </c>
      <c r="DE168" s="202">
        <f ca="1">DF168/$X168</f>
        <v>905.82403510597237</v>
      </c>
      <c r="DF168" s="203">
        <f ca="1">DG168/$Z168</f>
        <v>114586.7404409055</v>
      </c>
      <c r="DG168" s="203">
        <f ca="1">DH168*CY$4</f>
        <v>89635.477709898332</v>
      </c>
      <c r="DH168" s="204">
        <f ca="1">IF(CY$6&lt;&gt;"",$O168,$N168)-DD168</f>
        <v>2.5000000000000001E-2</v>
      </c>
      <c r="DI168" s="205"/>
      <c r="DJ168" s="206">
        <f ca="1">DI168*$X168</f>
        <v>0</v>
      </c>
      <c r="DK168" s="206">
        <f ca="1">DJ168*$Z168</f>
        <v>0</v>
      </c>
      <c r="DL168" s="207">
        <f t="shared" ca="1" si="4718"/>
        <v>0</v>
      </c>
      <c r="DM168" s="541">
        <f>CY168+DI168</f>
        <v>0</v>
      </c>
      <c r="DN168" s="541">
        <f t="shared" ca="1" si="5338"/>
        <v>0</v>
      </c>
      <c r="DO168" s="541">
        <f ca="1">DN168*$Z168</f>
        <v>0</v>
      </c>
      <c r="DP168" s="546">
        <f t="shared" ca="1" si="6609"/>
        <v>0</v>
      </c>
      <c r="DQ168" s="209" t="str">
        <f t="shared" ca="1" si="5140"/>
        <v/>
      </c>
      <c r="DR168" s="197"/>
      <c r="DS168" s="489" t="str">
        <f t="shared" ca="1" si="6774"/>
        <v/>
      </c>
      <c r="DT168" s="395"/>
      <c r="DU168" s="199">
        <f ca="1">DR168*$X168</f>
        <v>0</v>
      </c>
      <c r="DV168" s="199">
        <f ca="1">DU168*$Z168</f>
        <v>0</v>
      </c>
      <c r="DW168" s="216">
        <f t="shared" ca="1" si="5343"/>
        <v>0</v>
      </c>
      <c r="DX168" s="202">
        <f ca="1">DY168/$X168</f>
        <v>177.29333506502516</v>
      </c>
      <c r="DY168" s="203">
        <f ca="1">DZ168/$Z168</f>
        <v>22427.606885725683</v>
      </c>
      <c r="DZ168" s="203">
        <f ca="1">EA168*DR$4</f>
        <v>17543.995486358916</v>
      </c>
      <c r="EA168" s="204">
        <f ca="1">IF(DR$6&lt;&gt;"",$O168,$N168)-DW168</f>
        <v>2.5000000000000001E-2</v>
      </c>
      <c r="EB168" s="205"/>
      <c r="EC168" s="206">
        <f ca="1">EB168*$X168</f>
        <v>0</v>
      </c>
      <c r="ED168" s="206">
        <f ca="1">EC168*$Z168</f>
        <v>0</v>
      </c>
      <c r="EE168" s="207">
        <f t="shared" ca="1" si="5349"/>
        <v>0</v>
      </c>
      <c r="EF168" s="541">
        <f>DR168+EB168</f>
        <v>0</v>
      </c>
      <c r="EG168" s="541">
        <f t="shared" ca="1" si="6775"/>
        <v>0</v>
      </c>
      <c r="EH168" s="541">
        <f ca="1">EG168*$Z168</f>
        <v>0</v>
      </c>
      <c r="EI168" s="546">
        <f t="shared" ca="1" si="6610"/>
        <v>0</v>
      </c>
      <c r="EJ168" s="214"/>
      <c r="EK168" s="489" t="str">
        <f t="shared" ca="1" si="6776"/>
        <v/>
      </c>
      <c r="EL168" s="222"/>
      <c r="EM168" s="199">
        <f t="shared" ca="1" si="6777"/>
        <v>0</v>
      </c>
      <c r="EN168" s="199">
        <f t="shared" ca="1" si="6778"/>
        <v>0</v>
      </c>
      <c r="EO168" s="216">
        <f t="shared" ca="1" si="6735"/>
        <v>0</v>
      </c>
      <c r="EP168" s="202">
        <f t="shared" ca="1" si="6779"/>
        <v>179.31153008585133</v>
      </c>
      <c r="EQ168" s="203">
        <f t="shared" ca="1" si="6780"/>
        <v>22682.908555860195</v>
      </c>
      <c r="ER168" s="203">
        <f t="shared" ca="1" si="6781"/>
        <v>17743.705217821636</v>
      </c>
      <c r="ES168" s="204">
        <f ca="1">IF(EJ$6&lt;&gt;"",$O168,$N168)-EO168</f>
        <v>2.5000000000000001E-2</v>
      </c>
      <c r="ET168" s="205"/>
      <c r="EU168" s="206">
        <f t="shared" ca="1" si="6782"/>
        <v>0</v>
      </c>
      <c r="EV168" s="206">
        <f t="shared" ca="1" si="6783"/>
        <v>0</v>
      </c>
      <c r="EW168" s="207">
        <f t="shared" ca="1" si="6736"/>
        <v>0</v>
      </c>
      <c r="EX168" s="541">
        <f>EJ168+ET168</f>
        <v>0</v>
      </c>
      <c r="EY168" s="541">
        <f t="shared" ca="1" si="5364"/>
        <v>0</v>
      </c>
      <c r="EZ168" s="541">
        <f t="shared" ca="1" si="6784"/>
        <v>0</v>
      </c>
      <c r="FA168" s="546">
        <f t="shared" ca="1" si="6737"/>
        <v>0</v>
      </c>
      <c r="FB168" s="212" t="str">
        <f t="shared" ca="1" si="5151"/>
        <v/>
      </c>
      <c r="FC168" s="214"/>
      <c r="FD168" s="489" t="str">
        <f t="shared" ca="1" si="6785"/>
        <v/>
      </c>
      <c r="FE168" s="215"/>
      <c r="FF168" s="199">
        <f t="shared" ca="1" si="6786"/>
        <v>0</v>
      </c>
      <c r="FG168" s="199">
        <f t="shared" ca="1" si="6787"/>
        <v>0</v>
      </c>
      <c r="FH168" s="216">
        <f t="shared" ca="1" si="6788"/>
        <v>0</v>
      </c>
      <c r="FI168" s="202">
        <f t="shared" ca="1" si="6789"/>
        <v>1151.4437399012504</v>
      </c>
      <c r="FJ168" s="203">
        <f t="shared" ca="1" si="6790"/>
        <v>145657.63309750817</v>
      </c>
      <c r="FK168" s="203">
        <f t="shared" ca="1" si="6791"/>
        <v>113940.68349052577</v>
      </c>
      <c r="FL168" s="204">
        <f ca="1">IF(FC$6&lt;&gt;"",$O168,$N168)-FH168</f>
        <v>2.5000000000000001E-2</v>
      </c>
      <c r="FM168" s="205"/>
      <c r="FN168" s="206">
        <f t="shared" ca="1" si="6792"/>
        <v>0</v>
      </c>
      <c r="FO168" s="206">
        <f t="shared" ca="1" si="6793"/>
        <v>0</v>
      </c>
      <c r="FP168" s="207">
        <f t="shared" ca="1" si="6739"/>
        <v>0</v>
      </c>
      <c r="FQ168" s="541">
        <f>FC168+FM168</f>
        <v>0</v>
      </c>
      <c r="FR168" s="541">
        <f t="shared" ca="1" si="5378"/>
        <v>0</v>
      </c>
      <c r="FS168" s="541">
        <f t="shared" ca="1" si="6794"/>
        <v>0</v>
      </c>
      <c r="FT168" s="546">
        <f t="shared" ca="1" si="6740"/>
        <v>0</v>
      </c>
      <c r="FU168" s="209" t="str">
        <f t="shared" ca="1" si="5162"/>
        <v/>
      </c>
    </row>
    <row r="169" spans="1:177" outlineLevel="2" x14ac:dyDescent="0.2">
      <c r="A169" s="534"/>
      <c r="B169" s="534"/>
      <c r="C169" s="535" t="str">
        <f t="shared" ca="1" si="6741"/>
        <v>IE00BFXR6159:USD</v>
      </c>
      <c r="D169" s="536" t="str">
        <f t="shared" ca="1" si="6741"/>
        <v>IE00BFXR6159</v>
      </c>
      <c r="E169" s="537" t="str">
        <f t="shared" ca="1" si="6741"/>
        <v>112547249</v>
      </c>
      <c r="F169" s="535" t="s">
        <v>787</v>
      </c>
      <c r="G169" s="538"/>
      <c r="H169" s="1729" t="str">
        <f ca="1">IF(OFFSET(Origine,MATCH($F169,Descrizioni,0),MATCH(H$15,Intestazioni,0)-1,1,1)&lt;&gt;"",HYPERLINK(OFFSET(Origine,MATCH($F169,Descrizioni,0),MATCH(H$15,Intestazioni,0)-1,1,1),""),"")</f>
        <v></v>
      </c>
      <c r="I169" s="1690" t="str">
        <f ca="1">IF(OFFSET(Origine,MATCH($F169,Descrizioni,0),MATCH(I$15,Intestazioni,0)-1,1,1)&lt;&gt;"",HYPERLINK(OFFSET(Origine,MATCH($F169,Descrizioni,0),MATCH(I$15,Intestazioni,0)-1,1,1),"i"),"")</f>
        <v>i</v>
      </c>
      <c r="J169" s="1729" t="str">
        <f t="shared" ca="1" si="6742"/>
        <v></v>
      </c>
      <c r="K169" s="1730" t="str">
        <f t="shared" ca="1" si="6742"/>
        <v></v>
      </c>
      <c r="L169" s="1731" t="str">
        <f ca="1">IF(OFFSET(Origine,MATCH($F169,Descrizioni,0),MATCH(L$15,Intestazioni,0)-1,1,1)&lt;&gt;"",HYPERLINK("https://www.zonebourse.com/mods_a/charts/TV/inc_dyna_graph.php?c="&amp;OFFSET(Origine,MATCH($F169,Descrizioni,0),MATCH(L$15,Intestazioni,0)-1,1,1)&amp;"&amp;style=TradingView.CANDLES&amp;showAT=1",""),"")</f>
        <v></v>
      </c>
      <c r="M169" s="534" t="str">
        <f ca="1">(OFFSET(Origine,MATCH($F169,Descrizioni,0),MATCH(M$15,Intestazioni,0)-1,1,1))</f>
        <v>Unit</v>
      </c>
      <c r="N169" s="539"/>
      <c r="O169" s="539"/>
      <c r="P169" s="540">
        <f t="shared" ca="1" si="6318"/>
        <v>0</v>
      </c>
      <c r="Q169" s="541">
        <f t="array" aca="1" ref="Q169" ca="1">SUM(IF($AA$15:$FT$15="I_pos",AA169:FT169))</f>
        <v>0</v>
      </c>
      <c r="R169" s="541">
        <f t="array" aca="1" ref="R169" ca="1">SUM(IF($AA$15:$FT$15="P_Pos",AA169:FT169))</f>
        <v>0</v>
      </c>
      <c r="S169" s="535"/>
      <c r="T169" s="541"/>
      <c r="U169" s="542"/>
      <c r="V169" s="541">
        <f t="array" aca="1" ref="V169" ca="1">SUM(IF($AA$15:$FT$15="O_Pos",AA169:FT169))</f>
        <v>0</v>
      </c>
      <c r="W169" s="535" t="str">
        <f t="shared" ref="W169" ca="1" si="6797">OFFSET(Origine,MATCH($F169,Descrizioni,0),MATCH(W$15,Intestazioni,0)-1,1,1)</f>
        <v>USD</v>
      </c>
      <c r="X169" s="543">
        <f t="shared" ref="X169" ca="1" si="6798">_xlfn.NUMBERVALUE(OFFSET(Origine,MATCH($F169,Descrizioni,0),MATCH(X$15,Intestazioni,0)-1,1,1))</f>
        <v>16.881</v>
      </c>
      <c r="Y169" s="544">
        <f t="shared" ca="1" si="6744"/>
        <v>0</v>
      </c>
      <c r="Z169" s="545">
        <f ca="1">_xlfn.NUMBERVALUE(OFFSET(Origine,MATCH(W169&amp;"/"&amp;MRif,LUKB_Name,0),MATCH("Price",Intestazioni,0)-1,1,1))</f>
        <v>0.78225</v>
      </c>
      <c r="AA169" s="214"/>
      <c r="AB169" s="489" t="str">
        <f t="shared" ca="1" si="6745"/>
        <v/>
      </c>
      <c r="AC169" s="215"/>
      <c r="AD169" s="199">
        <f t="shared" ca="1" si="6746"/>
        <v>0</v>
      </c>
      <c r="AE169" s="199">
        <f t="shared" ca="1" si="6747"/>
        <v>0</v>
      </c>
      <c r="AF169" s="216">
        <f t="shared" ca="1" si="6726"/>
        <v>0</v>
      </c>
      <c r="AG169" s="202">
        <f t="shared" ca="1" si="6748"/>
        <v>0</v>
      </c>
      <c r="AH169" s="203">
        <f t="shared" ca="1" si="6749"/>
        <v>0</v>
      </c>
      <c r="AI169" s="203">
        <f t="shared" ca="1" si="6750"/>
        <v>0</v>
      </c>
      <c r="AJ169" s="204">
        <f ca="1">IF(AA$6&lt;&gt;"",$O169,$N169)-AF169</f>
        <v>0</v>
      </c>
      <c r="AK169" s="205"/>
      <c r="AL169" s="206">
        <f t="shared" ca="1" si="6751"/>
        <v>0</v>
      </c>
      <c r="AM169" s="206">
        <f t="shared" ca="1" si="6752"/>
        <v>0</v>
      </c>
      <c r="AN169" s="207">
        <f t="shared" ca="1" si="6727"/>
        <v>0</v>
      </c>
      <c r="AO169" s="541">
        <f>AA169+AK169</f>
        <v>0</v>
      </c>
      <c r="AP169" s="541">
        <f t="shared" ca="1" si="5295"/>
        <v>0</v>
      </c>
      <c r="AQ169" s="541">
        <f t="shared" ca="1" si="6753"/>
        <v>0</v>
      </c>
      <c r="AR169" s="546">
        <f t="shared" ca="1" si="6728"/>
        <v>0</v>
      </c>
      <c r="AS169" s="209" t="str">
        <f t="shared" ca="1" si="5098"/>
        <v/>
      </c>
      <c r="AT169" s="214"/>
      <c r="AU169" s="489" t="str">
        <f t="shared" ca="1" si="6754"/>
        <v/>
      </c>
      <c r="AV169" s="215"/>
      <c r="AW169" s="199">
        <f t="shared" ca="1" si="6755"/>
        <v>0</v>
      </c>
      <c r="AX169" s="199">
        <f t="shared" ca="1" si="6756"/>
        <v>0</v>
      </c>
      <c r="AY169" s="216">
        <f t="shared" ca="1" si="6729"/>
        <v>0</v>
      </c>
      <c r="AZ169" s="202">
        <f t="shared" ca="1" si="6757"/>
        <v>0</v>
      </c>
      <c r="BA169" s="203">
        <f t="shared" ca="1" si="6758"/>
        <v>0</v>
      </c>
      <c r="BB169" s="203">
        <f t="shared" ca="1" si="6759"/>
        <v>0</v>
      </c>
      <c r="BC169" s="204">
        <f ca="1">IF(AT$6&lt;&gt;"",$O169,$N169)-AY169</f>
        <v>0</v>
      </c>
      <c r="BD169" s="205"/>
      <c r="BE169" s="206">
        <f t="shared" ca="1" si="6760"/>
        <v>0</v>
      </c>
      <c r="BF169" s="206">
        <f t="shared" ca="1" si="6761"/>
        <v>0</v>
      </c>
      <c r="BG169" s="207">
        <f t="shared" ca="1" si="6730"/>
        <v>0</v>
      </c>
      <c r="BH169" s="541">
        <f>AT169+BD169</f>
        <v>0</v>
      </c>
      <c r="BI169" s="541">
        <f t="shared" ca="1" si="5308"/>
        <v>0</v>
      </c>
      <c r="BJ169" s="541">
        <f t="shared" ca="1" si="6762"/>
        <v>0</v>
      </c>
      <c r="BK169" s="546">
        <f t="shared" ca="1" si="6731"/>
        <v>0</v>
      </c>
      <c r="BL169" s="211" t="str">
        <f t="shared" ca="1" si="5109"/>
        <v/>
      </c>
      <c r="BM169" s="214"/>
      <c r="BN169" s="489" t="str">
        <f t="shared" ca="1" si="6763"/>
        <v/>
      </c>
      <c r="BO169" s="215"/>
      <c r="BP169" s="199">
        <f t="shared" ca="1" si="6764"/>
        <v>0</v>
      </c>
      <c r="BQ169" s="199">
        <f t="shared" ca="1" si="6765"/>
        <v>0</v>
      </c>
      <c r="BR169" s="216">
        <f t="shared" ca="1" si="6732"/>
        <v>0</v>
      </c>
      <c r="BS169" s="202">
        <f t="shared" ca="1" si="6766"/>
        <v>0</v>
      </c>
      <c r="BT169" s="203">
        <f t="shared" ca="1" si="6767"/>
        <v>0</v>
      </c>
      <c r="BU169" s="203">
        <f t="shared" ca="1" si="6768"/>
        <v>0</v>
      </c>
      <c r="BV169" s="204">
        <f ca="1">IF(BM$6&lt;&gt;"",$O169,$N169)-BR169</f>
        <v>0</v>
      </c>
      <c r="BW169" s="205"/>
      <c r="BX169" s="206">
        <f t="shared" ca="1" si="6769"/>
        <v>0</v>
      </c>
      <c r="BY169" s="206">
        <f t="shared" ca="1" si="6770"/>
        <v>0</v>
      </c>
      <c r="BZ169" s="207">
        <f t="shared" ca="1" si="6733"/>
        <v>0</v>
      </c>
      <c r="CA169" s="541">
        <f>BM169+BW169</f>
        <v>0</v>
      </c>
      <c r="CB169" s="541">
        <f t="shared" ca="1" si="5321"/>
        <v>0</v>
      </c>
      <c r="CC169" s="541">
        <f t="shared" ca="1" si="6771"/>
        <v>0</v>
      </c>
      <c r="CD169" s="546">
        <f t="shared" ca="1" si="6734"/>
        <v>0</v>
      </c>
      <c r="CE169" s="212" t="str">
        <f t="shared" ca="1" si="5120"/>
        <v/>
      </c>
      <c r="CF169" s="214"/>
      <c r="CG169" s="489" t="str">
        <f t="shared" ca="1" si="6772"/>
        <v/>
      </c>
      <c r="CH169" s="215"/>
      <c r="CI169" s="199">
        <f ca="1">CF169*$X169</f>
        <v>0</v>
      </c>
      <c r="CJ169" s="199">
        <f ca="1">CI169*$Z169</f>
        <v>0</v>
      </c>
      <c r="CK169" s="216">
        <f t="shared" ca="1" si="6606"/>
        <v>0</v>
      </c>
      <c r="CL169" s="202">
        <f ca="1">CM169/$X169</f>
        <v>0</v>
      </c>
      <c r="CM169" s="203">
        <f ca="1">CN169/$Z169</f>
        <v>0</v>
      </c>
      <c r="CN169" s="203">
        <f ca="1">CO169*CF$4</f>
        <v>0</v>
      </c>
      <c r="CO169" s="204">
        <f ca="1">IF(CF$6&lt;&gt;"",$O169,$N169)-CK169</f>
        <v>0</v>
      </c>
      <c r="CP169" s="205"/>
      <c r="CQ169" s="206">
        <f ca="1">CP169*$X169</f>
        <v>0</v>
      </c>
      <c r="CR169" s="206">
        <f ca="1">CQ169*$Z169</f>
        <v>0</v>
      </c>
      <c r="CS169" s="207">
        <f t="shared" ca="1" si="6607"/>
        <v>0</v>
      </c>
      <c r="CT169" s="541">
        <f>CF169+CP169</f>
        <v>0</v>
      </c>
      <c r="CU169" s="541">
        <f t="shared" ca="1" si="5334"/>
        <v>0</v>
      </c>
      <c r="CV169" s="541">
        <f ca="1">CU169*$Z169</f>
        <v>0</v>
      </c>
      <c r="CW169" s="546">
        <f t="shared" ca="1" si="6608"/>
        <v>0</v>
      </c>
      <c r="CX169" s="211" t="str">
        <f t="shared" ca="1" si="5130"/>
        <v/>
      </c>
      <c r="CY169" s="197"/>
      <c r="CZ169" s="489" t="str">
        <f t="shared" ca="1" si="6773"/>
        <v/>
      </c>
      <c r="DA169" s="395"/>
      <c r="DB169" s="199">
        <f ca="1">CY169*$X169</f>
        <v>0</v>
      </c>
      <c r="DC169" s="199">
        <f ca="1">DB169*$Z169</f>
        <v>0</v>
      </c>
      <c r="DD169" s="216">
        <f t="shared" ca="1" si="4717"/>
        <v>0</v>
      </c>
      <c r="DE169" s="202">
        <f ca="1">DF169/$X169</f>
        <v>0</v>
      </c>
      <c r="DF169" s="203">
        <f ca="1">DG169/$Z169</f>
        <v>0</v>
      </c>
      <c r="DG169" s="203">
        <f ca="1">DH169*CY$4</f>
        <v>0</v>
      </c>
      <c r="DH169" s="204">
        <f ca="1">IF(CY$6&lt;&gt;"",$O169,$N169)-DD169</f>
        <v>0</v>
      </c>
      <c r="DI169" s="205"/>
      <c r="DJ169" s="206">
        <f ca="1">DI169*$X169</f>
        <v>0</v>
      </c>
      <c r="DK169" s="206">
        <f ca="1">DJ169*$Z169</f>
        <v>0</v>
      </c>
      <c r="DL169" s="207">
        <f t="shared" ca="1" si="4718"/>
        <v>0</v>
      </c>
      <c r="DM169" s="541">
        <f>CY169+DI169</f>
        <v>0</v>
      </c>
      <c r="DN169" s="541">
        <f t="shared" ca="1" si="5338"/>
        <v>0</v>
      </c>
      <c r="DO169" s="541">
        <f ca="1">DN169*$Z169</f>
        <v>0</v>
      </c>
      <c r="DP169" s="546">
        <f t="shared" ca="1" si="6609"/>
        <v>0</v>
      </c>
      <c r="DQ169" s="209" t="str">
        <f t="shared" ca="1" si="5140"/>
        <v/>
      </c>
      <c r="DR169" s="197"/>
      <c r="DS169" s="489" t="str">
        <f t="shared" ca="1" si="6774"/>
        <v/>
      </c>
      <c r="DT169" s="395"/>
      <c r="DU169" s="199">
        <f ca="1">DR169*$X169</f>
        <v>0</v>
      </c>
      <c r="DV169" s="199">
        <f ca="1">DU169*$Z169</f>
        <v>0</v>
      </c>
      <c r="DW169" s="216">
        <f t="shared" ca="1" si="5343"/>
        <v>0</v>
      </c>
      <c r="DX169" s="202">
        <f ca="1">DY169/$X169</f>
        <v>0</v>
      </c>
      <c r="DY169" s="203">
        <f ca="1">DZ169/$Z169</f>
        <v>0</v>
      </c>
      <c r="DZ169" s="203">
        <f ca="1">EA169*DR$4</f>
        <v>0</v>
      </c>
      <c r="EA169" s="204">
        <f ca="1">IF(DR$6&lt;&gt;"",$O169,$N169)-DW169</f>
        <v>0</v>
      </c>
      <c r="EB169" s="205"/>
      <c r="EC169" s="206">
        <f ca="1">EB169*$X169</f>
        <v>0</v>
      </c>
      <c r="ED169" s="206">
        <f ca="1">EC169*$Z169</f>
        <v>0</v>
      </c>
      <c r="EE169" s="207">
        <f t="shared" ca="1" si="5349"/>
        <v>0</v>
      </c>
      <c r="EF169" s="541">
        <f>DR169+EB169</f>
        <v>0</v>
      </c>
      <c r="EG169" s="541">
        <f t="shared" ca="1" si="6775"/>
        <v>0</v>
      </c>
      <c r="EH169" s="541">
        <f ca="1">EG169*$Z169</f>
        <v>0</v>
      </c>
      <c r="EI169" s="546">
        <f t="shared" ca="1" si="6610"/>
        <v>0</v>
      </c>
      <c r="EJ169" s="214"/>
      <c r="EK169" s="489" t="str">
        <f t="shared" ca="1" si="6776"/>
        <v/>
      </c>
      <c r="EL169" s="222"/>
      <c r="EM169" s="199">
        <f t="shared" ca="1" si="6777"/>
        <v>0</v>
      </c>
      <c r="EN169" s="199">
        <f t="shared" ca="1" si="6778"/>
        <v>0</v>
      </c>
      <c r="EO169" s="216">
        <f t="shared" ca="1" si="6735"/>
        <v>0</v>
      </c>
      <c r="EP169" s="202">
        <f t="shared" ca="1" si="6779"/>
        <v>0</v>
      </c>
      <c r="EQ169" s="203">
        <f t="shared" ca="1" si="6780"/>
        <v>0</v>
      </c>
      <c r="ER169" s="203">
        <f t="shared" ca="1" si="6781"/>
        <v>0</v>
      </c>
      <c r="ES169" s="204">
        <f ca="1">IF(EJ$6&lt;&gt;"",$O169,$N169)-EO169</f>
        <v>0</v>
      </c>
      <c r="ET169" s="205"/>
      <c r="EU169" s="206">
        <f t="shared" ca="1" si="6782"/>
        <v>0</v>
      </c>
      <c r="EV169" s="206">
        <f t="shared" ca="1" si="6783"/>
        <v>0</v>
      </c>
      <c r="EW169" s="207">
        <f t="shared" ca="1" si="6736"/>
        <v>0</v>
      </c>
      <c r="EX169" s="541">
        <f>EJ169+ET169</f>
        <v>0</v>
      </c>
      <c r="EY169" s="541">
        <f t="shared" ca="1" si="5364"/>
        <v>0</v>
      </c>
      <c r="EZ169" s="541">
        <f t="shared" ca="1" si="6784"/>
        <v>0</v>
      </c>
      <c r="FA169" s="546">
        <f t="shared" ca="1" si="6737"/>
        <v>0</v>
      </c>
      <c r="FB169" s="212" t="str">
        <f t="shared" ca="1" si="5151"/>
        <v/>
      </c>
      <c r="FC169" s="214"/>
      <c r="FD169" s="489" t="str">
        <f t="shared" ca="1" si="6785"/>
        <v/>
      </c>
      <c r="FE169" s="215"/>
      <c r="FF169" s="199">
        <f t="shared" ca="1" si="6786"/>
        <v>0</v>
      </c>
      <c r="FG169" s="199">
        <f t="shared" ca="1" si="6787"/>
        <v>0</v>
      </c>
      <c r="FH169" s="216">
        <f t="shared" ca="1" si="6788"/>
        <v>0</v>
      </c>
      <c r="FI169" s="202">
        <f t="shared" ca="1" si="6789"/>
        <v>0</v>
      </c>
      <c r="FJ169" s="203">
        <f t="shared" ca="1" si="6790"/>
        <v>0</v>
      </c>
      <c r="FK169" s="203">
        <f t="shared" ca="1" si="6791"/>
        <v>0</v>
      </c>
      <c r="FL169" s="204">
        <f ca="1">IF(FC$6&lt;&gt;"",$O169,$N169)-FH169</f>
        <v>0</v>
      </c>
      <c r="FM169" s="205"/>
      <c r="FN169" s="206">
        <f t="shared" ca="1" si="6792"/>
        <v>0</v>
      </c>
      <c r="FO169" s="206">
        <f t="shared" ca="1" si="6793"/>
        <v>0</v>
      </c>
      <c r="FP169" s="207">
        <f t="shared" ca="1" si="6739"/>
        <v>0</v>
      </c>
      <c r="FQ169" s="541">
        <f>FC169+FM169</f>
        <v>0</v>
      </c>
      <c r="FR169" s="541">
        <f t="shared" ca="1" si="5378"/>
        <v>0</v>
      </c>
      <c r="FS169" s="541">
        <f t="shared" ca="1" si="6794"/>
        <v>0</v>
      </c>
      <c r="FT169" s="546">
        <f t="shared" ca="1" si="6740"/>
        <v>0</v>
      </c>
      <c r="FU169" s="209" t="str">
        <f t="shared" ca="1" si="5162"/>
        <v/>
      </c>
    </row>
    <row r="170" spans="1:177" outlineLevel="1" x14ac:dyDescent="0.2">
      <c r="A170" s="513"/>
      <c r="B170" s="513" t="s">
        <v>394</v>
      </c>
      <c r="C170" s="514"/>
      <c r="D170" s="515"/>
      <c r="E170" s="516"/>
      <c r="F170" s="514"/>
      <c r="G170" s="517"/>
      <c r="H170" s="1689"/>
      <c r="I170" s="1689"/>
      <c r="J170" s="1728"/>
      <c r="K170" s="1689"/>
      <c r="L170" s="1689"/>
      <c r="M170" s="513"/>
      <c r="N170" s="518">
        <f>SUM(N$171:N$186)</f>
        <v>0.15000000000000002</v>
      </c>
      <c r="O170" s="518">
        <f>SUM(O$171:O$186)</f>
        <v>0.125</v>
      </c>
      <c r="P170" s="519">
        <f t="shared" ca="1" si="6318"/>
        <v>0.15145002709847782</v>
      </c>
      <c r="Q170" s="520"/>
      <c r="R170" s="520"/>
      <c r="S170" s="514"/>
      <c r="T170" s="520"/>
      <c r="U170" s="521"/>
      <c r="V170" s="520"/>
      <c r="W170" s="522"/>
      <c r="X170" s="523"/>
      <c r="Y170" s="523"/>
      <c r="Z170" s="524"/>
      <c r="AA170" s="525"/>
      <c r="AB170" s="526"/>
      <c r="AC170" s="526"/>
      <c r="AD170" s="514"/>
      <c r="AE170" s="527">
        <f ca="1">SUM(AE$171:AE$186)</f>
        <v>79353.863826852001</v>
      </c>
      <c r="AF170" s="528">
        <f t="shared" ca="1" si="6726"/>
        <v>0.14132578251252836</v>
      </c>
      <c r="AG170" s="529"/>
      <c r="AH170" s="514"/>
      <c r="AI170" s="527">
        <f ca="1">SUM(AI$171:AI$186)</f>
        <v>4870.5385603953928</v>
      </c>
      <c r="AJ170" s="530">
        <f ca="1">IFERROR(AI170/AA$4,0)</f>
        <v>8.6742174874716322E-3</v>
      </c>
      <c r="AK170" s="529"/>
      <c r="AL170" s="514"/>
      <c r="AM170" s="527">
        <f ca="1">SUM(AM$171:AM$186)</f>
        <v>0</v>
      </c>
      <c r="AN170" s="530">
        <f t="shared" ca="1" si="6727"/>
        <v>0</v>
      </c>
      <c r="AO170" s="514"/>
      <c r="AP170" s="514"/>
      <c r="AQ170" s="527">
        <f ca="1">SUM(AQ$171:AQ$186)</f>
        <v>79353.863826852001</v>
      </c>
      <c r="AR170" s="528">
        <f t="shared" ca="1" si="6728"/>
        <v>0.14132578251252836</v>
      </c>
      <c r="AS170" s="473" t="str">
        <f t="shared" ca="1" si="5098"/>
        <v>V</v>
      </c>
      <c r="AT170" s="525"/>
      <c r="AU170" s="526"/>
      <c r="AV170" s="526"/>
      <c r="AW170" s="514"/>
      <c r="AX170" s="527">
        <f ca="1">SUM(AX$171:AX$186)</f>
        <v>256686.03336918002</v>
      </c>
      <c r="AY170" s="528">
        <f t="shared" ca="1" si="6729"/>
        <v>0.14821561588059529</v>
      </c>
      <c r="AZ170" s="529"/>
      <c r="BA170" s="514"/>
      <c r="BB170" s="527">
        <f ca="1">SUM(BB$171:BB$186)</f>
        <v>3090.2714190787228</v>
      </c>
      <c r="BC170" s="530">
        <f ca="1">IFERROR(BB170/AT$4,0)</f>
        <v>1.7843841194047168E-3</v>
      </c>
      <c r="BD170" s="529"/>
      <c r="BE170" s="514"/>
      <c r="BF170" s="527">
        <f ca="1">SUM(BF$171:BF$186)</f>
        <v>0</v>
      </c>
      <c r="BG170" s="530">
        <f t="shared" ca="1" si="6730"/>
        <v>0</v>
      </c>
      <c r="BH170" s="514"/>
      <c r="BI170" s="514"/>
      <c r="BJ170" s="527">
        <f ca="1">SUM(BJ$171:BJ$186)</f>
        <v>256686.03336918002</v>
      </c>
      <c r="BK170" s="528">
        <f t="shared" ca="1" si="6731"/>
        <v>0.14821561588059529</v>
      </c>
      <c r="BL170" s="295" t="str">
        <f t="shared" ca="1" si="5109"/>
        <v>V</v>
      </c>
      <c r="BM170" s="525"/>
      <c r="BN170" s="526"/>
      <c r="BO170" s="526"/>
      <c r="BP170" s="514"/>
      <c r="BQ170" s="527">
        <f ca="1">SUM(BQ$171:BQ$186)</f>
        <v>54445.266218256002</v>
      </c>
      <c r="BR170" s="528">
        <f t="shared" ca="1" si="6732"/>
        <v>0.19105462920397329</v>
      </c>
      <c r="BS170" s="529"/>
      <c r="BT170" s="514"/>
      <c r="BU170" s="527">
        <f ca="1">SUM(BU$171:BU$186)</f>
        <v>-11699.429769460037</v>
      </c>
      <c r="BV170" s="530">
        <f ca="1">IFERROR(BU170/BM$4,0)</f>
        <v>-4.1054629203973306E-2</v>
      </c>
      <c r="BW170" s="529"/>
      <c r="BX170" s="514"/>
      <c r="BY170" s="527">
        <f ca="1">SUM(BY$171:BY$186)</f>
        <v>0</v>
      </c>
      <c r="BZ170" s="530">
        <f t="shared" ca="1" si="6733"/>
        <v>0</v>
      </c>
      <c r="CA170" s="514"/>
      <c r="CB170" s="514"/>
      <c r="CC170" s="527">
        <f ca="1">SUM(CC$171:CC$186)</f>
        <v>54445.266218256002</v>
      </c>
      <c r="CD170" s="528">
        <f t="shared" ca="1" si="6734"/>
        <v>0.19105462920397329</v>
      </c>
      <c r="CE170" s="474" t="str">
        <f t="shared" ca="1" si="5120"/>
        <v>V</v>
      </c>
      <c r="CF170" s="525"/>
      <c r="CG170" s="526"/>
      <c r="CH170" s="526"/>
      <c r="CI170" s="514"/>
      <c r="CJ170" s="527">
        <f ca="1">SUM(CJ$171:CJ$186)</f>
        <v>130252.01693276002</v>
      </c>
      <c r="CK170" s="528">
        <f t="shared" ca="1" si="6606"/>
        <v>0.14718414395469695</v>
      </c>
      <c r="CL170" s="529"/>
      <c r="CM170" s="514"/>
      <c r="CN170" s="527">
        <f ca="1">SUM(CN$171:CN$186)</f>
        <v>2491.9187586260814</v>
      </c>
      <c r="CO170" s="530">
        <f ca="1">IFERROR(CN170/CF$4,0)</f>
        <v>2.8158560453030758E-3</v>
      </c>
      <c r="CP170" s="529"/>
      <c r="CQ170" s="514"/>
      <c r="CR170" s="527">
        <f ca="1">SUM(CR$171:CR$186)</f>
        <v>0</v>
      </c>
      <c r="CS170" s="530">
        <f t="shared" ca="1" si="6607"/>
        <v>0</v>
      </c>
      <c r="CT170" s="514"/>
      <c r="CU170" s="514"/>
      <c r="CV170" s="527">
        <f ca="1">SUM(CV$171:CV$186)</f>
        <v>130252.01693276002</v>
      </c>
      <c r="CW170" s="528">
        <f t="shared" ca="1" si="6608"/>
        <v>0.14718414395469695</v>
      </c>
      <c r="CX170" s="295" t="str">
        <f t="shared" ca="1" si="5130"/>
        <v>V</v>
      </c>
      <c r="CY170" s="531"/>
      <c r="CZ170" s="526"/>
      <c r="DA170" s="532"/>
      <c r="DB170" s="527"/>
      <c r="DC170" s="527">
        <f ca="1">SUM(DC$171:DC$186)</f>
        <v>447713.67730277055</v>
      </c>
      <c r="DD170" s="528">
        <f t="shared" ca="1" si="4717"/>
        <v>0.12487066749166499</v>
      </c>
      <c r="DE170" s="529"/>
      <c r="DF170" s="514"/>
      <c r="DG170" s="527">
        <f ca="1">SUM(DG$171:DG$186)</f>
        <v>90099.188956619415</v>
      </c>
      <c r="DH170" s="530">
        <f ca="1">IFERROR(DG170/CY$4,0)</f>
        <v>2.5129332508335E-2</v>
      </c>
      <c r="DI170" s="529"/>
      <c r="DJ170" s="514"/>
      <c r="DK170" s="527">
        <f ca="1">SUM(DK$171:DK$186)</f>
        <v>0</v>
      </c>
      <c r="DL170" s="530">
        <f t="shared" ca="1" si="4718"/>
        <v>0</v>
      </c>
      <c r="DM170" s="514"/>
      <c r="DN170" s="514"/>
      <c r="DO170" s="527">
        <f ca="1">SUM(DO$171:DO$186)</f>
        <v>447713.67730277055</v>
      </c>
      <c r="DP170" s="528">
        <f t="shared" ca="1" si="6609"/>
        <v>0.12487066749166499</v>
      </c>
      <c r="DQ170" s="473" t="str">
        <f t="shared" ca="1" si="5140"/>
        <v>V</v>
      </c>
      <c r="DR170" s="531"/>
      <c r="DS170" s="526"/>
      <c r="DT170" s="532"/>
      <c r="DU170" s="527"/>
      <c r="DV170" s="527">
        <f ca="1">SUM(DV$171:DV$186)</f>
        <v>90608.862936360005</v>
      </c>
      <c r="DW170" s="528">
        <f t="shared" ca="1" si="5343"/>
        <v>0.12911662997008241</v>
      </c>
      <c r="DX170" s="529"/>
      <c r="DY170" s="514"/>
      <c r="DZ170" s="527">
        <f ca="1">SUM(DZ$171:DZ$186)</f>
        <v>14655.109981793488</v>
      </c>
      <c r="EA170" s="530">
        <f ca="1">IFERROR(DZ170/DR$4,0)</f>
        <v>2.0883370029917588E-2</v>
      </c>
      <c r="EB170" s="529"/>
      <c r="EC170" s="514"/>
      <c r="ED170" s="527">
        <f ca="1">SUM(ED$171:ED$186)</f>
        <v>0</v>
      </c>
      <c r="EE170" s="530">
        <f t="shared" ca="1" si="5349"/>
        <v>0</v>
      </c>
      <c r="EF170" s="514"/>
      <c r="EG170" s="514"/>
      <c r="EH170" s="527">
        <f ca="1">SUM(EH$171:EH$186)</f>
        <v>90608.862936360005</v>
      </c>
      <c r="EI170" s="528">
        <f t="shared" ca="1" si="6610"/>
        <v>0.12911662997008241</v>
      </c>
      <c r="EJ170" s="525"/>
      <c r="EK170" s="526"/>
      <c r="EL170" s="533"/>
      <c r="EM170" s="514"/>
      <c r="EN170" s="527">
        <f ca="1">SUM(EN$171:EN$186)</f>
        <v>108242.670375</v>
      </c>
      <c r="EO170" s="528">
        <f t="shared" ca="1" si="6735"/>
        <v>0.15250855028052701</v>
      </c>
      <c r="EP170" s="529"/>
      <c r="EQ170" s="514"/>
      <c r="ER170" s="527">
        <f ca="1">SUM(ER$171:ER$186)</f>
        <v>-1780.4390680701908</v>
      </c>
      <c r="ES170" s="530">
        <f ca="1">IFERROR(ER170/EJ$4,0)</f>
        <v>-2.5085502805269953E-3</v>
      </c>
      <c r="ET170" s="529"/>
      <c r="EU170" s="514"/>
      <c r="EV170" s="527">
        <f ca="1">SUM(EV$171:EV$186)</f>
        <v>0</v>
      </c>
      <c r="EW170" s="530">
        <f t="shared" ca="1" si="6736"/>
        <v>0</v>
      </c>
      <c r="EX170" s="514"/>
      <c r="EY170" s="514"/>
      <c r="EZ170" s="527">
        <f ca="1">SUM(EZ$171:EZ$186)</f>
        <v>108242.670375</v>
      </c>
      <c r="FA170" s="528">
        <f t="shared" ca="1" si="6737"/>
        <v>0.15250855028052701</v>
      </c>
      <c r="FB170" s="474" t="str">
        <f t="shared" ca="1" si="5151"/>
        <v>V</v>
      </c>
      <c r="FC170" s="525"/>
      <c r="FD170" s="526"/>
      <c r="FE170" s="526"/>
      <c r="FF170" s="514"/>
      <c r="FG170" s="527">
        <f ca="1">SUM(FG$171:FG$186)</f>
        <v>938880.12205440004</v>
      </c>
      <c r="FH170" s="528">
        <f t="shared" ca="1" si="6788"/>
        <v>0.20600195059661644</v>
      </c>
      <c r="FI170" s="529"/>
      <c r="FJ170" s="514"/>
      <c r="FK170" s="527">
        <f ca="1">SUM(FK$171:FK$186)</f>
        <v>-255236.02111124538</v>
      </c>
      <c r="FL170" s="530">
        <f ca="1">IFERROR(FK170/FC$4,0)</f>
        <v>-5.6001950596616439E-2</v>
      </c>
      <c r="FM170" s="529"/>
      <c r="FN170" s="514"/>
      <c r="FO170" s="527">
        <f ca="1">SUM(FO$171:FO$186)</f>
        <v>0</v>
      </c>
      <c r="FP170" s="530">
        <f t="shared" ca="1" si="6739"/>
        <v>0</v>
      </c>
      <c r="FQ170" s="514"/>
      <c r="FR170" s="514"/>
      <c r="FS170" s="527">
        <f ca="1">SUM(FS$171:FS$186)</f>
        <v>938880.12205440004</v>
      </c>
      <c r="FT170" s="528">
        <f t="shared" ca="1" si="6740"/>
        <v>0.20600195059661644</v>
      </c>
      <c r="FU170" s="473" t="str">
        <f t="shared" ca="1" si="5162"/>
        <v>V</v>
      </c>
    </row>
    <row r="171" spans="1:177" outlineLevel="2" x14ac:dyDescent="0.2">
      <c r="A171" s="534"/>
      <c r="B171" s="534"/>
      <c r="C171" s="535" t="str">
        <f t="shared" ref="C171:C186" ca="1" si="6799">OFFSET(Origine,MATCH($F171,Descrizioni,0),MATCH(C$15,Intestazioni,0)-1,1,1)</f>
        <v>CH0106027128:CHF</v>
      </c>
      <c r="D171" s="536" t="str">
        <f t="shared" ref="D171:E186" ca="1" si="6800">OFFSET(Origine,MATCH($F171,Descrizioni,0),MATCH(D$15,Intestazioni,0)-1,1,1)</f>
        <v>CH0106027128</v>
      </c>
      <c r="E171" s="537" t="str">
        <f t="shared" ca="1" si="6800"/>
        <v>10602712</v>
      </c>
      <c r="F171" s="535" t="s">
        <v>396</v>
      </c>
      <c r="G171" s="538"/>
      <c r="H171" s="1729" t="str">
        <f t="shared" ref="H171:H186" ca="1" si="6801">IF(OFFSET(Origine,MATCH($F171,Descrizioni,0),MATCH(H$15,Intestazioni,0)-1,1,1)&lt;&gt;"",HYPERLINK(OFFSET(Origine,MATCH($F171,Descrizioni,0),MATCH(H$15,Intestazioni,0)-1,1,1),""),"")</f>
        <v></v>
      </c>
      <c r="I171" s="1690" t="str">
        <f t="shared" ref="I171:I186" ca="1" si="6802">IF(OFFSET(Origine,MATCH($F171,Descrizioni,0),MATCH(I$15,Intestazioni,0)-1,1,1)&lt;&gt;"",HYPERLINK(OFFSET(Origine,MATCH($F171,Descrizioni,0),MATCH(I$15,Intestazioni,0)-1,1,1),"i"),"")</f>
        <v>i</v>
      </c>
      <c r="J171" s="1729" t="str">
        <f t="shared" ref="J171:K186" ca="1" si="6803">IF(OFFSET(Origine,MATCH($F171,Descrizioni,0),MATCH(J$15,Intestazioni,0)-1,1,1)&lt;&gt;"",HYPERLINK(OFFSET(Origine,MATCH($F171,Descrizioni,0),MATCH(J$15,Intestazioni,0)-1,1,1),""),"")</f>
        <v></v>
      </c>
      <c r="K171" s="1730" t="str">
        <f t="shared" ca="1" si="6803"/>
        <v></v>
      </c>
      <c r="L171" s="1731" t="str">
        <f t="shared" ref="L171:L186" ca="1" si="6804">IF(OFFSET(Origine,MATCH($F171,Descrizioni,0),MATCH(L$15,Intestazioni,0)-1,1,1)&lt;&gt;"",HYPERLINK("https://www.zonebourse.com/mods_a/charts/TV/inc_dyna_graph.php?c="&amp;OFFSET(Origine,MATCH($F171,Descrizioni,0),MATCH(L$15,Intestazioni,0)-1,1,1)&amp;"&amp;style=TradingView.CANDLES&amp;showAT=1",""),"")</f>
        <v></v>
      </c>
      <c r="M171" s="534" t="str">
        <f t="shared" ref="M171:M186" ca="1" si="6805">(OFFSET(Origine,MATCH($F171,Descrizioni,0),MATCH(M$15,Intestazioni,0)-1,1,1))</f>
        <v>Unit</v>
      </c>
      <c r="N171" s="539">
        <v>0.05</v>
      </c>
      <c r="O171" s="539">
        <v>0.05</v>
      </c>
      <c r="P171" s="540">
        <f t="shared" ca="1" si="6318"/>
        <v>3.0342201420979473E-2</v>
      </c>
      <c r="Q171" s="541">
        <f t="array" aca="1" ref="Q171" ca="1">SUM(IF($AA$15:$FT$15="I_pos",AA171:FT171))</f>
        <v>1940</v>
      </c>
      <c r="R171" s="541">
        <f t="array" aca="1" ref="R171" ca="1">SUM(IF($AA$15:$FT$15="P_Pos",AA171:FT171))</f>
        <v>1928.8250849892499</v>
      </c>
      <c r="S171" s="535"/>
      <c r="T171" s="541"/>
      <c r="U171" s="542">
        <f t="shared" ref="U171:U186" ca="1" si="6806">OFFSET(Origine,MATCH($F171,Descrizioni,0),MATCH(U$15,Intestazioni,0)-1,1,1)</f>
        <v>-3.3103448275862001E-2</v>
      </c>
      <c r="V171" s="541">
        <f t="array" aca="1" ref="V171" ca="1">SUM(IF($AA$15:$FT$15="O_Pos",AA171:FT171))</f>
        <v>0</v>
      </c>
      <c r="W171" s="535" t="str">
        <f t="shared" ref="W171:W172" ca="1" si="6807">OFFSET(Origine,MATCH($F171,Descrizioni,0),MATCH(W$15,Intestazioni,0)-1,1,1)</f>
        <v>CHF</v>
      </c>
      <c r="X171" s="543">
        <f t="shared" ref="X171:X179" ca="1" si="6808">_xlfn.NUMBERVALUE(OFFSET(Origine,MATCH($F171,Descrizioni,0),MATCH(X$15,Intestazioni,0)-1,1,1))</f>
        <v>168.24</v>
      </c>
      <c r="Y171" s="544">
        <f t="shared" ref="Y171:Y186" ca="1" si="6809">_xlfn.NUMBERVALUE(OFFSET(Origine,MATCH($F171,Descrizioni,0),MATCH(Y$15,Intestazioni,0)-1,1,1))</f>
        <v>0</v>
      </c>
      <c r="Z171" s="545">
        <f t="shared" ref="Z171:Z186" ca="1" si="6810">_xlfn.NUMBERVALUE(OFFSET(Origine,MATCH(W171&amp;"/"&amp;MRif,LUKB_Name,0),MATCH("Price",Intestazioni,0)-1,1,1))</f>
        <v>1.0000001300000001</v>
      </c>
      <c r="AA171" s="214">
        <f>210+125</f>
        <v>335</v>
      </c>
      <c r="AB171" s="489">
        <f t="shared" ref="AB171:AB186" ca="1" si="6811">IFERROR($X171/AC171-1,"")</f>
        <v>1.6215897829054393</v>
      </c>
      <c r="AC171" s="215">
        <v>64.174800000000005</v>
      </c>
      <c r="AD171" s="199">
        <f t="shared" ref="AD171:AD186" ca="1" si="6812">AA171*$X171</f>
        <v>56360.4</v>
      </c>
      <c r="AE171" s="199">
        <f t="shared" ref="AE171:AE186" ca="1" si="6813">AD171*$Z171</f>
        <v>56360.407326852008</v>
      </c>
      <c r="AF171" s="216">
        <f t="shared" ca="1" si="6726"/>
        <v>0.10037543585239911</v>
      </c>
      <c r="AG171" s="202">
        <f t="shared" ref="AG171:AG175" ca="1" si="6814">AH171/$X171</f>
        <v>-168.12650293612992</v>
      </c>
      <c r="AH171" s="203">
        <f t="shared" ref="AH171:AH175" ca="1" si="6815">AI171/$Z171</f>
        <v>-28285.602853974502</v>
      </c>
      <c r="AI171" s="203">
        <f t="shared" ref="AI171:AI186" ca="1" si="6816">AJ171*AA$4</f>
        <v>-28285.606531102876</v>
      </c>
      <c r="AJ171" s="204">
        <f t="shared" ref="AJ171:AJ186" ca="1" si="6817">IF(AA$6&lt;&gt;"",$O171,$N171)-AF171</f>
        <v>-5.0375435852399106E-2</v>
      </c>
      <c r="AK171" s="205"/>
      <c r="AL171" s="206">
        <f t="shared" ref="AL171:AL186" ca="1" si="6818">AK171*$X171</f>
        <v>0</v>
      </c>
      <c r="AM171" s="206">
        <f t="shared" ref="AM171:AM186" ca="1" si="6819">AL171*$Z171</f>
        <v>0</v>
      </c>
      <c r="AN171" s="207">
        <f t="shared" ca="1" si="6727"/>
        <v>0</v>
      </c>
      <c r="AO171" s="541">
        <f t="shared" ref="AO171:AO176" si="6820">AA171+AK171</f>
        <v>335</v>
      </c>
      <c r="AP171" s="541">
        <f t="shared" ca="1" si="5295"/>
        <v>56360.4</v>
      </c>
      <c r="AQ171" s="541">
        <f t="shared" ref="AQ171:AQ186" ca="1" si="6821">AP171*$Z171</f>
        <v>56360.407326852008</v>
      </c>
      <c r="AR171" s="546">
        <f t="shared" ca="1" si="6728"/>
        <v>0.10037543585239911</v>
      </c>
      <c r="AS171" s="209" t="str">
        <f t="shared" ca="1" si="5098"/>
        <v>V</v>
      </c>
      <c r="AT171" s="214"/>
      <c r="AU171" s="489" t="str">
        <f t="shared" ref="AU171:AU186" ca="1" si="6822">IFERROR($X171/AV171-1,"")</f>
        <v/>
      </c>
      <c r="AV171" s="215"/>
      <c r="AW171" s="199">
        <f t="shared" ref="AW171:AW173" ca="1" si="6823">AT171*$X171</f>
        <v>0</v>
      </c>
      <c r="AX171" s="199">
        <f t="shared" ref="AX171:AX173" ca="1" si="6824">AW171*$Z171</f>
        <v>0</v>
      </c>
      <c r="AY171" s="216">
        <f t="shared" ca="1" si="6729"/>
        <v>0</v>
      </c>
      <c r="AZ171" s="202">
        <f t="shared" ref="AZ171:AZ175" ca="1" si="6825">BA171/$X171</f>
        <v>514.69383225816989</v>
      </c>
      <c r="BA171" s="203">
        <f t="shared" ref="BA171:BA175" ca="1" si="6826">BB171/$Z171</f>
        <v>86592.090339114511</v>
      </c>
      <c r="BB171" s="203">
        <f t="shared" ref="BB171:BB186" ca="1" si="6827">BC171*AT$4</f>
        <v>86592.101596086257</v>
      </c>
      <c r="BC171" s="204">
        <f t="shared" ref="BC171:BC186" ca="1" si="6828">IF(AT$6&lt;&gt;"",$O171,$N171)-AY171</f>
        <v>0.05</v>
      </c>
      <c r="BD171" s="205"/>
      <c r="BE171" s="206">
        <f t="shared" ref="BE171:BE173" ca="1" si="6829">BD171*$X171</f>
        <v>0</v>
      </c>
      <c r="BF171" s="206">
        <f t="shared" ref="BF171:BF173" ca="1" si="6830">BE171*$Z171</f>
        <v>0</v>
      </c>
      <c r="BG171" s="207">
        <f t="shared" ca="1" si="6730"/>
        <v>0</v>
      </c>
      <c r="BH171" s="541">
        <f t="shared" ref="BH171:BH176" si="6831">AT171+BD171</f>
        <v>0</v>
      </c>
      <c r="BI171" s="541">
        <f t="shared" ca="1" si="5308"/>
        <v>0</v>
      </c>
      <c r="BJ171" s="541">
        <f t="shared" ref="BJ171:BJ173" ca="1" si="6832">BI171*$Z171</f>
        <v>0</v>
      </c>
      <c r="BK171" s="546">
        <f t="shared" ca="1" si="6731"/>
        <v>0</v>
      </c>
      <c r="BL171" s="211" t="str">
        <f t="shared" ca="1" si="5109"/>
        <v/>
      </c>
      <c r="BM171" s="214">
        <v>130</v>
      </c>
      <c r="BN171" s="489">
        <f t="shared" ref="BN171:BN186" ca="1" si="6833">IFERROR($X171/BO171-1,"")</f>
        <v>1.8712200466590323</v>
      </c>
      <c r="BO171" s="215">
        <v>58.595300000000002</v>
      </c>
      <c r="BP171" s="199">
        <f t="shared" ref="BP171:BP173" ca="1" si="6834">BM171*$X171</f>
        <v>21871.200000000001</v>
      </c>
      <c r="BQ171" s="199">
        <f t="shared" ref="BQ171:BQ173" ca="1" si="6835">BP171*$Z171</f>
        <v>21871.202843256004</v>
      </c>
      <c r="BR171" s="216">
        <f t="shared" ca="1" si="6732"/>
        <v>7.6748537379031881E-2</v>
      </c>
      <c r="BS171" s="202">
        <f t="shared" ref="BS171:BS175" ca="1" si="6836">BT171/$X171</f>
        <v>-45.307832279604646</v>
      </c>
      <c r="BT171" s="203">
        <f t="shared" ref="BT171:BT175" ca="1" si="6837">BU171/$Z171</f>
        <v>-7622.5897027206865</v>
      </c>
      <c r="BU171" s="203">
        <f t="shared" ref="BU171:BU186" ca="1" si="6838">BV171*BM$4</f>
        <v>-7622.5906936573483</v>
      </c>
      <c r="BV171" s="204">
        <f t="shared" ref="BV171:BV186" ca="1" si="6839">IF(BM$6&lt;&gt;"",$O171,$N171)-BR171</f>
        <v>-2.6748537379031878E-2</v>
      </c>
      <c r="BW171" s="205"/>
      <c r="BX171" s="206">
        <f t="shared" ref="BX171:BX173" ca="1" si="6840">BW171*$X171</f>
        <v>0</v>
      </c>
      <c r="BY171" s="206">
        <f t="shared" ref="BY171:BY173" ca="1" si="6841">BX171*$Z171</f>
        <v>0</v>
      </c>
      <c r="BZ171" s="207">
        <f t="shared" ca="1" si="6733"/>
        <v>0</v>
      </c>
      <c r="CA171" s="541">
        <f t="shared" ref="CA171:CA176" si="6842">BM171+BW171</f>
        <v>130</v>
      </c>
      <c r="CB171" s="541">
        <f t="shared" ca="1" si="5321"/>
        <v>21871.200000000001</v>
      </c>
      <c r="CC171" s="541">
        <f t="shared" ref="CC171:CC173" ca="1" si="6843">CB171*$Z171</f>
        <v>21871.202843256004</v>
      </c>
      <c r="CD171" s="546">
        <f t="shared" ca="1" si="6734"/>
        <v>7.6748537379031881E-2</v>
      </c>
      <c r="CE171" s="212" t="str">
        <f t="shared" ca="1" si="5120"/>
        <v>V</v>
      </c>
      <c r="CF171" s="214">
        <f>175</f>
        <v>175</v>
      </c>
      <c r="CG171" s="489">
        <f t="shared" ref="CG171:CG186" ca="1" si="6844">IFERROR($X171/CH171-1,"")</f>
        <v>1.342930752358737</v>
      </c>
      <c r="CH171" s="215">
        <v>71.807500000000005</v>
      </c>
      <c r="CI171" s="199">
        <f t="shared" ref="CI171:CI186" ca="1" si="6845">CF171*$X171</f>
        <v>29442</v>
      </c>
      <c r="CJ171" s="199">
        <f t="shared" ref="CJ171:CJ186" ca="1" si="6846">CI171*$Z171</f>
        <v>29442.003827460005</v>
      </c>
      <c r="CK171" s="216">
        <f t="shared" ca="1" si="6606"/>
        <v>3.3269320749886276E-2</v>
      </c>
      <c r="CL171" s="202">
        <f t="shared" ref="CL171:CL186" ca="1" si="6847">CM171/$X171</f>
        <v>88.005069017825079</v>
      </c>
      <c r="CM171" s="203">
        <f t="shared" ref="CM171:CM186" ca="1" si="6848">CN171/$Z171</f>
        <v>14805.972811558893</v>
      </c>
      <c r="CN171" s="203">
        <f t="shared" ref="CN171:CN186" ca="1" si="6849">CO171*CF$4</f>
        <v>14805.97473633536</v>
      </c>
      <c r="CO171" s="204">
        <f t="shared" ref="CO171:CO186" ca="1" si="6850">IF(CF$6&lt;&gt;"",$O171,$N171)-CK171</f>
        <v>1.6730679250113727E-2</v>
      </c>
      <c r="CP171" s="205"/>
      <c r="CQ171" s="206">
        <f t="shared" ref="CQ171:CQ186" ca="1" si="6851">CP171*$X171</f>
        <v>0</v>
      </c>
      <c r="CR171" s="206">
        <f t="shared" ref="CR171:CR186" ca="1" si="6852">CQ171*$Z171</f>
        <v>0</v>
      </c>
      <c r="CS171" s="207">
        <f t="shared" ca="1" si="6607"/>
        <v>0</v>
      </c>
      <c r="CT171" s="541">
        <f t="shared" ref="CT171:CT176" si="6853">CF171+CP171</f>
        <v>175</v>
      </c>
      <c r="CU171" s="541">
        <f t="shared" ca="1" si="5334"/>
        <v>29442</v>
      </c>
      <c r="CV171" s="541">
        <f t="shared" ref="CV171:CV186" ca="1" si="6854">CU171*$Z171</f>
        <v>29442.003827460005</v>
      </c>
      <c r="CW171" s="546">
        <f t="shared" ca="1" si="6608"/>
        <v>3.3269320749886276E-2</v>
      </c>
      <c r="CX171" s="211" t="str">
        <f t="shared" ca="1" si="5130"/>
        <v>V</v>
      </c>
      <c r="CY171" s="197">
        <f>500+500</f>
        <v>1000</v>
      </c>
      <c r="CZ171" s="489">
        <f t="shared" ref="CZ171:CZ186" ca="1" si="6855">IFERROR($X171/DA171-1,"")</f>
        <v>0.20714644471550558</v>
      </c>
      <c r="DA171" s="395">
        <v>139.37</v>
      </c>
      <c r="DB171" s="199">
        <f t="shared" ref="DB171:DB186" ca="1" si="6856">CY171*$X171</f>
        <v>168240</v>
      </c>
      <c r="DC171" s="199">
        <f t="shared" ref="DC171:DC186" ca="1" si="6857">DB171*$Z171</f>
        <v>168240.02187120001</v>
      </c>
      <c r="DD171" s="216">
        <f t="shared" ca="1" si="4717"/>
        <v>4.6923390762668264E-2</v>
      </c>
      <c r="DE171" s="202">
        <f t="shared" ref="DE171:DE186" ca="1" si="6858">DF171/$X171</f>
        <v>65.566643572131937</v>
      </c>
      <c r="DF171" s="203">
        <f t="shared" ref="DF171:DF186" ca="1" si="6859">DG171/$Z171</f>
        <v>11030.932114575478</v>
      </c>
      <c r="DG171" s="203">
        <f t="shared" ref="DG171:DG186" ca="1" si="6860">DH171*CY$4</f>
        <v>11030.933548596655</v>
      </c>
      <c r="DH171" s="204">
        <f t="shared" ref="DH171:DH186" ca="1" si="6861">IF(CY$6&lt;&gt;"",$O171,$N171)-DD171</f>
        <v>3.0766092373317386E-3</v>
      </c>
      <c r="DI171" s="205"/>
      <c r="DJ171" s="206">
        <f t="shared" ref="DJ171:DJ186" ca="1" si="6862">DI171*$X171</f>
        <v>0</v>
      </c>
      <c r="DK171" s="206">
        <f t="shared" ref="DK171:DK186" ca="1" si="6863">DJ171*$Z171</f>
        <v>0</v>
      </c>
      <c r="DL171" s="207">
        <f t="shared" ca="1" si="4718"/>
        <v>0</v>
      </c>
      <c r="DM171" s="541">
        <f t="shared" ref="DM171:DM176" si="6864">CY171+DI171</f>
        <v>1000</v>
      </c>
      <c r="DN171" s="541">
        <f t="shared" ca="1" si="5338"/>
        <v>168240</v>
      </c>
      <c r="DO171" s="541">
        <f t="shared" ref="DO171:DO186" ca="1" si="6865">DN171*$Z171</f>
        <v>168240.02187120001</v>
      </c>
      <c r="DP171" s="546">
        <f t="shared" ca="1" si="6609"/>
        <v>4.6923390762668264E-2</v>
      </c>
      <c r="DQ171" s="209" t="str">
        <f t="shared" ca="1" si="5140"/>
        <v>V</v>
      </c>
      <c r="DR171" s="197">
        <f>300</f>
        <v>300</v>
      </c>
      <c r="DS171" s="489">
        <f t="shared" ref="DS171:DS186" ca="1" si="6866">IFERROR($X171/DT171-1,"")</f>
        <v>0.47312750643573898</v>
      </c>
      <c r="DT171" s="395">
        <v>114.206</v>
      </c>
      <c r="DU171" s="199">
        <f t="shared" ref="DU171:DU186" ca="1" si="6867">DR171*$X171</f>
        <v>50472</v>
      </c>
      <c r="DV171" s="199">
        <f t="shared" ref="DV171:DV186" ca="1" si="6868">DU171*$Z171</f>
        <v>50472.006561360002</v>
      </c>
      <c r="DW171" s="216">
        <f t="shared" ca="1" si="5343"/>
        <v>7.1922052477447054E-2</v>
      </c>
      <c r="DX171" s="202">
        <f t="shared" ref="DX171:DX186" ca="1" si="6869">DY171/$X171</f>
        <v>-91.440879628628181</v>
      </c>
      <c r="DY171" s="203">
        <f t="shared" ref="DY171:DY186" ca="1" si="6870">DZ171/$Z171</f>
        <v>-15384.013588720405</v>
      </c>
      <c r="DZ171" s="203">
        <f t="shared" ref="DZ171:DZ186" ca="1" si="6871">EA171*DR$4</f>
        <v>-15384.015588642173</v>
      </c>
      <c r="EA171" s="204">
        <f t="shared" ref="EA171:EA186" ca="1" si="6872">IF(DR$6&lt;&gt;"",$O171,$N171)-DW171</f>
        <v>-2.1922052477447052E-2</v>
      </c>
      <c r="EB171" s="205"/>
      <c r="EC171" s="206">
        <f t="shared" ref="EC171:EC186" ca="1" si="6873">EB171*$X171</f>
        <v>0</v>
      </c>
      <c r="ED171" s="206">
        <f t="shared" ref="ED171:ED186" ca="1" si="6874">EC171*$Z171</f>
        <v>0</v>
      </c>
      <c r="EE171" s="207">
        <f t="shared" ca="1" si="5349"/>
        <v>0</v>
      </c>
      <c r="EF171" s="541">
        <f t="shared" ref="EF171:EF176" si="6875">DR171+EB171</f>
        <v>300</v>
      </c>
      <c r="EG171" s="541">
        <f t="shared" ref="EG171:EG186" ca="1" si="6876">DU171+IF($T171 ="",EC171,0)</f>
        <v>50472</v>
      </c>
      <c r="EH171" s="541">
        <f t="shared" ref="EH171:EH186" ca="1" si="6877">EG171*$Z171</f>
        <v>50472.006561360002</v>
      </c>
      <c r="EI171" s="546">
        <f t="shared" ca="1" si="6610"/>
        <v>7.1922052477447054E-2</v>
      </c>
      <c r="EJ171" s="214"/>
      <c r="EK171" s="489" t="str">
        <f t="shared" ref="EK171:EK186" ca="1" si="6878">IFERROR($X171/EL171-1,"")</f>
        <v/>
      </c>
      <c r="EL171" s="222"/>
      <c r="EM171" s="199">
        <f t="shared" ref="EM171:EM173" ca="1" si="6879">EJ171*$X171</f>
        <v>0</v>
      </c>
      <c r="EN171" s="199">
        <f t="shared" ref="EN171:EN173" ca="1" si="6880">EM171*$Z171</f>
        <v>0</v>
      </c>
      <c r="EO171" s="216">
        <f t="shared" ca="1" si="6735"/>
        <v>0</v>
      </c>
      <c r="EP171" s="202">
        <f t="shared" ref="EP171:EP175" ca="1" si="6881">EQ171/$X171</f>
        <v>210.93322528697402</v>
      </c>
      <c r="EQ171" s="203">
        <f t="shared" ref="EQ171:EQ175" ca="1" si="6882">ER171/$Z171</f>
        <v>35487.405822280511</v>
      </c>
      <c r="ER171" s="203">
        <f t="shared" ref="ER171:ER186" ca="1" si="6883">ES171*EJ$4</f>
        <v>35487.410435643273</v>
      </c>
      <c r="ES171" s="204">
        <f t="shared" ref="ES171:ES186" ca="1" si="6884">IF(EJ$6&lt;&gt;"",$O171,$N171)-EO171</f>
        <v>0.05</v>
      </c>
      <c r="ET171" s="205"/>
      <c r="EU171" s="206">
        <f t="shared" ref="EU171:EU173" ca="1" si="6885">ET171*$X171</f>
        <v>0</v>
      </c>
      <c r="EV171" s="206">
        <f t="shared" ref="EV171:EV173" ca="1" si="6886">EU171*$Z171</f>
        <v>0</v>
      </c>
      <c r="EW171" s="207">
        <f t="shared" ca="1" si="6736"/>
        <v>0</v>
      </c>
      <c r="EX171" s="541">
        <f t="shared" ref="EX171:EX176" si="6887">EJ171+ET171</f>
        <v>0</v>
      </c>
      <c r="EY171" s="541">
        <f t="shared" ca="1" si="5364"/>
        <v>0</v>
      </c>
      <c r="EZ171" s="541">
        <f t="shared" ref="EZ171:EZ173" ca="1" si="6888">EY171*$Z171</f>
        <v>0</v>
      </c>
      <c r="FA171" s="546">
        <f t="shared" ca="1" si="6737"/>
        <v>0</v>
      </c>
      <c r="FB171" s="212" t="str">
        <f t="shared" ca="1" si="5151"/>
        <v/>
      </c>
      <c r="FC171" s="214"/>
      <c r="FD171" s="489" t="str">
        <f t="shared" ref="FD171:FD186" ca="1" si="6889">IFERROR($X171/FE171-1,"")</f>
        <v/>
      </c>
      <c r="FE171" s="215"/>
      <c r="FF171" s="199">
        <f t="shared" ref="FF171:FF175" ca="1" si="6890">FC171*$X171</f>
        <v>0</v>
      </c>
      <c r="FG171" s="199">
        <f t="shared" ref="FG171:FG175" ca="1" si="6891">FF171*$Z171</f>
        <v>0</v>
      </c>
      <c r="FH171" s="216">
        <f t="shared" ref="FH171:FH190" ca="1" si="6892">IFERROR(FG171/FC$4,0)</f>
        <v>0</v>
      </c>
      <c r="FI171" s="202">
        <f t="shared" ref="FI171:FI175" ca="1" si="6893">FJ171/$X171</f>
        <v>1354.5015296985118</v>
      </c>
      <c r="FJ171" s="203">
        <f t="shared" ref="FJ171:FJ175" ca="1" si="6894">FK171/$Z171</f>
        <v>227881.33735647766</v>
      </c>
      <c r="FK171" s="203">
        <f t="shared" ref="FK171:FK186" ca="1" si="6895">FL171*FC$4</f>
        <v>227881.36698105154</v>
      </c>
      <c r="FL171" s="204">
        <f t="shared" ref="FL171:FL186" ca="1" si="6896">IF(FC$6&lt;&gt;"",$O171,$N171)-FH171</f>
        <v>0.05</v>
      </c>
      <c r="FM171" s="205"/>
      <c r="FN171" s="206">
        <f t="shared" ref="FN171:FN175" ca="1" si="6897">FM171*$X171</f>
        <v>0</v>
      </c>
      <c r="FO171" s="206">
        <f t="shared" ref="FO171:FO175" ca="1" si="6898">FN171*$Z171</f>
        <v>0</v>
      </c>
      <c r="FP171" s="207">
        <f t="shared" ca="1" si="6739"/>
        <v>0</v>
      </c>
      <c r="FQ171" s="541">
        <f t="shared" ref="FQ171:FQ176" si="6899">FC171+FM171</f>
        <v>0</v>
      </c>
      <c r="FR171" s="541">
        <f t="shared" ca="1" si="5378"/>
        <v>0</v>
      </c>
      <c r="FS171" s="541">
        <f t="shared" ref="FS171:FS175" ca="1" si="6900">FR171*$Z171</f>
        <v>0</v>
      </c>
      <c r="FT171" s="546">
        <f t="shared" ca="1" si="6740"/>
        <v>0</v>
      </c>
      <c r="FU171" s="209" t="str">
        <f t="shared" ca="1" si="5162"/>
        <v/>
      </c>
    </row>
    <row r="172" spans="1:177" outlineLevel="2" x14ac:dyDescent="0.2">
      <c r="A172" s="534"/>
      <c r="B172" s="534"/>
      <c r="C172" s="535" t="str">
        <f ca="1">OFFSET(Origine,MATCH(F172,Descrizioni,0),MATCH(C$15,Intestazioni,0)-1,1,1)</f>
        <v>CH0134034864:CHF</v>
      </c>
      <c r="D172" s="536" t="str">
        <f t="shared" ca="1" si="6800"/>
        <v>CH0134034864</v>
      </c>
      <c r="E172" s="537" t="str">
        <f t="shared" ca="1" si="6800"/>
        <v>13403486</v>
      </c>
      <c r="F172" s="547" t="s">
        <v>788</v>
      </c>
      <c r="G172" s="538"/>
      <c r="H172" s="1729" t="str">
        <f t="shared" ca="1" si="6801"/>
        <v></v>
      </c>
      <c r="I172" s="1690" t="str">
        <f t="shared" ca="1" si="6802"/>
        <v>i</v>
      </c>
      <c r="J172" s="1729" t="str">
        <f t="shared" ca="1" si="6803"/>
        <v></v>
      </c>
      <c r="K172" s="1730" t="str">
        <f t="shared" ca="1" si="6803"/>
        <v></v>
      </c>
      <c r="L172" s="1731" t="str">
        <f t="shared" ca="1" si="6804"/>
        <v></v>
      </c>
      <c r="M172" s="534" t="str">
        <f t="shared" ca="1" si="6805"/>
        <v>Unit</v>
      </c>
      <c r="N172" s="539">
        <v>0.05</v>
      </c>
      <c r="O172" s="539">
        <v>0.05</v>
      </c>
      <c r="P172" s="540">
        <f t="shared" ca="1" si="6318"/>
        <v>0</v>
      </c>
      <c r="Q172" s="541">
        <f t="array" aca="1" ref="Q172" ca="1">SUM(IF($AA$15:$FT$15="I_pos",AA172:FT172))</f>
        <v>34</v>
      </c>
      <c r="R172" s="541">
        <f t="array" aca="1" ref="R172" ca="1">SUM(IF($AA$15:$FT$15="P_Pos",AA172:FT172))</f>
        <v>185.52483382751819</v>
      </c>
      <c r="S172" s="535"/>
      <c r="T172" s="541"/>
      <c r="U172" s="542">
        <f t="shared" ca="1" si="6806"/>
        <v>-4.4165054803352699E-2</v>
      </c>
      <c r="V172" s="541">
        <f t="array" aca="1" ref="V172" ca="1">SUM(IF($AA$15:$FT$15="O_Pos",AA172:FT172))</f>
        <v>0</v>
      </c>
      <c r="W172" s="535" t="str">
        <f t="shared" ca="1" si="6807"/>
        <v>CHF</v>
      </c>
      <c r="X172" s="543">
        <f t="shared" ca="1" si="6808"/>
        <v>2965</v>
      </c>
      <c r="Y172" s="544">
        <f t="shared" ca="1" si="6809"/>
        <v>0</v>
      </c>
      <c r="Z172" s="545">
        <f t="shared" ref="Z172" ca="1" si="6901">_xlfn.NUMBERVALUE(OFFSET(Origine,MATCH(W172&amp;"/"&amp;MRif,LUKB_Name,0),MATCH("Price",Intestazioni,0)-1,1,1))</f>
        <v>1.0000001300000001</v>
      </c>
      <c r="AA172" s="214"/>
      <c r="AB172" s="489" t="str">
        <f t="shared" ca="1" si="6811"/>
        <v/>
      </c>
      <c r="AC172" s="215"/>
      <c r="AD172" s="199">
        <f t="shared" ca="1" si="6812"/>
        <v>0</v>
      </c>
      <c r="AE172" s="199">
        <f t="shared" ca="1" si="6813"/>
        <v>0</v>
      </c>
      <c r="AF172" s="216">
        <f t="shared" ca="1" si="6726"/>
        <v>0</v>
      </c>
      <c r="AG172" s="202">
        <f t="shared" ca="1" si="6814"/>
        <v>9.4687342819647569</v>
      </c>
      <c r="AH172" s="203">
        <f t="shared" ca="1" si="6815"/>
        <v>28074.797146025503</v>
      </c>
      <c r="AI172" s="203">
        <f t="shared" ca="1" si="6816"/>
        <v>28074.800795749135</v>
      </c>
      <c r="AJ172" s="204">
        <f t="shared" ca="1" si="6817"/>
        <v>0.05</v>
      </c>
      <c r="AK172" s="205"/>
      <c r="AL172" s="206">
        <f t="shared" ca="1" si="6818"/>
        <v>0</v>
      </c>
      <c r="AM172" s="206">
        <f t="shared" ca="1" si="6819"/>
        <v>0</v>
      </c>
      <c r="AN172" s="207">
        <f t="shared" ca="1" si="6727"/>
        <v>0</v>
      </c>
      <c r="AO172" s="541">
        <f t="shared" si="6820"/>
        <v>0</v>
      </c>
      <c r="AP172" s="541">
        <f t="shared" ca="1" si="5295"/>
        <v>0</v>
      </c>
      <c r="AQ172" s="541">
        <f t="shared" ca="1" si="6821"/>
        <v>0</v>
      </c>
      <c r="AR172" s="546">
        <f t="shared" ca="1" si="6728"/>
        <v>0</v>
      </c>
      <c r="AS172" s="209" t="str">
        <f t="shared" ref="AS172:AS201" ca="1" si="6902">IF(SUM(AF172,AN172,AR172)&lt;&gt;0,"V","")</f>
        <v/>
      </c>
      <c r="AT172" s="214"/>
      <c r="AU172" s="489" t="str">
        <f t="shared" ca="1" si="6822"/>
        <v/>
      </c>
      <c r="AV172" s="215"/>
      <c r="AW172" s="199">
        <f t="shared" ca="1" si="6823"/>
        <v>0</v>
      </c>
      <c r="AX172" s="199">
        <f t="shared" ca="1" si="6824"/>
        <v>0</v>
      </c>
      <c r="AY172" s="216">
        <f t="shared" ca="1" si="6729"/>
        <v>0</v>
      </c>
      <c r="AZ172" s="202">
        <f t="shared" ca="1" si="6825"/>
        <v>29.204752222298318</v>
      </c>
      <c r="BA172" s="203">
        <f t="shared" ca="1" si="6826"/>
        <v>86592.090339114511</v>
      </c>
      <c r="BB172" s="203">
        <f t="shared" ca="1" si="6827"/>
        <v>86592.101596086257</v>
      </c>
      <c r="BC172" s="204">
        <f t="shared" ca="1" si="6828"/>
        <v>0.05</v>
      </c>
      <c r="BD172" s="205"/>
      <c r="BE172" s="206">
        <f t="shared" ca="1" si="6829"/>
        <v>0</v>
      </c>
      <c r="BF172" s="206">
        <f t="shared" ca="1" si="6830"/>
        <v>0</v>
      </c>
      <c r="BG172" s="207">
        <f t="shared" ca="1" si="6730"/>
        <v>0</v>
      </c>
      <c r="BH172" s="541">
        <f t="shared" si="6831"/>
        <v>0</v>
      </c>
      <c r="BI172" s="541">
        <f t="shared" ca="1" si="5308"/>
        <v>0</v>
      </c>
      <c r="BJ172" s="541">
        <f t="shared" ca="1" si="6832"/>
        <v>0</v>
      </c>
      <c r="BK172" s="546">
        <f t="shared" ca="1" si="6731"/>
        <v>0</v>
      </c>
      <c r="BL172" s="211" t="str">
        <f t="shared" ref="BL172:BL201" ca="1" si="6903">IF(SUM(AY172,BG172,BK172)&lt;&gt;0,"V","")</f>
        <v/>
      </c>
      <c r="BM172" s="214"/>
      <c r="BN172" s="489" t="str">
        <f t="shared" ca="1" si="6833"/>
        <v/>
      </c>
      <c r="BO172" s="215"/>
      <c r="BP172" s="199">
        <f t="shared" ca="1" si="6834"/>
        <v>0</v>
      </c>
      <c r="BQ172" s="199">
        <f t="shared" ca="1" si="6835"/>
        <v>0</v>
      </c>
      <c r="BR172" s="216">
        <f t="shared" ca="1" si="6732"/>
        <v>0</v>
      </c>
      <c r="BS172" s="202">
        <f t="shared" ca="1" si="6836"/>
        <v>4.8056021238716085</v>
      </c>
      <c r="BT172" s="203">
        <f t="shared" ca="1" si="6837"/>
        <v>14248.610297279318</v>
      </c>
      <c r="BU172" s="203">
        <f t="shared" ca="1" si="6838"/>
        <v>14248.612149598657</v>
      </c>
      <c r="BV172" s="204">
        <f t="shared" ca="1" si="6839"/>
        <v>0.05</v>
      </c>
      <c r="BW172" s="205"/>
      <c r="BX172" s="206">
        <f t="shared" ca="1" si="6840"/>
        <v>0</v>
      </c>
      <c r="BY172" s="206">
        <f t="shared" ca="1" si="6841"/>
        <v>0</v>
      </c>
      <c r="BZ172" s="207">
        <f t="shared" ca="1" si="6733"/>
        <v>0</v>
      </c>
      <c r="CA172" s="541">
        <f t="shared" si="6842"/>
        <v>0</v>
      </c>
      <c r="CB172" s="541">
        <f t="shared" ca="1" si="5321"/>
        <v>0</v>
      </c>
      <c r="CC172" s="541">
        <f t="shared" ca="1" si="6843"/>
        <v>0</v>
      </c>
      <c r="CD172" s="546">
        <f t="shared" ca="1" si="6734"/>
        <v>0</v>
      </c>
      <c r="CE172" s="212" t="str">
        <f t="shared" ref="CE172:CE201" ca="1" si="6904">IF(SUM(BR172,BZ172,CD172)&lt;&gt;0,"V","")</f>
        <v/>
      </c>
      <c r="CF172" s="214">
        <v>34</v>
      </c>
      <c r="CG172" s="489">
        <f t="shared" ca="1" si="6844"/>
        <v>1.4994979928988967</v>
      </c>
      <c r="CH172" s="215">
        <v>1186.2382</v>
      </c>
      <c r="CI172" s="199">
        <f t="shared" ca="1" si="6845"/>
        <v>100810</v>
      </c>
      <c r="CJ172" s="199">
        <f t="shared" ca="1" si="6846"/>
        <v>100810.01310530001</v>
      </c>
      <c r="CK172" s="216">
        <f t="shared" ca="1" si="6606"/>
        <v>0.11391482320481065</v>
      </c>
      <c r="CL172" s="202">
        <f t="shared" ca="1" si="6847"/>
        <v>-19.076569034887385</v>
      </c>
      <c r="CM172" s="203">
        <f t="shared" ca="1" si="6848"/>
        <v>-56562.027188441098</v>
      </c>
      <c r="CN172" s="203">
        <f t="shared" ca="1" si="6849"/>
        <v>-56562.034541504639</v>
      </c>
      <c r="CO172" s="204">
        <f t="shared" ca="1" si="6850"/>
        <v>-6.391482320481065E-2</v>
      </c>
      <c r="CP172" s="205"/>
      <c r="CQ172" s="206">
        <f t="shared" ca="1" si="6851"/>
        <v>0</v>
      </c>
      <c r="CR172" s="206">
        <f t="shared" ca="1" si="6852"/>
        <v>0</v>
      </c>
      <c r="CS172" s="207">
        <f t="shared" ca="1" si="6607"/>
        <v>0</v>
      </c>
      <c r="CT172" s="541">
        <f t="shared" si="6853"/>
        <v>34</v>
      </c>
      <c r="CU172" s="541">
        <f t="shared" ca="1" si="5334"/>
        <v>100810</v>
      </c>
      <c r="CV172" s="541">
        <f t="shared" ca="1" si="6854"/>
        <v>100810.01310530001</v>
      </c>
      <c r="CW172" s="546">
        <f t="shared" ca="1" si="6608"/>
        <v>0.11391482320481065</v>
      </c>
      <c r="CX172" s="211" t="str">
        <f t="shared" ref="CX172:CX201" ca="1" si="6905">IF(SUM(CK172,CS172,CW172)&lt;&gt;0,"V","")</f>
        <v>V</v>
      </c>
      <c r="CY172" s="197"/>
      <c r="CZ172" s="489" t="str">
        <f t="shared" ca="1" si="6855"/>
        <v/>
      </c>
      <c r="DA172" s="395"/>
      <c r="DB172" s="199">
        <f t="shared" ca="1" si="6856"/>
        <v>0</v>
      </c>
      <c r="DC172" s="199">
        <f t="shared" ca="1" si="6857"/>
        <v>0</v>
      </c>
      <c r="DD172" s="216">
        <f t="shared" ca="1" si="4717"/>
        <v>0</v>
      </c>
      <c r="DE172" s="202">
        <f t="shared" ca="1" si="6858"/>
        <v>60.462371708119889</v>
      </c>
      <c r="DF172" s="203">
        <f t="shared" ca="1" si="6859"/>
        <v>179270.93211457547</v>
      </c>
      <c r="DG172" s="203">
        <f t="shared" ca="1" si="6860"/>
        <v>179270.95541979666</v>
      </c>
      <c r="DH172" s="204">
        <f t="shared" ca="1" si="6861"/>
        <v>0.05</v>
      </c>
      <c r="DI172" s="205"/>
      <c r="DJ172" s="206">
        <f t="shared" ca="1" si="6862"/>
        <v>0</v>
      </c>
      <c r="DK172" s="206">
        <f t="shared" ca="1" si="6863"/>
        <v>0</v>
      </c>
      <c r="DL172" s="207">
        <f t="shared" ca="1" si="4718"/>
        <v>0</v>
      </c>
      <c r="DM172" s="541">
        <f t="shared" si="6864"/>
        <v>0</v>
      </c>
      <c r="DN172" s="541">
        <f t="shared" ca="1" si="5338"/>
        <v>0</v>
      </c>
      <c r="DO172" s="541">
        <f t="shared" ca="1" si="6865"/>
        <v>0</v>
      </c>
      <c r="DP172" s="546">
        <f t="shared" ca="1" si="6609"/>
        <v>0</v>
      </c>
      <c r="DQ172" s="209" t="str">
        <f t="shared" ref="DQ172:DQ201" ca="1" si="6906">IF(SUM(DD172,DL172,DP172)&lt;&gt;0,"V","")</f>
        <v/>
      </c>
      <c r="DR172" s="197"/>
      <c r="DS172" s="489" t="str">
        <f t="shared" ca="1" si="6866"/>
        <v/>
      </c>
      <c r="DT172" s="395"/>
      <c r="DU172" s="199">
        <f t="shared" ca="1" si="6867"/>
        <v>0</v>
      </c>
      <c r="DV172" s="199">
        <f t="shared" ca="1" si="6868"/>
        <v>0</v>
      </c>
      <c r="DW172" s="216">
        <f t="shared" ca="1" si="5343"/>
        <v>0</v>
      </c>
      <c r="DX172" s="202">
        <f t="shared" ca="1" si="6869"/>
        <v>11.834059497902054</v>
      </c>
      <c r="DY172" s="203">
        <f t="shared" ca="1" si="6870"/>
        <v>35087.986411279591</v>
      </c>
      <c r="DZ172" s="203">
        <f t="shared" ca="1" si="6871"/>
        <v>35087.990972717831</v>
      </c>
      <c r="EA172" s="204">
        <f t="shared" ca="1" si="6872"/>
        <v>0.05</v>
      </c>
      <c r="EB172" s="205"/>
      <c r="EC172" s="206">
        <f t="shared" ca="1" si="6873"/>
        <v>0</v>
      </c>
      <c r="ED172" s="206">
        <f t="shared" ca="1" si="6874"/>
        <v>0</v>
      </c>
      <c r="EE172" s="207">
        <f t="shared" ca="1" si="5349"/>
        <v>0</v>
      </c>
      <c r="EF172" s="541">
        <f t="shared" si="6875"/>
        <v>0</v>
      </c>
      <c r="EG172" s="541">
        <f t="shared" ca="1" si="6876"/>
        <v>0</v>
      </c>
      <c r="EH172" s="541">
        <f t="shared" ca="1" si="6877"/>
        <v>0</v>
      </c>
      <c r="EI172" s="546">
        <f t="shared" ca="1" si="6610"/>
        <v>0</v>
      </c>
      <c r="EJ172" s="214"/>
      <c r="EK172" s="489" t="str">
        <f t="shared" ca="1" si="6878"/>
        <v/>
      </c>
      <c r="EL172" s="222"/>
      <c r="EM172" s="199">
        <f t="shared" ca="1" si="6879"/>
        <v>0</v>
      </c>
      <c r="EN172" s="199">
        <f t="shared" ca="1" si="6880"/>
        <v>0</v>
      </c>
      <c r="EO172" s="216">
        <f t="shared" ca="1" si="6735"/>
        <v>0</v>
      </c>
      <c r="EP172" s="202">
        <f t="shared" ca="1" si="6881"/>
        <v>11.968770935001858</v>
      </c>
      <c r="EQ172" s="203">
        <f t="shared" ca="1" si="6882"/>
        <v>35487.405822280511</v>
      </c>
      <c r="ER172" s="203">
        <f t="shared" ca="1" si="6883"/>
        <v>35487.410435643273</v>
      </c>
      <c r="ES172" s="204">
        <f t="shared" ca="1" si="6884"/>
        <v>0.05</v>
      </c>
      <c r="ET172" s="205"/>
      <c r="EU172" s="206">
        <f t="shared" ca="1" si="6885"/>
        <v>0</v>
      </c>
      <c r="EV172" s="206">
        <f t="shared" ca="1" si="6886"/>
        <v>0</v>
      </c>
      <c r="EW172" s="207">
        <f t="shared" ca="1" si="6736"/>
        <v>0</v>
      </c>
      <c r="EX172" s="541">
        <f t="shared" si="6887"/>
        <v>0</v>
      </c>
      <c r="EY172" s="541">
        <f t="shared" ca="1" si="5364"/>
        <v>0</v>
      </c>
      <c r="EZ172" s="541">
        <f t="shared" ca="1" si="6888"/>
        <v>0</v>
      </c>
      <c r="FA172" s="546">
        <f t="shared" ca="1" si="6737"/>
        <v>0</v>
      </c>
      <c r="FB172" s="212" t="str">
        <f t="shared" ref="FB172:FB201" ca="1" si="6907">IF(SUM(EO172,EW172,FA172)&lt;&gt;0,"V","")</f>
        <v/>
      </c>
      <c r="FC172" s="214"/>
      <c r="FD172" s="489" t="str">
        <f t="shared" ca="1" si="6889"/>
        <v/>
      </c>
      <c r="FE172" s="215"/>
      <c r="FF172" s="199">
        <f t="shared" ca="1" si="6890"/>
        <v>0</v>
      </c>
      <c r="FG172" s="199">
        <f t="shared" ca="1" si="6891"/>
        <v>0</v>
      </c>
      <c r="FH172" s="216">
        <f t="shared" ca="1" si="6892"/>
        <v>0</v>
      </c>
      <c r="FI172" s="202">
        <f t="shared" ca="1" si="6893"/>
        <v>76.857112093247096</v>
      </c>
      <c r="FJ172" s="203">
        <f t="shared" ca="1" si="6894"/>
        <v>227881.33735647766</v>
      </c>
      <c r="FK172" s="203">
        <f t="shared" ca="1" si="6895"/>
        <v>227881.36698105154</v>
      </c>
      <c r="FL172" s="204">
        <f t="shared" ca="1" si="6896"/>
        <v>0.05</v>
      </c>
      <c r="FM172" s="205"/>
      <c r="FN172" s="206">
        <f t="shared" ca="1" si="6897"/>
        <v>0</v>
      </c>
      <c r="FO172" s="206">
        <f t="shared" ca="1" si="6898"/>
        <v>0</v>
      </c>
      <c r="FP172" s="207">
        <f t="shared" ca="1" si="6739"/>
        <v>0</v>
      </c>
      <c r="FQ172" s="541">
        <f t="shared" si="6899"/>
        <v>0</v>
      </c>
      <c r="FR172" s="541">
        <f t="shared" ca="1" si="5378"/>
        <v>0</v>
      </c>
      <c r="FS172" s="541">
        <f t="shared" ca="1" si="6900"/>
        <v>0</v>
      </c>
      <c r="FT172" s="546">
        <f t="shared" ca="1" si="6740"/>
        <v>0</v>
      </c>
      <c r="FU172" s="209" t="str">
        <f t="shared" ref="FU172:FU201" ca="1" si="6908">IF(SUM(FH172,FP172,FT172)&lt;&gt;0,"V","")</f>
        <v/>
      </c>
    </row>
    <row r="173" spans="1:177" outlineLevel="2" x14ac:dyDescent="0.2">
      <c r="A173" s="534"/>
      <c r="B173" s="534"/>
      <c r="C173" s="535" t="str">
        <f t="shared" ca="1" si="6799"/>
        <v>CH0104136236:USD</v>
      </c>
      <c r="D173" s="536" t="str">
        <f t="shared" ca="1" si="6800"/>
        <v>CH0104136236</v>
      </c>
      <c r="E173" s="537" t="str">
        <f t="shared" ca="1" si="6800"/>
        <v>10413623</v>
      </c>
      <c r="F173" s="535" t="s">
        <v>789</v>
      </c>
      <c r="G173" s="538"/>
      <c r="H173" s="1729" t="str">
        <f t="shared" ca="1" si="6801"/>
        <v></v>
      </c>
      <c r="I173" s="1690" t="str">
        <f t="shared" ca="1" si="6802"/>
        <v>i</v>
      </c>
      <c r="J173" s="1729" t="str">
        <f t="shared" ca="1" si="6803"/>
        <v></v>
      </c>
      <c r="K173" s="1730" t="str">
        <f t="shared" ca="1" si="6803"/>
        <v></v>
      </c>
      <c r="L173" s="1731" t="str">
        <f t="shared" ca="1" si="6804"/>
        <v></v>
      </c>
      <c r="M173" s="534" t="str">
        <f t="shared" ca="1" si="6805"/>
        <v>Unit</v>
      </c>
      <c r="N173" s="539">
        <v>0.05</v>
      </c>
      <c r="O173" s="539">
        <v>2.5000000000000001E-2</v>
      </c>
      <c r="P173" s="540">
        <f t="shared" ca="1" si="6318"/>
        <v>2.1551913310302283E-2</v>
      </c>
      <c r="Q173" s="541">
        <f t="array" aca="1" ref="Q173" ca="1">SUM(IF($AA$15:$FT$15="I_pos",AA173:FT173))</f>
        <v>145</v>
      </c>
      <c r="R173" s="541">
        <f t="array" aca="1" ref="R173" ca="1">SUM(IF($AA$15:$FT$15="P_Pos",AA173:FT173))</f>
        <v>1553.4602995581079</v>
      </c>
      <c r="S173" s="535"/>
      <c r="T173" s="541"/>
      <c r="U173" s="542">
        <f t="shared" ca="1" si="6806"/>
        <v>-3.1818181818181801E-2</v>
      </c>
      <c r="V173" s="541">
        <f t="array" aca="1" ref="V173" ca="1">SUM(IF($AA$15:$FT$15="O_Pos",AA173:FT173))</f>
        <v>0</v>
      </c>
      <c r="W173" s="535" t="str">
        <f t="shared" ref="W173" ca="1" si="6909">OFFSET(Origine,MATCH($F173,Descrizioni,0),MATCH(W$15,Intestazioni,0)-1,1,1)</f>
        <v>USD</v>
      </c>
      <c r="X173" s="543">
        <f t="shared" ca="1" si="6808"/>
        <v>489.9</v>
      </c>
      <c r="Y173" s="544">
        <f t="shared" ca="1" si="6809"/>
        <v>0</v>
      </c>
      <c r="Z173" s="545">
        <f t="shared" ca="1" si="6810"/>
        <v>0.78225</v>
      </c>
      <c r="AA173" s="214">
        <f>60</f>
        <v>60</v>
      </c>
      <c r="AB173" s="489">
        <f t="shared" ca="1" si="6811"/>
        <v>1.8421089272039537</v>
      </c>
      <c r="AC173" s="215">
        <v>172.37200000000001</v>
      </c>
      <c r="AD173" s="199">
        <f t="shared" ca="1" si="6812"/>
        <v>29394</v>
      </c>
      <c r="AE173" s="199">
        <f t="shared" ca="1" si="6813"/>
        <v>22993.4565</v>
      </c>
      <c r="AF173" s="216">
        <f t="shared" ca="1" si="6726"/>
        <v>4.0950346660129269E-2</v>
      </c>
      <c r="AG173" s="202">
        <f t="shared" ca="1" si="6814"/>
        <v>13.259453085922424</v>
      </c>
      <c r="AH173" s="203">
        <f t="shared" ca="1" si="6815"/>
        <v>6495.8060667933951</v>
      </c>
      <c r="AI173" s="203">
        <f t="shared" ca="1" si="6816"/>
        <v>5081.3442957491334</v>
      </c>
      <c r="AJ173" s="204">
        <f t="shared" ca="1" si="6817"/>
        <v>9.0496533398707335E-3</v>
      </c>
      <c r="AK173" s="205"/>
      <c r="AL173" s="206">
        <f t="shared" ca="1" si="6818"/>
        <v>0</v>
      </c>
      <c r="AM173" s="206">
        <f t="shared" ca="1" si="6819"/>
        <v>0</v>
      </c>
      <c r="AN173" s="207">
        <f t="shared" ca="1" si="6727"/>
        <v>0</v>
      </c>
      <c r="AO173" s="541">
        <f t="shared" si="6820"/>
        <v>60</v>
      </c>
      <c r="AP173" s="541">
        <f t="shared" ca="1" si="5295"/>
        <v>29394</v>
      </c>
      <c r="AQ173" s="541">
        <f t="shared" ca="1" si="6821"/>
        <v>22993.4565</v>
      </c>
      <c r="AR173" s="546">
        <f t="shared" ca="1" si="6728"/>
        <v>4.0950346660129269E-2</v>
      </c>
      <c r="AS173" s="209" t="str">
        <f t="shared" ca="1" si="6902"/>
        <v>V</v>
      </c>
      <c r="AT173" s="214"/>
      <c r="AU173" s="489" t="str">
        <f t="shared" ca="1" si="6822"/>
        <v/>
      </c>
      <c r="AV173" s="215"/>
      <c r="AW173" s="199">
        <f t="shared" ca="1" si="6823"/>
        <v>0</v>
      </c>
      <c r="AX173" s="199">
        <f t="shared" ca="1" si="6824"/>
        <v>0</v>
      </c>
      <c r="AY173" s="216">
        <f t="shared" ca="1" si="6729"/>
        <v>0</v>
      </c>
      <c r="AZ173" s="202">
        <f t="shared" ca="1" si="6825"/>
        <v>225.95672363418589</v>
      </c>
      <c r="BA173" s="203">
        <f t="shared" ca="1" si="6826"/>
        <v>110696.19890838767</v>
      </c>
      <c r="BB173" s="203">
        <f t="shared" ca="1" si="6827"/>
        <v>86592.101596086257</v>
      </c>
      <c r="BC173" s="204">
        <f t="shared" ca="1" si="6828"/>
        <v>0.05</v>
      </c>
      <c r="BD173" s="205"/>
      <c r="BE173" s="206">
        <f t="shared" ca="1" si="6829"/>
        <v>0</v>
      </c>
      <c r="BF173" s="206">
        <f t="shared" ca="1" si="6830"/>
        <v>0</v>
      </c>
      <c r="BG173" s="207">
        <f t="shared" ca="1" si="6730"/>
        <v>0</v>
      </c>
      <c r="BH173" s="541">
        <f t="shared" si="6831"/>
        <v>0</v>
      </c>
      <c r="BI173" s="541">
        <f t="shared" ca="1" si="5308"/>
        <v>0</v>
      </c>
      <c r="BJ173" s="541">
        <f t="shared" ca="1" si="6832"/>
        <v>0</v>
      </c>
      <c r="BK173" s="546">
        <f t="shared" ca="1" si="6731"/>
        <v>0</v>
      </c>
      <c r="BL173" s="211" t="str">
        <f t="shared" ca="1" si="6903"/>
        <v/>
      </c>
      <c r="BM173" s="214">
        <v>85</v>
      </c>
      <c r="BN173" s="489">
        <f t="shared" ca="1" si="6833"/>
        <v>3.304164470216131</v>
      </c>
      <c r="BO173" s="215">
        <v>113.82</v>
      </c>
      <c r="BP173" s="199">
        <f t="shared" ca="1" si="6834"/>
        <v>41641.5</v>
      </c>
      <c r="BQ173" s="199">
        <f t="shared" ca="1" si="6835"/>
        <v>32574.063375000002</v>
      </c>
      <c r="BR173" s="216">
        <f t="shared" ca="1" si="6732"/>
        <v>0.11430609182494143</v>
      </c>
      <c r="BS173" s="202">
        <f t="shared" ca="1" si="6836"/>
        <v>-47.81912947816614</v>
      </c>
      <c r="BT173" s="203">
        <f t="shared" ca="1" si="6837"/>
        <v>-23426.591531353592</v>
      </c>
      <c r="BU173" s="203">
        <f t="shared" ca="1" si="6838"/>
        <v>-18325.451225401346</v>
      </c>
      <c r="BV173" s="204">
        <f t="shared" ca="1" si="6839"/>
        <v>-6.430609182494143E-2</v>
      </c>
      <c r="BW173" s="205"/>
      <c r="BX173" s="206">
        <f t="shared" ca="1" si="6840"/>
        <v>0</v>
      </c>
      <c r="BY173" s="206">
        <f t="shared" ca="1" si="6841"/>
        <v>0</v>
      </c>
      <c r="BZ173" s="207">
        <f t="shared" ca="1" si="6733"/>
        <v>0</v>
      </c>
      <c r="CA173" s="541">
        <f t="shared" si="6842"/>
        <v>85</v>
      </c>
      <c r="CB173" s="541">
        <f t="shared" ca="1" si="5321"/>
        <v>41641.5</v>
      </c>
      <c r="CC173" s="541">
        <f t="shared" ca="1" si="6843"/>
        <v>32574.063375000002</v>
      </c>
      <c r="CD173" s="546">
        <f t="shared" ca="1" si="6734"/>
        <v>0.11430609182494143</v>
      </c>
      <c r="CE173" s="212" t="str">
        <f t="shared" ca="1" si="6904"/>
        <v>V</v>
      </c>
      <c r="CF173" s="214"/>
      <c r="CG173" s="489" t="str">
        <f t="shared" ca="1" si="6844"/>
        <v/>
      </c>
      <c r="CH173" s="215"/>
      <c r="CI173" s="199">
        <f t="shared" ca="1" si="6845"/>
        <v>0</v>
      </c>
      <c r="CJ173" s="199">
        <f t="shared" ca="1" si="6846"/>
        <v>0</v>
      </c>
      <c r="CK173" s="216">
        <f t="shared" ca="1" si="6606"/>
        <v>0</v>
      </c>
      <c r="CL173" s="202">
        <f t="shared" ca="1" si="6847"/>
        <v>115.46235833780457</v>
      </c>
      <c r="CM173" s="203">
        <f t="shared" ca="1" si="6848"/>
        <v>56565.009349690459</v>
      </c>
      <c r="CN173" s="203">
        <f t="shared" ca="1" si="6849"/>
        <v>44247.978563795361</v>
      </c>
      <c r="CO173" s="204">
        <f t="shared" ca="1" si="6850"/>
        <v>0.05</v>
      </c>
      <c r="CP173" s="205"/>
      <c r="CQ173" s="206">
        <f t="shared" ca="1" si="6851"/>
        <v>0</v>
      </c>
      <c r="CR173" s="206">
        <f t="shared" ca="1" si="6852"/>
        <v>0</v>
      </c>
      <c r="CS173" s="207">
        <f t="shared" ca="1" si="6607"/>
        <v>0</v>
      </c>
      <c r="CT173" s="541">
        <f t="shared" si="6853"/>
        <v>0</v>
      </c>
      <c r="CU173" s="541">
        <f t="shared" ca="1" si="5334"/>
        <v>0</v>
      </c>
      <c r="CV173" s="541">
        <f t="shared" ca="1" si="6854"/>
        <v>0</v>
      </c>
      <c r="CW173" s="546">
        <f t="shared" ca="1" si="6608"/>
        <v>0</v>
      </c>
      <c r="CX173" s="211" t="str">
        <f t="shared" ca="1" si="6905"/>
        <v/>
      </c>
      <c r="CY173" s="197"/>
      <c r="CZ173" s="489" t="str">
        <f t="shared" ca="1" si="6855"/>
        <v/>
      </c>
      <c r="DA173" s="395"/>
      <c r="DB173" s="199">
        <f t="shared" ca="1" si="6856"/>
        <v>0</v>
      </c>
      <c r="DC173" s="199">
        <f t="shared" ca="1" si="6857"/>
        <v>0</v>
      </c>
      <c r="DD173" s="216">
        <f t="shared" ca="1" si="4717"/>
        <v>0</v>
      </c>
      <c r="DE173" s="202">
        <f t="shared" ca="1" si="6858"/>
        <v>467.79645005472753</v>
      </c>
      <c r="DF173" s="203">
        <f t="shared" ca="1" si="6859"/>
        <v>229173.480881811</v>
      </c>
      <c r="DG173" s="203">
        <f t="shared" ca="1" si="6860"/>
        <v>179270.95541979666</v>
      </c>
      <c r="DH173" s="204">
        <f t="shared" ca="1" si="6861"/>
        <v>0.05</v>
      </c>
      <c r="DI173" s="205"/>
      <c r="DJ173" s="206">
        <f t="shared" ca="1" si="6862"/>
        <v>0</v>
      </c>
      <c r="DK173" s="206">
        <f t="shared" ca="1" si="6863"/>
        <v>0</v>
      </c>
      <c r="DL173" s="207">
        <f t="shared" ca="1" si="4718"/>
        <v>0</v>
      </c>
      <c r="DM173" s="541">
        <f t="shared" si="6864"/>
        <v>0</v>
      </c>
      <c r="DN173" s="541">
        <f t="shared" ca="1" si="5338"/>
        <v>0</v>
      </c>
      <c r="DO173" s="541">
        <f t="shared" ca="1" si="6865"/>
        <v>0</v>
      </c>
      <c r="DP173" s="546">
        <f t="shared" ca="1" si="6609"/>
        <v>0</v>
      </c>
      <c r="DQ173" s="209" t="str">
        <f t="shared" ca="1" si="6906"/>
        <v/>
      </c>
      <c r="DR173" s="197"/>
      <c r="DS173" s="489" t="str">
        <f t="shared" ca="1" si="6866"/>
        <v/>
      </c>
      <c r="DT173" s="395"/>
      <c r="DU173" s="199">
        <f t="shared" ca="1" si="6867"/>
        <v>0</v>
      </c>
      <c r="DV173" s="199">
        <f t="shared" ca="1" si="6868"/>
        <v>0</v>
      </c>
      <c r="DW173" s="216">
        <f t="shared" ca="1" si="5343"/>
        <v>0</v>
      </c>
      <c r="DX173" s="202">
        <f t="shared" ca="1" si="6869"/>
        <v>91.559938296491879</v>
      </c>
      <c r="DY173" s="203">
        <f t="shared" ca="1" si="6870"/>
        <v>44855.213771451366</v>
      </c>
      <c r="DZ173" s="203">
        <f t="shared" ca="1" si="6871"/>
        <v>35087.990972717831</v>
      </c>
      <c r="EA173" s="204">
        <f t="shared" ca="1" si="6872"/>
        <v>0.05</v>
      </c>
      <c r="EB173" s="205"/>
      <c r="EC173" s="206">
        <f t="shared" ca="1" si="6873"/>
        <v>0</v>
      </c>
      <c r="ED173" s="206">
        <f t="shared" ca="1" si="6874"/>
        <v>0</v>
      </c>
      <c r="EE173" s="207">
        <f t="shared" ca="1" si="5349"/>
        <v>0</v>
      </c>
      <c r="EF173" s="541">
        <f t="shared" si="6875"/>
        <v>0</v>
      </c>
      <c r="EG173" s="541">
        <f t="shared" ca="1" si="6876"/>
        <v>0</v>
      </c>
      <c r="EH173" s="541">
        <f t="shared" ca="1" si="6877"/>
        <v>0</v>
      </c>
      <c r="EI173" s="546">
        <f t="shared" ca="1" si="6610"/>
        <v>0</v>
      </c>
      <c r="EJ173" s="214"/>
      <c r="EK173" s="489" t="str">
        <f t="shared" ca="1" si="6878"/>
        <v/>
      </c>
      <c r="EL173" s="222"/>
      <c r="EM173" s="199">
        <f t="shared" ca="1" si="6879"/>
        <v>0</v>
      </c>
      <c r="EN173" s="199">
        <f t="shared" ca="1" si="6880"/>
        <v>0</v>
      </c>
      <c r="EO173" s="216">
        <f t="shared" ca="1" si="6735"/>
        <v>0</v>
      </c>
      <c r="EP173" s="202">
        <f t="shared" ca="1" si="6881"/>
        <v>92.602198635885671</v>
      </c>
      <c r="EQ173" s="203">
        <f t="shared" ca="1" si="6882"/>
        <v>45365.817111720389</v>
      </c>
      <c r="ER173" s="203">
        <f t="shared" ca="1" si="6883"/>
        <v>35487.410435643273</v>
      </c>
      <c r="ES173" s="204">
        <f t="shared" ca="1" si="6884"/>
        <v>0.05</v>
      </c>
      <c r="ET173" s="205"/>
      <c r="EU173" s="206">
        <f t="shared" ca="1" si="6885"/>
        <v>0</v>
      </c>
      <c r="EV173" s="206">
        <f t="shared" ca="1" si="6886"/>
        <v>0</v>
      </c>
      <c r="EW173" s="207">
        <f t="shared" ca="1" si="6736"/>
        <v>0</v>
      </c>
      <c r="EX173" s="541">
        <f t="shared" si="6887"/>
        <v>0</v>
      </c>
      <c r="EY173" s="541">
        <f t="shared" ca="1" si="5364"/>
        <v>0</v>
      </c>
      <c r="EZ173" s="541">
        <f t="shared" ca="1" si="6888"/>
        <v>0</v>
      </c>
      <c r="FA173" s="546">
        <f t="shared" ca="1" si="6737"/>
        <v>0</v>
      </c>
      <c r="FB173" s="212" t="str">
        <f t="shared" ca="1" si="6907"/>
        <v/>
      </c>
      <c r="FC173" s="214"/>
      <c r="FD173" s="489" t="str">
        <f t="shared" ca="1" si="6889"/>
        <v/>
      </c>
      <c r="FE173" s="215"/>
      <c r="FF173" s="199">
        <f t="shared" ca="1" si="6890"/>
        <v>0</v>
      </c>
      <c r="FG173" s="199">
        <f t="shared" ca="1" si="6891"/>
        <v>0</v>
      </c>
      <c r="FH173" s="216">
        <f t="shared" ca="1" si="6892"/>
        <v>0</v>
      </c>
      <c r="FI173" s="202">
        <f t="shared" ca="1" si="6893"/>
        <v>594.64230699125608</v>
      </c>
      <c r="FJ173" s="203">
        <f t="shared" ca="1" si="6894"/>
        <v>291315.26619501633</v>
      </c>
      <c r="FK173" s="203">
        <f t="shared" ca="1" si="6895"/>
        <v>227881.36698105154</v>
      </c>
      <c r="FL173" s="204">
        <f t="shared" ca="1" si="6896"/>
        <v>0.05</v>
      </c>
      <c r="FM173" s="205"/>
      <c r="FN173" s="206">
        <f t="shared" ca="1" si="6897"/>
        <v>0</v>
      </c>
      <c r="FO173" s="206">
        <f t="shared" ca="1" si="6898"/>
        <v>0</v>
      </c>
      <c r="FP173" s="207">
        <f t="shared" ca="1" si="6739"/>
        <v>0</v>
      </c>
      <c r="FQ173" s="541">
        <f t="shared" si="6899"/>
        <v>0</v>
      </c>
      <c r="FR173" s="541">
        <f t="shared" ca="1" si="5378"/>
        <v>0</v>
      </c>
      <c r="FS173" s="541">
        <f t="shared" ca="1" si="6900"/>
        <v>0</v>
      </c>
      <c r="FT173" s="546">
        <f t="shared" ca="1" si="6740"/>
        <v>0</v>
      </c>
      <c r="FU173" s="209" t="str">
        <f t="shared" ca="1" si="6908"/>
        <v/>
      </c>
    </row>
    <row r="174" spans="1:177" outlineLevel="2" x14ac:dyDescent="0.2">
      <c r="A174" s="534"/>
      <c r="B174" s="534"/>
      <c r="C174" s="535" t="str">
        <f t="shared" ca="1" si="6799"/>
        <v>US78463V1070:USD:P</v>
      </c>
      <c r="D174" s="536" t="str">
        <f t="shared" ca="1" si="6800"/>
        <v>US78463V1070</v>
      </c>
      <c r="E174" s="537" t="str">
        <f t="shared" ca="1" si="6800"/>
        <v>4258191</v>
      </c>
      <c r="F174" s="535" t="s">
        <v>395</v>
      </c>
      <c r="G174" s="538"/>
      <c r="H174" s="1729" t="str">
        <f t="shared" ca="1" si="6801"/>
        <v></v>
      </c>
      <c r="I174" s="1690" t="str">
        <f t="shared" ca="1" si="6802"/>
        <v/>
      </c>
      <c r="J174" s="1729" t="str">
        <f t="shared" ca="1" si="6803"/>
        <v/>
      </c>
      <c r="K174" s="1730" t="str">
        <f t="shared" ca="1" si="6803"/>
        <v/>
      </c>
      <c r="L174" s="1731" t="str">
        <f t="shared" ca="1" si="6804"/>
        <v/>
      </c>
      <c r="M174" s="534" t="str">
        <f t="shared" ca="1" si="6805"/>
        <v>Unit</v>
      </c>
      <c r="N174" s="539"/>
      <c r="O174" s="539"/>
      <c r="P174" s="540">
        <f t="shared" ref="P174:P195" ca="1" si="6910">SUMIF($AA$15:$CD$15,"I_Ctrlv",$AA174:$CD174)/$Q$2</f>
        <v>0</v>
      </c>
      <c r="Q174" s="541">
        <f t="array" aca="1" ref="Q174" ca="1">SUM(IF($AA$15:$FT$15="I_pos",AA174:FT174))</f>
        <v>110</v>
      </c>
      <c r="R174" s="541">
        <f t="array" aca="1" ref="R174" ca="1">SUM(IF($AA$15:$FT$15="P_Pos",AA174:FT174))</f>
        <v>-110.00000000000001</v>
      </c>
      <c r="S174" s="535"/>
      <c r="T174" s="541"/>
      <c r="U174" s="542">
        <f t="shared" ca="1" si="6806"/>
        <v>-4.8061224489796002E-2</v>
      </c>
      <c r="V174" s="541">
        <f t="array" aca="1" ref="V174" ca="1">SUM(IF($AA$15:$FT$15="O_Pos",AA174:FT174))</f>
        <v>0</v>
      </c>
      <c r="W174" s="535" t="str">
        <f t="shared" ref="W174:W175" ca="1" si="6911">OFFSET(Origine,MATCH($F174,Descrizioni,0),MATCH(W$15,Intestazioni,0)-1,1,1)</f>
        <v>USD</v>
      </c>
      <c r="X174" s="543">
        <f t="shared" ca="1" si="6808"/>
        <v>466.45</v>
      </c>
      <c r="Y174" s="544">
        <f t="shared" ca="1" si="6809"/>
        <v>0</v>
      </c>
      <c r="Z174" s="545">
        <f t="shared" ref="Z174" ca="1" si="6912">_xlfn.NUMBERVALUE(OFFSET(Origine,MATCH(W174&amp;"/"&amp;MRif,LUKB_Name,0),MATCH("Price",Intestazioni,0)-1,1,1))</f>
        <v>0.78225</v>
      </c>
      <c r="AA174" s="214"/>
      <c r="AB174" s="489" t="str">
        <f t="shared" ref="AB174" ca="1" si="6913">IFERROR($X174/AC174-1,"")</f>
        <v/>
      </c>
      <c r="AC174" s="215"/>
      <c r="AD174" s="199">
        <f t="shared" ref="AD174" ca="1" si="6914">AA174*$X174</f>
        <v>0</v>
      </c>
      <c r="AE174" s="199">
        <f t="shared" ref="AE174" ca="1" si="6915">AD174*$Z174</f>
        <v>0</v>
      </c>
      <c r="AF174" s="216">
        <f t="shared" ref="AF174" ca="1" si="6916">IFERROR(AE174/AA$4,0)</f>
        <v>0</v>
      </c>
      <c r="AG174" s="202">
        <f t="shared" ref="AG174" ca="1" si="6917">AH174/$X174</f>
        <v>0</v>
      </c>
      <c r="AH174" s="203">
        <f t="shared" ref="AH174" ca="1" si="6918">AI174/$Z174</f>
        <v>0</v>
      </c>
      <c r="AI174" s="203">
        <f t="shared" ref="AI174" ca="1" si="6919">AJ174*AA$4</f>
        <v>0</v>
      </c>
      <c r="AJ174" s="204">
        <f t="shared" ca="1" si="6817"/>
        <v>0</v>
      </c>
      <c r="AK174" s="205"/>
      <c r="AL174" s="206">
        <f t="shared" ref="AL174" ca="1" si="6920">AK174*$X174</f>
        <v>0</v>
      </c>
      <c r="AM174" s="206">
        <f t="shared" ref="AM174" ca="1" si="6921">AL174*$Z174</f>
        <v>0</v>
      </c>
      <c r="AN174" s="207">
        <f t="shared" ref="AN174" ca="1" si="6922">IFERROR(AM174/AA$4,0)</f>
        <v>0</v>
      </c>
      <c r="AO174" s="541">
        <f t="shared" si="6820"/>
        <v>0</v>
      </c>
      <c r="AP174" s="541">
        <f t="shared" ref="AP174" ca="1" si="6923">AD174+IF($T174 ="",AL174,0)</f>
        <v>0</v>
      </c>
      <c r="AQ174" s="541">
        <f t="shared" ref="AQ174" ca="1" si="6924">AP174*$Z174</f>
        <v>0</v>
      </c>
      <c r="AR174" s="546">
        <f t="shared" ref="AR174" ca="1" si="6925">IFERROR(AQ174/AA$4,0)</f>
        <v>0</v>
      </c>
      <c r="AS174" s="209" t="str">
        <f t="shared" ref="AS174" ca="1" si="6926">IF(SUM(AF174,AN174,AR174)&lt;&gt;0,"V","")</f>
        <v/>
      </c>
      <c r="AT174" s="214"/>
      <c r="AU174" s="489" t="str">
        <f t="shared" ref="AU174" ca="1" si="6927">IFERROR($X174/AV174-1,"")</f>
        <v/>
      </c>
      <c r="AV174" s="215"/>
      <c r="AW174" s="199">
        <f ca="1">AT174*$X174</f>
        <v>0</v>
      </c>
      <c r="AX174" s="199">
        <f ca="1">AW174*$Z174</f>
        <v>0</v>
      </c>
      <c r="AY174" s="216">
        <f t="shared" ref="AY174" ca="1" si="6928">IFERROR(AX174/AT$4,0)</f>
        <v>0</v>
      </c>
      <c r="AZ174" s="202">
        <f t="shared" ref="AZ174" ca="1" si="6929">BA174/$X174</f>
        <v>0</v>
      </c>
      <c r="BA174" s="203">
        <f t="shared" ref="BA174" ca="1" si="6930">BB174/$Z174</f>
        <v>0</v>
      </c>
      <c r="BB174" s="203">
        <f t="shared" ref="BB174" ca="1" si="6931">BC174*AT$4</f>
        <v>0</v>
      </c>
      <c r="BC174" s="204">
        <f t="shared" ca="1" si="6828"/>
        <v>0</v>
      </c>
      <c r="BD174" s="205"/>
      <c r="BE174" s="206">
        <f ca="1">BD174*$X174</f>
        <v>0</v>
      </c>
      <c r="BF174" s="206">
        <f ca="1">BE174*$Z174</f>
        <v>0</v>
      </c>
      <c r="BG174" s="207">
        <f t="shared" ref="BG174" ca="1" si="6932">IFERROR(BF174/AT$4,0)</f>
        <v>0</v>
      </c>
      <c r="BH174" s="541">
        <f t="shared" si="6831"/>
        <v>0</v>
      </c>
      <c r="BI174" s="541">
        <f t="shared" ref="BI174" ca="1" si="6933">AW174+IF($T174 ="",BE174,0)</f>
        <v>0</v>
      </c>
      <c r="BJ174" s="541">
        <f ca="1">BI174*$Z174</f>
        <v>0</v>
      </c>
      <c r="BK174" s="546">
        <f t="shared" ref="BK174" ca="1" si="6934">IFERROR(BJ174/AT$4,0)</f>
        <v>0</v>
      </c>
      <c r="BL174" s="211" t="str">
        <f t="shared" ref="BL174" ca="1" si="6935">IF(SUM(AY174,BG174,BK174)&lt;&gt;0,"V","")</f>
        <v/>
      </c>
      <c r="BM174" s="214"/>
      <c r="BN174" s="489" t="str">
        <f t="shared" ref="BN174" ca="1" si="6936">IFERROR($X174/BO174-1,"")</f>
        <v/>
      </c>
      <c r="BO174" s="215"/>
      <c r="BP174" s="199">
        <f ca="1">BM174*$X174</f>
        <v>0</v>
      </c>
      <c r="BQ174" s="199">
        <f ca="1">BP174*$Z174</f>
        <v>0</v>
      </c>
      <c r="BR174" s="216">
        <f t="shared" ref="BR174" ca="1" si="6937">IFERROR(BQ174/BM$4,0)</f>
        <v>0</v>
      </c>
      <c r="BS174" s="202">
        <f t="shared" ref="BS174" ca="1" si="6938">BT174/$X174</f>
        <v>0</v>
      </c>
      <c r="BT174" s="203">
        <f t="shared" ref="BT174" ca="1" si="6939">BU174/$Z174</f>
        <v>0</v>
      </c>
      <c r="BU174" s="203">
        <f t="shared" ref="BU174" ca="1" si="6940">BV174*BM$4</f>
        <v>0</v>
      </c>
      <c r="BV174" s="204">
        <f t="shared" ca="1" si="6839"/>
        <v>0</v>
      </c>
      <c r="BW174" s="205"/>
      <c r="BX174" s="206">
        <f ca="1">BW174*$X174</f>
        <v>0</v>
      </c>
      <c r="BY174" s="206">
        <f ca="1">BX174*$Z174</f>
        <v>0</v>
      </c>
      <c r="BZ174" s="207">
        <f t="shared" ref="BZ174" ca="1" si="6941">IFERROR(BY174/BM$4,0)</f>
        <v>0</v>
      </c>
      <c r="CA174" s="541">
        <f t="shared" si="6842"/>
        <v>0</v>
      </c>
      <c r="CB174" s="541">
        <f t="shared" ref="CB174" ca="1" si="6942">BP174+IF($T174 ="",BX174,0)</f>
        <v>0</v>
      </c>
      <c r="CC174" s="541">
        <f ca="1">CB174*$Z174</f>
        <v>0</v>
      </c>
      <c r="CD174" s="546">
        <f t="shared" ref="CD174" ca="1" si="6943">IFERROR(CC174/BM$4,0)</f>
        <v>0</v>
      </c>
      <c r="CE174" s="212" t="str">
        <f t="shared" ref="CE174" ca="1" si="6944">IF(SUM(BR174,BZ174,CD174)&lt;&gt;0,"V","")</f>
        <v/>
      </c>
      <c r="CF174" s="214"/>
      <c r="CG174" s="489" t="str">
        <f t="shared" ref="CG174" ca="1" si="6945">IFERROR($X174/CH174-1,"")</f>
        <v/>
      </c>
      <c r="CH174" s="215"/>
      <c r="CI174" s="199">
        <f t="shared" ref="CI174" ca="1" si="6946">CF174*$X174</f>
        <v>0</v>
      </c>
      <c r="CJ174" s="199">
        <f t="shared" ref="CJ174" ca="1" si="6947">CI174*$Z174</f>
        <v>0</v>
      </c>
      <c r="CK174" s="216">
        <f t="shared" ref="CK174" ca="1" si="6948">IFERROR(CJ174/CF$4,0)</f>
        <v>0</v>
      </c>
      <c r="CL174" s="202">
        <f t="shared" ref="CL174" ca="1" si="6949">CM174/$X174</f>
        <v>0</v>
      </c>
      <c r="CM174" s="203">
        <f t="shared" ref="CM174" ca="1" si="6950">CN174/$Z174</f>
        <v>0</v>
      </c>
      <c r="CN174" s="203">
        <f t="shared" ref="CN174" ca="1" si="6951">CO174*CF$4</f>
        <v>0</v>
      </c>
      <c r="CO174" s="204">
        <f t="shared" ca="1" si="6850"/>
        <v>0</v>
      </c>
      <c r="CP174" s="205"/>
      <c r="CQ174" s="206">
        <f t="shared" ref="CQ174" ca="1" si="6952">CP174*$X174</f>
        <v>0</v>
      </c>
      <c r="CR174" s="206">
        <f t="shared" ref="CR174" ca="1" si="6953">CQ174*$Z174</f>
        <v>0</v>
      </c>
      <c r="CS174" s="207">
        <f t="shared" ref="CS174" ca="1" si="6954">IFERROR(CR174/CF$4,0)</f>
        <v>0</v>
      </c>
      <c r="CT174" s="541">
        <f t="shared" si="6853"/>
        <v>0</v>
      </c>
      <c r="CU174" s="541">
        <f t="shared" ref="CU174" ca="1" si="6955">CI174+IF($T174 ="",CQ174,0)</f>
        <v>0</v>
      </c>
      <c r="CV174" s="541">
        <f t="shared" ref="CV174" ca="1" si="6956">CU174*$Z174</f>
        <v>0</v>
      </c>
      <c r="CW174" s="546">
        <f t="shared" ref="CW174" ca="1" si="6957">IFERROR(CV174/CF$4,0)</f>
        <v>0</v>
      </c>
      <c r="CX174" s="211" t="str">
        <f t="shared" ref="CX174" ca="1" si="6958">IF(SUM(CK174,CS174,CW174)&lt;&gt;0,"V","")</f>
        <v/>
      </c>
      <c r="CY174" s="197"/>
      <c r="CZ174" s="489" t="str">
        <f t="shared" ref="CZ174" ca="1" si="6959">IFERROR($X174/DA174-1,"")</f>
        <v/>
      </c>
      <c r="DA174" s="395"/>
      <c r="DB174" s="199">
        <f t="shared" ref="DB174" ca="1" si="6960">CY174*$X174</f>
        <v>0</v>
      </c>
      <c r="DC174" s="199">
        <f t="shared" ref="DC174" ca="1" si="6961">DB174*$Z174</f>
        <v>0</v>
      </c>
      <c r="DD174" s="216">
        <f t="shared" ref="DD174" ca="1" si="6962">IFERROR(DC174/CY$4,0)</f>
        <v>0</v>
      </c>
      <c r="DE174" s="202">
        <f t="shared" ref="DE174" ca="1" si="6963">DF174/$X174</f>
        <v>0</v>
      </c>
      <c r="DF174" s="203">
        <f t="shared" ref="DF174" ca="1" si="6964">DG174/$Z174</f>
        <v>0</v>
      </c>
      <c r="DG174" s="203">
        <f t="shared" ref="DG174" ca="1" si="6965">DH174*CY$4</f>
        <v>0</v>
      </c>
      <c r="DH174" s="204">
        <f t="shared" ca="1" si="6861"/>
        <v>0</v>
      </c>
      <c r="DI174" s="205"/>
      <c r="DJ174" s="206">
        <f t="shared" ref="DJ174" ca="1" si="6966">DI174*$X174</f>
        <v>0</v>
      </c>
      <c r="DK174" s="206">
        <f t="shared" ref="DK174" ca="1" si="6967">DJ174*$Z174</f>
        <v>0</v>
      </c>
      <c r="DL174" s="207">
        <f t="shared" ref="DL174" ca="1" si="6968">IFERROR(DK174/CY$4,0)</f>
        <v>0</v>
      </c>
      <c r="DM174" s="541">
        <f t="shared" si="6864"/>
        <v>0</v>
      </c>
      <c r="DN174" s="541">
        <f t="shared" ref="DN174" ca="1" si="6969">DB174+IF($T174 ="",DJ174,0)</f>
        <v>0</v>
      </c>
      <c r="DO174" s="541">
        <f t="shared" ref="DO174" ca="1" si="6970">DN174*$Z174</f>
        <v>0</v>
      </c>
      <c r="DP174" s="546">
        <f t="shared" ref="DP174" ca="1" si="6971">IFERROR(DO174/CY$4,0)</f>
        <v>0</v>
      </c>
      <c r="DQ174" s="209" t="str">
        <f t="shared" ref="DQ174" ca="1" si="6972">IF(SUM(DD174,DL174,DP174)&lt;&gt;0,"V","")</f>
        <v/>
      </c>
      <c r="DR174" s="197">
        <f>70+40</f>
        <v>110</v>
      </c>
      <c r="DS174" s="489">
        <f t="shared" ref="DS174" ca="1" si="6973">IFERROR($X174/DT174-1,"")</f>
        <v>0.2815799129436336</v>
      </c>
      <c r="DT174" s="395">
        <v>363.9648181818182</v>
      </c>
      <c r="DU174" s="199">
        <f t="shared" ref="DU174" ca="1" si="6974">DR174*$X174</f>
        <v>51309.5</v>
      </c>
      <c r="DV174" s="199">
        <f t="shared" ref="DV174" ca="1" si="6975">DU174*$Z174</f>
        <v>40136.856375000003</v>
      </c>
      <c r="DW174" s="216">
        <f t="shared" ref="DW174" ca="1" si="6976">IFERROR(DV174/DR$4,0)</f>
        <v>5.7194577492635373E-2</v>
      </c>
      <c r="DX174" s="202">
        <f t="shared" ref="DX174" ca="1" si="6977">DY174/$X174</f>
        <v>-110.00000000000001</v>
      </c>
      <c r="DY174" s="203">
        <f t="shared" ref="DY174" ca="1" si="6978">DZ174/$Z174</f>
        <v>-51309.500000000007</v>
      </c>
      <c r="DZ174" s="203">
        <f t="shared" ref="DZ174" ca="1" si="6979">EA174*DR$4</f>
        <v>-40136.856375000003</v>
      </c>
      <c r="EA174" s="204">
        <f t="shared" ca="1" si="6872"/>
        <v>-5.7194577492635373E-2</v>
      </c>
      <c r="EB174" s="205"/>
      <c r="EC174" s="206">
        <f t="shared" ref="EC174" ca="1" si="6980">EB174*$X174</f>
        <v>0</v>
      </c>
      <c r="ED174" s="206">
        <f t="shared" ref="ED174" ca="1" si="6981">EC174*$Z174</f>
        <v>0</v>
      </c>
      <c r="EE174" s="207">
        <f t="shared" ref="EE174" ca="1" si="6982">IFERROR(ED174/DR$4,0)</f>
        <v>0</v>
      </c>
      <c r="EF174" s="541">
        <f t="shared" si="6875"/>
        <v>110</v>
      </c>
      <c r="EG174" s="541">
        <f t="shared" ref="EG174" ca="1" si="6983">DU174+IF($T174 ="",EC174,0)</f>
        <v>51309.5</v>
      </c>
      <c r="EH174" s="541">
        <f t="shared" ref="EH174" ca="1" si="6984">EG174*$Z174</f>
        <v>40136.856375000003</v>
      </c>
      <c r="EI174" s="546">
        <f t="shared" ref="EI174" ca="1" si="6985">IFERROR(EH174/DR$4,0)</f>
        <v>5.7194577492635373E-2</v>
      </c>
      <c r="EJ174" s="214"/>
      <c r="EK174" s="489" t="str">
        <f t="shared" ref="EK174" ca="1" si="6986">IFERROR($X174/EL174-1,"")</f>
        <v/>
      </c>
      <c r="EL174" s="222"/>
      <c r="EM174" s="199">
        <f ca="1">EJ174*$X174</f>
        <v>0</v>
      </c>
      <c r="EN174" s="199">
        <f ca="1">EM174*$Z174</f>
        <v>0</v>
      </c>
      <c r="EO174" s="216">
        <f t="shared" ref="EO174" ca="1" si="6987">IFERROR(EN174/EJ$4,0)</f>
        <v>0</v>
      </c>
      <c r="EP174" s="202">
        <f t="shared" ref="EP174" ca="1" si="6988">EQ174/$X174</f>
        <v>0</v>
      </c>
      <c r="EQ174" s="203">
        <f t="shared" ref="EQ174" ca="1" si="6989">ER174/$Z174</f>
        <v>0</v>
      </c>
      <c r="ER174" s="203">
        <f t="shared" ref="ER174" ca="1" si="6990">ES174*EJ$4</f>
        <v>0</v>
      </c>
      <c r="ES174" s="204">
        <f t="shared" ca="1" si="6884"/>
        <v>0</v>
      </c>
      <c r="ET174" s="205"/>
      <c r="EU174" s="206">
        <f ca="1">ET174*$X174</f>
        <v>0</v>
      </c>
      <c r="EV174" s="206">
        <f ca="1">EU174*$Z174</f>
        <v>0</v>
      </c>
      <c r="EW174" s="207">
        <f t="shared" ref="EW174" ca="1" si="6991">IFERROR(EV174/EJ$4,0)</f>
        <v>0</v>
      </c>
      <c r="EX174" s="541">
        <f t="shared" si="6887"/>
        <v>0</v>
      </c>
      <c r="EY174" s="541">
        <f t="shared" ref="EY174" ca="1" si="6992">EM174+IF($T174 ="",EU174,0)</f>
        <v>0</v>
      </c>
      <c r="EZ174" s="541">
        <f ca="1">EY174*$Z174</f>
        <v>0</v>
      </c>
      <c r="FA174" s="546">
        <f t="shared" ref="FA174" ca="1" si="6993">IFERROR(EZ174/EJ$4,0)</f>
        <v>0</v>
      </c>
      <c r="FB174" s="212" t="str">
        <f t="shared" ref="FB174" ca="1" si="6994">IF(SUM(EO174,EW174,FA174)&lt;&gt;0,"V","")</f>
        <v/>
      </c>
      <c r="FC174" s="214"/>
      <c r="FD174" s="489" t="str">
        <f t="shared" ref="FD174" ca="1" si="6995">IFERROR($X174/FE174-1,"")</f>
        <v/>
      </c>
      <c r="FE174" s="215"/>
      <c r="FF174" s="199">
        <f t="shared" ref="FF174" ca="1" si="6996">FC174*$X174</f>
        <v>0</v>
      </c>
      <c r="FG174" s="199">
        <f t="shared" ref="FG174" ca="1" si="6997">FF174*$Z174</f>
        <v>0</v>
      </c>
      <c r="FH174" s="216">
        <f t="shared" ref="FH174" ca="1" si="6998">IFERROR(FG174/FC$4,0)</f>
        <v>0</v>
      </c>
      <c r="FI174" s="202">
        <f t="shared" ref="FI174" ca="1" si="6999">FJ174/$X174</f>
        <v>0</v>
      </c>
      <c r="FJ174" s="203">
        <f t="shared" ref="FJ174" ca="1" si="7000">FK174/$Z174</f>
        <v>0</v>
      </c>
      <c r="FK174" s="203">
        <f t="shared" ref="FK174" ca="1" si="7001">FL174*FC$4</f>
        <v>0</v>
      </c>
      <c r="FL174" s="204">
        <f t="shared" ca="1" si="6896"/>
        <v>0</v>
      </c>
      <c r="FM174" s="205"/>
      <c r="FN174" s="206">
        <f t="shared" ref="FN174" ca="1" si="7002">FM174*$X174</f>
        <v>0</v>
      </c>
      <c r="FO174" s="206">
        <f t="shared" ref="FO174" ca="1" si="7003">FN174*$Z174</f>
        <v>0</v>
      </c>
      <c r="FP174" s="207">
        <f t="shared" ref="FP174" ca="1" si="7004">IFERROR(FO174/FC$4,0)</f>
        <v>0</v>
      </c>
      <c r="FQ174" s="541">
        <f t="shared" si="6899"/>
        <v>0</v>
      </c>
      <c r="FR174" s="541">
        <f t="shared" ref="FR174" ca="1" si="7005">FF174+IF($T174 ="",FN174,0)</f>
        <v>0</v>
      </c>
      <c r="FS174" s="541">
        <f t="shared" ref="FS174" ca="1" si="7006">FR174*$Z174</f>
        <v>0</v>
      </c>
      <c r="FT174" s="546">
        <f t="shared" ref="FT174" ca="1" si="7007">IFERROR(FS174/FC$4,0)</f>
        <v>0</v>
      </c>
      <c r="FU174" s="209" t="str">
        <f t="shared" ref="FU174" ca="1" si="7008">IF(SUM(FH174,FP174,FT174)&lt;&gt;0,"V","")</f>
        <v/>
      </c>
    </row>
    <row r="175" spans="1:177" outlineLevel="2" x14ac:dyDescent="0.2">
      <c r="A175" s="534"/>
      <c r="B175" s="534"/>
      <c r="C175" s="535" t="str">
        <f t="shared" ca="1" si="6799"/>
        <v>CH0047533549:USD</v>
      </c>
      <c r="D175" s="536" t="str">
        <f t="shared" ca="1" si="6800"/>
        <v>CH0047533549</v>
      </c>
      <c r="E175" s="537" t="str">
        <f t="shared" ca="1" si="6800"/>
        <v>4753354</v>
      </c>
      <c r="F175" s="535" t="s">
        <v>790</v>
      </c>
      <c r="G175" s="538"/>
      <c r="H175" s="1729" t="str">
        <f t="shared" ca="1" si="6801"/>
        <v></v>
      </c>
      <c r="I175" s="1690" t="str">
        <f t="shared" ca="1" si="6802"/>
        <v/>
      </c>
      <c r="J175" s="1729" t="str">
        <f t="shared" ca="1" si="6803"/>
        <v/>
      </c>
      <c r="K175" s="1730" t="str">
        <f t="shared" ca="1" si="6803"/>
        <v/>
      </c>
      <c r="L175" s="1731" t="str">
        <f t="shared" ca="1" si="6804"/>
        <v/>
      </c>
      <c r="M175" s="534" t="str">
        <f t="shared" ca="1" si="6805"/>
        <v>Unit</v>
      </c>
      <c r="N175" s="539"/>
      <c r="O175" s="539"/>
      <c r="P175" s="540">
        <f t="shared" ca="1" si="6910"/>
        <v>0</v>
      </c>
      <c r="Q175" s="541">
        <f t="array" aca="1" ref="Q175" ca="1">SUM(IF($AA$15:$FT$15="I_pos",AA175:FT175))</f>
        <v>29</v>
      </c>
      <c r="R175" s="541">
        <f t="array" aca="1" ref="R175" ca="1">SUM(IF($AA$15:$FT$15="P_Pos",AA175:FT175))</f>
        <v>-29</v>
      </c>
      <c r="S175" s="535"/>
      <c r="T175" s="541"/>
      <c r="U175" s="542">
        <f t="shared" ca="1" si="6806"/>
        <v>-3.5085945399393401E-2</v>
      </c>
      <c r="V175" s="541">
        <f t="array" aca="1" ref="V175" ca="1">SUM(IF($AA$15:$FT$15="O_Pos",AA175:FT175))</f>
        <v>0</v>
      </c>
      <c r="W175" s="535" t="str">
        <f t="shared" ca="1" si="6911"/>
        <v>USD</v>
      </c>
      <c r="X175" s="543">
        <f t="shared" ca="1" si="6808"/>
        <v>4771.5</v>
      </c>
      <c r="Y175" s="544">
        <f t="shared" ca="1" si="6809"/>
        <v>0</v>
      </c>
      <c r="Z175" s="545">
        <f t="shared" ca="1" si="6810"/>
        <v>0.78225</v>
      </c>
      <c r="AA175" s="214"/>
      <c r="AB175" s="489" t="str">
        <f t="shared" ca="1" si="6811"/>
        <v/>
      </c>
      <c r="AC175" s="215"/>
      <c r="AD175" s="199">
        <f t="shared" ca="1" si="6812"/>
        <v>0</v>
      </c>
      <c r="AE175" s="199">
        <f t="shared" ca="1" si="6813"/>
        <v>0</v>
      </c>
      <c r="AF175" s="216">
        <f t="shared" ca="1" si="6726"/>
        <v>0</v>
      </c>
      <c r="AG175" s="202">
        <f t="shared" ca="1" si="6814"/>
        <v>0</v>
      </c>
      <c r="AH175" s="203">
        <f t="shared" ca="1" si="6815"/>
        <v>0</v>
      </c>
      <c r="AI175" s="203">
        <f t="shared" ca="1" si="6816"/>
        <v>0</v>
      </c>
      <c r="AJ175" s="204">
        <f t="shared" ca="1" si="6817"/>
        <v>0</v>
      </c>
      <c r="AK175" s="205"/>
      <c r="AL175" s="206">
        <f t="shared" ca="1" si="6818"/>
        <v>0</v>
      </c>
      <c r="AM175" s="206">
        <f t="shared" ca="1" si="6819"/>
        <v>0</v>
      </c>
      <c r="AN175" s="207">
        <f t="shared" ca="1" si="6727"/>
        <v>0</v>
      </c>
      <c r="AO175" s="541">
        <f t="shared" si="6820"/>
        <v>0</v>
      </c>
      <c r="AP175" s="541">
        <f t="shared" ca="1" si="5295"/>
        <v>0</v>
      </c>
      <c r="AQ175" s="541">
        <f t="shared" ca="1" si="6821"/>
        <v>0</v>
      </c>
      <c r="AR175" s="546">
        <f t="shared" ca="1" si="6728"/>
        <v>0</v>
      </c>
      <c r="AS175" s="209" t="str">
        <f t="shared" ca="1" si="6902"/>
        <v/>
      </c>
      <c r="AT175" s="214"/>
      <c r="AU175" s="489" t="str">
        <f t="shared" ca="1" si="6822"/>
        <v/>
      </c>
      <c r="AV175" s="215"/>
      <c r="AW175" s="199">
        <f ca="1">AT175*$X175</f>
        <v>0</v>
      </c>
      <c r="AX175" s="199">
        <f ca="1">AW175*$Z175</f>
        <v>0</v>
      </c>
      <c r="AY175" s="216">
        <f t="shared" ca="1" si="6729"/>
        <v>0</v>
      </c>
      <c r="AZ175" s="202">
        <f t="shared" ca="1" si="6825"/>
        <v>0</v>
      </c>
      <c r="BA175" s="203">
        <f t="shared" ca="1" si="6826"/>
        <v>0</v>
      </c>
      <c r="BB175" s="203">
        <f t="shared" ca="1" si="6827"/>
        <v>0</v>
      </c>
      <c r="BC175" s="204">
        <f t="shared" ca="1" si="6828"/>
        <v>0</v>
      </c>
      <c r="BD175" s="205"/>
      <c r="BE175" s="206">
        <f ca="1">BD175*$X175</f>
        <v>0</v>
      </c>
      <c r="BF175" s="206">
        <f ca="1">BE175*$Z175</f>
        <v>0</v>
      </c>
      <c r="BG175" s="207">
        <f t="shared" ca="1" si="6730"/>
        <v>0</v>
      </c>
      <c r="BH175" s="541">
        <f t="shared" si="6831"/>
        <v>0</v>
      </c>
      <c r="BI175" s="541">
        <f t="shared" ca="1" si="5308"/>
        <v>0</v>
      </c>
      <c r="BJ175" s="541">
        <f ca="1">BI175*$Z175</f>
        <v>0</v>
      </c>
      <c r="BK175" s="546">
        <f t="shared" ca="1" si="6731"/>
        <v>0</v>
      </c>
      <c r="BL175" s="211" t="str">
        <f t="shared" ca="1" si="6903"/>
        <v/>
      </c>
      <c r="BM175" s="214"/>
      <c r="BN175" s="489" t="str">
        <f t="shared" ca="1" si="6833"/>
        <v/>
      </c>
      <c r="BO175" s="215"/>
      <c r="BP175" s="199">
        <f ca="1">BM175*$X175</f>
        <v>0</v>
      </c>
      <c r="BQ175" s="199">
        <f ca="1">BP175*$Z175</f>
        <v>0</v>
      </c>
      <c r="BR175" s="216">
        <f t="shared" ca="1" si="6732"/>
        <v>0</v>
      </c>
      <c r="BS175" s="202">
        <f t="shared" ca="1" si="6836"/>
        <v>0</v>
      </c>
      <c r="BT175" s="203">
        <f t="shared" ca="1" si="6837"/>
        <v>0</v>
      </c>
      <c r="BU175" s="203">
        <f t="shared" ca="1" si="6838"/>
        <v>0</v>
      </c>
      <c r="BV175" s="204">
        <f t="shared" ca="1" si="6839"/>
        <v>0</v>
      </c>
      <c r="BW175" s="205"/>
      <c r="BX175" s="206">
        <f ca="1">BW175*$X175</f>
        <v>0</v>
      </c>
      <c r="BY175" s="206">
        <f ca="1">BX175*$Z175</f>
        <v>0</v>
      </c>
      <c r="BZ175" s="207">
        <f t="shared" ca="1" si="6733"/>
        <v>0</v>
      </c>
      <c r="CA175" s="541">
        <f t="shared" si="6842"/>
        <v>0</v>
      </c>
      <c r="CB175" s="541">
        <f t="shared" ca="1" si="5321"/>
        <v>0</v>
      </c>
      <c r="CC175" s="541">
        <f ca="1">CB175*$Z175</f>
        <v>0</v>
      </c>
      <c r="CD175" s="546">
        <f t="shared" ca="1" si="6734"/>
        <v>0</v>
      </c>
      <c r="CE175" s="212" t="str">
        <f t="shared" ca="1" si="6904"/>
        <v/>
      </c>
      <c r="CF175" s="214"/>
      <c r="CG175" s="489" t="str">
        <f t="shared" ca="1" si="6844"/>
        <v/>
      </c>
      <c r="CH175" s="215"/>
      <c r="CI175" s="199">
        <f t="shared" ca="1" si="6845"/>
        <v>0</v>
      </c>
      <c r="CJ175" s="199">
        <f t="shared" ca="1" si="6846"/>
        <v>0</v>
      </c>
      <c r="CK175" s="216">
        <f t="shared" ca="1" si="6606"/>
        <v>0</v>
      </c>
      <c r="CL175" s="202">
        <f t="shared" ca="1" si="6847"/>
        <v>0</v>
      </c>
      <c r="CM175" s="203">
        <f t="shared" ca="1" si="6848"/>
        <v>0</v>
      </c>
      <c r="CN175" s="203">
        <f t="shared" ca="1" si="6849"/>
        <v>0</v>
      </c>
      <c r="CO175" s="204">
        <f t="shared" ca="1" si="6850"/>
        <v>0</v>
      </c>
      <c r="CP175" s="205"/>
      <c r="CQ175" s="206">
        <f t="shared" ca="1" si="6851"/>
        <v>0</v>
      </c>
      <c r="CR175" s="206">
        <f t="shared" ca="1" si="6852"/>
        <v>0</v>
      </c>
      <c r="CS175" s="207">
        <f t="shared" ca="1" si="6607"/>
        <v>0</v>
      </c>
      <c r="CT175" s="541">
        <f t="shared" si="6853"/>
        <v>0</v>
      </c>
      <c r="CU175" s="541">
        <f t="shared" ca="1" si="5334"/>
        <v>0</v>
      </c>
      <c r="CV175" s="541">
        <f t="shared" ca="1" si="6854"/>
        <v>0</v>
      </c>
      <c r="CW175" s="546">
        <f t="shared" ca="1" si="6608"/>
        <v>0</v>
      </c>
      <c r="CX175" s="211" t="str">
        <f t="shared" ca="1" si="6905"/>
        <v/>
      </c>
      <c r="CY175" s="197"/>
      <c r="CZ175" s="489" t="str">
        <f t="shared" ca="1" si="6855"/>
        <v/>
      </c>
      <c r="DA175" s="395"/>
      <c r="DB175" s="199">
        <f t="shared" ca="1" si="6856"/>
        <v>0</v>
      </c>
      <c r="DC175" s="199">
        <f t="shared" ca="1" si="6857"/>
        <v>0</v>
      </c>
      <c r="DD175" s="216">
        <f t="shared" ref="DD175:DD197" ca="1" si="7009">IFERROR(DC175/CY$4,0)</f>
        <v>0</v>
      </c>
      <c r="DE175" s="202">
        <f t="shared" ca="1" si="6858"/>
        <v>0</v>
      </c>
      <c r="DF175" s="203">
        <f t="shared" ca="1" si="6859"/>
        <v>0</v>
      </c>
      <c r="DG175" s="203">
        <f t="shared" ca="1" si="6860"/>
        <v>0</v>
      </c>
      <c r="DH175" s="204">
        <f t="shared" ca="1" si="6861"/>
        <v>0</v>
      </c>
      <c r="DI175" s="205"/>
      <c r="DJ175" s="206">
        <f t="shared" ca="1" si="6862"/>
        <v>0</v>
      </c>
      <c r="DK175" s="206">
        <f t="shared" ca="1" si="6863"/>
        <v>0</v>
      </c>
      <c r="DL175" s="207">
        <f t="shared" ref="DL175:DL197" ca="1" si="7010">IFERROR(DK175/CY$4,0)</f>
        <v>0</v>
      </c>
      <c r="DM175" s="541">
        <f t="shared" si="6864"/>
        <v>0</v>
      </c>
      <c r="DN175" s="541">
        <f t="shared" ca="1" si="5338"/>
        <v>0</v>
      </c>
      <c r="DO175" s="541">
        <f t="shared" ca="1" si="6865"/>
        <v>0</v>
      </c>
      <c r="DP175" s="546">
        <f t="shared" ca="1" si="6609"/>
        <v>0</v>
      </c>
      <c r="DQ175" s="209" t="str">
        <f t="shared" ca="1" si="6906"/>
        <v/>
      </c>
      <c r="DR175" s="197"/>
      <c r="DS175" s="489" t="str">
        <f t="shared" ca="1" si="6866"/>
        <v/>
      </c>
      <c r="DT175" s="395"/>
      <c r="DU175" s="199">
        <f t="shared" ca="1" si="6867"/>
        <v>0</v>
      </c>
      <c r="DV175" s="199">
        <f t="shared" ca="1" si="6868"/>
        <v>0</v>
      </c>
      <c r="DW175" s="216">
        <f t="shared" ca="1" si="5343"/>
        <v>0</v>
      </c>
      <c r="DX175" s="202">
        <f t="shared" ca="1" si="6869"/>
        <v>0</v>
      </c>
      <c r="DY175" s="203">
        <f t="shared" ca="1" si="6870"/>
        <v>0</v>
      </c>
      <c r="DZ175" s="203">
        <f t="shared" ca="1" si="6871"/>
        <v>0</v>
      </c>
      <c r="EA175" s="204">
        <f t="shared" ca="1" si="6872"/>
        <v>0</v>
      </c>
      <c r="EB175" s="205"/>
      <c r="EC175" s="206">
        <f t="shared" ca="1" si="6873"/>
        <v>0</v>
      </c>
      <c r="ED175" s="206">
        <f t="shared" ca="1" si="6874"/>
        <v>0</v>
      </c>
      <c r="EE175" s="207">
        <f t="shared" ca="1" si="5349"/>
        <v>0</v>
      </c>
      <c r="EF175" s="541">
        <f t="shared" si="6875"/>
        <v>0</v>
      </c>
      <c r="EG175" s="541">
        <f t="shared" ca="1" si="6876"/>
        <v>0</v>
      </c>
      <c r="EH175" s="541">
        <f t="shared" ca="1" si="6877"/>
        <v>0</v>
      </c>
      <c r="EI175" s="546">
        <f t="shared" ca="1" si="6610"/>
        <v>0</v>
      </c>
      <c r="EJ175" s="214">
        <v>29</v>
      </c>
      <c r="EK175" s="489">
        <f t="shared" ca="1" si="6878"/>
        <v>4.2248840922181365</v>
      </c>
      <c r="EL175" s="222">
        <v>913.226</v>
      </c>
      <c r="EM175" s="199">
        <f ca="1">EJ175*$X175</f>
        <v>138373.5</v>
      </c>
      <c r="EN175" s="199">
        <f ca="1">EM175*$Z175</f>
        <v>108242.670375</v>
      </c>
      <c r="EO175" s="216">
        <f t="shared" ca="1" si="6735"/>
        <v>0.15250855028052701</v>
      </c>
      <c r="EP175" s="202">
        <f t="shared" ca="1" si="6881"/>
        <v>-29</v>
      </c>
      <c r="EQ175" s="203">
        <f t="shared" ca="1" si="6882"/>
        <v>-138373.5</v>
      </c>
      <c r="ER175" s="203">
        <f t="shared" ca="1" si="6883"/>
        <v>-108242.670375</v>
      </c>
      <c r="ES175" s="204">
        <f t="shared" ca="1" si="6884"/>
        <v>-0.15250855028052701</v>
      </c>
      <c r="ET175" s="205"/>
      <c r="EU175" s="206">
        <f ca="1">ET175*$X175</f>
        <v>0</v>
      </c>
      <c r="EV175" s="206">
        <f ca="1">EU175*$Z175</f>
        <v>0</v>
      </c>
      <c r="EW175" s="207">
        <f t="shared" ca="1" si="6736"/>
        <v>0</v>
      </c>
      <c r="EX175" s="541">
        <f t="shared" si="6887"/>
        <v>29</v>
      </c>
      <c r="EY175" s="541">
        <f t="shared" ca="1" si="5364"/>
        <v>138373.5</v>
      </c>
      <c r="EZ175" s="541">
        <f ca="1">EY175*$Z175</f>
        <v>108242.670375</v>
      </c>
      <c r="FA175" s="546">
        <f t="shared" ca="1" si="6737"/>
        <v>0.15250855028052701</v>
      </c>
      <c r="FB175" s="212" t="str">
        <f t="shared" ca="1" si="6907"/>
        <v>V</v>
      </c>
      <c r="FC175" s="214"/>
      <c r="FD175" s="489" t="str">
        <f t="shared" ca="1" si="6889"/>
        <v/>
      </c>
      <c r="FE175" s="215"/>
      <c r="FF175" s="199">
        <f t="shared" ca="1" si="6890"/>
        <v>0</v>
      </c>
      <c r="FG175" s="199">
        <f t="shared" ca="1" si="6891"/>
        <v>0</v>
      </c>
      <c r="FH175" s="216">
        <f t="shared" ca="1" si="6892"/>
        <v>0</v>
      </c>
      <c r="FI175" s="202">
        <f t="shared" ca="1" si="6893"/>
        <v>0</v>
      </c>
      <c r="FJ175" s="203">
        <f t="shared" ca="1" si="6894"/>
        <v>0</v>
      </c>
      <c r="FK175" s="203">
        <f t="shared" ca="1" si="6895"/>
        <v>0</v>
      </c>
      <c r="FL175" s="204">
        <f t="shared" ca="1" si="6896"/>
        <v>0</v>
      </c>
      <c r="FM175" s="205"/>
      <c r="FN175" s="206">
        <f t="shared" ca="1" si="6897"/>
        <v>0</v>
      </c>
      <c r="FO175" s="206">
        <f t="shared" ca="1" si="6898"/>
        <v>0</v>
      </c>
      <c r="FP175" s="207">
        <f t="shared" ca="1" si="6739"/>
        <v>0</v>
      </c>
      <c r="FQ175" s="541">
        <f t="shared" si="6899"/>
        <v>0</v>
      </c>
      <c r="FR175" s="541">
        <f t="shared" ca="1" si="5378"/>
        <v>0</v>
      </c>
      <c r="FS175" s="541">
        <f t="shared" ca="1" si="6900"/>
        <v>0</v>
      </c>
      <c r="FT175" s="546">
        <f t="shared" ca="1" si="6740"/>
        <v>0</v>
      </c>
      <c r="FU175" s="209" t="str">
        <f t="shared" ca="1" si="6908"/>
        <v/>
      </c>
    </row>
    <row r="176" spans="1:177" outlineLevel="2" x14ac:dyDescent="0.2">
      <c r="A176" s="534"/>
      <c r="B176" s="534"/>
      <c r="C176" s="535" t="str">
        <f t="shared" ca="1" si="6799"/>
        <v>CH0139101601:CHF</v>
      </c>
      <c r="D176" s="536" t="str">
        <f t="shared" ca="1" si="6800"/>
        <v>CH0139101601</v>
      </c>
      <c r="E176" s="537" t="str">
        <f t="shared" ca="1" si="6800"/>
        <v>13910160</v>
      </c>
      <c r="F176" s="535" t="s">
        <v>791</v>
      </c>
      <c r="G176" s="538"/>
      <c r="H176" s="1729" t="str">
        <f t="shared" ca="1" si="6801"/>
        <v></v>
      </c>
      <c r="I176" s="1690" t="str">
        <f t="shared" ca="1" si="6802"/>
        <v>i</v>
      </c>
      <c r="J176" s="1729" t="str">
        <f t="shared" ca="1" si="6803"/>
        <v></v>
      </c>
      <c r="K176" s="1730" t="str">
        <f t="shared" ca="1" si="6803"/>
        <v></v>
      </c>
      <c r="L176" s="1731" t="str">
        <f t="shared" ca="1" si="6804"/>
        <v></v>
      </c>
      <c r="M176" s="534" t="str">
        <f t="shared" ca="1" si="6805"/>
        <v>Unit</v>
      </c>
      <c r="N176" s="539"/>
      <c r="O176" s="539"/>
      <c r="P176" s="540">
        <f t="shared" ca="1" si="6910"/>
        <v>0</v>
      </c>
      <c r="Q176" s="541">
        <f t="array" aca="1" ref="Q176" ca="1">SUM(IF($AA$15:$FT$15="I_pos",AA176:FT176))</f>
        <v>900</v>
      </c>
      <c r="R176" s="541">
        <f t="array" aca="1" ref="R176" ca="1">SUM(IF($AA$15:$FT$15="P_Pos",AA176:FT176))</f>
        <v>-900</v>
      </c>
      <c r="S176" s="535"/>
      <c r="T176" s="541"/>
      <c r="U176" s="542">
        <f t="shared" ca="1" si="6806"/>
        <v>-3.5502958579881796E-2</v>
      </c>
      <c r="V176" s="541">
        <f t="array" aca="1" ref="V176" ca="1">SUM(IF($AA$15:$FT$15="O_Pos",AA176:FT176))</f>
        <v>0</v>
      </c>
      <c r="W176" s="535" t="str">
        <f t="shared" ref="W176" ca="1" si="7011">OFFSET(Origine,MATCH($F176,Descrizioni,0),MATCH(W$15,Intestazioni,0)-1,1,1)</f>
        <v>CHF</v>
      </c>
      <c r="X176" s="543">
        <f t="shared" ca="1" si="6808"/>
        <v>1043.2</v>
      </c>
      <c r="Y176" s="544">
        <f t="shared" ca="1" si="6809"/>
        <v>0</v>
      </c>
      <c r="Z176" s="545">
        <f t="shared" ca="1" si="6810"/>
        <v>1.0000001300000001</v>
      </c>
      <c r="AA176" s="214"/>
      <c r="AB176" s="489" t="str">
        <f t="shared" ca="1" si="6811"/>
        <v/>
      </c>
      <c r="AC176" s="215"/>
      <c r="AD176" s="199">
        <f t="shared" ca="1" si="6812"/>
        <v>0</v>
      </c>
      <c r="AE176" s="199">
        <f t="shared" ca="1" si="6813"/>
        <v>0</v>
      </c>
      <c r="AF176" s="216">
        <f t="shared" ca="1" si="6726"/>
        <v>0</v>
      </c>
      <c r="AG176" s="202">
        <f ca="1">AH176/$X176</f>
        <v>0</v>
      </c>
      <c r="AH176" s="203">
        <f ca="1">AI176/$Z176</f>
        <v>0</v>
      </c>
      <c r="AI176" s="203">
        <f t="shared" ca="1" si="6816"/>
        <v>0</v>
      </c>
      <c r="AJ176" s="204">
        <f t="shared" ca="1" si="6817"/>
        <v>0</v>
      </c>
      <c r="AK176" s="205"/>
      <c r="AL176" s="206">
        <f t="shared" ca="1" si="6818"/>
        <v>0</v>
      </c>
      <c r="AM176" s="206">
        <f t="shared" ca="1" si="6819"/>
        <v>0</v>
      </c>
      <c r="AN176" s="207">
        <f t="shared" ca="1" si="6727"/>
        <v>0</v>
      </c>
      <c r="AO176" s="541">
        <f t="shared" si="6820"/>
        <v>0</v>
      </c>
      <c r="AP176" s="541">
        <f t="shared" ca="1" si="5295"/>
        <v>0</v>
      </c>
      <c r="AQ176" s="541">
        <f t="shared" ca="1" si="6821"/>
        <v>0</v>
      </c>
      <c r="AR176" s="546">
        <f t="shared" ca="1" si="6728"/>
        <v>0</v>
      </c>
      <c r="AS176" s="209" t="str">
        <f t="shared" ca="1" si="6902"/>
        <v/>
      </c>
      <c r="AT176" s="214"/>
      <c r="AU176" s="489" t="str">
        <f t="shared" ca="1" si="6822"/>
        <v/>
      </c>
      <c r="AV176" s="215"/>
      <c r="AW176" s="199">
        <f ca="1">AT176*$X176</f>
        <v>0</v>
      </c>
      <c r="AX176" s="199">
        <f ca="1">AW176*$Z176</f>
        <v>0</v>
      </c>
      <c r="AY176" s="216">
        <f t="shared" ca="1" si="6729"/>
        <v>0</v>
      </c>
      <c r="AZ176" s="202">
        <f ca="1">BA176/$X176</f>
        <v>0</v>
      </c>
      <c r="BA176" s="203">
        <f ca="1">BB176/$Z176</f>
        <v>0</v>
      </c>
      <c r="BB176" s="203">
        <f t="shared" ca="1" si="6827"/>
        <v>0</v>
      </c>
      <c r="BC176" s="204">
        <f t="shared" ca="1" si="6828"/>
        <v>0</v>
      </c>
      <c r="BD176" s="205"/>
      <c r="BE176" s="206">
        <f ca="1">BD176*$X176</f>
        <v>0</v>
      </c>
      <c r="BF176" s="206">
        <f ca="1">BE176*$Z176</f>
        <v>0</v>
      </c>
      <c r="BG176" s="207">
        <f t="shared" ca="1" si="6730"/>
        <v>0</v>
      </c>
      <c r="BH176" s="541">
        <f t="shared" si="6831"/>
        <v>0</v>
      </c>
      <c r="BI176" s="541">
        <f t="shared" ca="1" si="5308"/>
        <v>0</v>
      </c>
      <c r="BJ176" s="541">
        <f ca="1">BI176*$Z176</f>
        <v>0</v>
      </c>
      <c r="BK176" s="546">
        <f t="shared" ca="1" si="6731"/>
        <v>0</v>
      </c>
      <c r="BL176" s="211" t="str">
        <f t="shared" ca="1" si="6903"/>
        <v/>
      </c>
      <c r="BM176" s="214"/>
      <c r="BN176" s="489" t="str">
        <f t="shared" ca="1" si="6833"/>
        <v/>
      </c>
      <c r="BO176" s="215"/>
      <c r="BP176" s="199">
        <f ca="1">BM176*$X176</f>
        <v>0</v>
      </c>
      <c r="BQ176" s="199">
        <f ca="1">BP176*$Z176</f>
        <v>0</v>
      </c>
      <c r="BR176" s="216">
        <f t="shared" ca="1" si="6732"/>
        <v>0</v>
      </c>
      <c r="BS176" s="202">
        <f ca="1">BT176/$X176</f>
        <v>0</v>
      </c>
      <c r="BT176" s="203">
        <f ca="1">BU176/$Z176</f>
        <v>0</v>
      </c>
      <c r="BU176" s="203">
        <f t="shared" ca="1" si="6838"/>
        <v>0</v>
      </c>
      <c r="BV176" s="204">
        <f t="shared" ca="1" si="6839"/>
        <v>0</v>
      </c>
      <c r="BW176" s="205"/>
      <c r="BX176" s="206">
        <f ca="1">BW176*$X176</f>
        <v>0</v>
      </c>
      <c r="BY176" s="206">
        <f ca="1">BX176*$Z176</f>
        <v>0</v>
      </c>
      <c r="BZ176" s="207">
        <f t="shared" ca="1" si="6733"/>
        <v>0</v>
      </c>
      <c r="CA176" s="541">
        <f t="shared" si="6842"/>
        <v>0</v>
      </c>
      <c r="CB176" s="541">
        <f t="shared" ca="1" si="5321"/>
        <v>0</v>
      </c>
      <c r="CC176" s="541">
        <f ca="1">CB176*$Z176</f>
        <v>0</v>
      </c>
      <c r="CD176" s="546">
        <f t="shared" ca="1" si="6734"/>
        <v>0</v>
      </c>
      <c r="CE176" s="212" t="str">
        <f t="shared" ca="1" si="6904"/>
        <v/>
      </c>
      <c r="CF176" s="214"/>
      <c r="CG176" s="489" t="str">
        <f t="shared" ca="1" si="6844"/>
        <v/>
      </c>
      <c r="CH176" s="215"/>
      <c r="CI176" s="199">
        <f t="shared" ca="1" si="6845"/>
        <v>0</v>
      </c>
      <c r="CJ176" s="199">
        <f t="shared" ca="1" si="6846"/>
        <v>0</v>
      </c>
      <c r="CK176" s="216">
        <f t="shared" ca="1" si="6606"/>
        <v>0</v>
      </c>
      <c r="CL176" s="202">
        <f t="shared" ca="1" si="6847"/>
        <v>0</v>
      </c>
      <c r="CM176" s="203">
        <f t="shared" ca="1" si="6848"/>
        <v>0</v>
      </c>
      <c r="CN176" s="203">
        <f t="shared" ca="1" si="6849"/>
        <v>0</v>
      </c>
      <c r="CO176" s="204">
        <f t="shared" ca="1" si="6850"/>
        <v>0</v>
      </c>
      <c r="CP176" s="205"/>
      <c r="CQ176" s="206">
        <f t="shared" ca="1" si="6851"/>
        <v>0</v>
      </c>
      <c r="CR176" s="206">
        <f t="shared" ca="1" si="6852"/>
        <v>0</v>
      </c>
      <c r="CS176" s="207">
        <f t="shared" ca="1" si="6607"/>
        <v>0</v>
      </c>
      <c r="CT176" s="541">
        <f t="shared" si="6853"/>
        <v>0</v>
      </c>
      <c r="CU176" s="541">
        <f t="shared" ca="1" si="5334"/>
        <v>0</v>
      </c>
      <c r="CV176" s="541">
        <f t="shared" ca="1" si="6854"/>
        <v>0</v>
      </c>
      <c r="CW176" s="546">
        <f t="shared" ca="1" si="6608"/>
        <v>0</v>
      </c>
      <c r="CX176" s="211" t="str">
        <f t="shared" ca="1" si="6905"/>
        <v/>
      </c>
      <c r="CY176" s="197"/>
      <c r="CZ176" s="489" t="str">
        <f t="shared" ca="1" si="6855"/>
        <v/>
      </c>
      <c r="DA176" s="395"/>
      <c r="DB176" s="199">
        <f t="shared" ca="1" si="6856"/>
        <v>0</v>
      </c>
      <c r="DC176" s="199">
        <f t="shared" ca="1" si="6857"/>
        <v>0</v>
      </c>
      <c r="DD176" s="216">
        <f t="shared" ca="1" si="7009"/>
        <v>0</v>
      </c>
      <c r="DE176" s="202">
        <f t="shared" ca="1" si="6858"/>
        <v>0</v>
      </c>
      <c r="DF176" s="203">
        <f t="shared" ca="1" si="6859"/>
        <v>0</v>
      </c>
      <c r="DG176" s="203">
        <f t="shared" ca="1" si="6860"/>
        <v>0</v>
      </c>
      <c r="DH176" s="204">
        <f t="shared" ca="1" si="6861"/>
        <v>0</v>
      </c>
      <c r="DI176" s="205"/>
      <c r="DJ176" s="206">
        <f t="shared" ca="1" si="6862"/>
        <v>0</v>
      </c>
      <c r="DK176" s="206">
        <f t="shared" ca="1" si="6863"/>
        <v>0</v>
      </c>
      <c r="DL176" s="207">
        <f t="shared" ca="1" si="7010"/>
        <v>0</v>
      </c>
      <c r="DM176" s="541">
        <f t="shared" si="6864"/>
        <v>0</v>
      </c>
      <c r="DN176" s="541">
        <f t="shared" ca="1" si="5338"/>
        <v>0</v>
      </c>
      <c r="DO176" s="541">
        <f t="shared" ca="1" si="6865"/>
        <v>0</v>
      </c>
      <c r="DP176" s="546">
        <f t="shared" ca="1" si="6609"/>
        <v>0</v>
      </c>
      <c r="DQ176" s="209" t="str">
        <f t="shared" ca="1" si="6906"/>
        <v/>
      </c>
      <c r="DR176" s="197"/>
      <c r="DS176" s="489" t="str">
        <f t="shared" ca="1" si="6866"/>
        <v/>
      </c>
      <c r="DT176" s="395"/>
      <c r="DU176" s="199">
        <f t="shared" ca="1" si="6867"/>
        <v>0</v>
      </c>
      <c r="DV176" s="199">
        <f t="shared" ca="1" si="6868"/>
        <v>0</v>
      </c>
      <c r="DW176" s="216">
        <f t="shared" ca="1" si="5343"/>
        <v>0</v>
      </c>
      <c r="DX176" s="202">
        <f t="shared" ca="1" si="6869"/>
        <v>0</v>
      </c>
      <c r="DY176" s="203">
        <f t="shared" ca="1" si="6870"/>
        <v>0</v>
      </c>
      <c r="DZ176" s="203">
        <f t="shared" ca="1" si="6871"/>
        <v>0</v>
      </c>
      <c r="EA176" s="204">
        <f t="shared" ca="1" si="6872"/>
        <v>0</v>
      </c>
      <c r="EB176" s="205"/>
      <c r="EC176" s="206">
        <f t="shared" ca="1" si="6873"/>
        <v>0</v>
      </c>
      <c r="ED176" s="206">
        <f t="shared" ca="1" si="6874"/>
        <v>0</v>
      </c>
      <c r="EE176" s="207">
        <f t="shared" ca="1" si="5349"/>
        <v>0</v>
      </c>
      <c r="EF176" s="541">
        <f t="shared" si="6875"/>
        <v>0</v>
      </c>
      <c r="EG176" s="541">
        <f t="shared" ca="1" si="6876"/>
        <v>0</v>
      </c>
      <c r="EH176" s="541">
        <f t="shared" ca="1" si="6877"/>
        <v>0</v>
      </c>
      <c r="EI176" s="546">
        <f t="shared" ca="1" si="6610"/>
        <v>0</v>
      </c>
      <c r="EJ176" s="214"/>
      <c r="EK176" s="489" t="str">
        <f t="shared" ca="1" si="6878"/>
        <v/>
      </c>
      <c r="EL176" s="222"/>
      <c r="EM176" s="199">
        <f ca="1">EJ176*$X176</f>
        <v>0</v>
      </c>
      <c r="EN176" s="199">
        <f ca="1">EM176*$Z176</f>
        <v>0</v>
      </c>
      <c r="EO176" s="216">
        <f t="shared" ca="1" si="6735"/>
        <v>0</v>
      </c>
      <c r="EP176" s="202">
        <f ca="1">EQ176/$X176</f>
        <v>0</v>
      </c>
      <c r="EQ176" s="203">
        <f ca="1">ER176/$Z176</f>
        <v>0</v>
      </c>
      <c r="ER176" s="203">
        <f t="shared" ca="1" si="6883"/>
        <v>0</v>
      </c>
      <c r="ES176" s="204">
        <f t="shared" ca="1" si="6884"/>
        <v>0</v>
      </c>
      <c r="ET176" s="205"/>
      <c r="EU176" s="206">
        <f ca="1">ET176*$X176</f>
        <v>0</v>
      </c>
      <c r="EV176" s="206">
        <f ca="1">EU176*$Z176</f>
        <v>0</v>
      </c>
      <c r="EW176" s="207">
        <f t="shared" ca="1" si="6736"/>
        <v>0</v>
      </c>
      <c r="EX176" s="541">
        <f t="shared" si="6887"/>
        <v>0</v>
      </c>
      <c r="EY176" s="541">
        <f t="shared" ca="1" si="5364"/>
        <v>0</v>
      </c>
      <c r="EZ176" s="541">
        <f ca="1">EY176*$Z176</f>
        <v>0</v>
      </c>
      <c r="FA176" s="546">
        <f t="shared" ca="1" si="6737"/>
        <v>0</v>
      </c>
      <c r="FB176" s="212" t="str">
        <f t="shared" ca="1" si="6907"/>
        <v/>
      </c>
      <c r="FC176" s="214">
        <f>1677+-777</f>
        <v>900</v>
      </c>
      <c r="FD176" s="489">
        <f t="shared" ca="1" si="6889"/>
        <v>1.7561368430396977</v>
      </c>
      <c r="FE176" s="215">
        <v>378.50080000000003</v>
      </c>
      <c r="FF176" s="199">
        <f ca="1">FC176*$X176</f>
        <v>938880</v>
      </c>
      <c r="FG176" s="199">
        <f ca="1">FF176*$Z176</f>
        <v>938880.12205440004</v>
      </c>
      <c r="FH176" s="216">
        <f t="shared" ca="1" si="6892"/>
        <v>0.20600195059661644</v>
      </c>
      <c r="FI176" s="202">
        <f ca="1">FJ176/$X176</f>
        <v>-900</v>
      </c>
      <c r="FJ176" s="203">
        <f ca="1">FK176/$Z176</f>
        <v>-938880</v>
      </c>
      <c r="FK176" s="203">
        <f t="shared" ca="1" si="6895"/>
        <v>-938880.12205440004</v>
      </c>
      <c r="FL176" s="204">
        <f t="shared" ca="1" si="6896"/>
        <v>-0.20600195059661644</v>
      </c>
      <c r="FM176" s="205"/>
      <c r="FN176" s="206">
        <f ca="1">FM176*$X176</f>
        <v>0</v>
      </c>
      <c r="FO176" s="206">
        <f ca="1">FN176*$Z176</f>
        <v>0</v>
      </c>
      <c r="FP176" s="207">
        <f t="shared" ca="1" si="6739"/>
        <v>0</v>
      </c>
      <c r="FQ176" s="541">
        <f t="shared" si="6899"/>
        <v>900</v>
      </c>
      <c r="FR176" s="541">
        <f t="shared" ca="1" si="5378"/>
        <v>938880</v>
      </c>
      <c r="FS176" s="541">
        <f ca="1">FR176*$Z176</f>
        <v>938880.12205440004</v>
      </c>
      <c r="FT176" s="546">
        <f t="shared" ca="1" si="6740"/>
        <v>0.20600195059661644</v>
      </c>
      <c r="FU176" s="209" t="str">
        <f t="shared" ca="1" si="6908"/>
        <v>V</v>
      </c>
    </row>
    <row r="177" spans="1:177" outlineLevel="2" x14ac:dyDescent="0.2">
      <c r="A177" s="534"/>
      <c r="B177" s="534"/>
      <c r="C177" s="535" t="str">
        <f t="shared" ca="1" si="6799"/>
        <v>CH0002811245:CHF</v>
      </c>
      <c r="D177" s="536" t="str">
        <f t="shared" ca="1" si="6800"/>
        <v>CH0002811245</v>
      </c>
      <c r="E177" s="537" t="str">
        <f t="shared" ca="1" si="6800"/>
        <v>281124</v>
      </c>
      <c r="F177" s="535" t="s">
        <v>595</v>
      </c>
      <c r="G177" s="538"/>
      <c r="H177" s="1729" t="str">
        <f t="shared" ca="1" si="6801"/>
        <v></v>
      </c>
      <c r="I177" s="1690" t="str">
        <f t="shared" ca="1" si="6802"/>
        <v>i</v>
      </c>
      <c r="J177" s="1729" t="str">
        <f t="shared" ca="1" si="6803"/>
        <v/>
      </c>
      <c r="K177" s="1730" t="str">
        <f t="shared" ca="1" si="6803"/>
        <v/>
      </c>
      <c r="L177" s="1731" t="str">
        <f t="shared" ca="1" si="6804"/>
        <v/>
      </c>
      <c r="M177" s="534" t="str">
        <f t="shared" ca="1" si="6805"/>
        <v>Unit</v>
      </c>
      <c r="N177" s="539"/>
      <c r="O177" s="539"/>
      <c r="P177" s="540">
        <f t="shared" ca="1" si="6910"/>
        <v>9.9555912367196076E-2</v>
      </c>
      <c r="Q177" s="541">
        <f t="array" aca="1" ref="Q177" ca="1">SUM(IF($AA$15:$FT$15="I_pos",AA177:FT177))</f>
        <v>20</v>
      </c>
      <c r="R177" s="541">
        <f t="array" aca="1" ref="R177" ca="1">SUM(IF($AA$15:$FT$15="P_Pos",AA177:FT177))</f>
        <v>-20.000000000000004</v>
      </c>
      <c r="S177" s="535"/>
      <c r="T177" s="541"/>
      <c r="U177" s="542">
        <f t="shared" ca="1" si="6806"/>
        <v>-3.9089874517085496E-2</v>
      </c>
      <c r="V177" s="541">
        <f t="array" aca="1" ref="V177" ca="1">SUM(IF($AA$15:$FT$15="O_Pos",AA177:FT177))</f>
        <v>0</v>
      </c>
      <c r="W177" s="535" t="str">
        <f t="shared" ref="W177:W178" ca="1" si="7012">OFFSET(Origine,MATCH($F177,Descrizioni,0),MATCH(W$15,Intestazioni,0)-1,1,1)</f>
        <v>CHF</v>
      </c>
      <c r="X177" s="543">
        <f t="shared" ca="1" si="6808"/>
        <v>12834.3</v>
      </c>
      <c r="Y177" s="544">
        <f t="shared" ca="1" si="6809"/>
        <v>0</v>
      </c>
      <c r="Z177" s="545">
        <f t="shared" ca="1" si="6810"/>
        <v>1.0000001300000001</v>
      </c>
      <c r="AA177" s="214"/>
      <c r="AB177" s="489" t="str">
        <f t="shared" ca="1" si="6811"/>
        <v/>
      </c>
      <c r="AC177" s="215"/>
      <c r="AD177" s="199">
        <f t="shared" ref="AD177" ca="1" si="7013">AA177*$X177</f>
        <v>0</v>
      </c>
      <c r="AE177" s="199">
        <f t="shared" ref="AE177" ca="1" si="7014">AD177*$Z177</f>
        <v>0</v>
      </c>
      <c r="AF177" s="216">
        <f t="shared" ref="AF177" ca="1" si="7015">IFERROR(AE177/AA$4,0)</f>
        <v>0</v>
      </c>
      <c r="AG177" s="202">
        <f t="shared" ref="AG177" ca="1" si="7016">AH177/$X177</f>
        <v>0</v>
      </c>
      <c r="AH177" s="203">
        <f t="shared" ref="AH177" ca="1" si="7017">AI177/$Z177</f>
        <v>0</v>
      </c>
      <c r="AI177" s="203">
        <f t="shared" ref="AI177" ca="1" si="7018">AJ177*AA$4</f>
        <v>0</v>
      </c>
      <c r="AJ177" s="204">
        <f t="shared" ca="1" si="6817"/>
        <v>0</v>
      </c>
      <c r="AK177" s="205"/>
      <c r="AL177" s="206">
        <f t="shared" ref="AL177" ca="1" si="7019">AK177*$X177</f>
        <v>0</v>
      </c>
      <c r="AM177" s="206">
        <f t="shared" ref="AM177" ca="1" si="7020">AL177*$Z177</f>
        <v>0</v>
      </c>
      <c r="AN177" s="207">
        <f t="shared" ref="AN177" ca="1" si="7021">IFERROR(AM177/AA$4,0)</f>
        <v>0</v>
      </c>
      <c r="AO177" s="541">
        <f t="shared" ref="AO177" si="7022">AA177+AK177</f>
        <v>0</v>
      </c>
      <c r="AP177" s="541">
        <f t="shared" ca="1" si="5295"/>
        <v>0</v>
      </c>
      <c r="AQ177" s="541">
        <f t="shared" ref="AQ177" ca="1" si="7023">AP177*$Z177</f>
        <v>0</v>
      </c>
      <c r="AR177" s="546">
        <f t="shared" ref="AR177" ca="1" si="7024">IFERROR(AQ177/AA$4,0)</f>
        <v>0</v>
      </c>
      <c r="AS177" s="209" t="str">
        <f t="shared" ca="1" si="6902"/>
        <v/>
      </c>
      <c r="AT177" s="214">
        <f>15+5</f>
        <v>20</v>
      </c>
      <c r="AU177" s="489">
        <f t="shared" ca="1" si="6822"/>
        <v>1.9799024971946522</v>
      </c>
      <c r="AV177" s="215">
        <v>4306.9530000000004</v>
      </c>
      <c r="AW177" s="199">
        <f t="shared" ref="AW177" ca="1" si="7025">AT177*$X177</f>
        <v>256686</v>
      </c>
      <c r="AX177" s="199">
        <f t="shared" ref="AX177" ca="1" si="7026">AW177*$Z177</f>
        <v>256686.03336918002</v>
      </c>
      <c r="AY177" s="216">
        <f t="shared" ref="AY177" ca="1" si="7027">IFERROR(AX177/AT$4,0)</f>
        <v>0.14821561588059529</v>
      </c>
      <c r="AZ177" s="202">
        <f t="shared" ref="AZ177" ca="1" si="7028">BA177/$X177</f>
        <v>-20.000000000000004</v>
      </c>
      <c r="BA177" s="203">
        <f t="shared" ref="BA177" ca="1" si="7029">BB177/$Z177</f>
        <v>-256686.00000000003</v>
      </c>
      <c r="BB177" s="203">
        <f t="shared" ref="BB177" ca="1" si="7030">BC177*AT$4</f>
        <v>-256686.03336918005</v>
      </c>
      <c r="BC177" s="204">
        <f t="shared" ca="1" si="6828"/>
        <v>-0.14821561588059529</v>
      </c>
      <c r="BD177" s="205"/>
      <c r="BE177" s="206">
        <f t="shared" ref="BE177" ca="1" si="7031">BD177*$X177</f>
        <v>0</v>
      </c>
      <c r="BF177" s="206">
        <f t="shared" ref="BF177" ca="1" si="7032">BE177*$Z177</f>
        <v>0</v>
      </c>
      <c r="BG177" s="207">
        <f t="shared" ref="BG177" ca="1" si="7033">IFERROR(BF177/AT$4,0)</f>
        <v>0</v>
      </c>
      <c r="BH177" s="541">
        <f t="shared" ref="BH177" si="7034">AT177+BD177</f>
        <v>20</v>
      </c>
      <c r="BI177" s="541">
        <f t="shared" ca="1" si="5308"/>
        <v>256686</v>
      </c>
      <c r="BJ177" s="541">
        <f t="shared" ref="BJ177" ca="1" si="7035">BI177*$Z177</f>
        <v>256686.03336918002</v>
      </c>
      <c r="BK177" s="546">
        <f t="shared" ref="BK177" ca="1" si="7036">IFERROR(BJ177/AT$4,0)</f>
        <v>0.14821561588059529</v>
      </c>
      <c r="BL177" s="211" t="str">
        <f t="shared" ca="1" si="6903"/>
        <v>V</v>
      </c>
      <c r="BM177" s="214"/>
      <c r="BN177" s="489" t="str">
        <f t="shared" ca="1" si="6833"/>
        <v/>
      </c>
      <c r="BO177" s="215"/>
      <c r="BP177" s="199">
        <f t="shared" ref="BP177" ca="1" si="7037">BM177*$X177</f>
        <v>0</v>
      </c>
      <c r="BQ177" s="199">
        <f t="shared" ref="BQ177" ca="1" si="7038">BP177*$Z177</f>
        <v>0</v>
      </c>
      <c r="BR177" s="216">
        <f t="shared" ref="BR177" ca="1" si="7039">IFERROR(BQ177/BM$4,0)</f>
        <v>0</v>
      </c>
      <c r="BS177" s="202">
        <f t="shared" ref="BS177" ca="1" si="7040">BT177/$X177</f>
        <v>0</v>
      </c>
      <c r="BT177" s="203">
        <f t="shared" ref="BT177" ca="1" si="7041">BU177/$Z177</f>
        <v>0</v>
      </c>
      <c r="BU177" s="203">
        <f t="shared" ref="BU177" ca="1" si="7042">BV177*BM$4</f>
        <v>0</v>
      </c>
      <c r="BV177" s="204">
        <f t="shared" ca="1" si="6839"/>
        <v>0</v>
      </c>
      <c r="BW177" s="205"/>
      <c r="BX177" s="206">
        <f t="shared" ref="BX177" ca="1" si="7043">BW177*$X177</f>
        <v>0</v>
      </c>
      <c r="BY177" s="206">
        <f t="shared" ref="BY177" ca="1" si="7044">BX177*$Z177</f>
        <v>0</v>
      </c>
      <c r="BZ177" s="207">
        <f t="shared" ref="BZ177" ca="1" si="7045">IFERROR(BY177/BM$4,0)</f>
        <v>0</v>
      </c>
      <c r="CA177" s="541">
        <f t="shared" ref="CA177" si="7046">BM177+BW177</f>
        <v>0</v>
      </c>
      <c r="CB177" s="541">
        <f t="shared" ca="1" si="5321"/>
        <v>0</v>
      </c>
      <c r="CC177" s="541">
        <f t="shared" ref="CC177" ca="1" si="7047">CB177*$Z177</f>
        <v>0</v>
      </c>
      <c r="CD177" s="546">
        <f t="shared" ref="CD177" ca="1" si="7048">IFERROR(CC177/BM$4,0)</f>
        <v>0</v>
      </c>
      <c r="CE177" s="212" t="str">
        <f t="shared" ca="1" si="6904"/>
        <v/>
      </c>
      <c r="CF177" s="214"/>
      <c r="CG177" s="489" t="str">
        <f t="shared" ca="1" si="6844"/>
        <v/>
      </c>
      <c r="CH177" s="215"/>
      <c r="CI177" s="199">
        <f t="shared" ref="CI177" ca="1" si="7049">CF177*$X177</f>
        <v>0</v>
      </c>
      <c r="CJ177" s="199">
        <f t="shared" ref="CJ177" ca="1" si="7050">CI177*$Z177</f>
        <v>0</v>
      </c>
      <c r="CK177" s="216">
        <f t="shared" ref="CK177" ca="1" si="7051">IFERROR(CJ177/CF$4,0)</f>
        <v>0</v>
      </c>
      <c r="CL177" s="202">
        <f t="shared" ref="CL177" ca="1" si="7052">CM177/$X177</f>
        <v>0</v>
      </c>
      <c r="CM177" s="203">
        <f t="shared" ref="CM177" ca="1" si="7053">CN177/$Z177</f>
        <v>0</v>
      </c>
      <c r="CN177" s="203">
        <f t="shared" ref="CN177" ca="1" si="7054">CO177*CF$4</f>
        <v>0</v>
      </c>
      <c r="CO177" s="204">
        <f t="shared" ca="1" si="6850"/>
        <v>0</v>
      </c>
      <c r="CP177" s="205"/>
      <c r="CQ177" s="206">
        <f t="shared" ref="CQ177" ca="1" si="7055">CP177*$X177</f>
        <v>0</v>
      </c>
      <c r="CR177" s="206">
        <f t="shared" ref="CR177" ca="1" si="7056">CQ177*$Z177</f>
        <v>0</v>
      </c>
      <c r="CS177" s="207">
        <f t="shared" ref="CS177" ca="1" si="7057">IFERROR(CR177/CF$4,0)</f>
        <v>0</v>
      </c>
      <c r="CT177" s="541">
        <f t="shared" ref="CT177" si="7058">CF177+CP177</f>
        <v>0</v>
      </c>
      <c r="CU177" s="541">
        <f t="shared" ca="1" si="5334"/>
        <v>0</v>
      </c>
      <c r="CV177" s="541">
        <f t="shared" ref="CV177" ca="1" si="7059">CU177*$Z177</f>
        <v>0</v>
      </c>
      <c r="CW177" s="546">
        <f t="shared" ref="CW177" ca="1" si="7060">IFERROR(CV177/CF$4,0)</f>
        <v>0</v>
      </c>
      <c r="CX177" s="211" t="str">
        <f t="shared" ca="1" si="6905"/>
        <v/>
      </c>
      <c r="CY177" s="197"/>
      <c r="CZ177" s="489" t="str">
        <f t="shared" ca="1" si="6855"/>
        <v/>
      </c>
      <c r="DA177" s="395"/>
      <c r="DB177" s="199">
        <f t="shared" ca="1" si="6856"/>
        <v>0</v>
      </c>
      <c r="DC177" s="199">
        <f t="shared" ca="1" si="6857"/>
        <v>0</v>
      </c>
      <c r="DD177" s="216">
        <f t="shared" ca="1" si="7009"/>
        <v>0</v>
      </c>
      <c r="DE177" s="202">
        <f t="shared" ca="1" si="6858"/>
        <v>0</v>
      </c>
      <c r="DF177" s="203">
        <f t="shared" ca="1" si="6859"/>
        <v>0</v>
      </c>
      <c r="DG177" s="203">
        <f t="shared" ca="1" si="6860"/>
        <v>0</v>
      </c>
      <c r="DH177" s="204">
        <f t="shared" ca="1" si="6861"/>
        <v>0</v>
      </c>
      <c r="DI177" s="205"/>
      <c r="DJ177" s="206">
        <f t="shared" ca="1" si="6862"/>
        <v>0</v>
      </c>
      <c r="DK177" s="206">
        <f t="shared" ca="1" si="6863"/>
        <v>0</v>
      </c>
      <c r="DL177" s="207">
        <f t="shared" ca="1" si="7010"/>
        <v>0</v>
      </c>
      <c r="DM177" s="541">
        <f t="shared" ref="DM177:DM186" si="7061">CY177+DI177</f>
        <v>0</v>
      </c>
      <c r="DN177" s="541">
        <f t="shared" ca="1" si="5338"/>
        <v>0</v>
      </c>
      <c r="DO177" s="541">
        <f t="shared" ca="1" si="6865"/>
        <v>0</v>
      </c>
      <c r="DP177" s="546">
        <f t="shared" ca="1" si="6609"/>
        <v>0</v>
      </c>
      <c r="DQ177" s="209" t="str">
        <f t="shared" ca="1" si="6906"/>
        <v/>
      </c>
      <c r="DR177" s="197"/>
      <c r="DS177" s="489" t="str">
        <f t="shared" ca="1" si="6866"/>
        <v/>
      </c>
      <c r="DT177" s="395"/>
      <c r="DU177" s="199">
        <f t="shared" ca="1" si="6867"/>
        <v>0</v>
      </c>
      <c r="DV177" s="199">
        <f t="shared" ca="1" si="6868"/>
        <v>0</v>
      </c>
      <c r="DW177" s="216">
        <f t="shared" ca="1" si="5343"/>
        <v>0</v>
      </c>
      <c r="DX177" s="202">
        <f t="shared" ca="1" si="6869"/>
        <v>0</v>
      </c>
      <c r="DY177" s="203">
        <f t="shared" ca="1" si="6870"/>
        <v>0</v>
      </c>
      <c r="DZ177" s="203">
        <f t="shared" ca="1" si="6871"/>
        <v>0</v>
      </c>
      <c r="EA177" s="204">
        <f t="shared" ca="1" si="6872"/>
        <v>0</v>
      </c>
      <c r="EB177" s="205"/>
      <c r="EC177" s="206">
        <f t="shared" ca="1" si="6873"/>
        <v>0</v>
      </c>
      <c r="ED177" s="206">
        <f t="shared" ca="1" si="6874"/>
        <v>0</v>
      </c>
      <c r="EE177" s="207">
        <f t="shared" ca="1" si="5349"/>
        <v>0</v>
      </c>
      <c r="EF177" s="541">
        <f t="shared" ref="EF177:EF186" si="7062">DR177+EB177</f>
        <v>0</v>
      </c>
      <c r="EG177" s="541">
        <f t="shared" ca="1" si="6876"/>
        <v>0</v>
      </c>
      <c r="EH177" s="541">
        <f t="shared" ca="1" si="6877"/>
        <v>0</v>
      </c>
      <c r="EI177" s="546">
        <f t="shared" ca="1" si="6610"/>
        <v>0</v>
      </c>
      <c r="EJ177" s="214"/>
      <c r="EK177" s="489" t="str">
        <f t="shared" ca="1" si="6878"/>
        <v/>
      </c>
      <c r="EL177" s="222"/>
      <c r="EM177" s="199">
        <f t="shared" ref="EM177" ca="1" si="7063">EJ177*$X177</f>
        <v>0</v>
      </c>
      <c r="EN177" s="199">
        <f t="shared" ref="EN177" ca="1" si="7064">EM177*$Z177</f>
        <v>0</v>
      </c>
      <c r="EO177" s="216">
        <f t="shared" ref="EO177" ca="1" si="7065">IFERROR(EN177/EJ$4,0)</f>
        <v>0</v>
      </c>
      <c r="EP177" s="202">
        <f t="shared" ref="EP177" ca="1" si="7066">EQ177/$X177</f>
        <v>0</v>
      </c>
      <c r="EQ177" s="203">
        <f t="shared" ref="EQ177" ca="1" si="7067">ER177/$Z177</f>
        <v>0</v>
      </c>
      <c r="ER177" s="203">
        <f t="shared" ref="ER177" ca="1" si="7068">ES177*EJ$4</f>
        <v>0</v>
      </c>
      <c r="ES177" s="204">
        <f t="shared" ca="1" si="6884"/>
        <v>0</v>
      </c>
      <c r="ET177" s="205"/>
      <c r="EU177" s="206">
        <f t="shared" ref="EU177" ca="1" si="7069">ET177*$X177</f>
        <v>0</v>
      </c>
      <c r="EV177" s="206">
        <f t="shared" ref="EV177" ca="1" si="7070">EU177*$Z177</f>
        <v>0</v>
      </c>
      <c r="EW177" s="207">
        <f t="shared" ref="EW177" ca="1" si="7071">IFERROR(EV177/EJ$4,0)</f>
        <v>0</v>
      </c>
      <c r="EX177" s="541">
        <f t="shared" ref="EX177" si="7072">EJ177+ET177</f>
        <v>0</v>
      </c>
      <c r="EY177" s="541">
        <f t="shared" ca="1" si="5364"/>
        <v>0</v>
      </c>
      <c r="EZ177" s="541">
        <f t="shared" ref="EZ177" ca="1" si="7073">EY177*$Z177</f>
        <v>0</v>
      </c>
      <c r="FA177" s="546">
        <f t="shared" ref="FA177" ca="1" si="7074">IFERROR(EZ177/EJ$4,0)</f>
        <v>0</v>
      </c>
      <c r="FB177" s="212" t="str">
        <f t="shared" ca="1" si="6907"/>
        <v/>
      </c>
      <c r="FC177" s="214"/>
      <c r="FD177" s="489" t="str">
        <f t="shared" ca="1" si="6889"/>
        <v/>
      </c>
      <c r="FE177" s="215"/>
      <c r="FF177" s="199">
        <f t="shared" ref="FF177" ca="1" si="7075">FC177*$X177</f>
        <v>0</v>
      </c>
      <c r="FG177" s="199">
        <f t="shared" ref="FG177" ca="1" si="7076">FF177*$Z177</f>
        <v>0</v>
      </c>
      <c r="FH177" s="216">
        <f t="shared" ref="FH177" ca="1" si="7077">IFERROR(FG177/FC$4,0)</f>
        <v>0</v>
      </c>
      <c r="FI177" s="202">
        <f t="shared" ref="FI177" ca="1" si="7078">FJ177/$X177</f>
        <v>0</v>
      </c>
      <c r="FJ177" s="203">
        <f t="shared" ref="FJ177" ca="1" si="7079">FK177/$Z177</f>
        <v>0</v>
      </c>
      <c r="FK177" s="203">
        <f t="shared" ref="FK177" ca="1" si="7080">FL177*FC$4</f>
        <v>0</v>
      </c>
      <c r="FL177" s="204">
        <f t="shared" ca="1" si="6896"/>
        <v>0</v>
      </c>
      <c r="FM177" s="205"/>
      <c r="FN177" s="206">
        <f t="shared" ref="FN177" ca="1" si="7081">FM177*$X177</f>
        <v>0</v>
      </c>
      <c r="FO177" s="206">
        <f t="shared" ref="FO177" ca="1" si="7082">FN177*$Z177</f>
        <v>0</v>
      </c>
      <c r="FP177" s="207">
        <f t="shared" ref="FP177" ca="1" si="7083">IFERROR(FO177/FC$4,0)</f>
        <v>0</v>
      </c>
      <c r="FQ177" s="541">
        <f t="shared" ref="FQ177" si="7084">FC177+FM177</f>
        <v>0</v>
      </c>
      <c r="FR177" s="541">
        <f t="shared" ca="1" si="5378"/>
        <v>0</v>
      </c>
      <c r="FS177" s="541">
        <f t="shared" ref="FS177" ca="1" si="7085">FR177*$Z177</f>
        <v>0</v>
      </c>
      <c r="FT177" s="546">
        <f t="shared" ref="FT177" ca="1" si="7086">IFERROR(FS177/FC$4,0)</f>
        <v>0</v>
      </c>
      <c r="FU177" s="209" t="str">
        <f t="shared" ca="1" si="6908"/>
        <v/>
      </c>
    </row>
    <row r="178" spans="1:177" outlineLevel="2" x14ac:dyDescent="0.2">
      <c r="A178" s="534"/>
      <c r="B178" s="534"/>
      <c r="C178" s="535" t="str">
        <f t="shared" ca="1" si="6799"/>
        <v>XD0002811491:CHF</v>
      </c>
      <c r="D178" s="536" t="str">
        <f t="shared" ca="1" si="6800"/>
        <v>XD0002811491</v>
      </c>
      <c r="E178" s="537" t="str">
        <f t="shared" ca="1" si="6800"/>
        <v>281149</v>
      </c>
      <c r="F178" s="535" t="s">
        <v>792</v>
      </c>
      <c r="G178" s="538"/>
      <c r="H178" s="1729" t="str">
        <f t="shared" ca="1" si="6801"/>
        <v></v>
      </c>
      <c r="I178" s="1690" t="str">
        <f t="shared" ca="1" si="6802"/>
        <v/>
      </c>
      <c r="J178" s="1729" t="str">
        <f t="shared" ca="1" si="6803"/>
        <v/>
      </c>
      <c r="K178" s="1730" t="str">
        <f t="shared" ca="1" si="6803"/>
        <v/>
      </c>
      <c r="L178" s="1731" t="str">
        <f t="shared" ca="1" si="6804"/>
        <v/>
      </c>
      <c r="M178" s="534" t="str">
        <f t="shared" ca="1" si="6805"/>
        <v>Unit</v>
      </c>
      <c r="N178" s="539"/>
      <c r="O178" s="539"/>
      <c r="P178" s="540">
        <f t="shared" ca="1" si="6910"/>
        <v>0</v>
      </c>
      <c r="Q178" s="541">
        <f t="array" aca="1" ref="Q178" ca="1">SUM(IF($AA$15:$FT$15="I_pos",AA178:FT178))</f>
        <v>70.010000000000005</v>
      </c>
      <c r="R178" s="541">
        <f t="array" aca="1" ref="R178" ca="1">SUM(IF($AA$15:$FT$15="P_Pos",AA178:FT178))</f>
        <v>-70.010000000000005</v>
      </c>
      <c r="S178" s="535"/>
      <c r="T178" s="541"/>
      <c r="U178" s="542">
        <f t="shared" ca="1" si="6806"/>
        <v>-3.9091931030664599E-2</v>
      </c>
      <c r="V178" s="541">
        <f t="array" aca="1" ref="V178" ca="1">SUM(IF($AA$15:$FT$15="O_Pos",AA178:FT178))</f>
        <v>0</v>
      </c>
      <c r="W178" s="535" t="str">
        <f t="shared" ca="1" si="7012"/>
        <v>CHF</v>
      </c>
      <c r="X178" s="543">
        <f t="shared" ca="1" si="6808"/>
        <v>3991.91</v>
      </c>
      <c r="Y178" s="544">
        <f t="shared" ca="1" si="6809"/>
        <v>0</v>
      </c>
      <c r="Z178" s="545">
        <f t="shared" ca="1" si="6810"/>
        <v>1.0000001300000001</v>
      </c>
      <c r="AA178" s="214"/>
      <c r="AB178" s="489" t="str">
        <f t="shared" ca="1" si="6811"/>
        <v/>
      </c>
      <c r="AC178" s="215"/>
      <c r="AD178" s="199">
        <f t="shared" ca="1" si="6812"/>
        <v>0</v>
      </c>
      <c r="AE178" s="199">
        <f t="shared" ca="1" si="6813"/>
        <v>0</v>
      </c>
      <c r="AF178" s="216">
        <f t="shared" ca="1" si="6726"/>
        <v>0</v>
      </c>
      <c r="AG178" s="202">
        <f t="shared" ref="AG178:AG181" ca="1" si="7087">AH178/$X178</f>
        <v>0</v>
      </c>
      <c r="AH178" s="203">
        <f t="shared" ref="AH178:AH181" ca="1" si="7088">AI178/$Z178</f>
        <v>0</v>
      </c>
      <c r="AI178" s="203">
        <f t="shared" ca="1" si="6816"/>
        <v>0</v>
      </c>
      <c r="AJ178" s="204">
        <f t="shared" ca="1" si="6817"/>
        <v>0</v>
      </c>
      <c r="AK178" s="205"/>
      <c r="AL178" s="206">
        <f t="shared" ca="1" si="6818"/>
        <v>0</v>
      </c>
      <c r="AM178" s="206">
        <f t="shared" ca="1" si="6819"/>
        <v>0</v>
      </c>
      <c r="AN178" s="207">
        <f t="shared" ca="1" si="6727"/>
        <v>0</v>
      </c>
      <c r="AO178" s="541">
        <f t="shared" ref="AO178:AO186" si="7089">AA178+AK178</f>
        <v>0</v>
      </c>
      <c r="AP178" s="541">
        <f t="shared" ca="1" si="5295"/>
        <v>0</v>
      </c>
      <c r="AQ178" s="541">
        <f t="shared" ca="1" si="6821"/>
        <v>0</v>
      </c>
      <c r="AR178" s="546">
        <f t="shared" ca="1" si="6728"/>
        <v>0</v>
      </c>
      <c r="AS178" s="209" t="str">
        <f t="shared" ca="1" si="6902"/>
        <v/>
      </c>
      <c r="AT178" s="214"/>
      <c r="AU178" s="489" t="str">
        <f t="shared" ca="1" si="6822"/>
        <v/>
      </c>
      <c r="AV178" s="215"/>
      <c r="AW178" s="199">
        <f t="shared" ref="AW178" ca="1" si="7090">AT178*$X178</f>
        <v>0</v>
      </c>
      <c r="AX178" s="199">
        <f t="shared" ref="AX178" ca="1" si="7091">AW178*$Z178</f>
        <v>0</v>
      </c>
      <c r="AY178" s="216">
        <f t="shared" ca="1" si="6729"/>
        <v>0</v>
      </c>
      <c r="AZ178" s="202">
        <f t="shared" ref="AZ178:AZ181" ca="1" si="7092">BA178/$X178</f>
        <v>0</v>
      </c>
      <c r="BA178" s="203">
        <f t="shared" ref="BA178:BA181" ca="1" si="7093">BB178/$Z178</f>
        <v>0</v>
      </c>
      <c r="BB178" s="203">
        <f t="shared" ca="1" si="6827"/>
        <v>0</v>
      </c>
      <c r="BC178" s="204">
        <f t="shared" ca="1" si="6828"/>
        <v>0</v>
      </c>
      <c r="BD178" s="205"/>
      <c r="BE178" s="206">
        <f t="shared" ref="BE178" ca="1" si="7094">BD178*$X178</f>
        <v>0</v>
      </c>
      <c r="BF178" s="206">
        <f t="shared" ref="BF178" ca="1" si="7095">BE178*$Z178</f>
        <v>0</v>
      </c>
      <c r="BG178" s="207">
        <f t="shared" ca="1" si="6730"/>
        <v>0</v>
      </c>
      <c r="BH178" s="541">
        <f t="shared" ref="BH178:BH186" si="7096">AT178+BD178</f>
        <v>0</v>
      </c>
      <c r="BI178" s="541">
        <f t="shared" ca="1" si="5308"/>
        <v>0</v>
      </c>
      <c r="BJ178" s="541">
        <f t="shared" ref="BJ178" ca="1" si="7097">BI178*$Z178</f>
        <v>0</v>
      </c>
      <c r="BK178" s="546">
        <f t="shared" ca="1" si="6731"/>
        <v>0</v>
      </c>
      <c r="BL178" s="211" t="str">
        <f t="shared" ca="1" si="6903"/>
        <v/>
      </c>
      <c r="BM178" s="214"/>
      <c r="BN178" s="489" t="str">
        <f t="shared" ca="1" si="6833"/>
        <v/>
      </c>
      <c r="BO178" s="215"/>
      <c r="BP178" s="199">
        <f t="shared" ref="BP178" ca="1" si="7098">BM178*$X178</f>
        <v>0</v>
      </c>
      <c r="BQ178" s="199">
        <f t="shared" ref="BQ178" ca="1" si="7099">BP178*$Z178</f>
        <v>0</v>
      </c>
      <c r="BR178" s="216">
        <f t="shared" ca="1" si="6732"/>
        <v>0</v>
      </c>
      <c r="BS178" s="202">
        <f t="shared" ref="BS178:BS181" ca="1" si="7100">BT178/$X178</f>
        <v>0</v>
      </c>
      <c r="BT178" s="203">
        <f t="shared" ref="BT178:BT181" ca="1" si="7101">BU178/$Z178</f>
        <v>0</v>
      </c>
      <c r="BU178" s="203">
        <f t="shared" ca="1" si="6838"/>
        <v>0</v>
      </c>
      <c r="BV178" s="204">
        <f t="shared" ca="1" si="6839"/>
        <v>0</v>
      </c>
      <c r="BW178" s="205"/>
      <c r="BX178" s="206">
        <f t="shared" ref="BX178" ca="1" si="7102">BW178*$X178</f>
        <v>0</v>
      </c>
      <c r="BY178" s="206">
        <f t="shared" ref="BY178" ca="1" si="7103">BX178*$Z178</f>
        <v>0</v>
      </c>
      <c r="BZ178" s="207">
        <f t="shared" ca="1" si="6733"/>
        <v>0</v>
      </c>
      <c r="CA178" s="541">
        <f t="shared" ref="CA178:CA186" si="7104">BM178+BW178</f>
        <v>0</v>
      </c>
      <c r="CB178" s="541">
        <f t="shared" ca="1" si="5321"/>
        <v>0</v>
      </c>
      <c r="CC178" s="541">
        <f t="shared" ref="CC178" ca="1" si="7105">CB178*$Z178</f>
        <v>0</v>
      </c>
      <c r="CD178" s="546">
        <f t="shared" ca="1" si="6734"/>
        <v>0</v>
      </c>
      <c r="CE178" s="212" t="str">
        <f t="shared" ca="1" si="6904"/>
        <v/>
      </c>
      <c r="CF178" s="214"/>
      <c r="CG178" s="489" t="str">
        <f t="shared" ca="1" si="6844"/>
        <v/>
      </c>
      <c r="CH178" s="215"/>
      <c r="CI178" s="199">
        <f t="shared" ca="1" si="6845"/>
        <v>0</v>
      </c>
      <c r="CJ178" s="199">
        <f t="shared" ca="1" si="6846"/>
        <v>0</v>
      </c>
      <c r="CK178" s="216">
        <f t="shared" ca="1" si="6606"/>
        <v>0</v>
      </c>
      <c r="CL178" s="202">
        <f t="shared" ca="1" si="6847"/>
        <v>0</v>
      </c>
      <c r="CM178" s="203">
        <f t="shared" ca="1" si="6848"/>
        <v>0</v>
      </c>
      <c r="CN178" s="203">
        <f t="shared" ca="1" si="6849"/>
        <v>0</v>
      </c>
      <c r="CO178" s="204">
        <f t="shared" ca="1" si="6850"/>
        <v>0</v>
      </c>
      <c r="CP178" s="205"/>
      <c r="CQ178" s="206">
        <f t="shared" ca="1" si="6851"/>
        <v>0</v>
      </c>
      <c r="CR178" s="206">
        <f t="shared" ca="1" si="6852"/>
        <v>0</v>
      </c>
      <c r="CS178" s="207">
        <f t="shared" ca="1" si="6607"/>
        <v>0</v>
      </c>
      <c r="CT178" s="541">
        <f t="shared" ref="CT178:CT186" si="7106">CF178+CP178</f>
        <v>0</v>
      </c>
      <c r="CU178" s="541">
        <f t="shared" ca="1" si="5334"/>
        <v>0</v>
      </c>
      <c r="CV178" s="541">
        <f t="shared" ca="1" si="6854"/>
        <v>0</v>
      </c>
      <c r="CW178" s="546">
        <f t="shared" ca="1" si="6608"/>
        <v>0</v>
      </c>
      <c r="CX178" s="211" t="str">
        <f t="shared" ca="1" si="6905"/>
        <v/>
      </c>
      <c r="CY178" s="548">
        <v>70.010000000000005</v>
      </c>
      <c r="CZ178" s="489">
        <f t="shared" ca="1" si="6855"/>
        <v>1.2362889762809095</v>
      </c>
      <c r="DA178" s="395">
        <v>1785.06</v>
      </c>
      <c r="DB178" s="199">
        <f t="shared" ca="1" si="6856"/>
        <v>279473.61910000001</v>
      </c>
      <c r="DC178" s="199">
        <f t="shared" ca="1" si="6857"/>
        <v>279473.65543157054</v>
      </c>
      <c r="DD178" s="216">
        <f t="shared" ca="1" si="7009"/>
        <v>7.7947276728996734E-2</v>
      </c>
      <c r="DE178" s="202">
        <f t="shared" ca="1" si="6858"/>
        <v>-70.010000000000005</v>
      </c>
      <c r="DF178" s="203">
        <f t="shared" ca="1" si="6859"/>
        <v>-279473.61910000001</v>
      </c>
      <c r="DG178" s="203">
        <f t="shared" ca="1" si="6860"/>
        <v>-279473.65543157054</v>
      </c>
      <c r="DH178" s="204">
        <f t="shared" ca="1" si="6861"/>
        <v>-7.7947276728996734E-2</v>
      </c>
      <c r="DI178" s="205"/>
      <c r="DJ178" s="206">
        <f t="shared" ca="1" si="6862"/>
        <v>0</v>
      </c>
      <c r="DK178" s="206">
        <f t="shared" ca="1" si="6863"/>
        <v>0</v>
      </c>
      <c r="DL178" s="207">
        <f t="shared" ca="1" si="7010"/>
        <v>0</v>
      </c>
      <c r="DM178" s="541">
        <f t="shared" si="7061"/>
        <v>70.010000000000005</v>
      </c>
      <c r="DN178" s="541">
        <f t="shared" ca="1" si="5338"/>
        <v>279473.61910000001</v>
      </c>
      <c r="DO178" s="541">
        <f t="shared" ca="1" si="6865"/>
        <v>279473.65543157054</v>
      </c>
      <c r="DP178" s="546">
        <f t="shared" ca="1" si="6609"/>
        <v>7.7947276728996734E-2</v>
      </c>
      <c r="DQ178" s="209" t="str">
        <f t="shared" ca="1" si="6906"/>
        <v>V</v>
      </c>
      <c r="DR178" s="548"/>
      <c r="DS178" s="489" t="str">
        <f t="shared" ca="1" si="6866"/>
        <v/>
      </c>
      <c r="DT178" s="395"/>
      <c r="DU178" s="199">
        <f t="shared" ca="1" si="6867"/>
        <v>0</v>
      </c>
      <c r="DV178" s="199">
        <f t="shared" ca="1" si="6868"/>
        <v>0</v>
      </c>
      <c r="DW178" s="216">
        <f t="shared" ca="1" si="5343"/>
        <v>0</v>
      </c>
      <c r="DX178" s="202">
        <f t="shared" ca="1" si="6869"/>
        <v>0</v>
      </c>
      <c r="DY178" s="203">
        <f t="shared" ca="1" si="6870"/>
        <v>0</v>
      </c>
      <c r="DZ178" s="203">
        <f t="shared" ca="1" si="6871"/>
        <v>0</v>
      </c>
      <c r="EA178" s="204">
        <f t="shared" ca="1" si="6872"/>
        <v>0</v>
      </c>
      <c r="EB178" s="205"/>
      <c r="EC178" s="206">
        <f t="shared" ca="1" si="6873"/>
        <v>0</v>
      </c>
      <c r="ED178" s="206">
        <f t="shared" ca="1" si="6874"/>
        <v>0</v>
      </c>
      <c r="EE178" s="207">
        <f t="shared" ca="1" si="5349"/>
        <v>0</v>
      </c>
      <c r="EF178" s="541">
        <f t="shared" si="7062"/>
        <v>0</v>
      </c>
      <c r="EG178" s="541">
        <f t="shared" ca="1" si="6876"/>
        <v>0</v>
      </c>
      <c r="EH178" s="541">
        <f t="shared" ca="1" si="6877"/>
        <v>0</v>
      </c>
      <c r="EI178" s="546">
        <f t="shared" ca="1" si="6610"/>
        <v>0</v>
      </c>
      <c r="EJ178" s="214"/>
      <c r="EK178" s="489" t="str">
        <f t="shared" ca="1" si="6878"/>
        <v/>
      </c>
      <c r="EL178" s="222"/>
      <c r="EM178" s="199">
        <f t="shared" ref="EM178" ca="1" si="7107">EJ178*$X178</f>
        <v>0</v>
      </c>
      <c r="EN178" s="199">
        <f t="shared" ref="EN178" ca="1" si="7108">EM178*$Z178</f>
        <v>0</v>
      </c>
      <c r="EO178" s="216">
        <f t="shared" ca="1" si="6735"/>
        <v>0</v>
      </c>
      <c r="EP178" s="202">
        <f t="shared" ref="EP178:EP181" ca="1" si="7109">EQ178/$X178</f>
        <v>0</v>
      </c>
      <c r="EQ178" s="203">
        <f t="shared" ref="EQ178:EQ181" ca="1" si="7110">ER178/$Z178</f>
        <v>0</v>
      </c>
      <c r="ER178" s="203">
        <f t="shared" ca="1" si="6883"/>
        <v>0</v>
      </c>
      <c r="ES178" s="204">
        <f t="shared" ca="1" si="6884"/>
        <v>0</v>
      </c>
      <c r="ET178" s="205"/>
      <c r="EU178" s="206">
        <f t="shared" ref="EU178" ca="1" si="7111">ET178*$X178</f>
        <v>0</v>
      </c>
      <c r="EV178" s="206">
        <f t="shared" ref="EV178" ca="1" si="7112">EU178*$Z178</f>
        <v>0</v>
      </c>
      <c r="EW178" s="207">
        <f t="shared" ca="1" si="6736"/>
        <v>0</v>
      </c>
      <c r="EX178" s="541">
        <f t="shared" ref="EX178:EX186" si="7113">EJ178+ET178</f>
        <v>0</v>
      </c>
      <c r="EY178" s="541">
        <f t="shared" ca="1" si="5364"/>
        <v>0</v>
      </c>
      <c r="EZ178" s="541">
        <f t="shared" ref="EZ178" ca="1" si="7114">EY178*$Z178</f>
        <v>0</v>
      </c>
      <c r="FA178" s="546">
        <f t="shared" ca="1" si="6737"/>
        <v>0</v>
      </c>
      <c r="FB178" s="212" t="str">
        <f t="shared" ca="1" si="6907"/>
        <v/>
      </c>
      <c r="FC178" s="214"/>
      <c r="FD178" s="489" t="str">
        <f t="shared" ca="1" si="6889"/>
        <v/>
      </c>
      <c r="FE178" s="215"/>
      <c r="FF178" s="199">
        <f t="shared" ref="FF178:FF181" ca="1" si="7115">FC178*$X178</f>
        <v>0</v>
      </c>
      <c r="FG178" s="199">
        <f t="shared" ref="FG178:FG181" ca="1" si="7116">FF178*$Z178</f>
        <v>0</v>
      </c>
      <c r="FH178" s="216">
        <f t="shared" ca="1" si="6892"/>
        <v>0</v>
      </c>
      <c r="FI178" s="202">
        <f t="shared" ref="FI178:FI181" ca="1" si="7117">FJ178/$X178</f>
        <v>0</v>
      </c>
      <c r="FJ178" s="203">
        <f t="shared" ref="FJ178:FJ181" ca="1" si="7118">FK178/$Z178</f>
        <v>0</v>
      </c>
      <c r="FK178" s="203">
        <f t="shared" ca="1" si="6895"/>
        <v>0</v>
      </c>
      <c r="FL178" s="204">
        <f t="shared" ca="1" si="6896"/>
        <v>0</v>
      </c>
      <c r="FM178" s="205"/>
      <c r="FN178" s="206">
        <f t="shared" ref="FN178:FN181" ca="1" si="7119">FM178*$X178</f>
        <v>0</v>
      </c>
      <c r="FO178" s="206">
        <f t="shared" ref="FO178:FO181" ca="1" si="7120">FN178*$Z178</f>
        <v>0</v>
      </c>
      <c r="FP178" s="207">
        <f t="shared" ca="1" si="6739"/>
        <v>0</v>
      </c>
      <c r="FQ178" s="541">
        <f t="shared" ref="FQ178:FQ186" si="7121">FC178+FM178</f>
        <v>0</v>
      </c>
      <c r="FR178" s="541">
        <f t="shared" ca="1" si="5378"/>
        <v>0</v>
      </c>
      <c r="FS178" s="541">
        <f t="shared" ref="FS178:FS181" ca="1" si="7122">FR178*$Z178</f>
        <v>0</v>
      </c>
      <c r="FT178" s="546">
        <f t="shared" ca="1" si="6740"/>
        <v>0</v>
      </c>
      <c r="FU178" s="209" t="str">
        <f t="shared" ca="1" si="6908"/>
        <v/>
      </c>
    </row>
    <row r="179" spans="1:177" outlineLevel="2" x14ac:dyDescent="0.2">
      <c r="A179" s="534"/>
      <c r="B179" s="534"/>
      <c r="C179" s="535" t="str">
        <f t="shared" ca="1" si="6799"/>
        <v>FR0003999010:CHF</v>
      </c>
      <c r="D179" s="536" t="str">
        <f t="shared" ca="1" si="6800"/>
        <v>FR0003999010</v>
      </c>
      <c r="E179" s="537" t="str">
        <f t="shared" ca="1" si="6800"/>
        <v>274701</v>
      </c>
      <c r="F179" s="547" t="s">
        <v>793</v>
      </c>
      <c r="G179" s="549"/>
      <c r="H179" s="1729" t="str">
        <f t="shared" ca="1" si="6801"/>
        <v></v>
      </c>
      <c r="I179" s="1690" t="str">
        <f t="shared" ca="1" si="6802"/>
        <v>i</v>
      </c>
      <c r="J179" s="1729" t="str">
        <f t="shared" ca="1" si="6803"/>
        <v/>
      </c>
      <c r="K179" s="1730" t="str">
        <f t="shared" ca="1" si="6803"/>
        <v/>
      </c>
      <c r="L179" s="1731" t="str">
        <f t="shared" ca="1" si="6804"/>
        <v/>
      </c>
      <c r="M179" s="534" t="str">
        <f t="shared" ca="1" si="6805"/>
        <v>Unit</v>
      </c>
      <c r="N179" s="539"/>
      <c r="O179" s="539"/>
      <c r="P179" s="540">
        <f t="shared" ca="1" si="6910"/>
        <v>0</v>
      </c>
      <c r="Q179" s="541">
        <f t="array" aca="1" ref="Q179" ca="1">SUM(IF($AA$15:$FT$15="I_pos",AA179:FT179))</f>
        <v>0</v>
      </c>
      <c r="R179" s="541">
        <f t="array" aca="1" ref="R179" ca="1">SUM(IF($AA$15:$FT$15="P_Pos",AA179:FT179))</f>
        <v>0</v>
      </c>
      <c r="S179" s="535"/>
      <c r="T179" s="541"/>
      <c r="U179" s="542">
        <f t="shared" ca="1" si="6806"/>
        <v>-3.8902511266581202E-2</v>
      </c>
      <c r="V179" s="541">
        <f t="array" aca="1" ref="V179" ca="1">SUM(IF($AA$15:$FT$15="O_Pos",AA179:FT179))</f>
        <v>0</v>
      </c>
      <c r="W179" s="535" t="str">
        <f t="shared" ref="W179" ca="1" si="7123">OFFSET(Origine,MATCH($F179,Descrizioni,0),MATCH(W$15,Intestazioni,0)-1,1,1)</f>
        <v>CHF</v>
      </c>
      <c r="X179" s="543">
        <f t="shared" ca="1" si="6808"/>
        <v>128171</v>
      </c>
      <c r="Y179" s="544">
        <f t="shared" ca="1" si="6809"/>
        <v>0</v>
      </c>
      <c r="Z179" s="545">
        <f t="shared" ca="1" si="6810"/>
        <v>1.0000001300000001</v>
      </c>
      <c r="AA179" s="214"/>
      <c r="AB179" s="489" t="str">
        <f t="shared" ca="1" si="6811"/>
        <v/>
      </c>
      <c r="AC179" s="215"/>
      <c r="AD179" s="199">
        <f t="shared" ca="1" si="6812"/>
        <v>0</v>
      </c>
      <c r="AE179" s="199">
        <f t="shared" ca="1" si="6813"/>
        <v>0</v>
      </c>
      <c r="AF179" s="216">
        <f t="shared" ca="1" si="6726"/>
        <v>0</v>
      </c>
      <c r="AG179" s="202">
        <f t="shared" ca="1" si="7087"/>
        <v>0</v>
      </c>
      <c r="AH179" s="203">
        <f t="shared" ca="1" si="7088"/>
        <v>0</v>
      </c>
      <c r="AI179" s="203">
        <f t="shared" ca="1" si="6816"/>
        <v>0</v>
      </c>
      <c r="AJ179" s="204">
        <f t="shared" ca="1" si="6817"/>
        <v>0</v>
      </c>
      <c r="AK179" s="205"/>
      <c r="AL179" s="206">
        <f t="shared" ca="1" si="6818"/>
        <v>0</v>
      </c>
      <c r="AM179" s="206">
        <f t="shared" ca="1" si="6819"/>
        <v>0</v>
      </c>
      <c r="AN179" s="207">
        <f t="shared" ca="1" si="6727"/>
        <v>0</v>
      </c>
      <c r="AO179" s="541">
        <f t="shared" si="7089"/>
        <v>0</v>
      </c>
      <c r="AP179" s="541">
        <f t="shared" ca="1" si="5295"/>
        <v>0</v>
      </c>
      <c r="AQ179" s="541">
        <f t="shared" ca="1" si="6821"/>
        <v>0</v>
      </c>
      <c r="AR179" s="546">
        <f t="shared" ca="1" si="6728"/>
        <v>0</v>
      </c>
      <c r="AS179" s="209" t="str">
        <f t="shared" ca="1" si="6902"/>
        <v/>
      </c>
      <c r="AT179" s="214"/>
      <c r="AU179" s="489" t="str">
        <f t="shared" ca="1" si="6822"/>
        <v/>
      </c>
      <c r="AV179" s="215"/>
      <c r="AW179" s="199">
        <f ca="1">AT179*$X179</f>
        <v>0</v>
      </c>
      <c r="AX179" s="199">
        <f ca="1">AW179*$Z179</f>
        <v>0</v>
      </c>
      <c r="AY179" s="216">
        <f t="shared" ca="1" si="6729"/>
        <v>0</v>
      </c>
      <c r="AZ179" s="202">
        <f t="shared" ca="1" si="7092"/>
        <v>0</v>
      </c>
      <c r="BA179" s="203">
        <f t="shared" ca="1" si="7093"/>
        <v>0</v>
      </c>
      <c r="BB179" s="203">
        <f t="shared" ca="1" si="6827"/>
        <v>0</v>
      </c>
      <c r="BC179" s="204">
        <f t="shared" ca="1" si="6828"/>
        <v>0</v>
      </c>
      <c r="BD179" s="205"/>
      <c r="BE179" s="206">
        <f ca="1">BD179*$X179</f>
        <v>0</v>
      </c>
      <c r="BF179" s="206">
        <f ca="1">BE179*$Z179</f>
        <v>0</v>
      </c>
      <c r="BG179" s="207">
        <f t="shared" ca="1" si="6730"/>
        <v>0</v>
      </c>
      <c r="BH179" s="541">
        <f t="shared" si="7096"/>
        <v>0</v>
      </c>
      <c r="BI179" s="541">
        <f t="shared" ca="1" si="5308"/>
        <v>0</v>
      </c>
      <c r="BJ179" s="541">
        <f ca="1">BI179*$Z179</f>
        <v>0</v>
      </c>
      <c r="BK179" s="546">
        <f t="shared" ca="1" si="6731"/>
        <v>0</v>
      </c>
      <c r="BL179" s="211" t="str">
        <f t="shared" ca="1" si="6903"/>
        <v/>
      </c>
      <c r="BM179" s="214"/>
      <c r="BN179" s="489" t="str">
        <f t="shared" ca="1" si="6833"/>
        <v/>
      </c>
      <c r="BO179" s="215"/>
      <c r="BP179" s="199">
        <f ca="1">BM179*$X179</f>
        <v>0</v>
      </c>
      <c r="BQ179" s="199">
        <f ca="1">BP179*$Z179</f>
        <v>0</v>
      </c>
      <c r="BR179" s="216">
        <f t="shared" ca="1" si="6732"/>
        <v>0</v>
      </c>
      <c r="BS179" s="202">
        <f t="shared" ca="1" si="7100"/>
        <v>0</v>
      </c>
      <c r="BT179" s="203">
        <f t="shared" ca="1" si="7101"/>
        <v>0</v>
      </c>
      <c r="BU179" s="203">
        <f t="shared" ca="1" si="6838"/>
        <v>0</v>
      </c>
      <c r="BV179" s="204">
        <f t="shared" ca="1" si="6839"/>
        <v>0</v>
      </c>
      <c r="BW179" s="205"/>
      <c r="BX179" s="206">
        <f ca="1">BW179*$X179</f>
        <v>0</v>
      </c>
      <c r="BY179" s="206">
        <f ca="1">BX179*$Z179</f>
        <v>0</v>
      </c>
      <c r="BZ179" s="207">
        <f t="shared" ca="1" si="6733"/>
        <v>0</v>
      </c>
      <c r="CA179" s="541">
        <f t="shared" si="7104"/>
        <v>0</v>
      </c>
      <c r="CB179" s="541">
        <f t="shared" ca="1" si="5321"/>
        <v>0</v>
      </c>
      <c r="CC179" s="541">
        <f ca="1">CB179*$Z179</f>
        <v>0</v>
      </c>
      <c r="CD179" s="546">
        <f t="shared" ca="1" si="6734"/>
        <v>0</v>
      </c>
      <c r="CE179" s="212" t="str">
        <f t="shared" ca="1" si="6904"/>
        <v/>
      </c>
      <c r="CF179" s="214"/>
      <c r="CG179" s="489" t="str">
        <f t="shared" ca="1" si="6844"/>
        <v/>
      </c>
      <c r="CH179" s="215"/>
      <c r="CI179" s="199">
        <f t="shared" ca="1" si="6845"/>
        <v>0</v>
      </c>
      <c r="CJ179" s="199">
        <f t="shared" ca="1" si="6846"/>
        <v>0</v>
      </c>
      <c r="CK179" s="216">
        <f t="shared" ca="1" si="6606"/>
        <v>0</v>
      </c>
      <c r="CL179" s="202">
        <f t="shared" ca="1" si="6847"/>
        <v>0</v>
      </c>
      <c r="CM179" s="203">
        <f t="shared" ca="1" si="6848"/>
        <v>0</v>
      </c>
      <c r="CN179" s="203">
        <f t="shared" ca="1" si="6849"/>
        <v>0</v>
      </c>
      <c r="CO179" s="204">
        <f t="shared" ca="1" si="6850"/>
        <v>0</v>
      </c>
      <c r="CP179" s="205"/>
      <c r="CQ179" s="206">
        <f t="shared" ca="1" si="6851"/>
        <v>0</v>
      </c>
      <c r="CR179" s="206">
        <f t="shared" ca="1" si="6852"/>
        <v>0</v>
      </c>
      <c r="CS179" s="207">
        <f t="shared" ca="1" si="6607"/>
        <v>0</v>
      </c>
      <c r="CT179" s="541">
        <f t="shared" si="7106"/>
        <v>0</v>
      </c>
      <c r="CU179" s="541">
        <f t="shared" ca="1" si="5334"/>
        <v>0</v>
      </c>
      <c r="CV179" s="541">
        <f t="shared" ca="1" si="6854"/>
        <v>0</v>
      </c>
      <c r="CW179" s="546">
        <f t="shared" ca="1" si="6608"/>
        <v>0</v>
      </c>
      <c r="CX179" s="211" t="str">
        <f t="shared" ca="1" si="6905"/>
        <v/>
      </c>
      <c r="CY179" s="197"/>
      <c r="CZ179" s="489" t="str">
        <f t="shared" ca="1" si="6855"/>
        <v/>
      </c>
      <c r="DA179" s="395"/>
      <c r="DB179" s="199">
        <f t="shared" ca="1" si="6856"/>
        <v>0</v>
      </c>
      <c r="DC179" s="199">
        <f t="shared" ca="1" si="6857"/>
        <v>0</v>
      </c>
      <c r="DD179" s="216">
        <f t="shared" ca="1" si="7009"/>
        <v>0</v>
      </c>
      <c r="DE179" s="202">
        <f t="shared" ca="1" si="6858"/>
        <v>0</v>
      </c>
      <c r="DF179" s="203">
        <f t="shared" ca="1" si="6859"/>
        <v>0</v>
      </c>
      <c r="DG179" s="203">
        <f t="shared" ca="1" si="6860"/>
        <v>0</v>
      </c>
      <c r="DH179" s="204">
        <f t="shared" ca="1" si="6861"/>
        <v>0</v>
      </c>
      <c r="DI179" s="205"/>
      <c r="DJ179" s="206">
        <f t="shared" ca="1" si="6862"/>
        <v>0</v>
      </c>
      <c r="DK179" s="206">
        <f t="shared" ca="1" si="6863"/>
        <v>0</v>
      </c>
      <c r="DL179" s="207">
        <f t="shared" ca="1" si="7010"/>
        <v>0</v>
      </c>
      <c r="DM179" s="541">
        <f t="shared" si="7061"/>
        <v>0</v>
      </c>
      <c r="DN179" s="541">
        <f t="shared" ca="1" si="5338"/>
        <v>0</v>
      </c>
      <c r="DO179" s="541">
        <f t="shared" ca="1" si="6865"/>
        <v>0</v>
      </c>
      <c r="DP179" s="546">
        <f t="shared" ca="1" si="6609"/>
        <v>0</v>
      </c>
      <c r="DQ179" s="209" t="str">
        <f t="shared" ca="1" si="6906"/>
        <v/>
      </c>
      <c r="DR179" s="197"/>
      <c r="DS179" s="489" t="str">
        <f t="shared" ca="1" si="6866"/>
        <v/>
      </c>
      <c r="DT179" s="395"/>
      <c r="DU179" s="199">
        <f t="shared" ca="1" si="6867"/>
        <v>0</v>
      </c>
      <c r="DV179" s="199">
        <f t="shared" ca="1" si="6868"/>
        <v>0</v>
      </c>
      <c r="DW179" s="216">
        <f t="shared" ca="1" si="5343"/>
        <v>0</v>
      </c>
      <c r="DX179" s="202">
        <f t="shared" ca="1" si="6869"/>
        <v>0</v>
      </c>
      <c r="DY179" s="203">
        <f t="shared" ca="1" si="6870"/>
        <v>0</v>
      </c>
      <c r="DZ179" s="203">
        <f t="shared" ca="1" si="6871"/>
        <v>0</v>
      </c>
      <c r="EA179" s="204">
        <f t="shared" ca="1" si="6872"/>
        <v>0</v>
      </c>
      <c r="EB179" s="205"/>
      <c r="EC179" s="206">
        <f t="shared" ca="1" si="6873"/>
        <v>0</v>
      </c>
      <c r="ED179" s="206">
        <f t="shared" ca="1" si="6874"/>
        <v>0</v>
      </c>
      <c r="EE179" s="207">
        <f t="shared" ca="1" si="5349"/>
        <v>0</v>
      </c>
      <c r="EF179" s="541">
        <f t="shared" si="7062"/>
        <v>0</v>
      </c>
      <c r="EG179" s="541">
        <f t="shared" ca="1" si="6876"/>
        <v>0</v>
      </c>
      <c r="EH179" s="541">
        <f t="shared" ca="1" si="6877"/>
        <v>0</v>
      </c>
      <c r="EI179" s="546">
        <f t="shared" ca="1" si="6610"/>
        <v>0</v>
      </c>
      <c r="EJ179" s="214"/>
      <c r="EK179" s="489" t="str">
        <f t="shared" ca="1" si="6878"/>
        <v/>
      </c>
      <c r="EL179" s="222"/>
      <c r="EM179" s="199">
        <f ca="1">EJ179*$X179</f>
        <v>0</v>
      </c>
      <c r="EN179" s="199">
        <f ca="1">EM179*$Z179</f>
        <v>0</v>
      </c>
      <c r="EO179" s="216">
        <f t="shared" ca="1" si="6735"/>
        <v>0</v>
      </c>
      <c r="EP179" s="202">
        <f t="shared" ca="1" si="7109"/>
        <v>0</v>
      </c>
      <c r="EQ179" s="203">
        <f t="shared" ca="1" si="7110"/>
        <v>0</v>
      </c>
      <c r="ER179" s="203">
        <f t="shared" ca="1" si="6883"/>
        <v>0</v>
      </c>
      <c r="ES179" s="204">
        <f t="shared" ca="1" si="6884"/>
        <v>0</v>
      </c>
      <c r="ET179" s="205"/>
      <c r="EU179" s="206">
        <f ca="1">ET179*$X179</f>
        <v>0</v>
      </c>
      <c r="EV179" s="206">
        <f ca="1">EU179*$Z179</f>
        <v>0</v>
      </c>
      <c r="EW179" s="207">
        <f t="shared" ca="1" si="6736"/>
        <v>0</v>
      </c>
      <c r="EX179" s="541">
        <f t="shared" si="7113"/>
        <v>0</v>
      </c>
      <c r="EY179" s="541">
        <f t="shared" ca="1" si="5364"/>
        <v>0</v>
      </c>
      <c r="EZ179" s="541">
        <f ca="1">EY179*$Z179</f>
        <v>0</v>
      </c>
      <c r="FA179" s="546">
        <f t="shared" ca="1" si="6737"/>
        <v>0</v>
      </c>
      <c r="FB179" s="212" t="str">
        <f t="shared" ca="1" si="6907"/>
        <v/>
      </c>
      <c r="FC179" s="214"/>
      <c r="FD179" s="489" t="str">
        <f t="shared" ca="1" si="6889"/>
        <v/>
      </c>
      <c r="FE179" s="215"/>
      <c r="FF179" s="199">
        <f t="shared" ca="1" si="7115"/>
        <v>0</v>
      </c>
      <c r="FG179" s="199">
        <f t="shared" ca="1" si="7116"/>
        <v>0</v>
      </c>
      <c r="FH179" s="216">
        <f t="shared" ca="1" si="6892"/>
        <v>0</v>
      </c>
      <c r="FI179" s="202">
        <f t="shared" ca="1" si="7117"/>
        <v>0</v>
      </c>
      <c r="FJ179" s="203">
        <f t="shared" ca="1" si="7118"/>
        <v>0</v>
      </c>
      <c r="FK179" s="203">
        <f t="shared" ca="1" si="6895"/>
        <v>0</v>
      </c>
      <c r="FL179" s="204">
        <f t="shared" ca="1" si="6896"/>
        <v>0</v>
      </c>
      <c r="FM179" s="205"/>
      <c r="FN179" s="206">
        <f t="shared" ca="1" si="7119"/>
        <v>0</v>
      </c>
      <c r="FO179" s="206">
        <f t="shared" ca="1" si="7120"/>
        <v>0</v>
      </c>
      <c r="FP179" s="207">
        <f t="shared" ca="1" si="6739"/>
        <v>0</v>
      </c>
      <c r="FQ179" s="541">
        <f t="shared" si="7121"/>
        <v>0</v>
      </c>
      <c r="FR179" s="541">
        <f t="shared" ca="1" si="5378"/>
        <v>0</v>
      </c>
      <c r="FS179" s="541">
        <f t="shared" ca="1" si="7122"/>
        <v>0</v>
      </c>
      <c r="FT179" s="546">
        <f t="shared" ca="1" si="6740"/>
        <v>0</v>
      </c>
      <c r="FU179" s="209" t="str">
        <f t="shared" ca="1" si="6908"/>
        <v/>
      </c>
    </row>
    <row r="180" spans="1:177" outlineLevel="2" x14ac:dyDescent="0.2">
      <c r="A180" s="534"/>
      <c r="B180" s="534"/>
      <c r="C180" s="535" t="str">
        <f t="shared" ca="1" si="6799"/>
        <v>ZAE000003992:CHF</v>
      </c>
      <c r="D180" s="536" t="str">
        <f t="shared" ca="1" si="6800"/>
        <v>ZAE000003992</v>
      </c>
      <c r="E180" s="537" t="str">
        <f t="shared" ca="1" si="6800"/>
        <v>281626</v>
      </c>
      <c r="F180" s="535" t="s">
        <v>794</v>
      </c>
      <c r="G180" s="538"/>
      <c r="H180" s="1729" t="str">
        <f t="shared" ca="1" si="6801"/>
        <v></v>
      </c>
      <c r="I180" s="1690" t="str">
        <f t="shared" ca="1" si="6802"/>
        <v>i</v>
      </c>
      <c r="J180" s="1729" t="str">
        <f t="shared" ca="1" si="6803"/>
        <v/>
      </c>
      <c r="K180" s="1730" t="str">
        <f t="shared" ca="1" si="6803"/>
        <v></v>
      </c>
      <c r="L180" s="1731" t="str">
        <f t="shared" ca="1" si="6804"/>
        <v></v>
      </c>
      <c r="M180" s="534" t="str">
        <f t="shared" ca="1" si="6805"/>
        <v>Unit</v>
      </c>
      <c r="N180" s="539"/>
      <c r="O180" s="539"/>
      <c r="P180" s="540">
        <f t="shared" ca="1" si="6910"/>
        <v>0</v>
      </c>
      <c r="Q180" s="541">
        <f t="array" aca="1" ref="Q180" ca="1">SUM(IF($AA$15:$FT$15="I_pos",AA180:FT180))</f>
        <v>0</v>
      </c>
      <c r="R180" s="541">
        <f t="array" aca="1" ref="R180" ca="1">SUM(IF($AA$15:$FT$15="P_Pos",AA180:FT180))</f>
        <v>0</v>
      </c>
      <c r="S180" s="535"/>
      <c r="T180" s="541"/>
      <c r="U180" s="542">
        <f t="shared" ca="1" si="6806"/>
        <v>-3.9144176999756801E-2</v>
      </c>
      <c r="V180" s="541">
        <f t="array" aca="1" ref="V180" ca="1">SUM(IF($AA$15:$FT$15="O_Pos",AA180:FT180))</f>
        <v>0</v>
      </c>
      <c r="W180" s="535" t="str">
        <f t="shared" ref="W180" ca="1" si="7124">OFFSET(Origine,MATCH($F180,Descrizioni,0),MATCH(W$15,Intestazioni,0)-1,1,1)</f>
        <v>CHF</v>
      </c>
      <c r="X180" s="543">
        <f t="shared" ref="X180" ca="1" si="7125">_xlfn.NUMBERVALUE(OFFSET(Origine,MATCH($F180,Descrizioni,0),MATCH(X$15,Intestazioni,0)-1,1,1))</f>
        <v>395.2</v>
      </c>
      <c r="Y180" s="544">
        <f t="shared" ca="1" si="6809"/>
        <v>0</v>
      </c>
      <c r="Z180" s="545">
        <f t="shared" ca="1" si="6810"/>
        <v>1.0000001300000001</v>
      </c>
      <c r="AA180" s="214"/>
      <c r="AB180" s="489" t="str">
        <f t="shared" ca="1" si="6811"/>
        <v/>
      </c>
      <c r="AC180" s="215"/>
      <c r="AD180" s="199">
        <f t="shared" ca="1" si="6812"/>
        <v>0</v>
      </c>
      <c r="AE180" s="199">
        <f t="shared" ca="1" si="6813"/>
        <v>0</v>
      </c>
      <c r="AF180" s="216">
        <f t="shared" ca="1" si="6726"/>
        <v>0</v>
      </c>
      <c r="AG180" s="202">
        <f t="shared" ca="1" si="7087"/>
        <v>0</v>
      </c>
      <c r="AH180" s="203">
        <f t="shared" ca="1" si="7088"/>
        <v>0</v>
      </c>
      <c r="AI180" s="203">
        <f t="shared" ca="1" si="6816"/>
        <v>0</v>
      </c>
      <c r="AJ180" s="204">
        <f t="shared" ca="1" si="6817"/>
        <v>0</v>
      </c>
      <c r="AK180" s="205"/>
      <c r="AL180" s="206">
        <f t="shared" ca="1" si="6818"/>
        <v>0</v>
      </c>
      <c r="AM180" s="206">
        <f t="shared" ca="1" si="6819"/>
        <v>0</v>
      </c>
      <c r="AN180" s="207">
        <f t="shared" ca="1" si="6727"/>
        <v>0</v>
      </c>
      <c r="AO180" s="541">
        <f t="shared" si="7089"/>
        <v>0</v>
      </c>
      <c r="AP180" s="541">
        <f t="shared" ca="1" si="5295"/>
        <v>0</v>
      </c>
      <c r="AQ180" s="541">
        <f t="shared" ca="1" si="6821"/>
        <v>0</v>
      </c>
      <c r="AR180" s="546">
        <f t="shared" ca="1" si="6728"/>
        <v>0</v>
      </c>
      <c r="AS180" s="209" t="str">
        <f t="shared" ca="1" si="6902"/>
        <v/>
      </c>
      <c r="AT180" s="214"/>
      <c r="AU180" s="489" t="str">
        <f t="shared" ca="1" si="6822"/>
        <v/>
      </c>
      <c r="AV180" s="215"/>
      <c r="AW180" s="199">
        <f t="shared" ref="AW180:AW186" ca="1" si="7126">AT180*$X180</f>
        <v>0</v>
      </c>
      <c r="AX180" s="199">
        <f t="shared" ref="AX180:AX186" ca="1" si="7127">AW180*$Z180</f>
        <v>0</v>
      </c>
      <c r="AY180" s="216">
        <f t="shared" ca="1" si="6729"/>
        <v>0</v>
      </c>
      <c r="AZ180" s="202">
        <f t="shared" ca="1" si="7092"/>
        <v>0</v>
      </c>
      <c r="BA180" s="203">
        <f t="shared" ca="1" si="7093"/>
        <v>0</v>
      </c>
      <c r="BB180" s="203">
        <f t="shared" ca="1" si="6827"/>
        <v>0</v>
      </c>
      <c r="BC180" s="204">
        <f t="shared" ca="1" si="6828"/>
        <v>0</v>
      </c>
      <c r="BD180" s="205"/>
      <c r="BE180" s="206">
        <f t="shared" ref="BE180:BE186" ca="1" si="7128">BD180*$X180</f>
        <v>0</v>
      </c>
      <c r="BF180" s="206">
        <f t="shared" ref="BF180:BF186" ca="1" si="7129">BE180*$Z180</f>
        <v>0</v>
      </c>
      <c r="BG180" s="207">
        <f t="shared" ca="1" si="6730"/>
        <v>0</v>
      </c>
      <c r="BH180" s="541">
        <f t="shared" si="7096"/>
        <v>0</v>
      </c>
      <c r="BI180" s="541">
        <f t="shared" ca="1" si="5308"/>
        <v>0</v>
      </c>
      <c r="BJ180" s="541">
        <f t="shared" ref="BJ180:BJ186" ca="1" si="7130">BI180*$Z180</f>
        <v>0</v>
      </c>
      <c r="BK180" s="546">
        <f t="shared" ca="1" si="6731"/>
        <v>0</v>
      </c>
      <c r="BL180" s="211" t="str">
        <f t="shared" ca="1" si="6903"/>
        <v/>
      </c>
      <c r="BM180" s="214"/>
      <c r="BN180" s="489" t="str">
        <f t="shared" ca="1" si="6833"/>
        <v/>
      </c>
      <c r="BO180" s="215"/>
      <c r="BP180" s="199">
        <f t="shared" ref="BP180:BP186" ca="1" si="7131">BM180*$X180</f>
        <v>0</v>
      </c>
      <c r="BQ180" s="199">
        <f t="shared" ref="BQ180:BQ186" ca="1" si="7132">BP180*$Z180</f>
        <v>0</v>
      </c>
      <c r="BR180" s="216">
        <f t="shared" ca="1" si="6732"/>
        <v>0</v>
      </c>
      <c r="BS180" s="202">
        <f t="shared" ca="1" si="7100"/>
        <v>0</v>
      </c>
      <c r="BT180" s="203">
        <f t="shared" ca="1" si="7101"/>
        <v>0</v>
      </c>
      <c r="BU180" s="203">
        <f t="shared" ca="1" si="6838"/>
        <v>0</v>
      </c>
      <c r="BV180" s="204">
        <f t="shared" ca="1" si="6839"/>
        <v>0</v>
      </c>
      <c r="BW180" s="205"/>
      <c r="BX180" s="206">
        <f t="shared" ref="BX180:BX186" ca="1" si="7133">BW180*$X180</f>
        <v>0</v>
      </c>
      <c r="BY180" s="206">
        <f t="shared" ref="BY180:BY186" ca="1" si="7134">BX180*$Z180</f>
        <v>0</v>
      </c>
      <c r="BZ180" s="207">
        <f t="shared" ca="1" si="6733"/>
        <v>0</v>
      </c>
      <c r="CA180" s="541">
        <f t="shared" si="7104"/>
        <v>0</v>
      </c>
      <c r="CB180" s="541">
        <f t="shared" ca="1" si="5321"/>
        <v>0</v>
      </c>
      <c r="CC180" s="541">
        <f t="shared" ref="CC180:CC186" ca="1" si="7135">CB180*$Z180</f>
        <v>0</v>
      </c>
      <c r="CD180" s="546">
        <f t="shared" ca="1" si="6734"/>
        <v>0</v>
      </c>
      <c r="CE180" s="212" t="str">
        <f t="shared" ca="1" si="6904"/>
        <v/>
      </c>
      <c r="CF180" s="214"/>
      <c r="CG180" s="489" t="str">
        <f t="shared" ca="1" si="6844"/>
        <v/>
      </c>
      <c r="CH180" s="215"/>
      <c r="CI180" s="199">
        <f t="shared" ca="1" si="6845"/>
        <v>0</v>
      </c>
      <c r="CJ180" s="199">
        <f t="shared" ca="1" si="6846"/>
        <v>0</v>
      </c>
      <c r="CK180" s="216">
        <f t="shared" ca="1" si="6606"/>
        <v>0</v>
      </c>
      <c r="CL180" s="202">
        <f t="shared" ca="1" si="6847"/>
        <v>0</v>
      </c>
      <c r="CM180" s="203">
        <f t="shared" ca="1" si="6848"/>
        <v>0</v>
      </c>
      <c r="CN180" s="203">
        <f t="shared" ca="1" si="6849"/>
        <v>0</v>
      </c>
      <c r="CO180" s="204">
        <f t="shared" ca="1" si="6850"/>
        <v>0</v>
      </c>
      <c r="CP180" s="205"/>
      <c r="CQ180" s="206">
        <f t="shared" ca="1" si="6851"/>
        <v>0</v>
      </c>
      <c r="CR180" s="206">
        <f t="shared" ca="1" si="6852"/>
        <v>0</v>
      </c>
      <c r="CS180" s="207">
        <f t="shared" ca="1" si="6607"/>
        <v>0</v>
      </c>
      <c r="CT180" s="541">
        <f t="shared" si="7106"/>
        <v>0</v>
      </c>
      <c r="CU180" s="541">
        <f t="shared" ca="1" si="5334"/>
        <v>0</v>
      </c>
      <c r="CV180" s="541">
        <f t="shared" ca="1" si="6854"/>
        <v>0</v>
      </c>
      <c r="CW180" s="546">
        <f t="shared" ca="1" si="6608"/>
        <v>0</v>
      </c>
      <c r="CX180" s="211" t="str">
        <f t="shared" ca="1" si="6905"/>
        <v/>
      </c>
      <c r="CY180" s="197"/>
      <c r="CZ180" s="489" t="str">
        <f t="shared" ca="1" si="6855"/>
        <v/>
      </c>
      <c r="DA180" s="395"/>
      <c r="DB180" s="199">
        <f t="shared" ca="1" si="6856"/>
        <v>0</v>
      </c>
      <c r="DC180" s="199">
        <f t="shared" ca="1" si="6857"/>
        <v>0</v>
      </c>
      <c r="DD180" s="216">
        <f t="shared" ca="1" si="7009"/>
        <v>0</v>
      </c>
      <c r="DE180" s="202">
        <f t="shared" ca="1" si="6858"/>
        <v>0</v>
      </c>
      <c r="DF180" s="203">
        <f t="shared" ca="1" si="6859"/>
        <v>0</v>
      </c>
      <c r="DG180" s="203">
        <f t="shared" ca="1" si="6860"/>
        <v>0</v>
      </c>
      <c r="DH180" s="204">
        <f t="shared" ca="1" si="6861"/>
        <v>0</v>
      </c>
      <c r="DI180" s="205"/>
      <c r="DJ180" s="206">
        <f t="shared" ca="1" si="6862"/>
        <v>0</v>
      </c>
      <c r="DK180" s="206">
        <f t="shared" ca="1" si="6863"/>
        <v>0</v>
      </c>
      <c r="DL180" s="207">
        <f t="shared" ca="1" si="7010"/>
        <v>0</v>
      </c>
      <c r="DM180" s="541">
        <f t="shared" si="7061"/>
        <v>0</v>
      </c>
      <c r="DN180" s="541">
        <f t="shared" ca="1" si="5338"/>
        <v>0</v>
      </c>
      <c r="DO180" s="541">
        <f t="shared" ca="1" si="6865"/>
        <v>0</v>
      </c>
      <c r="DP180" s="546">
        <f t="shared" ca="1" si="6609"/>
        <v>0</v>
      </c>
      <c r="DQ180" s="209" t="str">
        <f t="shared" ca="1" si="6906"/>
        <v/>
      </c>
      <c r="DR180" s="197"/>
      <c r="DS180" s="489" t="str">
        <f t="shared" ca="1" si="6866"/>
        <v/>
      </c>
      <c r="DT180" s="395"/>
      <c r="DU180" s="199">
        <f t="shared" ca="1" si="6867"/>
        <v>0</v>
      </c>
      <c r="DV180" s="199">
        <f t="shared" ca="1" si="6868"/>
        <v>0</v>
      </c>
      <c r="DW180" s="216">
        <f t="shared" ca="1" si="5343"/>
        <v>0</v>
      </c>
      <c r="DX180" s="202">
        <f t="shared" ca="1" si="6869"/>
        <v>0</v>
      </c>
      <c r="DY180" s="203">
        <f t="shared" ca="1" si="6870"/>
        <v>0</v>
      </c>
      <c r="DZ180" s="203">
        <f t="shared" ca="1" si="6871"/>
        <v>0</v>
      </c>
      <c r="EA180" s="204">
        <f t="shared" ca="1" si="6872"/>
        <v>0</v>
      </c>
      <c r="EB180" s="205"/>
      <c r="EC180" s="206">
        <f t="shared" ca="1" si="6873"/>
        <v>0</v>
      </c>
      <c r="ED180" s="206">
        <f t="shared" ca="1" si="6874"/>
        <v>0</v>
      </c>
      <c r="EE180" s="207">
        <f t="shared" ca="1" si="5349"/>
        <v>0</v>
      </c>
      <c r="EF180" s="541">
        <f t="shared" si="7062"/>
        <v>0</v>
      </c>
      <c r="EG180" s="541">
        <f t="shared" ca="1" si="6876"/>
        <v>0</v>
      </c>
      <c r="EH180" s="541">
        <f t="shared" ca="1" si="6877"/>
        <v>0</v>
      </c>
      <c r="EI180" s="546">
        <f t="shared" ca="1" si="6610"/>
        <v>0</v>
      </c>
      <c r="EJ180" s="214"/>
      <c r="EK180" s="489" t="str">
        <f t="shared" ca="1" si="6878"/>
        <v/>
      </c>
      <c r="EL180" s="222"/>
      <c r="EM180" s="199">
        <f t="shared" ref="EM180:EM186" ca="1" si="7136">EJ180*$X180</f>
        <v>0</v>
      </c>
      <c r="EN180" s="199">
        <f t="shared" ref="EN180:EN186" ca="1" si="7137">EM180*$Z180</f>
        <v>0</v>
      </c>
      <c r="EO180" s="216">
        <f t="shared" ca="1" si="6735"/>
        <v>0</v>
      </c>
      <c r="EP180" s="202">
        <f t="shared" ca="1" si="7109"/>
        <v>0</v>
      </c>
      <c r="EQ180" s="203">
        <f t="shared" ca="1" si="7110"/>
        <v>0</v>
      </c>
      <c r="ER180" s="203">
        <f t="shared" ca="1" si="6883"/>
        <v>0</v>
      </c>
      <c r="ES180" s="204">
        <f t="shared" ca="1" si="6884"/>
        <v>0</v>
      </c>
      <c r="ET180" s="205"/>
      <c r="EU180" s="206">
        <f t="shared" ref="EU180:EU186" ca="1" si="7138">ET180*$X180</f>
        <v>0</v>
      </c>
      <c r="EV180" s="206">
        <f t="shared" ref="EV180:EV186" ca="1" si="7139">EU180*$Z180</f>
        <v>0</v>
      </c>
      <c r="EW180" s="207">
        <f t="shared" ca="1" si="6736"/>
        <v>0</v>
      </c>
      <c r="EX180" s="541">
        <f t="shared" si="7113"/>
        <v>0</v>
      </c>
      <c r="EY180" s="541">
        <f t="shared" ca="1" si="5364"/>
        <v>0</v>
      </c>
      <c r="EZ180" s="541">
        <f t="shared" ref="EZ180:EZ186" ca="1" si="7140">EY180*$Z180</f>
        <v>0</v>
      </c>
      <c r="FA180" s="546">
        <f t="shared" ca="1" si="6737"/>
        <v>0</v>
      </c>
      <c r="FB180" s="212" t="str">
        <f t="shared" ca="1" si="6907"/>
        <v/>
      </c>
      <c r="FC180" s="214"/>
      <c r="FD180" s="489" t="str">
        <f t="shared" ca="1" si="6889"/>
        <v/>
      </c>
      <c r="FE180" s="215"/>
      <c r="FF180" s="199">
        <f t="shared" ca="1" si="7115"/>
        <v>0</v>
      </c>
      <c r="FG180" s="199">
        <f t="shared" ca="1" si="7116"/>
        <v>0</v>
      </c>
      <c r="FH180" s="216">
        <f t="shared" ca="1" si="6892"/>
        <v>0</v>
      </c>
      <c r="FI180" s="202">
        <f t="shared" ca="1" si="7117"/>
        <v>0</v>
      </c>
      <c r="FJ180" s="203">
        <f t="shared" ca="1" si="7118"/>
        <v>0</v>
      </c>
      <c r="FK180" s="203">
        <f t="shared" ca="1" si="6895"/>
        <v>0</v>
      </c>
      <c r="FL180" s="204">
        <f t="shared" ca="1" si="6896"/>
        <v>0</v>
      </c>
      <c r="FM180" s="205"/>
      <c r="FN180" s="206">
        <f t="shared" ca="1" si="7119"/>
        <v>0</v>
      </c>
      <c r="FO180" s="206">
        <f t="shared" ca="1" si="7120"/>
        <v>0</v>
      </c>
      <c r="FP180" s="207">
        <f t="shared" ca="1" si="6739"/>
        <v>0</v>
      </c>
      <c r="FQ180" s="541">
        <f t="shared" si="7121"/>
        <v>0</v>
      </c>
      <c r="FR180" s="541">
        <f t="shared" ca="1" si="5378"/>
        <v>0</v>
      </c>
      <c r="FS180" s="541">
        <f t="shared" ca="1" si="7122"/>
        <v>0</v>
      </c>
      <c r="FT180" s="546">
        <f t="shared" ca="1" si="6740"/>
        <v>0</v>
      </c>
      <c r="FU180" s="209" t="str">
        <f t="shared" ca="1" si="6908"/>
        <v/>
      </c>
    </row>
    <row r="181" spans="1:177" outlineLevel="2" x14ac:dyDescent="0.2">
      <c r="A181" s="534"/>
      <c r="B181" s="534"/>
      <c r="C181" s="535" t="str">
        <f t="shared" ca="1" si="6799"/>
        <v>ZAE000003950:CHF</v>
      </c>
      <c r="D181" s="536" t="str">
        <f t="shared" ca="1" si="6800"/>
        <v>ZAE000003950</v>
      </c>
      <c r="E181" s="537" t="str">
        <f t="shared" ca="1" si="6800"/>
        <v>281624</v>
      </c>
      <c r="F181" s="547" t="s">
        <v>795</v>
      </c>
      <c r="G181" s="549"/>
      <c r="H181" s="1729" t="str">
        <f t="shared" ca="1" si="6801"/>
        <v></v>
      </c>
      <c r="I181" s="1690" t="str">
        <f t="shared" ca="1" si="6802"/>
        <v>i</v>
      </c>
      <c r="J181" s="1729" t="str">
        <f t="shared" ca="1" si="6803"/>
        <v/>
      </c>
      <c r="K181" s="1730" t="str">
        <f t="shared" ca="1" si="6803"/>
        <v></v>
      </c>
      <c r="L181" s="1731" t="str">
        <f t="shared" ca="1" si="6804"/>
        <v></v>
      </c>
      <c r="M181" s="534" t="str">
        <f t="shared" ca="1" si="6805"/>
        <v>Unit</v>
      </c>
      <c r="N181" s="539"/>
      <c r="O181" s="539"/>
      <c r="P181" s="540">
        <f t="shared" ca="1" si="6910"/>
        <v>0</v>
      </c>
      <c r="Q181" s="541">
        <f t="array" aca="1" ref="Q181" ca="1">SUM(IF($AA$15:$FT$15="I_pos",AA181:FT181))</f>
        <v>0</v>
      </c>
      <c r="R181" s="541">
        <f t="array" aca="1" ref="R181" ca="1">SUM(IF($AA$15:$FT$15="P_Pos",AA181:FT181))</f>
        <v>0</v>
      </c>
      <c r="S181" s="535"/>
      <c r="T181" s="541"/>
      <c r="U181" s="542">
        <f t="shared" ca="1" si="6806"/>
        <v>-3.9057805552217301E-2</v>
      </c>
      <c r="V181" s="541">
        <f t="array" aca="1" ref="V181" ca="1">SUM(IF($AA$15:$FT$15="O_Pos",AA181:FT181))</f>
        <v>0</v>
      </c>
      <c r="W181" s="535" t="str">
        <f t="shared" ref="W181" ca="1" si="7141">OFFSET(Origine,MATCH($F181,Descrizioni,0),MATCH(W$15,Intestazioni,0)-1,1,1)</f>
        <v>CHF</v>
      </c>
      <c r="X181" s="543">
        <f t="shared" ref="X181" ca="1" si="7142">_xlfn.NUMBERVALUE(OFFSET(Origine,MATCH($F181,Descrizioni,0),MATCH(X$15,Intestazioni,0)-1,1,1))</f>
        <v>3998</v>
      </c>
      <c r="Y181" s="544">
        <f t="shared" ca="1" si="6809"/>
        <v>0</v>
      </c>
      <c r="Z181" s="545">
        <f t="shared" ca="1" si="6810"/>
        <v>1.0000001300000001</v>
      </c>
      <c r="AA181" s="214"/>
      <c r="AB181" s="489" t="str">
        <f t="shared" ca="1" si="6811"/>
        <v/>
      </c>
      <c r="AC181" s="215"/>
      <c r="AD181" s="199">
        <f t="shared" ca="1" si="6812"/>
        <v>0</v>
      </c>
      <c r="AE181" s="199">
        <f t="shared" ca="1" si="6813"/>
        <v>0</v>
      </c>
      <c r="AF181" s="216">
        <f t="shared" ca="1" si="6726"/>
        <v>0</v>
      </c>
      <c r="AG181" s="202">
        <f t="shared" ca="1" si="7087"/>
        <v>0</v>
      </c>
      <c r="AH181" s="203">
        <f t="shared" ca="1" si="7088"/>
        <v>0</v>
      </c>
      <c r="AI181" s="203">
        <f t="shared" ca="1" si="6816"/>
        <v>0</v>
      </c>
      <c r="AJ181" s="204">
        <f t="shared" ca="1" si="6817"/>
        <v>0</v>
      </c>
      <c r="AK181" s="205"/>
      <c r="AL181" s="206">
        <f t="shared" ca="1" si="6818"/>
        <v>0</v>
      </c>
      <c r="AM181" s="206">
        <f t="shared" ca="1" si="6819"/>
        <v>0</v>
      </c>
      <c r="AN181" s="207">
        <f t="shared" ca="1" si="6727"/>
        <v>0</v>
      </c>
      <c r="AO181" s="541">
        <f t="shared" si="7089"/>
        <v>0</v>
      </c>
      <c r="AP181" s="541">
        <f t="shared" ca="1" si="5295"/>
        <v>0</v>
      </c>
      <c r="AQ181" s="541">
        <f t="shared" ca="1" si="6821"/>
        <v>0</v>
      </c>
      <c r="AR181" s="546">
        <f t="shared" ca="1" si="6728"/>
        <v>0</v>
      </c>
      <c r="AS181" s="209" t="str">
        <f t="shared" ca="1" si="6902"/>
        <v/>
      </c>
      <c r="AT181" s="214"/>
      <c r="AU181" s="489" t="str">
        <f t="shared" ca="1" si="6822"/>
        <v/>
      </c>
      <c r="AV181" s="215"/>
      <c r="AW181" s="199">
        <f t="shared" ca="1" si="7126"/>
        <v>0</v>
      </c>
      <c r="AX181" s="199">
        <f t="shared" ca="1" si="7127"/>
        <v>0</v>
      </c>
      <c r="AY181" s="216">
        <f t="shared" ca="1" si="6729"/>
        <v>0</v>
      </c>
      <c r="AZ181" s="202">
        <f t="shared" ca="1" si="7092"/>
        <v>0</v>
      </c>
      <c r="BA181" s="203">
        <f t="shared" ca="1" si="7093"/>
        <v>0</v>
      </c>
      <c r="BB181" s="203">
        <f t="shared" ca="1" si="6827"/>
        <v>0</v>
      </c>
      <c r="BC181" s="204">
        <f t="shared" ca="1" si="6828"/>
        <v>0</v>
      </c>
      <c r="BD181" s="205"/>
      <c r="BE181" s="206">
        <f t="shared" ca="1" si="7128"/>
        <v>0</v>
      </c>
      <c r="BF181" s="206">
        <f t="shared" ca="1" si="7129"/>
        <v>0</v>
      </c>
      <c r="BG181" s="207">
        <f t="shared" ca="1" si="6730"/>
        <v>0</v>
      </c>
      <c r="BH181" s="541">
        <f t="shared" si="7096"/>
        <v>0</v>
      </c>
      <c r="BI181" s="541">
        <f t="shared" ca="1" si="5308"/>
        <v>0</v>
      </c>
      <c r="BJ181" s="541">
        <f t="shared" ca="1" si="7130"/>
        <v>0</v>
      </c>
      <c r="BK181" s="546">
        <f t="shared" ca="1" si="6731"/>
        <v>0</v>
      </c>
      <c r="BL181" s="211" t="str">
        <f t="shared" ca="1" si="6903"/>
        <v/>
      </c>
      <c r="BM181" s="214"/>
      <c r="BN181" s="489" t="str">
        <f t="shared" ca="1" si="6833"/>
        <v/>
      </c>
      <c r="BO181" s="215"/>
      <c r="BP181" s="199">
        <f t="shared" ca="1" si="7131"/>
        <v>0</v>
      </c>
      <c r="BQ181" s="199">
        <f t="shared" ca="1" si="7132"/>
        <v>0</v>
      </c>
      <c r="BR181" s="216">
        <f t="shared" ca="1" si="6732"/>
        <v>0</v>
      </c>
      <c r="BS181" s="202">
        <f t="shared" ca="1" si="7100"/>
        <v>0</v>
      </c>
      <c r="BT181" s="203">
        <f t="shared" ca="1" si="7101"/>
        <v>0</v>
      </c>
      <c r="BU181" s="203">
        <f t="shared" ca="1" si="6838"/>
        <v>0</v>
      </c>
      <c r="BV181" s="204">
        <f t="shared" ca="1" si="6839"/>
        <v>0</v>
      </c>
      <c r="BW181" s="205"/>
      <c r="BX181" s="206">
        <f t="shared" ca="1" si="7133"/>
        <v>0</v>
      </c>
      <c r="BY181" s="206">
        <f t="shared" ca="1" si="7134"/>
        <v>0</v>
      </c>
      <c r="BZ181" s="207">
        <f t="shared" ca="1" si="6733"/>
        <v>0</v>
      </c>
      <c r="CA181" s="541">
        <f t="shared" si="7104"/>
        <v>0</v>
      </c>
      <c r="CB181" s="541">
        <f t="shared" ca="1" si="5321"/>
        <v>0</v>
      </c>
      <c r="CC181" s="541">
        <f t="shared" ca="1" si="7135"/>
        <v>0</v>
      </c>
      <c r="CD181" s="546">
        <f t="shared" ca="1" si="6734"/>
        <v>0</v>
      </c>
      <c r="CE181" s="212" t="str">
        <f t="shared" ca="1" si="6904"/>
        <v/>
      </c>
      <c r="CF181" s="214"/>
      <c r="CG181" s="489" t="str">
        <f t="shared" ca="1" si="6844"/>
        <v/>
      </c>
      <c r="CH181" s="215"/>
      <c r="CI181" s="199">
        <f t="shared" ca="1" si="6845"/>
        <v>0</v>
      </c>
      <c r="CJ181" s="199">
        <f t="shared" ca="1" si="6846"/>
        <v>0</v>
      </c>
      <c r="CK181" s="216">
        <f t="shared" ca="1" si="6606"/>
        <v>0</v>
      </c>
      <c r="CL181" s="202">
        <f t="shared" ca="1" si="6847"/>
        <v>0</v>
      </c>
      <c r="CM181" s="203">
        <f t="shared" ca="1" si="6848"/>
        <v>0</v>
      </c>
      <c r="CN181" s="203">
        <f t="shared" ca="1" si="6849"/>
        <v>0</v>
      </c>
      <c r="CO181" s="204">
        <f t="shared" ca="1" si="6850"/>
        <v>0</v>
      </c>
      <c r="CP181" s="205"/>
      <c r="CQ181" s="206">
        <f t="shared" ca="1" si="6851"/>
        <v>0</v>
      </c>
      <c r="CR181" s="206">
        <f t="shared" ca="1" si="6852"/>
        <v>0</v>
      </c>
      <c r="CS181" s="207">
        <f t="shared" ca="1" si="6607"/>
        <v>0</v>
      </c>
      <c r="CT181" s="541">
        <f t="shared" si="7106"/>
        <v>0</v>
      </c>
      <c r="CU181" s="541">
        <f t="shared" ca="1" si="5334"/>
        <v>0</v>
      </c>
      <c r="CV181" s="541">
        <f t="shared" ca="1" si="6854"/>
        <v>0</v>
      </c>
      <c r="CW181" s="546">
        <f t="shared" ca="1" si="6608"/>
        <v>0</v>
      </c>
      <c r="CX181" s="211" t="str">
        <f t="shared" ca="1" si="6905"/>
        <v/>
      </c>
      <c r="CY181" s="197"/>
      <c r="CZ181" s="489" t="str">
        <f t="shared" ca="1" si="6855"/>
        <v/>
      </c>
      <c r="DA181" s="395"/>
      <c r="DB181" s="199">
        <f t="shared" ca="1" si="6856"/>
        <v>0</v>
      </c>
      <c r="DC181" s="199">
        <f t="shared" ca="1" si="6857"/>
        <v>0</v>
      </c>
      <c r="DD181" s="216">
        <f t="shared" ca="1" si="7009"/>
        <v>0</v>
      </c>
      <c r="DE181" s="202">
        <f t="shared" ca="1" si="6858"/>
        <v>0</v>
      </c>
      <c r="DF181" s="203">
        <f t="shared" ca="1" si="6859"/>
        <v>0</v>
      </c>
      <c r="DG181" s="203">
        <f t="shared" ca="1" si="6860"/>
        <v>0</v>
      </c>
      <c r="DH181" s="204">
        <f t="shared" ca="1" si="6861"/>
        <v>0</v>
      </c>
      <c r="DI181" s="205"/>
      <c r="DJ181" s="206">
        <f t="shared" ca="1" si="6862"/>
        <v>0</v>
      </c>
      <c r="DK181" s="206">
        <f t="shared" ca="1" si="6863"/>
        <v>0</v>
      </c>
      <c r="DL181" s="207">
        <f t="shared" ca="1" si="7010"/>
        <v>0</v>
      </c>
      <c r="DM181" s="541">
        <f t="shared" si="7061"/>
        <v>0</v>
      </c>
      <c r="DN181" s="541">
        <f t="shared" ca="1" si="5338"/>
        <v>0</v>
      </c>
      <c r="DO181" s="541">
        <f t="shared" ca="1" si="6865"/>
        <v>0</v>
      </c>
      <c r="DP181" s="546">
        <f t="shared" ca="1" si="6609"/>
        <v>0</v>
      </c>
      <c r="DQ181" s="209" t="str">
        <f t="shared" ca="1" si="6906"/>
        <v/>
      </c>
      <c r="DR181" s="197"/>
      <c r="DS181" s="489" t="str">
        <f t="shared" ca="1" si="6866"/>
        <v/>
      </c>
      <c r="DT181" s="395"/>
      <c r="DU181" s="199">
        <f t="shared" ca="1" si="6867"/>
        <v>0</v>
      </c>
      <c r="DV181" s="199">
        <f t="shared" ca="1" si="6868"/>
        <v>0</v>
      </c>
      <c r="DW181" s="216">
        <f t="shared" ca="1" si="5343"/>
        <v>0</v>
      </c>
      <c r="DX181" s="202">
        <f t="shared" ca="1" si="6869"/>
        <v>0</v>
      </c>
      <c r="DY181" s="203">
        <f t="shared" ca="1" si="6870"/>
        <v>0</v>
      </c>
      <c r="DZ181" s="203">
        <f t="shared" ca="1" si="6871"/>
        <v>0</v>
      </c>
      <c r="EA181" s="204">
        <f t="shared" ca="1" si="6872"/>
        <v>0</v>
      </c>
      <c r="EB181" s="205"/>
      <c r="EC181" s="206">
        <f t="shared" ca="1" si="6873"/>
        <v>0</v>
      </c>
      <c r="ED181" s="206">
        <f t="shared" ca="1" si="6874"/>
        <v>0</v>
      </c>
      <c r="EE181" s="207">
        <f t="shared" ca="1" si="5349"/>
        <v>0</v>
      </c>
      <c r="EF181" s="541">
        <f t="shared" si="7062"/>
        <v>0</v>
      </c>
      <c r="EG181" s="541">
        <f t="shared" ca="1" si="6876"/>
        <v>0</v>
      </c>
      <c r="EH181" s="541">
        <f t="shared" ca="1" si="6877"/>
        <v>0</v>
      </c>
      <c r="EI181" s="546">
        <f t="shared" ca="1" si="6610"/>
        <v>0</v>
      </c>
      <c r="EJ181" s="214"/>
      <c r="EK181" s="489" t="str">
        <f t="shared" ca="1" si="6878"/>
        <v/>
      </c>
      <c r="EL181" s="222"/>
      <c r="EM181" s="199">
        <f t="shared" ca="1" si="7136"/>
        <v>0</v>
      </c>
      <c r="EN181" s="199">
        <f t="shared" ca="1" si="7137"/>
        <v>0</v>
      </c>
      <c r="EO181" s="216">
        <f t="shared" ca="1" si="6735"/>
        <v>0</v>
      </c>
      <c r="EP181" s="202">
        <f t="shared" ca="1" si="7109"/>
        <v>0</v>
      </c>
      <c r="EQ181" s="203">
        <f t="shared" ca="1" si="7110"/>
        <v>0</v>
      </c>
      <c r="ER181" s="203">
        <f t="shared" ca="1" si="6883"/>
        <v>0</v>
      </c>
      <c r="ES181" s="204">
        <f t="shared" ca="1" si="6884"/>
        <v>0</v>
      </c>
      <c r="ET181" s="205"/>
      <c r="EU181" s="206">
        <f t="shared" ca="1" si="7138"/>
        <v>0</v>
      </c>
      <c r="EV181" s="206">
        <f t="shared" ca="1" si="7139"/>
        <v>0</v>
      </c>
      <c r="EW181" s="207">
        <f t="shared" ca="1" si="6736"/>
        <v>0</v>
      </c>
      <c r="EX181" s="541">
        <f t="shared" si="7113"/>
        <v>0</v>
      </c>
      <c r="EY181" s="541">
        <f t="shared" ca="1" si="5364"/>
        <v>0</v>
      </c>
      <c r="EZ181" s="541">
        <f t="shared" ca="1" si="7140"/>
        <v>0</v>
      </c>
      <c r="FA181" s="546">
        <f t="shared" ca="1" si="6737"/>
        <v>0</v>
      </c>
      <c r="FB181" s="212" t="str">
        <f t="shared" ca="1" si="6907"/>
        <v/>
      </c>
      <c r="FC181" s="214"/>
      <c r="FD181" s="489" t="str">
        <f t="shared" ca="1" si="6889"/>
        <v/>
      </c>
      <c r="FE181" s="215"/>
      <c r="FF181" s="199">
        <f t="shared" ca="1" si="7115"/>
        <v>0</v>
      </c>
      <c r="FG181" s="199">
        <f t="shared" ca="1" si="7116"/>
        <v>0</v>
      </c>
      <c r="FH181" s="216">
        <f t="shared" ca="1" si="6892"/>
        <v>0</v>
      </c>
      <c r="FI181" s="202">
        <f t="shared" ca="1" si="7117"/>
        <v>0</v>
      </c>
      <c r="FJ181" s="203">
        <f t="shared" ca="1" si="7118"/>
        <v>0</v>
      </c>
      <c r="FK181" s="203">
        <f t="shared" ca="1" si="6895"/>
        <v>0</v>
      </c>
      <c r="FL181" s="204">
        <f t="shared" ca="1" si="6896"/>
        <v>0</v>
      </c>
      <c r="FM181" s="205"/>
      <c r="FN181" s="206">
        <f t="shared" ca="1" si="7119"/>
        <v>0</v>
      </c>
      <c r="FO181" s="206">
        <f t="shared" ca="1" si="7120"/>
        <v>0</v>
      </c>
      <c r="FP181" s="207">
        <f t="shared" ca="1" si="6739"/>
        <v>0</v>
      </c>
      <c r="FQ181" s="541">
        <f t="shared" si="7121"/>
        <v>0</v>
      </c>
      <c r="FR181" s="541">
        <f t="shared" ca="1" si="5378"/>
        <v>0</v>
      </c>
      <c r="FS181" s="541">
        <f t="shared" ca="1" si="7122"/>
        <v>0</v>
      </c>
      <c r="FT181" s="546">
        <f t="shared" ca="1" si="6740"/>
        <v>0</v>
      </c>
      <c r="FU181" s="209" t="str">
        <f t="shared" ca="1" si="6908"/>
        <v/>
      </c>
    </row>
    <row r="182" spans="1:177" outlineLevel="2" x14ac:dyDescent="0.2">
      <c r="A182" s="534"/>
      <c r="B182" s="534"/>
      <c r="C182" s="535" t="str">
        <f t="shared" ca="1" si="6799"/>
        <v>CH0183136008:USD</v>
      </c>
      <c r="D182" s="536" t="str">
        <f t="shared" ca="1" si="6800"/>
        <v>CH0183136008</v>
      </c>
      <c r="E182" s="537" t="str">
        <f t="shared" ca="1" si="6800"/>
        <v>18313600</v>
      </c>
      <c r="F182" s="547" t="s">
        <v>796</v>
      </c>
      <c r="G182" s="549"/>
      <c r="H182" s="1729" t="str">
        <f t="shared" ca="1" si="6801"/>
        <v></v>
      </c>
      <c r="I182" s="1690" t="str">
        <f t="shared" ca="1" si="6802"/>
        <v>i</v>
      </c>
      <c r="J182" s="1729" t="str">
        <f t="shared" ca="1" si="6803"/>
        <v></v>
      </c>
      <c r="K182" s="1730" t="str">
        <f t="shared" ca="1" si="6803"/>
        <v></v>
      </c>
      <c r="L182" s="1731" t="str">
        <f t="shared" ca="1" si="6804"/>
        <v></v>
      </c>
      <c r="M182" s="534" t="str">
        <f t="shared" ca="1" si="6805"/>
        <v>Unit</v>
      </c>
      <c r="N182" s="539"/>
      <c r="O182" s="539"/>
      <c r="P182" s="540">
        <f t="shared" ca="1" si="6910"/>
        <v>0</v>
      </c>
      <c r="Q182" s="541">
        <f t="array" aca="1" ref="Q182" ca="1">SUM(IF($AA$15:$FT$15="I_pos",AA182:FT182))</f>
        <v>0</v>
      </c>
      <c r="R182" s="541">
        <f t="array" aca="1" ref="R182" ca="1">SUM(IF($AA$15:$FT$15="P_Pos",AA182:FT182))</f>
        <v>0</v>
      </c>
      <c r="S182" s="535"/>
      <c r="T182" s="541"/>
      <c r="U182" s="542">
        <f t="shared" ca="1" si="6806"/>
        <v>-5.6761904761904701E-2</v>
      </c>
      <c r="V182" s="541">
        <f t="array" aca="1" ref="V182" ca="1">SUM(IF($AA$15:$FT$15="O_Pos",AA182:FT182))</f>
        <v>0</v>
      </c>
      <c r="W182" s="535" t="str">
        <f t="shared" ref="W182" ca="1" si="7143">OFFSET(Origine,MATCH($F182,Descrizioni,0),MATCH(W$15,Intestazioni,0)-1,1,1)</f>
        <v>USD</v>
      </c>
      <c r="X182" s="543">
        <f t="shared" ref="X182" ca="1" si="7144">_xlfn.NUMBERVALUE(OFFSET(Origine,MATCH($F182,Descrizioni,0),MATCH(X$15,Intestazioni,0)-1,1,1))</f>
        <v>742.8</v>
      </c>
      <c r="Y182" s="544">
        <f t="shared" ca="1" si="6809"/>
        <v>0</v>
      </c>
      <c r="Z182" s="545">
        <f t="shared" ca="1" si="6810"/>
        <v>0.78225</v>
      </c>
      <c r="AA182" s="214"/>
      <c r="AB182" s="489" t="str">
        <f t="shared" ca="1" si="6811"/>
        <v/>
      </c>
      <c r="AC182" s="215"/>
      <c r="AD182" s="199">
        <f t="shared" ca="1" si="6812"/>
        <v>0</v>
      </c>
      <c r="AE182" s="199">
        <f t="shared" ca="1" si="6813"/>
        <v>0</v>
      </c>
      <c r="AF182" s="216">
        <f t="shared" ca="1" si="6726"/>
        <v>0</v>
      </c>
      <c r="AG182" s="202">
        <f ca="1">AH182/$X182</f>
        <v>0</v>
      </c>
      <c r="AH182" s="203">
        <f ca="1">AI182/$Z182</f>
        <v>0</v>
      </c>
      <c r="AI182" s="203">
        <f t="shared" ca="1" si="6816"/>
        <v>0</v>
      </c>
      <c r="AJ182" s="204">
        <f t="shared" ca="1" si="6817"/>
        <v>0</v>
      </c>
      <c r="AK182" s="205"/>
      <c r="AL182" s="206">
        <f t="shared" ca="1" si="6818"/>
        <v>0</v>
      </c>
      <c r="AM182" s="206">
        <f t="shared" ca="1" si="6819"/>
        <v>0</v>
      </c>
      <c r="AN182" s="207">
        <f t="shared" ca="1" si="6727"/>
        <v>0</v>
      </c>
      <c r="AO182" s="541">
        <f t="shared" si="7089"/>
        <v>0</v>
      </c>
      <c r="AP182" s="541">
        <f t="shared" ca="1" si="5295"/>
        <v>0</v>
      </c>
      <c r="AQ182" s="541">
        <f t="shared" ca="1" si="6821"/>
        <v>0</v>
      </c>
      <c r="AR182" s="546">
        <f t="shared" ca="1" si="6728"/>
        <v>0</v>
      </c>
      <c r="AS182" s="209" t="str">
        <f t="shared" ca="1" si="6902"/>
        <v/>
      </c>
      <c r="AT182" s="214"/>
      <c r="AU182" s="489" t="str">
        <f t="shared" ca="1" si="6822"/>
        <v/>
      </c>
      <c r="AV182" s="215"/>
      <c r="AW182" s="199">
        <f t="shared" ca="1" si="7126"/>
        <v>0</v>
      </c>
      <c r="AX182" s="199">
        <f t="shared" ca="1" si="7127"/>
        <v>0</v>
      </c>
      <c r="AY182" s="216">
        <f t="shared" ca="1" si="6729"/>
        <v>0</v>
      </c>
      <c r="AZ182" s="202">
        <f ca="1">BA182/$X182</f>
        <v>0</v>
      </c>
      <c r="BA182" s="203">
        <f ca="1">BB182/$Z182</f>
        <v>0</v>
      </c>
      <c r="BB182" s="203">
        <f t="shared" ca="1" si="6827"/>
        <v>0</v>
      </c>
      <c r="BC182" s="204">
        <f t="shared" ca="1" si="6828"/>
        <v>0</v>
      </c>
      <c r="BD182" s="205"/>
      <c r="BE182" s="206">
        <f t="shared" ca="1" si="7128"/>
        <v>0</v>
      </c>
      <c r="BF182" s="206">
        <f t="shared" ca="1" si="7129"/>
        <v>0</v>
      </c>
      <c r="BG182" s="207">
        <f t="shared" ca="1" si="6730"/>
        <v>0</v>
      </c>
      <c r="BH182" s="541">
        <f t="shared" si="7096"/>
        <v>0</v>
      </c>
      <c r="BI182" s="541">
        <f t="shared" ca="1" si="5308"/>
        <v>0</v>
      </c>
      <c r="BJ182" s="541">
        <f t="shared" ca="1" si="7130"/>
        <v>0</v>
      </c>
      <c r="BK182" s="546">
        <f t="shared" ca="1" si="6731"/>
        <v>0</v>
      </c>
      <c r="BL182" s="211" t="str">
        <f t="shared" ca="1" si="6903"/>
        <v/>
      </c>
      <c r="BM182" s="214"/>
      <c r="BN182" s="489" t="str">
        <f t="shared" ca="1" si="6833"/>
        <v/>
      </c>
      <c r="BO182" s="215"/>
      <c r="BP182" s="199">
        <f t="shared" ca="1" si="7131"/>
        <v>0</v>
      </c>
      <c r="BQ182" s="199">
        <f t="shared" ca="1" si="7132"/>
        <v>0</v>
      </c>
      <c r="BR182" s="216">
        <f t="shared" ca="1" si="6732"/>
        <v>0</v>
      </c>
      <c r="BS182" s="202">
        <f ca="1">BT182/$X182</f>
        <v>0</v>
      </c>
      <c r="BT182" s="203">
        <f ca="1">BU182/$Z182</f>
        <v>0</v>
      </c>
      <c r="BU182" s="203">
        <f t="shared" ca="1" si="6838"/>
        <v>0</v>
      </c>
      <c r="BV182" s="204">
        <f t="shared" ca="1" si="6839"/>
        <v>0</v>
      </c>
      <c r="BW182" s="205"/>
      <c r="BX182" s="206">
        <f t="shared" ca="1" si="7133"/>
        <v>0</v>
      </c>
      <c r="BY182" s="206">
        <f t="shared" ca="1" si="7134"/>
        <v>0</v>
      </c>
      <c r="BZ182" s="207">
        <f t="shared" ca="1" si="6733"/>
        <v>0</v>
      </c>
      <c r="CA182" s="541">
        <f t="shared" si="7104"/>
        <v>0</v>
      </c>
      <c r="CB182" s="541">
        <f t="shared" ca="1" si="5321"/>
        <v>0</v>
      </c>
      <c r="CC182" s="541">
        <f t="shared" ca="1" si="7135"/>
        <v>0</v>
      </c>
      <c r="CD182" s="546">
        <f t="shared" ca="1" si="6734"/>
        <v>0</v>
      </c>
      <c r="CE182" s="212" t="str">
        <f t="shared" ca="1" si="6904"/>
        <v/>
      </c>
      <c r="CF182" s="214"/>
      <c r="CG182" s="489" t="str">
        <f t="shared" ca="1" si="6844"/>
        <v/>
      </c>
      <c r="CH182" s="215"/>
      <c r="CI182" s="199">
        <f t="shared" ca="1" si="6845"/>
        <v>0</v>
      </c>
      <c r="CJ182" s="199">
        <f t="shared" ca="1" si="6846"/>
        <v>0</v>
      </c>
      <c r="CK182" s="216">
        <f t="shared" ca="1" si="6606"/>
        <v>0</v>
      </c>
      <c r="CL182" s="202">
        <f t="shared" ca="1" si="6847"/>
        <v>0</v>
      </c>
      <c r="CM182" s="203">
        <f t="shared" ca="1" si="6848"/>
        <v>0</v>
      </c>
      <c r="CN182" s="203">
        <f t="shared" ca="1" si="6849"/>
        <v>0</v>
      </c>
      <c r="CO182" s="204">
        <f t="shared" ca="1" si="6850"/>
        <v>0</v>
      </c>
      <c r="CP182" s="205"/>
      <c r="CQ182" s="206">
        <f t="shared" ca="1" si="6851"/>
        <v>0</v>
      </c>
      <c r="CR182" s="206">
        <f t="shared" ca="1" si="6852"/>
        <v>0</v>
      </c>
      <c r="CS182" s="207">
        <f t="shared" ca="1" si="6607"/>
        <v>0</v>
      </c>
      <c r="CT182" s="541">
        <f t="shared" si="7106"/>
        <v>0</v>
      </c>
      <c r="CU182" s="541">
        <f t="shared" ca="1" si="5334"/>
        <v>0</v>
      </c>
      <c r="CV182" s="541">
        <f t="shared" ca="1" si="6854"/>
        <v>0</v>
      </c>
      <c r="CW182" s="546">
        <f t="shared" ca="1" si="6608"/>
        <v>0</v>
      </c>
      <c r="CX182" s="211" t="str">
        <f t="shared" ca="1" si="6905"/>
        <v/>
      </c>
      <c r="CY182" s="197"/>
      <c r="CZ182" s="489" t="str">
        <f t="shared" ca="1" si="6855"/>
        <v/>
      </c>
      <c r="DA182" s="395"/>
      <c r="DB182" s="199">
        <f t="shared" ca="1" si="6856"/>
        <v>0</v>
      </c>
      <c r="DC182" s="199">
        <f t="shared" ca="1" si="6857"/>
        <v>0</v>
      </c>
      <c r="DD182" s="216">
        <f t="shared" ca="1" si="7009"/>
        <v>0</v>
      </c>
      <c r="DE182" s="202">
        <f t="shared" ca="1" si="6858"/>
        <v>0</v>
      </c>
      <c r="DF182" s="203">
        <f t="shared" ca="1" si="6859"/>
        <v>0</v>
      </c>
      <c r="DG182" s="203">
        <f t="shared" ca="1" si="6860"/>
        <v>0</v>
      </c>
      <c r="DH182" s="204">
        <f t="shared" ca="1" si="6861"/>
        <v>0</v>
      </c>
      <c r="DI182" s="205"/>
      <c r="DJ182" s="206">
        <f t="shared" ca="1" si="6862"/>
        <v>0</v>
      </c>
      <c r="DK182" s="206">
        <f t="shared" ca="1" si="6863"/>
        <v>0</v>
      </c>
      <c r="DL182" s="207">
        <f t="shared" ca="1" si="7010"/>
        <v>0</v>
      </c>
      <c r="DM182" s="541">
        <f t="shared" si="7061"/>
        <v>0</v>
      </c>
      <c r="DN182" s="541">
        <f t="shared" ca="1" si="5338"/>
        <v>0</v>
      </c>
      <c r="DO182" s="541">
        <f t="shared" ca="1" si="6865"/>
        <v>0</v>
      </c>
      <c r="DP182" s="546">
        <f t="shared" ca="1" si="6609"/>
        <v>0</v>
      </c>
      <c r="DQ182" s="209" t="str">
        <f t="shared" ca="1" si="6906"/>
        <v/>
      </c>
      <c r="DR182" s="197"/>
      <c r="DS182" s="489" t="str">
        <f t="shared" ca="1" si="6866"/>
        <v/>
      </c>
      <c r="DT182" s="395"/>
      <c r="DU182" s="199">
        <f t="shared" ca="1" si="6867"/>
        <v>0</v>
      </c>
      <c r="DV182" s="199">
        <f t="shared" ca="1" si="6868"/>
        <v>0</v>
      </c>
      <c r="DW182" s="216">
        <f t="shared" ca="1" si="5343"/>
        <v>0</v>
      </c>
      <c r="DX182" s="202">
        <f t="shared" ca="1" si="6869"/>
        <v>0</v>
      </c>
      <c r="DY182" s="203">
        <f t="shared" ca="1" si="6870"/>
        <v>0</v>
      </c>
      <c r="DZ182" s="203">
        <f t="shared" ca="1" si="6871"/>
        <v>0</v>
      </c>
      <c r="EA182" s="204">
        <f t="shared" ca="1" si="6872"/>
        <v>0</v>
      </c>
      <c r="EB182" s="205"/>
      <c r="EC182" s="206">
        <f t="shared" ca="1" si="6873"/>
        <v>0</v>
      </c>
      <c r="ED182" s="206">
        <f t="shared" ca="1" si="6874"/>
        <v>0</v>
      </c>
      <c r="EE182" s="207">
        <f t="shared" ca="1" si="5349"/>
        <v>0</v>
      </c>
      <c r="EF182" s="541">
        <f t="shared" si="7062"/>
        <v>0</v>
      </c>
      <c r="EG182" s="541">
        <f t="shared" ca="1" si="6876"/>
        <v>0</v>
      </c>
      <c r="EH182" s="541">
        <f t="shared" ca="1" si="6877"/>
        <v>0</v>
      </c>
      <c r="EI182" s="546">
        <f t="shared" ca="1" si="6610"/>
        <v>0</v>
      </c>
      <c r="EJ182" s="214"/>
      <c r="EK182" s="489" t="str">
        <f t="shared" ca="1" si="6878"/>
        <v/>
      </c>
      <c r="EL182" s="222"/>
      <c r="EM182" s="199">
        <f t="shared" ca="1" si="7136"/>
        <v>0</v>
      </c>
      <c r="EN182" s="199">
        <f t="shared" ca="1" si="7137"/>
        <v>0</v>
      </c>
      <c r="EO182" s="216">
        <f t="shared" ca="1" si="6735"/>
        <v>0</v>
      </c>
      <c r="EP182" s="202">
        <f ca="1">EQ182/$X182</f>
        <v>0</v>
      </c>
      <c r="EQ182" s="203">
        <f ca="1">ER182/$Z182</f>
        <v>0</v>
      </c>
      <c r="ER182" s="203">
        <f t="shared" ca="1" si="6883"/>
        <v>0</v>
      </c>
      <c r="ES182" s="204">
        <f t="shared" ca="1" si="6884"/>
        <v>0</v>
      </c>
      <c r="ET182" s="205"/>
      <c r="EU182" s="206">
        <f t="shared" ca="1" si="7138"/>
        <v>0</v>
      </c>
      <c r="EV182" s="206">
        <f t="shared" ca="1" si="7139"/>
        <v>0</v>
      </c>
      <c r="EW182" s="207">
        <f t="shared" ca="1" si="6736"/>
        <v>0</v>
      </c>
      <c r="EX182" s="541">
        <f t="shared" si="7113"/>
        <v>0</v>
      </c>
      <c r="EY182" s="541">
        <f t="shared" ca="1" si="5364"/>
        <v>0</v>
      </c>
      <c r="EZ182" s="541">
        <f t="shared" ca="1" si="7140"/>
        <v>0</v>
      </c>
      <c r="FA182" s="546">
        <f t="shared" ca="1" si="6737"/>
        <v>0</v>
      </c>
      <c r="FB182" s="212" t="str">
        <f t="shared" ca="1" si="6907"/>
        <v/>
      </c>
      <c r="FC182" s="214"/>
      <c r="FD182" s="489" t="str">
        <f t="shared" ca="1" si="6889"/>
        <v/>
      </c>
      <c r="FE182" s="215"/>
      <c r="FF182" s="199">
        <f ca="1">FC182*$X182</f>
        <v>0</v>
      </c>
      <c r="FG182" s="199">
        <f ca="1">FF182*$Z182</f>
        <v>0</v>
      </c>
      <c r="FH182" s="216">
        <f t="shared" ca="1" si="6892"/>
        <v>0</v>
      </c>
      <c r="FI182" s="202">
        <f ca="1">FJ182/$X182</f>
        <v>0</v>
      </c>
      <c r="FJ182" s="203">
        <f ca="1">FK182/$Z182</f>
        <v>0</v>
      </c>
      <c r="FK182" s="203">
        <f t="shared" ca="1" si="6895"/>
        <v>0</v>
      </c>
      <c r="FL182" s="204">
        <f t="shared" ca="1" si="6896"/>
        <v>0</v>
      </c>
      <c r="FM182" s="205"/>
      <c r="FN182" s="206">
        <f ca="1">FM182*$X182</f>
        <v>0</v>
      </c>
      <c r="FO182" s="206">
        <f ca="1">FN182*$Z182</f>
        <v>0</v>
      </c>
      <c r="FP182" s="207">
        <f t="shared" ca="1" si="6739"/>
        <v>0</v>
      </c>
      <c r="FQ182" s="541">
        <f t="shared" si="7121"/>
        <v>0</v>
      </c>
      <c r="FR182" s="541">
        <f t="shared" ca="1" si="5378"/>
        <v>0</v>
      </c>
      <c r="FS182" s="541">
        <f ca="1">FR182*$Z182</f>
        <v>0</v>
      </c>
      <c r="FT182" s="546">
        <f t="shared" ca="1" si="6740"/>
        <v>0</v>
      </c>
      <c r="FU182" s="209" t="str">
        <f t="shared" ca="1" si="6908"/>
        <v/>
      </c>
    </row>
    <row r="183" spans="1:177" outlineLevel="2" x14ac:dyDescent="0.2">
      <c r="A183" s="534"/>
      <c r="B183" s="534"/>
      <c r="C183" s="535" t="str">
        <f t="shared" ca="1" si="6799"/>
        <v>CH0183136057:CHF</v>
      </c>
      <c r="D183" s="536" t="str">
        <f t="shared" ca="1" si="6800"/>
        <v>CH0183136057</v>
      </c>
      <c r="E183" s="537" t="str">
        <f t="shared" ca="1" si="6800"/>
        <v>18313605</v>
      </c>
      <c r="F183" s="535" t="s">
        <v>797</v>
      </c>
      <c r="G183" s="538"/>
      <c r="H183" s="1729" t="str">
        <f t="shared" ca="1" si="6801"/>
        <v></v>
      </c>
      <c r="I183" s="1690" t="str">
        <f t="shared" ca="1" si="6802"/>
        <v>i</v>
      </c>
      <c r="J183" s="1729" t="str">
        <f t="shared" ca="1" si="6803"/>
        <v></v>
      </c>
      <c r="K183" s="1730" t="str">
        <f t="shared" ca="1" si="6803"/>
        <v></v>
      </c>
      <c r="L183" s="1731" t="str">
        <f t="shared" ca="1" si="6804"/>
        <v></v>
      </c>
      <c r="M183" s="534" t="str">
        <f t="shared" ca="1" si="6805"/>
        <v>Unit</v>
      </c>
      <c r="N183" s="539"/>
      <c r="O183" s="539"/>
      <c r="P183" s="540">
        <f t="shared" ca="1" si="6910"/>
        <v>0</v>
      </c>
      <c r="Q183" s="541">
        <f t="array" aca="1" ref="Q183" ca="1">SUM(IF($AA$15:$FT$15="I_pos",AA183:FT183))</f>
        <v>0</v>
      </c>
      <c r="R183" s="541">
        <f t="array" aca="1" ref="R183" ca="1">SUM(IF($AA$15:$FT$15="P_Pos",AA183:FT183))</f>
        <v>0</v>
      </c>
      <c r="S183" s="535"/>
      <c r="T183" s="541"/>
      <c r="U183" s="542">
        <f t="shared" ca="1" si="6806"/>
        <v>-9.1740469772814789E-2</v>
      </c>
      <c r="V183" s="541">
        <f t="array" aca="1" ref="V183" ca="1">SUM(IF($AA$15:$FT$15="O_Pos",AA183:FT183))</f>
        <v>0</v>
      </c>
      <c r="W183" s="535" t="str">
        <f t="shared" ref="W183" ca="1" si="7145">OFFSET(Origine,MATCH($F183,Descrizioni,0),MATCH(W$15,Intestazioni,0)-1,1,1)</f>
        <v>CHF</v>
      </c>
      <c r="X183" s="543">
        <f t="shared" ref="X183" ca="1" si="7146">_xlfn.NUMBERVALUE(OFFSET(Origine,MATCH($F183,Descrizioni,0),MATCH(X$15,Intestazioni,0)-1,1,1))</f>
        <v>471.75</v>
      </c>
      <c r="Y183" s="544">
        <f t="shared" ca="1" si="6809"/>
        <v>0</v>
      </c>
      <c r="Z183" s="545">
        <f t="shared" ca="1" si="6810"/>
        <v>1.0000001300000001</v>
      </c>
      <c r="AA183" s="214"/>
      <c r="AB183" s="489" t="str">
        <f t="shared" ca="1" si="6811"/>
        <v/>
      </c>
      <c r="AC183" s="215"/>
      <c r="AD183" s="199">
        <f t="shared" ca="1" si="6812"/>
        <v>0</v>
      </c>
      <c r="AE183" s="199">
        <f t="shared" ca="1" si="6813"/>
        <v>0</v>
      </c>
      <c r="AF183" s="216">
        <f t="shared" ca="1" si="6726"/>
        <v>0</v>
      </c>
      <c r="AG183" s="202">
        <f ca="1">AH183/$X183</f>
        <v>0</v>
      </c>
      <c r="AH183" s="203">
        <f ca="1">AI183/$Z183</f>
        <v>0</v>
      </c>
      <c r="AI183" s="203">
        <f t="shared" ca="1" si="6816"/>
        <v>0</v>
      </c>
      <c r="AJ183" s="204">
        <f t="shared" ca="1" si="6817"/>
        <v>0</v>
      </c>
      <c r="AK183" s="205"/>
      <c r="AL183" s="206">
        <f t="shared" ca="1" si="6818"/>
        <v>0</v>
      </c>
      <c r="AM183" s="206">
        <f t="shared" ca="1" si="6819"/>
        <v>0</v>
      </c>
      <c r="AN183" s="207">
        <f t="shared" ca="1" si="6727"/>
        <v>0</v>
      </c>
      <c r="AO183" s="541">
        <f t="shared" si="7089"/>
        <v>0</v>
      </c>
      <c r="AP183" s="541">
        <f t="shared" ca="1" si="5295"/>
        <v>0</v>
      </c>
      <c r="AQ183" s="541">
        <f t="shared" ca="1" si="6821"/>
        <v>0</v>
      </c>
      <c r="AR183" s="546">
        <f t="shared" ca="1" si="6728"/>
        <v>0</v>
      </c>
      <c r="AS183" s="209" t="str">
        <f t="shared" ca="1" si="6902"/>
        <v/>
      </c>
      <c r="AT183" s="214"/>
      <c r="AU183" s="489" t="str">
        <f t="shared" ca="1" si="6822"/>
        <v/>
      </c>
      <c r="AV183" s="215"/>
      <c r="AW183" s="199">
        <f t="shared" ca="1" si="7126"/>
        <v>0</v>
      </c>
      <c r="AX183" s="199">
        <f t="shared" ca="1" si="7127"/>
        <v>0</v>
      </c>
      <c r="AY183" s="216">
        <f t="shared" ca="1" si="6729"/>
        <v>0</v>
      </c>
      <c r="AZ183" s="202">
        <f ca="1">BA183/$X183</f>
        <v>0</v>
      </c>
      <c r="BA183" s="203">
        <f ca="1">BB183/$Z183</f>
        <v>0</v>
      </c>
      <c r="BB183" s="203">
        <f t="shared" ca="1" si="6827"/>
        <v>0</v>
      </c>
      <c r="BC183" s="204">
        <f t="shared" ca="1" si="6828"/>
        <v>0</v>
      </c>
      <c r="BD183" s="205"/>
      <c r="BE183" s="206">
        <f t="shared" ca="1" si="7128"/>
        <v>0</v>
      </c>
      <c r="BF183" s="206">
        <f t="shared" ca="1" si="7129"/>
        <v>0</v>
      </c>
      <c r="BG183" s="207">
        <f t="shared" ca="1" si="6730"/>
        <v>0</v>
      </c>
      <c r="BH183" s="541">
        <f t="shared" si="7096"/>
        <v>0</v>
      </c>
      <c r="BI183" s="541">
        <f t="shared" ca="1" si="5308"/>
        <v>0</v>
      </c>
      <c r="BJ183" s="541">
        <f t="shared" ca="1" si="7130"/>
        <v>0</v>
      </c>
      <c r="BK183" s="546">
        <f t="shared" ca="1" si="6731"/>
        <v>0</v>
      </c>
      <c r="BL183" s="211" t="str">
        <f t="shared" ca="1" si="6903"/>
        <v/>
      </c>
      <c r="BM183" s="214"/>
      <c r="BN183" s="489" t="str">
        <f t="shared" ca="1" si="6833"/>
        <v/>
      </c>
      <c r="BO183" s="215"/>
      <c r="BP183" s="199">
        <f t="shared" ca="1" si="7131"/>
        <v>0</v>
      </c>
      <c r="BQ183" s="199">
        <f t="shared" ca="1" si="7132"/>
        <v>0</v>
      </c>
      <c r="BR183" s="216">
        <f t="shared" ca="1" si="6732"/>
        <v>0</v>
      </c>
      <c r="BS183" s="202">
        <f ca="1">BT183/$X183</f>
        <v>0</v>
      </c>
      <c r="BT183" s="203">
        <f ca="1">BU183/$Z183</f>
        <v>0</v>
      </c>
      <c r="BU183" s="203">
        <f t="shared" ca="1" si="6838"/>
        <v>0</v>
      </c>
      <c r="BV183" s="204">
        <f t="shared" ca="1" si="6839"/>
        <v>0</v>
      </c>
      <c r="BW183" s="205"/>
      <c r="BX183" s="206">
        <f t="shared" ca="1" si="7133"/>
        <v>0</v>
      </c>
      <c r="BY183" s="206">
        <f t="shared" ca="1" si="7134"/>
        <v>0</v>
      </c>
      <c r="BZ183" s="207">
        <f t="shared" ca="1" si="6733"/>
        <v>0</v>
      </c>
      <c r="CA183" s="541">
        <f t="shared" si="7104"/>
        <v>0</v>
      </c>
      <c r="CB183" s="541">
        <f t="shared" ca="1" si="5321"/>
        <v>0</v>
      </c>
      <c r="CC183" s="541">
        <f t="shared" ca="1" si="7135"/>
        <v>0</v>
      </c>
      <c r="CD183" s="546">
        <f t="shared" ca="1" si="6734"/>
        <v>0</v>
      </c>
      <c r="CE183" s="212" t="str">
        <f t="shared" ca="1" si="6904"/>
        <v/>
      </c>
      <c r="CF183" s="214"/>
      <c r="CG183" s="489" t="str">
        <f t="shared" ca="1" si="6844"/>
        <v/>
      </c>
      <c r="CH183" s="215"/>
      <c r="CI183" s="199">
        <f t="shared" ca="1" si="6845"/>
        <v>0</v>
      </c>
      <c r="CJ183" s="199">
        <f t="shared" ca="1" si="6846"/>
        <v>0</v>
      </c>
      <c r="CK183" s="216">
        <f t="shared" ca="1" si="6606"/>
        <v>0</v>
      </c>
      <c r="CL183" s="202">
        <f t="shared" ca="1" si="6847"/>
        <v>0</v>
      </c>
      <c r="CM183" s="203">
        <f t="shared" ca="1" si="6848"/>
        <v>0</v>
      </c>
      <c r="CN183" s="203">
        <f t="shared" ca="1" si="6849"/>
        <v>0</v>
      </c>
      <c r="CO183" s="204">
        <f t="shared" ca="1" si="6850"/>
        <v>0</v>
      </c>
      <c r="CP183" s="205"/>
      <c r="CQ183" s="206">
        <f t="shared" ca="1" si="6851"/>
        <v>0</v>
      </c>
      <c r="CR183" s="206">
        <f t="shared" ca="1" si="6852"/>
        <v>0</v>
      </c>
      <c r="CS183" s="207">
        <f t="shared" ca="1" si="6607"/>
        <v>0</v>
      </c>
      <c r="CT183" s="541">
        <f t="shared" si="7106"/>
        <v>0</v>
      </c>
      <c r="CU183" s="541">
        <f t="shared" ca="1" si="5334"/>
        <v>0</v>
      </c>
      <c r="CV183" s="541">
        <f t="shared" ca="1" si="6854"/>
        <v>0</v>
      </c>
      <c r="CW183" s="546">
        <f t="shared" ca="1" si="6608"/>
        <v>0</v>
      </c>
      <c r="CX183" s="211" t="str">
        <f t="shared" ca="1" si="6905"/>
        <v/>
      </c>
      <c r="CY183" s="197"/>
      <c r="CZ183" s="489" t="str">
        <f t="shared" ca="1" si="6855"/>
        <v/>
      </c>
      <c r="DA183" s="395"/>
      <c r="DB183" s="199">
        <f t="shared" ca="1" si="6856"/>
        <v>0</v>
      </c>
      <c r="DC183" s="199">
        <f t="shared" ca="1" si="6857"/>
        <v>0</v>
      </c>
      <c r="DD183" s="216">
        <f t="shared" ca="1" si="7009"/>
        <v>0</v>
      </c>
      <c r="DE183" s="202">
        <f t="shared" ca="1" si="6858"/>
        <v>0</v>
      </c>
      <c r="DF183" s="203">
        <f t="shared" ca="1" si="6859"/>
        <v>0</v>
      </c>
      <c r="DG183" s="203">
        <f t="shared" ca="1" si="6860"/>
        <v>0</v>
      </c>
      <c r="DH183" s="204">
        <f t="shared" ca="1" si="6861"/>
        <v>0</v>
      </c>
      <c r="DI183" s="205"/>
      <c r="DJ183" s="206">
        <f t="shared" ca="1" si="6862"/>
        <v>0</v>
      </c>
      <c r="DK183" s="206">
        <f t="shared" ca="1" si="6863"/>
        <v>0</v>
      </c>
      <c r="DL183" s="207">
        <f t="shared" ca="1" si="7010"/>
        <v>0</v>
      </c>
      <c r="DM183" s="541">
        <f t="shared" si="7061"/>
        <v>0</v>
      </c>
      <c r="DN183" s="541">
        <f t="shared" ca="1" si="5338"/>
        <v>0</v>
      </c>
      <c r="DO183" s="541">
        <f t="shared" ca="1" si="6865"/>
        <v>0</v>
      </c>
      <c r="DP183" s="546">
        <f t="shared" ca="1" si="6609"/>
        <v>0</v>
      </c>
      <c r="DQ183" s="209" t="str">
        <f t="shared" ca="1" si="6906"/>
        <v/>
      </c>
      <c r="DR183" s="197"/>
      <c r="DS183" s="489" t="str">
        <f t="shared" ca="1" si="6866"/>
        <v/>
      </c>
      <c r="DT183" s="395"/>
      <c r="DU183" s="199">
        <f t="shared" ca="1" si="6867"/>
        <v>0</v>
      </c>
      <c r="DV183" s="199">
        <f t="shared" ca="1" si="6868"/>
        <v>0</v>
      </c>
      <c r="DW183" s="216">
        <f t="shared" ca="1" si="5343"/>
        <v>0</v>
      </c>
      <c r="DX183" s="202">
        <f t="shared" ca="1" si="6869"/>
        <v>0</v>
      </c>
      <c r="DY183" s="203">
        <f t="shared" ca="1" si="6870"/>
        <v>0</v>
      </c>
      <c r="DZ183" s="203">
        <f t="shared" ca="1" si="6871"/>
        <v>0</v>
      </c>
      <c r="EA183" s="204">
        <f t="shared" ca="1" si="6872"/>
        <v>0</v>
      </c>
      <c r="EB183" s="205"/>
      <c r="EC183" s="206">
        <f t="shared" ca="1" si="6873"/>
        <v>0</v>
      </c>
      <c r="ED183" s="206">
        <f t="shared" ca="1" si="6874"/>
        <v>0</v>
      </c>
      <c r="EE183" s="207">
        <f t="shared" ca="1" si="5349"/>
        <v>0</v>
      </c>
      <c r="EF183" s="541">
        <f t="shared" si="7062"/>
        <v>0</v>
      </c>
      <c r="EG183" s="541">
        <f t="shared" ca="1" si="6876"/>
        <v>0</v>
      </c>
      <c r="EH183" s="541">
        <f t="shared" ca="1" si="6877"/>
        <v>0</v>
      </c>
      <c r="EI183" s="546">
        <f t="shared" ca="1" si="6610"/>
        <v>0</v>
      </c>
      <c r="EJ183" s="214"/>
      <c r="EK183" s="489" t="str">
        <f t="shared" ca="1" si="6878"/>
        <v/>
      </c>
      <c r="EL183" s="222"/>
      <c r="EM183" s="199">
        <f t="shared" ca="1" si="7136"/>
        <v>0</v>
      </c>
      <c r="EN183" s="199">
        <f t="shared" ca="1" si="7137"/>
        <v>0</v>
      </c>
      <c r="EO183" s="216">
        <f t="shared" ca="1" si="6735"/>
        <v>0</v>
      </c>
      <c r="EP183" s="202">
        <f ca="1">EQ183/$X183</f>
        <v>0</v>
      </c>
      <c r="EQ183" s="203">
        <f ca="1">ER183/$Z183</f>
        <v>0</v>
      </c>
      <c r="ER183" s="203">
        <f t="shared" ca="1" si="6883"/>
        <v>0</v>
      </c>
      <c r="ES183" s="204">
        <f t="shared" ca="1" si="6884"/>
        <v>0</v>
      </c>
      <c r="ET183" s="205"/>
      <c r="EU183" s="206">
        <f t="shared" ca="1" si="7138"/>
        <v>0</v>
      </c>
      <c r="EV183" s="206">
        <f t="shared" ca="1" si="7139"/>
        <v>0</v>
      </c>
      <c r="EW183" s="207">
        <f t="shared" ca="1" si="6736"/>
        <v>0</v>
      </c>
      <c r="EX183" s="541">
        <f t="shared" si="7113"/>
        <v>0</v>
      </c>
      <c r="EY183" s="541">
        <f t="shared" ca="1" si="5364"/>
        <v>0</v>
      </c>
      <c r="EZ183" s="541">
        <f t="shared" ca="1" si="7140"/>
        <v>0</v>
      </c>
      <c r="FA183" s="546">
        <f t="shared" ca="1" si="6737"/>
        <v>0</v>
      </c>
      <c r="FB183" s="212" t="str">
        <f t="shared" ca="1" si="6907"/>
        <v/>
      </c>
      <c r="FC183" s="214"/>
      <c r="FD183" s="489" t="str">
        <f t="shared" ca="1" si="6889"/>
        <v/>
      </c>
      <c r="FE183" s="215"/>
      <c r="FF183" s="199">
        <f ca="1">FC183*$X183</f>
        <v>0</v>
      </c>
      <c r="FG183" s="199">
        <f ca="1">FF183*$Z183</f>
        <v>0</v>
      </c>
      <c r="FH183" s="216">
        <f t="shared" ca="1" si="6892"/>
        <v>0</v>
      </c>
      <c r="FI183" s="202">
        <f ca="1">FJ183/$X183</f>
        <v>0</v>
      </c>
      <c r="FJ183" s="203">
        <f ca="1">FK183/$Z183</f>
        <v>0</v>
      </c>
      <c r="FK183" s="203">
        <f t="shared" ca="1" si="6895"/>
        <v>0</v>
      </c>
      <c r="FL183" s="204">
        <f t="shared" ca="1" si="6896"/>
        <v>0</v>
      </c>
      <c r="FM183" s="205"/>
      <c r="FN183" s="206">
        <f ca="1">FM183*$X183</f>
        <v>0</v>
      </c>
      <c r="FO183" s="206">
        <f ca="1">FN183*$Z183</f>
        <v>0</v>
      </c>
      <c r="FP183" s="207">
        <f t="shared" ca="1" si="6739"/>
        <v>0</v>
      </c>
      <c r="FQ183" s="541">
        <f t="shared" si="7121"/>
        <v>0</v>
      </c>
      <c r="FR183" s="541">
        <f t="shared" ca="1" si="5378"/>
        <v>0</v>
      </c>
      <c r="FS183" s="541">
        <f ca="1">FR183*$Z183</f>
        <v>0</v>
      </c>
      <c r="FT183" s="546">
        <f t="shared" ca="1" si="6740"/>
        <v>0</v>
      </c>
      <c r="FU183" s="209" t="str">
        <f t="shared" ca="1" si="6908"/>
        <v/>
      </c>
    </row>
    <row r="184" spans="1:177" outlineLevel="2" x14ac:dyDescent="0.2">
      <c r="A184" s="534"/>
      <c r="B184" s="534"/>
      <c r="C184" s="535" t="str">
        <f t="shared" ca="1" si="6799"/>
        <v>XD0002818892:USD</v>
      </c>
      <c r="D184" s="536" t="str">
        <f t="shared" ca="1" si="6800"/>
        <v>XD0002818892</v>
      </c>
      <c r="E184" s="537" t="str">
        <f t="shared" ca="1" si="6800"/>
        <v>281889</v>
      </c>
      <c r="F184" s="535" t="s">
        <v>798</v>
      </c>
      <c r="G184" s="538"/>
      <c r="H184" s="1729" t="str">
        <f t="shared" ca="1" si="6801"/>
        <v></v>
      </c>
      <c r="I184" s="1690" t="str">
        <f t="shared" ca="1" si="6802"/>
        <v>i</v>
      </c>
      <c r="J184" s="1729" t="str">
        <f t="shared" ca="1" si="6803"/>
        <v/>
      </c>
      <c r="K184" s="1730" t="str">
        <f t="shared" ca="1" si="6803"/>
        <v/>
      </c>
      <c r="L184" s="1731" t="str">
        <f t="shared" ca="1" si="6804"/>
        <v/>
      </c>
      <c r="M184" s="534" t="str">
        <f t="shared" ca="1" si="6805"/>
        <v>Unit</v>
      </c>
      <c r="N184" s="539"/>
      <c r="O184" s="539"/>
      <c r="P184" s="540">
        <f t="shared" ca="1" si="6910"/>
        <v>0</v>
      </c>
      <c r="Q184" s="541">
        <f t="array" aca="1" ref="Q184" ca="1">SUM(IF($AA$15:$FT$15="I_pos",AA184:FT184))</f>
        <v>0</v>
      </c>
      <c r="R184" s="541">
        <f t="array" aca="1" ref="R184" ca="1">SUM(IF($AA$15:$FT$15="P_Pos",AA184:FT184))</f>
        <v>0</v>
      </c>
      <c r="S184" s="535"/>
      <c r="T184" s="541"/>
      <c r="U184" s="542">
        <f t="shared" ca="1" si="6806"/>
        <v>-4.5895932576035199E-2</v>
      </c>
      <c r="V184" s="541">
        <f t="array" aca="1" ref="V184" ca="1">SUM(IF($AA$15:$FT$15="O_Pos",AA184:FT184))</f>
        <v>0</v>
      </c>
      <c r="W184" s="535" t="str">
        <f t="shared" ref="W184" ca="1" si="7147">OFFSET(Origine,MATCH($F184,Descrizioni,0),MATCH(W$15,Intestazioni,0)-1,1,1)</f>
        <v>USD</v>
      </c>
      <c r="X184" s="543">
        <f ca="1">_xlfn.NUMBERVALUE(OFFSET(Origine,MATCH($F184,Descrizioni,0),MATCH(X$15,Intestazioni,0)-1,1,1))</f>
        <v>5207.5</v>
      </c>
      <c r="Y184" s="544">
        <f t="shared" ca="1" si="6809"/>
        <v>0</v>
      </c>
      <c r="Z184" s="545">
        <f t="shared" ca="1" si="6810"/>
        <v>0.78225</v>
      </c>
      <c r="AA184" s="214"/>
      <c r="AB184" s="489" t="str">
        <f t="shared" ca="1" si="6811"/>
        <v/>
      </c>
      <c r="AC184" s="215"/>
      <c r="AD184" s="199">
        <f t="shared" ca="1" si="6812"/>
        <v>0</v>
      </c>
      <c r="AE184" s="199">
        <f t="shared" ca="1" si="6813"/>
        <v>0</v>
      </c>
      <c r="AF184" s="216">
        <f t="shared" ca="1" si="6726"/>
        <v>0</v>
      </c>
      <c r="AG184" s="202">
        <f ca="1">AH184/$X184</f>
        <v>0</v>
      </c>
      <c r="AH184" s="203">
        <f ca="1">AI184/$Z184</f>
        <v>0</v>
      </c>
      <c r="AI184" s="203">
        <f t="shared" ca="1" si="6816"/>
        <v>0</v>
      </c>
      <c r="AJ184" s="204">
        <f t="shared" ca="1" si="6817"/>
        <v>0</v>
      </c>
      <c r="AK184" s="205"/>
      <c r="AL184" s="206">
        <f t="shared" ca="1" si="6818"/>
        <v>0</v>
      </c>
      <c r="AM184" s="206">
        <f t="shared" ca="1" si="6819"/>
        <v>0</v>
      </c>
      <c r="AN184" s="207">
        <f t="shared" ca="1" si="6727"/>
        <v>0</v>
      </c>
      <c r="AO184" s="541">
        <f t="shared" si="7089"/>
        <v>0</v>
      </c>
      <c r="AP184" s="541">
        <f t="shared" ca="1" si="5295"/>
        <v>0</v>
      </c>
      <c r="AQ184" s="541">
        <f t="shared" ca="1" si="6821"/>
        <v>0</v>
      </c>
      <c r="AR184" s="546">
        <f t="shared" ca="1" si="6728"/>
        <v>0</v>
      </c>
      <c r="AS184" s="209" t="str">
        <f t="shared" ca="1" si="6902"/>
        <v/>
      </c>
      <c r="AT184" s="214"/>
      <c r="AU184" s="489" t="str">
        <f t="shared" ca="1" si="6822"/>
        <v/>
      </c>
      <c r="AV184" s="215"/>
      <c r="AW184" s="199">
        <f t="shared" ca="1" si="7126"/>
        <v>0</v>
      </c>
      <c r="AX184" s="199">
        <f t="shared" ca="1" si="7127"/>
        <v>0</v>
      </c>
      <c r="AY184" s="216">
        <f t="shared" ca="1" si="6729"/>
        <v>0</v>
      </c>
      <c r="AZ184" s="202">
        <f ca="1">BA184/$X184</f>
        <v>0</v>
      </c>
      <c r="BA184" s="203">
        <f ca="1">BB184/$Z184</f>
        <v>0</v>
      </c>
      <c r="BB184" s="203">
        <f t="shared" ca="1" si="6827"/>
        <v>0</v>
      </c>
      <c r="BC184" s="204">
        <f t="shared" ca="1" si="6828"/>
        <v>0</v>
      </c>
      <c r="BD184" s="205"/>
      <c r="BE184" s="206">
        <f t="shared" ca="1" si="7128"/>
        <v>0</v>
      </c>
      <c r="BF184" s="206">
        <f t="shared" ca="1" si="7129"/>
        <v>0</v>
      </c>
      <c r="BG184" s="207">
        <f t="shared" ca="1" si="6730"/>
        <v>0</v>
      </c>
      <c r="BH184" s="541">
        <f t="shared" si="7096"/>
        <v>0</v>
      </c>
      <c r="BI184" s="541">
        <f t="shared" ca="1" si="5308"/>
        <v>0</v>
      </c>
      <c r="BJ184" s="541">
        <f t="shared" ca="1" si="7130"/>
        <v>0</v>
      </c>
      <c r="BK184" s="546">
        <f t="shared" ca="1" si="6731"/>
        <v>0</v>
      </c>
      <c r="BL184" s="211" t="str">
        <f t="shared" ca="1" si="6903"/>
        <v/>
      </c>
      <c r="BM184" s="214"/>
      <c r="BN184" s="489" t="str">
        <f t="shared" ca="1" si="6833"/>
        <v/>
      </c>
      <c r="BO184" s="215"/>
      <c r="BP184" s="199">
        <f t="shared" ca="1" si="7131"/>
        <v>0</v>
      </c>
      <c r="BQ184" s="199">
        <f t="shared" ca="1" si="7132"/>
        <v>0</v>
      </c>
      <c r="BR184" s="216">
        <f t="shared" ca="1" si="6732"/>
        <v>0</v>
      </c>
      <c r="BS184" s="202">
        <f ca="1">BT184/$X184</f>
        <v>0</v>
      </c>
      <c r="BT184" s="203">
        <f ca="1">BU184/$Z184</f>
        <v>0</v>
      </c>
      <c r="BU184" s="203">
        <f t="shared" ca="1" si="6838"/>
        <v>0</v>
      </c>
      <c r="BV184" s="204">
        <f t="shared" ca="1" si="6839"/>
        <v>0</v>
      </c>
      <c r="BW184" s="205"/>
      <c r="BX184" s="206">
        <f t="shared" ca="1" si="7133"/>
        <v>0</v>
      </c>
      <c r="BY184" s="206">
        <f t="shared" ca="1" si="7134"/>
        <v>0</v>
      </c>
      <c r="BZ184" s="207">
        <f t="shared" ca="1" si="6733"/>
        <v>0</v>
      </c>
      <c r="CA184" s="541">
        <f t="shared" si="7104"/>
        <v>0</v>
      </c>
      <c r="CB184" s="541">
        <f t="shared" ca="1" si="5321"/>
        <v>0</v>
      </c>
      <c r="CC184" s="541">
        <f t="shared" ca="1" si="7135"/>
        <v>0</v>
      </c>
      <c r="CD184" s="546">
        <f t="shared" ca="1" si="6734"/>
        <v>0</v>
      </c>
      <c r="CE184" s="212" t="str">
        <f t="shared" ca="1" si="6904"/>
        <v/>
      </c>
      <c r="CF184" s="214"/>
      <c r="CG184" s="489" t="str">
        <f t="shared" ca="1" si="6844"/>
        <v/>
      </c>
      <c r="CH184" s="215"/>
      <c r="CI184" s="199">
        <f t="shared" ca="1" si="6845"/>
        <v>0</v>
      </c>
      <c r="CJ184" s="199">
        <f t="shared" ca="1" si="6846"/>
        <v>0</v>
      </c>
      <c r="CK184" s="216">
        <f t="shared" ca="1" si="6606"/>
        <v>0</v>
      </c>
      <c r="CL184" s="202">
        <f t="shared" ca="1" si="6847"/>
        <v>0</v>
      </c>
      <c r="CM184" s="203">
        <f t="shared" ca="1" si="6848"/>
        <v>0</v>
      </c>
      <c r="CN184" s="203">
        <f t="shared" ca="1" si="6849"/>
        <v>0</v>
      </c>
      <c r="CO184" s="204">
        <f t="shared" ca="1" si="6850"/>
        <v>0</v>
      </c>
      <c r="CP184" s="205"/>
      <c r="CQ184" s="206">
        <f t="shared" ca="1" si="6851"/>
        <v>0</v>
      </c>
      <c r="CR184" s="206">
        <f t="shared" ca="1" si="6852"/>
        <v>0</v>
      </c>
      <c r="CS184" s="207">
        <f t="shared" ca="1" si="6607"/>
        <v>0</v>
      </c>
      <c r="CT184" s="541">
        <f t="shared" si="7106"/>
        <v>0</v>
      </c>
      <c r="CU184" s="541">
        <f t="shared" ca="1" si="5334"/>
        <v>0</v>
      </c>
      <c r="CV184" s="541">
        <f t="shared" ca="1" si="6854"/>
        <v>0</v>
      </c>
      <c r="CW184" s="546">
        <f t="shared" ca="1" si="6608"/>
        <v>0</v>
      </c>
      <c r="CX184" s="211" t="str">
        <f t="shared" ca="1" si="6905"/>
        <v/>
      </c>
      <c r="CY184" s="197"/>
      <c r="CZ184" s="489" t="str">
        <f t="shared" ca="1" si="6855"/>
        <v/>
      </c>
      <c r="DA184" s="395"/>
      <c r="DB184" s="199">
        <f t="shared" ca="1" si="6856"/>
        <v>0</v>
      </c>
      <c r="DC184" s="199">
        <f t="shared" ca="1" si="6857"/>
        <v>0</v>
      </c>
      <c r="DD184" s="216">
        <f t="shared" ca="1" si="7009"/>
        <v>0</v>
      </c>
      <c r="DE184" s="202">
        <f t="shared" ca="1" si="6858"/>
        <v>0</v>
      </c>
      <c r="DF184" s="203">
        <f t="shared" ca="1" si="6859"/>
        <v>0</v>
      </c>
      <c r="DG184" s="203">
        <f t="shared" ca="1" si="6860"/>
        <v>0</v>
      </c>
      <c r="DH184" s="204">
        <f t="shared" ca="1" si="6861"/>
        <v>0</v>
      </c>
      <c r="DI184" s="205"/>
      <c r="DJ184" s="206">
        <f t="shared" ca="1" si="6862"/>
        <v>0</v>
      </c>
      <c r="DK184" s="206">
        <f t="shared" ca="1" si="6863"/>
        <v>0</v>
      </c>
      <c r="DL184" s="207">
        <f t="shared" ca="1" si="7010"/>
        <v>0</v>
      </c>
      <c r="DM184" s="541">
        <f t="shared" si="7061"/>
        <v>0</v>
      </c>
      <c r="DN184" s="541">
        <f t="shared" ca="1" si="5338"/>
        <v>0</v>
      </c>
      <c r="DO184" s="541">
        <f t="shared" ca="1" si="6865"/>
        <v>0</v>
      </c>
      <c r="DP184" s="546">
        <f t="shared" ca="1" si="6609"/>
        <v>0</v>
      </c>
      <c r="DQ184" s="209" t="str">
        <f t="shared" ca="1" si="6906"/>
        <v/>
      </c>
      <c r="DR184" s="197"/>
      <c r="DS184" s="489" t="str">
        <f t="shared" ca="1" si="6866"/>
        <v/>
      </c>
      <c r="DT184" s="395"/>
      <c r="DU184" s="199">
        <f t="shared" ca="1" si="6867"/>
        <v>0</v>
      </c>
      <c r="DV184" s="199">
        <f t="shared" ca="1" si="6868"/>
        <v>0</v>
      </c>
      <c r="DW184" s="216">
        <f t="shared" ca="1" si="5343"/>
        <v>0</v>
      </c>
      <c r="DX184" s="202">
        <f t="shared" ca="1" si="6869"/>
        <v>0</v>
      </c>
      <c r="DY184" s="203">
        <f t="shared" ca="1" si="6870"/>
        <v>0</v>
      </c>
      <c r="DZ184" s="203">
        <f t="shared" ca="1" si="6871"/>
        <v>0</v>
      </c>
      <c r="EA184" s="204">
        <f t="shared" ca="1" si="6872"/>
        <v>0</v>
      </c>
      <c r="EB184" s="205"/>
      <c r="EC184" s="206">
        <f t="shared" ca="1" si="6873"/>
        <v>0</v>
      </c>
      <c r="ED184" s="206">
        <f t="shared" ca="1" si="6874"/>
        <v>0</v>
      </c>
      <c r="EE184" s="207">
        <f t="shared" ca="1" si="5349"/>
        <v>0</v>
      </c>
      <c r="EF184" s="541">
        <f t="shared" si="7062"/>
        <v>0</v>
      </c>
      <c r="EG184" s="541">
        <f t="shared" ca="1" si="6876"/>
        <v>0</v>
      </c>
      <c r="EH184" s="541">
        <f t="shared" ca="1" si="6877"/>
        <v>0</v>
      </c>
      <c r="EI184" s="546">
        <f t="shared" ca="1" si="6610"/>
        <v>0</v>
      </c>
      <c r="EJ184" s="214"/>
      <c r="EK184" s="489" t="str">
        <f t="shared" ca="1" si="6878"/>
        <v/>
      </c>
      <c r="EL184" s="222"/>
      <c r="EM184" s="199">
        <f t="shared" ca="1" si="7136"/>
        <v>0</v>
      </c>
      <c r="EN184" s="199">
        <f t="shared" ca="1" si="7137"/>
        <v>0</v>
      </c>
      <c r="EO184" s="216">
        <f t="shared" ca="1" si="6735"/>
        <v>0</v>
      </c>
      <c r="EP184" s="202">
        <f ca="1">EQ184/$X184</f>
        <v>0</v>
      </c>
      <c r="EQ184" s="203">
        <f ca="1">ER184/$Z184</f>
        <v>0</v>
      </c>
      <c r="ER184" s="203">
        <f t="shared" ca="1" si="6883"/>
        <v>0</v>
      </c>
      <c r="ES184" s="204">
        <f t="shared" ca="1" si="6884"/>
        <v>0</v>
      </c>
      <c r="ET184" s="205"/>
      <c r="EU184" s="206">
        <f t="shared" ca="1" si="7138"/>
        <v>0</v>
      </c>
      <c r="EV184" s="206">
        <f t="shared" ca="1" si="7139"/>
        <v>0</v>
      </c>
      <c r="EW184" s="207">
        <f t="shared" ca="1" si="6736"/>
        <v>0</v>
      </c>
      <c r="EX184" s="541">
        <f t="shared" si="7113"/>
        <v>0</v>
      </c>
      <c r="EY184" s="541">
        <f t="shared" ca="1" si="5364"/>
        <v>0</v>
      </c>
      <c r="EZ184" s="541">
        <f t="shared" ca="1" si="7140"/>
        <v>0</v>
      </c>
      <c r="FA184" s="546">
        <f t="shared" ca="1" si="6737"/>
        <v>0</v>
      </c>
      <c r="FB184" s="212" t="str">
        <f t="shared" ca="1" si="6907"/>
        <v/>
      </c>
      <c r="FC184" s="214"/>
      <c r="FD184" s="489" t="str">
        <f t="shared" ca="1" si="6889"/>
        <v/>
      </c>
      <c r="FE184" s="215"/>
      <c r="FF184" s="199">
        <f ca="1">FC184*$X184</f>
        <v>0</v>
      </c>
      <c r="FG184" s="199">
        <f ca="1">FF184*$Z184</f>
        <v>0</v>
      </c>
      <c r="FH184" s="216">
        <f t="shared" ca="1" si="6892"/>
        <v>0</v>
      </c>
      <c r="FI184" s="202">
        <f ca="1">FJ184/$X184</f>
        <v>0</v>
      </c>
      <c r="FJ184" s="203">
        <f ca="1">FK184/$Z184</f>
        <v>0</v>
      </c>
      <c r="FK184" s="203">
        <f t="shared" ca="1" si="6895"/>
        <v>0</v>
      </c>
      <c r="FL184" s="204">
        <f t="shared" ca="1" si="6896"/>
        <v>0</v>
      </c>
      <c r="FM184" s="205"/>
      <c r="FN184" s="206">
        <f ca="1">FM184*$X184</f>
        <v>0</v>
      </c>
      <c r="FO184" s="206">
        <f ca="1">FN184*$Z184</f>
        <v>0</v>
      </c>
      <c r="FP184" s="207">
        <f t="shared" ca="1" si="6739"/>
        <v>0</v>
      </c>
      <c r="FQ184" s="541">
        <f t="shared" si="7121"/>
        <v>0</v>
      </c>
      <c r="FR184" s="541">
        <f t="shared" ca="1" si="5378"/>
        <v>0</v>
      </c>
      <c r="FS184" s="541">
        <f ca="1">FR184*$Z184</f>
        <v>0</v>
      </c>
      <c r="FT184" s="546">
        <f t="shared" ca="1" si="6740"/>
        <v>0</v>
      </c>
      <c r="FU184" s="209" t="str">
        <f t="shared" ca="1" si="6908"/>
        <v/>
      </c>
    </row>
    <row r="185" spans="1:177" outlineLevel="2" x14ac:dyDescent="0.2">
      <c r="A185" s="534"/>
      <c r="B185" s="534"/>
      <c r="C185" s="535" t="str">
        <f t="shared" ca="1" si="6799"/>
        <v>CH0002813837:CHF</v>
      </c>
      <c r="D185" s="536" t="str">
        <f t="shared" ca="1" si="6800"/>
        <v>CH0002813837</v>
      </c>
      <c r="E185" s="537" t="str">
        <f t="shared" ca="1" si="6800"/>
        <v>281383</v>
      </c>
      <c r="F185" s="535" t="s">
        <v>799</v>
      </c>
      <c r="G185" s="538"/>
      <c r="H185" s="1729" t="str">
        <f t="shared" ca="1" si="6801"/>
        <v></v>
      </c>
      <c r="I185" s="1690" t="str">
        <f t="shared" ca="1" si="6802"/>
        <v>i</v>
      </c>
      <c r="J185" s="1729" t="str">
        <f t="shared" ca="1" si="6803"/>
        <v/>
      </c>
      <c r="K185" s="1730" t="str">
        <f t="shared" ca="1" si="6803"/>
        <v/>
      </c>
      <c r="L185" s="1731" t="str">
        <f t="shared" ca="1" si="6804"/>
        <v/>
      </c>
      <c r="M185" s="534" t="str">
        <f t="shared" ca="1" si="6805"/>
        <v>Unit</v>
      </c>
      <c r="N185" s="539"/>
      <c r="O185" s="539"/>
      <c r="P185" s="540">
        <f t="shared" ca="1" si="6910"/>
        <v>0</v>
      </c>
      <c r="Q185" s="541">
        <f t="array" aca="1" ref="Q185" ca="1">SUM(IF($AA$15:$FT$15="I_pos",AA185:FT185))</f>
        <v>0</v>
      </c>
      <c r="R185" s="541">
        <f t="array" aca="1" ref="R185" ca="1">SUM(IF($AA$15:$FT$15="P_Pos",AA185:FT185))</f>
        <v>0</v>
      </c>
      <c r="S185" s="535"/>
      <c r="T185" s="541"/>
      <c r="U185" s="542">
        <f t="shared" ca="1" si="6806"/>
        <v>-3.96103896103897E-2</v>
      </c>
      <c r="V185" s="541">
        <f t="array" aca="1" ref="V185" ca="1">SUM(IF($AA$15:$FT$15="O_Pos",AA185:FT185))</f>
        <v>0</v>
      </c>
      <c r="W185" s="535" t="str">
        <f t="shared" ref="W185" ca="1" si="7148">OFFSET(Origine,MATCH($F185,Descrizioni,0),MATCH(W$15,Intestazioni,0)-1,1,1)</f>
        <v>CHF</v>
      </c>
      <c r="X185" s="543">
        <f t="shared" ref="X185" ca="1" si="7149">_xlfn.NUMBERVALUE(OFFSET(Origine,MATCH($F185,Descrizioni,0),MATCH(X$15,Intestazioni,0)-1,1,1))</f>
        <v>739.5</v>
      </c>
      <c r="Y185" s="544">
        <f t="shared" ca="1" si="6809"/>
        <v>0</v>
      </c>
      <c r="Z185" s="545">
        <f t="shared" ca="1" si="6810"/>
        <v>1.0000001300000001</v>
      </c>
      <c r="AA185" s="214"/>
      <c r="AB185" s="489" t="str">
        <f t="shared" ca="1" si="6811"/>
        <v/>
      </c>
      <c r="AC185" s="215"/>
      <c r="AD185" s="199">
        <f t="shared" ca="1" si="6812"/>
        <v>0</v>
      </c>
      <c r="AE185" s="199">
        <f t="shared" ca="1" si="6813"/>
        <v>0</v>
      </c>
      <c r="AF185" s="216">
        <f t="shared" ca="1" si="6726"/>
        <v>0</v>
      </c>
      <c r="AG185" s="202">
        <f ca="1">AH185/$X185</f>
        <v>0</v>
      </c>
      <c r="AH185" s="203">
        <f ca="1">AI185/$Z185</f>
        <v>0</v>
      </c>
      <c r="AI185" s="203">
        <f t="shared" ca="1" si="6816"/>
        <v>0</v>
      </c>
      <c r="AJ185" s="204">
        <f t="shared" ca="1" si="6817"/>
        <v>0</v>
      </c>
      <c r="AK185" s="205"/>
      <c r="AL185" s="206">
        <f t="shared" ca="1" si="6818"/>
        <v>0</v>
      </c>
      <c r="AM185" s="206">
        <f t="shared" ca="1" si="6819"/>
        <v>0</v>
      </c>
      <c r="AN185" s="207">
        <f t="shared" ca="1" si="6727"/>
        <v>0</v>
      </c>
      <c r="AO185" s="541">
        <f t="shared" si="7089"/>
        <v>0</v>
      </c>
      <c r="AP185" s="541">
        <f t="shared" ca="1" si="5295"/>
        <v>0</v>
      </c>
      <c r="AQ185" s="541">
        <f t="shared" ca="1" si="6821"/>
        <v>0</v>
      </c>
      <c r="AR185" s="546">
        <f t="shared" ca="1" si="6728"/>
        <v>0</v>
      </c>
      <c r="AS185" s="209" t="str">
        <f t="shared" ca="1" si="6902"/>
        <v/>
      </c>
      <c r="AT185" s="214"/>
      <c r="AU185" s="489" t="str">
        <f t="shared" ca="1" si="6822"/>
        <v/>
      </c>
      <c r="AV185" s="215"/>
      <c r="AW185" s="199">
        <f t="shared" ca="1" si="7126"/>
        <v>0</v>
      </c>
      <c r="AX185" s="199">
        <f t="shared" ca="1" si="7127"/>
        <v>0</v>
      </c>
      <c r="AY185" s="216">
        <f t="shared" ca="1" si="6729"/>
        <v>0</v>
      </c>
      <c r="AZ185" s="202">
        <f ca="1">BA185/$X185</f>
        <v>0</v>
      </c>
      <c r="BA185" s="203">
        <f ca="1">BB185/$Z185</f>
        <v>0</v>
      </c>
      <c r="BB185" s="203">
        <f t="shared" ca="1" si="6827"/>
        <v>0</v>
      </c>
      <c r="BC185" s="204">
        <f t="shared" ca="1" si="6828"/>
        <v>0</v>
      </c>
      <c r="BD185" s="205"/>
      <c r="BE185" s="206">
        <f t="shared" ca="1" si="7128"/>
        <v>0</v>
      </c>
      <c r="BF185" s="206">
        <f t="shared" ca="1" si="7129"/>
        <v>0</v>
      </c>
      <c r="BG185" s="207">
        <f t="shared" ca="1" si="6730"/>
        <v>0</v>
      </c>
      <c r="BH185" s="541">
        <f t="shared" si="7096"/>
        <v>0</v>
      </c>
      <c r="BI185" s="541">
        <f t="shared" ca="1" si="5308"/>
        <v>0</v>
      </c>
      <c r="BJ185" s="541">
        <f t="shared" ca="1" si="7130"/>
        <v>0</v>
      </c>
      <c r="BK185" s="546">
        <f t="shared" ca="1" si="6731"/>
        <v>0</v>
      </c>
      <c r="BL185" s="211" t="str">
        <f t="shared" ca="1" si="6903"/>
        <v/>
      </c>
      <c r="BM185" s="214"/>
      <c r="BN185" s="489" t="str">
        <f t="shared" ca="1" si="6833"/>
        <v/>
      </c>
      <c r="BO185" s="215"/>
      <c r="BP185" s="199">
        <f t="shared" ca="1" si="7131"/>
        <v>0</v>
      </c>
      <c r="BQ185" s="199">
        <f t="shared" ca="1" si="7132"/>
        <v>0</v>
      </c>
      <c r="BR185" s="216">
        <f t="shared" ca="1" si="6732"/>
        <v>0</v>
      </c>
      <c r="BS185" s="202">
        <f ca="1">BT185/$X185</f>
        <v>0</v>
      </c>
      <c r="BT185" s="203">
        <f ca="1">BU185/$Z185</f>
        <v>0</v>
      </c>
      <c r="BU185" s="203">
        <f t="shared" ca="1" si="6838"/>
        <v>0</v>
      </c>
      <c r="BV185" s="204">
        <f t="shared" ca="1" si="6839"/>
        <v>0</v>
      </c>
      <c r="BW185" s="205"/>
      <c r="BX185" s="206">
        <f t="shared" ca="1" si="7133"/>
        <v>0</v>
      </c>
      <c r="BY185" s="206">
        <f t="shared" ca="1" si="7134"/>
        <v>0</v>
      </c>
      <c r="BZ185" s="207">
        <f t="shared" ca="1" si="6733"/>
        <v>0</v>
      </c>
      <c r="CA185" s="541">
        <f t="shared" si="7104"/>
        <v>0</v>
      </c>
      <c r="CB185" s="541">
        <f t="shared" ca="1" si="5321"/>
        <v>0</v>
      </c>
      <c r="CC185" s="541">
        <f t="shared" ca="1" si="7135"/>
        <v>0</v>
      </c>
      <c r="CD185" s="546">
        <f t="shared" ca="1" si="6734"/>
        <v>0</v>
      </c>
      <c r="CE185" s="212" t="str">
        <f t="shared" ca="1" si="6904"/>
        <v/>
      </c>
      <c r="CF185" s="214"/>
      <c r="CG185" s="489" t="str">
        <f t="shared" ca="1" si="6844"/>
        <v/>
      </c>
      <c r="CH185" s="215"/>
      <c r="CI185" s="199">
        <f t="shared" ca="1" si="6845"/>
        <v>0</v>
      </c>
      <c r="CJ185" s="199">
        <f t="shared" ca="1" si="6846"/>
        <v>0</v>
      </c>
      <c r="CK185" s="216">
        <f t="shared" ca="1" si="6606"/>
        <v>0</v>
      </c>
      <c r="CL185" s="202">
        <f t="shared" ca="1" si="6847"/>
        <v>0</v>
      </c>
      <c r="CM185" s="203">
        <f t="shared" ca="1" si="6848"/>
        <v>0</v>
      </c>
      <c r="CN185" s="203">
        <f t="shared" ca="1" si="6849"/>
        <v>0</v>
      </c>
      <c r="CO185" s="204">
        <f t="shared" ca="1" si="6850"/>
        <v>0</v>
      </c>
      <c r="CP185" s="205"/>
      <c r="CQ185" s="206">
        <f t="shared" ca="1" si="6851"/>
        <v>0</v>
      </c>
      <c r="CR185" s="206">
        <f t="shared" ca="1" si="6852"/>
        <v>0</v>
      </c>
      <c r="CS185" s="207">
        <f t="shared" ca="1" si="6607"/>
        <v>0</v>
      </c>
      <c r="CT185" s="541">
        <f t="shared" si="7106"/>
        <v>0</v>
      </c>
      <c r="CU185" s="541">
        <f t="shared" ca="1" si="5334"/>
        <v>0</v>
      </c>
      <c r="CV185" s="541">
        <f t="shared" ca="1" si="6854"/>
        <v>0</v>
      </c>
      <c r="CW185" s="546">
        <f t="shared" ca="1" si="6608"/>
        <v>0</v>
      </c>
      <c r="CX185" s="211" t="str">
        <f t="shared" ca="1" si="6905"/>
        <v/>
      </c>
      <c r="CY185" s="197"/>
      <c r="CZ185" s="489" t="str">
        <f t="shared" ca="1" si="6855"/>
        <v/>
      </c>
      <c r="DA185" s="395"/>
      <c r="DB185" s="199">
        <f t="shared" ca="1" si="6856"/>
        <v>0</v>
      </c>
      <c r="DC185" s="199">
        <f t="shared" ca="1" si="6857"/>
        <v>0</v>
      </c>
      <c r="DD185" s="216">
        <f t="shared" ca="1" si="7009"/>
        <v>0</v>
      </c>
      <c r="DE185" s="202">
        <f t="shared" ca="1" si="6858"/>
        <v>0</v>
      </c>
      <c r="DF185" s="203">
        <f t="shared" ca="1" si="6859"/>
        <v>0</v>
      </c>
      <c r="DG185" s="203">
        <f t="shared" ca="1" si="6860"/>
        <v>0</v>
      </c>
      <c r="DH185" s="204">
        <f t="shared" ca="1" si="6861"/>
        <v>0</v>
      </c>
      <c r="DI185" s="205"/>
      <c r="DJ185" s="206">
        <f t="shared" ca="1" si="6862"/>
        <v>0</v>
      </c>
      <c r="DK185" s="206">
        <f t="shared" ca="1" si="6863"/>
        <v>0</v>
      </c>
      <c r="DL185" s="207">
        <f t="shared" ca="1" si="7010"/>
        <v>0</v>
      </c>
      <c r="DM185" s="541">
        <f t="shared" si="7061"/>
        <v>0</v>
      </c>
      <c r="DN185" s="541">
        <f t="shared" ca="1" si="5338"/>
        <v>0</v>
      </c>
      <c r="DO185" s="541">
        <f t="shared" ca="1" si="6865"/>
        <v>0</v>
      </c>
      <c r="DP185" s="546">
        <f t="shared" ca="1" si="6609"/>
        <v>0</v>
      </c>
      <c r="DQ185" s="209" t="str">
        <f t="shared" ca="1" si="6906"/>
        <v/>
      </c>
      <c r="DR185" s="197"/>
      <c r="DS185" s="489" t="str">
        <f t="shared" ca="1" si="6866"/>
        <v/>
      </c>
      <c r="DT185" s="395"/>
      <c r="DU185" s="199">
        <f t="shared" ca="1" si="6867"/>
        <v>0</v>
      </c>
      <c r="DV185" s="199">
        <f t="shared" ca="1" si="6868"/>
        <v>0</v>
      </c>
      <c r="DW185" s="216">
        <f t="shared" ca="1" si="5343"/>
        <v>0</v>
      </c>
      <c r="DX185" s="202">
        <f t="shared" ca="1" si="6869"/>
        <v>0</v>
      </c>
      <c r="DY185" s="203">
        <f t="shared" ca="1" si="6870"/>
        <v>0</v>
      </c>
      <c r="DZ185" s="203">
        <f t="shared" ca="1" si="6871"/>
        <v>0</v>
      </c>
      <c r="EA185" s="204">
        <f t="shared" ca="1" si="6872"/>
        <v>0</v>
      </c>
      <c r="EB185" s="205"/>
      <c r="EC185" s="206">
        <f t="shared" ca="1" si="6873"/>
        <v>0</v>
      </c>
      <c r="ED185" s="206">
        <f t="shared" ca="1" si="6874"/>
        <v>0</v>
      </c>
      <c r="EE185" s="207">
        <f t="shared" ca="1" si="5349"/>
        <v>0</v>
      </c>
      <c r="EF185" s="541">
        <f t="shared" si="7062"/>
        <v>0</v>
      </c>
      <c r="EG185" s="541">
        <f t="shared" ca="1" si="6876"/>
        <v>0</v>
      </c>
      <c r="EH185" s="541">
        <f t="shared" ca="1" si="6877"/>
        <v>0</v>
      </c>
      <c r="EI185" s="546">
        <f t="shared" ca="1" si="6610"/>
        <v>0</v>
      </c>
      <c r="EJ185" s="214"/>
      <c r="EK185" s="489" t="str">
        <f t="shared" ca="1" si="6878"/>
        <v/>
      </c>
      <c r="EL185" s="222"/>
      <c r="EM185" s="199">
        <f t="shared" ca="1" si="7136"/>
        <v>0</v>
      </c>
      <c r="EN185" s="199">
        <f t="shared" ca="1" si="7137"/>
        <v>0</v>
      </c>
      <c r="EO185" s="216">
        <f t="shared" ca="1" si="6735"/>
        <v>0</v>
      </c>
      <c r="EP185" s="202">
        <f ca="1">EQ185/$X185</f>
        <v>0</v>
      </c>
      <c r="EQ185" s="203">
        <f ca="1">ER185/$Z185</f>
        <v>0</v>
      </c>
      <c r="ER185" s="203">
        <f t="shared" ca="1" si="6883"/>
        <v>0</v>
      </c>
      <c r="ES185" s="204">
        <f t="shared" ca="1" si="6884"/>
        <v>0</v>
      </c>
      <c r="ET185" s="205"/>
      <c r="EU185" s="206">
        <f t="shared" ca="1" si="7138"/>
        <v>0</v>
      </c>
      <c r="EV185" s="206">
        <f t="shared" ca="1" si="7139"/>
        <v>0</v>
      </c>
      <c r="EW185" s="207">
        <f t="shared" ca="1" si="6736"/>
        <v>0</v>
      </c>
      <c r="EX185" s="541">
        <f t="shared" si="7113"/>
        <v>0</v>
      </c>
      <c r="EY185" s="541">
        <f t="shared" ca="1" si="5364"/>
        <v>0</v>
      </c>
      <c r="EZ185" s="541">
        <f t="shared" ca="1" si="7140"/>
        <v>0</v>
      </c>
      <c r="FA185" s="546">
        <f t="shared" ca="1" si="6737"/>
        <v>0</v>
      </c>
      <c r="FB185" s="212" t="str">
        <f t="shared" ca="1" si="6907"/>
        <v/>
      </c>
      <c r="FC185" s="214"/>
      <c r="FD185" s="489" t="str">
        <f t="shared" ca="1" si="6889"/>
        <v/>
      </c>
      <c r="FE185" s="215"/>
      <c r="FF185" s="199">
        <f ca="1">FC185*$X185</f>
        <v>0</v>
      </c>
      <c r="FG185" s="199">
        <f ca="1">FF185*$Z185</f>
        <v>0</v>
      </c>
      <c r="FH185" s="216">
        <f t="shared" ca="1" si="6892"/>
        <v>0</v>
      </c>
      <c r="FI185" s="202">
        <f ca="1">FJ185/$X185</f>
        <v>0</v>
      </c>
      <c r="FJ185" s="203">
        <f ca="1">FK185/$Z185</f>
        <v>0</v>
      </c>
      <c r="FK185" s="203">
        <f t="shared" ca="1" si="6895"/>
        <v>0</v>
      </c>
      <c r="FL185" s="204">
        <f t="shared" ca="1" si="6896"/>
        <v>0</v>
      </c>
      <c r="FM185" s="205"/>
      <c r="FN185" s="206">
        <f ca="1">FM185*$X185</f>
        <v>0</v>
      </c>
      <c r="FO185" s="206">
        <f ca="1">FN185*$Z185</f>
        <v>0</v>
      </c>
      <c r="FP185" s="207">
        <f t="shared" ca="1" si="6739"/>
        <v>0</v>
      </c>
      <c r="FQ185" s="541">
        <f t="shared" si="7121"/>
        <v>0</v>
      </c>
      <c r="FR185" s="541">
        <f t="shared" ca="1" si="5378"/>
        <v>0</v>
      </c>
      <c r="FS185" s="541">
        <f ca="1">FR185*$Z185</f>
        <v>0</v>
      </c>
      <c r="FT185" s="546">
        <f t="shared" ca="1" si="6740"/>
        <v>0</v>
      </c>
      <c r="FU185" s="209" t="str">
        <f t="shared" ca="1" si="6908"/>
        <v/>
      </c>
    </row>
    <row r="186" spans="1:177" outlineLevel="2" x14ac:dyDescent="0.2">
      <c r="A186" s="534"/>
      <c r="B186" s="534"/>
      <c r="C186" s="535" t="str">
        <f t="shared" ca="1" si="6799"/>
        <v>CH0106027193:USD</v>
      </c>
      <c r="D186" s="536" t="str">
        <f t="shared" ca="1" si="6800"/>
        <v>CH0106027193</v>
      </c>
      <c r="E186" s="537" t="str">
        <f t="shared" ca="1" si="6800"/>
        <v>10602719</v>
      </c>
      <c r="F186" s="535" t="s">
        <v>650</v>
      </c>
      <c r="G186" s="538"/>
      <c r="H186" s="1729" t="str">
        <f t="shared" ca="1" si="6801"/>
        <v></v>
      </c>
      <c r="I186" s="1690" t="str">
        <f t="shared" ca="1" si="6802"/>
        <v>i</v>
      </c>
      <c r="J186" s="1729" t="str">
        <f t="shared" ca="1" si="6803"/>
        <v></v>
      </c>
      <c r="K186" s="1730" t="str">
        <f t="shared" ca="1" si="6803"/>
        <v></v>
      </c>
      <c r="L186" s="1731" t="str">
        <f t="shared" ca="1" si="6804"/>
        <v></v>
      </c>
      <c r="M186" s="534" t="str">
        <f t="shared" ca="1" si="6805"/>
        <v>Unit</v>
      </c>
      <c r="N186" s="539"/>
      <c r="O186" s="539"/>
      <c r="P186" s="540">
        <f t="shared" ca="1" si="6910"/>
        <v>0</v>
      </c>
      <c r="Q186" s="541">
        <f t="array" aca="1" ref="Q186" ca="1">SUM(IF($AA$15:$FT$15="I_pos",AA186:FT186))</f>
        <v>0</v>
      </c>
      <c r="R186" s="541">
        <f t="array" aca="1" ref="R186" ca="1">SUM(IF($AA$15:$FT$15="P_Pos",AA186:FT186))</f>
        <v>0</v>
      </c>
      <c r="S186" s="535"/>
      <c r="T186" s="541"/>
      <c r="U186" s="542">
        <f t="shared" ca="1" si="6806"/>
        <v>-3.4014408881540004E-2</v>
      </c>
      <c r="V186" s="541">
        <f t="array" aca="1" ref="V186" ca="1">SUM(IF($AA$15:$FT$15="O_Pos",AA186:FT186))</f>
        <v>0</v>
      </c>
      <c r="W186" s="535" t="str">
        <f t="shared" ref="W186" ca="1" si="7150">OFFSET(Origine,MATCH($F186,Descrizioni,0),MATCH(W$15,Intestazioni,0)-1,1,1)</f>
        <v>USD</v>
      </c>
      <c r="X186" s="543">
        <f t="shared" ref="X186" ca="1" si="7151">_xlfn.NUMBERVALUE(OFFSET(Origine,MATCH($F186,Descrizioni,0),MATCH(X$15,Intestazioni,0)-1,1,1))</f>
        <v>163.58000000000001</v>
      </c>
      <c r="Y186" s="544">
        <f t="shared" ca="1" si="6809"/>
        <v>0</v>
      </c>
      <c r="Z186" s="545">
        <f t="shared" ca="1" si="6810"/>
        <v>0.78225</v>
      </c>
      <c r="AA186" s="214"/>
      <c r="AB186" s="489" t="str">
        <f t="shared" ca="1" si="6811"/>
        <v/>
      </c>
      <c r="AC186" s="215"/>
      <c r="AD186" s="199">
        <f t="shared" ca="1" si="6812"/>
        <v>0</v>
      </c>
      <c r="AE186" s="199">
        <f t="shared" ca="1" si="6813"/>
        <v>0</v>
      </c>
      <c r="AF186" s="216">
        <f t="shared" ca="1" si="6726"/>
        <v>0</v>
      </c>
      <c r="AG186" s="202">
        <f ca="1">AH186/$X186</f>
        <v>0</v>
      </c>
      <c r="AH186" s="203">
        <f ca="1">AI186/$Z186</f>
        <v>0</v>
      </c>
      <c r="AI186" s="203">
        <f t="shared" ca="1" si="6816"/>
        <v>0</v>
      </c>
      <c r="AJ186" s="204">
        <f t="shared" ca="1" si="6817"/>
        <v>0</v>
      </c>
      <c r="AK186" s="205"/>
      <c r="AL186" s="206">
        <f t="shared" ca="1" si="6818"/>
        <v>0</v>
      </c>
      <c r="AM186" s="206">
        <f t="shared" ca="1" si="6819"/>
        <v>0</v>
      </c>
      <c r="AN186" s="207">
        <f t="shared" ca="1" si="6727"/>
        <v>0</v>
      </c>
      <c r="AO186" s="541">
        <f t="shared" si="7089"/>
        <v>0</v>
      </c>
      <c r="AP186" s="541">
        <f t="shared" ca="1" si="5295"/>
        <v>0</v>
      </c>
      <c r="AQ186" s="541">
        <f t="shared" ca="1" si="6821"/>
        <v>0</v>
      </c>
      <c r="AR186" s="546">
        <f t="shared" ca="1" si="6728"/>
        <v>0</v>
      </c>
      <c r="AS186" s="209" t="str">
        <f t="shared" ca="1" si="6902"/>
        <v/>
      </c>
      <c r="AT186" s="214"/>
      <c r="AU186" s="489" t="str">
        <f t="shared" ca="1" si="6822"/>
        <v/>
      </c>
      <c r="AV186" s="215"/>
      <c r="AW186" s="199">
        <f t="shared" ca="1" si="7126"/>
        <v>0</v>
      </c>
      <c r="AX186" s="199">
        <f t="shared" ca="1" si="7127"/>
        <v>0</v>
      </c>
      <c r="AY186" s="216">
        <f t="shared" ca="1" si="6729"/>
        <v>0</v>
      </c>
      <c r="AZ186" s="202">
        <f ca="1">BA186/$X186</f>
        <v>0</v>
      </c>
      <c r="BA186" s="203">
        <f ca="1">BB186/$Z186</f>
        <v>0</v>
      </c>
      <c r="BB186" s="203">
        <f t="shared" ca="1" si="6827"/>
        <v>0</v>
      </c>
      <c r="BC186" s="204">
        <f t="shared" ca="1" si="6828"/>
        <v>0</v>
      </c>
      <c r="BD186" s="205"/>
      <c r="BE186" s="206">
        <f t="shared" ca="1" si="7128"/>
        <v>0</v>
      </c>
      <c r="BF186" s="206">
        <f t="shared" ca="1" si="7129"/>
        <v>0</v>
      </c>
      <c r="BG186" s="207">
        <f t="shared" ca="1" si="6730"/>
        <v>0</v>
      </c>
      <c r="BH186" s="541">
        <f t="shared" si="7096"/>
        <v>0</v>
      </c>
      <c r="BI186" s="541">
        <f t="shared" ca="1" si="5308"/>
        <v>0</v>
      </c>
      <c r="BJ186" s="541">
        <f t="shared" ca="1" si="7130"/>
        <v>0</v>
      </c>
      <c r="BK186" s="546">
        <f t="shared" ca="1" si="6731"/>
        <v>0</v>
      </c>
      <c r="BL186" s="211" t="str">
        <f t="shared" ca="1" si="6903"/>
        <v/>
      </c>
      <c r="BM186" s="214"/>
      <c r="BN186" s="489" t="str">
        <f t="shared" ca="1" si="6833"/>
        <v/>
      </c>
      <c r="BO186" s="215"/>
      <c r="BP186" s="199">
        <f t="shared" ca="1" si="7131"/>
        <v>0</v>
      </c>
      <c r="BQ186" s="199">
        <f t="shared" ca="1" si="7132"/>
        <v>0</v>
      </c>
      <c r="BR186" s="216">
        <f t="shared" ca="1" si="6732"/>
        <v>0</v>
      </c>
      <c r="BS186" s="202">
        <f ca="1">BT186/$X186</f>
        <v>0</v>
      </c>
      <c r="BT186" s="203">
        <f ca="1">BU186/$Z186</f>
        <v>0</v>
      </c>
      <c r="BU186" s="203">
        <f t="shared" ca="1" si="6838"/>
        <v>0</v>
      </c>
      <c r="BV186" s="204">
        <f t="shared" ca="1" si="6839"/>
        <v>0</v>
      </c>
      <c r="BW186" s="205"/>
      <c r="BX186" s="206">
        <f t="shared" ca="1" si="7133"/>
        <v>0</v>
      </c>
      <c r="BY186" s="206">
        <f t="shared" ca="1" si="7134"/>
        <v>0</v>
      </c>
      <c r="BZ186" s="207">
        <f t="shared" ca="1" si="6733"/>
        <v>0</v>
      </c>
      <c r="CA186" s="541">
        <f t="shared" si="7104"/>
        <v>0</v>
      </c>
      <c r="CB186" s="541">
        <f t="shared" ca="1" si="5321"/>
        <v>0</v>
      </c>
      <c r="CC186" s="541">
        <f t="shared" ca="1" si="7135"/>
        <v>0</v>
      </c>
      <c r="CD186" s="546">
        <f t="shared" ca="1" si="6734"/>
        <v>0</v>
      </c>
      <c r="CE186" s="212" t="str">
        <f t="shared" ca="1" si="6904"/>
        <v/>
      </c>
      <c r="CF186" s="214"/>
      <c r="CG186" s="489" t="str">
        <f t="shared" ca="1" si="6844"/>
        <v/>
      </c>
      <c r="CH186" s="215"/>
      <c r="CI186" s="199">
        <f t="shared" ca="1" si="6845"/>
        <v>0</v>
      </c>
      <c r="CJ186" s="199">
        <f t="shared" ca="1" si="6846"/>
        <v>0</v>
      </c>
      <c r="CK186" s="216">
        <f t="shared" ca="1" si="6606"/>
        <v>0</v>
      </c>
      <c r="CL186" s="202">
        <f t="shared" ca="1" si="6847"/>
        <v>0</v>
      </c>
      <c r="CM186" s="203">
        <f t="shared" ca="1" si="6848"/>
        <v>0</v>
      </c>
      <c r="CN186" s="203">
        <f t="shared" ca="1" si="6849"/>
        <v>0</v>
      </c>
      <c r="CO186" s="204">
        <f t="shared" ca="1" si="6850"/>
        <v>0</v>
      </c>
      <c r="CP186" s="205"/>
      <c r="CQ186" s="206">
        <f t="shared" ca="1" si="6851"/>
        <v>0</v>
      </c>
      <c r="CR186" s="206">
        <f t="shared" ca="1" si="6852"/>
        <v>0</v>
      </c>
      <c r="CS186" s="207">
        <f t="shared" ca="1" si="6607"/>
        <v>0</v>
      </c>
      <c r="CT186" s="541">
        <f t="shared" si="7106"/>
        <v>0</v>
      </c>
      <c r="CU186" s="541">
        <f t="shared" ca="1" si="5334"/>
        <v>0</v>
      </c>
      <c r="CV186" s="541">
        <f t="shared" ca="1" si="6854"/>
        <v>0</v>
      </c>
      <c r="CW186" s="546">
        <f t="shared" ca="1" si="6608"/>
        <v>0</v>
      </c>
      <c r="CX186" s="211" t="str">
        <f t="shared" ca="1" si="6905"/>
        <v/>
      </c>
      <c r="CY186" s="197"/>
      <c r="CZ186" s="489" t="str">
        <f t="shared" ca="1" si="6855"/>
        <v/>
      </c>
      <c r="DA186" s="395"/>
      <c r="DB186" s="199">
        <f t="shared" ca="1" si="6856"/>
        <v>0</v>
      </c>
      <c r="DC186" s="199">
        <f t="shared" ca="1" si="6857"/>
        <v>0</v>
      </c>
      <c r="DD186" s="216">
        <f t="shared" ca="1" si="7009"/>
        <v>0</v>
      </c>
      <c r="DE186" s="202">
        <f t="shared" ca="1" si="6858"/>
        <v>0</v>
      </c>
      <c r="DF186" s="203">
        <f t="shared" ca="1" si="6859"/>
        <v>0</v>
      </c>
      <c r="DG186" s="203">
        <f t="shared" ca="1" si="6860"/>
        <v>0</v>
      </c>
      <c r="DH186" s="204">
        <f t="shared" ca="1" si="6861"/>
        <v>0</v>
      </c>
      <c r="DI186" s="205"/>
      <c r="DJ186" s="206">
        <f t="shared" ca="1" si="6862"/>
        <v>0</v>
      </c>
      <c r="DK186" s="206">
        <f t="shared" ca="1" si="6863"/>
        <v>0</v>
      </c>
      <c r="DL186" s="207">
        <f t="shared" ca="1" si="7010"/>
        <v>0</v>
      </c>
      <c r="DM186" s="541">
        <f t="shared" si="7061"/>
        <v>0</v>
      </c>
      <c r="DN186" s="541">
        <f t="shared" ca="1" si="5338"/>
        <v>0</v>
      </c>
      <c r="DO186" s="541">
        <f t="shared" ca="1" si="6865"/>
        <v>0</v>
      </c>
      <c r="DP186" s="546">
        <f t="shared" ca="1" si="6609"/>
        <v>0</v>
      </c>
      <c r="DQ186" s="209" t="str">
        <f t="shared" ca="1" si="6906"/>
        <v/>
      </c>
      <c r="DR186" s="197"/>
      <c r="DS186" s="489" t="str">
        <f t="shared" ca="1" si="6866"/>
        <v/>
      </c>
      <c r="DT186" s="395"/>
      <c r="DU186" s="199">
        <f t="shared" ca="1" si="6867"/>
        <v>0</v>
      </c>
      <c r="DV186" s="199">
        <f t="shared" ca="1" si="6868"/>
        <v>0</v>
      </c>
      <c r="DW186" s="216">
        <f t="shared" ca="1" si="5343"/>
        <v>0</v>
      </c>
      <c r="DX186" s="202">
        <f t="shared" ca="1" si="6869"/>
        <v>0</v>
      </c>
      <c r="DY186" s="203">
        <f t="shared" ca="1" si="6870"/>
        <v>0</v>
      </c>
      <c r="DZ186" s="203">
        <f t="shared" ca="1" si="6871"/>
        <v>0</v>
      </c>
      <c r="EA186" s="204">
        <f t="shared" ca="1" si="6872"/>
        <v>0</v>
      </c>
      <c r="EB186" s="205"/>
      <c r="EC186" s="206">
        <f t="shared" ca="1" si="6873"/>
        <v>0</v>
      </c>
      <c r="ED186" s="206">
        <f t="shared" ca="1" si="6874"/>
        <v>0</v>
      </c>
      <c r="EE186" s="207">
        <f t="shared" ca="1" si="5349"/>
        <v>0</v>
      </c>
      <c r="EF186" s="541">
        <f t="shared" si="7062"/>
        <v>0</v>
      </c>
      <c r="EG186" s="541">
        <f t="shared" ca="1" si="6876"/>
        <v>0</v>
      </c>
      <c r="EH186" s="541">
        <f t="shared" ca="1" si="6877"/>
        <v>0</v>
      </c>
      <c r="EI186" s="546">
        <f t="shared" ca="1" si="6610"/>
        <v>0</v>
      </c>
      <c r="EJ186" s="214"/>
      <c r="EK186" s="489" t="str">
        <f t="shared" ca="1" si="6878"/>
        <v/>
      </c>
      <c r="EL186" s="222"/>
      <c r="EM186" s="199">
        <f t="shared" ca="1" si="7136"/>
        <v>0</v>
      </c>
      <c r="EN186" s="199">
        <f t="shared" ca="1" si="7137"/>
        <v>0</v>
      </c>
      <c r="EO186" s="216">
        <f t="shared" ca="1" si="6735"/>
        <v>0</v>
      </c>
      <c r="EP186" s="202">
        <f ca="1">EQ186/$X186</f>
        <v>0</v>
      </c>
      <c r="EQ186" s="203">
        <f ca="1">ER186/$Z186</f>
        <v>0</v>
      </c>
      <c r="ER186" s="203">
        <f t="shared" ca="1" si="6883"/>
        <v>0</v>
      </c>
      <c r="ES186" s="204">
        <f t="shared" ca="1" si="6884"/>
        <v>0</v>
      </c>
      <c r="ET186" s="205"/>
      <c r="EU186" s="206">
        <f t="shared" ca="1" si="7138"/>
        <v>0</v>
      </c>
      <c r="EV186" s="206">
        <f t="shared" ca="1" si="7139"/>
        <v>0</v>
      </c>
      <c r="EW186" s="207">
        <f t="shared" ca="1" si="6736"/>
        <v>0</v>
      </c>
      <c r="EX186" s="541">
        <f t="shared" si="7113"/>
        <v>0</v>
      </c>
      <c r="EY186" s="541">
        <f t="shared" ca="1" si="5364"/>
        <v>0</v>
      </c>
      <c r="EZ186" s="541">
        <f t="shared" ca="1" si="7140"/>
        <v>0</v>
      </c>
      <c r="FA186" s="546">
        <f t="shared" ca="1" si="6737"/>
        <v>0</v>
      </c>
      <c r="FB186" s="212" t="str">
        <f t="shared" ca="1" si="6907"/>
        <v/>
      </c>
      <c r="FC186" s="214"/>
      <c r="FD186" s="489" t="str">
        <f t="shared" ca="1" si="6889"/>
        <v/>
      </c>
      <c r="FE186" s="215"/>
      <c r="FF186" s="199">
        <f ca="1">FC186*$X186</f>
        <v>0</v>
      </c>
      <c r="FG186" s="199">
        <f ca="1">FF186*$Z186</f>
        <v>0</v>
      </c>
      <c r="FH186" s="216">
        <f t="shared" ca="1" si="6892"/>
        <v>0</v>
      </c>
      <c r="FI186" s="202">
        <f ca="1">FJ186/$X186</f>
        <v>0</v>
      </c>
      <c r="FJ186" s="203">
        <f ca="1">FK186/$Z186</f>
        <v>0</v>
      </c>
      <c r="FK186" s="203">
        <f t="shared" ca="1" si="6895"/>
        <v>0</v>
      </c>
      <c r="FL186" s="204">
        <f t="shared" ca="1" si="6896"/>
        <v>0</v>
      </c>
      <c r="FM186" s="205"/>
      <c r="FN186" s="206">
        <f ca="1">FM186*$X186</f>
        <v>0</v>
      </c>
      <c r="FO186" s="206">
        <f ca="1">FN186*$Z186</f>
        <v>0</v>
      </c>
      <c r="FP186" s="207">
        <f t="shared" ca="1" si="6739"/>
        <v>0</v>
      </c>
      <c r="FQ186" s="541">
        <f t="shared" si="7121"/>
        <v>0</v>
      </c>
      <c r="FR186" s="541">
        <f t="shared" ca="1" si="5378"/>
        <v>0</v>
      </c>
      <c r="FS186" s="541">
        <f ca="1">FR186*$Z186</f>
        <v>0</v>
      </c>
      <c r="FT186" s="546">
        <f t="shared" ca="1" si="6740"/>
        <v>0</v>
      </c>
      <c r="FU186" s="209" t="str">
        <f t="shared" ca="1" si="6908"/>
        <v/>
      </c>
    </row>
    <row r="187" spans="1:177" outlineLevel="1" x14ac:dyDescent="0.2">
      <c r="A187" s="513"/>
      <c r="B187" s="513" t="s">
        <v>514</v>
      </c>
      <c r="C187" s="514"/>
      <c r="D187" s="515"/>
      <c r="E187" s="516"/>
      <c r="F187" s="514"/>
      <c r="G187" s="517"/>
      <c r="H187" s="1689"/>
      <c r="I187" s="1689"/>
      <c r="J187" s="1728"/>
      <c r="K187" s="1689"/>
      <c r="L187" s="1689"/>
      <c r="M187" s="513"/>
      <c r="N187" s="518">
        <f>SUM(N$188)</f>
        <v>0</v>
      </c>
      <c r="O187" s="518">
        <f>SUM(O$188)</f>
        <v>0</v>
      </c>
      <c r="P187" s="519">
        <f t="shared" ca="1" si="6910"/>
        <v>0</v>
      </c>
      <c r="Q187" s="520"/>
      <c r="R187" s="520"/>
      <c r="S187" s="514"/>
      <c r="T187" s="520"/>
      <c r="U187" s="521"/>
      <c r="V187" s="520"/>
      <c r="W187" s="522"/>
      <c r="X187" s="523"/>
      <c r="Y187" s="523"/>
      <c r="Z187" s="524"/>
      <c r="AA187" s="525"/>
      <c r="AB187" s="526"/>
      <c r="AC187" s="526"/>
      <c r="AD187" s="514"/>
      <c r="AE187" s="527">
        <f ca="1">SUM(AE$188)</f>
        <v>0</v>
      </c>
      <c r="AF187" s="528">
        <f t="shared" ca="1" si="6726"/>
        <v>0</v>
      </c>
      <c r="AG187" s="529"/>
      <c r="AH187" s="514"/>
      <c r="AI187" s="527">
        <f ca="1">SUM(AI$188)</f>
        <v>0</v>
      </c>
      <c r="AJ187" s="530">
        <f ca="1">IFERROR(AI187/AA$4,0)</f>
        <v>0</v>
      </c>
      <c r="AK187" s="529"/>
      <c r="AL187" s="514"/>
      <c r="AM187" s="527">
        <f ca="1">SUM(AM$188)</f>
        <v>0</v>
      </c>
      <c r="AN187" s="530">
        <f t="shared" ca="1" si="6727"/>
        <v>0</v>
      </c>
      <c r="AO187" s="514"/>
      <c r="AP187" s="514"/>
      <c r="AQ187" s="527">
        <f ca="1">SUM(AQ$188)</f>
        <v>0</v>
      </c>
      <c r="AR187" s="528">
        <f t="shared" ca="1" si="6728"/>
        <v>0</v>
      </c>
      <c r="AS187" s="473" t="str">
        <f t="shared" ca="1" si="6902"/>
        <v/>
      </c>
      <c r="AT187" s="525"/>
      <c r="AU187" s="526"/>
      <c r="AV187" s="526"/>
      <c r="AW187" s="514"/>
      <c r="AX187" s="527">
        <f ca="1">SUM(AX$188)</f>
        <v>0</v>
      </c>
      <c r="AY187" s="528">
        <f t="shared" ca="1" si="6729"/>
        <v>0</v>
      </c>
      <c r="AZ187" s="529"/>
      <c r="BA187" s="514"/>
      <c r="BB187" s="527">
        <f ca="1">SUM(BB$188)</f>
        <v>0</v>
      </c>
      <c r="BC187" s="530">
        <f ca="1">IFERROR(BB187/AT$4,0)</f>
        <v>0</v>
      </c>
      <c r="BD187" s="529"/>
      <c r="BE187" s="514"/>
      <c r="BF187" s="527">
        <f ca="1">SUM(BF$188)</f>
        <v>0</v>
      </c>
      <c r="BG187" s="530">
        <f t="shared" ca="1" si="6730"/>
        <v>0</v>
      </c>
      <c r="BH187" s="514"/>
      <c r="BI187" s="514"/>
      <c r="BJ187" s="527">
        <f ca="1">SUM(BJ$188)</f>
        <v>0</v>
      </c>
      <c r="BK187" s="528">
        <f t="shared" ca="1" si="6731"/>
        <v>0</v>
      </c>
      <c r="BL187" s="295" t="str">
        <f t="shared" ca="1" si="6903"/>
        <v/>
      </c>
      <c r="BM187" s="525"/>
      <c r="BN187" s="526"/>
      <c r="BO187" s="526"/>
      <c r="BP187" s="514"/>
      <c r="BQ187" s="527">
        <f ca="1">SUM(BQ$188)</f>
        <v>0</v>
      </c>
      <c r="BR187" s="528">
        <f t="shared" ca="1" si="6732"/>
        <v>0</v>
      </c>
      <c r="BS187" s="529"/>
      <c r="BT187" s="514"/>
      <c r="BU187" s="527">
        <f ca="1">SUM(BU$188)</f>
        <v>0</v>
      </c>
      <c r="BV187" s="530">
        <f ca="1">IFERROR(BU187/BM$4,0)</f>
        <v>0</v>
      </c>
      <c r="BW187" s="529"/>
      <c r="BX187" s="514"/>
      <c r="BY187" s="527">
        <f ca="1">SUM(BY$188)</f>
        <v>0</v>
      </c>
      <c r="BZ187" s="530">
        <f t="shared" ca="1" si="6733"/>
        <v>0</v>
      </c>
      <c r="CA187" s="514"/>
      <c r="CB187" s="514"/>
      <c r="CC187" s="527">
        <f ca="1">SUM(CC$188)</f>
        <v>0</v>
      </c>
      <c r="CD187" s="528">
        <f t="shared" ca="1" si="6734"/>
        <v>0</v>
      </c>
      <c r="CE187" s="474" t="str">
        <f t="shared" ca="1" si="6904"/>
        <v/>
      </c>
      <c r="CF187" s="525"/>
      <c r="CG187" s="526"/>
      <c r="CH187" s="526"/>
      <c r="CI187" s="514"/>
      <c r="CJ187" s="527">
        <f ca="1">SUM(CJ$188)</f>
        <v>0</v>
      </c>
      <c r="CK187" s="528">
        <f t="shared" ca="1" si="6606"/>
        <v>0</v>
      </c>
      <c r="CL187" s="529"/>
      <c r="CM187" s="514"/>
      <c r="CN187" s="527">
        <f ca="1">SUM(CN$188)</f>
        <v>0</v>
      </c>
      <c r="CO187" s="530">
        <f ca="1">IFERROR(CN187/CF$4,0)</f>
        <v>0</v>
      </c>
      <c r="CP187" s="529"/>
      <c r="CQ187" s="514"/>
      <c r="CR187" s="527">
        <f ca="1">SUM(CR$188)</f>
        <v>0</v>
      </c>
      <c r="CS187" s="530">
        <f t="shared" ca="1" si="6607"/>
        <v>0</v>
      </c>
      <c r="CT187" s="514"/>
      <c r="CU187" s="514"/>
      <c r="CV187" s="527">
        <f ca="1">SUM(CV$188)</f>
        <v>0</v>
      </c>
      <c r="CW187" s="528">
        <f t="shared" ca="1" si="6608"/>
        <v>0</v>
      </c>
      <c r="CX187" s="295" t="str">
        <f t="shared" ca="1" si="6905"/>
        <v/>
      </c>
      <c r="CY187" s="531"/>
      <c r="CZ187" s="526"/>
      <c r="DA187" s="514"/>
      <c r="DB187" s="527"/>
      <c r="DC187" s="527">
        <f ca="1">SUM(DC$188)</f>
        <v>0</v>
      </c>
      <c r="DD187" s="528">
        <f t="shared" ca="1" si="7009"/>
        <v>0</v>
      </c>
      <c r="DE187" s="529"/>
      <c r="DF187" s="514"/>
      <c r="DG187" s="527">
        <f ca="1">SUM(DG$188)</f>
        <v>0</v>
      </c>
      <c r="DH187" s="530">
        <f ca="1">IFERROR(DG187/CY$4,0)</f>
        <v>0</v>
      </c>
      <c r="DI187" s="529"/>
      <c r="DJ187" s="514"/>
      <c r="DK187" s="527">
        <f ca="1">SUM(DK$188)</f>
        <v>0</v>
      </c>
      <c r="DL187" s="530">
        <f t="shared" ca="1" si="7010"/>
        <v>0</v>
      </c>
      <c r="DM187" s="514"/>
      <c r="DN187" s="514"/>
      <c r="DO187" s="527">
        <f ca="1">SUM(DO$188)</f>
        <v>0</v>
      </c>
      <c r="DP187" s="528">
        <f t="shared" ca="1" si="6609"/>
        <v>0</v>
      </c>
      <c r="DQ187" s="473" t="str">
        <f t="shared" ca="1" si="6906"/>
        <v/>
      </c>
      <c r="DR187" s="531"/>
      <c r="DS187" s="526"/>
      <c r="DT187" s="514"/>
      <c r="DU187" s="527"/>
      <c r="DV187" s="527">
        <f ca="1">SUM(DV$188)</f>
        <v>0</v>
      </c>
      <c r="DW187" s="528">
        <f t="shared" ca="1" si="5343"/>
        <v>0</v>
      </c>
      <c r="DX187" s="529"/>
      <c r="DY187" s="514"/>
      <c r="DZ187" s="527">
        <f ca="1">SUM(DZ$188)</f>
        <v>0</v>
      </c>
      <c r="EA187" s="530">
        <f ca="1">IFERROR(DZ187/DR$4,0)</f>
        <v>0</v>
      </c>
      <c r="EB187" s="529"/>
      <c r="EC187" s="514"/>
      <c r="ED187" s="527">
        <f ca="1">SUM(ED$188)</f>
        <v>0</v>
      </c>
      <c r="EE187" s="530">
        <f t="shared" ca="1" si="5349"/>
        <v>0</v>
      </c>
      <c r="EF187" s="514"/>
      <c r="EG187" s="514"/>
      <c r="EH187" s="527">
        <f ca="1">SUM(EH$188)</f>
        <v>0</v>
      </c>
      <c r="EI187" s="528">
        <f t="shared" ca="1" si="6610"/>
        <v>0</v>
      </c>
      <c r="EJ187" s="525"/>
      <c r="EK187" s="526"/>
      <c r="EL187" s="533"/>
      <c r="EM187" s="514"/>
      <c r="EN187" s="527">
        <f ca="1">SUM(EN$188)</f>
        <v>0</v>
      </c>
      <c r="EO187" s="528">
        <f t="shared" ca="1" si="6735"/>
        <v>0</v>
      </c>
      <c r="EP187" s="529"/>
      <c r="EQ187" s="514"/>
      <c r="ER187" s="527">
        <f ca="1">SUM(ER$188)</f>
        <v>0</v>
      </c>
      <c r="ES187" s="530">
        <f ca="1">IFERROR(ER187/EJ$4,0)</f>
        <v>0</v>
      </c>
      <c r="ET187" s="529"/>
      <c r="EU187" s="514"/>
      <c r="EV187" s="527">
        <f ca="1">SUM(EV$188)</f>
        <v>0</v>
      </c>
      <c r="EW187" s="530">
        <f t="shared" ca="1" si="6736"/>
        <v>0</v>
      </c>
      <c r="EX187" s="514"/>
      <c r="EY187" s="514"/>
      <c r="EZ187" s="527">
        <f ca="1">SUM(EZ$188)</f>
        <v>0</v>
      </c>
      <c r="FA187" s="528">
        <f t="shared" ca="1" si="6737"/>
        <v>0</v>
      </c>
      <c r="FB187" s="474" t="str">
        <f t="shared" ca="1" si="6907"/>
        <v/>
      </c>
      <c r="FC187" s="525"/>
      <c r="FD187" s="526"/>
      <c r="FE187" s="526"/>
      <c r="FF187" s="514"/>
      <c r="FG187" s="527">
        <f ca="1">SUM(FG$188)</f>
        <v>0</v>
      </c>
      <c r="FH187" s="528">
        <f t="shared" ca="1" si="6892"/>
        <v>0</v>
      </c>
      <c r="FI187" s="529"/>
      <c r="FJ187" s="514"/>
      <c r="FK187" s="527">
        <f ca="1">SUM(FK$188)</f>
        <v>0</v>
      </c>
      <c r="FL187" s="530">
        <f ca="1">IFERROR(FK187/FC$4,0)</f>
        <v>0</v>
      </c>
      <c r="FM187" s="529"/>
      <c r="FN187" s="514"/>
      <c r="FO187" s="527">
        <f ca="1">SUM(FO$188)</f>
        <v>0</v>
      </c>
      <c r="FP187" s="530">
        <f t="shared" ca="1" si="6739"/>
        <v>0</v>
      </c>
      <c r="FQ187" s="514"/>
      <c r="FR187" s="514"/>
      <c r="FS187" s="527">
        <f ca="1">SUM(FS$188)</f>
        <v>0</v>
      </c>
      <c r="FT187" s="528">
        <f t="shared" ca="1" si="6740"/>
        <v>0</v>
      </c>
      <c r="FU187" s="473" t="str">
        <f t="shared" ca="1" si="6908"/>
        <v/>
      </c>
    </row>
    <row r="188" spans="1:177" outlineLevel="2" x14ac:dyDescent="0.2">
      <c r="A188" s="534"/>
      <c r="B188" s="534"/>
      <c r="C188" s="535" t="str">
        <f ca="1">OFFSET(Origine,MATCH($F188,Descrizioni,0),MATCH(C$15,Intestazioni,0)-1,1,1)</f>
        <v>GB00B15KYH63:USD:LSS</v>
      </c>
      <c r="D188" s="536" t="str">
        <f ca="1">OFFSET(Origine,MATCH($F188,Descrizioni,0),MATCH(D$15,Intestazioni,0)-1,1,1)</f>
        <v>GB00B15KYH63</v>
      </c>
      <c r="E188" s="537" t="str">
        <f ca="1">OFFSET(Origine,MATCH($F188,Descrizioni,0),MATCH(E$15,Intestazioni,0)-1,1,1)</f>
        <v>2726117</v>
      </c>
      <c r="F188" s="535" t="s">
        <v>515</v>
      </c>
      <c r="G188" s="538"/>
      <c r="H188" s="1729" t="str">
        <f ca="1">IF(OFFSET(Origine,MATCH($F188,Descrizioni,0),MATCH(H$15,Intestazioni,0)-1,1,1)&lt;&gt;"",HYPERLINK(OFFSET(Origine,MATCH($F188,Descrizioni,0),MATCH(H$15,Intestazioni,0)-1,1,1),""),"")</f>
        <v></v>
      </c>
      <c r="I188" s="1690" t="str">
        <f ca="1">IF(OFFSET(Origine,MATCH($F188,Descrizioni,0),MATCH(I$15,Intestazioni,0)-1,1,1)&lt;&gt;"",HYPERLINK(OFFSET(Origine,MATCH($F188,Descrizioni,0),MATCH(I$15,Intestazioni,0)-1,1,1),"i"),"")</f>
        <v>i</v>
      </c>
      <c r="J188" s="1729" t="str">
        <f ca="1">IF(OFFSET(Origine,MATCH($F188,Descrizioni,0),MATCH(J$15,Intestazioni,0)-1,1,1)&lt;&gt;"",HYPERLINK(OFFSET(Origine,MATCH($F188,Descrizioni,0),MATCH(J$15,Intestazioni,0)-1,1,1),""),"")</f>
        <v></v>
      </c>
      <c r="K188" s="1730" t="str">
        <f ca="1">IF(OFFSET(Origine,MATCH($F188,Descrizioni,0),MATCH(K$15,Intestazioni,0)-1,1,1)&lt;&gt;"",HYPERLINK(OFFSET(Origine,MATCH($F188,Descrizioni,0),MATCH(K$15,Intestazioni,0)-1,1,1),""),"")</f>
        <v></v>
      </c>
      <c r="L188" s="1731" t="str">
        <f ca="1">IF(OFFSET(Origine,MATCH($F188,Descrizioni,0),MATCH(L$15,Intestazioni,0)-1,1,1)&lt;&gt;"",HYPERLINK("https://www.zonebourse.com/mods_a/charts/TV/inc_dyna_graph.php?c="&amp;OFFSET(Origine,MATCH($F188,Descrizioni,0),MATCH(L$15,Intestazioni,0)-1,1,1)&amp;"&amp;style=TradingView.CANDLES&amp;showAT=1",""),"")</f>
        <v></v>
      </c>
      <c r="M188" s="534" t="str">
        <f ca="1">(OFFSET(Origine,MATCH($F188,Descrizioni,0),MATCH(M$15,Intestazioni,0)-1,1,1))</f>
        <v>Unit</v>
      </c>
      <c r="N188" s="539">
        <v>0</v>
      </c>
      <c r="O188" s="539">
        <v>0</v>
      </c>
      <c r="P188" s="540">
        <f t="shared" ca="1" si="6910"/>
        <v>0</v>
      </c>
      <c r="Q188" s="541">
        <f t="array" aca="1" ref="Q188" ca="1">SUM(IF($AA$15:$FT$15="I_pos",AA188:FT188))</f>
        <v>0</v>
      </c>
      <c r="R188" s="541">
        <f t="array" aca="1" ref="R188" ca="1">SUM(IF($AA$15:$FT$15="P_Pos",AA188:FT188))</f>
        <v>0</v>
      </c>
      <c r="S188" s="535"/>
      <c r="T188" s="541"/>
      <c r="U188" s="542">
        <f ca="1">OFFSET(Origine,MATCH($F188,Descrizioni,0),MATCH(U$15,Intestazioni,0)-1,1,1)</f>
        <v>-1.2560184216035999E-3</v>
      </c>
      <c r="V188" s="541">
        <f t="array" aca="1" ref="V188" ca="1">SUM(IF($AA$15:$FT$15="O_Pos",AA188:FT188))</f>
        <v>0</v>
      </c>
      <c r="W188" s="535" t="str">
        <f ca="1">OFFSET(Origine,MATCH($F188,Descrizioni,0),MATCH(W$15,Intestazioni,0)-1,1,1)</f>
        <v>USD</v>
      </c>
      <c r="X188" s="543">
        <f ca="1">_xlfn.NUMBERVALUE(OFFSET(Origine,MATCH($F188,Descrizioni,0),MATCH(X$15,Intestazioni,0)-1,1,1))</f>
        <v>5.9637500000000001</v>
      </c>
      <c r="Y188" s="544">
        <f t="shared" ref="Y188" ca="1" si="7152">_xlfn.NUMBERVALUE(OFFSET(Origine,MATCH($F188,Descrizioni,0),MATCH(Y$15,Intestazioni,0)-1,1,1))</f>
        <v>0</v>
      </c>
      <c r="Z188" s="545">
        <f ca="1">_xlfn.NUMBERVALUE(OFFSET(Origine,MATCH(W188&amp;"/"&amp;MRif,LUKB_Name,0),MATCH("Price",Intestazioni,0)-1,1,1))</f>
        <v>0.78225</v>
      </c>
      <c r="AA188" s="214">
        <f>1250+-1250</f>
        <v>0</v>
      </c>
      <c r="AB188" s="489" t="str">
        <f ca="1">IFERROR($X188/AC188-1,"")</f>
        <v/>
      </c>
      <c r="AC188" s="215"/>
      <c r="AD188" s="199">
        <f ca="1">AA188*$X188</f>
        <v>0</v>
      </c>
      <c r="AE188" s="199">
        <f ca="1">AD188*$Z188</f>
        <v>0</v>
      </c>
      <c r="AF188" s="216">
        <f t="shared" ca="1" si="6726"/>
        <v>0</v>
      </c>
      <c r="AG188" s="202">
        <f ca="1">AH188/$X188</f>
        <v>0</v>
      </c>
      <c r="AH188" s="203">
        <f ca="1">AI188/$Z188</f>
        <v>0</v>
      </c>
      <c r="AI188" s="203">
        <f ca="1">AJ188*AA$4</f>
        <v>0</v>
      </c>
      <c r="AJ188" s="204">
        <f ca="1">IF(AA$6&lt;&gt;"",$O188,$N188)-AF188</f>
        <v>0</v>
      </c>
      <c r="AK188" s="205"/>
      <c r="AL188" s="206">
        <f ca="1">AK188*$X188</f>
        <v>0</v>
      </c>
      <c r="AM188" s="206">
        <f ca="1">AL188*$Z188</f>
        <v>0</v>
      </c>
      <c r="AN188" s="207">
        <f t="shared" ca="1" si="6727"/>
        <v>0</v>
      </c>
      <c r="AO188" s="541">
        <f>AA188+AK188</f>
        <v>0</v>
      </c>
      <c r="AP188" s="541">
        <f t="shared" ref="AP188:AP200" ca="1" si="7153">AD188+IF($T188 ="",AL188,0)</f>
        <v>0</v>
      </c>
      <c r="AQ188" s="541">
        <f ca="1">AP188*$Z188</f>
        <v>0</v>
      </c>
      <c r="AR188" s="546">
        <f t="shared" ca="1" si="6728"/>
        <v>0</v>
      </c>
      <c r="AS188" s="209" t="str">
        <f t="shared" ca="1" si="6902"/>
        <v/>
      </c>
      <c r="AT188" s="214">
        <f>4450+-4450</f>
        <v>0</v>
      </c>
      <c r="AU188" s="489" t="str">
        <f ca="1">IFERROR($X188/AV188-1,"")</f>
        <v/>
      </c>
      <c r="AV188" s="215"/>
      <c r="AW188" s="199">
        <f ca="1">AT188*$X188</f>
        <v>0</v>
      </c>
      <c r="AX188" s="199">
        <f ca="1">AW188*$Z188</f>
        <v>0</v>
      </c>
      <c r="AY188" s="216">
        <f t="shared" ca="1" si="6729"/>
        <v>0</v>
      </c>
      <c r="AZ188" s="202">
        <f ca="1">BA188/$X188</f>
        <v>0</v>
      </c>
      <c r="BA188" s="203">
        <f ca="1">BB188/$Z188</f>
        <v>0</v>
      </c>
      <c r="BB188" s="203">
        <f ca="1">BC188*AT$4</f>
        <v>0</v>
      </c>
      <c r="BC188" s="204">
        <f ca="1">IF(AT$6&lt;&gt;"",$O188,$N188)-AY188</f>
        <v>0</v>
      </c>
      <c r="BD188" s="205"/>
      <c r="BE188" s="206">
        <f ca="1">BD188*$X188</f>
        <v>0</v>
      </c>
      <c r="BF188" s="206">
        <f ca="1">BE188*$Z188</f>
        <v>0</v>
      </c>
      <c r="BG188" s="207">
        <f t="shared" ca="1" si="6730"/>
        <v>0</v>
      </c>
      <c r="BH188" s="541">
        <f>AT188+BD188</f>
        <v>0</v>
      </c>
      <c r="BI188" s="541">
        <f t="shared" ref="BI188:BI200" ca="1" si="7154">AW188+IF($T188 ="",BE188,0)</f>
        <v>0</v>
      </c>
      <c r="BJ188" s="541">
        <f ca="1">BI188*$Z188</f>
        <v>0</v>
      </c>
      <c r="BK188" s="546">
        <f t="shared" ca="1" si="6731"/>
        <v>0</v>
      </c>
      <c r="BL188" s="211" t="str">
        <f t="shared" ca="1" si="6903"/>
        <v/>
      </c>
      <c r="BM188" s="214">
        <f>875+-875</f>
        <v>0</v>
      </c>
      <c r="BN188" s="489" t="str">
        <f ca="1">IFERROR($X188/BO188-1,"")</f>
        <v/>
      </c>
      <c r="BO188" s="215"/>
      <c r="BP188" s="199">
        <f ca="1">BM188*$X188</f>
        <v>0</v>
      </c>
      <c r="BQ188" s="199">
        <f ca="1">BP188*$Z188</f>
        <v>0</v>
      </c>
      <c r="BR188" s="216">
        <f t="shared" ca="1" si="6732"/>
        <v>0</v>
      </c>
      <c r="BS188" s="202">
        <f ca="1">BT188/$X188</f>
        <v>0</v>
      </c>
      <c r="BT188" s="203">
        <f ca="1">BU188/$Z188</f>
        <v>0</v>
      </c>
      <c r="BU188" s="203">
        <f ca="1">BV188*BM$4</f>
        <v>0</v>
      </c>
      <c r="BV188" s="204">
        <f ca="1">IF(BM$6&lt;&gt;"",$O188,$N188)-BR188</f>
        <v>0</v>
      </c>
      <c r="BW188" s="205"/>
      <c r="BX188" s="206">
        <f ca="1">BW188*$X188</f>
        <v>0</v>
      </c>
      <c r="BY188" s="206">
        <f ca="1">BX188*$Z188</f>
        <v>0</v>
      </c>
      <c r="BZ188" s="207">
        <f t="shared" ca="1" si="6733"/>
        <v>0</v>
      </c>
      <c r="CA188" s="541">
        <f>BM188+BW188</f>
        <v>0</v>
      </c>
      <c r="CB188" s="541">
        <f t="shared" ref="CB188:CB200" ca="1" si="7155">BP188+IF($T188 ="",BX188,0)</f>
        <v>0</v>
      </c>
      <c r="CC188" s="541">
        <f ca="1">CB188*$Z188</f>
        <v>0</v>
      </c>
      <c r="CD188" s="546">
        <f t="shared" ca="1" si="6734"/>
        <v>0</v>
      </c>
      <c r="CE188" s="212" t="str">
        <f t="shared" ca="1" si="6904"/>
        <v/>
      </c>
      <c r="CF188" s="214">
        <f>2250+-2250</f>
        <v>0</v>
      </c>
      <c r="CG188" s="489" t="str">
        <f ca="1">IFERROR($X188/CH188-1,"")</f>
        <v/>
      </c>
      <c r="CH188" s="215"/>
      <c r="CI188" s="199">
        <f ca="1">CF188*$X188</f>
        <v>0</v>
      </c>
      <c r="CJ188" s="199">
        <f ca="1">CI188*$Z188</f>
        <v>0</v>
      </c>
      <c r="CK188" s="216">
        <f t="shared" ca="1" si="6606"/>
        <v>0</v>
      </c>
      <c r="CL188" s="202">
        <f ca="1">CM188/$X188</f>
        <v>0</v>
      </c>
      <c r="CM188" s="203">
        <f ca="1">CN188/$Z188</f>
        <v>0</v>
      </c>
      <c r="CN188" s="203">
        <f ca="1">CO188*CF$4</f>
        <v>0</v>
      </c>
      <c r="CO188" s="204">
        <f ca="1">IF(CF$6&lt;&gt;"",$O188,$N188)-CK188</f>
        <v>0</v>
      </c>
      <c r="CP188" s="205"/>
      <c r="CQ188" s="206">
        <f ca="1">CP188*$X188</f>
        <v>0</v>
      </c>
      <c r="CR188" s="206">
        <f ca="1">CQ188*$Z188</f>
        <v>0</v>
      </c>
      <c r="CS188" s="207">
        <f t="shared" ca="1" si="6607"/>
        <v>0</v>
      </c>
      <c r="CT188" s="541">
        <f>CF188+CP188</f>
        <v>0</v>
      </c>
      <c r="CU188" s="541">
        <f t="shared" ref="CU188:CU200" ca="1" si="7156">CI188+IF($T188 ="",CQ188,0)</f>
        <v>0</v>
      </c>
      <c r="CV188" s="541">
        <f ca="1">CU188*$Z188</f>
        <v>0</v>
      </c>
      <c r="CW188" s="546">
        <f t="shared" ca="1" si="6608"/>
        <v>0</v>
      </c>
      <c r="CX188" s="211" t="str">
        <f t="shared" ca="1" si="6905"/>
        <v/>
      </c>
      <c r="CY188" s="197">
        <f>3800+-3800</f>
        <v>0</v>
      </c>
      <c r="CZ188" s="489" t="str">
        <f ca="1">IFERROR($X188/DA188-1,"")</f>
        <v/>
      </c>
      <c r="DA188" s="395"/>
      <c r="DB188" s="199">
        <f ca="1">CY188*$X188</f>
        <v>0</v>
      </c>
      <c r="DC188" s="199">
        <f ca="1">DB188*$Z188</f>
        <v>0</v>
      </c>
      <c r="DD188" s="216">
        <f t="shared" ca="1" si="7009"/>
        <v>0</v>
      </c>
      <c r="DE188" s="202">
        <f ca="1">DF188/$X188</f>
        <v>0</v>
      </c>
      <c r="DF188" s="203">
        <f ca="1">DG188/$Z188</f>
        <v>0</v>
      </c>
      <c r="DG188" s="203">
        <f ca="1">DH188*CY$4</f>
        <v>0</v>
      </c>
      <c r="DH188" s="204">
        <f ca="1">IF(CY$6&lt;&gt;"",$O188,$N188)-DD188</f>
        <v>0</v>
      </c>
      <c r="DI188" s="205"/>
      <c r="DJ188" s="206">
        <f ca="1">DI188*$X188</f>
        <v>0</v>
      </c>
      <c r="DK188" s="206">
        <f ca="1">DJ188*$Z188</f>
        <v>0</v>
      </c>
      <c r="DL188" s="207">
        <f t="shared" ca="1" si="7010"/>
        <v>0</v>
      </c>
      <c r="DM188" s="541">
        <f>CY188+DI188</f>
        <v>0</v>
      </c>
      <c r="DN188" s="541">
        <f t="shared" ref="DN188:DN200" ca="1" si="7157">DB188+IF($T188 ="",DJ188,0)</f>
        <v>0</v>
      </c>
      <c r="DO188" s="541">
        <f ca="1">DN188*$Z188</f>
        <v>0</v>
      </c>
      <c r="DP188" s="546">
        <f t="shared" ca="1" si="6609"/>
        <v>0</v>
      </c>
      <c r="DQ188" s="209" t="str">
        <f t="shared" ca="1" si="6906"/>
        <v/>
      </c>
      <c r="DR188" s="197"/>
      <c r="DS188" s="489" t="str">
        <f ca="1">IFERROR($X188/DT188-1,"")</f>
        <v/>
      </c>
      <c r="DT188" s="395"/>
      <c r="DU188" s="199">
        <f ca="1">DR188*$X188</f>
        <v>0</v>
      </c>
      <c r="DV188" s="199">
        <f ca="1">DU188*$Z188</f>
        <v>0</v>
      </c>
      <c r="DW188" s="216">
        <f t="shared" ref="DW188:DW200" ca="1" si="7158">IFERROR(DV188/DR$4,0)</f>
        <v>0</v>
      </c>
      <c r="DX188" s="202">
        <f ca="1">DY188/$X188</f>
        <v>0</v>
      </c>
      <c r="DY188" s="203">
        <f ca="1">DZ188/$Z188</f>
        <v>0</v>
      </c>
      <c r="DZ188" s="203">
        <f ca="1">EA188*DR$4</f>
        <v>0</v>
      </c>
      <c r="EA188" s="204">
        <f ca="1">IF(DR$6&lt;&gt;"",$O188,$N188)-DW188</f>
        <v>0</v>
      </c>
      <c r="EB188" s="205"/>
      <c r="EC188" s="206">
        <f ca="1">EB188*$X188</f>
        <v>0</v>
      </c>
      <c r="ED188" s="206">
        <f ca="1">EC188*$Z188</f>
        <v>0</v>
      </c>
      <c r="EE188" s="207">
        <f t="shared" ref="EE188:EE200" ca="1" si="7159">IFERROR(ED188/DR$4,0)</f>
        <v>0</v>
      </c>
      <c r="EF188" s="541">
        <f>DR188+EB188</f>
        <v>0</v>
      </c>
      <c r="EG188" s="541">
        <f t="shared" ref="EG188" ca="1" si="7160">DU188+IF($T188 ="",EC188,0)</f>
        <v>0</v>
      </c>
      <c r="EH188" s="541">
        <f ca="1">EG188*$Z188</f>
        <v>0</v>
      </c>
      <c r="EI188" s="546">
        <f t="shared" ca="1" si="6610"/>
        <v>0</v>
      </c>
      <c r="EJ188" s="214"/>
      <c r="EK188" s="489" t="str">
        <f ca="1">IFERROR($X188/EL188-1,"")</f>
        <v/>
      </c>
      <c r="EL188" s="222"/>
      <c r="EM188" s="199">
        <f ca="1">EJ188*$X188</f>
        <v>0</v>
      </c>
      <c r="EN188" s="199">
        <f ca="1">EM188*$Z188</f>
        <v>0</v>
      </c>
      <c r="EO188" s="216">
        <f t="shared" ca="1" si="6735"/>
        <v>0</v>
      </c>
      <c r="EP188" s="202">
        <f ca="1">EQ188/$X188</f>
        <v>0</v>
      </c>
      <c r="EQ188" s="203">
        <f ca="1">ER188/$Z188</f>
        <v>0</v>
      </c>
      <c r="ER188" s="203">
        <f ca="1">ES188*EJ$4</f>
        <v>0</v>
      </c>
      <c r="ES188" s="204">
        <f ca="1">IF(EJ$6&lt;&gt;"",$O188,$N188)-EO188</f>
        <v>0</v>
      </c>
      <c r="ET188" s="205"/>
      <c r="EU188" s="206">
        <f ca="1">ET188*$X188</f>
        <v>0</v>
      </c>
      <c r="EV188" s="206">
        <f ca="1">EU188*$Z188</f>
        <v>0</v>
      </c>
      <c r="EW188" s="207">
        <f t="shared" ca="1" si="6736"/>
        <v>0</v>
      </c>
      <c r="EX188" s="541">
        <f>EJ188+ET188</f>
        <v>0</v>
      </c>
      <c r="EY188" s="541">
        <f t="shared" ref="EY188:EY200" ca="1" si="7161">EM188+IF($T188 ="",EU188,0)</f>
        <v>0</v>
      </c>
      <c r="EZ188" s="541">
        <f ca="1">EY188*$Z188</f>
        <v>0</v>
      </c>
      <c r="FA188" s="546">
        <f t="shared" ca="1" si="6737"/>
        <v>0</v>
      </c>
      <c r="FB188" s="212" t="str">
        <f t="shared" ca="1" si="6907"/>
        <v/>
      </c>
      <c r="FC188" s="214"/>
      <c r="FD188" s="489" t="str">
        <f ca="1">IFERROR($X188/FE188-1,"")</f>
        <v/>
      </c>
      <c r="FE188" s="215"/>
      <c r="FF188" s="199">
        <f ca="1">FC188*$X188</f>
        <v>0</v>
      </c>
      <c r="FG188" s="199">
        <f ca="1">FF188*$Z188</f>
        <v>0</v>
      </c>
      <c r="FH188" s="216">
        <f t="shared" ca="1" si="6892"/>
        <v>0</v>
      </c>
      <c r="FI188" s="202">
        <f ca="1">FJ188/$X188</f>
        <v>0</v>
      </c>
      <c r="FJ188" s="203">
        <f ca="1">FK188/$Z188</f>
        <v>0</v>
      </c>
      <c r="FK188" s="203">
        <f ca="1">FL188*FC$4</f>
        <v>0</v>
      </c>
      <c r="FL188" s="204">
        <f ca="1">IF(FC$6&lt;&gt;"",$O188,$N188)-FH188</f>
        <v>0</v>
      </c>
      <c r="FM188" s="205"/>
      <c r="FN188" s="206">
        <f ca="1">FM188*$X188</f>
        <v>0</v>
      </c>
      <c r="FO188" s="206">
        <f ca="1">FN188*$Z188</f>
        <v>0</v>
      </c>
      <c r="FP188" s="207">
        <f t="shared" ca="1" si="6739"/>
        <v>0</v>
      </c>
      <c r="FQ188" s="541">
        <f>FC188+FM188</f>
        <v>0</v>
      </c>
      <c r="FR188" s="541">
        <f t="shared" ref="FR188:FR200" ca="1" si="7162">FF188+IF($T188 ="",FN188,0)</f>
        <v>0</v>
      </c>
      <c r="FS188" s="541">
        <f ca="1">FR188*$Z188</f>
        <v>0</v>
      </c>
      <c r="FT188" s="546">
        <f t="shared" ca="1" si="6740"/>
        <v>0</v>
      </c>
      <c r="FU188" s="209" t="str">
        <f t="shared" ca="1" si="6908"/>
        <v/>
      </c>
    </row>
    <row r="189" spans="1:177" outlineLevel="1" x14ac:dyDescent="0.2">
      <c r="A189" s="513"/>
      <c r="B189" s="513" t="s">
        <v>481</v>
      </c>
      <c r="C189" s="514"/>
      <c r="D189" s="515"/>
      <c r="E189" s="516"/>
      <c r="F189" s="514"/>
      <c r="G189" s="517"/>
      <c r="H189" s="1689"/>
      <c r="I189" s="1689"/>
      <c r="J189" s="1728"/>
      <c r="K189" s="1689"/>
      <c r="L189" s="1689"/>
      <c r="M189" s="513"/>
      <c r="N189" s="518">
        <f>SUM(N$190:N$191)</f>
        <v>0</v>
      </c>
      <c r="O189" s="518">
        <f>SUM(O$190:O$191)</f>
        <v>0</v>
      </c>
      <c r="P189" s="519">
        <f t="shared" ca="1" si="6910"/>
        <v>0</v>
      </c>
      <c r="Q189" s="520"/>
      <c r="R189" s="520"/>
      <c r="S189" s="514"/>
      <c r="T189" s="520"/>
      <c r="U189" s="521"/>
      <c r="V189" s="520"/>
      <c r="W189" s="522"/>
      <c r="X189" s="523"/>
      <c r="Y189" s="523"/>
      <c r="Z189" s="524"/>
      <c r="AA189" s="525"/>
      <c r="AB189" s="526"/>
      <c r="AC189" s="526"/>
      <c r="AD189" s="514"/>
      <c r="AE189" s="527">
        <f ca="1">SUM(AE$190:AE$191)</f>
        <v>0</v>
      </c>
      <c r="AF189" s="528">
        <f t="shared" ca="1" si="6726"/>
        <v>0</v>
      </c>
      <c r="AG189" s="529"/>
      <c r="AH189" s="514"/>
      <c r="AI189" s="527">
        <f ca="1">SUM(AI$190:AI$191)</f>
        <v>0</v>
      </c>
      <c r="AJ189" s="530">
        <f ca="1">IFERROR(AI189/AA$4,0)</f>
        <v>0</v>
      </c>
      <c r="AK189" s="529"/>
      <c r="AL189" s="514"/>
      <c r="AM189" s="527">
        <f ca="1">SUM(AM$190:AM$191)</f>
        <v>0</v>
      </c>
      <c r="AN189" s="530">
        <f t="shared" ca="1" si="6727"/>
        <v>0</v>
      </c>
      <c r="AO189" s="514"/>
      <c r="AP189" s="514"/>
      <c r="AQ189" s="527">
        <f ca="1">SUM(AQ$190:AQ$191)</f>
        <v>0</v>
      </c>
      <c r="AR189" s="528">
        <f t="shared" ca="1" si="6728"/>
        <v>0</v>
      </c>
      <c r="AS189" s="473" t="str">
        <f t="shared" ca="1" si="6902"/>
        <v/>
      </c>
      <c r="AT189" s="525"/>
      <c r="AU189" s="526"/>
      <c r="AV189" s="526"/>
      <c r="AW189" s="514"/>
      <c r="AX189" s="527">
        <f ca="1">SUM(AX$190:AX$191)</f>
        <v>0</v>
      </c>
      <c r="AY189" s="528">
        <f t="shared" ca="1" si="6729"/>
        <v>0</v>
      </c>
      <c r="AZ189" s="529"/>
      <c r="BA189" s="514"/>
      <c r="BB189" s="527">
        <f ca="1">SUM(BB$190:BB$191)</f>
        <v>0</v>
      </c>
      <c r="BC189" s="530">
        <f ca="1">IFERROR(BB189/AT$4,0)</f>
        <v>0</v>
      </c>
      <c r="BD189" s="529"/>
      <c r="BE189" s="514"/>
      <c r="BF189" s="527">
        <f ca="1">SUM(BF$190:BF$191)</f>
        <v>0</v>
      </c>
      <c r="BG189" s="530">
        <f t="shared" ca="1" si="6730"/>
        <v>0</v>
      </c>
      <c r="BH189" s="514"/>
      <c r="BI189" s="514"/>
      <c r="BJ189" s="527">
        <f ca="1">SUM(BJ$190:BJ$191)</f>
        <v>0</v>
      </c>
      <c r="BK189" s="528">
        <f t="shared" ca="1" si="6731"/>
        <v>0</v>
      </c>
      <c r="BL189" s="295" t="str">
        <f t="shared" ca="1" si="6903"/>
        <v/>
      </c>
      <c r="BM189" s="525"/>
      <c r="BN189" s="526"/>
      <c r="BO189" s="526"/>
      <c r="BP189" s="514"/>
      <c r="BQ189" s="527">
        <f ca="1">SUM(BQ$190:BQ$191)</f>
        <v>0</v>
      </c>
      <c r="BR189" s="528">
        <f t="shared" ca="1" si="6732"/>
        <v>0</v>
      </c>
      <c r="BS189" s="529"/>
      <c r="BT189" s="514"/>
      <c r="BU189" s="527">
        <f ca="1">SUM(BU$190:BU$191)</f>
        <v>0</v>
      </c>
      <c r="BV189" s="530">
        <f ca="1">IFERROR(BU189/BM$4,0)</f>
        <v>0</v>
      </c>
      <c r="BW189" s="529"/>
      <c r="BX189" s="514"/>
      <c r="BY189" s="527">
        <f ca="1">SUM(BY$190:BY$191)</f>
        <v>0</v>
      </c>
      <c r="BZ189" s="530">
        <f t="shared" ca="1" si="6733"/>
        <v>0</v>
      </c>
      <c r="CA189" s="514"/>
      <c r="CB189" s="514"/>
      <c r="CC189" s="527">
        <f ca="1">SUM(CC$190:CC$191)</f>
        <v>0</v>
      </c>
      <c r="CD189" s="528">
        <f t="shared" ca="1" si="6734"/>
        <v>0</v>
      </c>
      <c r="CE189" s="474" t="str">
        <f t="shared" ca="1" si="6904"/>
        <v/>
      </c>
      <c r="CF189" s="525"/>
      <c r="CG189" s="526"/>
      <c r="CH189" s="526"/>
      <c r="CI189" s="514"/>
      <c r="CJ189" s="527">
        <f ca="1">SUM(CJ$190:CJ$191)</f>
        <v>0</v>
      </c>
      <c r="CK189" s="528">
        <f t="shared" ca="1" si="6606"/>
        <v>0</v>
      </c>
      <c r="CL189" s="529"/>
      <c r="CM189" s="514"/>
      <c r="CN189" s="527">
        <f ca="1">SUM(CN$190:CN$191)</f>
        <v>0</v>
      </c>
      <c r="CO189" s="530">
        <f ca="1">IFERROR(CN189/CF$4,0)</f>
        <v>0</v>
      </c>
      <c r="CP189" s="529"/>
      <c r="CQ189" s="514"/>
      <c r="CR189" s="527">
        <f ca="1">SUM(CR$190:CR$191)</f>
        <v>0</v>
      </c>
      <c r="CS189" s="530">
        <f t="shared" ca="1" si="6607"/>
        <v>0</v>
      </c>
      <c r="CT189" s="514"/>
      <c r="CU189" s="514"/>
      <c r="CV189" s="527">
        <f ca="1">SUM(CV$190:CV$191)</f>
        <v>0</v>
      </c>
      <c r="CW189" s="528">
        <f t="shared" ca="1" si="6608"/>
        <v>0</v>
      </c>
      <c r="CX189" s="295" t="str">
        <f t="shared" ca="1" si="6905"/>
        <v/>
      </c>
      <c r="CY189" s="531"/>
      <c r="CZ189" s="526"/>
      <c r="DA189" s="514"/>
      <c r="DB189" s="527"/>
      <c r="DC189" s="527">
        <f ca="1">SUM(DC$190:DC$191)</f>
        <v>0</v>
      </c>
      <c r="DD189" s="528">
        <f t="shared" ca="1" si="7009"/>
        <v>0</v>
      </c>
      <c r="DE189" s="529"/>
      <c r="DF189" s="514"/>
      <c r="DG189" s="527">
        <f ca="1">SUM(DG$190:DG$191)</f>
        <v>0</v>
      </c>
      <c r="DH189" s="530">
        <f ca="1">IFERROR(DG189/CY$4,0)</f>
        <v>0</v>
      </c>
      <c r="DI189" s="529"/>
      <c r="DJ189" s="514"/>
      <c r="DK189" s="527">
        <f ca="1">SUM(DK$190:DK$191)</f>
        <v>0</v>
      </c>
      <c r="DL189" s="530">
        <f t="shared" ca="1" si="7010"/>
        <v>0</v>
      </c>
      <c r="DM189" s="514"/>
      <c r="DN189" s="514"/>
      <c r="DO189" s="527">
        <f ca="1">SUM(DO$190:DO$191)</f>
        <v>0</v>
      </c>
      <c r="DP189" s="528">
        <f t="shared" ca="1" si="6609"/>
        <v>0</v>
      </c>
      <c r="DQ189" s="473" t="str">
        <f t="shared" ca="1" si="6906"/>
        <v/>
      </c>
      <c r="DR189" s="531"/>
      <c r="DS189" s="526"/>
      <c r="DT189" s="514"/>
      <c r="DU189" s="527"/>
      <c r="DV189" s="527">
        <f ca="1">SUM(DV$190:DV$191)</f>
        <v>0</v>
      </c>
      <c r="DW189" s="528">
        <f t="shared" ca="1" si="7158"/>
        <v>0</v>
      </c>
      <c r="DX189" s="529"/>
      <c r="DY189" s="514"/>
      <c r="DZ189" s="527">
        <f ca="1">SUM(DZ$190:DZ$191)</f>
        <v>0</v>
      </c>
      <c r="EA189" s="530">
        <f ca="1">IFERROR(DZ189/DR$4,0)</f>
        <v>0</v>
      </c>
      <c r="EB189" s="529"/>
      <c r="EC189" s="514"/>
      <c r="ED189" s="527">
        <f ca="1">SUM(ED$190:ED$191)</f>
        <v>0</v>
      </c>
      <c r="EE189" s="530">
        <f t="shared" ca="1" si="7159"/>
        <v>0</v>
      </c>
      <c r="EF189" s="514"/>
      <c r="EG189" s="514"/>
      <c r="EH189" s="527">
        <f ca="1">SUM(EH$190:EH$191)</f>
        <v>0</v>
      </c>
      <c r="EI189" s="528">
        <f t="shared" ca="1" si="6610"/>
        <v>0</v>
      </c>
      <c r="EJ189" s="525"/>
      <c r="EK189" s="526"/>
      <c r="EL189" s="533"/>
      <c r="EM189" s="514"/>
      <c r="EN189" s="527">
        <f ca="1">SUM(EN$190:EN$191)</f>
        <v>17752.128051</v>
      </c>
      <c r="EO189" s="528">
        <f t="shared" ca="1" si="6735"/>
        <v>2.5011867353908E-2</v>
      </c>
      <c r="EP189" s="529"/>
      <c r="EQ189" s="514"/>
      <c r="ER189" s="527">
        <f ca="1">SUM(ER$190:ER$191)</f>
        <v>-17752.128051</v>
      </c>
      <c r="ES189" s="530">
        <f ca="1">IFERROR(ER189/EJ$4,0)</f>
        <v>-2.5011867353908E-2</v>
      </c>
      <c r="ET189" s="529"/>
      <c r="EU189" s="514"/>
      <c r="EV189" s="527">
        <f ca="1">SUM(EV$190:EV$191)</f>
        <v>0</v>
      </c>
      <c r="EW189" s="530">
        <f t="shared" ca="1" si="6736"/>
        <v>0</v>
      </c>
      <c r="EX189" s="514"/>
      <c r="EY189" s="514"/>
      <c r="EZ189" s="527">
        <f ca="1">SUM(EZ$190:EZ$191)</f>
        <v>17752.128051</v>
      </c>
      <c r="FA189" s="528">
        <f t="shared" ca="1" si="6737"/>
        <v>2.5011867353908E-2</v>
      </c>
      <c r="FB189" s="474" t="str">
        <f t="shared" ca="1" si="6907"/>
        <v>V</v>
      </c>
      <c r="FC189" s="525"/>
      <c r="FD189" s="526"/>
      <c r="FE189" s="526"/>
      <c r="FF189" s="514"/>
      <c r="FG189" s="527">
        <f ca="1">SUM(FG$190:FG$191)</f>
        <v>0</v>
      </c>
      <c r="FH189" s="528">
        <f t="shared" ca="1" si="6892"/>
        <v>0</v>
      </c>
      <c r="FI189" s="529"/>
      <c r="FJ189" s="514"/>
      <c r="FK189" s="527">
        <f ca="1">SUM(FK$190:FK$191)</f>
        <v>0</v>
      </c>
      <c r="FL189" s="530">
        <f ca="1">IFERROR(FK189/FC$4,0)</f>
        <v>0</v>
      </c>
      <c r="FM189" s="529"/>
      <c r="FN189" s="514"/>
      <c r="FO189" s="527">
        <f ca="1">SUM(FO$190:FO$191)</f>
        <v>0</v>
      </c>
      <c r="FP189" s="530">
        <f t="shared" ca="1" si="6739"/>
        <v>0</v>
      </c>
      <c r="FQ189" s="514"/>
      <c r="FR189" s="514"/>
      <c r="FS189" s="527">
        <f ca="1">SUM(FS$190:FS$191)</f>
        <v>0</v>
      </c>
      <c r="FT189" s="528">
        <f t="shared" ca="1" si="6740"/>
        <v>0</v>
      </c>
      <c r="FU189" s="473" t="str">
        <f t="shared" ca="1" si="6908"/>
        <v/>
      </c>
    </row>
    <row r="190" spans="1:177" outlineLevel="2" x14ac:dyDescent="0.2">
      <c r="A190" s="534"/>
      <c r="B190" s="534"/>
      <c r="C190" s="535" t="str">
        <f t="shared" ref="C190:E191" ca="1" si="7163">OFFSET(Origine,MATCH($F190,Descrizioni,0),MATCH(C$15,Intestazioni,0)-1,1,1)</f>
        <v>US5007676787:USD</v>
      </c>
      <c r="D190" s="536" t="str">
        <f t="shared" ca="1" si="7163"/>
        <v>US5007676787</v>
      </c>
      <c r="E190" s="537" t="str">
        <f t="shared" ca="1" si="7163"/>
        <v>55988416</v>
      </c>
      <c r="F190" s="535" t="s">
        <v>482</v>
      </c>
      <c r="G190" s="538"/>
      <c r="H190" s="1729" t="str">
        <f ca="1">IF(OFFSET(Origine,MATCH($F190,Descrizioni,0),MATCH(H$15,Intestazioni,0)-1,1,1)&lt;&gt;"",HYPERLINK(OFFSET(Origine,MATCH($F190,Descrizioni,0),MATCH(H$15,Intestazioni,0)-1,1,1),""),"")</f>
        <v></v>
      </c>
      <c r="I190" s="1690" t="str">
        <f ca="1">IF(OFFSET(Origine,MATCH($F190,Descrizioni,0),MATCH(I$15,Intestazioni,0)-1,1,1)&lt;&gt;"",HYPERLINK(OFFSET(Origine,MATCH($F190,Descrizioni,0),MATCH(I$15,Intestazioni,0)-1,1,1),"i"),"")</f>
        <v>i</v>
      </c>
      <c r="J190" s="1729" t="str">
        <f ca="1">IF(OFFSET(Origine,MATCH($F190,Descrizioni,0),MATCH(J$15,Intestazioni,0)-1,1,1)&lt;&gt;"",HYPERLINK(OFFSET(Origine,MATCH($F190,Descrizioni,0),MATCH(J$15,Intestazioni,0)-1,1,1),""),"")</f>
        <v/>
      </c>
      <c r="K190" s="1730" t="str">
        <f ca="1">IF(OFFSET(Origine,MATCH($F190,Descrizioni,0),MATCH(K$15,Intestazioni,0)-1,1,1)&lt;&gt;"",HYPERLINK(OFFSET(Origine,MATCH($F190,Descrizioni,0),MATCH(K$15,Intestazioni,0)-1,1,1),""),"")</f>
        <v></v>
      </c>
      <c r="L190" s="1731" t="str">
        <f ca="1">IF(OFFSET(Origine,MATCH($F190,Descrizioni,0),MATCH(L$15,Intestazioni,0)-1,1,1)&lt;&gt;"",HYPERLINK("https://www.zonebourse.com/mods_a/charts/TV/inc_dyna_graph.php?c="&amp;OFFSET(Origine,MATCH($F190,Descrizioni,0),MATCH(L$15,Intestazioni,0)-1,1,1)&amp;"&amp;style=TradingView.CANDLES&amp;showAT=1",""),"")</f>
        <v></v>
      </c>
      <c r="M190" s="534" t="str">
        <f ca="1">(OFFSET(Origine,MATCH($F190,Descrizioni,0),MATCH(M$15,Intestazioni,0)-1,1,1))</f>
        <v>Unit</v>
      </c>
      <c r="N190" s="539"/>
      <c r="O190" s="539"/>
      <c r="P190" s="540">
        <f t="shared" ca="1" si="6910"/>
        <v>0</v>
      </c>
      <c r="Q190" s="541">
        <f t="array" aca="1" ref="Q190" ca="1">SUM(IF($AA$15:$FT$15="I_pos",AA190:FT190))</f>
        <v>760</v>
      </c>
      <c r="R190" s="541">
        <f t="array" aca="1" ref="R190" ca="1">SUM(IF($AA$15:$FT$15="P_Pos",AA190:FT190))</f>
        <v>-760</v>
      </c>
      <c r="S190" s="535"/>
      <c r="T190" s="541"/>
      <c r="U190" s="542">
        <f ca="1">OFFSET(Origine,MATCH($F190,Descrizioni,0),MATCH(U$15,Intestazioni,0)-1,1,1)</f>
        <v>1.6687095675859801E-2</v>
      </c>
      <c r="V190" s="541">
        <f t="array" aca="1" ref="V190" ca="1">SUM(IF($AA$15:$FT$15="O_Pos",AA190:FT190))</f>
        <v>0</v>
      </c>
      <c r="W190" s="535" t="str">
        <f ca="1">OFFSET(Origine,MATCH($F190,Descrizioni,0),MATCH(W$15,Intestazioni,0)-1,1,1)</f>
        <v>USD</v>
      </c>
      <c r="X190" s="543">
        <f ca="1">_xlfn.NUMBERVALUE(OFFSET(Origine,MATCH($F190,Descrizioni,0),MATCH(X$15,Intestazioni,0)-1,1,1))</f>
        <v>29.860099999999999</v>
      </c>
      <c r="Y190" s="544">
        <f t="shared" ref="Y190:Y191" ca="1" si="7164">_xlfn.NUMBERVALUE(OFFSET(Origine,MATCH($F190,Descrizioni,0),MATCH(Y$15,Intestazioni,0)-1,1,1))</f>
        <v>0</v>
      </c>
      <c r="Z190" s="545">
        <f ca="1">_xlfn.NUMBERVALUE(OFFSET(Origine,MATCH(W190&amp;"/"&amp;MRif,LUKB_Name,0),MATCH("Price",Intestazioni,0)-1,1,1))</f>
        <v>0.78225</v>
      </c>
      <c r="AA190" s="214"/>
      <c r="AB190" s="489" t="str">
        <f t="shared" ref="AB190:AB191" ca="1" si="7165">IFERROR($X190/AC190-1,"")</f>
        <v/>
      </c>
      <c r="AC190" s="215"/>
      <c r="AD190" s="199">
        <f ca="1">AA190*$X190</f>
        <v>0</v>
      </c>
      <c r="AE190" s="199">
        <f ca="1">AD190*$Z190</f>
        <v>0</v>
      </c>
      <c r="AF190" s="216">
        <f t="shared" ca="1" si="6726"/>
        <v>0</v>
      </c>
      <c r="AG190" s="202">
        <f ca="1">AH190/$X190</f>
        <v>0</v>
      </c>
      <c r="AH190" s="203">
        <f ca="1">AI190/$Z190</f>
        <v>0</v>
      </c>
      <c r="AI190" s="203">
        <f ca="1">AJ190*AA$4</f>
        <v>0</v>
      </c>
      <c r="AJ190" s="204">
        <f ca="1">IF(AA$6&lt;&gt;"",$O190,$N190)-AF190</f>
        <v>0</v>
      </c>
      <c r="AK190" s="205"/>
      <c r="AL190" s="206">
        <f ca="1">AK190*$X190</f>
        <v>0</v>
      </c>
      <c r="AM190" s="206">
        <f ca="1">AL190*$Z190</f>
        <v>0</v>
      </c>
      <c r="AN190" s="207">
        <f t="shared" ca="1" si="6727"/>
        <v>0</v>
      </c>
      <c r="AO190" s="541">
        <f>AA190+AK190</f>
        <v>0</v>
      </c>
      <c r="AP190" s="541">
        <f t="shared" ca="1" si="7153"/>
        <v>0</v>
      </c>
      <c r="AQ190" s="541">
        <f ca="1">AP190*$Z190</f>
        <v>0</v>
      </c>
      <c r="AR190" s="546">
        <f t="shared" ca="1" si="6728"/>
        <v>0</v>
      </c>
      <c r="AS190" s="209" t="str">
        <f t="shared" ca="1" si="6902"/>
        <v/>
      </c>
      <c r="AT190" s="214"/>
      <c r="AU190" s="489" t="str">
        <f t="shared" ref="AU190:AU191" ca="1" si="7166">IFERROR($X190/AV190-1,"")</f>
        <v/>
      </c>
      <c r="AV190" s="215"/>
      <c r="AW190" s="199">
        <f ca="1">AT190*$X190</f>
        <v>0</v>
      </c>
      <c r="AX190" s="199">
        <f ca="1">AW190*$Z190</f>
        <v>0</v>
      </c>
      <c r="AY190" s="216">
        <f t="shared" ca="1" si="6729"/>
        <v>0</v>
      </c>
      <c r="AZ190" s="202">
        <f ca="1">BA190/$X190</f>
        <v>0</v>
      </c>
      <c r="BA190" s="203">
        <f ca="1">BB190/$Z190</f>
        <v>0</v>
      </c>
      <c r="BB190" s="203">
        <f ca="1">BC190*AT$4</f>
        <v>0</v>
      </c>
      <c r="BC190" s="204">
        <f ca="1">IF(AT$6&lt;&gt;"",$O190,$N190)-AY190</f>
        <v>0</v>
      </c>
      <c r="BD190" s="205"/>
      <c r="BE190" s="206">
        <f ca="1">BD190*$X190</f>
        <v>0</v>
      </c>
      <c r="BF190" s="206">
        <f ca="1">BE190*$Z190</f>
        <v>0</v>
      </c>
      <c r="BG190" s="207">
        <f t="shared" ca="1" si="6730"/>
        <v>0</v>
      </c>
      <c r="BH190" s="541">
        <f>AT190+BD190</f>
        <v>0</v>
      </c>
      <c r="BI190" s="541">
        <f t="shared" ca="1" si="7154"/>
        <v>0</v>
      </c>
      <c r="BJ190" s="541">
        <f ca="1">BI190*$Z190</f>
        <v>0</v>
      </c>
      <c r="BK190" s="546">
        <f t="shared" ca="1" si="6731"/>
        <v>0</v>
      </c>
      <c r="BL190" s="211" t="str">
        <f t="shared" ca="1" si="6903"/>
        <v/>
      </c>
      <c r="BM190" s="214"/>
      <c r="BN190" s="489" t="str">
        <f t="shared" ref="BN190:BN191" ca="1" si="7167">IFERROR($X190/BO190-1,"")</f>
        <v/>
      </c>
      <c r="BO190" s="215"/>
      <c r="BP190" s="199">
        <f ca="1">BM190*$X190</f>
        <v>0</v>
      </c>
      <c r="BQ190" s="199">
        <f ca="1">BP190*$Z190</f>
        <v>0</v>
      </c>
      <c r="BR190" s="216">
        <f t="shared" ca="1" si="6732"/>
        <v>0</v>
      </c>
      <c r="BS190" s="202">
        <f ca="1">BT190/$X190</f>
        <v>0</v>
      </c>
      <c r="BT190" s="203">
        <f ca="1">BU190/$Z190</f>
        <v>0</v>
      </c>
      <c r="BU190" s="203">
        <f ca="1">BV190*BM$4</f>
        <v>0</v>
      </c>
      <c r="BV190" s="204">
        <f ca="1">IF(BM$6&lt;&gt;"",$O190,$N190)-BR190</f>
        <v>0</v>
      </c>
      <c r="BW190" s="205"/>
      <c r="BX190" s="206">
        <f ca="1">BW190*$X190</f>
        <v>0</v>
      </c>
      <c r="BY190" s="206">
        <f ca="1">BX190*$Z190</f>
        <v>0</v>
      </c>
      <c r="BZ190" s="207">
        <f t="shared" ca="1" si="6733"/>
        <v>0</v>
      </c>
      <c r="CA190" s="541">
        <f>BM190+BW190</f>
        <v>0</v>
      </c>
      <c r="CB190" s="541">
        <f t="shared" ca="1" si="7155"/>
        <v>0</v>
      </c>
      <c r="CC190" s="541">
        <f ca="1">CB190*$Z190</f>
        <v>0</v>
      </c>
      <c r="CD190" s="546">
        <f t="shared" ca="1" si="6734"/>
        <v>0</v>
      </c>
      <c r="CE190" s="212" t="str">
        <f t="shared" ca="1" si="6904"/>
        <v/>
      </c>
      <c r="CF190" s="214"/>
      <c r="CG190" s="489" t="str">
        <f t="shared" ref="CG190:CG191" ca="1" si="7168">IFERROR($X190/CH190-1,"")</f>
        <v/>
      </c>
      <c r="CH190" s="215"/>
      <c r="CI190" s="199">
        <f ca="1">CF190*$X190</f>
        <v>0</v>
      </c>
      <c r="CJ190" s="199">
        <f ca="1">CI190*$Z190</f>
        <v>0</v>
      </c>
      <c r="CK190" s="216">
        <f t="shared" ca="1" si="6606"/>
        <v>0</v>
      </c>
      <c r="CL190" s="202">
        <f ca="1">CM190/$X190</f>
        <v>0</v>
      </c>
      <c r="CM190" s="203">
        <f ca="1">CN190/$Z190</f>
        <v>0</v>
      </c>
      <c r="CN190" s="203">
        <f ca="1">CO190*CF$4</f>
        <v>0</v>
      </c>
      <c r="CO190" s="204">
        <f ca="1">IF(CF$6&lt;&gt;"",$O190,$N190)-CK190</f>
        <v>0</v>
      </c>
      <c r="CP190" s="205"/>
      <c r="CQ190" s="206">
        <f ca="1">CP190*$X190</f>
        <v>0</v>
      </c>
      <c r="CR190" s="206">
        <f ca="1">CQ190*$Z190</f>
        <v>0</v>
      </c>
      <c r="CS190" s="207">
        <f t="shared" ca="1" si="6607"/>
        <v>0</v>
      </c>
      <c r="CT190" s="541">
        <f>CF190+CP190</f>
        <v>0</v>
      </c>
      <c r="CU190" s="541">
        <f t="shared" ca="1" si="7156"/>
        <v>0</v>
      </c>
      <c r="CV190" s="541">
        <f ca="1">CU190*$Z190</f>
        <v>0</v>
      </c>
      <c r="CW190" s="546">
        <f t="shared" ca="1" si="6608"/>
        <v>0</v>
      </c>
      <c r="CX190" s="211" t="str">
        <f t="shared" ca="1" si="6905"/>
        <v/>
      </c>
      <c r="CY190" s="197"/>
      <c r="CZ190" s="489" t="str">
        <f t="shared" ref="CZ190:CZ191" ca="1" si="7169">IFERROR($X190/DA190-1,"")</f>
        <v/>
      </c>
      <c r="DA190" s="395"/>
      <c r="DB190" s="199">
        <f ca="1">CY190*$X190</f>
        <v>0</v>
      </c>
      <c r="DC190" s="199">
        <f ca="1">DB190*$Z190</f>
        <v>0</v>
      </c>
      <c r="DD190" s="216">
        <f t="shared" ca="1" si="7009"/>
        <v>0</v>
      </c>
      <c r="DE190" s="202">
        <f ca="1">DF190/$X190</f>
        <v>0</v>
      </c>
      <c r="DF190" s="203">
        <f ca="1">DG190/$Z190</f>
        <v>0</v>
      </c>
      <c r="DG190" s="203">
        <f ca="1">DH190*CY$4</f>
        <v>0</v>
      </c>
      <c r="DH190" s="204">
        <f ca="1">IF(CY$6&lt;&gt;"",$O190,$N190)-DD190</f>
        <v>0</v>
      </c>
      <c r="DI190" s="205"/>
      <c r="DJ190" s="206">
        <f ca="1">DI190*$X190</f>
        <v>0</v>
      </c>
      <c r="DK190" s="206">
        <f ca="1">DJ190*$Z190</f>
        <v>0</v>
      </c>
      <c r="DL190" s="207">
        <f t="shared" ca="1" si="7010"/>
        <v>0</v>
      </c>
      <c r="DM190" s="541">
        <f>CY190+DI190</f>
        <v>0</v>
      </c>
      <c r="DN190" s="541">
        <f t="shared" ca="1" si="7157"/>
        <v>0</v>
      </c>
      <c r="DO190" s="541">
        <f ca="1">DN190*$Z190</f>
        <v>0</v>
      </c>
      <c r="DP190" s="546">
        <f t="shared" ca="1" si="6609"/>
        <v>0</v>
      </c>
      <c r="DQ190" s="209" t="str">
        <f t="shared" ca="1" si="6906"/>
        <v/>
      </c>
      <c r="DR190" s="197"/>
      <c r="DS190" s="489" t="str">
        <f t="shared" ref="DS190:DS191" ca="1" si="7170">IFERROR($X190/DT190-1,"")</f>
        <v/>
      </c>
      <c r="DT190" s="395"/>
      <c r="DU190" s="199">
        <f ca="1">DR190*$X190</f>
        <v>0</v>
      </c>
      <c r="DV190" s="199">
        <f ca="1">DU190*$Z190</f>
        <v>0</v>
      </c>
      <c r="DW190" s="216">
        <f t="shared" ca="1" si="7158"/>
        <v>0</v>
      </c>
      <c r="DX190" s="202">
        <f ca="1">DY190/$X190</f>
        <v>0</v>
      </c>
      <c r="DY190" s="203">
        <f ca="1">DZ190/$Z190</f>
        <v>0</v>
      </c>
      <c r="DZ190" s="203">
        <f ca="1">EA190*DR$4</f>
        <v>0</v>
      </c>
      <c r="EA190" s="204">
        <f ca="1">IF(DR$6&lt;&gt;"",$O190,$N190)-DW190</f>
        <v>0</v>
      </c>
      <c r="EB190" s="205"/>
      <c r="EC190" s="206">
        <f ca="1">EB190*$X190</f>
        <v>0</v>
      </c>
      <c r="ED190" s="206">
        <f ca="1">EC190*$Z190</f>
        <v>0</v>
      </c>
      <c r="EE190" s="207">
        <f t="shared" ca="1" si="7159"/>
        <v>0</v>
      </c>
      <c r="EF190" s="541">
        <f>DR190+EB190</f>
        <v>0</v>
      </c>
      <c r="EG190" s="541">
        <f t="shared" ref="EG190:EG191" ca="1" si="7171">DU190+IF($T190 ="",EC190,0)</f>
        <v>0</v>
      </c>
      <c r="EH190" s="541">
        <f ca="1">EG190*$Z190</f>
        <v>0</v>
      </c>
      <c r="EI190" s="546">
        <f t="shared" ca="1" si="6610"/>
        <v>0</v>
      </c>
      <c r="EJ190" s="214">
        <v>760</v>
      </c>
      <c r="EK190" s="489">
        <f t="shared" ref="EK190:EK191" ca="1" si="7172">IFERROR($X190/EL190-1,"")</f>
        <v>0.16899981047859569</v>
      </c>
      <c r="EL190" s="222">
        <v>25.543289000000001</v>
      </c>
      <c r="EM190" s="199">
        <f ca="1">EJ190*$X190</f>
        <v>22693.675999999999</v>
      </c>
      <c r="EN190" s="199">
        <f ca="1">EM190*$Z190</f>
        <v>17752.128051</v>
      </c>
      <c r="EO190" s="216">
        <f t="shared" ca="1" si="6735"/>
        <v>2.5011867353908E-2</v>
      </c>
      <c r="EP190" s="202">
        <f ca="1">EQ190/$X190</f>
        <v>-760</v>
      </c>
      <c r="EQ190" s="203">
        <f ca="1">ER190/$Z190</f>
        <v>-22693.675999999999</v>
      </c>
      <c r="ER190" s="203">
        <f ca="1">ES190*EJ$4</f>
        <v>-17752.128051</v>
      </c>
      <c r="ES190" s="204">
        <f ca="1">IF(EJ$6&lt;&gt;"",$O190,$N190)-EO190</f>
        <v>-2.5011867353908E-2</v>
      </c>
      <c r="ET190" s="205"/>
      <c r="EU190" s="206">
        <f ca="1">ET190*$X190</f>
        <v>0</v>
      </c>
      <c r="EV190" s="206">
        <f ca="1">EU190*$Z190</f>
        <v>0</v>
      </c>
      <c r="EW190" s="207">
        <f t="shared" ca="1" si="6736"/>
        <v>0</v>
      </c>
      <c r="EX190" s="541">
        <f>EJ190+ET190</f>
        <v>760</v>
      </c>
      <c r="EY190" s="541">
        <f t="shared" ca="1" si="7161"/>
        <v>22693.675999999999</v>
      </c>
      <c r="EZ190" s="541">
        <f ca="1">EY190*$Z190</f>
        <v>17752.128051</v>
      </c>
      <c r="FA190" s="546">
        <f t="shared" ca="1" si="6737"/>
        <v>2.5011867353908E-2</v>
      </c>
      <c r="FB190" s="212" t="str">
        <f t="shared" ca="1" si="6907"/>
        <v>V</v>
      </c>
      <c r="FC190" s="214"/>
      <c r="FD190" s="489" t="str">
        <f t="shared" ref="FD190:FD191" ca="1" si="7173">IFERROR($X190/FE190-1,"")</f>
        <v/>
      </c>
      <c r="FE190" s="215"/>
      <c r="FF190" s="199">
        <f ca="1">FC190*$X190</f>
        <v>0</v>
      </c>
      <c r="FG190" s="199">
        <f ca="1">FF190*$Z190</f>
        <v>0</v>
      </c>
      <c r="FH190" s="216">
        <f t="shared" ca="1" si="6892"/>
        <v>0</v>
      </c>
      <c r="FI190" s="202">
        <f ca="1">FJ190/$X190</f>
        <v>0</v>
      </c>
      <c r="FJ190" s="203">
        <f ca="1">FK190/$Z190</f>
        <v>0</v>
      </c>
      <c r="FK190" s="203">
        <f ca="1">FL190*FC$4</f>
        <v>0</v>
      </c>
      <c r="FL190" s="204">
        <f ca="1">IF(FC$6&lt;&gt;"",$O190,$N190)-FH190</f>
        <v>0</v>
      </c>
      <c r="FM190" s="205"/>
      <c r="FN190" s="206">
        <f ca="1">FM190*$X190</f>
        <v>0</v>
      </c>
      <c r="FO190" s="206">
        <f ca="1">FN190*$Z190</f>
        <v>0</v>
      </c>
      <c r="FP190" s="207">
        <f t="shared" ca="1" si="6739"/>
        <v>0</v>
      </c>
      <c r="FQ190" s="541"/>
      <c r="FR190" s="541">
        <f t="shared" ca="1" si="7162"/>
        <v>0</v>
      </c>
      <c r="FS190" s="541">
        <f ca="1">FR190*$Z190</f>
        <v>0</v>
      </c>
      <c r="FT190" s="546">
        <f t="shared" ca="1" si="6740"/>
        <v>0</v>
      </c>
      <c r="FU190" s="209" t="str">
        <f t="shared" ca="1" si="6908"/>
        <v/>
      </c>
    </row>
    <row r="191" spans="1:177" outlineLevel="2" x14ac:dyDescent="0.2">
      <c r="A191" s="534"/>
      <c r="B191" s="534"/>
      <c r="C191" s="535" t="str">
        <f t="shared" ca="1" si="7163"/>
        <v>GB00B15KYB02:USD:LSS</v>
      </c>
      <c r="D191" s="536" t="str">
        <f t="shared" ca="1" si="7163"/>
        <v>GB00B15KYB02</v>
      </c>
      <c r="E191" s="537" t="str">
        <f t="shared" ca="1" si="7163"/>
        <v>2726105</v>
      </c>
      <c r="F191" s="535" t="s">
        <v>541</v>
      </c>
      <c r="G191" s="538"/>
      <c r="H191" s="1729" t="str">
        <f ca="1">IF(OFFSET(Origine,MATCH($F191,Descrizioni,0),MATCH(H$15,Intestazioni,0)-1,1,1)&lt;&gt;"",HYPERLINK(OFFSET(Origine,MATCH($F191,Descrizioni,0),MATCH(H$15,Intestazioni,0)-1,1,1),""),"")</f>
        <v></v>
      </c>
      <c r="I191" s="1690" t="str">
        <f ca="1">IF(OFFSET(Origine,MATCH($F191,Descrizioni,0),MATCH(I$15,Intestazioni,0)-1,1,1)&lt;&gt;"",HYPERLINK(OFFSET(Origine,MATCH($F191,Descrizioni,0),MATCH(I$15,Intestazioni,0)-1,1,1),"i"),"")</f>
        <v>i</v>
      </c>
      <c r="J191" s="1729" t="str">
        <f ca="1">IF(OFFSET(Origine,MATCH($F191,Descrizioni,0),MATCH(J$15,Intestazioni,0)-1,1,1)&lt;&gt;"",HYPERLINK(OFFSET(Origine,MATCH($F191,Descrizioni,0),MATCH(J$15,Intestazioni,0)-1,1,1),""),"")</f>
        <v></v>
      </c>
      <c r="K191" s="1730" t="str">
        <f ca="1">IF(OFFSET(Origine,MATCH($F191,Descrizioni,0),MATCH(K$15,Intestazioni,0)-1,1,1)&lt;&gt;"",HYPERLINK(OFFSET(Origine,MATCH($F191,Descrizioni,0),MATCH(K$15,Intestazioni,0)-1,1,1),""),"")</f>
        <v></v>
      </c>
      <c r="L191" s="1731" t="str">
        <f ca="1">IF(OFFSET(Origine,MATCH($F191,Descrizioni,0),MATCH(L$15,Intestazioni,0)-1,1,1)&lt;&gt;"",HYPERLINK("https://www.zonebourse.com/mods_a/charts/TV/inc_dyna_graph.php?c="&amp;OFFSET(Origine,MATCH($F191,Descrizioni,0),MATCH(L$15,Intestazioni,0)-1,1,1)&amp;"&amp;style=TradingView.CANDLES&amp;showAT=1",""),"")</f>
        <v></v>
      </c>
      <c r="M191" s="534" t="str">
        <f ca="1">(OFFSET(Origine,MATCH($F191,Descrizioni,0),MATCH(M$15,Intestazioni,0)-1,1,1))</f>
        <v>Unit</v>
      </c>
      <c r="N191" s="539"/>
      <c r="O191" s="539"/>
      <c r="P191" s="540">
        <f t="shared" ca="1" si="6910"/>
        <v>0</v>
      </c>
      <c r="Q191" s="541">
        <f t="array" aca="1" ref="Q191" ca="1">SUM(IF($AA$15:$FT$15="I_pos",AA191:FT191))</f>
        <v>0</v>
      </c>
      <c r="R191" s="541">
        <f t="array" aca="1" ref="R191" ca="1">SUM(IF($AA$15:$FT$15="P_Pos",AA191:FT191))</f>
        <v>0</v>
      </c>
      <c r="S191" s="535"/>
      <c r="T191" s="541"/>
      <c r="U191" s="542">
        <f ca="1">OFFSET(Origine,MATCH($F191,Descrizioni,0),MATCH(U$15,Intestazioni,0)-1,1,1)</f>
        <v>7.0912841670964608E-2</v>
      </c>
      <c r="V191" s="541">
        <f t="array" aca="1" ref="V191" ca="1">SUM(IF($AA$15:$FT$15="O_Pos",AA191:FT191))</f>
        <v>0</v>
      </c>
      <c r="W191" s="535" t="str">
        <f ca="1">OFFSET(Origine,MATCH($F191,Descrizioni,0),MATCH(W$15,Intestazioni,0)-1,1,1)</f>
        <v>USD</v>
      </c>
      <c r="X191" s="543">
        <f ca="1">_xlfn.NUMBERVALUE(OFFSET(Origine,MATCH($F191,Descrizioni,0),MATCH(X$15,Intestazioni,0)-1,1,1))</f>
        <v>4.1529999999999996</v>
      </c>
      <c r="Y191" s="544">
        <f t="shared" ca="1" si="7164"/>
        <v>0</v>
      </c>
      <c r="Z191" s="545">
        <f ca="1">_xlfn.NUMBERVALUE(OFFSET(Origine,MATCH(W191&amp;"/"&amp;MRif,LUKB_Name,0),MATCH("Price",Intestazioni,0)-1,1,1))</f>
        <v>0.78225</v>
      </c>
      <c r="AA191" s="214">
        <f>2450+-2450</f>
        <v>0</v>
      </c>
      <c r="AB191" s="489" t="str">
        <f t="shared" ca="1" si="7165"/>
        <v/>
      </c>
      <c r="AC191" s="215"/>
      <c r="AD191" s="199">
        <f ca="1">AA191*$X191</f>
        <v>0</v>
      </c>
      <c r="AE191" s="199">
        <f ca="1">AD191*$Z191</f>
        <v>0</v>
      </c>
      <c r="AF191" s="216">
        <f ca="1">IFERROR(AE191/AA$4,0)</f>
        <v>0</v>
      </c>
      <c r="AG191" s="202">
        <f ca="1">AH191/$X191</f>
        <v>0</v>
      </c>
      <c r="AH191" s="203">
        <f ca="1">AI191/$Z191</f>
        <v>0</v>
      </c>
      <c r="AI191" s="203">
        <f ca="1">AJ191*AA$4</f>
        <v>0</v>
      </c>
      <c r="AJ191" s="204">
        <f ca="1">IF(AA$6&lt;&gt;"",$O191,$N191)-AF191</f>
        <v>0</v>
      </c>
      <c r="AK191" s="205"/>
      <c r="AL191" s="206">
        <f ca="1">AK191*$X191</f>
        <v>0</v>
      </c>
      <c r="AM191" s="206">
        <f ca="1">AL191*$Z191</f>
        <v>0</v>
      </c>
      <c r="AN191" s="207">
        <f ca="1">IFERROR(AM191/AA$4,0)</f>
        <v>0</v>
      </c>
      <c r="AO191" s="541">
        <f>AA191+AK191</f>
        <v>0</v>
      </c>
      <c r="AP191" s="541">
        <f t="shared" ca="1" si="7153"/>
        <v>0</v>
      </c>
      <c r="AQ191" s="541">
        <f ca="1">AP191*$Z191</f>
        <v>0</v>
      </c>
      <c r="AR191" s="546">
        <f ca="1">IFERROR(AQ191/AA$4,0)</f>
        <v>0</v>
      </c>
      <c r="AS191" s="209" t="str">
        <f t="shared" ca="1" si="6902"/>
        <v/>
      </c>
      <c r="AT191" s="214">
        <f>8000+-8000</f>
        <v>0</v>
      </c>
      <c r="AU191" s="489" t="str">
        <f t="shared" ca="1" si="7166"/>
        <v/>
      </c>
      <c r="AV191" s="215"/>
      <c r="AW191" s="199">
        <f ca="1">AT191*$X191</f>
        <v>0</v>
      </c>
      <c r="AX191" s="199">
        <f ca="1">AW191*$Z191</f>
        <v>0</v>
      </c>
      <c r="AY191" s="216">
        <f ca="1">IFERROR(AX191/AT$4,0)</f>
        <v>0</v>
      </c>
      <c r="AZ191" s="202">
        <f ca="1">BA191/$X191</f>
        <v>0</v>
      </c>
      <c r="BA191" s="203">
        <f ca="1">BB191/$Z191</f>
        <v>0</v>
      </c>
      <c r="BB191" s="203">
        <f ca="1">BC191*AT$4</f>
        <v>0</v>
      </c>
      <c r="BC191" s="204">
        <f ca="1">IF(AT$6&lt;&gt;"",$O191,$N191)-AY191</f>
        <v>0</v>
      </c>
      <c r="BD191" s="205"/>
      <c r="BE191" s="206">
        <f ca="1">BD191*$X191</f>
        <v>0</v>
      </c>
      <c r="BF191" s="206">
        <f ca="1">BE191*$Z191</f>
        <v>0</v>
      </c>
      <c r="BG191" s="207">
        <f ca="1">IFERROR(BF191/AT$4,0)</f>
        <v>0</v>
      </c>
      <c r="BH191" s="541">
        <f>AT191+BD191</f>
        <v>0</v>
      </c>
      <c r="BI191" s="541">
        <f t="shared" ca="1" si="7154"/>
        <v>0</v>
      </c>
      <c r="BJ191" s="541">
        <f ca="1">BI191*$Z191</f>
        <v>0</v>
      </c>
      <c r="BK191" s="546">
        <f ca="1">IFERROR(BJ191/AT$4,0)</f>
        <v>0</v>
      </c>
      <c r="BL191" s="211" t="str">
        <f t="shared" ca="1" si="6903"/>
        <v/>
      </c>
      <c r="BM191" s="214">
        <f>1685+-1685</f>
        <v>0</v>
      </c>
      <c r="BN191" s="489" t="str">
        <f t="shared" ca="1" si="7167"/>
        <v/>
      </c>
      <c r="BO191" s="215"/>
      <c r="BP191" s="199">
        <f ca="1">BM191*$X191</f>
        <v>0</v>
      </c>
      <c r="BQ191" s="199">
        <f ca="1">BP191*$Z191</f>
        <v>0</v>
      </c>
      <c r="BR191" s="216">
        <f ca="1">IFERROR(BQ191/BM$4,0)</f>
        <v>0</v>
      </c>
      <c r="BS191" s="202">
        <f ca="1">BT191/$X191</f>
        <v>0</v>
      </c>
      <c r="BT191" s="203">
        <f ca="1">BU191/$Z191</f>
        <v>0</v>
      </c>
      <c r="BU191" s="203">
        <f ca="1">BV191*BM$4</f>
        <v>0</v>
      </c>
      <c r="BV191" s="204">
        <f ca="1">IF(BM$6&lt;&gt;"",$O191,$N191)-BR191</f>
        <v>0</v>
      </c>
      <c r="BW191" s="205"/>
      <c r="BX191" s="206">
        <f ca="1">BW191*$X191</f>
        <v>0</v>
      </c>
      <c r="BY191" s="206">
        <f ca="1">BX191*$Z191</f>
        <v>0</v>
      </c>
      <c r="BZ191" s="207">
        <f ca="1">IFERROR(BY191/BM$4,0)</f>
        <v>0</v>
      </c>
      <c r="CA191" s="541">
        <f>BM191+BW191</f>
        <v>0</v>
      </c>
      <c r="CB191" s="541">
        <f t="shared" ca="1" si="7155"/>
        <v>0</v>
      </c>
      <c r="CC191" s="541">
        <f ca="1">CB191*$Z191</f>
        <v>0</v>
      </c>
      <c r="CD191" s="546">
        <f ca="1">IFERROR(CC191/BM$4,0)</f>
        <v>0</v>
      </c>
      <c r="CE191" s="212" t="str">
        <f t="shared" ca="1" si="6904"/>
        <v/>
      </c>
      <c r="CF191" s="214"/>
      <c r="CG191" s="489" t="str">
        <f t="shared" ca="1" si="7168"/>
        <v/>
      </c>
      <c r="CH191" s="215"/>
      <c r="CI191" s="199">
        <f ca="1">CF191*$X191</f>
        <v>0</v>
      </c>
      <c r="CJ191" s="199">
        <f ca="1">CI191*$Z191</f>
        <v>0</v>
      </c>
      <c r="CK191" s="216">
        <f t="shared" ca="1" si="6606"/>
        <v>0</v>
      </c>
      <c r="CL191" s="202">
        <f ca="1">CM191/$X191</f>
        <v>0</v>
      </c>
      <c r="CM191" s="203">
        <f ca="1">CN191/$Z191</f>
        <v>0</v>
      </c>
      <c r="CN191" s="203">
        <f ca="1">CO191*CF$4</f>
        <v>0</v>
      </c>
      <c r="CO191" s="204">
        <f ca="1">IF(CF$6&lt;&gt;"",$O191,$N191)-CK191</f>
        <v>0</v>
      </c>
      <c r="CP191" s="205"/>
      <c r="CQ191" s="206">
        <f ca="1">CP191*$X191</f>
        <v>0</v>
      </c>
      <c r="CR191" s="206">
        <f ca="1">CQ191*$Z191</f>
        <v>0</v>
      </c>
      <c r="CS191" s="207">
        <f t="shared" ca="1" si="6607"/>
        <v>0</v>
      </c>
      <c r="CT191" s="541">
        <f>CF191+CP191</f>
        <v>0</v>
      </c>
      <c r="CU191" s="541">
        <f t="shared" ca="1" si="7156"/>
        <v>0</v>
      </c>
      <c r="CV191" s="541">
        <f ca="1">CU191*$Z191</f>
        <v>0</v>
      </c>
      <c r="CW191" s="546">
        <f t="shared" ca="1" si="6608"/>
        <v>0</v>
      </c>
      <c r="CX191" s="211" t="str">
        <f t="shared" ca="1" si="6905"/>
        <v/>
      </c>
      <c r="CY191" s="197">
        <f>9200+-9200</f>
        <v>0</v>
      </c>
      <c r="CZ191" s="489" t="str">
        <f t="shared" ca="1" si="7169"/>
        <v/>
      </c>
      <c r="DA191" s="395"/>
      <c r="DB191" s="199">
        <f ca="1">CY191*$X191</f>
        <v>0</v>
      </c>
      <c r="DC191" s="199">
        <f ca="1">DB191*$Z191</f>
        <v>0</v>
      </c>
      <c r="DD191" s="216">
        <f t="shared" ca="1" si="7009"/>
        <v>0</v>
      </c>
      <c r="DE191" s="202">
        <f ca="1">DF191/$X191</f>
        <v>0</v>
      </c>
      <c r="DF191" s="203">
        <f ca="1">DG191/$Z191</f>
        <v>0</v>
      </c>
      <c r="DG191" s="203">
        <f ca="1">DH191*CY$4</f>
        <v>0</v>
      </c>
      <c r="DH191" s="204">
        <f ca="1">IF(CY$6&lt;&gt;"",$O191,$N191)-DD191</f>
        <v>0</v>
      </c>
      <c r="DI191" s="205"/>
      <c r="DJ191" s="206">
        <f ca="1">DI191*$X191</f>
        <v>0</v>
      </c>
      <c r="DK191" s="206">
        <f ca="1">DJ191*$Z191</f>
        <v>0</v>
      </c>
      <c r="DL191" s="207">
        <f t="shared" ca="1" si="7010"/>
        <v>0</v>
      </c>
      <c r="DM191" s="541">
        <f>CY191+DI191</f>
        <v>0</v>
      </c>
      <c r="DN191" s="541">
        <f t="shared" ca="1" si="7157"/>
        <v>0</v>
      </c>
      <c r="DO191" s="541">
        <f ca="1">DN191*$Z191</f>
        <v>0</v>
      </c>
      <c r="DP191" s="546">
        <f t="shared" ca="1" si="6609"/>
        <v>0</v>
      </c>
      <c r="DQ191" s="209" t="str">
        <f t="shared" ca="1" si="6906"/>
        <v/>
      </c>
      <c r="DR191" s="197"/>
      <c r="DS191" s="489" t="str">
        <f t="shared" ca="1" si="7170"/>
        <v/>
      </c>
      <c r="DT191" s="395"/>
      <c r="DU191" s="199">
        <f ca="1">DR191*$X191</f>
        <v>0</v>
      </c>
      <c r="DV191" s="199">
        <f ca="1">DU191*$Z191</f>
        <v>0</v>
      </c>
      <c r="DW191" s="216">
        <f t="shared" ca="1" si="7158"/>
        <v>0</v>
      </c>
      <c r="DX191" s="202">
        <f ca="1">DY191/$X191</f>
        <v>0</v>
      </c>
      <c r="DY191" s="203">
        <f ca="1">DZ191/$Z191</f>
        <v>0</v>
      </c>
      <c r="DZ191" s="203">
        <f ca="1">EA191*DR$4</f>
        <v>0</v>
      </c>
      <c r="EA191" s="204">
        <f ca="1">IF(DR$6&lt;&gt;"",$O191,$N191)-DW191</f>
        <v>0</v>
      </c>
      <c r="EB191" s="205"/>
      <c r="EC191" s="206">
        <f ca="1">EB191*$X191</f>
        <v>0</v>
      </c>
      <c r="ED191" s="206">
        <f ca="1">EC191*$Z191</f>
        <v>0</v>
      </c>
      <c r="EE191" s="207">
        <f t="shared" ca="1" si="7159"/>
        <v>0</v>
      </c>
      <c r="EF191" s="541">
        <f>DR191+EB191</f>
        <v>0</v>
      </c>
      <c r="EG191" s="541">
        <f t="shared" ca="1" si="7171"/>
        <v>0</v>
      </c>
      <c r="EH191" s="541">
        <f ca="1">EG191*$Z191</f>
        <v>0</v>
      </c>
      <c r="EI191" s="546">
        <f t="shared" ca="1" si="6610"/>
        <v>0</v>
      </c>
      <c r="EJ191" s="214"/>
      <c r="EK191" s="489" t="str">
        <f t="shared" ca="1" si="7172"/>
        <v/>
      </c>
      <c r="EL191" s="222"/>
      <c r="EM191" s="199">
        <f ca="1">EJ191*$X191</f>
        <v>0</v>
      </c>
      <c r="EN191" s="199">
        <f ca="1">EM191*$Z191</f>
        <v>0</v>
      </c>
      <c r="EO191" s="216">
        <f ca="1">IFERROR(EN191/EJ$4,0)</f>
        <v>0</v>
      </c>
      <c r="EP191" s="202">
        <f ca="1">EQ191/$X191</f>
        <v>0</v>
      </c>
      <c r="EQ191" s="203">
        <f ca="1">ER191/$Z191</f>
        <v>0</v>
      </c>
      <c r="ER191" s="203">
        <f ca="1">ES191*EJ$4</f>
        <v>0</v>
      </c>
      <c r="ES191" s="204">
        <f ca="1">IF(EJ$6&lt;&gt;"",$O191,$N191)-EO191</f>
        <v>0</v>
      </c>
      <c r="ET191" s="205"/>
      <c r="EU191" s="206">
        <f ca="1">ET191*$X191</f>
        <v>0</v>
      </c>
      <c r="EV191" s="206">
        <f ca="1">EU191*$Z191</f>
        <v>0</v>
      </c>
      <c r="EW191" s="207">
        <f ca="1">IFERROR(EV191/EJ$4,0)</f>
        <v>0</v>
      </c>
      <c r="EX191" s="541">
        <f>EJ191+ET191</f>
        <v>0</v>
      </c>
      <c r="EY191" s="541">
        <f t="shared" ca="1" si="7161"/>
        <v>0</v>
      </c>
      <c r="EZ191" s="541">
        <f ca="1">EY191*$Z191</f>
        <v>0</v>
      </c>
      <c r="FA191" s="546">
        <f ca="1">IFERROR(EZ191/EJ$4,0)</f>
        <v>0</v>
      </c>
      <c r="FB191" s="212" t="str">
        <f t="shared" ca="1" si="6907"/>
        <v/>
      </c>
      <c r="FC191" s="214"/>
      <c r="FD191" s="489" t="str">
        <f t="shared" ca="1" si="7173"/>
        <v/>
      </c>
      <c r="FE191" s="215"/>
      <c r="FF191" s="199">
        <f ca="1">FC191*$X191</f>
        <v>0</v>
      </c>
      <c r="FG191" s="199">
        <f ca="1">FF191*$Z191</f>
        <v>0</v>
      </c>
      <c r="FH191" s="216">
        <f ca="1">IFERROR(FG191/FC$4,0)</f>
        <v>0</v>
      </c>
      <c r="FI191" s="202">
        <f ca="1">FJ191/$X191</f>
        <v>0</v>
      </c>
      <c r="FJ191" s="203">
        <f ca="1">FK191/$Z191</f>
        <v>0</v>
      </c>
      <c r="FK191" s="203">
        <f ca="1">FL191*FC$4</f>
        <v>0</v>
      </c>
      <c r="FL191" s="204">
        <f ca="1">IF(FC$6&lt;&gt;"",$O191,$N191)-FH191</f>
        <v>0</v>
      </c>
      <c r="FM191" s="205"/>
      <c r="FN191" s="206">
        <f ca="1">FM191*$X191</f>
        <v>0</v>
      </c>
      <c r="FO191" s="206">
        <f ca="1">FN191*$Z191</f>
        <v>0</v>
      </c>
      <c r="FP191" s="207">
        <f ca="1">IFERROR(FO191/FC$4,0)</f>
        <v>0</v>
      </c>
      <c r="FQ191" s="541"/>
      <c r="FR191" s="541">
        <f t="shared" ca="1" si="7162"/>
        <v>0</v>
      </c>
      <c r="FS191" s="541">
        <f ca="1">FR191*$Z191</f>
        <v>0</v>
      </c>
      <c r="FT191" s="546">
        <f ca="1">IFERROR(FS191/FC$4,0)</f>
        <v>0</v>
      </c>
      <c r="FU191" s="209" t="str">
        <f t="shared" ca="1" si="6908"/>
        <v/>
      </c>
    </row>
    <row r="192" spans="1:177" outlineLevel="1" x14ac:dyDescent="0.2">
      <c r="A192" s="513"/>
      <c r="B192" s="513" t="s">
        <v>542</v>
      </c>
      <c r="C192" s="514"/>
      <c r="D192" s="515"/>
      <c r="E192" s="516"/>
      <c r="F192" s="514"/>
      <c r="G192" s="517"/>
      <c r="H192" s="1689"/>
      <c r="I192" s="1689"/>
      <c r="J192" s="1728"/>
      <c r="K192" s="1689"/>
      <c r="L192" s="1689"/>
      <c r="M192" s="513"/>
      <c r="N192" s="518">
        <f>SUM(N$193)</f>
        <v>0</v>
      </c>
      <c r="O192" s="518">
        <f>SUM(O$193)</f>
        <v>0</v>
      </c>
      <c r="P192" s="519">
        <f t="shared" ca="1" si="6910"/>
        <v>0</v>
      </c>
      <c r="Q192" s="520"/>
      <c r="R192" s="520"/>
      <c r="S192" s="514"/>
      <c r="T192" s="520"/>
      <c r="U192" s="521"/>
      <c r="V192" s="520"/>
      <c r="W192" s="522"/>
      <c r="X192" s="523"/>
      <c r="Y192" s="523"/>
      <c r="Z192" s="524"/>
      <c r="AA192" s="525"/>
      <c r="AB192" s="526"/>
      <c r="AC192" s="526"/>
      <c r="AD192" s="514"/>
      <c r="AE192" s="527">
        <f ca="1">SUM(AE$193)</f>
        <v>0</v>
      </c>
      <c r="AF192" s="528">
        <f t="shared" ref="AF192" ca="1" si="7174">IFERROR(AE192/AA$4,0)</f>
        <v>0</v>
      </c>
      <c r="AG192" s="529"/>
      <c r="AH192" s="514"/>
      <c r="AI192" s="527">
        <f ca="1">SUM(AI$193)</f>
        <v>0</v>
      </c>
      <c r="AJ192" s="530">
        <f ca="1">IFERROR(AI192/AA$4,0)</f>
        <v>0</v>
      </c>
      <c r="AK192" s="529"/>
      <c r="AL192" s="514"/>
      <c r="AM192" s="527">
        <f ca="1">SUM(AM$193)</f>
        <v>0</v>
      </c>
      <c r="AN192" s="530">
        <f t="shared" ref="AN192" ca="1" si="7175">IFERROR(AM192/AA$4,0)</f>
        <v>0</v>
      </c>
      <c r="AO192" s="514"/>
      <c r="AP192" s="514"/>
      <c r="AQ192" s="527">
        <f ca="1">SUM(AQ$193)</f>
        <v>0</v>
      </c>
      <c r="AR192" s="528">
        <f t="shared" ref="AR192:AR197" ca="1" si="7176">IFERROR(AQ192/AA$4,0)</f>
        <v>0</v>
      </c>
      <c r="AS192" s="473" t="str">
        <f t="shared" ca="1" si="6902"/>
        <v/>
      </c>
      <c r="AT192" s="525"/>
      <c r="AU192" s="526"/>
      <c r="AV192" s="526"/>
      <c r="AW192" s="514"/>
      <c r="AX192" s="527">
        <f ca="1">SUM(AX$193)</f>
        <v>0</v>
      </c>
      <c r="AY192" s="528">
        <f t="shared" ref="AY192" ca="1" si="7177">IFERROR(AX192/AT$4,0)</f>
        <v>0</v>
      </c>
      <c r="AZ192" s="529"/>
      <c r="BA192" s="514"/>
      <c r="BB192" s="527">
        <f ca="1">SUM(BB$193)</f>
        <v>0</v>
      </c>
      <c r="BC192" s="530">
        <f ca="1">IFERROR(BB192/AT$4,0)</f>
        <v>0</v>
      </c>
      <c r="BD192" s="529"/>
      <c r="BE192" s="514"/>
      <c r="BF192" s="527">
        <f ca="1">SUM(BF$193)</f>
        <v>0</v>
      </c>
      <c r="BG192" s="530">
        <f t="shared" ref="BG192" ca="1" si="7178">IFERROR(BF192/AT$4,0)</f>
        <v>0</v>
      </c>
      <c r="BH192" s="514"/>
      <c r="BI192" s="514"/>
      <c r="BJ192" s="527">
        <f ca="1">SUM(BJ$193)</f>
        <v>0</v>
      </c>
      <c r="BK192" s="528">
        <f t="shared" ref="BK192:BK197" ca="1" si="7179">IFERROR(BJ192/AT$4,0)</f>
        <v>0</v>
      </c>
      <c r="BL192" s="295" t="str">
        <f t="shared" ca="1" si="6903"/>
        <v/>
      </c>
      <c r="BM192" s="525"/>
      <c r="BN192" s="526"/>
      <c r="BO192" s="526"/>
      <c r="BP192" s="514"/>
      <c r="BQ192" s="527">
        <f ca="1">SUM(BQ$193)</f>
        <v>0</v>
      </c>
      <c r="BR192" s="528">
        <f t="shared" ref="BR192" ca="1" si="7180">IFERROR(BQ192/BM$4,0)</f>
        <v>0</v>
      </c>
      <c r="BS192" s="529"/>
      <c r="BT192" s="514"/>
      <c r="BU192" s="527">
        <f ca="1">SUM(BU$193)</f>
        <v>0</v>
      </c>
      <c r="BV192" s="530">
        <f ca="1">IFERROR(BU192/BM$4,0)</f>
        <v>0</v>
      </c>
      <c r="BW192" s="529"/>
      <c r="BX192" s="514"/>
      <c r="BY192" s="527">
        <f ca="1">SUM(BY$193)</f>
        <v>0</v>
      </c>
      <c r="BZ192" s="530">
        <f t="shared" ref="BZ192" ca="1" si="7181">IFERROR(BY192/BM$4,0)</f>
        <v>0</v>
      </c>
      <c r="CA192" s="514"/>
      <c r="CB192" s="514"/>
      <c r="CC192" s="527">
        <f ca="1">SUM(CC$193)</f>
        <v>0</v>
      </c>
      <c r="CD192" s="528">
        <f t="shared" ref="CD192:CD197" ca="1" si="7182">IFERROR(CC192/BM$4,0)</f>
        <v>0</v>
      </c>
      <c r="CE192" s="474" t="str">
        <f t="shared" ca="1" si="6904"/>
        <v/>
      </c>
      <c r="CF192" s="525"/>
      <c r="CG192" s="526"/>
      <c r="CH192" s="526"/>
      <c r="CI192" s="514"/>
      <c r="CJ192" s="527">
        <f ca="1">SUM(CJ$193)</f>
        <v>0</v>
      </c>
      <c r="CK192" s="528">
        <f t="shared" ca="1" si="6606"/>
        <v>0</v>
      </c>
      <c r="CL192" s="529"/>
      <c r="CM192" s="514"/>
      <c r="CN192" s="527">
        <f ca="1">SUM(CN$193)</f>
        <v>0</v>
      </c>
      <c r="CO192" s="530">
        <f ca="1">IFERROR(CN192/CF$4,0)</f>
        <v>0</v>
      </c>
      <c r="CP192" s="529"/>
      <c r="CQ192" s="514"/>
      <c r="CR192" s="527">
        <f ca="1">SUM(CR$193)</f>
        <v>0</v>
      </c>
      <c r="CS192" s="530">
        <f t="shared" ca="1" si="6607"/>
        <v>0</v>
      </c>
      <c r="CT192" s="514"/>
      <c r="CU192" s="514"/>
      <c r="CV192" s="527">
        <f ca="1">SUM(CV$193)</f>
        <v>0</v>
      </c>
      <c r="CW192" s="528">
        <f t="shared" ca="1" si="6608"/>
        <v>0</v>
      </c>
      <c r="CX192" s="295" t="str">
        <f t="shared" ca="1" si="6905"/>
        <v/>
      </c>
      <c r="CY192" s="531"/>
      <c r="CZ192" s="526"/>
      <c r="DA192" s="514"/>
      <c r="DB192" s="527"/>
      <c r="DC192" s="527">
        <f ca="1">SUM(DC$193)</f>
        <v>0</v>
      </c>
      <c r="DD192" s="528">
        <f t="shared" ca="1" si="7009"/>
        <v>0</v>
      </c>
      <c r="DE192" s="529"/>
      <c r="DF192" s="514"/>
      <c r="DG192" s="527">
        <f ca="1">SUM(DG$193)</f>
        <v>0</v>
      </c>
      <c r="DH192" s="530">
        <f ca="1">IFERROR(DG192/CY$4,0)</f>
        <v>0</v>
      </c>
      <c r="DI192" s="529"/>
      <c r="DJ192" s="514"/>
      <c r="DK192" s="527">
        <f ca="1">SUM(DK$193)</f>
        <v>0</v>
      </c>
      <c r="DL192" s="530">
        <f t="shared" ca="1" si="7010"/>
        <v>0</v>
      </c>
      <c r="DM192" s="514"/>
      <c r="DN192" s="514"/>
      <c r="DO192" s="527">
        <f ca="1">SUM(DO$193)</f>
        <v>0</v>
      </c>
      <c r="DP192" s="528">
        <f t="shared" ca="1" si="6609"/>
        <v>0</v>
      </c>
      <c r="DQ192" s="473" t="str">
        <f t="shared" ca="1" si="6906"/>
        <v/>
      </c>
      <c r="DR192" s="531"/>
      <c r="DS192" s="526"/>
      <c r="DT192" s="514"/>
      <c r="DU192" s="527"/>
      <c r="DV192" s="527">
        <f ca="1">SUM(DV$193)</f>
        <v>0</v>
      </c>
      <c r="DW192" s="528">
        <f t="shared" ca="1" si="7158"/>
        <v>0</v>
      </c>
      <c r="DX192" s="529"/>
      <c r="DY192" s="514"/>
      <c r="DZ192" s="527">
        <f ca="1">SUM(DZ$193)</f>
        <v>0</v>
      </c>
      <c r="EA192" s="530">
        <f ca="1">IFERROR(DZ192/DR$4,0)</f>
        <v>0</v>
      </c>
      <c r="EB192" s="529"/>
      <c r="EC192" s="514"/>
      <c r="ED192" s="527">
        <f ca="1">SUM(ED$193)</f>
        <v>0</v>
      </c>
      <c r="EE192" s="530">
        <f t="shared" ca="1" si="7159"/>
        <v>0</v>
      </c>
      <c r="EF192" s="514"/>
      <c r="EG192" s="514"/>
      <c r="EH192" s="527">
        <f ca="1">SUM(EH$193)</f>
        <v>0</v>
      </c>
      <c r="EI192" s="528">
        <f t="shared" ca="1" si="6610"/>
        <v>0</v>
      </c>
      <c r="EJ192" s="525"/>
      <c r="EK192" s="526"/>
      <c r="EL192" s="533"/>
      <c r="EM192" s="514"/>
      <c r="EN192" s="527">
        <f ca="1">SUM(EN$193)</f>
        <v>0</v>
      </c>
      <c r="EO192" s="528">
        <f t="shared" ref="EO192" ca="1" si="7183">IFERROR(EN192/EJ$4,0)</f>
        <v>0</v>
      </c>
      <c r="EP192" s="529"/>
      <c r="EQ192" s="514"/>
      <c r="ER192" s="527">
        <f ca="1">SUM(ER$193)</f>
        <v>0</v>
      </c>
      <c r="ES192" s="530">
        <f ca="1">IFERROR(ER192/EJ$4,0)</f>
        <v>0</v>
      </c>
      <c r="ET192" s="529"/>
      <c r="EU192" s="514"/>
      <c r="EV192" s="527">
        <f ca="1">SUM(EV$193)</f>
        <v>0</v>
      </c>
      <c r="EW192" s="530">
        <f t="shared" ref="EW192" ca="1" si="7184">IFERROR(EV192/EJ$4,0)</f>
        <v>0</v>
      </c>
      <c r="EX192" s="514"/>
      <c r="EY192" s="514"/>
      <c r="EZ192" s="527">
        <f ca="1">SUM(EZ$193)</f>
        <v>0</v>
      </c>
      <c r="FA192" s="528">
        <f t="shared" ref="FA192:FA197" ca="1" si="7185">IFERROR(EZ192/EJ$4,0)</f>
        <v>0</v>
      </c>
      <c r="FB192" s="474" t="str">
        <f t="shared" ca="1" si="6907"/>
        <v/>
      </c>
      <c r="FC192" s="525"/>
      <c r="FD192" s="526"/>
      <c r="FE192" s="526"/>
      <c r="FF192" s="514"/>
      <c r="FG192" s="527">
        <f ca="1">SUM(FG$193)</f>
        <v>0</v>
      </c>
      <c r="FH192" s="528">
        <f t="shared" ref="FH192" ca="1" si="7186">IFERROR(FG192/FC$4,0)</f>
        <v>0</v>
      </c>
      <c r="FI192" s="529"/>
      <c r="FJ192" s="514"/>
      <c r="FK192" s="527">
        <f ca="1">SUM(FK$193)</f>
        <v>0</v>
      </c>
      <c r="FL192" s="530">
        <f ca="1">IFERROR(FK192/FC$4,0)</f>
        <v>0</v>
      </c>
      <c r="FM192" s="529"/>
      <c r="FN192" s="514"/>
      <c r="FO192" s="527">
        <f ca="1">SUM(FO$193)</f>
        <v>0</v>
      </c>
      <c r="FP192" s="530">
        <f t="shared" ref="FP192" ca="1" si="7187">IFERROR(FO192/FC$4,0)</f>
        <v>0</v>
      </c>
      <c r="FQ192" s="514"/>
      <c r="FR192" s="514"/>
      <c r="FS192" s="527">
        <f ca="1">SUM(FS$193)</f>
        <v>0</v>
      </c>
      <c r="FT192" s="528">
        <f t="shared" ref="FT192:FT197" ca="1" si="7188">IFERROR(FS192/FC$4,0)</f>
        <v>0</v>
      </c>
      <c r="FU192" s="473" t="str">
        <f t="shared" ca="1" si="6908"/>
        <v/>
      </c>
    </row>
    <row r="193" spans="1:177" outlineLevel="2" x14ac:dyDescent="0.2">
      <c r="A193" s="534"/>
      <c r="B193" s="534"/>
      <c r="C193" s="535" t="str">
        <f ca="1">OFFSET(Origine,MATCH($F193,Descrizioni,0),MATCH(C$15,Intestazioni,0)-1,1,1)</f>
        <v>GB00B15KYG56:USD:LSS</v>
      </c>
      <c r="D193" s="536" t="str">
        <f ca="1">OFFSET(Origine,MATCH($F193,Descrizioni,0),MATCH(D$15,Intestazioni,0)-1,1,1)</f>
        <v>GB00B15KYG56</v>
      </c>
      <c r="E193" s="537" t="str">
        <f ca="1">OFFSET(Origine,MATCH($F193,Descrizioni,0),MATCH(E$15,Intestazioni,0)-1,1,1)</f>
        <v>2726111</v>
      </c>
      <c r="F193" s="535" t="s">
        <v>543</v>
      </c>
      <c r="G193" s="538"/>
      <c r="H193" s="1729" t="str">
        <f ca="1">IF(OFFSET(Origine,MATCH($F193,Descrizioni,0),MATCH(H$15,Intestazioni,0)-1,1,1)&lt;&gt;"",HYPERLINK(OFFSET(Origine,MATCH($F193,Descrizioni,0),MATCH(H$15,Intestazioni,0)-1,1,1),""),"")</f>
        <v></v>
      </c>
      <c r="I193" s="1690" t="str">
        <f ca="1">IF(OFFSET(Origine,MATCH($F193,Descrizioni,0),MATCH(I$15,Intestazioni,0)-1,1,1)&lt;&gt;"",HYPERLINK(OFFSET(Origine,MATCH($F193,Descrizioni,0),MATCH(I$15,Intestazioni,0)-1,1,1),"i"),"")</f>
        <v>i</v>
      </c>
      <c r="J193" s="1729" t="str">
        <f ca="1">IF(OFFSET(Origine,MATCH($F193,Descrizioni,0),MATCH(J$15,Intestazioni,0)-1,1,1)&lt;&gt;"",HYPERLINK(OFFSET(Origine,MATCH($F193,Descrizioni,0),MATCH(J$15,Intestazioni,0)-1,1,1),""),"")</f>
        <v></v>
      </c>
      <c r="K193" s="1730" t="str">
        <f ca="1">IF(OFFSET(Origine,MATCH($F193,Descrizioni,0),MATCH(K$15,Intestazioni,0)-1,1,1)&lt;&gt;"",HYPERLINK(OFFSET(Origine,MATCH($F193,Descrizioni,0),MATCH(K$15,Intestazioni,0)-1,1,1),""),"")</f>
        <v></v>
      </c>
      <c r="L193" s="1731" t="str">
        <f ca="1">IF(OFFSET(Origine,MATCH($F193,Descrizioni,0),MATCH(L$15,Intestazioni,0)-1,1,1)&lt;&gt;"",HYPERLINK("https://www.zonebourse.com/mods_a/charts/TV/inc_dyna_graph.php?c="&amp;OFFSET(Origine,MATCH($F193,Descrizioni,0),MATCH(L$15,Intestazioni,0)-1,1,1)&amp;"&amp;style=TradingView.CANDLES&amp;showAT=1",""),"")</f>
        <v></v>
      </c>
      <c r="M193" s="534" t="str">
        <f ca="1">(OFFSET(Origine,MATCH($F193,Descrizioni,0),MATCH(M$15,Intestazioni,0)-1,1,1))</f>
        <v>Unit</v>
      </c>
      <c r="N193" s="539"/>
      <c r="O193" s="539"/>
      <c r="P193" s="540">
        <f t="shared" ca="1" si="6910"/>
        <v>0</v>
      </c>
      <c r="Q193" s="541">
        <f t="array" aca="1" ref="Q193" ca="1">SUM(IF($AA$15:$FT$15="I_pos",AA193:FT193))</f>
        <v>0</v>
      </c>
      <c r="R193" s="541">
        <f t="array" aca="1" ref="R193" ca="1">SUM(IF($AA$15:$FT$15="P_Pos",AA193:FT193))</f>
        <v>0</v>
      </c>
      <c r="S193" s="535"/>
      <c r="T193" s="541"/>
      <c r="U193" s="542">
        <f ca="1">OFFSET(Origine,MATCH($F193,Descrizioni,0),MATCH(U$15,Intestazioni,0)-1,1,1)</f>
        <v>-4.5834456726881996E-3</v>
      </c>
      <c r="V193" s="541">
        <f t="array" aca="1" ref="V193" ca="1">SUM(IF($AA$15:$FT$15="O_Pos",AA193:FT193))</f>
        <v>0</v>
      </c>
      <c r="W193" s="535" t="str">
        <f ca="1">OFFSET(Origine,MATCH($F193,Descrizioni,0),MATCH(W$15,Intestazioni,0)-1,1,1)</f>
        <v>USD</v>
      </c>
      <c r="X193" s="543">
        <f ca="1">_xlfn.NUMBERVALUE(OFFSET(Origine,MATCH($F193,Descrizioni,0),MATCH(X$15,Intestazioni,0)-1,1,1))</f>
        <v>18.46</v>
      </c>
      <c r="Y193" s="544">
        <f t="shared" ref="Y193" ca="1" si="7189">_xlfn.NUMBERVALUE(OFFSET(Origine,MATCH($F193,Descrizioni,0),MATCH(Y$15,Intestazioni,0)-1,1,1))</f>
        <v>0</v>
      </c>
      <c r="Z193" s="545">
        <f ca="1">_xlfn.NUMBERVALUE(OFFSET(Origine,MATCH(W193&amp;"/"&amp;MRif,LUKB_Name,0),MATCH("Price",Intestazioni,0)-1,1,1))</f>
        <v>0.78225</v>
      </c>
      <c r="AA193" s="214">
        <f>595+-595</f>
        <v>0</v>
      </c>
      <c r="AB193" s="489" t="str">
        <f ca="1">IFERROR($X193/AC193-1,"")</f>
        <v/>
      </c>
      <c r="AC193" s="215"/>
      <c r="AD193" s="199">
        <f ca="1">AA193*$X193</f>
        <v>0</v>
      </c>
      <c r="AE193" s="199">
        <f ca="1">AD193*$Z193</f>
        <v>0</v>
      </c>
      <c r="AF193" s="216">
        <f ca="1">IFERROR(AE193/AA$4,0)</f>
        <v>0</v>
      </c>
      <c r="AG193" s="202">
        <f ca="1">AH193/$X193</f>
        <v>0</v>
      </c>
      <c r="AH193" s="203">
        <f ca="1">AI193/$Z193</f>
        <v>0</v>
      </c>
      <c r="AI193" s="203">
        <f ca="1">AJ193*AA$4</f>
        <v>0</v>
      </c>
      <c r="AJ193" s="204">
        <f ca="1">IF(AA$6&lt;&gt;"",$O193,$N193)-AF193</f>
        <v>0</v>
      </c>
      <c r="AK193" s="205"/>
      <c r="AL193" s="206">
        <f ca="1">AK193*$X193</f>
        <v>0</v>
      </c>
      <c r="AM193" s="206">
        <f ca="1">AL193*$Z193</f>
        <v>0</v>
      </c>
      <c r="AN193" s="207">
        <f ca="1">IFERROR(AM193/AA$4,0)</f>
        <v>0</v>
      </c>
      <c r="AO193" s="541">
        <f>AA193+AK193</f>
        <v>0</v>
      </c>
      <c r="AP193" s="541">
        <f t="shared" ca="1" si="7153"/>
        <v>0</v>
      </c>
      <c r="AQ193" s="541">
        <f ca="1">AP193*$Z193</f>
        <v>0</v>
      </c>
      <c r="AR193" s="546">
        <f t="shared" ca="1" si="7176"/>
        <v>0</v>
      </c>
      <c r="AS193" s="209" t="str">
        <f t="shared" ca="1" si="6902"/>
        <v/>
      </c>
      <c r="AT193" s="214">
        <f>2100+-2100</f>
        <v>0</v>
      </c>
      <c r="AU193" s="489" t="str">
        <f ca="1">IFERROR($X193/AV193-1,"")</f>
        <v/>
      </c>
      <c r="AV193" s="215"/>
      <c r="AW193" s="199">
        <f ca="1">AT193*$X193</f>
        <v>0</v>
      </c>
      <c r="AX193" s="199">
        <f ca="1">AW193*$Z193</f>
        <v>0</v>
      </c>
      <c r="AY193" s="216">
        <f ca="1">IFERROR(AX193/AT$4,0)</f>
        <v>0</v>
      </c>
      <c r="AZ193" s="202">
        <f ca="1">BA193/$X193</f>
        <v>0</v>
      </c>
      <c r="BA193" s="203">
        <f ca="1">BB193/$Z193</f>
        <v>0</v>
      </c>
      <c r="BB193" s="203">
        <f ca="1">BC193*AT$4</f>
        <v>0</v>
      </c>
      <c r="BC193" s="204">
        <f ca="1">IF(AT$6&lt;&gt;"",$O193,$N193)-AY193</f>
        <v>0</v>
      </c>
      <c r="BD193" s="205"/>
      <c r="BE193" s="206">
        <f ca="1">BD193*$X193</f>
        <v>0</v>
      </c>
      <c r="BF193" s="206">
        <f ca="1">BE193*$Z193</f>
        <v>0</v>
      </c>
      <c r="BG193" s="207">
        <f ca="1">IFERROR(BF193/AT$4,0)</f>
        <v>0</v>
      </c>
      <c r="BH193" s="541">
        <f>AT193+BD193</f>
        <v>0</v>
      </c>
      <c r="BI193" s="541">
        <f t="shared" ca="1" si="7154"/>
        <v>0</v>
      </c>
      <c r="BJ193" s="541">
        <f ca="1">BI193*$Z193</f>
        <v>0</v>
      </c>
      <c r="BK193" s="546">
        <f t="shared" ca="1" si="7179"/>
        <v>0</v>
      </c>
      <c r="BL193" s="211" t="str">
        <f t="shared" ca="1" si="6903"/>
        <v/>
      </c>
      <c r="BM193" s="214">
        <f>400+-400</f>
        <v>0</v>
      </c>
      <c r="BN193" s="489" t="str">
        <f ca="1">IFERROR($X193/BO193-1,"")</f>
        <v/>
      </c>
      <c r="BO193" s="215"/>
      <c r="BP193" s="199">
        <f ca="1">BM193*$X193</f>
        <v>0</v>
      </c>
      <c r="BQ193" s="199">
        <f ca="1">BP193*$Z193</f>
        <v>0</v>
      </c>
      <c r="BR193" s="216">
        <f ca="1">IFERROR(BQ193/BM$4,0)</f>
        <v>0</v>
      </c>
      <c r="BS193" s="202">
        <f ca="1">BT193/$X193</f>
        <v>0</v>
      </c>
      <c r="BT193" s="203">
        <f ca="1">BU193/$Z193</f>
        <v>0</v>
      </c>
      <c r="BU193" s="203">
        <f ca="1">BV193*BM$4</f>
        <v>0</v>
      </c>
      <c r="BV193" s="204">
        <f ca="1">IF(BM$6&lt;&gt;"",$O193,$N193)-BR193</f>
        <v>0</v>
      </c>
      <c r="BW193" s="205"/>
      <c r="BX193" s="206">
        <f ca="1">BW193*$X193</f>
        <v>0</v>
      </c>
      <c r="BY193" s="206">
        <f ca="1">BX193*$Z193</f>
        <v>0</v>
      </c>
      <c r="BZ193" s="207">
        <f ca="1">IFERROR(BY193/BM$4,0)</f>
        <v>0</v>
      </c>
      <c r="CA193" s="541">
        <f>BM193+BW193</f>
        <v>0</v>
      </c>
      <c r="CB193" s="541">
        <f t="shared" ca="1" si="7155"/>
        <v>0</v>
      </c>
      <c r="CC193" s="541">
        <f ca="1">CB193*$Z193</f>
        <v>0</v>
      </c>
      <c r="CD193" s="546">
        <f t="shared" ca="1" si="7182"/>
        <v>0</v>
      </c>
      <c r="CE193" s="212" t="str">
        <f t="shared" ca="1" si="6904"/>
        <v/>
      </c>
      <c r="CF193" s="214">
        <f>1000+-1000</f>
        <v>0</v>
      </c>
      <c r="CG193" s="489" t="str">
        <f ca="1">IFERROR($X193/CH193-1,"")</f>
        <v/>
      </c>
      <c r="CH193" s="215"/>
      <c r="CI193" s="199">
        <f ca="1">CF193*$X193</f>
        <v>0</v>
      </c>
      <c r="CJ193" s="199">
        <f ca="1">CI193*$Z193</f>
        <v>0</v>
      </c>
      <c r="CK193" s="216">
        <f t="shared" ca="1" si="6606"/>
        <v>0</v>
      </c>
      <c r="CL193" s="202">
        <f ca="1">CM193/$X193</f>
        <v>0</v>
      </c>
      <c r="CM193" s="203">
        <f ca="1">CN193/$Z193</f>
        <v>0</v>
      </c>
      <c r="CN193" s="203">
        <f ca="1">CO193*CF$4</f>
        <v>0</v>
      </c>
      <c r="CO193" s="204">
        <f ca="1">IF(CF$6&lt;&gt;"",$O193,$N193)-CK193</f>
        <v>0</v>
      </c>
      <c r="CP193" s="205"/>
      <c r="CQ193" s="206">
        <f ca="1">CP193*$X193</f>
        <v>0</v>
      </c>
      <c r="CR193" s="206">
        <f ca="1">CQ193*$Z193</f>
        <v>0</v>
      </c>
      <c r="CS193" s="207">
        <f t="shared" ca="1" si="6607"/>
        <v>0</v>
      </c>
      <c r="CT193" s="541">
        <f>CF193+CP193</f>
        <v>0</v>
      </c>
      <c r="CU193" s="541">
        <f t="shared" ca="1" si="7156"/>
        <v>0</v>
      </c>
      <c r="CV193" s="541">
        <f ca="1">CU193*$Z193</f>
        <v>0</v>
      </c>
      <c r="CW193" s="546">
        <f t="shared" ca="1" si="6608"/>
        <v>0</v>
      </c>
      <c r="CX193" s="211" t="str">
        <f t="shared" ca="1" si="6905"/>
        <v/>
      </c>
      <c r="CY193" s="197">
        <f>1800+-1800</f>
        <v>0</v>
      </c>
      <c r="CZ193" s="489" t="str">
        <f ca="1">IFERROR($X193/DA193-1,"")</f>
        <v/>
      </c>
      <c r="DA193" s="395"/>
      <c r="DB193" s="199">
        <f ca="1">CY193*$X193</f>
        <v>0</v>
      </c>
      <c r="DC193" s="199">
        <f ca="1">DB193*$Z193</f>
        <v>0</v>
      </c>
      <c r="DD193" s="216">
        <f t="shared" ca="1" si="7009"/>
        <v>0</v>
      </c>
      <c r="DE193" s="202">
        <f ca="1">DF193/$X193</f>
        <v>0</v>
      </c>
      <c r="DF193" s="203">
        <f ca="1">DG193/$Z193</f>
        <v>0</v>
      </c>
      <c r="DG193" s="203">
        <f ca="1">DH193*CY$4</f>
        <v>0</v>
      </c>
      <c r="DH193" s="204">
        <f ca="1">IF(CY$6&lt;&gt;"",$O193,$N193)-DD193</f>
        <v>0</v>
      </c>
      <c r="DI193" s="205"/>
      <c r="DJ193" s="206">
        <f ca="1">DI193*$X193</f>
        <v>0</v>
      </c>
      <c r="DK193" s="206">
        <f ca="1">DJ193*$Z193</f>
        <v>0</v>
      </c>
      <c r="DL193" s="207">
        <f t="shared" ca="1" si="7010"/>
        <v>0</v>
      </c>
      <c r="DM193" s="541">
        <f>CY193+DI193</f>
        <v>0</v>
      </c>
      <c r="DN193" s="541">
        <f t="shared" ca="1" si="7157"/>
        <v>0</v>
      </c>
      <c r="DO193" s="541">
        <f ca="1">DN193*$Z193</f>
        <v>0</v>
      </c>
      <c r="DP193" s="546">
        <f t="shared" ca="1" si="6609"/>
        <v>0</v>
      </c>
      <c r="DQ193" s="209" t="str">
        <f t="shared" ca="1" si="6906"/>
        <v/>
      </c>
      <c r="DR193" s="197"/>
      <c r="DS193" s="489" t="str">
        <f ca="1">IFERROR($X193/DT193-1,"")</f>
        <v/>
      </c>
      <c r="DT193" s="395"/>
      <c r="DU193" s="199">
        <f ca="1">DR193*$X193</f>
        <v>0</v>
      </c>
      <c r="DV193" s="199">
        <f ca="1">DU193*$Z193</f>
        <v>0</v>
      </c>
      <c r="DW193" s="216">
        <f t="shared" ca="1" si="7158"/>
        <v>0</v>
      </c>
      <c r="DX193" s="202">
        <f ca="1">DY193/$X193</f>
        <v>0</v>
      </c>
      <c r="DY193" s="203">
        <f ca="1">DZ193/$Z193</f>
        <v>0</v>
      </c>
      <c r="DZ193" s="203">
        <f ca="1">EA193*DR$4</f>
        <v>0</v>
      </c>
      <c r="EA193" s="204">
        <f ca="1">IF(DR$6&lt;&gt;"",$O193,$N193)-DW193</f>
        <v>0</v>
      </c>
      <c r="EB193" s="205"/>
      <c r="EC193" s="206">
        <f ca="1">EB193*$X193</f>
        <v>0</v>
      </c>
      <c r="ED193" s="206">
        <f ca="1">EC193*$Z193</f>
        <v>0</v>
      </c>
      <c r="EE193" s="207">
        <f t="shared" ca="1" si="7159"/>
        <v>0</v>
      </c>
      <c r="EF193" s="541">
        <f>DR193+EB193</f>
        <v>0</v>
      </c>
      <c r="EG193" s="541">
        <f t="shared" ref="EG193" ca="1" si="7190">DU193+IF($T193 ="",EC193,0)</f>
        <v>0</v>
      </c>
      <c r="EH193" s="541">
        <f ca="1">EG193*$Z193</f>
        <v>0</v>
      </c>
      <c r="EI193" s="546">
        <f t="shared" ca="1" si="6610"/>
        <v>0</v>
      </c>
      <c r="EJ193" s="214"/>
      <c r="EK193" s="489" t="str">
        <f ca="1">IFERROR($X193/EL193-1,"")</f>
        <v/>
      </c>
      <c r="EL193" s="222"/>
      <c r="EM193" s="199">
        <f ca="1">EJ193*$X193</f>
        <v>0</v>
      </c>
      <c r="EN193" s="199">
        <f ca="1">EM193*$Z193</f>
        <v>0</v>
      </c>
      <c r="EO193" s="216">
        <f ca="1">IFERROR(EN193/EJ$4,0)</f>
        <v>0</v>
      </c>
      <c r="EP193" s="202">
        <f ca="1">EQ193/$X193</f>
        <v>0</v>
      </c>
      <c r="EQ193" s="203">
        <f ca="1">ER193/$Z193</f>
        <v>0</v>
      </c>
      <c r="ER193" s="203">
        <f ca="1">ES193*EJ$4</f>
        <v>0</v>
      </c>
      <c r="ES193" s="204">
        <f ca="1">IF(EJ$6&lt;&gt;"",$O193,$N193)-EO193</f>
        <v>0</v>
      </c>
      <c r="ET193" s="205"/>
      <c r="EU193" s="206">
        <f ca="1">ET193*$X193</f>
        <v>0</v>
      </c>
      <c r="EV193" s="206">
        <f ca="1">EU193*$Z193</f>
        <v>0</v>
      </c>
      <c r="EW193" s="207">
        <f ca="1">IFERROR(EV193/EJ$4,0)</f>
        <v>0</v>
      </c>
      <c r="EX193" s="541">
        <f>EJ193+ET193</f>
        <v>0</v>
      </c>
      <c r="EY193" s="541">
        <f t="shared" ca="1" si="7161"/>
        <v>0</v>
      </c>
      <c r="EZ193" s="541">
        <f ca="1">EY193*$Z193</f>
        <v>0</v>
      </c>
      <c r="FA193" s="546">
        <f t="shared" ca="1" si="7185"/>
        <v>0</v>
      </c>
      <c r="FB193" s="212" t="str">
        <f t="shared" ca="1" si="6907"/>
        <v/>
      </c>
      <c r="FC193" s="214"/>
      <c r="FD193" s="489" t="str">
        <f ca="1">IFERROR($X193/FE193-1,"")</f>
        <v/>
      </c>
      <c r="FE193" s="215"/>
      <c r="FF193" s="199">
        <f ca="1">FC193*$X193</f>
        <v>0</v>
      </c>
      <c r="FG193" s="199">
        <f ca="1">FF193*$Z193</f>
        <v>0</v>
      </c>
      <c r="FH193" s="216">
        <f ca="1">IFERROR(FG193/FC$4,0)</f>
        <v>0</v>
      </c>
      <c r="FI193" s="202">
        <f ca="1">FJ193/$X193</f>
        <v>0</v>
      </c>
      <c r="FJ193" s="203">
        <f ca="1">FK193/$Z193</f>
        <v>0</v>
      </c>
      <c r="FK193" s="203">
        <f ca="1">FL193*FC$4</f>
        <v>0</v>
      </c>
      <c r="FL193" s="204">
        <f ca="1">IF(FC$6&lt;&gt;"",$O193,$N193)-FH193</f>
        <v>0</v>
      </c>
      <c r="FM193" s="205"/>
      <c r="FN193" s="206">
        <f ca="1">FM193*$X193</f>
        <v>0</v>
      </c>
      <c r="FO193" s="206">
        <f ca="1">FN193*$Z193</f>
        <v>0</v>
      </c>
      <c r="FP193" s="207">
        <f ca="1">IFERROR(FO193/FC$4,0)</f>
        <v>0</v>
      </c>
      <c r="FQ193" s="541">
        <f>FC193+FM193</f>
        <v>0</v>
      </c>
      <c r="FR193" s="541">
        <f t="shared" ca="1" si="7162"/>
        <v>0</v>
      </c>
      <c r="FS193" s="541">
        <f ca="1">FR193*$Z193</f>
        <v>0</v>
      </c>
      <c r="FT193" s="546">
        <f t="shared" ca="1" si="7188"/>
        <v>0</v>
      </c>
      <c r="FU193" s="209" t="str">
        <f t="shared" ca="1" si="6908"/>
        <v/>
      </c>
    </row>
    <row r="194" spans="1:177" x14ac:dyDescent="0.2">
      <c r="A194" s="550" t="s">
        <v>450</v>
      </c>
      <c r="B194" s="550"/>
      <c r="C194" s="551"/>
      <c r="D194" s="552"/>
      <c r="E194" s="553"/>
      <c r="F194" s="551"/>
      <c r="G194" s="554"/>
      <c r="H194" s="1732"/>
      <c r="I194" s="1691"/>
      <c r="J194" s="1732"/>
      <c r="K194" s="1691"/>
      <c r="L194" s="1691"/>
      <c r="M194" s="550"/>
      <c r="N194" s="556">
        <f>SUMIF($B195:$B200,"&gt;A",$N195:$N200)</f>
        <v>0</v>
      </c>
      <c r="O194" s="556">
        <v>0.13500000000000001</v>
      </c>
      <c r="P194" s="557">
        <f t="shared" ca="1" si="6910"/>
        <v>0</v>
      </c>
      <c r="Q194" s="558"/>
      <c r="R194" s="558"/>
      <c r="S194" s="551"/>
      <c r="T194" s="558"/>
      <c r="U194" s="559"/>
      <c r="V194" s="558"/>
      <c r="W194" s="551"/>
      <c r="X194" s="560"/>
      <c r="Y194" s="560"/>
      <c r="Z194" s="561"/>
      <c r="AA194" s="562"/>
      <c r="AB194" s="563"/>
      <c r="AC194" s="563"/>
      <c r="AD194" s="551"/>
      <c r="AE194" s="558">
        <f ca="1">SUMIF($B195:$B200,"&gt;A",AE195:AE200)</f>
        <v>0</v>
      </c>
      <c r="AF194" s="564">
        <f t="shared" ref="AF194:AF197" ca="1" si="7191">IFERROR(AE194/AA$4,0)</f>
        <v>0</v>
      </c>
      <c r="AG194" s="565"/>
      <c r="AH194" s="551"/>
      <c r="AI194" s="558">
        <f ca="1">SUMIF($B195:$B200,"&gt;A",AI195:AI200)</f>
        <v>0</v>
      </c>
      <c r="AJ194" s="566">
        <f ca="1">IFERROR(AI194/AA$4,0)</f>
        <v>0</v>
      </c>
      <c r="AK194" s="567"/>
      <c r="AL194" s="555"/>
      <c r="AM194" s="558">
        <f ca="1">SUMIF($B195:$B200,"&gt;A",AM195:AM200)</f>
        <v>0</v>
      </c>
      <c r="AN194" s="566">
        <f t="shared" ref="AN194:AN197" ca="1" si="7192">IFERROR(AM194/AA$4,0)</f>
        <v>0</v>
      </c>
      <c r="AO194" s="555"/>
      <c r="AP194" s="555"/>
      <c r="AQ194" s="558">
        <f ca="1">SUMIF($B195:$B200,"&gt;A",AQ195:AQ200)</f>
        <v>0</v>
      </c>
      <c r="AR194" s="564">
        <f t="shared" ca="1" si="7176"/>
        <v>0</v>
      </c>
      <c r="AS194" s="568" t="str">
        <f t="shared" ca="1" si="6902"/>
        <v/>
      </c>
      <c r="AT194" s="562"/>
      <c r="AU194" s="563"/>
      <c r="AV194" s="563"/>
      <c r="AW194" s="551"/>
      <c r="AX194" s="558">
        <f ca="1">SUMIF($B195:$B200,"&gt;A",AX195:AX200)</f>
        <v>0</v>
      </c>
      <c r="AY194" s="564">
        <f t="shared" ref="AY194:AY197" ca="1" si="7193">IFERROR(AX194/AT$4,0)</f>
        <v>0</v>
      </c>
      <c r="AZ194" s="565"/>
      <c r="BA194" s="551"/>
      <c r="BB194" s="558">
        <f ca="1">SUMIF($B195:$B200,"&gt;A",BB195:BB200)</f>
        <v>0</v>
      </c>
      <c r="BC194" s="566">
        <f ca="1">IFERROR(BB194/AT$4,0)</f>
        <v>0</v>
      </c>
      <c r="BD194" s="567"/>
      <c r="BE194" s="555"/>
      <c r="BF194" s="558">
        <f ca="1">SUMIF($B195:$B200,"&gt;A",BF195:BF200)</f>
        <v>0</v>
      </c>
      <c r="BG194" s="566">
        <f t="shared" ref="BG194:BG197" ca="1" si="7194">IFERROR(BF194/AT$4,0)</f>
        <v>0</v>
      </c>
      <c r="BH194" s="555"/>
      <c r="BI194" s="555"/>
      <c r="BJ194" s="558">
        <f ca="1">SUMIF($B195:$B200,"&gt;A",BJ195:BJ200)</f>
        <v>0</v>
      </c>
      <c r="BK194" s="564">
        <f t="shared" ca="1" si="7179"/>
        <v>0</v>
      </c>
      <c r="BL194" s="53" t="str">
        <f t="shared" ca="1" si="6903"/>
        <v/>
      </c>
      <c r="BM194" s="562"/>
      <c r="BN194" s="563"/>
      <c r="BO194" s="563"/>
      <c r="BP194" s="551"/>
      <c r="BQ194" s="558">
        <f ca="1">SUMIF($B195:$B200,"&gt;A",BQ195:BQ200)</f>
        <v>0</v>
      </c>
      <c r="BR194" s="564">
        <f t="shared" ref="BR194:BR197" ca="1" si="7195">IFERROR(BQ194/BM$4,0)</f>
        <v>0</v>
      </c>
      <c r="BS194" s="565"/>
      <c r="BT194" s="551"/>
      <c r="BU194" s="558">
        <f ca="1">SUMIF($B195:$B200,"&gt;A",BU195:BU200)</f>
        <v>0</v>
      </c>
      <c r="BV194" s="566">
        <f ca="1">IFERROR(BU194/BM$4,0)</f>
        <v>0</v>
      </c>
      <c r="BW194" s="567"/>
      <c r="BX194" s="555"/>
      <c r="BY194" s="558">
        <f ca="1">SUMIF($B195:$B200,"&gt;A",BY195:BY200)</f>
        <v>0</v>
      </c>
      <c r="BZ194" s="566">
        <f t="shared" ref="BZ194:BZ197" ca="1" si="7196">IFERROR(BY194/BM$4,0)</f>
        <v>0</v>
      </c>
      <c r="CA194" s="555"/>
      <c r="CB194" s="555"/>
      <c r="CC194" s="558">
        <f ca="1">SUMIF($B195:$B200,"&gt;A",CC195:CC200)</f>
        <v>0</v>
      </c>
      <c r="CD194" s="564">
        <f t="shared" ca="1" si="7182"/>
        <v>0</v>
      </c>
      <c r="CE194" s="184" t="str">
        <f t="shared" ca="1" si="6904"/>
        <v/>
      </c>
      <c r="CF194" s="562"/>
      <c r="CG194" s="563"/>
      <c r="CH194" s="563"/>
      <c r="CI194" s="551"/>
      <c r="CJ194" s="558">
        <f ca="1">SUMIF($B195:$B200,"&gt;A",CJ195:CJ200)</f>
        <v>0</v>
      </c>
      <c r="CK194" s="564">
        <f t="shared" ref="CK194:CK197" ca="1" si="7197">IFERROR(CJ194/CF$4,0)</f>
        <v>0</v>
      </c>
      <c r="CL194" s="565"/>
      <c r="CM194" s="551"/>
      <c r="CN194" s="558">
        <f ca="1">SUMIF($B195:$B200,"&gt;A",CN195:CN200)</f>
        <v>0</v>
      </c>
      <c r="CO194" s="566">
        <f ca="1">IFERROR(CN194/CF$4,0)</f>
        <v>0</v>
      </c>
      <c r="CP194" s="567"/>
      <c r="CQ194" s="555"/>
      <c r="CR194" s="558">
        <f>SUMIF($B195:$B200,"&gt;A",CR195:CR200)</f>
        <v>0</v>
      </c>
      <c r="CS194" s="566">
        <f t="shared" ref="CS194:CS197" ca="1" si="7198">IFERROR(CR194/CF$4,0)</f>
        <v>0</v>
      </c>
      <c r="CT194" s="555"/>
      <c r="CU194" s="555"/>
      <c r="CV194" s="558"/>
      <c r="CW194" s="564">
        <f t="shared" ref="CW194:CW197" ca="1" si="7199">IFERROR(CV194/CF$4,0)</f>
        <v>0</v>
      </c>
      <c r="CX194" s="53" t="str">
        <f t="shared" ca="1" si="6905"/>
        <v/>
      </c>
      <c r="CY194" s="569"/>
      <c r="CZ194" s="563"/>
      <c r="DA194" s="570"/>
      <c r="DB194" s="571"/>
      <c r="DC194" s="558">
        <f>SUMIF($B195:$B200,"&gt;A",DC195:DC200)</f>
        <v>0</v>
      </c>
      <c r="DD194" s="564">
        <f t="shared" ca="1" si="7009"/>
        <v>0</v>
      </c>
      <c r="DE194" s="565"/>
      <c r="DF194" s="551"/>
      <c r="DG194" s="558">
        <f ca="1">SUMIF($B195:$B200,"&gt;A",DG195:DG200)</f>
        <v>0</v>
      </c>
      <c r="DH194" s="566">
        <f ca="1">IFERROR(DG194/CY$4,0)</f>
        <v>0</v>
      </c>
      <c r="DI194" s="567"/>
      <c r="DJ194" s="555"/>
      <c r="DK194" s="558">
        <f ca="1">SUMIF($B195:$B200,"&gt;A",DK195:DK200)</f>
        <v>0</v>
      </c>
      <c r="DL194" s="566">
        <f t="shared" ca="1" si="7010"/>
        <v>0</v>
      </c>
      <c r="DM194" s="555"/>
      <c r="DN194" s="555"/>
      <c r="DO194" s="558">
        <f>SUMIF($B195:$B200,"&gt;A",DO195:DO200)</f>
        <v>0</v>
      </c>
      <c r="DP194" s="564">
        <f t="shared" ref="DP194:DP197" ca="1" si="7200">IFERROR(DO194/CY$4,0)</f>
        <v>0</v>
      </c>
      <c r="DQ194" s="568" t="str">
        <f t="shared" ca="1" si="6906"/>
        <v/>
      </c>
      <c r="DR194" s="569"/>
      <c r="DS194" s="563"/>
      <c r="DT194" s="570"/>
      <c r="DU194" s="571"/>
      <c r="DV194" s="558">
        <f>SUMIF($B195:$B200,"&gt;A",DV195:DV200)</f>
        <v>0</v>
      </c>
      <c r="DW194" s="564">
        <f t="shared" ca="1" si="7158"/>
        <v>0</v>
      </c>
      <c r="DX194" s="565"/>
      <c r="DY194" s="551"/>
      <c r="DZ194" s="558">
        <f ca="1">SUMIF($B195:$B200,"&gt;A",DZ195:DZ200)</f>
        <v>0</v>
      </c>
      <c r="EA194" s="566">
        <f ca="1">IFERROR(DZ194/DR$4,0)</f>
        <v>0</v>
      </c>
      <c r="EB194" s="567"/>
      <c r="EC194" s="555"/>
      <c r="ED194" s="558">
        <f ca="1">SUMIF($B195:$B200,"&gt;A",ED195:ED200)</f>
        <v>0</v>
      </c>
      <c r="EE194" s="566">
        <f t="shared" ca="1" si="7159"/>
        <v>0</v>
      </c>
      <c r="EF194" s="555"/>
      <c r="EG194" s="555"/>
      <c r="EH194" s="558">
        <f>SUMIF($B195:$B200,"&gt;A",EH195:EH200)</f>
        <v>0</v>
      </c>
      <c r="EI194" s="564">
        <f t="shared" ca="1" si="6610"/>
        <v>0</v>
      </c>
      <c r="EJ194" s="562"/>
      <c r="EK194" s="563"/>
      <c r="EL194" s="572"/>
      <c r="EM194" s="551"/>
      <c r="EN194" s="558">
        <f ca="1">SUMIF($B195:$B200,"&gt;A",EN195:EN200)</f>
        <v>0</v>
      </c>
      <c r="EO194" s="564">
        <f t="shared" ref="EO194:EO197" ca="1" si="7201">IFERROR(EN194/EJ$4,0)</f>
        <v>0</v>
      </c>
      <c r="EP194" s="565"/>
      <c r="EQ194" s="551"/>
      <c r="ER194" s="558">
        <f ca="1">SUMIF($B195:$B200,"&gt;A",ER195:ER200)</f>
        <v>0</v>
      </c>
      <c r="ES194" s="566">
        <f ca="1">IFERROR(ER194/EJ$4,0)</f>
        <v>0</v>
      </c>
      <c r="ET194" s="567"/>
      <c r="EU194" s="555"/>
      <c r="EV194" s="558">
        <f ca="1">SUMIF($B195:$B200,"&gt;A",EV195:EV200)</f>
        <v>0</v>
      </c>
      <c r="EW194" s="566">
        <f t="shared" ref="EW194:EW197" ca="1" si="7202">IFERROR(EV194/EJ$4,0)</f>
        <v>0</v>
      </c>
      <c r="EX194" s="555"/>
      <c r="EY194" s="555"/>
      <c r="EZ194" s="558">
        <f ca="1">SUMIF($B195:$B200,"&gt;A",EZ195:EZ200)</f>
        <v>0</v>
      </c>
      <c r="FA194" s="564">
        <f t="shared" ca="1" si="7185"/>
        <v>0</v>
      </c>
      <c r="FB194" s="184" t="str">
        <f t="shared" ca="1" si="6907"/>
        <v/>
      </c>
      <c r="FC194" s="562"/>
      <c r="FD194" s="563"/>
      <c r="FE194" s="563"/>
      <c r="FF194" s="551"/>
      <c r="FG194" s="558">
        <f ca="1">SUMIF($B195:$B200,"&gt;A",FG195:FG200)</f>
        <v>0</v>
      </c>
      <c r="FH194" s="564">
        <f t="shared" ref="FH194:FH197" ca="1" si="7203">IFERROR(FG194/FC$4,0)</f>
        <v>0</v>
      </c>
      <c r="FI194" s="565"/>
      <c r="FJ194" s="551"/>
      <c r="FK194" s="558">
        <f ca="1">SUMIF($B195:$B200,"&gt;A",FK195:FK200)</f>
        <v>0</v>
      </c>
      <c r="FL194" s="566">
        <f ca="1">IFERROR(FK194/FC$4,0)</f>
        <v>0</v>
      </c>
      <c r="FM194" s="567"/>
      <c r="FN194" s="555"/>
      <c r="FO194" s="558">
        <f ca="1">SUMIF($B195:$B200,"&gt;A",FO195:FO200)</f>
        <v>0</v>
      </c>
      <c r="FP194" s="566">
        <f t="shared" ref="FP194:FP197" ca="1" si="7204">IFERROR(FO194/FC$4,0)</f>
        <v>0</v>
      </c>
      <c r="FQ194" s="555"/>
      <c r="FR194" s="555"/>
      <c r="FS194" s="558">
        <f ca="1">SUMIF($B195:$B200,"&gt;A",FS195:FS200)</f>
        <v>0</v>
      </c>
      <c r="FT194" s="564">
        <f t="shared" ca="1" si="7188"/>
        <v>0</v>
      </c>
      <c r="FU194" s="183" t="str">
        <f t="shared" ca="1" si="6908"/>
        <v/>
      </c>
    </row>
    <row r="195" spans="1:177" outlineLevel="1" x14ac:dyDescent="0.2">
      <c r="A195" s="573"/>
      <c r="B195" s="573" t="s">
        <v>800</v>
      </c>
      <c r="C195" s="574"/>
      <c r="D195" s="575" t="s">
        <v>801</v>
      </c>
      <c r="E195" s="576"/>
      <c r="F195" s="574"/>
      <c r="G195" s="577"/>
      <c r="H195" s="1692"/>
      <c r="I195" s="1692"/>
      <c r="J195" s="1733"/>
      <c r="K195" s="1692"/>
      <c r="L195" s="1692"/>
      <c r="M195" s="573"/>
      <c r="N195" s="578">
        <f>SUM(N196:N197)</f>
        <v>0</v>
      </c>
      <c r="O195" s="578">
        <f>SUM(O196:O197)</f>
        <v>0</v>
      </c>
      <c r="P195" s="579">
        <f t="shared" ca="1" si="6910"/>
        <v>0</v>
      </c>
      <c r="Q195" s="580"/>
      <c r="R195" s="580"/>
      <c r="S195" s="574"/>
      <c r="T195" s="580"/>
      <c r="U195" s="581"/>
      <c r="V195" s="580"/>
      <c r="W195" s="574"/>
      <c r="X195" s="582"/>
      <c r="Y195" s="582"/>
      <c r="Z195" s="583"/>
      <c r="AA195" s="584"/>
      <c r="AB195" s="585"/>
      <c r="AC195" s="585"/>
      <c r="AD195" s="574"/>
      <c r="AE195" s="586">
        <f ca="1">SUM(AE196:AE197)</f>
        <v>0</v>
      </c>
      <c r="AF195" s="587">
        <f t="shared" ca="1" si="7191"/>
        <v>0</v>
      </c>
      <c r="AG195" s="588"/>
      <c r="AH195" s="574"/>
      <c r="AI195" s="586">
        <f ca="1">SUM(AI196:AI197)</f>
        <v>0</v>
      </c>
      <c r="AJ195" s="589">
        <f ca="1">IFERROR(AI195/AA$4,0)</f>
        <v>0</v>
      </c>
      <c r="AK195" s="588"/>
      <c r="AL195" s="574"/>
      <c r="AM195" s="586">
        <f ca="1">SUM(AM196:AM197)</f>
        <v>0</v>
      </c>
      <c r="AN195" s="589">
        <f t="shared" ca="1" si="7192"/>
        <v>0</v>
      </c>
      <c r="AO195" s="574"/>
      <c r="AP195" s="574"/>
      <c r="AQ195" s="586">
        <f ca="1">SUM(AQ196:AQ197)</f>
        <v>0</v>
      </c>
      <c r="AR195" s="587">
        <f t="shared" ca="1" si="7176"/>
        <v>0</v>
      </c>
      <c r="AS195" s="590" t="str">
        <f t="shared" ca="1" si="6902"/>
        <v/>
      </c>
      <c r="AT195" s="584"/>
      <c r="AU195" s="585"/>
      <c r="AV195" s="585"/>
      <c r="AW195" s="574"/>
      <c r="AX195" s="586">
        <f ca="1">SUM(AX196:AX197)</f>
        <v>0</v>
      </c>
      <c r="AY195" s="587">
        <f t="shared" ca="1" si="7193"/>
        <v>0</v>
      </c>
      <c r="AZ195" s="588"/>
      <c r="BA195" s="574"/>
      <c r="BB195" s="586">
        <f ca="1">SUM(BB196:BB197)</f>
        <v>0</v>
      </c>
      <c r="BC195" s="589">
        <f ca="1">IFERROR(BB195/AT$4,0)</f>
        <v>0</v>
      </c>
      <c r="BD195" s="588"/>
      <c r="BE195" s="574"/>
      <c r="BF195" s="586">
        <f ca="1">SUM(BF196:BF197)</f>
        <v>0</v>
      </c>
      <c r="BG195" s="589">
        <f t="shared" ca="1" si="7194"/>
        <v>0</v>
      </c>
      <c r="BH195" s="574"/>
      <c r="BI195" s="574"/>
      <c r="BJ195" s="586">
        <f ca="1">SUM(BJ196:BJ197)</f>
        <v>0</v>
      </c>
      <c r="BK195" s="587">
        <f t="shared" ca="1" si="7179"/>
        <v>0</v>
      </c>
      <c r="BL195" s="295" t="str">
        <f t="shared" ca="1" si="6903"/>
        <v/>
      </c>
      <c r="BM195" s="584"/>
      <c r="BN195" s="585"/>
      <c r="BO195" s="585"/>
      <c r="BP195" s="574"/>
      <c r="BQ195" s="586">
        <f ca="1">SUM(BQ196:BQ197)</f>
        <v>0</v>
      </c>
      <c r="BR195" s="587">
        <f t="shared" ca="1" si="7195"/>
        <v>0</v>
      </c>
      <c r="BS195" s="588"/>
      <c r="BT195" s="574"/>
      <c r="BU195" s="586">
        <f ca="1">SUM(BU196:BU197)</f>
        <v>0</v>
      </c>
      <c r="BV195" s="589">
        <f ca="1">IFERROR(BU195/BM$4,0)</f>
        <v>0</v>
      </c>
      <c r="BW195" s="588"/>
      <c r="BX195" s="574"/>
      <c r="BY195" s="586">
        <f ca="1">SUM(BY196:BY197)</f>
        <v>0</v>
      </c>
      <c r="BZ195" s="589">
        <f t="shared" ca="1" si="7196"/>
        <v>0</v>
      </c>
      <c r="CA195" s="574"/>
      <c r="CB195" s="574"/>
      <c r="CC195" s="586">
        <f ca="1">SUM(CC196:CC197)</f>
        <v>0</v>
      </c>
      <c r="CD195" s="587">
        <f t="shared" ca="1" si="7182"/>
        <v>0</v>
      </c>
      <c r="CE195" s="474" t="str">
        <f t="shared" ca="1" si="6904"/>
        <v/>
      </c>
      <c r="CF195" s="584"/>
      <c r="CG195" s="585"/>
      <c r="CH195" s="585"/>
      <c r="CI195" s="574"/>
      <c r="CJ195" s="586">
        <f ca="1">SUM(CJ196:CJ197)</f>
        <v>0</v>
      </c>
      <c r="CK195" s="587">
        <f t="shared" ca="1" si="7197"/>
        <v>0</v>
      </c>
      <c r="CL195" s="588"/>
      <c r="CM195" s="574"/>
      <c r="CN195" s="586">
        <f ca="1">SUM(CN196:CN197)</f>
        <v>0</v>
      </c>
      <c r="CO195" s="589">
        <f ca="1">IFERROR(CN195/CF$4,0)</f>
        <v>0</v>
      </c>
      <c r="CP195" s="588"/>
      <c r="CQ195" s="574"/>
      <c r="CR195" s="586"/>
      <c r="CS195" s="589">
        <f t="shared" ca="1" si="7198"/>
        <v>0</v>
      </c>
      <c r="CT195" s="574"/>
      <c r="CU195" s="574"/>
      <c r="CV195" s="586"/>
      <c r="CW195" s="587">
        <f t="shared" ca="1" si="7199"/>
        <v>0</v>
      </c>
      <c r="CX195" s="295" t="str">
        <f t="shared" ca="1" si="6905"/>
        <v/>
      </c>
      <c r="CY195" s="591"/>
      <c r="CZ195" s="585"/>
      <c r="DA195" s="592"/>
      <c r="DB195" s="586"/>
      <c r="DC195" s="586"/>
      <c r="DD195" s="587">
        <f t="shared" ca="1" si="7009"/>
        <v>0</v>
      </c>
      <c r="DE195" s="588"/>
      <c r="DF195" s="574"/>
      <c r="DG195" s="586">
        <f ca="1">SUM(DG196:DG197)</f>
        <v>0</v>
      </c>
      <c r="DH195" s="589">
        <f ca="1">IFERROR(DG195/CY$4,0)</f>
        <v>0</v>
      </c>
      <c r="DI195" s="588"/>
      <c r="DJ195" s="574"/>
      <c r="DK195" s="586"/>
      <c r="DL195" s="589">
        <f t="shared" ca="1" si="7010"/>
        <v>0</v>
      </c>
      <c r="DM195" s="574"/>
      <c r="DN195" s="574"/>
      <c r="DO195" s="586"/>
      <c r="DP195" s="587">
        <f t="shared" ca="1" si="7200"/>
        <v>0</v>
      </c>
      <c r="DQ195" s="590" t="str">
        <f t="shared" ca="1" si="6906"/>
        <v/>
      </c>
      <c r="DR195" s="591"/>
      <c r="DS195" s="585"/>
      <c r="DT195" s="592"/>
      <c r="DU195" s="586"/>
      <c r="DV195" s="586"/>
      <c r="DW195" s="587">
        <f t="shared" ca="1" si="7158"/>
        <v>0</v>
      </c>
      <c r="DX195" s="588"/>
      <c r="DY195" s="574"/>
      <c r="DZ195" s="586">
        <f ca="1">SUM(DZ196:DZ197)</f>
        <v>0</v>
      </c>
      <c r="EA195" s="589">
        <f ca="1">IFERROR(DZ195/DR$4,0)</f>
        <v>0</v>
      </c>
      <c r="EB195" s="588"/>
      <c r="EC195" s="574"/>
      <c r="ED195" s="586"/>
      <c r="EE195" s="589">
        <f t="shared" ca="1" si="7159"/>
        <v>0</v>
      </c>
      <c r="EF195" s="574"/>
      <c r="EG195" s="574"/>
      <c r="EH195" s="586"/>
      <c r="EI195" s="587">
        <f t="shared" ca="1" si="6610"/>
        <v>0</v>
      </c>
      <c r="EJ195" s="584"/>
      <c r="EK195" s="585"/>
      <c r="EL195" s="593"/>
      <c r="EM195" s="574"/>
      <c r="EN195" s="586">
        <f ca="1">SUM(EN196:EN197)</f>
        <v>0</v>
      </c>
      <c r="EO195" s="587">
        <f t="shared" ca="1" si="7201"/>
        <v>0</v>
      </c>
      <c r="EP195" s="588"/>
      <c r="EQ195" s="574"/>
      <c r="ER195" s="586">
        <f ca="1">SUM(ER196:ER197)</f>
        <v>0</v>
      </c>
      <c r="ES195" s="589">
        <f ca="1">IFERROR(ER195/EJ$4,0)</f>
        <v>0</v>
      </c>
      <c r="ET195" s="588"/>
      <c r="EU195" s="574"/>
      <c r="EV195" s="586">
        <f ca="1">SUM(EV196:EV197)</f>
        <v>0</v>
      </c>
      <c r="EW195" s="589">
        <f t="shared" ca="1" si="7202"/>
        <v>0</v>
      </c>
      <c r="EX195" s="574"/>
      <c r="EY195" s="574"/>
      <c r="EZ195" s="586">
        <f ca="1">SUM(EZ196:EZ197)</f>
        <v>0</v>
      </c>
      <c r="FA195" s="587">
        <f t="shared" ca="1" si="7185"/>
        <v>0</v>
      </c>
      <c r="FB195" s="474" t="str">
        <f t="shared" ca="1" si="6907"/>
        <v/>
      </c>
      <c r="FC195" s="584"/>
      <c r="FD195" s="585"/>
      <c r="FE195" s="585"/>
      <c r="FF195" s="574"/>
      <c r="FG195" s="586">
        <f ca="1">SUM(FG196:FG197)</f>
        <v>0</v>
      </c>
      <c r="FH195" s="587">
        <f t="shared" ca="1" si="7203"/>
        <v>0</v>
      </c>
      <c r="FI195" s="529"/>
      <c r="FJ195" s="514"/>
      <c r="FK195" s="527">
        <f ca="1">SUM(FK196:FK197)</f>
        <v>0</v>
      </c>
      <c r="FL195" s="530">
        <f ca="1">IFERROR(FK195/FC$4,0)</f>
        <v>0</v>
      </c>
      <c r="FM195" s="529"/>
      <c r="FN195" s="514"/>
      <c r="FO195" s="527">
        <f ca="1">SUM(FO196:FO197)</f>
        <v>0</v>
      </c>
      <c r="FP195" s="530">
        <f t="shared" ca="1" si="7204"/>
        <v>0</v>
      </c>
      <c r="FQ195" s="514"/>
      <c r="FR195" s="574"/>
      <c r="FS195" s="527">
        <f ca="1">SUM(FS196:FS197)</f>
        <v>0</v>
      </c>
      <c r="FT195" s="528">
        <f t="shared" ca="1" si="7188"/>
        <v>0</v>
      </c>
      <c r="FU195" s="473" t="str">
        <f t="shared" ca="1" si="6908"/>
        <v/>
      </c>
    </row>
    <row r="196" spans="1:177" outlineLevel="2" x14ac:dyDescent="0.2">
      <c r="A196" s="594"/>
      <c r="B196" s="594"/>
      <c r="C196" s="595"/>
      <c r="D196" s="596"/>
      <c r="E196" s="597"/>
      <c r="F196" s="595" t="s">
        <v>369</v>
      </c>
      <c r="G196" s="598"/>
      <c r="H196" s="1734"/>
      <c r="I196" s="1693"/>
      <c r="J196" s="1734"/>
      <c r="K196" s="1735"/>
      <c r="L196" s="1736"/>
      <c r="M196" s="594"/>
      <c r="N196" s="599"/>
      <c r="O196" s="599"/>
      <c r="P196" s="600"/>
      <c r="Q196" s="601"/>
      <c r="R196" s="601"/>
      <c r="S196" s="595"/>
      <c r="T196" s="601" t="s">
        <v>802</v>
      </c>
      <c r="U196" s="602"/>
      <c r="V196" s="601"/>
      <c r="W196" s="595" t="s">
        <v>369</v>
      </c>
      <c r="X196" s="603">
        <v>125000</v>
      </c>
      <c r="Y196" s="604"/>
      <c r="Z196" s="605">
        <f ca="1">_xlfn.NUMBERVALUE(OFFSET(Origine,MATCH(W196&amp;"/"&amp;MRif,LUKB_Name,0),MATCH("Price",Intestazioni,0)-1,1,1))</f>
        <v>1.0000001300000001</v>
      </c>
      <c r="AA196" s="214"/>
      <c r="AB196" s="215"/>
      <c r="AC196" s="215"/>
      <c r="AD196" s="199">
        <f t="shared" ref="AD196" si="7205">AA196*$X196</f>
        <v>0</v>
      </c>
      <c r="AE196" s="199">
        <f t="shared" ref="AE196" ca="1" si="7206">AD196*$Z196</f>
        <v>0</v>
      </c>
      <c r="AF196" s="216">
        <f t="shared" ref="AF196" ca="1" si="7207">IFERROR(AE196/AA$4,0)</f>
        <v>0</v>
      </c>
      <c r="AG196" s="202">
        <f t="shared" ref="AG196:AG197" ca="1" si="7208">AH196/$X196</f>
        <v>0</v>
      </c>
      <c r="AH196" s="203">
        <f t="shared" ref="AH196:AH197" ca="1" si="7209">AI196/$Z196</f>
        <v>0</v>
      </c>
      <c r="AI196" s="203">
        <f t="shared" ref="AI196:AI197" ca="1" si="7210">AJ196*AA$4</f>
        <v>0</v>
      </c>
      <c r="AJ196" s="204">
        <f ca="1">IF(AA$6&lt;&gt;"",$O196,$N196)-AF196</f>
        <v>0</v>
      </c>
      <c r="AK196" s="205"/>
      <c r="AL196" s="206">
        <f t="shared" ref="AL196:AL197" si="7211">AK196*$X196</f>
        <v>0</v>
      </c>
      <c r="AM196" s="206">
        <f t="shared" ref="AM196:AM197" ca="1" si="7212">AL196*$Z196</f>
        <v>0</v>
      </c>
      <c r="AN196" s="207">
        <f t="shared" ca="1" si="7192"/>
        <v>0</v>
      </c>
      <c r="AO196" s="541">
        <f>AA196+AK196</f>
        <v>0</v>
      </c>
      <c r="AP196" s="541">
        <f t="shared" si="7153"/>
        <v>0</v>
      </c>
      <c r="AQ196" s="541">
        <f t="shared" ref="AQ196:AQ197" ca="1" si="7213">AP196*$Z196</f>
        <v>0</v>
      </c>
      <c r="AR196" s="546">
        <f t="shared" ca="1" si="7176"/>
        <v>0</v>
      </c>
      <c r="AS196" s="209" t="str">
        <f t="shared" ca="1" si="6902"/>
        <v/>
      </c>
      <c r="AT196" s="214"/>
      <c r="AU196" s="215"/>
      <c r="AV196" s="215"/>
      <c r="AW196" s="199">
        <f t="shared" ref="AW196:AW197" si="7214">AT196*$X196</f>
        <v>0</v>
      </c>
      <c r="AX196" s="199">
        <f t="shared" ref="AX196" ca="1" si="7215">AW196*$Z196</f>
        <v>0</v>
      </c>
      <c r="AY196" s="216">
        <f t="shared" ca="1" si="7193"/>
        <v>0</v>
      </c>
      <c r="AZ196" s="202">
        <f t="shared" ref="AZ196:AZ197" ca="1" si="7216">BA196/$X196</f>
        <v>0</v>
      </c>
      <c r="BA196" s="203">
        <f t="shared" ref="BA196:BA197" ca="1" si="7217">BB196/$Z196</f>
        <v>0</v>
      </c>
      <c r="BB196" s="203">
        <f t="shared" ref="BB196:BB197" ca="1" si="7218">BC196*AT$4</f>
        <v>0</v>
      </c>
      <c r="BC196" s="204">
        <f ca="1">IF(AT$6&lt;&gt;"",$O196,$N196)-AY196</f>
        <v>0</v>
      </c>
      <c r="BD196" s="205"/>
      <c r="BE196" s="206">
        <f t="shared" ref="BE196:BE197" si="7219">BD196*$X196</f>
        <v>0</v>
      </c>
      <c r="BF196" s="206">
        <f t="shared" ref="BF196:BF197" ca="1" si="7220">BE196*$Z196</f>
        <v>0</v>
      </c>
      <c r="BG196" s="207">
        <f t="shared" ca="1" si="7194"/>
        <v>0</v>
      </c>
      <c r="BH196" s="541">
        <f>AT196+BD196</f>
        <v>0</v>
      </c>
      <c r="BI196" s="541">
        <f t="shared" si="7154"/>
        <v>0</v>
      </c>
      <c r="BJ196" s="541">
        <f t="shared" ref="BJ196:BJ197" ca="1" si="7221">BI196*$Z196</f>
        <v>0</v>
      </c>
      <c r="BK196" s="546">
        <f t="shared" ca="1" si="7179"/>
        <v>0</v>
      </c>
      <c r="BL196" s="211" t="str">
        <f t="shared" ca="1" si="6903"/>
        <v/>
      </c>
      <c r="BM196" s="214"/>
      <c r="BN196" s="215"/>
      <c r="BO196" s="215"/>
      <c r="BP196" s="199">
        <f t="shared" ref="BP196:BP197" si="7222">BM196*$X196</f>
        <v>0</v>
      </c>
      <c r="BQ196" s="199">
        <f t="shared" ref="BQ196" ca="1" si="7223">BP196*$Z196</f>
        <v>0</v>
      </c>
      <c r="BR196" s="216">
        <f t="shared" ca="1" si="7195"/>
        <v>0</v>
      </c>
      <c r="BS196" s="202">
        <f t="shared" ref="BS196:BS197" ca="1" si="7224">BT196/$X196</f>
        <v>0</v>
      </c>
      <c r="BT196" s="203">
        <f t="shared" ref="BT196:BT197" ca="1" si="7225">BU196/$Z196</f>
        <v>0</v>
      </c>
      <c r="BU196" s="203">
        <f t="shared" ref="BU196:BU197" ca="1" si="7226">BV196*BM$4</f>
        <v>0</v>
      </c>
      <c r="BV196" s="204">
        <f ca="1">IF(BM$6&lt;&gt;"",$O196,$N196)-BR196</f>
        <v>0</v>
      </c>
      <c r="BW196" s="205"/>
      <c r="BX196" s="206">
        <f t="shared" ref="BX196:BX197" si="7227">BW196*$X196</f>
        <v>0</v>
      </c>
      <c r="BY196" s="206">
        <f t="shared" ref="BY196:BY197" ca="1" si="7228">BX196*$Z196</f>
        <v>0</v>
      </c>
      <c r="BZ196" s="207">
        <f t="shared" ca="1" si="7196"/>
        <v>0</v>
      </c>
      <c r="CA196" s="541">
        <f>BM196+BW196</f>
        <v>0</v>
      </c>
      <c r="CB196" s="541">
        <f t="shared" si="7155"/>
        <v>0</v>
      </c>
      <c r="CC196" s="541">
        <f t="shared" ref="CC196:CC197" ca="1" si="7229">CB196*$Z196</f>
        <v>0</v>
      </c>
      <c r="CD196" s="546">
        <f t="shared" ca="1" si="7182"/>
        <v>0</v>
      </c>
      <c r="CE196" s="212" t="str">
        <f t="shared" ca="1" si="6904"/>
        <v/>
      </c>
      <c r="CF196" s="214"/>
      <c r="CG196" s="215"/>
      <c r="CH196" s="215"/>
      <c r="CI196" s="199">
        <f>CF196*$X196</f>
        <v>0</v>
      </c>
      <c r="CJ196" s="199">
        <f ca="1">CI196*$Z196</f>
        <v>0</v>
      </c>
      <c r="CK196" s="216">
        <f t="shared" ca="1" si="7197"/>
        <v>0</v>
      </c>
      <c r="CL196" s="202">
        <f ca="1">CM196/$X196</f>
        <v>0</v>
      </c>
      <c r="CM196" s="203">
        <f ca="1">CN196/$Z196</f>
        <v>0</v>
      </c>
      <c r="CN196" s="203">
        <f ca="1">CO196*CF$4</f>
        <v>0</v>
      </c>
      <c r="CO196" s="204">
        <f ca="1">IF(CF$6&lt;&gt;"",$O196,$N196)-CK196</f>
        <v>0</v>
      </c>
      <c r="CP196" s="205"/>
      <c r="CQ196" s="206">
        <f>CP196*$X196</f>
        <v>0</v>
      </c>
      <c r="CR196" s="206">
        <f ca="1">CQ196*$Z196</f>
        <v>0</v>
      </c>
      <c r="CS196" s="207">
        <f t="shared" ca="1" si="7198"/>
        <v>0</v>
      </c>
      <c r="CT196" s="541">
        <f>CF196+CP196</f>
        <v>0</v>
      </c>
      <c r="CU196" s="541">
        <f t="shared" si="7156"/>
        <v>0</v>
      </c>
      <c r="CV196" s="541">
        <f ca="1">CU196*$Z196</f>
        <v>0</v>
      </c>
      <c r="CW196" s="546">
        <f t="shared" ca="1" si="7199"/>
        <v>0</v>
      </c>
      <c r="CX196" s="211" t="str">
        <f t="shared" ca="1" si="6905"/>
        <v/>
      </c>
      <c r="CY196" s="606"/>
      <c r="CZ196" s="215"/>
      <c r="DA196" s="215"/>
      <c r="DB196" s="199">
        <f t="shared" ref="DB196:DB197" si="7230">CY196*$X196</f>
        <v>0</v>
      </c>
      <c r="DC196" s="199">
        <f t="shared" ref="DC196" ca="1" si="7231">DB196*$Z196</f>
        <v>0</v>
      </c>
      <c r="DD196" s="216">
        <f t="shared" ca="1" si="7009"/>
        <v>0</v>
      </c>
      <c r="DE196" s="202">
        <f ca="1">DF196/$X196</f>
        <v>0</v>
      </c>
      <c r="DF196" s="203">
        <f ca="1">DG196/$Z196</f>
        <v>0</v>
      </c>
      <c r="DG196" s="203">
        <f ca="1">DH196*CY$4</f>
        <v>0</v>
      </c>
      <c r="DH196" s="204">
        <f ca="1">IF(CY$6&lt;&gt;"",$O196,$N196)-DD196</f>
        <v>0</v>
      </c>
      <c r="DI196" s="205"/>
      <c r="DJ196" s="206">
        <f>DI196*$X196</f>
        <v>0</v>
      </c>
      <c r="DK196" s="206">
        <f ca="1">DJ196*$Z196</f>
        <v>0</v>
      </c>
      <c r="DL196" s="207">
        <f t="shared" ca="1" si="7010"/>
        <v>0</v>
      </c>
      <c r="DM196" s="541">
        <f>CY196+DI196</f>
        <v>0</v>
      </c>
      <c r="DN196" s="541">
        <f t="shared" si="7157"/>
        <v>0</v>
      </c>
      <c r="DO196" s="541">
        <f ca="1">DN196*$Z196</f>
        <v>0</v>
      </c>
      <c r="DP196" s="546">
        <f t="shared" ca="1" si="7200"/>
        <v>0</v>
      </c>
      <c r="DQ196" s="209" t="str">
        <f t="shared" ca="1" si="6906"/>
        <v/>
      </c>
      <c r="DR196" s="606"/>
      <c r="DS196" s="215"/>
      <c r="DT196" s="215"/>
      <c r="DU196" s="199">
        <f t="shared" ref="DU196:DU197" si="7232">DR196*$X196</f>
        <v>0</v>
      </c>
      <c r="DV196" s="199">
        <f t="shared" ref="DV196" ca="1" si="7233">DU196*$Z196</f>
        <v>0</v>
      </c>
      <c r="DW196" s="216">
        <f t="shared" ca="1" si="7158"/>
        <v>0</v>
      </c>
      <c r="DX196" s="202">
        <f ca="1">DY196/$X196</f>
        <v>0</v>
      </c>
      <c r="DY196" s="203">
        <f ca="1">DZ196/$Z196</f>
        <v>0</v>
      </c>
      <c r="DZ196" s="203">
        <f ca="1">EA196*DR$4</f>
        <v>0</v>
      </c>
      <c r="EA196" s="204">
        <f ca="1">IF(DR$6&lt;&gt;"",$O196,$N196)-DW196</f>
        <v>0</v>
      </c>
      <c r="EB196" s="205"/>
      <c r="EC196" s="206">
        <f>EB196*$X196</f>
        <v>0</v>
      </c>
      <c r="ED196" s="206">
        <f ca="1">EC196*$Z196</f>
        <v>0</v>
      </c>
      <c r="EE196" s="207">
        <f t="shared" ca="1" si="7159"/>
        <v>0</v>
      </c>
      <c r="EF196" s="541">
        <f>DR196+EB196</f>
        <v>0</v>
      </c>
      <c r="EG196" s="541">
        <f t="shared" ref="EG196" si="7234">DU196+IF($T196 ="",EC196,0)</f>
        <v>0</v>
      </c>
      <c r="EH196" s="541">
        <f ca="1">EG196*$Z196</f>
        <v>0</v>
      </c>
      <c r="EI196" s="546">
        <f t="shared" ca="1" si="6610"/>
        <v>0</v>
      </c>
      <c r="EJ196" s="214"/>
      <c r="EK196" s="215"/>
      <c r="EL196" s="215"/>
      <c r="EM196" s="199">
        <f t="shared" ref="EM196:EM197" si="7235">EJ196*$X196</f>
        <v>0</v>
      </c>
      <c r="EN196" s="199">
        <f t="shared" ref="EN196" ca="1" si="7236">EM196*$Z196</f>
        <v>0</v>
      </c>
      <c r="EO196" s="216">
        <f t="shared" ca="1" si="7201"/>
        <v>0</v>
      </c>
      <c r="EP196" s="202">
        <f t="shared" ref="EP196:EP197" ca="1" si="7237">EQ196/$X196</f>
        <v>0</v>
      </c>
      <c r="EQ196" s="203">
        <f t="shared" ref="EQ196:EQ197" ca="1" si="7238">ER196/$Z196</f>
        <v>0</v>
      </c>
      <c r="ER196" s="203">
        <f t="shared" ref="ER196:ER197" ca="1" si="7239">ES196*EJ$4</f>
        <v>0</v>
      </c>
      <c r="ES196" s="204">
        <f ca="1">IF(EJ$6&lt;&gt;"",$O196,$N196)-EO196</f>
        <v>0</v>
      </c>
      <c r="ET196" s="205"/>
      <c r="EU196" s="206">
        <f t="shared" ref="EU196:EU197" si="7240">ET196*$X196</f>
        <v>0</v>
      </c>
      <c r="EV196" s="206">
        <f t="shared" ref="EV196:EV197" ca="1" si="7241">EU196*$Z196</f>
        <v>0</v>
      </c>
      <c r="EW196" s="207">
        <f t="shared" ca="1" si="7202"/>
        <v>0</v>
      </c>
      <c r="EX196" s="541">
        <f>EJ196+ET196</f>
        <v>0</v>
      </c>
      <c r="EY196" s="541">
        <f t="shared" si="7161"/>
        <v>0</v>
      </c>
      <c r="EZ196" s="541">
        <f t="shared" ref="EZ196:EZ197" ca="1" si="7242">EY196*$Z196</f>
        <v>0</v>
      </c>
      <c r="FA196" s="546">
        <f t="shared" ca="1" si="7185"/>
        <v>0</v>
      </c>
      <c r="FB196" s="212" t="str">
        <f t="shared" ca="1" si="6907"/>
        <v/>
      </c>
      <c r="FC196" s="214"/>
      <c r="FD196" s="215"/>
      <c r="FE196" s="215"/>
      <c r="FF196" s="199">
        <f t="shared" ref="FF196:FF197" si="7243">FC196*$X196</f>
        <v>0</v>
      </c>
      <c r="FG196" s="199">
        <f t="shared" ref="FG196" ca="1" si="7244">FF196*$Z196</f>
        <v>0</v>
      </c>
      <c r="FH196" s="216">
        <f t="shared" ca="1" si="7203"/>
        <v>0</v>
      </c>
      <c r="FI196" s="202">
        <f t="shared" ref="FI196:FI197" ca="1" si="7245">FJ196/$X196</f>
        <v>0</v>
      </c>
      <c r="FJ196" s="203">
        <f t="shared" ref="FJ196:FJ197" ca="1" si="7246">FK196/$Z196</f>
        <v>0</v>
      </c>
      <c r="FK196" s="203">
        <f t="shared" ref="FK196:FK197" ca="1" si="7247">FL196*FC$4</f>
        <v>0</v>
      </c>
      <c r="FL196" s="204">
        <f ca="1">IF(FC$6&lt;&gt;"",$O196,$N196)-FH196</f>
        <v>0</v>
      </c>
      <c r="FM196" s="205"/>
      <c r="FN196" s="206">
        <f t="shared" ref="FN196:FN197" si="7248">FM196*$X196</f>
        <v>0</v>
      </c>
      <c r="FO196" s="206">
        <f t="shared" ref="FO196:FO197" ca="1" si="7249">FN196*$Z196</f>
        <v>0</v>
      </c>
      <c r="FP196" s="207">
        <f t="shared" ca="1" si="7204"/>
        <v>0</v>
      </c>
      <c r="FQ196" s="541">
        <f>FC196+FM196</f>
        <v>0</v>
      </c>
      <c r="FR196" s="541">
        <f t="shared" si="7162"/>
        <v>0</v>
      </c>
      <c r="FS196" s="541">
        <f t="shared" ref="FS196:FS197" ca="1" si="7250">FR196*$Z196</f>
        <v>0</v>
      </c>
      <c r="FT196" s="546">
        <f t="shared" ca="1" si="7188"/>
        <v>0</v>
      </c>
      <c r="FU196" s="209" t="str">
        <f t="shared" ca="1" si="6908"/>
        <v/>
      </c>
    </row>
    <row r="197" spans="1:177" outlineLevel="2" x14ac:dyDescent="0.2">
      <c r="A197" s="594"/>
      <c r="B197" s="594"/>
      <c r="C197" s="595"/>
      <c r="D197" s="596"/>
      <c r="E197" s="597"/>
      <c r="F197" s="595" t="s">
        <v>366</v>
      </c>
      <c r="G197" s="598"/>
      <c r="H197" s="1734"/>
      <c r="I197" s="1693"/>
      <c r="J197" s="1734"/>
      <c r="K197" s="1735"/>
      <c r="L197" s="1736"/>
      <c r="M197" s="594"/>
      <c r="N197" s="599"/>
      <c r="O197" s="599"/>
      <c r="P197" s="600"/>
      <c r="Q197" s="601"/>
      <c r="R197" s="601"/>
      <c r="S197" s="595"/>
      <c r="T197" s="601"/>
      <c r="U197" s="602"/>
      <c r="V197" s="601"/>
      <c r="W197" s="595" t="s">
        <v>366</v>
      </c>
      <c r="X197" s="603">
        <f ca="1">X196/Z197</f>
        <v>159795.46180888463</v>
      </c>
      <c r="Y197" s="604"/>
      <c r="Z197" s="605">
        <f ca="1">_xlfn.NUMBERVALUE(OFFSET(Origine,MATCH(W197&amp;"/"&amp;MRif,LUKB_Name,0),MATCH("Price",Intestazioni,0)-1,1,1))</f>
        <v>0.78225</v>
      </c>
      <c r="AA197" s="214"/>
      <c r="AB197" s="215"/>
      <c r="AC197" s="215"/>
      <c r="AD197" s="199">
        <f t="shared" ref="AD197" ca="1" si="7251">AA197*$X197</f>
        <v>0</v>
      </c>
      <c r="AE197" s="199">
        <f ca="1">AD197/$Z197</f>
        <v>0</v>
      </c>
      <c r="AF197" s="216">
        <f t="shared" ca="1" si="7191"/>
        <v>0</v>
      </c>
      <c r="AG197" s="202">
        <f t="shared" ca="1" si="7208"/>
        <v>0</v>
      </c>
      <c r="AH197" s="203">
        <f t="shared" ca="1" si="7209"/>
        <v>0</v>
      </c>
      <c r="AI197" s="203">
        <f t="shared" ca="1" si="7210"/>
        <v>0</v>
      </c>
      <c r="AJ197" s="204">
        <f ca="1">IF(AA$6&lt;&gt;"",$O197,$N197)-AF197</f>
        <v>0</v>
      </c>
      <c r="AK197" s="205"/>
      <c r="AL197" s="206">
        <f t="shared" ca="1" si="7211"/>
        <v>0</v>
      </c>
      <c r="AM197" s="206">
        <f t="shared" ca="1" si="7212"/>
        <v>0</v>
      </c>
      <c r="AN197" s="207">
        <f t="shared" ca="1" si="7192"/>
        <v>0</v>
      </c>
      <c r="AO197" s="541">
        <f>AA197+AK197</f>
        <v>0</v>
      </c>
      <c r="AP197" s="541">
        <f t="shared" ca="1" si="7153"/>
        <v>0</v>
      </c>
      <c r="AQ197" s="541">
        <f t="shared" ca="1" si="7213"/>
        <v>0</v>
      </c>
      <c r="AR197" s="546">
        <f t="shared" ca="1" si="7176"/>
        <v>0</v>
      </c>
      <c r="AS197" s="209" t="str">
        <f t="shared" ca="1" si="6902"/>
        <v/>
      </c>
      <c r="AT197" s="214"/>
      <c r="AU197" s="215"/>
      <c r="AV197" s="215"/>
      <c r="AW197" s="199">
        <f t="shared" ca="1" si="7214"/>
        <v>0</v>
      </c>
      <c r="AX197" s="199">
        <f ca="1">AW197/$Z197</f>
        <v>0</v>
      </c>
      <c r="AY197" s="216">
        <f t="shared" ca="1" si="7193"/>
        <v>0</v>
      </c>
      <c r="AZ197" s="202">
        <f t="shared" ca="1" si="7216"/>
        <v>0</v>
      </c>
      <c r="BA197" s="203">
        <f t="shared" ca="1" si="7217"/>
        <v>0</v>
      </c>
      <c r="BB197" s="203">
        <f t="shared" ca="1" si="7218"/>
        <v>0</v>
      </c>
      <c r="BC197" s="204">
        <f ca="1">IF(AT$6&lt;&gt;"",$O197,$N197)-AY197</f>
        <v>0</v>
      </c>
      <c r="BD197" s="205"/>
      <c r="BE197" s="206">
        <f t="shared" ca="1" si="7219"/>
        <v>0</v>
      </c>
      <c r="BF197" s="206">
        <f t="shared" ca="1" si="7220"/>
        <v>0</v>
      </c>
      <c r="BG197" s="207">
        <f t="shared" ca="1" si="7194"/>
        <v>0</v>
      </c>
      <c r="BH197" s="541">
        <f>AT197+BD197</f>
        <v>0</v>
      </c>
      <c r="BI197" s="541">
        <f t="shared" ca="1" si="7154"/>
        <v>0</v>
      </c>
      <c r="BJ197" s="541">
        <f t="shared" ca="1" si="7221"/>
        <v>0</v>
      </c>
      <c r="BK197" s="546">
        <f t="shared" ca="1" si="7179"/>
        <v>0</v>
      </c>
      <c r="BL197" s="211" t="str">
        <f t="shared" ca="1" si="6903"/>
        <v/>
      </c>
      <c r="BM197" s="214"/>
      <c r="BN197" s="215"/>
      <c r="BO197" s="215"/>
      <c r="BP197" s="199">
        <f t="shared" ca="1" si="7222"/>
        <v>0</v>
      </c>
      <c r="BQ197" s="199">
        <f ca="1">BP197/$Z197</f>
        <v>0</v>
      </c>
      <c r="BR197" s="216">
        <f t="shared" ca="1" si="7195"/>
        <v>0</v>
      </c>
      <c r="BS197" s="202">
        <f t="shared" ca="1" si="7224"/>
        <v>0</v>
      </c>
      <c r="BT197" s="203">
        <f t="shared" ca="1" si="7225"/>
        <v>0</v>
      </c>
      <c r="BU197" s="203">
        <f t="shared" ca="1" si="7226"/>
        <v>0</v>
      </c>
      <c r="BV197" s="204">
        <f ca="1">IF(BM$6&lt;&gt;"",$O197,$N197)-BR197</f>
        <v>0</v>
      </c>
      <c r="BW197" s="205"/>
      <c r="BX197" s="206">
        <f t="shared" ca="1" si="7227"/>
        <v>0</v>
      </c>
      <c r="BY197" s="206">
        <f t="shared" ca="1" si="7228"/>
        <v>0</v>
      </c>
      <c r="BZ197" s="207">
        <f t="shared" ca="1" si="7196"/>
        <v>0</v>
      </c>
      <c r="CA197" s="541">
        <f>BM197+BW197</f>
        <v>0</v>
      </c>
      <c r="CB197" s="541">
        <f t="shared" ca="1" si="7155"/>
        <v>0</v>
      </c>
      <c r="CC197" s="541">
        <f t="shared" ca="1" si="7229"/>
        <v>0</v>
      </c>
      <c r="CD197" s="546">
        <f t="shared" ca="1" si="7182"/>
        <v>0</v>
      </c>
      <c r="CE197" s="212" t="str">
        <f t="shared" ca="1" si="6904"/>
        <v/>
      </c>
      <c r="CF197" s="214"/>
      <c r="CG197" s="215"/>
      <c r="CH197" s="215"/>
      <c r="CI197" s="199">
        <f ca="1">CF197*$X197</f>
        <v>0</v>
      </c>
      <c r="CJ197" s="199">
        <f ca="1">CI197*$Z197</f>
        <v>0</v>
      </c>
      <c r="CK197" s="216">
        <f t="shared" ca="1" si="7197"/>
        <v>0</v>
      </c>
      <c r="CL197" s="202">
        <f ca="1">CM197/$X197</f>
        <v>0</v>
      </c>
      <c r="CM197" s="203">
        <f ca="1">CN197/$Z197</f>
        <v>0</v>
      </c>
      <c r="CN197" s="203">
        <f ca="1">CO197*CF$4</f>
        <v>0</v>
      </c>
      <c r="CO197" s="204">
        <f ca="1">IF(CF$6&lt;&gt;"",$O197,$N197)-CK197</f>
        <v>0</v>
      </c>
      <c r="CP197" s="205">
        <f>-CP196</f>
        <v>0</v>
      </c>
      <c r="CQ197" s="206">
        <f ca="1">CP197*$X197</f>
        <v>0</v>
      </c>
      <c r="CR197" s="206">
        <f ca="1">CQ197*$Z197</f>
        <v>0</v>
      </c>
      <c r="CS197" s="207">
        <f t="shared" ca="1" si="7198"/>
        <v>0</v>
      </c>
      <c r="CT197" s="541">
        <f>CF197+CP197</f>
        <v>0</v>
      </c>
      <c r="CU197" s="541">
        <f t="shared" ca="1" si="7156"/>
        <v>0</v>
      </c>
      <c r="CV197" s="541">
        <f ca="1">CU197*$Z197</f>
        <v>0</v>
      </c>
      <c r="CW197" s="546">
        <f t="shared" ca="1" si="7199"/>
        <v>0</v>
      </c>
      <c r="CX197" s="211" t="str">
        <f t="shared" ca="1" si="6905"/>
        <v/>
      </c>
      <c r="CY197" s="607">
        <f>-CY196</f>
        <v>0</v>
      </c>
      <c r="CZ197" s="215"/>
      <c r="DA197" s="215"/>
      <c r="DB197" s="199">
        <f t="shared" ca="1" si="7230"/>
        <v>0</v>
      </c>
      <c r="DC197" s="199">
        <f ca="1">DB197/$Z197</f>
        <v>0</v>
      </c>
      <c r="DD197" s="216">
        <f t="shared" ca="1" si="7009"/>
        <v>0</v>
      </c>
      <c r="DE197" s="202">
        <f ca="1">DF197/$X197</f>
        <v>0</v>
      </c>
      <c r="DF197" s="203">
        <f ca="1">DG197/$Z197</f>
        <v>0</v>
      </c>
      <c r="DG197" s="203">
        <f ca="1">DH197*CY$4</f>
        <v>0</v>
      </c>
      <c r="DH197" s="204">
        <f ca="1">IF(CY$6&lt;&gt;"",$O197,$N197)-DD197</f>
        <v>0</v>
      </c>
      <c r="DI197" s="205">
        <f>-DI196</f>
        <v>0</v>
      </c>
      <c r="DJ197" s="206">
        <f ca="1">DI197*$X197</f>
        <v>0</v>
      </c>
      <c r="DK197" s="206">
        <f ca="1">DJ197*$Z197</f>
        <v>0</v>
      </c>
      <c r="DL197" s="207">
        <f t="shared" ca="1" si="7010"/>
        <v>0</v>
      </c>
      <c r="DM197" s="541">
        <f>CY197+DI197</f>
        <v>0</v>
      </c>
      <c r="DN197" s="541">
        <f ca="1">DB197+IF($T196 ="",DJ197,0)</f>
        <v>0</v>
      </c>
      <c r="DO197" s="541">
        <f ca="1">DN197*$Z197</f>
        <v>0</v>
      </c>
      <c r="DP197" s="546">
        <f t="shared" ca="1" si="7200"/>
        <v>0</v>
      </c>
      <c r="DQ197" s="209" t="str">
        <f t="shared" ca="1" si="6906"/>
        <v/>
      </c>
      <c r="DR197" s="607">
        <f>-DR196</f>
        <v>0</v>
      </c>
      <c r="DS197" s="215"/>
      <c r="DT197" s="215"/>
      <c r="DU197" s="199">
        <f t="shared" ca="1" si="7232"/>
        <v>0</v>
      </c>
      <c r="DV197" s="199">
        <f ca="1">DU197/$Z197</f>
        <v>0</v>
      </c>
      <c r="DW197" s="216">
        <f t="shared" ca="1" si="7158"/>
        <v>0</v>
      </c>
      <c r="DX197" s="202">
        <f ca="1">DY197/$X197</f>
        <v>0</v>
      </c>
      <c r="DY197" s="203">
        <f ca="1">DZ197/$Z197</f>
        <v>0</v>
      </c>
      <c r="DZ197" s="203">
        <f ca="1">EA197*DR$4</f>
        <v>0</v>
      </c>
      <c r="EA197" s="204">
        <f ca="1">IF(DR$6&lt;&gt;"",$O197,$N197)-DW197</f>
        <v>0</v>
      </c>
      <c r="EB197" s="205">
        <f>-EB196</f>
        <v>0</v>
      </c>
      <c r="EC197" s="206">
        <f ca="1">EB197*$X197</f>
        <v>0</v>
      </c>
      <c r="ED197" s="206">
        <f ca="1">EC197*$Z197</f>
        <v>0</v>
      </c>
      <c r="EE197" s="207">
        <f t="shared" ca="1" si="7159"/>
        <v>0</v>
      </c>
      <c r="EF197" s="541">
        <f>DR197+EB197</f>
        <v>0</v>
      </c>
      <c r="EG197" s="541">
        <f ca="1">DU197+IF($T196 ="",EC197,0)</f>
        <v>0</v>
      </c>
      <c r="EH197" s="541">
        <f ca="1">EG197*$Z197</f>
        <v>0</v>
      </c>
      <c r="EI197" s="546">
        <f t="shared" ca="1" si="6610"/>
        <v>0</v>
      </c>
      <c r="EJ197" s="214"/>
      <c r="EK197" s="215"/>
      <c r="EL197" s="215"/>
      <c r="EM197" s="199">
        <f t="shared" ca="1" si="7235"/>
        <v>0</v>
      </c>
      <c r="EN197" s="199">
        <f ca="1">EM197/$Z197</f>
        <v>0</v>
      </c>
      <c r="EO197" s="216">
        <f t="shared" ca="1" si="7201"/>
        <v>0</v>
      </c>
      <c r="EP197" s="202">
        <f t="shared" ca="1" si="7237"/>
        <v>0</v>
      </c>
      <c r="EQ197" s="203">
        <f t="shared" ca="1" si="7238"/>
        <v>0</v>
      </c>
      <c r="ER197" s="203">
        <f t="shared" ca="1" si="7239"/>
        <v>0</v>
      </c>
      <c r="ES197" s="204">
        <f ca="1">IF(EJ$6&lt;&gt;"",$O197,$N197)-EO197</f>
        <v>0</v>
      </c>
      <c r="ET197" s="205"/>
      <c r="EU197" s="206">
        <f t="shared" ca="1" si="7240"/>
        <v>0</v>
      </c>
      <c r="EV197" s="206">
        <f t="shared" ca="1" si="7241"/>
        <v>0</v>
      </c>
      <c r="EW197" s="207">
        <f t="shared" ca="1" si="7202"/>
        <v>0</v>
      </c>
      <c r="EX197" s="541">
        <f>EJ197+ET197</f>
        <v>0</v>
      </c>
      <c r="EY197" s="541">
        <f t="shared" ca="1" si="7161"/>
        <v>0</v>
      </c>
      <c r="EZ197" s="541">
        <f t="shared" ca="1" si="7242"/>
        <v>0</v>
      </c>
      <c r="FA197" s="546">
        <f t="shared" ca="1" si="7185"/>
        <v>0</v>
      </c>
      <c r="FB197" s="212" t="str">
        <f t="shared" ca="1" si="6907"/>
        <v/>
      </c>
      <c r="FC197" s="214"/>
      <c r="FD197" s="215"/>
      <c r="FE197" s="215"/>
      <c r="FF197" s="199">
        <f t="shared" ca="1" si="7243"/>
        <v>0</v>
      </c>
      <c r="FG197" s="199">
        <f ca="1">FF197/$Z197</f>
        <v>0</v>
      </c>
      <c r="FH197" s="216">
        <f t="shared" ca="1" si="7203"/>
        <v>0</v>
      </c>
      <c r="FI197" s="202">
        <f t="shared" ca="1" si="7245"/>
        <v>0</v>
      </c>
      <c r="FJ197" s="203">
        <f t="shared" ca="1" si="7246"/>
        <v>0</v>
      </c>
      <c r="FK197" s="203">
        <f t="shared" ca="1" si="7247"/>
        <v>0</v>
      </c>
      <c r="FL197" s="204">
        <f ca="1">IF(FC$6&lt;&gt;"",$O197,$N197)-FH197</f>
        <v>0</v>
      </c>
      <c r="FM197" s="205"/>
      <c r="FN197" s="206">
        <f t="shared" ca="1" si="7248"/>
        <v>0</v>
      </c>
      <c r="FO197" s="206">
        <f t="shared" ca="1" si="7249"/>
        <v>0</v>
      </c>
      <c r="FP197" s="207">
        <f t="shared" ca="1" si="7204"/>
        <v>0</v>
      </c>
      <c r="FQ197" s="541">
        <f>FC197+FM197</f>
        <v>0</v>
      </c>
      <c r="FR197" s="541">
        <f t="shared" ca="1" si="7162"/>
        <v>0</v>
      </c>
      <c r="FS197" s="541">
        <f t="shared" ca="1" si="7250"/>
        <v>0</v>
      </c>
      <c r="FT197" s="546">
        <f t="shared" ca="1" si="7188"/>
        <v>0</v>
      </c>
      <c r="FU197" s="209" t="str">
        <f t="shared" ca="1" si="6908"/>
        <v/>
      </c>
    </row>
    <row r="198" spans="1:177" outlineLevel="1" x14ac:dyDescent="0.2">
      <c r="A198" s="573"/>
      <c r="B198" s="573" t="s">
        <v>803</v>
      </c>
      <c r="C198" s="574"/>
      <c r="D198" s="575" t="s">
        <v>804</v>
      </c>
      <c r="E198" s="576"/>
      <c r="F198" s="574"/>
      <c r="G198" s="577"/>
      <c r="H198" s="1692"/>
      <c r="I198" s="1692"/>
      <c r="J198" s="1733"/>
      <c r="K198" s="1692"/>
      <c r="L198" s="1692"/>
      <c r="M198" s="573"/>
      <c r="N198" s="578">
        <f>SUM(N199:N200)</f>
        <v>0</v>
      </c>
      <c r="O198" s="578">
        <f>SUM(O199:O200)</f>
        <v>0</v>
      </c>
      <c r="P198" s="579">
        <f ca="1">SUMIF($AA$15:$CD$15,"I_Ctrlv",$AA198:$CD198)/$Q$2</f>
        <v>0</v>
      </c>
      <c r="Q198" s="580"/>
      <c r="R198" s="580"/>
      <c r="S198" s="574"/>
      <c r="T198" s="580"/>
      <c r="U198" s="581"/>
      <c r="V198" s="580"/>
      <c r="W198" s="574"/>
      <c r="X198" s="582"/>
      <c r="Y198" s="582"/>
      <c r="Z198" s="583"/>
      <c r="AA198" s="584"/>
      <c r="AB198" s="585"/>
      <c r="AC198" s="585"/>
      <c r="AD198" s="574"/>
      <c r="AE198" s="586">
        <f ca="1">SUM(AE199:AE200)</f>
        <v>0</v>
      </c>
      <c r="AF198" s="587">
        <f t="shared" ref="AF198" ca="1" si="7252">IFERROR(AE198/AA$4,0)</f>
        <v>0</v>
      </c>
      <c r="AG198" s="588"/>
      <c r="AH198" s="574"/>
      <c r="AI198" s="586">
        <f ca="1">SUM(AI199:AI200)</f>
        <v>0</v>
      </c>
      <c r="AJ198" s="589">
        <f ca="1">IFERROR(AI198/AA$4,0)</f>
        <v>0</v>
      </c>
      <c r="AK198" s="588"/>
      <c r="AL198" s="574"/>
      <c r="AM198" s="586">
        <f ca="1">SUM(AM199:AM200)</f>
        <v>0</v>
      </c>
      <c r="AN198" s="589">
        <f t="shared" ref="AN198" ca="1" si="7253">IFERROR(AM198/AA$4,0)</f>
        <v>0</v>
      </c>
      <c r="AO198" s="574"/>
      <c r="AP198" s="574"/>
      <c r="AQ198" s="586">
        <f ca="1">SUM(AQ199:AQ200)</f>
        <v>0</v>
      </c>
      <c r="AR198" s="587">
        <f t="shared" ref="AR198" ca="1" si="7254">IFERROR(AQ198/AA$4,0)</f>
        <v>0</v>
      </c>
      <c r="AS198" s="590" t="str">
        <f t="shared" ref="AS198" ca="1" si="7255">IF(SUM(AF198,AN198,AR198)&lt;&gt;0,"V","")</f>
        <v/>
      </c>
      <c r="AT198" s="584"/>
      <c r="AU198" s="585"/>
      <c r="AV198" s="585"/>
      <c r="AW198" s="574"/>
      <c r="AX198" s="586">
        <f ca="1">SUM(AX199:AX200)</f>
        <v>0</v>
      </c>
      <c r="AY198" s="587">
        <f t="shared" ref="AY198" ca="1" si="7256">IFERROR(AX198/AT$4,0)</f>
        <v>0</v>
      </c>
      <c r="AZ198" s="588"/>
      <c r="BA198" s="574"/>
      <c r="BB198" s="586">
        <f ca="1">SUM(BB199:BB200)</f>
        <v>0</v>
      </c>
      <c r="BC198" s="589">
        <f ca="1">IFERROR(BB198/AT$4,0)</f>
        <v>0</v>
      </c>
      <c r="BD198" s="588"/>
      <c r="BE198" s="574"/>
      <c r="BF198" s="586">
        <f ca="1">SUM(BF199:BF200)</f>
        <v>0</v>
      </c>
      <c r="BG198" s="589">
        <f t="shared" ref="BG198" ca="1" si="7257">IFERROR(BF198/AT$4,0)</f>
        <v>0</v>
      </c>
      <c r="BH198" s="574"/>
      <c r="BI198" s="574"/>
      <c r="BJ198" s="586">
        <f ca="1">SUM(BJ199:BJ200)</f>
        <v>0</v>
      </c>
      <c r="BK198" s="587">
        <f t="shared" ref="BK198" ca="1" si="7258">IFERROR(BJ198/AT$4,0)</f>
        <v>0</v>
      </c>
      <c r="BL198" s="295" t="str">
        <f t="shared" ref="BL198" ca="1" si="7259">IF(SUM(AY198,BG198,BK198)&lt;&gt;0,"V","")</f>
        <v/>
      </c>
      <c r="BM198" s="584"/>
      <c r="BN198" s="585"/>
      <c r="BO198" s="585"/>
      <c r="BP198" s="574"/>
      <c r="BQ198" s="586">
        <f ca="1">SUM(BQ199:BQ200)</f>
        <v>0</v>
      </c>
      <c r="BR198" s="587">
        <f t="shared" ref="BR198" ca="1" si="7260">IFERROR(BQ198/BM$4,0)</f>
        <v>0</v>
      </c>
      <c r="BS198" s="588"/>
      <c r="BT198" s="574"/>
      <c r="BU198" s="586">
        <f ca="1">SUM(BU199:BU200)</f>
        <v>0</v>
      </c>
      <c r="BV198" s="589">
        <f ca="1">IFERROR(BU198/BM$4,0)</f>
        <v>0</v>
      </c>
      <c r="BW198" s="588"/>
      <c r="BX198" s="574"/>
      <c r="BY198" s="586">
        <f ca="1">SUM(BY199:BY200)</f>
        <v>0</v>
      </c>
      <c r="BZ198" s="589">
        <f t="shared" ref="BZ198" ca="1" si="7261">IFERROR(BY198/BM$4,0)</f>
        <v>0</v>
      </c>
      <c r="CA198" s="574"/>
      <c r="CB198" s="574"/>
      <c r="CC198" s="586">
        <f ca="1">SUM(CC199:CC200)</f>
        <v>0</v>
      </c>
      <c r="CD198" s="587">
        <f t="shared" ref="CD198" ca="1" si="7262">IFERROR(CC198/BM$4,0)</f>
        <v>0</v>
      </c>
      <c r="CE198" s="474" t="str">
        <f t="shared" ref="CE198" ca="1" si="7263">IF(SUM(BR198,BZ198,CD198)&lt;&gt;0,"V","")</f>
        <v/>
      </c>
      <c r="CF198" s="584"/>
      <c r="CG198" s="585"/>
      <c r="CH198" s="585"/>
      <c r="CI198" s="574"/>
      <c r="CJ198" s="586">
        <f ca="1">SUM(CJ199:CJ200)</f>
        <v>0</v>
      </c>
      <c r="CK198" s="587">
        <f t="shared" ref="CK198" ca="1" si="7264">IFERROR(CJ198/CF$4,0)</f>
        <v>0</v>
      </c>
      <c r="CL198" s="588"/>
      <c r="CM198" s="574"/>
      <c r="CN198" s="586">
        <f ca="1">SUM(CN199:CN200)</f>
        <v>0</v>
      </c>
      <c r="CO198" s="589">
        <f ca="1">IFERROR(CN198/CF$4,0)</f>
        <v>0</v>
      </c>
      <c r="CP198" s="588"/>
      <c r="CQ198" s="574"/>
      <c r="CR198" s="586"/>
      <c r="CS198" s="589">
        <f t="shared" ref="CS198" ca="1" si="7265">IFERROR(CR198/CF$4,0)</f>
        <v>0</v>
      </c>
      <c r="CT198" s="574"/>
      <c r="CU198" s="574"/>
      <c r="CV198" s="586"/>
      <c r="CW198" s="587">
        <f t="shared" ref="CW198" ca="1" si="7266">IFERROR(CV198/CF$4,0)</f>
        <v>0</v>
      </c>
      <c r="CX198" s="295" t="str">
        <f t="shared" ref="CX198" ca="1" si="7267">IF(SUM(CK198,CS198,CW198)&lt;&gt;0,"V","")</f>
        <v/>
      </c>
      <c r="CY198" s="608"/>
      <c r="CZ198" s="585"/>
      <c r="DA198" s="592"/>
      <c r="DB198" s="586"/>
      <c r="DC198" s="586"/>
      <c r="DD198" s="587">
        <f t="shared" ref="DD198" ca="1" si="7268">IFERROR(DC198/CY$4,0)</f>
        <v>0</v>
      </c>
      <c r="DE198" s="588"/>
      <c r="DF198" s="574"/>
      <c r="DG198" s="586">
        <f ca="1">SUM(DG199:DG200)</f>
        <v>0</v>
      </c>
      <c r="DH198" s="589">
        <f ca="1">IFERROR(DG198/CY$4,0)</f>
        <v>0</v>
      </c>
      <c r="DI198" s="588"/>
      <c r="DJ198" s="574"/>
      <c r="DK198" s="586">
        <f ca="1">SUM(DK199:DK200)</f>
        <v>0</v>
      </c>
      <c r="DL198" s="589">
        <f t="shared" ref="DL198" ca="1" si="7269">IFERROR(DK198/CY$4,0)</f>
        <v>0</v>
      </c>
      <c r="DM198" s="574"/>
      <c r="DN198" s="574"/>
      <c r="DO198" s="586"/>
      <c r="DP198" s="587">
        <f t="shared" ref="DP198" ca="1" si="7270">IFERROR(DO198/CY$4,0)</f>
        <v>0</v>
      </c>
      <c r="DQ198" s="590" t="str">
        <f t="shared" ref="DQ198" ca="1" si="7271">IF(SUM(DD198,DL198,DP198)&lt;&gt;0,"V","")</f>
        <v/>
      </c>
      <c r="DR198" s="608"/>
      <c r="DS198" s="585"/>
      <c r="DT198" s="592"/>
      <c r="DU198" s="586"/>
      <c r="DV198" s="586"/>
      <c r="DW198" s="587">
        <f t="shared" ca="1" si="7158"/>
        <v>0</v>
      </c>
      <c r="DX198" s="588"/>
      <c r="DY198" s="574"/>
      <c r="DZ198" s="586">
        <f ca="1">SUM(DZ199:DZ200)</f>
        <v>0</v>
      </c>
      <c r="EA198" s="589">
        <f ca="1">IFERROR(DZ198/DR$4,0)</f>
        <v>0</v>
      </c>
      <c r="EB198" s="588"/>
      <c r="EC198" s="574"/>
      <c r="ED198" s="586">
        <f ca="1">SUM(ED199:ED200)</f>
        <v>0</v>
      </c>
      <c r="EE198" s="589">
        <f t="shared" ca="1" si="7159"/>
        <v>0</v>
      </c>
      <c r="EF198" s="574"/>
      <c r="EG198" s="574"/>
      <c r="EH198" s="586"/>
      <c r="EI198" s="587">
        <f t="shared" ca="1" si="6610"/>
        <v>0</v>
      </c>
      <c r="EJ198" s="584"/>
      <c r="EK198" s="585"/>
      <c r="EL198" s="593"/>
      <c r="EM198" s="574"/>
      <c r="EN198" s="586">
        <f ca="1">SUM(EN199:EN200)</f>
        <v>0</v>
      </c>
      <c r="EO198" s="587">
        <f t="shared" ref="EO198" ca="1" si="7272">IFERROR(EN198/EJ$4,0)</f>
        <v>0</v>
      </c>
      <c r="EP198" s="588"/>
      <c r="EQ198" s="574"/>
      <c r="ER198" s="586">
        <f ca="1">SUM(ER199:ER200)</f>
        <v>0</v>
      </c>
      <c r="ES198" s="589">
        <f ca="1">IFERROR(ER198/EJ$4,0)</f>
        <v>0</v>
      </c>
      <c r="ET198" s="588"/>
      <c r="EU198" s="574"/>
      <c r="EV198" s="586">
        <f ca="1">SUM(EV199:EV200)</f>
        <v>0</v>
      </c>
      <c r="EW198" s="589">
        <f t="shared" ref="EW198" ca="1" si="7273">IFERROR(EV198/EJ$4,0)</f>
        <v>0</v>
      </c>
      <c r="EX198" s="574"/>
      <c r="EY198" s="574"/>
      <c r="EZ198" s="586">
        <f ca="1">SUM(EZ199:EZ200)</f>
        <v>0</v>
      </c>
      <c r="FA198" s="587">
        <f t="shared" ref="FA198" ca="1" si="7274">IFERROR(EZ198/EJ$4,0)</f>
        <v>0</v>
      </c>
      <c r="FB198" s="474" t="str">
        <f t="shared" ref="FB198" ca="1" si="7275">IF(SUM(EO198,EW198,FA198)&lt;&gt;0,"V","")</f>
        <v/>
      </c>
      <c r="FC198" s="584"/>
      <c r="FD198" s="585"/>
      <c r="FE198" s="585"/>
      <c r="FF198" s="574"/>
      <c r="FG198" s="586">
        <f ca="1">SUM(FG199:FG200)</f>
        <v>0</v>
      </c>
      <c r="FH198" s="587">
        <f t="shared" ref="FH198" ca="1" si="7276">IFERROR(FG198/FC$4,0)</f>
        <v>0</v>
      </c>
      <c r="FI198" s="529"/>
      <c r="FJ198" s="514"/>
      <c r="FK198" s="527">
        <f ca="1">SUM(FK199:FK200)</f>
        <v>0</v>
      </c>
      <c r="FL198" s="530">
        <f ca="1">IFERROR(FK198/FC$4,0)</f>
        <v>0</v>
      </c>
      <c r="FM198" s="529"/>
      <c r="FN198" s="514"/>
      <c r="FO198" s="527">
        <f ca="1">SUM(FO199:FO200)</f>
        <v>0</v>
      </c>
      <c r="FP198" s="530">
        <f t="shared" ref="FP198" ca="1" si="7277">IFERROR(FO198/FC$4,0)</f>
        <v>0</v>
      </c>
      <c r="FQ198" s="514"/>
      <c r="FR198" s="574"/>
      <c r="FS198" s="527">
        <f ca="1">SUM(FS199:FS200)</f>
        <v>0</v>
      </c>
      <c r="FT198" s="528">
        <f t="shared" ref="FT198" ca="1" si="7278">IFERROR(FS198/FC$4,0)</f>
        <v>0</v>
      </c>
      <c r="FU198" s="473" t="str">
        <f t="shared" ref="FU198" ca="1" si="7279">IF(SUM(FH198,FP198,FT198)&lt;&gt;0,"V","")</f>
        <v/>
      </c>
    </row>
    <row r="199" spans="1:177" outlineLevel="2" x14ac:dyDescent="0.2">
      <c r="A199" s="594"/>
      <c r="B199" s="594"/>
      <c r="C199" s="595"/>
      <c r="D199" s="596"/>
      <c r="E199" s="597"/>
      <c r="F199" s="595" t="s">
        <v>381</v>
      </c>
      <c r="G199" s="598"/>
      <c r="H199" s="1734"/>
      <c r="I199" s="1693"/>
      <c r="J199" s="1734"/>
      <c r="K199" s="1735"/>
      <c r="L199" s="1736"/>
      <c r="M199" s="594"/>
      <c r="N199" s="599"/>
      <c r="O199" s="599"/>
      <c r="P199" s="600"/>
      <c r="Q199" s="601"/>
      <c r="R199" s="601"/>
      <c r="S199" s="595"/>
      <c r="T199" s="601"/>
      <c r="U199" s="602"/>
      <c r="V199" s="601"/>
      <c r="W199" s="595" t="s">
        <v>381</v>
      </c>
      <c r="X199" s="603">
        <v>125000</v>
      </c>
      <c r="Y199" s="604"/>
      <c r="Z199" s="605">
        <f ca="1">_xlfn.NUMBERVALUE(OFFSET(Origine,MATCH(W199&amp;"/"&amp;MRif,LUKB_Name,0),MATCH("Price",Intestazioni,0)-1,1,1))</f>
        <v>0.90754999999999997</v>
      </c>
      <c r="AA199" s="214"/>
      <c r="AB199" s="215"/>
      <c r="AC199" s="215"/>
      <c r="AD199" s="199">
        <f t="shared" ref="AD199:AD200" si="7280">AA199*$X199</f>
        <v>0</v>
      </c>
      <c r="AE199" s="199">
        <f t="shared" ref="AE199" ca="1" si="7281">AD199*$Z199</f>
        <v>0</v>
      </c>
      <c r="AF199" s="216">
        <f t="shared" ref="AF199:AF200" ca="1" si="7282">IFERROR(AE199/AA$4,0)</f>
        <v>0</v>
      </c>
      <c r="AG199" s="202">
        <f t="shared" ref="AG199:AG200" ca="1" si="7283">AH199/$X199</f>
        <v>0</v>
      </c>
      <c r="AH199" s="203">
        <f t="shared" ref="AH199:AH200" ca="1" si="7284">AI199/$Z199</f>
        <v>0</v>
      </c>
      <c r="AI199" s="203">
        <f t="shared" ref="AI199:AI200" ca="1" si="7285">AJ199*AA$4</f>
        <v>0</v>
      </c>
      <c r="AJ199" s="204">
        <f ca="1">IF(AA$6&lt;&gt;"",$O199,$N199)-AF199</f>
        <v>0</v>
      </c>
      <c r="AK199" s="205"/>
      <c r="AL199" s="206">
        <f t="shared" ref="AL199:AL200" si="7286">AK199*$X199</f>
        <v>0</v>
      </c>
      <c r="AM199" s="206">
        <f t="shared" ref="AM199:AM200" ca="1" si="7287">AL199*$Z199</f>
        <v>0</v>
      </c>
      <c r="AN199" s="207">
        <f t="shared" ref="AN199:AN200" ca="1" si="7288">IFERROR(AM199/AA$4,0)</f>
        <v>0</v>
      </c>
      <c r="AO199" s="541">
        <f>AA199+AK199</f>
        <v>0</v>
      </c>
      <c r="AP199" s="541">
        <f t="shared" si="7153"/>
        <v>0</v>
      </c>
      <c r="AQ199" s="541">
        <f t="shared" ref="AQ199:AQ200" ca="1" si="7289">AP199*$Z199</f>
        <v>0</v>
      </c>
      <c r="AR199" s="546">
        <f t="shared" ref="AR199:AR200" ca="1" si="7290">IFERROR(AQ199/AA$4,0)</f>
        <v>0</v>
      </c>
      <c r="AS199" s="209" t="str">
        <f t="shared" ref="AS199:AS200" ca="1" si="7291">IF(SUM(AF199,AN199,AR199)&lt;&gt;0,"V","")</f>
        <v/>
      </c>
      <c r="AT199" s="214"/>
      <c r="AU199" s="215"/>
      <c r="AV199" s="215"/>
      <c r="AW199" s="199">
        <f t="shared" ref="AW199:AW200" si="7292">AT199*$X199</f>
        <v>0</v>
      </c>
      <c r="AX199" s="199">
        <f t="shared" ref="AX199" ca="1" si="7293">AW199*$Z199</f>
        <v>0</v>
      </c>
      <c r="AY199" s="216">
        <f t="shared" ref="AY199:AY200" ca="1" si="7294">IFERROR(AX199/AT$4,0)</f>
        <v>0</v>
      </c>
      <c r="AZ199" s="202">
        <f t="shared" ref="AZ199:AZ200" ca="1" si="7295">BA199/$X199</f>
        <v>0</v>
      </c>
      <c r="BA199" s="203">
        <f t="shared" ref="BA199:BA200" ca="1" si="7296">BB199/$Z199</f>
        <v>0</v>
      </c>
      <c r="BB199" s="203">
        <f t="shared" ref="BB199:BB200" ca="1" si="7297">BC199*AT$4</f>
        <v>0</v>
      </c>
      <c r="BC199" s="204">
        <f ca="1">IF(AT$6&lt;&gt;"",$O199,$N199)-AY199</f>
        <v>0</v>
      </c>
      <c r="BD199" s="205"/>
      <c r="BE199" s="206">
        <f t="shared" ref="BE199:BE200" si="7298">BD199*$X199</f>
        <v>0</v>
      </c>
      <c r="BF199" s="206">
        <f t="shared" ref="BF199:BF200" ca="1" si="7299">BE199*$Z199</f>
        <v>0</v>
      </c>
      <c r="BG199" s="207">
        <f t="shared" ref="BG199:BG200" ca="1" si="7300">IFERROR(BF199/AT$4,0)</f>
        <v>0</v>
      </c>
      <c r="BH199" s="541">
        <f>AT199+BD199</f>
        <v>0</v>
      </c>
      <c r="BI199" s="541">
        <f t="shared" si="7154"/>
        <v>0</v>
      </c>
      <c r="BJ199" s="541">
        <f t="shared" ref="BJ199:BJ200" ca="1" si="7301">BI199*$Z199</f>
        <v>0</v>
      </c>
      <c r="BK199" s="546">
        <f t="shared" ref="BK199:BK200" ca="1" si="7302">IFERROR(BJ199/AT$4,0)</f>
        <v>0</v>
      </c>
      <c r="BL199" s="211" t="str">
        <f t="shared" ref="BL199:BL200" ca="1" si="7303">IF(SUM(AY199,BG199,BK199)&lt;&gt;0,"V","")</f>
        <v/>
      </c>
      <c r="BM199" s="214"/>
      <c r="BN199" s="215"/>
      <c r="BO199" s="215"/>
      <c r="BP199" s="199">
        <f t="shared" ref="BP199:BP200" si="7304">BM199*$X199</f>
        <v>0</v>
      </c>
      <c r="BQ199" s="199">
        <f t="shared" ref="BQ199" ca="1" si="7305">BP199*$Z199</f>
        <v>0</v>
      </c>
      <c r="BR199" s="216">
        <f t="shared" ref="BR199:BR200" ca="1" si="7306">IFERROR(BQ199/BM$4,0)</f>
        <v>0</v>
      </c>
      <c r="BS199" s="202">
        <f t="shared" ref="BS199:BS200" ca="1" si="7307">BT199/$X199</f>
        <v>0</v>
      </c>
      <c r="BT199" s="203">
        <f t="shared" ref="BT199:BT200" ca="1" si="7308">BU199/$Z199</f>
        <v>0</v>
      </c>
      <c r="BU199" s="203">
        <f t="shared" ref="BU199:BU200" ca="1" si="7309">BV199*BM$4</f>
        <v>0</v>
      </c>
      <c r="BV199" s="204">
        <f ca="1">IF(BM$6&lt;&gt;"",$O199,$N199)-BR199</f>
        <v>0</v>
      </c>
      <c r="BW199" s="205"/>
      <c r="BX199" s="206">
        <f t="shared" ref="BX199:BX200" si="7310">BW199*$X199</f>
        <v>0</v>
      </c>
      <c r="BY199" s="206">
        <f t="shared" ref="BY199:BY200" ca="1" si="7311">BX199*$Z199</f>
        <v>0</v>
      </c>
      <c r="BZ199" s="207">
        <f t="shared" ref="BZ199:BZ200" ca="1" si="7312">IFERROR(BY199/BM$4,0)</f>
        <v>0</v>
      </c>
      <c r="CA199" s="541">
        <f>BM199+BW199</f>
        <v>0</v>
      </c>
      <c r="CB199" s="541">
        <f t="shared" si="7155"/>
        <v>0</v>
      </c>
      <c r="CC199" s="541">
        <f t="shared" ref="CC199:CC200" ca="1" si="7313">CB199*$Z199</f>
        <v>0</v>
      </c>
      <c r="CD199" s="546">
        <f t="shared" ref="CD199:CD200" ca="1" si="7314">IFERROR(CC199/BM$4,0)</f>
        <v>0</v>
      </c>
      <c r="CE199" s="212" t="str">
        <f t="shared" ref="CE199:CE200" ca="1" si="7315">IF(SUM(BR199,BZ199,CD199)&lt;&gt;0,"V","")</f>
        <v/>
      </c>
      <c r="CF199" s="214"/>
      <c r="CG199" s="215"/>
      <c r="CH199" s="215"/>
      <c r="CI199" s="199">
        <f>CF199*$X199</f>
        <v>0</v>
      </c>
      <c r="CJ199" s="199">
        <f ca="1">CI199*$Z199</f>
        <v>0</v>
      </c>
      <c r="CK199" s="216">
        <f t="shared" ref="CK199:CK200" ca="1" si="7316">IFERROR(CJ199/CF$4,0)</f>
        <v>0</v>
      </c>
      <c r="CL199" s="202">
        <f ca="1">CM199/$X199</f>
        <v>0</v>
      </c>
      <c r="CM199" s="203">
        <f ca="1">CN199/$Z199</f>
        <v>0</v>
      </c>
      <c r="CN199" s="203">
        <f ca="1">CO199*CF$4</f>
        <v>0</v>
      </c>
      <c r="CO199" s="204">
        <f ca="1">IF(CF$6&lt;&gt;"",$O199,$N199)-CK199</f>
        <v>0</v>
      </c>
      <c r="CP199" s="205"/>
      <c r="CQ199" s="206">
        <f>CP199*$X199</f>
        <v>0</v>
      </c>
      <c r="CR199" s="206">
        <f ca="1">CQ199*$Z199</f>
        <v>0</v>
      </c>
      <c r="CS199" s="207">
        <f t="shared" ref="CS199:CS200" ca="1" si="7317">IFERROR(CR199/CF$4,0)</f>
        <v>0</v>
      </c>
      <c r="CT199" s="541">
        <f>CF199+CP199</f>
        <v>0</v>
      </c>
      <c r="CU199" s="541">
        <f t="shared" si="7156"/>
        <v>0</v>
      </c>
      <c r="CV199" s="541">
        <f ca="1">CU199*$Z199</f>
        <v>0</v>
      </c>
      <c r="CW199" s="546">
        <f t="shared" ref="CW199:CW200" ca="1" si="7318">IFERROR(CV199/CF$4,0)</f>
        <v>0</v>
      </c>
      <c r="CX199" s="211" t="str">
        <f t="shared" ref="CX199:CX200" ca="1" si="7319">IF(SUM(CK199,CS199,CW199)&lt;&gt;0,"V","")</f>
        <v/>
      </c>
      <c r="CY199" s="606">
        <f>-4+4</f>
        <v>0</v>
      </c>
      <c r="CZ199" s="215"/>
      <c r="DA199" s="215"/>
      <c r="DB199" s="199">
        <f t="shared" ref="DB199:DB200" si="7320">CY199*$X199</f>
        <v>0</v>
      </c>
      <c r="DC199" s="199">
        <f ca="1">DB199/$Z199</f>
        <v>0</v>
      </c>
      <c r="DD199" s="216">
        <f t="shared" ref="DD199:DD200" ca="1" si="7321">IFERROR(DC199/CY$4,0)</f>
        <v>0</v>
      </c>
      <c r="DE199" s="202">
        <f ca="1">DF199/$X199</f>
        <v>0</v>
      </c>
      <c r="DF199" s="203">
        <f ca="1">DG199/$Z199</f>
        <v>0</v>
      </c>
      <c r="DG199" s="203">
        <f ca="1">DH199*CY$4</f>
        <v>0</v>
      </c>
      <c r="DH199" s="204">
        <f ca="1">IF(CY$6&lt;&gt;"",$O199,$N199)-DD199</f>
        <v>0</v>
      </c>
      <c r="DI199" s="205"/>
      <c r="DJ199" s="206">
        <f>DI199*$X199</f>
        <v>0</v>
      </c>
      <c r="DK199" s="206">
        <f ca="1">DJ199*$Z199</f>
        <v>0</v>
      </c>
      <c r="DL199" s="207">
        <f t="shared" ref="DL199:DL200" ca="1" si="7322">IFERROR(DK199/CY$4,0)</f>
        <v>0</v>
      </c>
      <c r="DM199" s="541">
        <f>CY199+DI199</f>
        <v>0</v>
      </c>
      <c r="DN199" s="609">
        <f t="shared" si="7157"/>
        <v>0</v>
      </c>
      <c r="DO199" s="541">
        <f ca="1">DN199*$Z199</f>
        <v>0</v>
      </c>
      <c r="DP199" s="546">
        <f t="shared" ref="DP199:DP200" ca="1" si="7323">IFERROR(DO199/CY$4,0)</f>
        <v>0</v>
      </c>
      <c r="DQ199" s="209" t="str">
        <f t="shared" ref="DQ199:DQ200" ca="1" si="7324">IF(SUM(DD199,DL199,DP199)&lt;&gt;0,"V","")</f>
        <v/>
      </c>
      <c r="DR199" s="606"/>
      <c r="DS199" s="215"/>
      <c r="DT199" s="215"/>
      <c r="DU199" s="199">
        <f t="shared" ref="DU199:DU200" si="7325">DR199*$X199</f>
        <v>0</v>
      </c>
      <c r="DV199" s="199">
        <f ca="1">DU199/$Z199</f>
        <v>0</v>
      </c>
      <c r="DW199" s="216">
        <f t="shared" ca="1" si="7158"/>
        <v>0</v>
      </c>
      <c r="DX199" s="202">
        <f ca="1">DY199/$X199</f>
        <v>0</v>
      </c>
      <c r="DY199" s="203">
        <f ca="1">DZ199/$Z199</f>
        <v>0</v>
      </c>
      <c r="DZ199" s="203">
        <f ca="1">EA199*DR$4</f>
        <v>0</v>
      </c>
      <c r="EA199" s="204">
        <f ca="1">IF(DR$6&lt;&gt;"",$O199,$N199)-DW199</f>
        <v>0</v>
      </c>
      <c r="EB199" s="205"/>
      <c r="EC199" s="206">
        <f>EB199*$X199</f>
        <v>0</v>
      </c>
      <c r="ED199" s="206">
        <f ca="1">EC199*$Z199</f>
        <v>0</v>
      </c>
      <c r="EE199" s="207">
        <f t="shared" ca="1" si="7159"/>
        <v>0</v>
      </c>
      <c r="EF199" s="541">
        <f>DR199+EB199</f>
        <v>0</v>
      </c>
      <c r="EG199" s="609">
        <f t="shared" ref="EG199:EG200" si="7326">DU199+IF($T199 ="",EC199,0)</f>
        <v>0</v>
      </c>
      <c r="EH199" s="541">
        <f ca="1">EG199*$Z199</f>
        <v>0</v>
      </c>
      <c r="EI199" s="546">
        <f t="shared" ca="1" si="6610"/>
        <v>0</v>
      </c>
      <c r="EJ199" s="214"/>
      <c r="EK199" s="215"/>
      <c r="EL199" s="215"/>
      <c r="EM199" s="199">
        <f t="shared" ref="EM199:EM200" si="7327">EJ199*$X199</f>
        <v>0</v>
      </c>
      <c r="EN199" s="199">
        <f t="shared" ref="EN199" ca="1" si="7328">EM199*$Z199</f>
        <v>0</v>
      </c>
      <c r="EO199" s="216">
        <f t="shared" ref="EO199:EO200" ca="1" si="7329">IFERROR(EN199/EJ$4,0)</f>
        <v>0</v>
      </c>
      <c r="EP199" s="202">
        <f t="shared" ref="EP199:EP200" ca="1" si="7330">EQ199/$X199</f>
        <v>0</v>
      </c>
      <c r="EQ199" s="203">
        <f t="shared" ref="EQ199:EQ200" ca="1" si="7331">ER199/$Z199</f>
        <v>0</v>
      </c>
      <c r="ER199" s="203">
        <f t="shared" ref="ER199:ER200" ca="1" si="7332">ES199*EJ$4</f>
        <v>0</v>
      </c>
      <c r="ES199" s="204">
        <f ca="1">IF(EJ$6&lt;&gt;"",$O199,$N199)-EO199</f>
        <v>0</v>
      </c>
      <c r="ET199" s="205"/>
      <c r="EU199" s="206">
        <f t="shared" ref="EU199:EU200" si="7333">ET199*$X199</f>
        <v>0</v>
      </c>
      <c r="EV199" s="206">
        <f t="shared" ref="EV199:EV200" ca="1" si="7334">EU199*$Z199</f>
        <v>0</v>
      </c>
      <c r="EW199" s="207">
        <f t="shared" ref="EW199:EW200" ca="1" si="7335">IFERROR(EV199/EJ$4,0)</f>
        <v>0</v>
      </c>
      <c r="EX199" s="541">
        <f>EJ199+ET199</f>
        <v>0</v>
      </c>
      <c r="EY199" s="541">
        <f t="shared" si="7161"/>
        <v>0</v>
      </c>
      <c r="EZ199" s="541">
        <f t="shared" ref="EZ199:EZ200" ca="1" si="7336">EY199*$Z199</f>
        <v>0</v>
      </c>
      <c r="FA199" s="546">
        <f t="shared" ref="FA199:FA200" ca="1" si="7337">IFERROR(EZ199/EJ$4,0)</f>
        <v>0</v>
      </c>
      <c r="FB199" s="212" t="str">
        <f t="shared" ref="FB199:FB200" ca="1" si="7338">IF(SUM(EO199,EW199,FA199)&lt;&gt;0,"V","")</f>
        <v/>
      </c>
      <c r="FC199" s="214"/>
      <c r="FD199" s="215"/>
      <c r="FE199" s="215"/>
      <c r="FF199" s="199">
        <f t="shared" ref="FF199:FF200" si="7339">FC199*$X199</f>
        <v>0</v>
      </c>
      <c r="FG199" s="199">
        <f t="shared" ref="FG199" ca="1" si="7340">FF199*$Z199</f>
        <v>0</v>
      </c>
      <c r="FH199" s="216">
        <f t="shared" ref="FH199:FH200" ca="1" si="7341">IFERROR(FG199/FC$4,0)</f>
        <v>0</v>
      </c>
      <c r="FI199" s="202">
        <f t="shared" ref="FI199:FI200" ca="1" si="7342">FJ199/$X199</f>
        <v>0</v>
      </c>
      <c r="FJ199" s="203">
        <f t="shared" ref="FJ199:FJ200" ca="1" si="7343">FK199/$Z199</f>
        <v>0</v>
      </c>
      <c r="FK199" s="203">
        <f t="shared" ref="FK199:FK200" ca="1" si="7344">FL199*FC$4</f>
        <v>0</v>
      </c>
      <c r="FL199" s="204">
        <f ca="1">IF(FC$6&lt;&gt;"",$O199,$N199)-FH199</f>
        <v>0</v>
      </c>
      <c r="FM199" s="205"/>
      <c r="FN199" s="206">
        <f t="shared" ref="FN199:FN200" si="7345">FM199*$X199</f>
        <v>0</v>
      </c>
      <c r="FO199" s="206">
        <f t="shared" ref="FO199:FO200" ca="1" si="7346">FN199*$Z199</f>
        <v>0</v>
      </c>
      <c r="FP199" s="207">
        <f t="shared" ref="FP199:FP200" ca="1" si="7347">IFERROR(FO199/FC$4,0)</f>
        <v>0</v>
      </c>
      <c r="FQ199" s="541">
        <f>FC199+FM199</f>
        <v>0</v>
      </c>
      <c r="FR199" s="541">
        <f t="shared" si="7162"/>
        <v>0</v>
      </c>
      <c r="FS199" s="541">
        <f t="shared" ref="FS199:FS200" ca="1" si="7348">FR199*$Z199</f>
        <v>0</v>
      </c>
      <c r="FT199" s="546">
        <f t="shared" ref="FT199:FT200" ca="1" si="7349">IFERROR(FS199/FC$4,0)</f>
        <v>0</v>
      </c>
      <c r="FU199" s="209" t="str">
        <f t="shared" ref="FU199:FU200" ca="1" si="7350">IF(SUM(FH199,FP199,FT199)&lt;&gt;0,"V","")</f>
        <v/>
      </c>
    </row>
    <row r="200" spans="1:177" outlineLevel="2" x14ac:dyDescent="0.2">
      <c r="A200" s="594"/>
      <c r="B200" s="594"/>
      <c r="C200" s="595"/>
      <c r="D200" s="596"/>
      <c r="E200" s="597"/>
      <c r="F200" s="595" t="s">
        <v>369</v>
      </c>
      <c r="G200" s="598"/>
      <c r="H200" s="1734"/>
      <c r="I200" s="1693"/>
      <c r="J200" s="1734"/>
      <c r="K200" s="1735"/>
      <c r="L200" s="1736"/>
      <c r="M200" s="594"/>
      <c r="N200" s="599"/>
      <c r="O200" s="599"/>
      <c r="P200" s="600"/>
      <c r="Q200" s="601"/>
      <c r="R200" s="601"/>
      <c r="S200" s="595"/>
      <c r="T200" s="601"/>
      <c r="U200" s="602"/>
      <c r="V200" s="601"/>
      <c r="W200" s="595" t="s">
        <v>369</v>
      </c>
      <c r="X200" s="603">
        <f ca="1">X199*Z199</f>
        <v>113443.75</v>
      </c>
      <c r="Y200" s="604"/>
      <c r="Z200" s="605">
        <f ca="1">_xlfn.NUMBERVALUE(OFFSET(Origine,MATCH(W200&amp;"/"&amp;MRif,LUKB_Name,0),MATCH("Price",Intestazioni,0)-1,1,1))</f>
        <v>1.0000001300000001</v>
      </c>
      <c r="AA200" s="214"/>
      <c r="AB200" s="215"/>
      <c r="AC200" s="215"/>
      <c r="AD200" s="199">
        <f t="shared" ca="1" si="7280"/>
        <v>0</v>
      </c>
      <c r="AE200" s="199">
        <f ca="1">AD200/$Z200</f>
        <v>0</v>
      </c>
      <c r="AF200" s="216">
        <f t="shared" ca="1" si="7282"/>
        <v>0</v>
      </c>
      <c r="AG200" s="202">
        <f t="shared" ca="1" si="7283"/>
        <v>0</v>
      </c>
      <c r="AH200" s="203">
        <f t="shared" ca="1" si="7284"/>
        <v>0</v>
      </c>
      <c r="AI200" s="203">
        <f t="shared" ca="1" si="7285"/>
        <v>0</v>
      </c>
      <c r="AJ200" s="204">
        <f ca="1">IF(AA$6&lt;&gt;"",$O200,$N200)-AF200</f>
        <v>0</v>
      </c>
      <c r="AK200" s="205"/>
      <c r="AL200" s="206">
        <f t="shared" ca="1" si="7286"/>
        <v>0</v>
      </c>
      <c r="AM200" s="206">
        <f t="shared" ca="1" si="7287"/>
        <v>0</v>
      </c>
      <c r="AN200" s="207">
        <f t="shared" ca="1" si="7288"/>
        <v>0</v>
      </c>
      <c r="AO200" s="541">
        <f>AA200+AK200</f>
        <v>0</v>
      </c>
      <c r="AP200" s="541">
        <f t="shared" ca="1" si="7153"/>
        <v>0</v>
      </c>
      <c r="AQ200" s="541">
        <f t="shared" ca="1" si="7289"/>
        <v>0</v>
      </c>
      <c r="AR200" s="546">
        <f t="shared" ca="1" si="7290"/>
        <v>0</v>
      </c>
      <c r="AS200" s="209" t="str">
        <f t="shared" ca="1" si="7291"/>
        <v/>
      </c>
      <c r="AT200" s="214"/>
      <c r="AU200" s="215"/>
      <c r="AV200" s="215"/>
      <c r="AW200" s="199">
        <f t="shared" ca="1" si="7292"/>
        <v>0</v>
      </c>
      <c r="AX200" s="199">
        <f ca="1">AW200/$Z200</f>
        <v>0</v>
      </c>
      <c r="AY200" s="216">
        <f t="shared" ca="1" si="7294"/>
        <v>0</v>
      </c>
      <c r="AZ200" s="202">
        <f t="shared" ca="1" si="7295"/>
        <v>0</v>
      </c>
      <c r="BA200" s="203">
        <f t="shared" ca="1" si="7296"/>
        <v>0</v>
      </c>
      <c r="BB200" s="203">
        <f t="shared" ca="1" si="7297"/>
        <v>0</v>
      </c>
      <c r="BC200" s="204">
        <f ca="1">IF(AT$6&lt;&gt;"",$O200,$N200)-AY200</f>
        <v>0</v>
      </c>
      <c r="BD200" s="205"/>
      <c r="BE200" s="206">
        <f t="shared" ca="1" si="7298"/>
        <v>0</v>
      </c>
      <c r="BF200" s="206">
        <f t="shared" ca="1" si="7299"/>
        <v>0</v>
      </c>
      <c r="BG200" s="207">
        <f t="shared" ca="1" si="7300"/>
        <v>0</v>
      </c>
      <c r="BH200" s="541">
        <f>AT200+BD200</f>
        <v>0</v>
      </c>
      <c r="BI200" s="541">
        <f t="shared" ca="1" si="7154"/>
        <v>0</v>
      </c>
      <c r="BJ200" s="541">
        <f t="shared" ca="1" si="7301"/>
        <v>0</v>
      </c>
      <c r="BK200" s="546">
        <f t="shared" ca="1" si="7302"/>
        <v>0</v>
      </c>
      <c r="BL200" s="211" t="str">
        <f t="shared" ca="1" si="7303"/>
        <v/>
      </c>
      <c r="BM200" s="214"/>
      <c r="BN200" s="215"/>
      <c r="BO200" s="215"/>
      <c r="BP200" s="199">
        <f t="shared" ca="1" si="7304"/>
        <v>0</v>
      </c>
      <c r="BQ200" s="199">
        <f ca="1">BP200/$Z200</f>
        <v>0</v>
      </c>
      <c r="BR200" s="216">
        <f t="shared" ca="1" si="7306"/>
        <v>0</v>
      </c>
      <c r="BS200" s="202">
        <f t="shared" ca="1" si="7307"/>
        <v>0</v>
      </c>
      <c r="BT200" s="203">
        <f t="shared" ca="1" si="7308"/>
        <v>0</v>
      </c>
      <c r="BU200" s="203">
        <f t="shared" ca="1" si="7309"/>
        <v>0</v>
      </c>
      <c r="BV200" s="204">
        <f ca="1">IF(BM$6&lt;&gt;"",$O200,$N200)-BR200</f>
        <v>0</v>
      </c>
      <c r="BW200" s="205"/>
      <c r="BX200" s="206">
        <f t="shared" ca="1" si="7310"/>
        <v>0</v>
      </c>
      <c r="BY200" s="206">
        <f t="shared" ca="1" si="7311"/>
        <v>0</v>
      </c>
      <c r="BZ200" s="207">
        <f t="shared" ca="1" si="7312"/>
        <v>0</v>
      </c>
      <c r="CA200" s="541">
        <f>BM200+BW200</f>
        <v>0</v>
      </c>
      <c r="CB200" s="541">
        <f t="shared" ca="1" si="7155"/>
        <v>0</v>
      </c>
      <c r="CC200" s="541">
        <f t="shared" ca="1" si="7313"/>
        <v>0</v>
      </c>
      <c r="CD200" s="546">
        <f t="shared" ca="1" si="7314"/>
        <v>0</v>
      </c>
      <c r="CE200" s="212" t="str">
        <f t="shared" ca="1" si="7315"/>
        <v/>
      </c>
      <c r="CF200" s="214"/>
      <c r="CG200" s="215"/>
      <c r="CH200" s="215"/>
      <c r="CI200" s="199">
        <f ca="1">CF200*$X200</f>
        <v>0</v>
      </c>
      <c r="CJ200" s="199">
        <f ca="1">CI200*$Z200</f>
        <v>0</v>
      </c>
      <c r="CK200" s="216">
        <f t="shared" ca="1" si="7316"/>
        <v>0</v>
      </c>
      <c r="CL200" s="202">
        <f ca="1">CM200/$X200</f>
        <v>0</v>
      </c>
      <c r="CM200" s="203">
        <f ca="1">CN200/$Z200</f>
        <v>0</v>
      </c>
      <c r="CN200" s="203">
        <f ca="1">CO200*CF$4</f>
        <v>0</v>
      </c>
      <c r="CO200" s="204">
        <f ca="1">IF(CF$6&lt;&gt;"",$O200,$N200)-CK200</f>
        <v>0</v>
      </c>
      <c r="CP200" s="205"/>
      <c r="CQ200" s="206">
        <f ca="1">CP200*$X200</f>
        <v>0</v>
      </c>
      <c r="CR200" s="206">
        <f ca="1">CQ200*$Z200</f>
        <v>0</v>
      </c>
      <c r="CS200" s="207">
        <f t="shared" ca="1" si="7317"/>
        <v>0</v>
      </c>
      <c r="CT200" s="541">
        <f>CF200+CP200</f>
        <v>0</v>
      </c>
      <c r="CU200" s="541">
        <f t="shared" ca="1" si="7156"/>
        <v>0</v>
      </c>
      <c r="CV200" s="541">
        <f ca="1">CU200*$Z200</f>
        <v>0</v>
      </c>
      <c r="CW200" s="546">
        <f t="shared" ca="1" si="7318"/>
        <v>0</v>
      </c>
      <c r="CX200" s="211" t="str">
        <f t="shared" ca="1" si="7319"/>
        <v/>
      </c>
      <c r="CY200" s="606">
        <f>-CY199</f>
        <v>0</v>
      </c>
      <c r="CZ200" s="215"/>
      <c r="DA200" s="215"/>
      <c r="DB200" s="199">
        <f t="shared" ca="1" si="7320"/>
        <v>0</v>
      </c>
      <c r="DC200" s="199">
        <f ca="1">DB200/$Z200</f>
        <v>0</v>
      </c>
      <c r="DD200" s="216">
        <f t="shared" ca="1" si="7321"/>
        <v>0</v>
      </c>
      <c r="DE200" s="202">
        <f ca="1">DF200/$X200</f>
        <v>0</v>
      </c>
      <c r="DF200" s="203">
        <f ca="1">DG200/$Z200</f>
        <v>0</v>
      </c>
      <c r="DG200" s="203">
        <f ca="1">DH200*CY$4</f>
        <v>0</v>
      </c>
      <c r="DH200" s="204">
        <f ca="1">IF(CY$6&lt;&gt;"",$O200,$N200)-DD200</f>
        <v>0</v>
      </c>
      <c r="DI200" s="205">
        <f>-DI199</f>
        <v>0</v>
      </c>
      <c r="DJ200" s="206">
        <f ca="1">DI200*$X200</f>
        <v>0</v>
      </c>
      <c r="DK200" s="206">
        <f ca="1">DJ200*$Z200</f>
        <v>0</v>
      </c>
      <c r="DL200" s="207">
        <f t="shared" ca="1" si="7322"/>
        <v>0</v>
      </c>
      <c r="DM200" s="541">
        <f>CY200+DI200</f>
        <v>0</v>
      </c>
      <c r="DN200" s="541">
        <f t="shared" ca="1" si="7157"/>
        <v>0</v>
      </c>
      <c r="DO200" s="541">
        <f ca="1">DN200*$Z200</f>
        <v>0</v>
      </c>
      <c r="DP200" s="546">
        <f t="shared" ca="1" si="7323"/>
        <v>0</v>
      </c>
      <c r="DQ200" s="209" t="str">
        <f t="shared" ca="1" si="7324"/>
        <v/>
      </c>
      <c r="DR200" s="606">
        <f>-DR199</f>
        <v>0</v>
      </c>
      <c r="DS200" s="215"/>
      <c r="DT200" s="215"/>
      <c r="DU200" s="199">
        <f t="shared" ca="1" si="7325"/>
        <v>0</v>
      </c>
      <c r="DV200" s="199">
        <f ca="1">DU200/$Z200</f>
        <v>0</v>
      </c>
      <c r="DW200" s="216">
        <f t="shared" ca="1" si="7158"/>
        <v>0</v>
      </c>
      <c r="DX200" s="202">
        <f ca="1">DY200/$X200</f>
        <v>0</v>
      </c>
      <c r="DY200" s="203">
        <f ca="1">DZ200/$Z200</f>
        <v>0</v>
      </c>
      <c r="DZ200" s="203">
        <f ca="1">EA200*DR$4</f>
        <v>0</v>
      </c>
      <c r="EA200" s="204">
        <f ca="1">IF(DR$6&lt;&gt;"",$O200,$N200)-DW200</f>
        <v>0</v>
      </c>
      <c r="EB200" s="205">
        <f>-EB199</f>
        <v>0</v>
      </c>
      <c r="EC200" s="206">
        <f ca="1">EB200*$X200</f>
        <v>0</v>
      </c>
      <c r="ED200" s="206">
        <f ca="1">EC200*$Z200</f>
        <v>0</v>
      </c>
      <c r="EE200" s="207">
        <f t="shared" ca="1" si="7159"/>
        <v>0</v>
      </c>
      <c r="EF200" s="541">
        <f>DR200+EB200</f>
        <v>0</v>
      </c>
      <c r="EG200" s="541">
        <f t="shared" ca="1" si="7326"/>
        <v>0</v>
      </c>
      <c r="EH200" s="541">
        <f ca="1">EG200*$Z200</f>
        <v>0</v>
      </c>
      <c r="EI200" s="546">
        <f t="shared" ca="1" si="6610"/>
        <v>0</v>
      </c>
      <c r="EJ200" s="214"/>
      <c r="EK200" s="215"/>
      <c r="EL200" s="215"/>
      <c r="EM200" s="199">
        <f t="shared" ca="1" si="7327"/>
        <v>0</v>
      </c>
      <c r="EN200" s="199">
        <f ca="1">EM200/$Z200</f>
        <v>0</v>
      </c>
      <c r="EO200" s="216">
        <f t="shared" ca="1" si="7329"/>
        <v>0</v>
      </c>
      <c r="EP200" s="202">
        <f t="shared" ca="1" si="7330"/>
        <v>0</v>
      </c>
      <c r="EQ200" s="203">
        <f t="shared" ca="1" si="7331"/>
        <v>0</v>
      </c>
      <c r="ER200" s="203">
        <f t="shared" ca="1" si="7332"/>
        <v>0</v>
      </c>
      <c r="ES200" s="204">
        <f ca="1">IF(EJ$6&lt;&gt;"",$O200,$N200)-EO200</f>
        <v>0</v>
      </c>
      <c r="ET200" s="205"/>
      <c r="EU200" s="206">
        <f t="shared" ca="1" si="7333"/>
        <v>0</v>
      </c>
      <c r="EV200" s="206">
        <f t="shared" ca="1" si="7334"/>
        <v>0</v>
      </c>
      <c r="EW200" s="207">
        <f t="shared" ca="1" si="7335"/>
        <v>0</v>
      </c>
      <c r="EX200" s="541">
        <f>EJ200+ET200</f>
        <v>0</v>
      </c>
      <c r="EY200" s="541">
        <f t="shared" ca="1" si="7161"/>
        <v>0</v>
      </c>
      <c r="EZ200" s="541">
        <f t="shared" ca="1" si="7336"/>
        <v>0</v>
      </c>
      <c r="FA200" s="546">
        <f t="shared" ca="1" si="7337"/>
        <v>0</v>
      </c>
      <c r="FB200" s="212" t="str">
        <f t="shared" ca="1" si="7338"/>
        <v/>
      </c>
      <c r="FC200" s="214"/>
      <c r="FD200" s="215"/>
      <c r="FE200" s="215"/>
      <c r="FF200" s="199">
        <f t="shared" ca="1" si="7339"/>
        <v>0</v>
      </c>
      <c r="FG200" s="199">
        <f ca="1">FF200/$Z200</f>
        <v>0</v>
      </c>
      <c r="FH200" s="216">
        <f t="shared" ca="1" si="7341"/>
        <v>0</v>
      </c>
      <c r="FI200" s="202">
        <f t="shared" ca="1" si="7342"/>
        <v>0</v>
      </c>
      <c r="FJ200" s="203">
        <f t="shared" ca="1" si="7343"/>
        <v>0</v>
      </c>
      <c r="FK200" s="203">
        <f t="shared" ca="1" si="7344"/>
        <v>0</v>
      </c>
      <c r="FL200" s="204">
        <f ca="1">IF(FC$6&lt;&gt;"",$O200,$N200)-FH200</f>
        <v>0</v>
      </c>
      <c r="FM200" s="205"/>
      <c r="FN200" s="206">
        <f t="shared" ca="1" si="7345"/>
        <v>0</v>
      </c>
      <c r="FO200" s="206">
        <f t="shared" ca="1" si="7346"/>
        <v>0</v>
      </c>
      <c r="FP200" s="207">
        <f t="shared" ca="1" si="7347"/>
        <v>0</v>
      </c>
      <c r="FQ200" s="541">
        <f>FC200+FM200</f>
        <v>0</v>
      </c>
      <c r="FR200" s="541">
        <f t="shared" ca="1" si="7162"/>
        <v>0</v>
      </c>
      <c r="FS200" s="541">
        <f t="shared" ca="1" si="7348"/>
        <v>0</v>
      </c>
      <c r="FT200" s="546">
        <f t="shared" ca="1" si="7349"/>
        <v>0</v>
      </c>
      <c r="FU200" s="209" t="str">
        <f t="shared" ca="1" si="7350"/>
        <v/>
      </c>
    </row>
    <row r="201" spans="1:177" x14ac:dyDescent="0.2">
      <c r="AA201" s="619"/>
      <c r="AB201" s="620"/>
      <c r="AC201" s="620"/>
      <c r="AD201" s="619"/>
      <c r="AE201" s="619"/>
      <c r="AF201" s="621"/>
      <c r="AG201" s="619"/>
      <c r="AH201" s="619"/>
      <c r="AI201" s="619"/>
      <c r="AJ201" s="621"/>
      <c r="AK201" s="619"/>
      <c r="AL201" s="619"/>
      <c r="AM201" s="619"/>
      <c r="AN201" s="621"/>
      <c r="AO201" s="619"/>
      <c r="AP201" s="619"/>
      <c r="AQ201" s="619"/>
      <c r="AR201" s="621"/>
      <c r="AS201" s="209" t="str">
        <f t="shared" si="6902"/>
        <v/>
      </c>
      <c r="AT201" s="619"/>
      <c r="AU201" s="620"/>
      <c r="AV201" s="620"/>
      <c r="AW201" s="619"/>
      <c r="AX201" s="619"/>
      <c r="AY201" s="621"/>
      <c r="AZ201" s="619"/>
      <c r="BA201" s="619"/>
      <c r="BB201" s="619"/>
      <c r="BC201" s="621"/>
      <c r="BD201" s="619"/>
      <c r="BE201" s="619"/>
      <c r="BF201" s="619"/>
      <c r="BG201" s="621"/>
      <c r="BH201" s="619"/>
      <c r="BI201" s="619"/>
      <c r="BJ201" s="619"/>
      <c r="BK201" s="621"/>
      <c r="BL201" s="211" t="str">
        <f t="shared" si="6903"/>
        <v/>
      </c>
      <c r="BM201" s="619"/>
      <c r="BN201" s="620"/>
      <c r="BO201" s="620"/>
      <c r="BP201" s="619"/>
      <c r="BQ201" s="619"/>
      <c r="BR201" s="621"/>
      <c r="BS201" s="619"/>
      <c r="BT201" s="619"/>
      <c r="BU201" s="619"/>
      <c r="BV201" s="621"/>
      <c r="BW201" s="619"/>
      <c r="BX201" s="619"/>
      <c r="BY201" s="619"/>
      <c r="BZ201" s="621"/>
      <c r="CA201" s="619"/>
      <c r="CB201" s="619"/>
      <c r="CC201" s="619"/>
      <c r="CD201" s="621"/>
      <c r="CE201" s="212" t="str">
        <f t="shared" si="6904"/>
        <v/>
      </c>
      <c r="CF201" s="619"/>
      <c r="CG201" s="620"/>
      <c r="CH201" s="620"/>
      <c r="CI201" s="619"/>
      <c r="CJ201" s="619"/>
      <c r="CK201" s="621"/>
      <c r="CL201" s="619"/>
      <c r="CM201" s="619"/>
      <c r="CN201" s="619"/>
      <c r="CO201" s="621"/>
      <c r="CP201" s="619"/>
      <c r="CQ201" s="619"/>
      <c r="CR201" s="619"/>
      <c r="CS201" s="621"/>
      <c r="CT201" s="619"/>
      <c r="CU201" s="619"/>
      <c r="CV201" s="619"/>
      <c r="CW201" s="621"/>
      <c r="CX201" s="211" t="str">
        <f t="shared" si="6905"/>
        <v/>
      </c>
      <c r="CY201" s="622"/>
      <c r="CZ201" s="620"/>
      <c r="DA201" s="619"/>
      <c r="DB201" s="619"/>
      <c r="DC201" s="619"/>
      <c r="DD201" s="621"/>
      <c r="DE201" s="619"/>
      <c r="DF201" s="619"/>
      <c r="DG201" s="619"/>
      <c r="DH201" s="621"/>
      <c r="DI201" s="619"/>
      <c r="DJ201" s="619"/>
      <c r="DK201" s="619"/>
      <c r="DL201" s="621"/>
      <c r="DM201" s="619"/>
      <c r="DN201" s="619"/>
      <c r="DO201" s="619"/>
      <c r="DP201" s="621"/>
      <c r="DQ201" s="209" t="str">
        <f t="shared" si="6906"/>
        <v/>
      </c>
      <c r="DR201" s="622"/>
      <c r="DS201" s="620"/>
      <c r="DT201" s="619"/>
      <c r="DU201" s="619"/>
      <c r="DV201" s="619"/>
      <c r="DW201" s="621"/>
      <c r="DX201" s="619"/>
      <c r="DY201" s="619"/>
      <c r="DZ201" s="619"/>
      <c r="EA201" s="621"/>
      <c r="EB201" s="619"/>
      <c r="EC201" s="619"/>
      <c r="ED201" s="619"/>
      <c r="EE201" s="621"/>
      <c r="EF201" s="619"/>
      <c r="EG201" s="619"/>
      <c r="EH201" s="619"/>
      <c r="EI201" s="621"/>
      <c r="EJ201" s="619"/>
      <c r="EK201" s="620"/>
      <c r="EL201" s="623"/>
      <c r="EM201" s="619"/>
      <c r="EN201" s="619"/>
      <c r="EO201" s="621"/>
      <c r="EP201" s="619"/>
      <c r="EQ201" s="619"/>
      <c r="ER201" s="619"/>
      <c r="ES201" s="621"/>
      <c r="ET201" s="619"/>
      <c r="EU201" s="619"/>
      <c r="EV201" s="619"/>
      <c r="EW201" s="621"/>
      <c r="EX201" s="619"/>
      <c r="EY201" s="619"/>
      <c r="EZ201" s="619"/>
      <c r="FA201" s="621"/>
      <c r="FB201" s="212" t="str">
        <f t="shared" si="6907"/>
        <v/>
      </c>
      <c r="FC201" s="619"/>
      <c r="FD201" s="620"/>
      <c r="FE201" s="620"/>
      <c r="FF201" s="619"/>
      <c r="FG201" s="619"/>
      <c r="FH201" s="621"/>
      <c r="FI201" s="619"/>
      <c r="FJ201" s="619"/>
      <c r="FK201" s="619"/>
      <c r="FL201" s="621"/>
      <c r="FM201" s="619"/>
      <c r="FN201" s="619"/>
      <c r="FO201" s="619"/>
      <c r="FP201" s="621"/>
      <c r="FQ201" s="619"/>
      <c r="FR201" s="619"/>
      <c r="FS201" s="619"/>
      <c r="FT201" s="621"/>
      <c r="FU201" s="209" t="str">
        <f t="shared" si="6908"/>
        <v/>
      </c>
    </row>
    <row r="202" spans="1:177" x14ac:dyDescent="0.2">
      <c r="A202" s="624" t="s">
        <v>805</v>
      </c>
      <c r="B202" s="625"/>
      <c r="C202" s="626"/>
      <c r="D202" s="627"/>
      <c r="E202" s="628"/>
      <c r="F202" s="626"/>
      <c r="G202" s="629"/>
      <c r="H202" s="1695"/>
      <c r="I202" s="1695"/>
      <c r="J202" s="1695"/>
      <c r="K202" s="1737"/>
      <c r="L202" s="1737"/>
      <c r="M202" s="625"/>
      <c r="N202" s="631" t="s">
        <v>369</v>
      </c>
      <c r="O202" s="631" t="s">
        <v>381</v>
      </c>
      <c r="P202" s="626" t="s">
        <v>366</v>
      </c>
      <c r="Q202" s="632" t="s">
        <v>806</v>
      </c>
      <c r="R202" s="627"/>
      <c r="S202" s="626"/>
      <c r="T202" s="627"/>
      <c r="U202" s="633"/>
      <c r="V202" s="627"/>
      <c r="W202" s="626"/>
      <c r="X202" s="626"/>
      <c r="Y202" s="626"/>
      <c r="Z202" s="634"/>
      <c r="AA202" s="1920" t="s">
        <v>369</v>
      </c>
      <c r="AB202" s="1921"/>
      <c r="AC202" s="1921"/>
      <c r="AD202" s="637" t="s">
        <v>381</v>
      </c>
      <c r="AE202" s="637" t="s">
        <v>366</v>
      </c>
      <c r="AF202" s="638" t="s">
        <v>806</v>
      </c>
      <c r="AG202" s="639" t="s">
        <v>369</v>
      </c>
      <c r="AH202" s="637" t="s">
        <v>381</v>
      </c>
      <c r="AI202" s="637" t="s">
        <v>366</v>
      </c>
      <c r="AJ202" s="640" t="s">
        <v>806</v>
      </c>
      <c r="AK202" s="639"/>
      <c r="AL202" s="637" t="s">
        <v>381</v>
      </c>
      <c r="AM202" s="637" t="s">
        <v>366</v>
      </c>
      <c r="AN202" s="640" t="s">
        <v>806</v>
      </c>
      <c r="AO202" s="641" t="s">
        <v>369</v>
      </c>
      <c r="AP202" s="637" t="s">
        <v>381</v>
      </c>
      <c r="AQ202" s="637" t="s">
        <v>366</v>
      </c>
      <c r="AR202" s="638" t="s">
        <v>806</v>
      </c>
      <c r="AS202" s="642" t="s">
        <v>718</v>
      </c>
      <c r="AT202" s="1920" t="s">
        <v>369</v>
      </c>
      <c r="AU202" s="1921"/>
      <c r="AV202" s="1921"/>
      <c r="AW202" s="637" t="s">
        <v>381</v>
      </c>
      <c r="AX202" s="637" t="s">
        <v>366</v>
      </c>
      <c r="AY202" s="638" t="s">
        <v>806</v>
      </c>
      <c r="AZ202" s="639" t="s">
        <v>369</v>
      </c>
      <c r="BA202" s="637" t="s">
        <v>381</v>
      </c>
      <c r="BB202" s="637" t="s">
        <v>366</v>
      </c>
      <c r="BC202" s="640" t="s">
        <v>806</v>
      </c>
      <c r="BD202" s="639" t="s">
        <v>369</v>
      </c>
      <c r="BE202" s="637" t="s">
        <v>381</v>
      </c>
      <c r="BF202" s="637" t="s">
        <v>366</v>
      </c>
      <c r="BG202" s="640" t="s">
        <v>806</v>
      </c>
      <c r="BH202" s="641" t="s">
        <v>369</v>
      </c>
      <c r="BI202" s="637" t="s">
        <v>381</v>
      </c>
      <c r="BJ202" s="637" t="s">
        <v>366</v>
      </c>
      <c r="BK202" s="638" t="s">
        <v>806</v>
      </c>
      <c r="BL202" s="643" t="s">
        <v>718</v>
      </c>
      <c r="BM202" s="1920" t="s">
        <v>369</v>
      </c>
      <c r="BN202" s="1921"/>
      <c r="BO202" s="1921"/>
      <c r="BP202" s="637" t="s">
        <v>381</v>
      </c>
      <c r="BQ202" s="637" t="s">
        <v>366</v>
      </c>
      <c r="BR202" s="638" t="s">
        <v>806</v>
      </c>
      <c r="BS202" s="639" t="s">
        <v>369</v>
      </c>
      <c r="BT202" s="637" t="s">
        <v>381</v>
      </c>
      <c r="BU202" s="637" t="s">
        <v>366</v>
      </c>
      <c r="BV202" s="640" t="s">
        <v>806</v>
      </c>
      <c r="BW202" s="639" t="s">
        <v>369</v>
      </c>
      <c r="BX202" s="637" t="s">
        <v>381</v>
      </c>
      <c r="BY202" s="637" t="s">
        <v>366</v>
      </c>
      <c r="BZ202" s="640" t="s">
        <v>806</v>
      </c>
      <c r="CA202" s="641" t="s">
        <v>369</v>
      </c>
      <c r="CB202" s="637" t="s">
        <v>381</v>
      </c>
      <c r="CC202" s="637" t="s">
        <v>366</v>
      </c>
      <c r="CD202" s="638" t="s">
        <v>806</v>
      </c>
      <c r="CE202" s="644" t="s">
        <v>718</v>
      </c>
      <c r="CF202" s="1920" t="s">
        <v>369</v>
      </c>
      <c r="CG202" s="1921"/>
      <c r="CH202" s="1921"/>
      <c r="CI202" s="637" t="s">
        <v>381</v>
      </c>
      <c r="CJ202" s="637" t="s">
        <v>366</v>
      </c>
      <c r="CK202" s="638" t="s">
        <v>806</v>
      </c>
      <c r="CL202" s="639" t="s">
        <v>369</v>
      </c>
      <c r="CM202" s="637" t="s">
        <v>381</v>
      </c>
      <c r="CN202" s="637" t="s">
        <v>366</v>
      </c>
      <c r="CO202" s="640" t="s">
        <v>806</v>
      </c>
      <c r="CP202" s="639" t="s">
        <v>369</v>
      </c>
      <c r="CQ202" s="637" t="s">
        <v>381</v>
      </c>
      <c r="CR202" s="637" t="s">
        <v>366</v>
      </c>
      <c r="CS202" s="640" t="s">
        <v>806</v>
      </c>
      <c r="CT202" s="641" t="s">
        <v>369</v>
      </c>
      <c r="CU202" s="637" t="s">
        <v>381</v>
      </c>
      <c r="CV202" s="637" t="s">
        <v>366</v>
      </c>
      <c r="CW202" s="638" t="s">
        <v>806</v>
      </c>
      <c r="CX202" s="643" t="s">
        <v>718</v>
      </c>
      <c r="CY202" s="1920" t="s">
        <v>369</v>
      </c>
      <c r="CZ202" s="1921"/>
      <c r="DA202" s="1921"/>
      <c r="DB202" s="645" t="s">
        <v>381</v>
      </c>
      <c r="DC202" s="637" t="s">
        <v>366</v>
      </c>
      <c r="DD202" s="638" t="s">
        <v>806</v>
      </c>
      <c r="DE202" s="639" t="s">
        <v>369</v>
      </c>
      <c r="DF202" s="637" t="s">
        <v>381</v>
      </c>
      <c r="DG202" s="637" t="s">
        <v>366</v>
      </c>
      <c r="DH202" s="640" t="s">
        <v>806</v>
      </c>
      <c r="DI202" s="639" t="s">
        <v>369</v>
      </c>
      <c r="DJ202" s="637" t="s">
        <v>381</v>
      </c>
      <c r="DK202" s="637" t="s">
        <v>366</v>
      </c>
      <c r="DL202" s="640" t="s">
        <v>806</v>
      </c>
      <c r="DM202" s="641" t="s">
        <v>369</v>
      </c>
      <c r="DN202" s="637" t="s">
        <v>381</v>
      </c>
      <c r="DO202" s="637" t="s">
        <v>366</v>
      </c>
      <c r="DP202" s="638" t="s">
        <v>806</v>
      </c>
      <c r="DQ202" s="642" t="s">
        <v>718</v>
      </c>
      <c r="DR202" s="1920" t="s">
        <v>369</v>
      </c>
      <c r="DS202" s="1921"/>
      <c r="DT202" s="1921"/>
      <c r="DU202" s="645" t="s">
        <v>381</v>
      </c>
      <c r="DV202" s="637" t="s">
        <v>366</v>
      </c>
      <c r="DW202" s="638" t="s">
        <v>806</v>
      </c>
      <c r="DX202" s="639" t="s">
        <v>369</v>
      </c>
      <c r="DY202" s="637" t="s">
        <v>381</v>
      </c>
      <c r="DZ202" s="637" t="s">
        <v>366</v>
      </c>
      <c r="EA202" s="640" t="s">
        <v>806</v>
      </c>
      <c r="EB202" s="639" t="s">
        <v>369</v>
      </c>
      <c r="EC202" s="637" t="s">
        <v>381</v>
      </c>
      <c r="ED202" s="637" t="s">
        <v>366</v>
      </c>
      <c r="EE202" s="640" t="s">
        <v>806</v>
      </c>
      <c r="EF202" s="641" t="s">
        <v>369</v>
      </c>
      <c r="EG202" s="637" t="s">
        <v>381</v>
      </c>
      <c r="EH202" s="637" t="s">
        <v>366</v>
      </c>
      <c r="EI202" s="638" t="s">
        <v>806</v>
      </c>
      <c r="EJ202" s="1920" t="s">
        <v>369</v>
      </c>
      <c r="EK202" s="1921"/>
      <c r="EL202" s="1921"/>
      <c r="EM202" s="637" t="s">
        <v>381</v>
      </c>
      <c r="EN202" s="637" t="s">
        <v>366</v>
      </c>
      <c r="EO202" s="638" t="s">
        <v>806</v>
      </c>
      <c r="EP202" s="639" t="s">
        <v>369</v>
      </c>
      <c r="EQ202" s="637" t="s">
        <v>381</v>
      </c>
      <c r="ER202" s="637" t="s">
        <v>366</v>
      </c>
      <c r="ES202" s="640" t="s">
        <v>806</v>
      </c>
      <c r="ET202" s="639" t="s">
        <v>369</v>
      </c>
      <c r="EU202" s="637" t="s">
        <v>381</v>
      </c>
      <c r="EV202" s="637" t="s">
        <v>366</v>
      </c>
      <c r="EW202" s="640" t="s">
        <v>806</v>
      </c>
      <c r="EX202" s="641" t="s">
        <v>369</v>
      </c>
      <c r="EY202" s="637" t="s">
        <v>381</v>
      </c>
      <c r="EZ202" s="637" t="s">
        <v>366</v>
      </c>
      <c r="FA202" s="638" t="s">
        <v>806</v>
      </c>
      <c r="FB202" s="644" t="s">
        <v>718</v>
      </c>
      <c r="FC202" s="1920" t="s">
        <v>369</v>
      </c>
      <c r="FD202" s="1921"/>
      <c r="FE202" s="1921"/>
      <c r="FF202" s="637" t="s">
        <v>381</v>
      </c>
      <c r="FG202" s="637" t="s">
        <v>366</v>
      </c>
      <c r="FH202" s="638" t="s">
        <v>806</v>
      </c>
      <c r="FI202" s="639" t="s">
        <v>369</v>
      </c>
      <c r="FJ202" s="637" t="s">
        <v>381</v>
      </c>
      <c r="FK202" s="637" t="s">
        <v>366</v>
      </c>
      <c r="FL202" s="640" t="s">
        <v>806</v>
      </c>
      <c r="FM202" s="639" t="s">
        <v>369</v>
      </c>
      <c r="FN202" s="637" t="s">
        <v>381</v>
      </c>
      <c r="FO202" s="637" t="s">
        <v>366</v>
      </c>
      <c r="FP202" s="640" t="s">
        <v>806</v>
      </c>
      <c r="FQ202" s="641" t="s">
        <v>369</v>
      </c>
      <c r="FR202" s="637" t="s">
        <v>381</v>
      </c>
      <c r="FS202" s="637" t="s">
        <v>366</v>
      </c>
      <c r="FT202" s="638" t="s">
        <v>806</v>
      </c>
      <c r="FU202" s="642" t="s">
        <v>718</v>
      </c>
    </row>
    <row r="203" spans="1:177" x14ac:dyDescent="0.2">
      <c r="A203" s="646"/>
      <c r="B203" s="647" t="s">
        <v>807</v>
      </c>
      <c r="E203" s="648"/>
      <c r="F203" s="649"/>
      <c r="G203" s="650"/>
      <c r="H203" s="1696"/>
      <c r="I203" s="1738"/>
      <c r="J203" s="1738"/>
      <c r="K203" s="1739"/>
      <c r="L203" s="1739"/>
      <c r="M203" s="649"/>
      <c r="N203" s="649">
        <f t="array" aca="1" ref="N203" ca="1">SUM(IF($W$16:$W$200=N$202,$N$16:$N$200))</f>
        <v>0.5950000000000002</v>
      </c>
      <c r="O203" s="649">
        <f t="array" aca="1" ref="O203" ca="1">SUM(IF($W$16:$W$200=O$202,$N$16:$N$200))</f>
        <v>0.125</v>
      </c>
      <c r="P203" s="651">
        <f t="array" aca="1" ref="P203" ca="1">SUM(IF($W$16:$W$200=P$202,$N$16:$N$200))</f>
        <v>0.255</v>
      </c>
      <c r="Q203" s="651">
        <f t="array" aca="1" ref="Q203" ca="1">SUM(IF($W$16:$W$200=Q$202,$N$16:$N$200))</f>
        <v>0</v>
      </c>
      <c r="R203" s="95"/>
      <c r="S203" s="649"/>
      <c r="T203" s="95"/>
      <c r="U203" s="652"/>
      <c r="V203" s="95"/>
      <c r="W203" s="649"/>
      <c r="X203" s="649"/>
      <c r="Y203" s="649"/>
      <c r="Z203" s="653"/>
      <c r="AA203" s="1922">
        <f t="array" aca="1" ref="AA203" ca="1">SUM(IF($W$16:$W$200=AA$202,AF$16:AF$200))</f>
        <v>0.69163089809311007</v>
      </c>
      <c r="AB203" s="1923"/>
      <c r="AC203" s="1923"/>
      <c r="AD203" s="652">
        <f t="array" aca="1" ref="AD203" ca="1">SUM(IF($W$16:$W$200=AD$202,AF$16:AF$200))</f>
        <v>0.11985093361675678</v>
      </c>
      <c r="AE203" s="652">
        <f t="array" aca="1" ref="AE203" ca="1">SUM(IF($W$16:$W$200=AE$202,AF$16:AF$200))</f>
        <v>0.18851816829013318</v>
      </c>
      <c r="AF203" s="654">
        <f t="array" aca="1" ref="AF203" ca="1">SUM(IF($W$16:$W$200=AF$202,AF$16:AF$200))</f>
        <v>0</v>
      </c>
      <c r="AG203" s="655">
        <f t="array" aca="1" ref="AG203" ca="1">SUM(IF($W$16:$W$200=AG$202,AJ$16:AJ$200))</f>
        <v>-9.6630898093110082E-2</v>
      </c>
      <c r="AH203" s="652">
        <f t="array" aca="1" ref="AH203" ca="1">SUM(IF($W$16:$W$200=AH$202,AJ$16:AJ$200))</f>
        <v>5.1490663832432209E-3</v>
      </c>
      <c r="AI203" s="652">
        <f t="array" aca="1" ref="AI203" ca="1">SUM(IF($W$16:$W$200=AI$202,AJ$16:AJ$200))</f>
        <v>6.6481831709866823E-2</v>
      </c>
      <c r="AJ203" s="654">
        <f t="array" aca="1" ref="AJ203" ca="1">SUM(IF($W$16:$W$200=AJ$202,AJ$16:AJ$200))</f>
        <v>0</v>
      </c>
      <c r="AK203" s="655"/>
      <c r="AL203" s="652">
        <f t="array" aca="1" ref="AL203" ca="1">SUM(IF($W$16:$W$200=AL$202,AN$16:AN$200))</f>
        <v>0</v>
      </c>
      <c r="AM203" s="652">
        <f t="array" aca="1" ref="AM203" ca="1">SUM(IF($W$16:$W$200=AM$202,AN$16:AN$200))</f>
        <v>1.4755791631038925E-2</v>
      </c>
      <c r="AN203" s="654">
        <f t="array" aca="1" ref="AN203" ca="1">SUM(IF($W$16:$W$200=AN$202,AN$16:AN$200))</f>
        <v>0</v>
      </c>
      <c r="AO203" s="655">
        <f t="array" aca="1" ref="AO203" ca="1">SUM(IF($W$16:$W$200=AO$202,AR$16:AR$200))</f>
        <v>0.69163089809311007</v>
      </c>
      <c r="AP203" s="652">
        <f t="array" aca="1" ref="AP203" ca="1">SUM(IF($W$16:$W$200=AP$202,AR$16:AR$200))</f>
        <v>0.11985093361675678</v>
      </c>
      <c r="AQ203" s="652">
        <f t="array" aca="1" ref="AQ203" ca="1">SUM(IF($W$16:$W$200=AQ$202,AR$16:AR$200))</f>
        <v>0.18851816829013318</v>
      </c>
      <c r="AR203" s="652">
        <f t="array" aca="1" ref="AR203" ca="1">SUM(IF($W$16:$W$200=AR$202,AR$16:AR$200))</f>
        <v>0</v>
      </c>
      <c r="AS203" s="209" t="s">
        <v>718</v>
      </c>
      <c r="AT203" s="1922">
        <f t="array" aca="1" ref="AT203" ca="1">SUM(IF($W$16:$W$200=AT$202,AY$16:AY$200))</f>
        <v>0.70077205656455499</v>
      </c>
      <c r="AU203" s="1923"/>
      <c r="AV203" s="1923"/>
      <c r="AW203" s="652">
        <f t="array" aca="1" ref="AW203" ca="1">SUM(IF($W$16:$W$200=AW$202,AY$16:AY$200))</f>
        <v>0.11528317421578424</v>
      </c>
      <c r="AX203" s="652">
        <f t="array" aca="1" ref="AX203" ca="1">SUM(IF($W$16:$W$200=AX$202,AY$16:AY$200))</f>
        <v>0.15815882047123678</v>
      </c>
      <c r="AY203" s="654">
        <f t="array" aca="1" ref="AY203" ca="1">SUM(IF($W$16:$W$200=AY$202,AY$16:AY$200))</f>
        <v>0</v>
      </c>
      <c r="AZ203" s="655">
        <f t="array" aca="1" ref="AZ203" ca="1">SUM(IF($W$16:$W$200=AZ$202,BC$16:BC$200))</f>
        <v>-0.10577205656455495</v>
      </c>
      <c r="BA203" s="652">
        <f t="array" aca="1" ref="BA203" ca="1">SUM(IF($W$16:$W$200=BA$202,BC$16:BC$200))</f>
        <v>9.7168257842157584E-3</v>
      </c>
      <c r="BB203" s="652">
        <f t="array" aca="1" ref="BB203" ca="1">SUM(IF($W$16:$W$200=BB$202,BC$16:BC$200))</f>
        <v>9.6841179528763241E-2</v>
      </c>
      <c r="BC203" s="654">
        <f t="array" aca="1" ref="BC203" ca="1">SUM(IF($W$16:$W$200=BC$202,BC$16:BC$200))</f>
        <v>0</v>
      </c>
      <c r="BD203" s="655">
        <f t="array" aca="1" ref="BD203" ca="1">SUM(IF($W$16:$W$200=BD$202,BG$16:BG$200))</f>
        <v>0</v>
      </c>
      <c r="BE203" s="652">
        <f t="array" aca="1" ref="BE203" ca="1">SUM(IF($W$16:$W$200=BE$202,BG$16:BG$200))</f>
        <v>0</v>
      </c>
      <c r="BF203" s="652">
        <f t="array" aca="1" ref="BF203" ca="1">SUM(IF($W$16:$W$200=BF$202,BG$16:BG$200))</f>
        <v>7.4419447833233556E-3</v>
      </c>
      <c r="BG203" s="654">
        <f t="array" aca="1" ref="BG203" ca="1">SUM(IF($W$16:$W$200=BG$202,BG$16:BG$200))</f>
        <v>0</v>
      </c>
      <c r="BH203" s="655">
        <f t="array" aca="1" ref="BH203" ca="1">SUM(IF($W$16:$W$200=BH$202,BK$16:BK$200))</f>
        <v>0.70077205656455499</v>
      </c>
      <c r="BI203" s="652">
        <f t="array" aca="1" ref="BI203" ca="1">SUM(IF($W$16:$W$200=BI$202,BK$16:BK$200))</f>
        <v>0.11528317421578424</v>
      </c>
      <c r="BJ203" s="652">
        <f t="array" aca="1" ref="BJ203" ca="1">SUM(IF($W$16:$W$200=BJ$202,BK$16:BK$200))</f>
        <v>0.15815882047123678</v>
      </c>
      <c r="BK203" s="652">
        <f t="array" aca="1" ref="BK203" ca="1">SUM(IF($W$16:$W$200=BK$202,BK$16:BK$200))</f>
        <v>0</v>
      </c>
      <c r="BL203" s="211" t="s">
        <v>718</v>
      </c>
      <c r="BM203" s="1922">
        <f t="array" aca="1" ref="BM203" ca="1">SUM(IF($W$16:$W$200=BM$202,BR$16:BR$200))</f>
        <v>0.61631983791196887</v>
      </c>
      <c r="BN203" s="1923"/>
      <c r="BO203" s="1923"/>
      <c r="BP203" s="652">
        <f t="array" aca="1" ref="BP203" ca="1">SUM(IF($W$16:$W$200=BP$202,BR$16:BR$200))</f>
        <v>0.14281987955892389</v>
      </c>
      <c r="BQ203" s="652">
        <f t="array" aca="1" ref="BQ203" ca="1">SUM(IF($W$16:$W$200=BQ$202,BR$16:BR$200))</f>
        <v>0.24086028252910707</v>
      </c>
      <c r="BR203" s="654">
        <f t="array" aca="1" ref="BR203" ca="1">SUM(IF($W$16:$W$200=BR$202,BR$16:BR$200))</f>
        <v>0</v>
      </c>
      <c r="BS203" s="655">
        <f t="array" aca="1" ref="BS203" ca="1">SUM(IF($W$16:$W$200=BS$202,BV$16:BV$200))</f>
        <v>-2.1319837911969008E-2</v>
      </c>
      <c r="BT203" s="652">
        <f t="array" aca="1" ref="BT203" ca="1">SUM(IF($W$16:$W$200=BT$202,BV$16:BV$200))</f>
        <v>-1.7819879558923904E-2</v>
      </c>
      <c r="BU203" s="652">
        <f t="array" aca="1" ref="BU203" ca="1">SUM(IF($W$16:$W$200=BU$202,BV$16:BV$200))</f>
        <v>1.4139717470892918E-2</v>
      </c>
      <c r="BV203" s="654">
        <f t="array" aca="1" ref="BV203" ca="1">SUM(IF($W$16:$W$200=BV$202,BV$16:BV$200))</f>
        <v>0</v>
      </c>
      <c r="BW203" s="655">
        <f t="array" aca="1" ref="BW203" ca="1">SUM(IF($W$16:$W$200=BW$202,BZ$16:BZ$200))</f>
        <v>0</v>
      </c>
      <c r="BX203" s="652">
        <f t="array" aca="1" ref="BX203" ca="1">SUM(IF($W$16:$W$200=BX$202,BZ$16:BZ$200))</f>
        <v>0</v>
      </c>
      <c r="BY203" s="652">
        <f t="array" aca="1" ref="BY203" ca="1">SUM(IF($W$16:$W$200=BY$202,BZ$16:BZ$200))</f>
        <v>4.6251124536263177E-2</v>
      </c>
      <c r="BZ203" s="654">
        <f t="array" aca="1" ref="BZ203" ca="1">SUM(IF($W$16:$W$200=BZ$202,BZ$16:BZ$200))</f>
        <v>0</v>
      </c>
      <c r="CA203" s="655">
        <f t="array" aca="1" ref="CA203" ca="1">SUM(IF($W$16:$W$200=CA$202,CD$16:CD$200))</f>
        <v>0.61631983791196887</v>
      </c>
      <c r="CB203" s="652">
        <f t="array" aca="1" ref="CB203" ca="1">SUM(IF($W$16:$W$200=CB$202,CD$16:CD$200))</f>
        <v>0.14281987955892389</v>
      </c>
      <c r="CC203" s="652">
        <f t="array" aca="1" ref="CC203" ca="1">SUM(IF($W$16:$W$200=CC$202,CD$16:CD$200))</f>
        <v>0.24284722635933809</v>
      </c>
      <c r="CD203" s="652">
        <f t="array" aca="1" ref="CD203" ca="1">SUM(IF($W$16:$W$200=CD$202,CD$16:CD$200))</f>
        <v>0</v>
      </c>
      <c r="CE203" s="212" t="s">
        <v>718</v>
      </c>
      <c r="CF203" s="1922">
        <f t="array" aca="1" ref="CF203" ca="1">SUM(IF($W$16:$W$200=CF$202,CK$16:CK$200))</f>
        <v>0.76281901601009972</v>
      </c>
      <c r="CG203" s="1923"/>
      <c r="CH203" s="1923"/>
      <c r="CI203" s="652">
        <f t="array" aca="1" ref="CI203" ca="1">SUM(IF($W$16:$W$200=CI$202,CK$16:CK$200))</f>
        <v>0.10154218381630881</v>
      </c>
      <c r="CJ203" s="652">
        <f t="array" aca="1" ref="CJ203" ca="1">SUM(IF($W$16:$W$200=CJ$202,CK$16:CK$200))</f>
        <v>0.13563880017359151</v>
      </c>
      <c r="CK203" s="654">
        <f t="array" aca="1" ref="CK203" ca="1">SUM(IF($W$16:$W$200=CK$202,CK$16:CK$200))</f>
        <v>0</v>
      </c>
      <c r="CL203" s="655">
        <f t="array" aca="1" ref="CL203" ca="1">SUM(IF($W$16:$W$200=CL$202,CO$16:CO$200))</f>
        <v>-0.16781901601009971</v>
      </c>
      <c r="CM203" s="652">
        <f t="array" aca="1" ref="CM203" ca="1">SUM(IF($W$16:$W$200=CM$202,CO$16:CO$200))</f>
        <v>2.3457816183691197E-2</v>
      </c>
      <c r="CN203" s="652">
        <f t="array" aca="1" ref="CN203" ca="1">SUM(IF($W$16:$W$200=CN$202,CO$16:CO$200))</f>
        <v>0.11936119982640848</v>
      </c>
      <c r="CO203" s="654">
        <f t="array" aca="1" ref="CO203" ca="1">SUM(IF($W$16:$W$200=CO$202,CO$16:CO$200))</f>
        <v>0</v>
      </c>
      <c r="CP203" s="655">
        <f t="array" aca="1" ref="CP203" ca="1">SUM(IF($W$16:$W$200=CP$202,CS$16:CS$200))</f>
        <v>0</v>
      </c>
      <c r="CQ203" s="652">
        <f t="array" aca="1" ref="CQ203" ca="1">SUM(IF($W$16:$W$200=CQ$202,CS$16:CS$200))</f>
        <v>0</v>
      </c>
      <c r="CR203" s="652">
        <f t="array" aca="1" ref="CR203" ca="1">SUM(IF($W$16:$W$200=CR$202,CS$16:CS$200))</f>
        <v>2.0805264836510455E-2</v>
      </c>
      <c r="CS203" s="654">
        <f t="array" aca="1" ref="CS203" ca="1">SUM(IF($W$16:$W$200=CS$202,CS$16:CS$200))</f>
        <v>0</v>
      </c>
      <c r="CT203" s="655">
        <f t="array" aca="1" ref="CT203" ca="1">SUM(IF($W$16:$W$200=CT$202,CW$16:CW$200))</f>
        <v>0.76281901601009972</v>
      </c>
      <c r="CU203" s="652">
        <f t="array" aca="1" ref="CU203" ca="1">SUM(IF($W$16:$W$200=CU$202,CW$16:CW$200))</f>
        <v>0.10154218381630881</v>
      </c>
      <c r="CV203" s="652">
        <f t="array" aca="1" ref="CV203" ca="1">SUM(IF($W$16:$W$200=CV$202,CW$16:CW$200))</f>
        <v>0.13563880017359151</v>
      </c>
      <c r="CW203" s="652">
        <f t="array" aca="1" ref="CW203" ca="1">SUM(IF($W$16:$W$200=CW$202,CW$16:CW$200))</f>
        <v>0</v>
      </c>
      <c r="CX203" s="211" t="s">
        <v>718</v>
      </c>
      <c r="CY203" s="1922">
        <f t="array" aca="1" ref="CY203" ca="1">SUM(IF($W$16:$W$200=CY$202,DD$16:DD$200))</f>
        <v>0.75800310266544735</v>
      </c>
      <c r="CZ203" s="1923"/>
      <c r="DA203" s="1923"/>
      <c r="DB203" s="652" cm="1">
        <f t="array" aca="1" ref="DB203" ca="1">SUM(IF($W$16:$W$200=DB$202,DD$16:DD$200))</f>
        <v>0.11178679237310897</v>
      </c>
      <c r="DC203" s="652">
        <f t="array" aca="1" ref="DC203" ca="1">SUM(IF($W$16:$W$200=DC$202,DD$16:DD$200))</f>
        <v>0.13021010496144358</v>
      </c>
      <c r="DD203" s="654">
        <f t="array" aca="1" ref="DD203" ca="1">SUM(IF($W$16:$W$200=DD$202,DD$16:DD$200))</f>
        <v>0</v>
      </c>
      <c r="DE203" s="655">
        <f t="array" aca="1" ref="DE203" ca="1">SUM(IF($W$16:$W$200=DE$202,DH$16:DH$200))</f>
        <v>-0.16300310266544749</v>
      </c>
      <c r="DF203" s="652">
        <f t="array" aca="1" ref="DF203" ca="1">SUM(IF($W$16:$W$200=DF$202,DH$16:DH$200))</f>
        <v>1.321320762689104E-2</v>
      </c>
      <c r="DG203" s="652">
        <f t="array" aca="1" ref="DG203" ca="1">SUM(IF($W$16:$W$200=DG$202,DH$16:DH$200))</f>
        <v>0.12478989503855641</v>
      </c>
      <c r="DH203" s="654">
        <f t="array" aca="1" ref="DH203" ca="1">SUM(IF($W$16:$W$200=DH$202,DH$16:DH$200))</f>
        <v>0</v>
      </c>
      <c r="DI203" s="655">
        <f t="array" aca="1" ref="DI203" ca="1">SUM(IF($W$16:$W$200=DI$202,DL$16:DL$200))</f>
        <v>-2.0188437466900355E-9</v>
      </c>
      <c r="DJ203" s="652">
        <f t="array" aca="1" ref="DJ203" ca="1">SUM(IF($W$16:$W$200=DJ$202,DL$16:DL$200))</f>
        <v>0</v>
      </c>
      <c r="DK203" s="652">
        <f t="array" aca="1" ref="DK203" ca="1">SUM(IF($W$16:$W$200=DK$202,DL$16:DL$200))</f>
        <v>0</v>
      </c>
      <c r="DL203" s="654">
        <f t="array" aca="1" ref="DL203" ca="1">SUM(IF($W$16:$W$200=DL$202,DL$16:DL$200))</f>
        <v>0</v>
      </c>
      <c r="DM203" s="655">
        <f t="array" aca="1" ref="DM203" ca="1">SUM(IF($W$16:$W$200=DM$202,DP$16:DP$200))</f>
        <v>0.75800310064660359</v>
      </c>
      <c r="DN203" s="652">
        <f t="array" aca="1" ref="DN203" ca="1">SUM(IF($W$16:$W$200=DN$202,DP$16:DP$200))</f>
        <v>0.11178679237310897</v>
      </c>
      <c r="DO203" s="652">
        <f t="array" aca="1" ref="DO203" ca="1">SUM(IF($W$16:$W$200=DO$202,DP$16:DP$200))</f>
        <v>0.13021010496144358</v>
      </c>
      <c r="DP203" s="652">
        <f t="array" aca="1" ref="DP203" ca="1">SUM(IF($W$16:$W$200=DP$202,DP$16:DP$200))</f>
        <v>0</v>
      </c>
      <c r="DQ203" s="209" t="s">
        <v>718</v>
      </c>
      <c r="DR203" s="1922">
        <f t="array" aca="1" ref="DR203" ca="1">SUM(IF($W$16:$W$200=DR$202,DW$16:DW$200))</f>
        <v>0.73105842028082191</v>
      </c>
      <c r="DS203" s="1923"/>
      <c r="DT203" s="1923"/>
      <c r="DU203" s="652" cm="1">
        <f t="array" aca="1" ref="DU203" ca="1">SUM(IF($W$16:$W$200=DU$202,DW$16:DW$200))</f>
        <v>0.11188062943821282</v>
      </c>
      <c r="DV203" s="652">
        <f t="array" aca="1" ref="DV203" ca="1">SUM(IF($W$16:$W$200=DV$202,DW$16:DW$200))</f>
        <v>0.15706095028096548</v>
      </c>
      <c r="DW203" s="654">
        <f t="array" aca="1" ref="DW203" ca="1">SUM(IF($W$16:$W$200=DW$202,DW$16:DW$200))</f>
        <v>0</v>
      </c>
      <c r="DX203" s="655">
        <f t="array" aca="1" ref="DX203" ca="1">SUM(IF($W$16:$W$200=DX$202,EA$16:EA$200))</f>
        <v>-0.13605842028082199</v>
      </c>
      <c r="DY203" s="652">
        <f t="array" aca="1" ref="DY203" ca="1">SUM(IF($W$16:$W$200=DY$202,EA$16:EA$200))</f>
        <v>1.3119370561787183E-2</v>
      </c>
      <c r="DZ203" s="652">
        <f t="array" aca="1" ref="DZ203" ca="1">SUM(IF($W$16:$W$200=DZ$202,EA$16:EA$200))</f>
        <v>9.7939049719034527E-2</v>
      </c>
      <c r="EA203" s="654">
        <f t="array" aca="1" ref="EA203" ca="1">SUM(IF($W$16:$W$200=EA$202,EA$16:EA$200))</f>
        <v>0</v>
      </c>
      <c r="EB203" s="655">
        <f t="array" aca="1" ref="EB203" ca="1">SUM(IF($W$16:$W$200=EB$202,EE$16:EE$200))</f>
        <v>-8.485867399390945E-10</v>
      </c>
      <c r="EC203" s="652">
        <f t="array" aca="1" ref="EC203" ca="1">SUM(IF($W$16:$W$200=EC$202,EE$16:EE$200))</f>
        <v>8.833664821135E-3</v>
      </c>
      <c r="ED203" s="652">
        <f t="array" aca="1" ref="ED203" ca="1">SUM(IF($W$16:$W$200=ED$202,EE$16:EE$200))</f>
        <v>3.1483965435893747E-2</v>
      </c>
      <c r="EE203" s="654">
        <f t="array" aca="1" ref="EE203" ca="1">SUM(IF($W$16:$W$200=EE$202,EE$16:EE$200))</f>
        <v>0</v>
      </c>
      <c r="EF203" s="655">
        <f t="array" aca="1" ref="EF203" ca="1">SUM(IF($W$16:$W$200=EF$202,EI$16:EI$200))</f>
        <v>0.73105841943223515</v>
      </c>
      <c r="EG203" s="652">
        <f t="array" aca="1" ref="EG203" ca="1">SUM(IF($W$16:$W$200=EG$202,EI$16:EI$200))</f>
        <v>0.11188062943821282</v>
      </c>
      <c r="EH203" s="652">
        <f t="array" aca="1" ref="EH203" ca="1">SUM(IF($W$16:$W$200=EH$202,EI$16:EI$200))</f>
        <v>0.15706095028096548</v>
      </c>
      <c r="EI203" s="652">
        <f t="array" aca="1" ref="EI203" ca="1">SUM(IF($W$16:$W$200=EI$202,EI$16:EI$200))</f>
        <v>0</v>
      </c>
      <c r="EJ203" s="1922">
        <f t="array" aca="1" ref="EJ203" ca="1">SUM(IF($W$16:$W$200=EJ$202,EO$16:EO$200))</f>
        <v>0.39006341921671794</v>
      </c>
      <c r="EK203" s="1923"/>
      <c r="EL203" s="1923"/>
      <c r="EM203" s="652">
        <f t="array" aca="1" ref="EM203" ca="1">SUM(IF($W$16:$W$200=EM$202,EO$16:EO$200))</f>
        <v>0.30252445447558657</v>
      </c>
      <c r="EN203" s="652">
        <f t="array" aca="1" ref="EN203" ca="1">SUM(IF($W$16:$W$200=EN$202,EO$16:EO$200))</f>
        <v>0.30741212630769549</v>
      </c>
      <c r="EO203" s="656">
        <f t="array" aca="1" ref="EO203" ca="1">SUM(IF($W$16:$W$200=EO$202,EO$16:EO$200))</f>
        <v>0</v>
      </c>
      <c r="EP203" s="652">
        <f t="array" aca="1" ref="EP203" ca="1">SUM(IF($W$16:$W$200=EP$202,ES$16:ES$200))</f>
        <v>0.20493658078328203</v>
      </c>
      <c r="EQ203" s="652">
        <f t="array" aca="1" ref="EQ203" ca="1">SUM(IF($W$16:$W$200=EQ$202,ES$16:ES$200))</f>
        <v>-0.17752445447558662</v>
      </c>
      <c r="ER203" s="652">
        <f t="array" aca="1" ref="ER203" ca="1">SUM(IF($W$16:$W$200=ER$202,ES$16:ES$200))</f>
        <v>-5.2412126307695504E-2</v>
      </c>
      <c r="ES203" s="654">
        <f t="array" aca="1" ref="ES203" ca="1">SUM(IF($W$16:$W$200=ES$202,ES$16:ES$200))</f>
        <v>0</v>
      </c>
      <c r="ET203" s="655">
        <f t="array" aca="1" ref="ET203" ca="1">SUM(IF($W$16:$W$200=ET$202,EW$16:EW$200))</f>
        <v>0</v>
      </c>
      <c r="EU203" s="652">
        <f t="array" aca="1" ref="EU203" ca="1">SUM(IF($W$16:$W$200=EU$202,EW$16:EW$200))</f>
        <v>0</v>
      </c>
      <c r="EV203" s="652">
        <f t="array" aca="1" ref="EV203" ca="1">SUM(IF($W$16:$W$200=EV$202,EW$16:EW$200))</f>
        <v>0</v>
      </c>
      <c r="EW203" s="654">
        <f t="array" aca="1" ref="EW203" ca="1">SUM(IF($W$16:$W$200=EW$202,EW$16:EW$200))</f>
        <v>0</v>
      </c>
      <c r="EX203" s="655">
        <f t="array" aca="1" ref="EX203" ca="1">SUM(IF($W$16:$W$200=EX$202,FA$16:FA$200))</f>
        <v>0.39006341921671794</v>
      </c>
      <c r="EY203" s="652">
        <f t="array" aca="1" ref="EY203" ca="1">SUM(IF($W$16:$W$200=EY$202,FA$16:FA$200))</f>
        <v>0.30252445447558657</v>
      </c>
      <c r="EZ203" s="652">
        <f t="array" aca="1" ref="EZ203" ca="1">SUM(IF($W$16:$W$200=EZ$202,FA$16:FA$200))</f>
        <v>0.30741212630769549</v>
      </c>
      <c r="FA203" s="652">
        <f t="array" aca="1" ref="FA203" ca="1">SUM(IF($W$16:$W$200=FA$202,FA$16:FA$200))</f>
        <v>0</v>
      </c>
      <c r="FB203" s="212" t="s">
        <v>718</v>
      </c>
      <c r="FC203" s="1922">
        <f t="array" aca="1" ref="FC203" ca="1">SUM(IF($W$16:$W$200=FC$202,FH$16:FH$200))</f>
        <v>0.9566641889446198</v>
      </c>
      <c r="FD203" s="1923"/>
      <c r="FE203" s="1923"/>
      <c r="FF203" s="652">
        <f t="array" aca="1" ref="FF203" ca="1">SUM(IF($W$16:$W$200=FF$202,FH$16:FH$200))</f>
        <v>0</v>
      </c>
      <c r="FG203" s="652">
        <f t="array" aca="1" ref="FG203" ca="1">SUM(IF($W$16:$W$200=FG$202,FH$16:FH$200))</f>
        <v>4.3335811055380147E-2</v>
      </c>
      <c r="FH203" s="652">
        <f t="array" aca="1" ref="FH203" ca="1">SUM(IF($W$16:$W$200=FH$202,FH$16:FH$200))</f>
        <v>0</v>
      </c>
      <c r="FI203" s="649">
        <f t="array" aca="1" ref="FI203" ca="1">SUM(IF($W$16:$W$200=FI$202,FL$16:FL$200))</f>
        <v>-0.36166418894461949</v>
      </c>
      <c r="FJ203" s="649">
        <f t="array" aca="1" ref="FJ203" ca="1">SUM(IF($W$16:$W$200=FJ$202,FL$16:FL$200))</f>
        <v>0.125</v>
      </c>
      <c r="FK203" s="649">
        <f t="array" aca="1" ref="FK203" ca="1">SUM(IF($W$16:$W$200=FK$202,FL$16:FL$200))</f>
        <v>0.21166418894461986</v>
      </c>
      <c r="FL203" s="657">
        <f t="array" aca="1" ref="FL203" ca="1">SUM(IF($W$16:$W$200=FL$202,FL$16:FL$200))</f>
        <v>0</v>
      </c>
      <c r="FM203" s="658">
        <f t="array" aca="1" ref="FM203" ca="1">SUM(IF($W$16:$W$200=FM$202,FP$16:FP$200))</f>
        <v>0</v>
      </c>
      <c r="FN203" s="649">
        <f t="array" aca="1" ref="FN203" ca="1">SUM(IF($W$16:$W$200=FN$202,FP$16:FP$200))</f>
        <v>0</v>
      </c>
      <c r="FO203" s="649">
        <f t="array" aca="1" ref="FO203" ca="1">SUM(IF($W$16:$W$200=FO$202,FP$16:FP$200))</f>
        <v>0</v>
      </c>
      <c r="FP203" s="657">
        <f t="array" aca="1" ref="FP203" ca="1">SUM(IF($W$16:$W$200=FP$202,FP$16:FP$200))</f>
        <v>0</v>
      </c>
      <c r="FQ203" s="658">
        <f t="array" aca="1" ref="FQ203" ca="1">SUM(IF($W$16:$W$200=FQ$202,FT$16:FT$200))</f>
        <v>0.9566641889446198</v>
      </c>
      <c r="FR203" s="649">
        <f t="array" aca="1" ref="FR203" ca="1">SUM(IF($W$16:$W$200=FR$202,FT$16:FT$200))</f>
        <v>8.5691035597586663E-4</v>
      </c>
      <c r="FS203" s="649">
        <f t="array" aca="1" ref="FS203" ca="1">SUM(IF($W$16:$W$200=FS$202,FT$16:FT$200))</f>
        <v>4.3335811055380147E-2</v>
      </c>
      <c r="FT203" s="659">
        <f t="array" aca="1" ref="FT203" ca="1">SUM(IF($W$16:$W$200=FT$202,FT$16:FT$200))</f>
        <v>0</v>
      </c>
      <c r="FU203" s="660" t="s">
        <v>718</v>
      </c>
    </row>
    <row r="204" spans="1:177" x14ac:dyDescent="0.2">
      <c r="A204" s="477"/>
      <c r="B204" s="477" t="s">
        <v>808</v>
      </c>
      <c r="C204" s="478"/>
      <c r="D204" s="479"/>
      <c r="E204" s="480"/>
      <c r="F204" s="478"/>
      <c r="G204" s="481"/>
      <c r="H204" s="1697"/>
      <c r="I204" s="1697"/>
      <c r="J204" s="1697"/>
      <c r="K204" s="1697"/>
      <c r="L204" s="1697"/>
      <c r="M204" s="477"/>
      <c r="N204" s="662"/>
      <c r="O204" s="662"/>
      <c r="P204" s="663"/>
      <c r="Q204" s="664"/>
      <c r="R204" s="665"/>
      <c r="S204" s="478"/>
      <c r="T204" s="665"/>
      <c r="U204" s="485"/>
      <c r="V204" s="665"/>
      <c r="W204" s="478"/>
      <c r="X204" s="478"/>
      <c r="Y204" s="478"/>
      <c r="Z204" s="666"/>
      <c r="AA204" s="1924">
        <f t="array" aca="1" ref="AA204" ca="1">SUM(IF($W$16:$W$193=AA$202,AE$16:AE$193))</f>
        <v>388347.99376298272</v>
      </c>
      <c r="AB204" s="1925"/>
      <c r="AC204" s="1925"/>
      <c r="AD204" s="667">
        <f t="array" aca="1" ref="AD204" ca="1">SUM(IF($W$16:$W$200=AD$202,AE$16:AE$200))</f>
        <v>67295.821729499992</v>
      </c>
      <c r="AE204" s="667">
        <f t="array" aca="1" ref="AE204" ca="1">SUM(IF($W$16:$W$200=AE$202,AE$16:AE$200))</f>
        <v>105852.2004225</v>
      </c>
      <c r="AF204" s="667">
        <f t="array" aca="1" ref="AF204" ca="1">SUM(IF($W$16:$W$200=AF$202,AE$16:AE$200))</f>
        <v>0</v>
      </c>
      <c r="AG204" s="668">
        <f t="array" aca="1" ref="AG204" ca="1">SUM(IF($W$16:$W$200=AG$202,AI$16:AI$200))</f>
        <v>-54257.864293567953</v>
      </c>
      <c r="AH204" s="667">
        <f t="array" aca="1" ref="AH204" ca="1">SUM(IF($W$16:$W$200=AH$202,AI$16:AI$200))</f>
        <v>2891.1802598728373</v>
      </c>
      <c r="AI204" s="667">
        <f t="array" aca="1" ref="AI204" ca="1">SUM(IF($W$16:$W$200=AI$202,AI$16:AI$200))</f>
        <v>37329.283635820568</v>
      </c>
      <c r="AJ204" s="669">
        <f t="array" aca="1" ref="AJ204" ca="1">SUM(IF($W$16:$W$200=AJ$202,AI$16:AI$200))</f>
        <v>0</v>
      </c>
      <c r="AK204" s="668"/>
      <c r="AL204" s="667">
        <f t="array" aca="1" ref="AL204" ca="1">SUM(IF($W$16:$W$200=AL$202,AM$16:AM$200))</f>
        <v>0</v>
      </c>
      <c r="AM204" s="667">
        <f t="array" aca="1" ref="AM204" ca="1">SUM(IF($W$16:$W$200=AM$202,AM$16:AM$200))</f>
        <v>8285.3182125000003</v>
      </c>
      <c r="AN204" s="669">
        <f t="array" aca="1" ref="AN204" ca="1">SUM(IF($W$16:$W$200=AN$202,AM$16:AM$200))</f>
        <v>0</v>
      </c>
      <c r="AO204" s="667">
        <f t="array" aca="1" ref="AO204" ca="1">SUM(IF($W$16:$W$200=AO$202,AQ$16:AQ$200))</f>
        <v>388347.99376298272</v>
      </c>
      <c r="AP204" s="667">
        <f t="array" aca="1" ref="AP204" ca="1">SUM(IF($W$16:$W$200=AP$202,AQ$16:AQ$200))</f>
        <v>67295.821729499992</v>
      </c>
      <c r="AQ204" s="667">
        <f t="array" aca="1" ref="AQ204" ca="1">SUM(IF($W$16:$W$200=AQ$202,AQ$16:AQ$200))</f>
        <v>105852.2004225</v>
      </c>
      <c r="AR204" s="667">
        <f t="array" aca="1" ref="AR204" ca="1">SUM(IF($W$16:$W$200=AR$202,AQ$16:AQ$200))</f>
        <v>0</v>
      </c>
      <c r="AS204" s="670" t="s">
        <v>718</v>
      </c>
      <c r="AT204" s="1924">
        <f t="array" aca="1" ref="AT204" ca="1">SUM(IF($W$16:$W$193=AT$202,AX$16:AX$193))</f>
        <v>1213626.5023547248</v>
      </c>
      <c r="AU204" s="1925"/>
      <c r="AV204" s="1925"/>
      <c r="AW204" s="667">
        <f t="array" aca="1" ref="AW204" ca="1">SUM(IF($W$16:$W$200=AW$202,AX$16:AX$200))</f>
        <v>199652.24668024998</v>
      </c>
      <c r="AX204" s="667">
        <f t="array" aca="1" ref="AX204" ca="1">SUM(IF($W$16:$W$200=AX$202,AX$16:AX$200))</f>
        <v>273906.09301125002</v>
      </c>
      <c r="AY204" s="667">
        <f t="array" aca="1" ref="AY204" ca="1">SUM(IF($W$16:$W$200=AY$202,AX$16:AX$200))</f>
        <v>0</v>
      </c>
      <c r="AZ204" s="668">
        <f t="array" aca="1" ref="AZ204" ca="1">SUM(IF($W$16:$W$200=AZ$202,BB$16:BB$200))</f>
        <v>-183180.49336129858</v>
      </c>
      <c r="BA204" s="667">
        <f t="array" aca="1" ref="BA204" ca="1">SUM(IF($W$16:$W$200=BA$202,BB$16:BB$200))</f>
        <v>16828.007309965633</v>
      </c>
      <c r="BB204" s="667">
        <f t="array" aca="1" ref="BB204" ca="1">SUM(IF($W$16:$W$200=BB$202,BB$16:BB$200))</f>
        <v>167713.62512878989</v>
      </c>
      <c r="BC204" s="669">
        <f t="array" aca="1" ref="BC204" ca="1">SUM(IF($W$16:$W$200=BC$202,BB$16:BB$200))</f>
        <v>0</v>
      </c>
      <c r="BD204" s="668">
        <f t="array" aca="1" ref="BD204" ca="1">SUM(IF($W$16:$W$200=BD$202,BF$16:BF$200))</f>
        <v>0</v>
      </c>
      <c r="BE204" s="667">
        <f t="array" aca="1" ref="BE204" ca="1">SUM(IF($W$16:$W$200=BE$202,BF$16:BF$200))</f>
        <v>0</v>
      </c>
      <c r="BF204" s="667">
        <f t="array" aca="1" ref="BF204" ca="1">SUM(IF($W$16:$W$200=BF$202,BF$16:BF$200))</f>
        <v>12888.272775000001</v>
      </c>
      <c r="BG204" s="669">
        <f t="array" aca="1" ref="BG204" ca="1">SUM(IF($W$16:$W$200=BG$202,BF$16:BF$200))</f>
        <v>0</v>
      </c>
      <c r="BH204" s="667">
        <f t="array" aca="1" ref="BH204" ca="1">SUM(IF($W$16:$W$200=BH$202,BJ$16:BJ$200))</f>
        <v>1213626.5023547248</v>
      </c>
      <c r="BI204" s="667">
        <f t="array" aca="1" ref="BI204" ca="1">SUM(IF($W$16:$W$200=BI$202,BJ$16:BJ$200))</f>
        <v>199652.24668024998</v>
      </c>
      <c r="BJ204" s="667">
        <f t="array" aca="1" ref="BJ204" ca="1">SUM(IF($W$16:$W$200=BJ$202,BJ$16:BJ$200))</f>
        <v>273906.09301125002</v>
      </c>
      <c r="BK204" s="667">
        <f t="array" aca="1" ref="BK204" ca="1">SUM(IF($W$16:$W$200=BK$202,BJ$16:BJ$200))</f>
        <v>0</v>
      </c>
      <c r="BL204" s="671" t="s">
        <v>718</v>
      </c>
      <c r="BM204" s="1924">
        <f t="array" aca="1" ref="BM204" ca="1">SUM(IF($W$16:$W$193=BM$202,BQ$16:BQ$193))</f>
        <v>175634.04661022307</v>
      </c>
      <c r="BN204" s="1925"/>
      <c r="BO204" s="1925"/>
      <c r="BP204" s="667">
        <f t="array" aca="1" ref="BP204" ca="1">SUM(IF($W$16:$W$200=BP$202,BQ$16:BQ$200))</f>
        <v>40699.701421749996</v>
      </c>
      <c r="BQ204" s="667">
        <f t="array" aca="1" ref="BQ204" ca="1">SUM(IF($W$16:$W$200=BQ$202,BQ$16:BQ$200))</f>
        <v>68638.494959999996</v>
      </c>
      <c r="BR204" s="667">
        <f t="array" aca="1" ref="BR204" ca="1">SUM(IF($W$16:$W$200=BR$202,BQ$16:BQ$200))</f>
        <v>0</v>
      </c>
      <c r="BS204" s="668">
        <f t="array" aca="1" ref="BS204" ca="1">SUM(IF($W$16:$W$200=BS$202,BU$16:BU$200))</f>
        <v>-6075.5620299991042</v>
      </c>
      <c r="BT204" s="667">
        <f t="array" aca="1" ref="BT204" ca="1">SUM(IF($W$16:$W$200=BT$202,BU$16:BU$200))</f>
        <v>-5078.171047753357</v>
      </c>
      <c r="BU204" s="667">
        <f t="array" aca="1" ref="BU204" ca="1">SUM(IF($W$16:$W$200=BU$202,BU$16:BU$200))</f>
        <v>4029.4270029531435</v>
      </c>
      <c r="BV204" s="669">
        <f t="array" aca="1" ref="BV204" ca="1">SUM(IF($W$16:$W$200=BV$202,BU$16:BU$200))</f>
        <v>0</v>
      </c>
      <c r="BW204" s="668">
        <f t="array" aca="1" ref="BW204" ca="1">SUM(IF($W$16:$W$200=BW$202,BY$16:BY$200))</f>
        <v>0</v>
      </c>
      <c r="BX204" s="667">
        <f t="array" aca="1" ref="BX204" ca="1">SUM(IF($W$16:$W$200=BX$202,BY$16:BY$200))</f>
        <v>0</v>
      </c>
      <c r="BY204" s="667">
        <f t="array" aca="1" ref="BY204" ca="1">SUM(IF($W$16:$W$200=BY$202,BY$16:BY$200))</f>
        <v>13180.286700000001</v>
      </c>
      <c r="BZ204" s="669">
        <f t="array" aca="1" ref="BZ204" ca="1">SUM(IF($W$16:$W$200=BZ$202,BY$16:BY$200))</f>
        <v>0</v>
      </c>
      <c r="CA204" s="667">
        <f t="array" aca="1" ref="CA204" ca="1">SUM(IF($W$16:$W$200=CA$202,CC$16:CC$200))</f>
        <v>175634.04661022307</v>
      </c>
      <c r="CB204" s="667">
        <f t="array" aca="1" ref="CB204" ca="1">SUM(IF($W$16:$W$200=CB$202,CC$16:CC$200))</f>
        <v>40699.701421749996</v>
      </c>
      <c r="CC204" s="667">
        <f t="array" aca="1" ref="CC204" ca="1">SUM(IF($W$16:$W$200=CC$202,CC$16:CC$200))</f>
        <v>69204.718800000002</v>
      </c>
      <c r="CD204" s="667">
        <f t="array" aca="1" ref="CD204" ca="1">SUM(IF($W$16:$W$200=CD$202,CC$16:CC$200))</f>
        <v>0</v>
      </c>
      <c r="CE204" s="672" t="s">
        <v>718</v>
      </c>
      <c r="CF204" s="1924">
        <f t="array" aca="1" ref="CF204" ca="1">SUM(IF($W$16:$W$193=CF$202,CJ$16:CJ$193))</f>
        <v>675063.9893694073</v>
      </c>
      <c r="CG204" s="1925"/>
      <c r="CH204" s="1925"/>
      <c r="CI204" s="667">
        <f t="array" aca="1" ref="CI204" ca="1">SUM(IF($W$16:$W$200=CI$202,CJ$16:CJ$200))</f>
        <v>89860.727456499983</v>
      </c>
      <c r="CJ204" s="667">
        <f t="array" aca="1" ref="CJ204" ca="1">SUM(IF($W$16:$W$200=CJ$202,CJ$16:CJ$200))</f>
        <v>120034.85444999998</v>
      </c>
      <c r="CK204" s="667">
        <f t="array" aca="1" ref="CK204" ca="1">SUM(IF($W$16:$W$200=CK$202,CJ$16:CJ$200))</f>
        <v>0</v>
      </c>
      <c r="CL204" s="668">
        <f t="array" aca="1" ref="CL204" ca="1">SUM(IF($W$16:$W$200=CL$202,CN$16:CN$200))</f>
        <v>-148513.04446024244</v>
      </c>
      <c r="CM204" s="667">
        <f t="array" aca="1" ref="CM204" ca="1">SUM(IF($W$16:$W$200=CM$202,CN$16:CN$200))</f>
        <v>20759.218952988405</v>
      </c>
      <c r="CN204" s="667">
        <f t="array" aca="1" ref="CN204" ca="1">SUM(IF($W$16:$W$200=CN$202,CN$16:CN$200))</f>
        <v>105629.83622535634</v>
      </c>
      <c r="CO204" s="669">
        <f t="array" aca="1" ref="CO204" ca="1">SUM(IF($W$16:$W$200=CO$202,CN$16:CN$200))</f>
        <v>0</v>
      </c>
      <c r="CP204" s="668">
        <f t="array" aca="1" ref="CP204" ca="1">SUM(IF($W$16:$W$200=CP$202,CR$16:CR$200))</f>
        <v>0</v>
      </c>
      <c r="CQ204" s="667">
        <f t="array" aca="1" ref="CQ204" ca="1">SUM(IF($W$16:$W$200=CQ$202,CR$16:CR$200))</f>
        <v>0</v>
      </c>
      <c r="CR204" s="667">
        <f t="array" aca="1" ref="CR204" ca="1">SUM(IF($W$16:$W$200=CR$202,CR$16:CR$200))</f>
        <v>18411.81825</v>
      </c>
      <c r="CS204" s="669">
        <f t="array" aca="1" ref="CS204" ca="1">SUM(IF($W$16:$W$200=CS$202,CR$16:CR$200))</f>
        <v>0</v>
      </c>
      <c r="CT204" s="667">
        <f t="array" aca="1" ref="CT204" ca="1">SUM(IF($W$16:$W$200=CT$202,CV$16:CV$200))</f>
        <v>675063.9893694073</v>
      </c>
      <c r="CU204" s="667">
        <f t="array" aca="1" ref="CU204" ca="1">SUM(IF($W$16:$W$200=CU$202,CV$16:CV$200))</f>
        <v>89860.727456499983</v>
      </c>
      <c r="CV204" s="667">
        <f t="array" aca="1" ref="CV204" ca="1">SUM(IF($W$16:$W$200=CV$202,CV$16:CV$200))</f>
        <v>120034.85444999998</v>
      </c>
      <c r="CW204" s="667">
        <f t="array" aca="1" ref="CW204" ca="1">SUM(IF($W$16:$W$200=CW$202,CV$16:CV$200))</f>
        <v>0</v>
      </c>
      <c r="CX204" s="671" t="s">
        <v>718</v>
      </c>
      <c r="CY204" s="1924">
        <f t="array" aca="1" ref="CY204" ca="1">SUM(IF($W$16:$W$193=CY$202,DC$16:DC$193))</f>
        <v>2717758.8085200991</v>
      </c>
      <c r="CZ204" s="1925"/>
      <c r="DA204" s="1925"/>
      <c r="DB204" s="484">
        <f t="array" aca="1" ref="DB204" ca="1">SUM(IF($W$16:$W$200=DB$202,DC$16:DC$200))</f>
        <v>400802.50144083367</v>
      </c>
      <c r="DC204" s="667">
        <f t="array" aca="1" ref="DC204" ca="1">SUM(IF($W$16:$W$200=DC$202,DC$16:DC$200))</f>
        <v>466857.798435</v>
      </c>
      <c r="DD204" s="667">
        <f t="array" aca="1" ref="DD204" ca="1">SUM(IF($W$16:$W$200=DD$202,DC$16:DC$200))</f>
        <v>0</v>
      </c>
      <c r="DE204" s="668">
        <f t="array" aca="1" ref="DE204" ca="1">SUM(IF($W$16:$W$200=DE$202,DG$16:DG$200))</f>
        <v>-584434.43902451941</v>
      </c>
      <c r="DF204" s="667">
        <f t="array" aca="1" ref="DF204" ca="1">SUM(IF($W$16:$W$200=DF$202,DG$16:DG$200))</f>
        <v>47374.887108658018</v>
      </c>
      <c r="DG204" s="667">
        <f t="array" aca="1" ref="DG204" ca="1">SUM(IF($W$16:$W$200=DG$202,DG$16:DG$200))</f>
        <v>447424.07420596294</v>
      </c>
      <c r="DH204" s="669">
        <f t="array" aca="1" ref="DH204" ca="1">SUM(IF($W$16:$W$200=DH$202,DG$16:DG$200))</f>
        <v>0</v>
      </c>
      <c r="DI204" s="668">
        <f t="array" aca="1" ref="DI204" ca="1">SUM(IF($W$16:$W$200=DI$202,DK$16:DK$200))</f>
        <v>-7.2384009472443722E-3</v>
      </c>
      <c r="DJ204" s="667">
        <f t="array" aca="1" ref="DJ204" ca="1">SUM(IF($W$16:$W$200=DJ$202,DK$16:DK$200))</f>
        <v>0</v>
      </c>
      <c r="DK204" s="667">
        <f t="array" aca="1" ref="DK204" ca="1">SUM(IF($W$16:$W$200=DK$202,DK$16:DK$200))</f>
        <v>0</v>
      </c>
      <c r="DL204" s="669">
        <f t="array" aca="1" ref="DL204" ca="1">SUM(IF($W$16:$W$200=DL$202,DK$16:DK$200))</f>
        <v>0</v>
      </c>
      <c r="DM204" s="667">
        <f t="array" aca="1" ref="DM204" ca="1">SUM(IF($W$16:$W$200=DM$202,DO$16:DO$200))</f>
        <v>2717758.801281698</v>
      </c>
      <c r="DN204" s="667">
        <f t="array" aca="1" ref="DN204" ca="1">SUM(IF($W$16:$W$200=DN$202,DO$16:DO$200))</f>
        <v>400802.50144083367</v>
      </c>
      <c r="DO204" s="667">
        <f t="array" aca="1" ref="DO204" ca="1">SUM(IF($W$16:$W$200=DO$202,DO$16:DO$200))</f>
        <v>466857.798435</v>
      </c>
      <c r="DP204" s="667">
        <f t="array" aca="1" ref="DP204" ca="1">SUM(IF($W$16:$W$200=DP$202,DO$16:DO$200))</f>
        <v>0</v>
      </c>
      <c r="DQ204" s="670" t="s">
        <v>718</v>
      </c>
      <c r="DR204" s="1924">
        <f t="array" aca="1" ref="DR204" ca="1">SUM(IF($W$16:$W$193=DR$202,DV$16:DV$193))</f>
        <v>513027.42502685671</v>
      </c>
      <c r="DS204" s="1925"/>
      <c r="DT204" s="1925"/>
      <c r="DU204" s="484">
        <f t="array" aca="1" ref="DU204" ca="1">SUM(IF($W$16:$W$200=DU$202,DV$16:DV$200))</f>
        <v>78513.330314999999</v>
      </c>
      <c r="DV204" s="667">
        <f t="array" aca="1" ref="DV204" ca="1">SUM(IF($W$16:$W$200=DV$202,DV$16:DV$200))</f>
        <v>110219.06411250001</v>
      </c>
      <c r="DW204" s="667">
        <f t="array" aca="1" ref="DW204" ca="1">SUM(IF($W$16:$W$200=DW$202,DV$16:DV$200))</f>
        <v>0</v>
      </c>
      <c r="DX204" s="668">
        <f t="array" aca="1" ref="DX204" ca="1">SUM(IF($W$16:$W$200=DX$202,DZ$16:DZ$200))</f>
        <v>-95480.332451514492</v>
      </c>
      <c r="DY204" s="667">
        <f t="array" aca="1" ref="DY204" ca="1">SUM(IF($W$16:$W$200=DY$202,DZ$16:DZ$200))</f>
        <v>9206.6471167945765</v>
      </c>
      <c r="DZ204" s="667">
        <f t="array" aca="1" ref="DZ204" ca="1">SUM(IF($W$16:$W$200=DZ$202,DZ$16:DZ$200))</f>
        <v>68729.689848360926</v>
      </c>
      <c r="EA204" s="669">
        <f t="array" aca="1" ref="EA204" ca="1">SUM(IF($W$16:$W$200=EA$202,DZ$16:DZ$200))</f>
        <v>0</v>
      </c>
      <c r="EB204" s="668">
        <f t="array" aca="1" ref="EB204" ca="1">SUM(IF($W$16:$W$200=EB$202,ED$16:ED$200))</f>
        <v>-5.9550407786446158E-4</v>
      </c>
      <c r="EC204" s="667">
        <f t="array" aca="1" ref="EC204" ca="1">SUM(IF($W$16:$W$200=EC$202,ED$16:ED$200))</f>
        <v>6199.1110299999991</v>
      </c>
      <c r="ED204" s="667">
        <f t="array" aca="1" ref="ED204" ca="1">SUM(IF($W$16:$W$200=ED$202,ED$16:ED$200))</f>
        <v>22094.1819</v>
      </c>
      <c r="EE204" s="669">
        <f t="array" aca="1" ref="EE204" ca="1">SUM(IF($W$16:$W$200=EE$202,ED$16:ED$200))</f>
        <v>0</v>
      </c>
      <c r="EF204" s="667">
        <f t="array" aca="1" ref="EF204" ca="1">SUM(IF($W$16:$W$200=EF$202,EH$16:EH$200))</f>
        <v>513027.42443135264</v>
      </c>
      <c r="EG204" s="667">
        <f t="array" aca="1" ref="EG204" ca="1">SUM(IF($W$16:$W$200=EG$202,EH$16:EH$200))</f>
        <v>78513.330314999999</v>
      </c>
      <c r="EH204" s="667">
        <f t="array" aca="1" ref="EH204" ca="1">SUM(IF($W$16:$W$200=EH$202,EH$16:EH$200))</f>
        <v>110219.06411250001</v>
      </c>
      <c r="EI204" s="667">
        <f t="array" aca="1" ref="EI204" ca="1">SUM(IF($W$16:$W$200=EI$202,EH$16:EH$200))</f>
        <v>0</v>
      </c>
      <c r="EJ204" s="1924">
        <f t="array" aca="1" ref="EJ204" ca="1">SUM(IF($W$16:$W$193=EJ$202,EN$16:EN$193))</f>
        <v>276846.81307348108</v>
      </c>
      <c r="EK204" s="1925"/>
      <c r="EL204" s="1925"/>
      <c r="EM204" s="667">
        <f t="array" aca="1" ref="EM204" ca="1">SUM(IF($W$16:$W$200=EM$202,EN$16:EN$200))</f>
        <v>214716.18965588437</v>
      </c>
      <c r="EN204" s="667">
        <f t="array" aca="1" ref="EN204" ca="1">SUM(IF($W$16:$W$200=EN$202,EN$16:EN$200))</f>
        <v>218185.2059835</v>
      </c>
      <c r="EO204" s="673">
        <f t="array" aca="1" ref="EO204" ca="1">SUM(IF($W$16:$W$200=EO$202,EN$16:EN$200))</f>
        <v>0</v>
      </c>
      <c r="EP204" s="667">
        <f t="array" aca="1" ref="EP204" ca="1">SUM(IF($W$16:$W$200=EP$202,ER$16:ER$200))</f>
        <v>145453.37111067388</v>
      </c>
      <c r="EQ204" s="667">
        <f t="array" aca="1" ref="EQ204" ca="1">SUM(IF($W$16:$W$200=EQ$202,ER$16:ER$200))</f>
        <v>-125997.66356677623</v>
      </c>
      <c r="ER204" s="667">
        <f t="array" aca="1" ref="ER204" ca="1">SUM(IF($W$16:$W$200=ER$202,ER$16:ER$200))</f>
        <v>-37199.412761719323</v>
      </c>
      <c r="ES204" s="669">
        <f t="array" aca="1" ref="ES204" ca="1">SUM(IF($W$16:$W$200=ES$202,ER$16:ER$200))</f>
        <v>0</v>
      </c>
      <c r="ET204" s="668">
        <f t="array" aca="1" ref="ET204" ca="1">SUM(IF($W$16:$W$200=ET$202,EV$16:EV$200))</f>
        <v>0</v>
      </c>
      <c r="EU204" s="667">
        <f t="array" aca="1" ref="EU204" ca="1">SUM(IF($W$16:$W$200=EU$202,EV$16:EV$200))</f>
        <v>0</v>
      </c>
      <c r="EV204" s="667">
        <f t="array" aca="1" ref="EV204" ca="1">SUM(IF($W$16:$W$200=EV$202,EV$16:EV$200))</f>
        <v>0</v>
      </c>
      <c r="EW204" s="669">
        <f t="array" aca="1" ref="EW204" ca="1">SUM(IF($W$16:$W$200=EW$202,EV$16:EV$200))</f>
        <v>0</v>
      </c>
      <c r="EX204" s="667">
        <f t="array" aca="1" ref="EX204" ca="1">SUM(IF($W$16:$W$200=EX$202,EZ$16:EZ$200))</f>
        <v>276846.81307348108</v>
      </c>
      <c r="EY204" s="667">
        <f t="array" aca="1" ref="EY204" ca="1">SUM(IF($W$16:$W$200=EY$202,EZ$16:EZ$200))</f>
        <v>214716.18965588437</v>
      </c>
      <c r="EZ204" s="667">
        <f t="array" aca="1" ref="EZ204" ca="1">SUM(IF($W$16:$W$200=EZ$202,EZ$16:EZ$200))</f>
        <v>218185.2059835</v>
      </c>
      <c r="FA204" s="667">
        <f t="array" aca="1" ref="FA204" ca="1">SUM(IF($W$16:$W$200=FA$202,EZ$16:EZ$200))</f>
        <v>0</v>
      </c>
      <c r="FB204" s="672" t="s">
        <v>718</v>
      </c>
      <c r="FC204" s="1924">
        <f t="array" aca="1" ref="FC204" ca="1">SUM(IF($W$16:$W$193=FC$202,FG$16:FG$193))</f>
        <v>4360118.8623703793</v>
      </c>
      <c r="FD204" s="1925"/>
      <c r="FE204" s="1925"/>
      <c r="FF204" s="667">
        <f t="array" aca="1" ref="FF204" ca="1">SUM(IF($W$16:$W$200=FF$202,FG$16:FG$200))</f>
        <v>0</v>
      </c>
      <c r="FG204" s="667">
        <f t="array" aca="1" ref="FG204" ca="1">SUM(IF($W$16:$W$200=FG$202,FG$16:FG$200))</f>
        <v>197508.47725065186</v>
      </c>
      <c r="FH204" s="667">
        <f t="array" aca="1" ref="FH204" ca="1">SUM(IF($W$16:$W$200=FH$202,FG$16:FG$200))</f>
        <v>0</v>
      </c>
      <c r="FI204" s="484">
        <f t="array" aca="1" ref="FI204" ca="1">SUM(IF($W$16:$W$200=FI$202,FK$16:FK$200))</f>
        <v>-1648330.595295867</v>
      </c>
      <c r="FJ204" s="484">
        <f t="array" aca="1" ref="FJ204" ca="1">SUM(IF($W$16:$W$200=FJ$202,FK$16:FK$200))</f>
        <v>569703.41745262884</v>
      </c>
      <c r="FK204" s="484">
        <f t="array" aca="1" ref="FK204" ca="1">SUM(IF($W$16:$W$200=FK$202,FK$16:FK$200))</f>
        <v>964686.4943527109</v>
      </c>
      <c r="FL204" s="674">
        <f t="array" aca="1" ref="FL204" ca="1">SUM(IF($W$16:$W$200=FL$202,FK$16:FK$200))</f>
        <v>0</v>
      </c>
      <c r="FM204" s="675">
        <f t="array" aca="1" ref="FM204" ca="1">SUM(IF($W$16:$W$200=FM$202,FO$16:FO$200))</f>
        <v>0</v>
      </c>
      <c r="FN204" s="484">
        <f t="array" aca="1" ref="FN204" ca="1">SUM(IF($W$16:$W$200=FN$202,FO$16:FO$200))</f>
        <v>0</v>
      </c>
      <c r="FO204" s="484">
        <f t="array" aca="1" ref="FO204" ca="1">SUM(IF($W$16:$W$200=FO$202,FO$16:FO$200))</f>
        <v>0</v>
      </c>
      <c r="FP204" s="674">
        <f t="array" aca="1" ref="FP204" ca="1">SUM(IF($W$16:$W$200=FP$202,FO$16:FO$200))</f>
        <v>0</v>
      </c>
      <c r="FQ204" s="484">
        <f t="array" aca="1" ref="FQ204" ca="1">SUM(IF($W$16:$W$200=FQ$202,FS$16:FS$200))</f>
        <v>4360118.8623703793</v>
      </c>
      <c r="FR204" s="484">
        <f t="array" aca="1" ref="FR204" ca="1">SUM(IF($W$16:$W$200=FR$202,FS$16:FS$200))</f>
        <v>3905.4780659999997</v>
      </c>
      <c r="FS204" s="484">
        <f t="array" aca="1" ref="FS204" ca="1">SUM(IF($W$16:$W$200=FS$202,FS$16:FS$200))</f>
        <v>197508.47725065186</v>
      </c>
      <c r="FT204" s="676">
        <f t="array" aca="1" ref="FT204" ca="1">SUM(IF($W$16:$W$200=FT$202,FS$16:FS$200))</f>
        <v>0</v>
      </c>
      <c r="FU204" s="677" t="s">
        <v>718</v>
      </c>
    </row>
    <row r="205" spans="1:177" x14ac:dyDescent="0.2">
      <c r="A205" s="678"/>
      <c r="B205" s="678" t="s">
        <v>809</v>
      </c>
      <c r="C205" s="679"/>
      <c r="D205" s="680"/>
      <c r="E205" s="681"/>
      <c r="F205" s="679"/>
      <c r="G205" s="682"/>
      <c r="H205" s="1698"/>
      <c r="I205" s="1698"/>
      <c r="J205" s="1698"/>
      <c r="K205" s="1740"/>
      <c r="L205" s="1740"/>
      <c r="M205" s="678"/>
      <c r="N205" s="684"/>
      <c r="O205" s="684"/>
      <c r="P205" s="685"/>
      <c r="Q205" s="686"/>
      <c r="R205" s="687"/>
      <c r="S205" s="679"/>
      <c r="T205" s="687"/>
      <c r="U205" s="688"/>
      <c r="V205" s="687"/>
      <c r="W205" s="679"/>
      <c r="X205" s="679"/>
      <c r="Y205" s="679"/>
      <c r="Z205" s="689"/>
      <c r="AA205" s="1918">
        <f t="array" aca="1" ref="AA205" ca="1">SUM(IF($W$16:$W$193=AA$202,AD$16:AD$193))</f>
        <v>388347.94327775005</v>
      </c>
      <c r="AB205" s="1919"/>
      <c r="AC205" s="1919"/>
      <c r="AD205" s="690">
        <f t="array" aca="1" ref="AD205" ca="1">SUM(IF($W$16:$W$200=AD$202,AD$16:AD$200))</f>
        <v>74151.09</v>
      </c>
      <c r="AE205" s="690">
        <f t="array" aca="1" ref="AE205" ca="1">SUM(IF($W$16:$W$200=AE$202,AD$16:AD$200))</f>
        <v>135317.60999999999</v>
      </c>
      <c r="AF205" s="690">
        <f t="array" aca="1" ref="AF205" ca="1">SUM(IF($W$16:$W$200=AF$202,AD$16:AD$200))</f>
        <v>0</v>
      </c>
      <c r="AG205" s="691">
        <f t="array" aca="1" ref="AG205" ca="1">SUM(IF($W$16:$W$200=AG$202,AH$16:AH$200))</f>
        <v>-54257.857240046535</v>
      </c>
      <c r="AH205" s="690">
        <f t="array" aca="1" ref="AH205" ca="1">SUM(IF($W$16:$W$200=AH$202,AH$16:AH$200))</f>
        <v>3185.698044044776</v>
      </c>
      <c r="AI205" s="690">
        <f t="array" aca="1" ref="AI205" ca="1">SUM(IF($W$16:$W$200=AI$202,AH$16:AH$200))</f>
        <v>47720.400940646308</v>
      </c>
      <c r="AJ205" s="692">
        <f t="array" aca="1" ref="AJ205" ca="1">SUM(IF($W$16:$W$200=AJ$202,AH$16:AH$200))</f>
        <v>0</v>
      </c>
      <c r="AK205" s="691"/>
      <c r="AL205" s="690">
        <f t="array" aca="1" ref="AL205" ca="1">SUM(IF($W$16:$W$200=AL$202,AL$16:AL$200))</f>
        <v>0</v>
      </c>
      <c r="AM205" s="690">
        <f t="array" aca="1" ref="AM205" ca="1">SUM(IF($W$16:$W$200=AM$202,AL$16:AL$200))</f>
        <v>10591.65</v>
      </c>
      <c r="AN205" s="692">
        <f t="array" aca="1" ref="AN205" ca="1">SUM(IF($W$16:$W$200=AN$202,AL$16:AL$200))</f>
        <v>0</v>
      </c>
      <c r="AO205" s="690">
        <f t="array" aca="1" ref="AO205" ca="1">SUM(IF($W$16:$W$200=AO$202,AP$16:AP$200))</f>
        <v>388347.94327775005</v>
      </c>
      <c r="AP205" s="690">
        <f t="array" aca="1" ref="AP205" ca="1">SUM(IF($W$16:$W$200=AP$202,AP$16:AP$200))</f>
        <v>74151.09</v>
      </c>
      <c r="AQ205" s="690">
        <f t="array" aca="1" ref="AQ205" ca="1">SUM(IF($W$16:$W$200=AQ$202,AP$16:AP$200))</f>
        <v>135317.60999999999</v>
      </c>
      <c r="AR205" s="690">
        <f t="array" aca="1" ref="AR205" ca="1">SUM(IF($W$16:$W$200=AR$202,AP$16:AP$200))</f>
        <v>0</v>
      </c>
      <c r="AS205" s="693" t="s">
        <v>718</v>
      </c>
      <c r="AT205" s="1918">
        <f t="array" aca="1" ref="AT205" ca="1">SUM(IF($W$16:$W$193=AT$202,AW$16:AW$193))</f>
        <v>1213626.3445832999</v>
      </c>
      <c r="AU205" s="1919"/>
      <c r="AV205" s="1919"/>
      <c r="AW205" s="690">
        <f t="array" aca="1" ref="AW205" ca="1">SUM(IF($W$16:$W$200=AW$202,AW$16:AW$200))</f>
        <v>219990.35500000001</v>
      </c>
      <c r="AX205" s="690">
        <f t="array" aca="1" ref="AX205" ca="1">SUM(IF($W$16:$W$200=AX$202,AW$16:AW$200))</f>
        <v>350151.60499999998</v>
      </c>
      <c r="AY205" s="690">
        <f t="array" aca="1" ref="AY205" ca="1">SUM(IF($W$16:$W$200=AY$202,AW$16:AW$200))</f>
        <v>0</v>
      </c>
      <c r="AZ205" s="691">
        <f t="array" aca="1" ref="AZ205" ca="1">SUM(IF($W$16:$W$200=AZ$202,BA$16:BA$200))</f>
        <v>-183180.46954783754</v>
      </c>
      <c r="BA205" s="690">
        <f t="array" aca="1" ref="BA205" ca="1">SUM(IF($W$16:$W$200=BA$202,BA$16:BA$200))</f>
        <v>18542.237132902465</v>
      </c>
      <c r="BB205" s="690">
        <f t="array" aca="1" ref="BB205" ca="1">SUM(IF($W$16:$W$200=BB$202,BA$16:BA$200))</f>
        <v>214399.00943277712</v>
      </c>
      <c r="BC205" s="692">
        <f t="array" aca="1" ref="BC205" ca="1">SUM(IF($W$16:$W$200=BC$202,BA$16:BA$200))</f>
        <v>0</v>
      </c>
      <c r="BD205" s="691">
        <f t="array" aca="1" ref="BD205" ca="1">SUM(IF($W$16:$W$200=BD$202,BE$16:BE$200))</f>
        <v>0</v>
      </c>
      <c r="BE205" s="690">
        <f t="array" aca="1" ref="BE205" ca="1">SUM(IF($W$16:$W$200=BE$202,BE$16:BE$200))</f>
        <v>0</v>
      </c>
      <c r="BF205" s="690">
        <f t="array" aca="1" ref="BF205" ca="1">SUM(IF($W$16:$W$200=BF$202,BE$16:BE$200))</f>
        <v>16475.900000000001</v>
      </c>
      <c r="BG205" s="692">
        <f t="array" aca="1" ref="BG205" ca="1">SUM(IF($W$16:$W$200=BG$202,BE$16:BE$200))</f>
        <v>0</v>
      </c>
      <c r="BH205" s="690">
        <f t="array" aca="1" ref="BH205" ca="1">SUM(IF($W$16:$W$200=BH$202,BI$16:BI$200))</f>
        <v>1213626.3445832999</v>
      </c>
      <c r="BI205" s="690">
        <f t="array" aca="1" ref="BI205" ca="1">SUM(IF($W$16:$W$200=BI$202,BI$16:BI$200))</f>
        <v>219990.35500000001</v>
      </c>
      <c r="BJ205" s="690">
        <f t="array" aca="1" ref="BJ205" ca="1">SUM(IF($W$16:$W$200=BJ$202,BI$16:BI$200))</f>
        <v>350151.60499999998</v>
      </c>
      <c r="BK205" s="690">
        <f t="array" aca="1" ref="BK205" ca="1">SUM(IF($W$16:$W$200=BK$202,BI$16:BI$200))</f>
        <v>0</v>
      </c>
      <c r="BL205" s="694" t="s">
        <v>718</v>
      </c>
      <c r="BM205" s="1918">
        <f t="array" aca="1" ref="BM205" ca="1">SUM(IF($W$16:$W$193=BM$202,BP$16:BP$193))</f>
        <v>175634.0237778</v>
      </c>
      <c r="BN205" s="1919"/>
      <c r="BO205" s="1919"/>
      <c r="BP205" s="690">
        <f t="array" aca="1" ref="BP205" ca="1">SUM(IF($W$16:$W$200=BP$202,BP$16:BP$200))</f>
        <v>44845.684999999998</v>
      </c>
      <c r="BQ205" s="690">
        <f t="array" aca="1" ref="BQ205" ca="1">SUM(IF($W$16:$W$200=BQ$202,BP$16:BP$200))</f>
        <v>87744.959999999992</v>
      </c>
      <c r="BR205" s="690">
        <f t="array" aca="1" ref="BR205" ca="1">SUM(IF($W$16:$W$200=BR$202,BP$16:BP$200))</f>
        <v>0</v>
      </c>
      <c r="BS205" s="691">
        <f t="array" aca="1" ref="BS205" ca="1">SUM(IF($W$16:$W$200=BS$202,BT$16:BT$200))</f>
        <v>-6075.5612401761373</v>
      </c>
      <c r="BT205" s="690">
        <f t="array" aca="1" ref="BT205" ca="1">SUM(IF($W$16:$W$200=BT$202,BT$16:BT$200))</f>
        <v>-5595.4724783795482</v>
      </c>
      <c r="BU205" s="690">
        <f t="array" aca="1" ref="BU205" ca="1">SUM(IF($W$16:$W$200=BU$202,BT$16:BT$200))</f>
        <v>5151.0731900967003</v>
      </c>
      <c r="BV205" s="692">
        <f t="array" aca="1" ref="BV205" ca="1">SUM(IF($W$16:$W$200=BV$202,BT$16:BT$200))</f>
        <v>0</v>
      </c>
      <c r="BW205" s="691">
        <f t="array" aca="1" ref="BW205" ca="1">SUM(IF($W$16:$W$200=BW$202,BX$16:BX$200))</f>
        <v>0</v>
      </c>
      <c r="BX205" s="690">
        <f t="array" aca="1" ref="BX205" ca="1">SUM(IF($W$16:$W$200=BX$202,BX$16:BX$200))</f>
        <v>0</v>
      </c>
      <c r="BY205" s="690">
        <f t="array" aca="1" ref="BY205" ca="1">SUM(IF($W$16:$W$200=BY$202,BX$16:BX$200))</f>
        <v>16849.2</v>
      </c>
      <c r="BZ205" s="692">
        <f t="array" aca="1" ref="BZ205" ca="1">SUM(IF($W$16:$W$200=BZ$202,BX$16:BX$200))</f>
        <v>0</v>
      </c>
      <c r="CA205" s="690">
        <f t="array" aca="1" ref="CA205" ca="1">SUM(IF($W$16:$W$200=CA$202,CB$16:CB$200))</f>
        <v>175634.0237778</v>
      </c>
      <c r="CB205" s="690">
        <f t="array" aca="1" ref="CB205" ca="1">SUM(IF($W$16:$W$200=CB$202,CB$16:CB$200))</f>
        <v>44845.684999999998</v>
      </c>
      <c r="CC205" s="690">
        <f t="array" aca="1" ref="CC205" ca="1">SUM(IF($W$16:$W$200=CC$202,CB$16:CB$200))</f>
        <v>88468.800000000003</v>
      </c>
      <c r="CD205" s="690">
        <f t="array" aca="1" ref="CD205" ca="1">SUM(IF($W$16:$W$200=CD$202,CB$16:CB$200))</f>
        <v>0</v>
      </c>
      <c r="CE205" s="695" t="s">
        <v>718</v>
      </c>
      <c r="CF205" s="1918">
        <f t="array" aca="1" ref="CF205" ca="1">SUM(IF($W$16:$W$193=CF$202,CI$16:CI$193))</f>
        <v>675063.90161110007</v>
      </c>
      <c r="CG205" s="1919"/>
      <c r="CH205" s="1919"/>
      <c r="CI205" s="690">
        <f t="array" aca="1" ref="CI205" ca="1">SUM(IF($W$16:$W$200=CI$202,CI$16:CI$200))</f>
        <v>99014.62999999999</v>
      </c>
      <c r="CJ205" s="690">
        <f t="array" aca="1" ref="CJ205" ca="1">SUM(IF($W$16:$W$200=CJ$202,CI$16:CI$200))</f>
        <v>153448.20000000001</v>
      </c>
      <c r="CK205" s="690">
        <f t="array" aca="1" ref="CK205" ca="1">SUM(IF($W$16:$W$200=CK$202,CI$16:CI$200))</f>
        <v>0</v>
      </c>
      <c r="CL205" s="691">
        <f t="array" aca="1" ref="CL205" ca="1">SUM(IF($W$16:$W$200=CL$202,CM$16:CM$200))</f>
        <v>-148513.02515354921</v>
      </c>
      <c r="CM205" s="690">
        <f t="array" aca="1" ref="CM205" ca="1">SUM(IF($W$16:$W$200=CM$202,CM$16:CM$200))</f>
        <v>22873.912129346485</v>
      </c>
      <c r="CN205" s="690">
        <f t="array" aca="1" ref="CN205" ca="1">SUM(IF($W$16:$W$200=CN$202,CM$16:CM$200))</f>
        <v>135033.34768342134</v>
      </c>
      <c r="CO205" s="692">
        <f t="array" aca="1" ref="CO205" ca="1">SUM(IF($W$16:$W$200=CO$202,CM$16:CM$200))</f>
        <v>0</v>
      </c>
      <c r="CP205" s="691">
        <f t="array" aca="1" ref="CP205" ca="1">SUM(IF($W$16:$W$200=CP$202,CQ$16:CQ$200))</f>
        <v>0</v>
      </c>
      <c r="CQ205" s="690">
        <f t="array" aca="1" ref="CQ205" ca="1">SUM(IF($W$16:$W$200=CQ$202,CQ$16:CQ$200))</f>
        <v>0</v>
      </c>
      <c r="CR205" s="690">
        <f t="array" aca="1" ref="CR205" ca="1">SUM(IF($W$16:$W$200=CR$202,CQ$16:CQ$200))</f>
        <v>23537</v>
      </c>
      <c r="CS205" s="692">
        <f t="array" aca="1" ref="CS205" ca="1">SUM(IF($W$16:$W$200=CS$202,CQ$16:CQ$200))</f>
        <v>0</v>
      </c>
      <c r="CT205" s="690">
        <f t="array" aca="1" ref="CT205" ca="1">SUM(IF($W$16:$W$200=CT$202,CU$16:CU$200))</f>
        <v>675063.90161110007</v>
      </c>
      <c r="CU205" s="690">
        <f t="array" aca="1" ref="CU205" ca="1">SUM(IF($W$16:$W$200=CU$202,CU$16:CU$200))</f>
        <v>99014.62999999999</v>
      </c>
      <c r="CV205" s="690">
        <f t="array" aca="1" ref="CV205" ca="1">SUM(IF($W$16:$W$200=CV$202,CU$16:CU$200))</f>
        <v>153448.20000000001</v>
      </c>
      <c r="CW205" s="690">
        <f t="array" aca="1" ref="CW205" ca="1">SUM(IF($W$16:$W$200=CW$202,CU$16:CU$200))</f>
        <v>0</v>
      </c>
      <c r="CX205" s="694" t="s">
        <v>718</v>
      </c>
      <c r="CY205" s="1918">
        <f t="array" aca="1" ref="CY205" ca="1">SUM(IF($W$16:$W$193=CY$202,DB$16:DB$193))</f>
        <v>2717758.4552114997</v>
      </c>
      <c r="CZ205" s="1919"/>
      <c r="DA205" s="1919"/>
      <c r="DB205" s="686">
        <f t="array" aca="1" ref="DB205" ca="1">SUM(IF($W$16:$W$200=DB$202,DB$16:DB$200))</f>
        <v>441631.316666667</v>
      </c>
      <c r="DC205" s="690">
        <f t="array" aca="1" ref="DC205" ca="1">SUM(IF($W$16:$W$200=DC$202,DB$16:DB$200))</f>
        <v>596814.06000000006</v>
      </c>
      <c r="DD205" s="690">
        <f t="array" aca="1" ref="DD205" ca="1">SUM(IF($W$16:$W$200=DD$202,DB$16:DB$200))</f>
        <v>0</v>
      </c>
      <c r="DE205" s="691">
        <f t="array" aca="1" ref="DE205" ca="1">SUM(IF($W$16:$W$200=DE$202,DF$16:DF$200))</f>
        <v>-584434.36304805172</v>
      </c>
      <c r="DF205" s="690">
        <f t="array" aca="1" ref="DF205" ca="1">SUM(IF($W$16:$W$200=DF$202,DF$16:DF$200))</f>
        <v>52200.856270903016</v>
      </c>
      <c r="DG205" s="690">
        <f t="array" aca="1" ref="DG205" ca="1">SUM(IF($W$16:$W$200=DG$202,DF$16:DF$200))</f>
        <v>571970.69249723607</v>
      </c>
      <c r="DH205" s="692">
        <f t="array" aca="1" ref="DH205" ca="1">SUM(IF($W$16:$W$200=DH$202,DF$16:DF$200))</f>
        <v>0</v>
      </c>
      <c r="DI205" s="691">
        <f t="array" aca="1" ref="DI205" ca="1">SUM(IF($W$16:$W$200=DI$202,DJ$16:DJ$200))</f>
        <v>-7.23840000864584E-3</v>
      </c>
      <c r="DJ205" s="690">
        <f t="array" aca="1" ref="DJ205" ca="1">SUM(IF($W$16:$W$200=DJ$202,DJ$16:DJ$200))</f>
        <v>0</v>
      </c>
      <c r="DK205" s="690">
        <f t="array" aca="1" ref="DK205" ca="1">SUM(IF($W$16:$W$200=DK$202,DJ$16:DJ$200))</f>
        <v>0</v>
      </c>
      <c r="DL205" s="692">
        <f t="array" aca="1" ref="DL205" ca="1">SUM(IF($W$16:$W$200=DL$202,DJ$16:DJ$200))</f>
        <v>0</v>
      </c>
      <c r="DM205" s="690">
        <f t="array" aca="1" ref="DM205" ca="1">SUM(IF($W$16:$W$200=DM$202,DN$16:DN$200))</f>
        <v>2717758.4479730995</v>
      </c>
      <c r="DN205" s="690">
        <f t="array" aca="1" ref="DN205" ca="1">SUM(IF($W$16:$W$200=DN$202,DN$16:DN$200))</f>
        <v>441631.316666667</v>
      </c>
      <c r="DO205" s="690">
        <f t="array" aca="1" ref="DO205" ca="1">SUM(IF($W$16:$W$200=DO$202,DN$16:DN$200))</f>
        <v>596814.06000000006</v>
      </c>
      <c r="DP205" s="690">
        <f t="array" aca="1" ref="DP205" ca="1">SUM(IF($W$16:$W$200=DP$202,DN$16:DN$200))</f>
        <v>0</v>
      </c>
      <c r="DQ205" s="693" t="s">
        <v>718</v>
      </c>
      <c r="DR205" s="1918">
        <f t="array" aca="1" ref="DR205" ca="1">SUM(IF($W$16:$W$193=DR$202,DU$16:DU$193))</f>
        <v>513027.35833329993</v>
      </c>
      <c r="DS205" s="1919"/>
      <c r="DT205" s="1919"/>
      <c r="DU205" s="686">
        <f t="array" aca="1" ref="DU205" ca="1">SUM(IF($W$16:$W$200=DU$202,DU$16:DU$200))</f>
        <v>86511.299999999988</v>
      </c>
      <c r="DV205" s="690">
        <f t="array" aca="1" ref="DV205" ca="1">SUM(IF($W$16:$W$200=DV$202,DU$16:DU$200))</f>
        <v>140900.04999999999</v>
      </c>
      <c r="DW205" s="690">
        <f t="array" aca="1" ref="DW205" ca="1">SUM(IF($W$16:$W$200=DW$202,DU$16:DU$200))</f>
        <v>0</v>
      </c>
      <c r="DX205" s="691">
        <f t="array" aca="1" ref="DX205" ca="1">SUM(IF($W$16:$W$200=DX$202,DY$16:DY$200))</f>
        <v>-95480.320039072845</v>
      </c>
      <c r="DY205" s="690">
        <f t="array" aca="1" ref="DY205" ca="1">SUM(IF($W$16:$W$200=DY$202,DY$16:DY$200))</f>
        <v>10144.506767444851</v>
      </c>
      <c r="DZ205" s="690">
        <f t="array" aca="1" ref="DZ205" ca="1">SUM(IF($W$16:$W$200=DZ$202,DY$16:DY$200))</f>
        <v>87861.540234401939</v>
      </c>
      <c r="EA205" s="692">
        <f t="array" aca="1" ref="EA205" ca="1">SUM(IF($W$16:$W$200=EA$202,DY$16:DY$200))</f>
        <v>0</v>
      </c>
      <c r="EB205" s="691">
        <f t="array" aca="1" ref="EB205" ca="1">SUM(IF($W$16:$W$200=EB$202,EC$16:EC$200))</f>
        <v>-5.9550400055741193E-4</v>
      </c>
      <c r="EC205" s="690">
        <f t="array" aca="1" ref="EC205" ca="1">SUM(IF($W$16:$W$200=EC$202,EC$16:EC$200))</f>
        <v>6830.5999999999995</v>
      </c>
      <c r="ED205" s="690">
        <f t="array" aca="1" ref="ED205" ca="1">SUM(IF($W$16:$W$200=ED$202,EC$16:EC$200))</f>
        <v>28244.400000000001</v>
      </c>
      <c r="EE205" s="692">
        <f t="array" aca="1" ref="EE205" ca="1">SUM(IF($W$16:$W$200=EE$202,EC$16:EC$200))</f>
        <v>0</v>
      </c>
      <c r="EF205" s="690">
        <f t="array" aca="1" ref="EF205" ca="1">SUM(IF($W$16:$W$200=EF$202,EG$16:EG$200))</f>
        <v>513027.35773779597</v>
      </c>
      <c r="EG205" s="690">
        <f t="array" aca="1" ref="EG205" ca="1">SUM(IF($W$16:$W$200=EG$202,EG$16:EG$200))</f>
        <v>86511.299999999988</v>
      </c>
      <c r="EH205" s="690">
        <f t="array" aca="1" ref="EH205" ca="1">SUM(IF($W$16:$W$200=EH$202,EG$16:EG$200))</f>
        <v>140900.04999999999</v>
      </c>
      <c r="EI205" s="690">
        <f t="array" aca="1" ref="EI205" ca="1">SUM(IF($W$16:$W$200=EI$202,EG$16:EG$200))</f>
        <v>0</v>
      </c>
      <c r="EJ205" s="1918">
        <f t="array" aca="1" ref="EJ205" ca="1">SUM(IF($W$16:$W$193=EJ$202,EM$16:EM$193))</f>
        <v>276846.7770834</v>
      </c>
      <c r="EK205" s="1919"/>
      <c r="EL205" s="1919"/>
      <c r="EM205" s="690">
        <f t="array" aca="1" ref="EM205" ca="1">SUM(IF($W$16:$W$200=EM$202,EM$16:EM$200))</f>
        <v>236588.82668270002</v>
      </c>
      <c r="EN205" s="690">
        <f t="array" aca="1" ref="EN205" ca="1">SUM(IF($W$16:$W$200=EN$202,EM$16:EM$200))</f>
        <v>278920.04599999997</v>
      </c>
      <c r="EO205" s="696">
        <f t="array" aca="1" ref="EO205" ca="1">SUM(IF($W$16:$W$200=EO$202,EM$16:EM$200))</f>
        <v>0</v>
      </c>
      <c r="EP205" s="690">
        <f t="array" aca="1" ref="EP205" ca="1">SUM(IF($W$16:$W$200=EP$202,EQ$16:EQ$200))</f>
        <v>145453.35220173802</v>
      </c>
      <c r="EQ205" s="690">
        <f t="array" aca="1" ref="EQ205" ca="1">SUM(IF($W$16:$W$200=EQ$202,EQ$16:EQ$200))</f>
        <v>-138832.75143713981</v>
      </c>
      <c r="ER205" s="690">
        <f t="array" aca="1" ref="ER205" ca="1">SUM(IF($W$16:$W$200=ER$202,EQ$16:EQ$200))</f>
        <v>-47554.378730226024</v>
      </c>
      <c r="ES205" s="692">
        <f t="array" aca="1" ref="ES205" ca="1">SUM(IF($W$16:$W$200=ES$202,EQ$16:EQ$200))</f>
        <v>0</v>
      </c>
      <c r="ET205" s="691">
        <f t="array" aca="1" ref="ET205" ca="1">SUM(IF($W$16:$W$200=ET$202,EU$16:EU$200))</f>
        <v>0</v>
      </c>
      <c r="EU205" s="690">
        <f t="array" aca="1" ref="EU205" ca="1">SUM(IF($W$16:$W$200=EU$202,EU$16:EU$200))</f>
        <v>0</v>
      </c>
      <c r="EV205" s="690">
        <f t="array" aca="1" ref="EV205" ca="1">SUM(IF($W$16:$W$200=EV$202,EU$16:EU$200))</f>
        <v>0</v>
      </c>
      <c r="EW205" s="692">
        <f t="array" aca="1" ref="EW205" ca="1">SUM(IF($W$16:$W$200=EW$202,EU$16:EU$200))</f>
        <v>0</v>
      </c>
      <c r="EX205" s="690">
        <f t="array" aca="1" ref="EX205" ca="1">SUM(IF($W$16:$W$200=EX$202,EY$16:EY$200))</f>
        <v>276846.7770834</v>
      </c>
      <c r="EY205" s="690">
        <f t="array" aca="1" ref="EY205" ca="1">SUM(IF($W$16:$W$200=EY$202,EY$16:EY$200))</f>
        <v>236588.82668270002</v>
      </c>
      <c r="EZ205" s="690">
        <f t="array" aca="1" ref="EZ205" ca="1">SUM(IF($W$16:$W$200=EZ$202,EY$16:EY$200))</f>
        <v>278920.04599999997</v>
      </c>
      <c r="FA205" s="690">
        <f t="array" aca="1" ref="FA205" ca="1">SUM(IF($W$16:$W$200=FA$202,EY$16:EY$200))</f>
        <v>0</v>
      </c>
      <c r="FB205" s="695" t="s">
        <v>718</v>
      </c>
      <c r="FC205" s="1918">
        <f t="array" aca="1" ref="FC205" ca="1">SUM(IF($W$16:$W$193=FC$202,FF$16:FF$193))</f>
        <v>4360118.2955550002</v>
      </c>
      <c r="FD205" s="1919"/>
      <c r="FE205" s="1919"/>
      <c r="FF205" s="690">
        <f t="array" aca="1" ref="FF205" ca="1">SUM(IF($W$16:$W$200=FF$202,FF$16:FF$200))</f>
        <v>4303.32</v>
      </c>
      <c r="FG205" s="690">
        <f t="array" aca="1" ref="FG205" ca="1">SUM(IF($W$16:$W$200=FG$202,FF$16:FF$200))</f>
        <v>252487.66666749999</v>
      </c>
      <c r="FH205" s="690">
        <f t="array" aca="1" ref="FH205" ca="1">SUM(IF($W$16:$W$200=FH$202,FF$16:FF$200))</f>
        <v>0</v>
      </c>
      <c r="FI205" s="686">
        <f t="array" aca="1" ref="FI205" ca="1">SUM(IF($W$16:$W$200=FI$202,FJ$16:FJ$200))</f>
        <v>-1648330.3810129163</v>
      </c>
      <c r="FJ205" s="686">
        <f t="array" aca="1" ref="FJ205" ca="1">SUM(IF($W$16:$W$200=FJ$202,FJ$16:FJ$200))</f>
        <v>627737.77472605242</v>
      </c>
      <c r="FK205" s="686">
        <f t="array" aca="1" ref="FK205" ca="1">SUM(IF($W$16:$W$200=FK$202,FJ$16:FJ$200))</f>
        <v>1233220.1909270836</v>
      </c>
      <c r="FL205" s="697">
        <f t="array" aca="1" ref="FL205" ca="1">SUM(IF($W$16:$W$200=FL$202,FJ$16:FJ$200))</f>
        <v>0</v>
      </c>
      <c r="FM205" s="698">
        <f t="array" aca="1" ref="FM205" ca="1">SUM(IF($W$16:$W$200=FM$202,FN$16:FN$200))</f>
        <v>0</v>
      </c>
      <c r="FN205" s="686">
        <f t="array" aca="1" ref="FN205" ca="1">SUM(IF($W$16:$W$200=FN$202,FN$16:FN$200))</f>
        <v>0</v>
      </c>
      <c r="FO205" s="686">
        <f t="array" aca="1" ref="FO205" ca="1">SUM(IF($W$16:$W$200=FO$202,FN$16:FN$200))</f>
        <v>0</v>
      </c>
      <c r="FP205" s="697">
        <f t="array" aca="1" ref="FP205" ca="1">SUM(IF($W$16:$W$200=FP$202,FN$16:FN$200))</f>
        <v>0</v>
      </c>
      <c r="FQ205" s="686">
        <f t="array" aca="1" ref="FQ205" ca="1">SUM(IF($W$16:$W$200=FQ$202,FR$16:FR$200))</f>
        <v>4360118.2955550002</v>
      </c>
      <c r="FR205" s="686">
        <f t="array" aca="1" ref="FR205" ca="1">SUM(IF($W$16:$W$200=FR$202,FR$16:FR$200))</f>
        <v>4303.32</v>
      </c>
      <c r="FS205" s="686">
        <f t="array" aca="1" ref="FS205" ca="1">SUM(IF($W$16:$W$200=FS$202,FR$16:FR$200))</f>
        <v>252487.66666749999</v>
      </c>
      <c r="FT205" s="699">
        <f t="array" aca="1" ref="FT205" ca="1">SUM(IF($W$16:$W$200=FT$202,FR$16:FR$200))</f>
        <v>0</v>
      </c>
      <c r="FU205" s="700" t="s">
        <v>718</v>
      </c>
    </row>
    <row r="206" spans="1:177" s="706" customFormat="1" x14ac:dyDescent="0.2">
      <c r="A206" s="35"/>
      <c r="B206" s="35"/>
      <c r="C206" s="142"/>
      <c r="D206" s="95"/>
      <c r="E206" s="610"/>
      <c r="F206" s="142"/>
      <c r="G206" s="611"/>
      <c r="H206" s="1694"/>
      <c r="I206" s="1694"/>
      <c r="J206" s="1694"/>
      <c r="K206" s="1694"/>
      <c r="L206" s="1694"/>
      <c r="M206" s="35"/>
      <c r="N206" s="613"/>
      <c r="O206" s="613"/>
      <c r="P206" s="614"/>
      <c r="Q206" s="615"/>
      <c r="R206" s="615"/>
      <c r="S206" s="142"/>
      <c r="T206" s="615"/>
      <c r="U206" s="616"/>
      <c r="V206" s="617"/>
      <c r="W206" s="142"/>
      <c r="X206" s="142"/>
      <c r="Y206" s="142"/>
      <c r="Z206" s="618"/>
      <c r="AA206" s="142"/>
      <c r="AB206" s="701"/>
      <c r="AC206" s="701"/>
      <c r="AD206" s="142"/>
      <c r="AE206" s="142"/>
      <c r="AF206" s="613"/>
      <c r="AG206" s="142"/>
      <c r="AH206" s="142"/>
      <c r="AI206" s="142"/>
      <c r="AJ206" s="613"/>
      <c r="AK206" s="142"/>
      <c r="AL206" s="142"/>
      <c r="AM206" s="142"/>
      <c r="AN206" s="613"/>
      <c r="AO206" s="142"/>
      <c r="AP206" s="142"/>
      <c r="AQ206" s="142"/>
      <c r="AR206" s="613"/>
      <c r="AS206" s="702"/>
      <c r="AT206" s="142"/>
      <c r="AU206" s="701"/>
      <c r="AV206" s="701"/>
      <c r="AW206" s="142"/>
      <c r="AX206" s="142"/>
      <c r="AY206" s="613"/>
      <c r="AZ206" s="142"/>
      <c r="BA206" s="142"/>
      <c r="BB206" s="142"/>
      <c r="BC206" s="613"/>
      <c r="BD206" s="142"/>
      <c r="BE206" s="142"/>
      <c r="BF206" s="142"/>
      <c r="BG206" s="613"/>
      <c r="BH206" s="142"/>
      <c r="BI206" s="142"/>
      <c r="BJ206" s="142"/>
      <c r="BK206" s="613"/>
      <c r="BL206" s="703"/>
      <c r="BM206" s="142"/>
      <c r="BN206" s="701"/>
      <c r="BO206" s="701"/>
      <c r="BP206" s="142"/>
      <c r="BQ206" s="142"/>
      <c r="BR206" s="613"/>
      <c r="BS206" s="142"/>
      <c r="BT206" s="142"/>
      <c r="BU206" s="142"/>
      <c r="BV206" s="613"/>
      <c r="BW206" s="142"/>
      <c r="BX206" s="142"/>
      <c r="BY206" s="142"/>
      <c r="BZ206" s="613"/>
      <c r="CA206" s="142"/>
      <c r="CB206" s="142"/>
      <c r="CC206" s="142"/>
      <c r="CD206" s="613"/>
      <c r="CE206" s="612"/>
      <c r="CF206" s="142"/>
      <c r="CG206" s="701"/>
      <c r="CH206" s="701"/>
      <c r="CI206" s="142"/>
      <c r="CJ206" s="142"/>
      <c r="CK206" s="613"/>
      <c r="CL206" s="142"/>
      <c r="CM206" s="142"/>
      <c r="CN206" s="142"/>
      <c r="CO206" s="613"/>
      <c r="CP206" s="142"/>
      <c r="CQ206" s="142"/>
      <c r="CR206" s="142"/>
      <c r="CS206" s="613"/>
      <c r="CT206" s="142"/>
      <c r="CU206" s="142"/>
      <c r="CV206" s="142"/>
      <c r="CW206" s="613"/>
      <c r="CX206" s="703"/>
      <c r="CY206" s="413"/>
      <c r="CZ206" s="701"/>
      <c r="DA206" s="142"/>
      <c r="DB206" s="704"/>
      <c r="DC206" s="142"/>
      <c r="DD206" s="613"/>
      <c r="DE206" s="142"/>
      <c r="DF206" s="142"/>
      <c r="DG206" s="142"/>
      <c r="DH206" s="613"/>
      <c r="DI206" s="142"/>
      <c r="DJ206" s="142"/>
      <c r="DK206" s="142"/>
      <c r="DL206" s="613"/>
      <c r="DM206" s="142"/>
      <c r="DN206" s="142"/>
      <c r="DO206" s="142"/>
      <c r="DP206" s="613"/>
      <c r="DQ206" s="702"/>
      <c r="DR206" s="413"/>
      <c r="DS206" s="701"/>
      <c r="DT206" s="142"/>
      <c r="DU206" s="704"/>
      <c r="DV206" s="142"/>
      <c r="DW206" s="613"/>
      <c r="DX206" s="142"/>
      <c r="DY206" s="142"/>
      <c r="DZ206" s="142"/>
      <c r="EA206" s="613"/>
      <c r="EB206" s="142"/>
      <c r="EC206" s="142"/>
      <c r="ED206" s="142"/>
      <c r="EE206" s="613"/>
      <c r="EF206" s="142"/>
      <c r="EG206" s="142"/>
      <c r="EH206" s="142"/>
      <c r="EI206" s="613"/>
      <c r="EJ206" s="142"/>
      <c r="EK206" s="701"/>
      <c r="EL206" s="705"/>
      <c r="EM206" s="142"/>
      <c r="EN206" s="142"/>
      <c r="EO206" s="613"/>
      <c r="EP206" s="142"/>
      <c r="EQ206" s="142"/>
      <c r="ER206" s="142"/>
      <c r="ES206" s="613"/>
      <c r="ET206" s="142"/>
      <c r="EU206" s="142"/>
      <c r="EV206" s="142"/>
      <c r="EW206" s="613"/>
      <c r="EX206" s="142"/>
      <c r="EY206" s="142"/>
      <c r="EZ206" s="142"/>
      <c r="FA206" s="613"/>
      <c r="FB206" s="612"/>
      <c r="FC206" s="142"/>
      <c r="FD206" s="701"/>
      <c r="FE206" s="701"/>
      <c r="FF206" s="142"/>
      <c r="FG206" s="142"/>
      <c r="FH206" s="613"/>
      <c r="FI206" s="142"/>
      <c r="FJ206" s="142"/>
      <c r="FK206" s="142"/>
      <c r="FL206" s="613"/>
      <c r="FM206" s="142"/>
      <c r="FN206" s="142"/>
      <c r="FO206" s="142"/>
      <c r="FP206" s="613"/>
      <c r="FQ206" s="142"/>
      <c r="FR206" s="142"/>
      <c r="FS206" s="142"/>
      <c r="FT206" s="613"/>
      <c r="FU206" s="702"/>
    </row>
  </sheetData>
  <autoFilter ref="A15:FU205" xr:uid="{B6EC7F8C-62EB-44F5-B727-6ADB9E622494}"/>
  <dataConsolidate/>
  <mergeCells count="118">
    <mergeCell ref="DR202:DT202"/>
    <mergeCell ref="DR203:DT203"/>
    <mergeCell ref="DR204:DT204"/>
    <mergeCell ref="DR205:DT205"/>
    <mergeCell ref="AA205:AC205"/>
    <mergeCell ref="AA204:AC204"/>
    <mergeCell ref="AA203:AC203"/>
    <mergeCell ref="AT202:AV202"/>
    <mergeCell ref="AA202:AC202"/>
    <mergeCell ref="Q2:R2"/>
    <mergeCell ref="CY2:DP2"/>
    <mergeCell ref="AT2:BK2"/>
    <mergeCell ref="CY1:DP1"/>
    <mergeCell ref="AT1:BK1"/>
    <mergeCell ref="BM1:CD1"/>
    <mergeCell ref="CF1:CW1"/>
    <mergeCell ref="AA1:AR1"/>
    <mergeCell ref="AA2:AR2"/>
    <mergeCell ref="AK14:AN14"/>
    <mergeCell ref="AT203:AV203"/>
    <mergeCell ref="AT204:AV204"/>
    <mergeCell ref="AT205:AV205"/>
    <mergeCell ref="BM202:BO202"/>
    <mergeCell ref="BM203:BO203"/>
    <mergeCell ref="BM204:BO204"/>
    <mergeCell ref="CP14:CS14"/>
    <mergeCell ref="CT14:CW14"/>
    <mergeCell ref="AT14:AY14"/>
    <mergeCell ref="BM205:BO205"/>
    <mergeCell ref="CF205:CH205"/>
    <mergeCell ref="CF202:CH202"/>
    <mergeCell ref="CF203:CH203"/>
    <mergeCell ref="CF204:CH204"/>
    <mergeCell ref="Q3:R3"/>
    <mergeCell ref="CY3:DP3"/>
    <mergeCell ref="AT3:BK3"/>
    <mergeCell ref="AT4:BK4"/>
    <mergeCell ref="AT5:BK5"/>
    <mergeCell ref="AA3:AR3"/>
    <mergeCell ref="AA4:AR4"/>
    <mergeCell ref="BM4:CD4"/>
    <mergeCell ref="BM3:CD3"/>
    <mergeCell ref="CF3:CW3"/>
    <mergeCell ref="CY4:DP4"/>
    <mergeCell ref="Q5:R5"/>
    <mergeCell ref="CY5:DP5"/>
    <mergeCell ref="Q4:R4"/>
    <mergeCell ref="FC4:FT4"/>
    <mergeCell ref="BM5:CD5"/>
    <mergeCell ref="CF5:CW5"/>
    <mergeCell ref="EJ5:FA5"/>
    <mergeCell ref="EJ1:FA1"/>
    <mergeCell ref="FC1:FT1"/>
    <mergeCell ref="FC5:FT5"/>
    <mergeCell ref="FC3:FT3"/>
    <mergeCell ref="BM2:CD2"/>
    <mergeCell ref="CF2:CW2"/>
    <mergeCell ref="EJ2:FA2"/>
    <mergeCell ref="FC2:FT2"/>
    <mergeCell ref="EJ3:FA3"/>
    <mergeCell ref="DR1:EI1"/>
    <mergeCell ref="DR2:EI2"/>
    <mergeCell ref="DR3:EI3"/>
    <mergeCell ref="DR4:EI4"/>
    <mergeCell ref="DR5:EI5"/>
    <mergeCell ref="CF4:CW4"/>
    <mergeCell ref="EJ4:FA4"/>
    <mergeCell ref="CY12:DP12"/>
    <mergeCell ref="AZ14:BC14"/>
    <mergeCell ref="CF12:CW12"/>
    <mergeCell ref="BW14:BZ14"/>
    <mergeCell ref="AT12:BK12"/>
    <mergeCell ref="BM12:CD12"/>
    <mergeCell ref="CA14:CD14"/>
    <mergeCell ref="CF13:CW13"/>
    <mergeCell ref="BD14:BG14"/>
    <mergeCell ref="BH14:BK14"/>
    <mergeCell ref="BM14:BR14"/>
    <mergeCell ref="BS14:BV14"/>
    <mergeCell ref="CY14:DD14"/>
    <mergeCell ref="DE14:DH14"/>
    <mergeCell ref="DI14:DL14"/>
    <mergeCell ref="DM14:DP14"/>
    <mergeCell ref="CF14:CK14"/>
    <mergeCell ref="CL14:CO14"/>
    <mergeCell ref="ET14:EW14"/>
    <mergeCell ref="EX14:FA14"/>
    <mergeCell ref="FQ14:FT14"/>
    <mergeCell ref="DR14:DW14"/>
    <mergeCell ref="DX14:EA14"/>
    <mergeCell ref="EB14:EE14"/>
    <mergeCell ref="EF14:EI14"/>
    <mergeCell ref="AT13:BK13"/>
    <mergeCell ref="BM13:CD13"/>
    <mergeCell ref="FC12:FT12"/>
    <mergeCell ref="FI14:FL14"/>
    <mergeCell ref="FM14:FP14"/>
    <mergeCell ref="CY13:DP13"/>
    <mergeCell ref="EJ13:FA13"/>
    <mergeCell ref="EJ205:EL205"/>
    <mergeCell ref="FC202:FE202"/>
    <mergeCell ref="FC203:FE203"/>
    <mergeCell ref="FC204:FE204"/>
    <mergeCell ref="FC205:FE205"/>
    <mergeCell ref="EJ202:EL202"/>
    <mergeCell ref="EJ203:EL203"/>
    <mergeCell ref="EJ204:EL204"/>
    <mergeCell ref="CY205:DA205"/>
    <mergeCell ref="CY202:DA202"/>
    <mergeCell ref="CY203:DA203"/>
    <mergeCell ref="CY204:DA204"/>
    <mergeCell ref="EJ14:EO14"/>
    <mergeCell ref="EJ12:FA12"/>
    <mergeCell ref="FC13:FT13"/>
    <mergeCell ref="DR12:EI12"/>
    <mergeCell ref="DR13:EI13"/>
    <mergeCell ref="FC14:FH14"/>
    <mergeCell ref="EP14:ES14"/>
  </mergeCells>
  <conditionalFormatting sqref="Y85 X98:X103 X104:Y110 X112:Y155 X159:Y200 X16:Y80 X86:Y97 X80:X84">
    <cfRule type="expression" dxfId="245" priority="2022">
      <formula>$M16="Pct"</formula>
    </cfRule>
  </conditionalFormatting>
  <conditionalFormatting sqref="DA196:DA197 EL196:EL197 DA199:DA200 EL199:EL200 AU206:AV1048576 BN206:BO1048576 CG206:CH1048576 CZ206:CZ1048576 EK206:EK1048576 FD206:FE1048576 AB206:AC1048576 DT196:DT197 DT199:DT200 DS206:DS1048576 CG81:CH201 AU81:AV201 AB81:AC201 BN81:BO201 CZ77:DA77 EK77:EL77 DS77:DT77 EK12:EK76 CG12:CH78 CG1:CH6 EK1:EK6 FD1:FE6 CZ1:CZ3 CZ4:DA4 DS1:DS3 DS4:DT4 CZ5:CZ76 AB1:AC78 AU1:AV78 BN1:BO78 DS5:DS76 CG79:CG80 AU79:AU80 AB79:AB80 BN79:BN80 CZ78:CZ201 EK78:EK201 DS78:DS201 FD12:FE201">
    <cfRule type="expression" dxfId="244" priority="2034">
      <formula>$M:$M="Pct"</formula>
    </cfRule>
  </conditionalFormatting>
  <conditionalFormatting sqref="BI29:BI200 CB29:CB200 CU29:CU200 DN29:DN200 EY29:EY200 FR29:FR200 EG29:EG200 AP29:AP200">
    <cfRule type="expression" dxfId="243" priority="27">
      <formula>"$S$35:$S$232&lt;&gt;"""""</formula>
    </cfRule>
  </conditionalFormatting>
  <conditionalFormatting sqref="A67:FT69 A71:FT76 A63:FT65 A59:FT61 A30:FT57">
    <cfRule type="expression" dxfId="242" priority="19">
      <formula>IFERROR(AND($G30&gt;0,$G30-TODAY()&lt;30),FALSE)</formula>
    </cfRule>
  </conditionalFormatting>
  <conditionalFormatting sqref="AU77">
    <cfRule type="dataBar" priority="16">
      <dataBar>
        <cfvo type="min"/>
        <cfvo type="max"/>
        <color rgb="FF63C384"/>
      </dataBar>
      <extLst>
        <ext xmlns:x14="http://schemas.microsoft.com/office/spreadsheetml/2009/9/main" uri="{B025F937-C7B1-47D3-B67F-A62EFF666E3E}">
          <x14:id>{B0B29F3C-0403-4151-8C57-BE09229B7982}</x14:id>
        </ext>
      </extLst>
    </cfRule>
  </conditionalFormatting>
  <conditionalFormatting sqref="BN77">
    <cfRule type="dataBar" priority="15">
      <dataBar>
        <cfvo type="min"/>
        <cfvo type="max"/>
        <color rgb="FF63C384"/>
      </dataBar>
      <extLst>
        <ext xmlns:x14="http://schemas.microsoft.com/office/spreadsheetml/2009/9/main" uri="{B025F937-C7B1-47D3-B67F-A62EFF666E3E}">
          <x14:id>{1E55F10E-7503-4449-878D-D47D5CAED472}</x14:id>
        </ext>
      </extLst>
    </cfRule>
  </conditionalFormatting>
  <conditionalFormatting sqref="CG77">
    <cfRule type="dataBar" priority="14">
      <dataBar>
        <cfvo type="min"/>
        <cfvo type="max"/>
        <color rgb="FF63C384"/>
      </dataBar>
      <extLst>
        <ext xmlns:x14="http://schemas.microsoft.com/office/spreadsheetml/2009/9/main" uri="{B025F937-C7B1-47D3-B67F-A62EFF666E3E}">
          <x14:id>{ACECE8C0-7FCF-45D1-9216-B924227FD9F3}</x14:id>
        </ext>
      </extLst>
    </cfRule>
  </conditionalFormatting>
  <conditionalFormatting sqref="CZ77">
    <cfRule type="dataBar" priority="13">
      <dataBar>
        <cfvo type="min"/>
        <cfvo type="max"/>
        <color rgb="FF63C384"/>
      </dataBar>
      <extLst>
        <ext xmlns:x14="http://schemas.microsoft.com/office/spreadsheetml/2009/9/main" uri="{B025F937-C7B1-47D3-B67F-A62EFF666E3E}">
          <x14:id>{4D98E51A-A095-455D-93F9-ADC87DA96B68}</x14:id>
        </ext>
      </extLst>
    </cfRule>
  </conditionalFormatting>
  <conditionalFormatting sqref="EK77">
    <cfRule type="dataBar" priority="12">
      <dataBar>
        <cfvo type="min"/>
        <cfvo type="max"/>
        <color rgb="FF63C384"/>
      </dataBar>
      <extLst>
        <ext xmlns:x14="http://schemas.microsoft.com/office/spreadsheetml/2009/9/main" uri="{B025F937-C7B1-47D3-B67F-A62EFF666E3E}">
          <x14:id>{24A9C968-7C22-4B04-9621-E6B7B9CAC057}</x14:id>
        </ext>
      </extLst>
    </cfRule>
  </conditionalFormatting>
  <conditionalFormatting sqref="FD77">
    <cfRule type="dataBar" priority="11">
      <dataBar>
        <cfvo type="min"/>
        <cfvo type="max"/>
        <color rgb="FF63C384"/>
      </dataBar>
      <extLst>
        <ext xmlns:x14="http://schemas.microsoft.com/office/spreadsheetml/2009/9/main" uri="{B025F937-C7B1-47D3-B67F-A62EFF666E3E}">
          <x14:id>{AE2B2CCA-3A86-4012-9AC4-EBCD9BA8C51C}</x14:id>
        </ext>
      </extLst>
    </cfRule>
  </conditionalFormatting>
  <conditionalFormatting sqref="DS77">
    <cfRule type="dataBar" priority="3">
      <dataBar>
        <cfvo type="min"/>
        <cfvo type="max"/>
        <color rgb="FF63C384"/>
      </dataBar>
      <extLst>
        <ext xmlns:x14="http://schemas.microsoft.com/office/spreadsheetml/2009/9/main" uri="{B025F937-C7B1-47D3-B67F-A62EFF666E3E}">
          <x14:id>{E94591D7-7CDF-433A-A4C2-ADC6B80F72FF}</x14:id>
        </ext>
      </extLst>
    </cfRule>
  </conditionalFormatting>
  <conditionalFormatting sqref="X28:X193">
    <cfRule type="expression" dxfId="241" priority="2">
      <formula>NOT(_xlfn.ISFORMULA($X28))</formula>
    </cfRule>
  </conditionalFormatting>
  <conditionalFormatting sqref="AU30:AU76 AU78:AU193">
    <cfRule type="dataBar" priority="13275">
      <dataBar>
        <cfvo type="min"/>
        <cfvo type="max"/>
        <color rgb="FF63C384"/>
      </dataBar>
      <extLst>
        <ext xmlns:x14="http://schemas.microsoft.com/office/spreadsheetml/2009/9/main" uri="{B025F937-C7B1-47D3-B67F-A62EFF666E3E}">
          <x14:id>{14C16920-B998-47EF-9879-134EF1DB6F46}</x14:id>
        </ext>
      </extLst>
    </cfRule>
  </conditionalFormatting>
  <conditionalFormatting sqref="BN30:BN76 BN78:BN193">
    <cfRule type="dataBar" priority="13278">
      <dataBar>
        <cfvo type="min"/>
        <cfvo type="max"/>
        <color rgb="FF63C384"/>
      </dataBar>
      <extLst>
        <ext xmlns:x14="http://schemas.microsoft.com/office/spreadsheetml/2009/9/main" uri="{B025F937-C7B1-47D3-B67F-A62EFF666E3E}">
          <x14:id>{51EA95D6-2745-4644-877B-782CD522A8EC}</x14:id>
        </ext>
      </extLst>
    </cfRule>
  </conditionalFormatting>
  <conditionalFormatting sqref="CG30:CG76 CG78:CG193">
    <cfRule type="dataBar" priority="13281">
      <dataBar>
        <cfvo type="min"/>
        <cfvo type="max"/>
        <color rgb="FF63C384"/>
      </dataBar>
      <extLst>
        <ext xmlns:x14="http://schemas.microsoft.com/office/spreadsheetml/2009/9/main" uri="{B025F937-C7B1-47D3-B67F-A62EFF666E3E}">
          <x14:id>{948B475A-C0B0-46FA-8A32-32A952A524CB}</x14:id>
        </ext>
      </extLst>
    </cfRule>
  </conditionalFormatting>
  <conditionalFormatting sqref="CZ30:CZ76 CZ78:CZ193">
    <cfRule type="dataBar" priority="13284">
      <dataBar>
        <cfvo type="min"/>
        <cfvo type="max"/>
        <color rgb="FF63C384"/>
      </dataBar>
      <extLst>
        <ext xmlns:x14="http://schemas.microsoft.com/office/spreadsheetml/2009/9/main" uri="{B025F937-C7B1-47D3-B67F-A62EFF666E3E}">
          <x14:id>{BF926158-E053-4027-9C74-9321A3614591}</x14:id>
        </ext>
      </extLst>
    </cfRule>
  </conditionalFormatting>
  <conditionalFormatting sqref="EK30:EK76 EK78:EK193">
    <cfRule type="dataBar" priority="13287">
      <dataBar>
        <cfvo type="min"/>
        <cfvo type="max"/>
        <color rgb="FF63C384"/>
      </dataBar>
      <extLst>
        <ext xmlns:x14="http://schemas.microsoft.com/office/spreadsheetml/2009/9/main" uri="{B025F937-C7B1-47D3-B67F-A62EFF666E3E}">
          <x14:id>{A8C85318-E1C6-4236-8E32-DA738018D232}</x14:id>
        </ext>
      </extLst>
    </cfRule>
  </conditionalFormatting>
  <conditionalFormatting sqref="FD30:FD76 FD78:FD193">
    <cfRule type="dataBar" priority="13290">
      <dataBar>
        <cfvo type="min"/>
        <cfvo type="max"/>
        <color rgb="FF63C384"/>
      </dataBar>
      <extLst>
        <ext xmlns:x14="http://schemas.microsoft.com/office/spreadsheetml/2009/9/main" uri="{B025F937-C7B1-47D3-B67F-A62EFF666E3E}">
          <x14:id>{208AE979-18DE-40FC-815B-2F0BC5721238}</x14:id>
        </ext>
      </extLst>
    </cfRule>
  </conditionalFormatting>
  <conditionalFormatting sqref="DS30:DS76 DS78:DS193">
    <cfRule type="dataBar" priority="13293">
      <dataBar>
        <cfvo type="min"/>
        <cfvo type="max"/>
        <color rgb="FF63C384"/>
      </dataBar>
      <extLst>
        <ext xmlns:x14="http://schemas.microsoft.com/office/spreadsheetml/2009/9/main" uri="{B025F937-C7B1-47D3-B67F-A62EFF666E3E}">
          <x14:id>{AA596887-99E6-470A-B1B8-E982F789C2A6}</x14:id>
        </ext>
      </extLst>
    </cfRule>
  </conditionalFormatting>
  <conditionalFormatting sqref="Z17:Z27">
    <cfRule type="expression" dxfId="240" priority="1">
      <formula>NOT(_xlfn.ISFORMULA($Z17))</formula>
    </cfRule>
  </conditionalFormatting>
  <conditionalFormatting sqref="AB30:AB193">
    <cfRule type="dataBar" priority="13401">
      <dataBar>
        <cfvo type="min"/>
        <cfvo type="max"/>
        <color rgb="FF63C384"/>
      </dataBar>
      <extLst>
        <ext xmlns:x14="http://schemas.microsoft.com/office/spreadsheetml/2009/9/main" uri="{B025F937-C7B1-47D3-B67F-A62EFF666E3E}">
          <x14:id>{E14AA83F-CF83-4855-AA78-062B7BE6C9D3}</x14:id>
        </ext>
      </extLst>
    </cfRule>
  </conditionalFormatting>
  <dataValidations count="1">
    <dataValidation type="list" allowBlank="1" showInputMessage="1" showErrorMessage="1" sqref="U160:U161 S196:S197 S199:S200 H160:M161 S110:S113 S153:S154 S167:S169 S188 S190:S191 S193 U163 H163:M163 S17:S27 F164:G164 F193:G193 F190:G191 F188:G188 F167:G169 F153:G154 F110:G113 F17:G20 F67:G69 F71:G76 S115:S117 F162:G162 F115:G117 S136:S140 F136:G140 F171:G186 S171:S186 F30 F63:G65 F59:G61 S119:S134 S142:S151 F142:G151 S156:S164 F156:G159 S98:S108 F98:G108 F119:G134 F31:G57 F79:G96 S79:S96" xr:uid="{6C114E52-660F-409D-8C7C-C68CA592A00E}">
      <formula1>Descrizioni</formula1>
    </dataValidation>
  </dataValidations>
  <printOptions horizontalCentered="1"/>
  <pageMargins left="0.23622047244094491" right="0.23622047244094491" top="0.39370078740157483" bottom="0.39370078740157483" header="0.31496062992125984" footer="0.31496062992125984"/>
  <pageSetup paperSize="9" scale="27" orientation="portrait"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B0B29F3C-0403-4151-8C57-BE09229B7982}">
            <x14:dataBar minLength="0" maxLength="100" border="1" negativeBarBorderColorSameAsPositive="0">
              <x14:cfvo type="autoMin"/>
              <x14:cfvo type="autoMax"/>
              <x14:borderColor rgb="FF63C384"/>
              <x14:negativeFillColor rgb="FFFF0000"/>
              <x14:negativeBorderColor rgb="FFFF0000"/>
              <x14:axisColor rgb="FF000000"/>
            </x14:dataBar>
          </x14:cfRule>
          <xm:sqref>AU77</xm:sqref>
        </x14:conditionalFormatting>
        <x14:conditionalFormatting xmlns:xm="http://schemas.microsoft.com/office/excel/2006/main">
          <x14:cfRule type="dataBar" id="{1E55F10E-7503-4449-878D-D47D5CAED472}">
            <x14:dataBar minLength="0" maxLength="100" border="1" negativeBarBorderColorSameAsPositive="0">
              <x14:cfvo type="autoMin"/>
              <x14:cfvo type="autoMax"/>
              <x14:borderColor rgb="FF63C384"/>
              <x14:negativeFillColor rgb="FFFF0000"/>
              <x14:negativeBorderColor rgb="FFFF0000"/>
              <x14:axisColor rgb="FF000000"/>
            </x14:dataBar>
          </x14:cfRule>
          <xm:sqref>BN77</xm:sqref>
        </x14:conditionalFormatting>
        <x14:conditionalFormatting xmlns:xm="http://schemas.microsoft.com/office/excel/2006/main">
          <x14:cfRule type="dataBar" id="{ACECE8C0-7FCF-45D1-9216-B924227FD9F3}">
            <x14:dataBar minLength="0" maxLength="100" border="1" negativeBarBorderColorSameAsPositive="0">
              <x14:cfvo type="autoMin"/>
              <x14:cfvo type="autoMax"/>
              <x14:borderColor rgb="FF63C384"/>
              <x14:negativeFillColor rgb="FFFF0000"/>
              <x14:negativeBorderColor rgb="FFFF0000"/>
              <x14:axisColor rgb="FF000000"/>
            </x14:dataBar>
          </x14:cfRule>
          <xm:sqref>CG77</xm:sqref>
        </x14:conditionalFormatting>
        <x14:conditionalFormatting xmlns:xm="http://schemas.microsoft.com/office/excel/2006/main">
          <x14:cfRule type="dataBar" id="{4D98E51A-A095-455D-93F9-ADC87DA96B68}">
            <x14:dataBar minLength="0" maxLength="100" border="1" negativeBarBorderColorSameAsPositive="0">
              <x14:cfvo type="autoMin"/>
              <x14:cfvo type="autoMax"/>
              <x14:borderColor rgb="FF63C384"/>
              <x14:negativeFillColor rgb="FFFF0000"/>
              <x14:negativeBorderColor rgb="FFFF0000"/>
              <x14:axisColor rgb="FF000000"/>
            </x14:dataBar>
          </x14:cfRule>
          <xm:sqref>CZ77</xm:sqref>
        </x14:conditionalFormatting>
        <x14:conditionalFormatting xmlns:xm="http://schemas.microsoft.com/office/excel/2006/main">
          <x14:cfRule type="dataBar" id="{24A9C968-7C22-4B04-9621-E6B7B9CAC057}">
            <x14:dataBar minLength="0" maxLength="100" border="1" negativeBarBorderColorSameAsPositive="0">
              <x14:cfvo type="autoMin"/>
              <x14:cfvo type="autoMax"/>
              <x14:borderColor rgb="FF63C384"/>
              <x14:negativeFillColor rgb="FFFF0000"/>
              <x14:negativeBorderColor rgb="FFFF0000"/>
              <x14:axisColor rgb="FF000000"/>
            </x14:dataBar>
          </x14:cfRule>
          <xm:sqref>EK77</xm:sqref>
        </x14:conditionalFormatting>
        <x14:conditionalFormatting xmlns:xm="http://schemas.microsoft.com/office/excel/2006/main">
          <x14:cfRule type="dataBar" id="{AE2B2CCA-3A86-4012-9AC4-EBCD9BA8C51C}">
            <x14:dataBar minLength="0" maxLength="100" border="1" negativeBarBorderColorSameAsPositive="0">
              <x14:cfvo type="autoMin"/>
              <x14:cfvo type="autoMax"/>
              <x14:borderColor rgb="FF63C384"/>
              <x14:negativeFillColor rgb="FFFF0000"/>
              <x14:negativeBorderColor rgb="FFFF0000"/>
              <x14:axisColor rgb="FF000000"/>
            </x14:dataBar>
          </x14:cfRule>
          <xm:sqref>FD77</xm:sqref>
        </x14:conditionalFormatting>
        <x14:conditionalFormatting xmlns:xm="http://schemas.microsoft.com/office/excel/2006/main">
          <x14:cfRule type="dataBar" id="{E94591D7-7CDF-433A-A4C2-ADC6B80F72FF}">
            <x14:dataBar minLength="0" maxLength="100" border="1" negativeBarBorderColorSameAsPositive="0">
              <x14:cfvo type="autoMin"/>
              <x14:cfvo type="autoMax"/>
              <x14:borderColor rgb="FF63C384"/>
              <x14:negativeFillColor rgb="FFFF0000"/>
              <x14:negativeBorderColor rgb="FFFF0000"/>
              <x14:axisColor rgb="FF000000"/>
            </x14:dataBar>
          </x14:cfRule>
          <xm:sqref>DS77</xm:sqref>
        </x14:conditionalFormatting>
        <x14:conditionalFormatting xmlns:xm="http://schemas.microsoft.com/office/excel/2006/main">
          <x14:cfRule type="dataBar" id="{14C16920-B998-47EF-9879-134EF1DB6F46}">
            <x14:dataBar minLength="0" maxLength="100" border="1" negativeBarBorderColorSameAsPositive="0">
              <x14:cfvo type="autoMin"/>
              <x14:cfvo type="autoMax"/>
              <x14:borderColor rgb="FF63C384"/>
              <x14:negativeFillColor rgb="FFFF0000"/>
              <x14:negativeBorderColor rgb="FFFF0000"/>
              <x14:axisColor rgb="FF000000"/>
            </x14:dataBar>
          </x14:cfRule>
          <xm:sqref>AU30:AU76 AU78:AU193</xm:sqref>
        </x14:conditionalFormatting>
        <x14:conditionalFormatting xmlns:xm="http://schemas.microsoft.com/office/excel/2006/main">
          <x14:cfRule type="dataBar" id="{51EA95D6-2745-4644-877B-782CD522A8EC}">
            <x14:dataBar minLength="0" maxLength="100" border="1" negativeBarBorderColorSameAsPositive="0">
              <x14:cfvo type="autoMin"/>
              <x14:cfvo type="autoMax"/>
              <x14:borderColor rgb="FF63C384"/>
              <x14:negativeFillColor rgb="FFFF0000"/>
              <x14:negativeBorderColor rgb="FFFF0000"/>
              <x14:axisColor rgb="FF000000"/>
            </x14:dataBar>
          </x14:cfRule>
          <xm:sqref>BN30:BN76 BN78:BN193</xm:sqref>
        </x14:conditionalFormatting>
        <x14:conditionalFormatting xmlns:xm="http://schemas.microsoft.com/office/excel/2006/main">
          <x14:cfRule type="dataBar" id="{948B475A-C0B0-46FA-8A32-32A952A524CB}">
            <x14:dataBar minLength="0" maxLength="100" border="1" negativeBarBorderColorSameAsPositive="0">
              <x14:cfvo type="autoMin"/>
              <x14:cfvo type="autoMax"/>
              <x14:borderColor rgb="FF63C384"/>
              <x14:negativeFillColor rgb="FFFF0000"/>
              <x14:negativeBorderColor rgb="FFFF0000"/>
              <x14:axisColor rgb="FF000000"/>
            </x14:dataBar>
          </x14:cfRule>
          <xm:sqref>CG30:CG76 CG78:CG193</xm:sqref>
        </x14:conditionalFormatting>
        <x14:conditionalFormatting xmlns:xm="http://schemas.microsoft.com/office/excel/2006/main">
          <x14:cfRule type="dataBar" id="{BF926158-E053-4027-9C74-9321A3614591}">
            <x14:dataBar minLength="0" maxLength="100" border="1" negativeBarBorderColorSameAsPositive="0">
              <x14:cfvo type="autoMin"/>
              <x14:cfvo type="autoMax"/>
              <x14:borderColor rgb="FF63C384"/>
              <x14:negativeFillColor rgb="FFFF0000"/>
              <x14:negativeBorderColor rgb="FFFF0000"/>
              <x14:axisColor rgb="FF000000"/>
            </x14:dataBar>
          </x14:cfRule>
          <xm:sqref>CZ30:CZ76 CZ78:CZ193</xm:sqref>
        </x14:conditionalFormatting>
        <x14:conditionalFormatting xmlns:xm="http://schemas.microsoft.com/office/excel/2006/main">
          <x14:cfRule type="dataBar" id="{A8C85318-E1C6-4236-8E32-DA738018D232}">
            <x14:dataBar minLength="0" maxLength="100" border="1" negativeBarBorderColorSameAsPositive="0">
              <x14:cfvo type="autoMin"/>
              <x14:cfvo type="autoMax"/>
              <x14:borderColor rgb="FF63C384"/>
              <x14:negativeFillColor rgb="FFFF0000"/>
              <x14:negativeBorderColor rgb="FFFF0000"/>
              <x14:axisColor rgb="FF000000"/>
            </x14:dataBar>
          </x14:cfRule>
          <xm:sqref>EK30:EK76 EK78:EK193</xm:sqref>
        </x14:conditionalFormatting>
        <x14:conditionalFormatting xmlns:xm="http://schemas.microsoft.com/office/excel/2006/main">
          <x14:cfRule type="dataBar" id="{208AE979-18DE-40FC-815B-2F0BC5721238}">
            <x14:dataBar minLength="0" maxLength="100" border="1" negativeBarBorderColorSameAsPositive="0">
              <x14:cfvo type="autoMin"/>
              <x14:cfvo type="autoMax"/>
              <x14:borderColor rgb="FF63C384"/>
              <x14:negativeFillColor rgb="FFFF0000"/>
              <x14:negativeBorderColor rgb="FFFF0000"/>
              <x14:axisColor rgb="FF000000"/>
            </x14:dataBar>
          </x14:cfRule>
          <xm:sqref>FD30:FD76 FD78:FD193</xm:sqref>
        </x14:conditionalFormatting>
        <x14:conditionalFormatting xmlns:xm="http://schemas.microsoft.com/office/excel/2006/main">
          <x14:cfRule type="dataBar" id="{AA596887-99E6-470A-B1B8-E982F789C2A6}">
            <x14:dataBar minLength="0" maxLength="100" border="1" negativeBarBorderColorSameAsPositive="0">
              <x14:cfvo type="autoMin"/>
              <x14:cfvo type="autoMax"/>
              <x14:borderColor rgb="FF63C384"/>
              <x14:negativeFillColor rgb="FFFF0000"/>
              <x14:negativeBorderColor rgb="FFFF0000"/>
              <x14:axisColor rgb="FF000000"/>
            </x14:dataBar>
          </x14:cfRule>
          <xm:sqref>DS30:DS76 DS78:DS193</xm:sqref>
        </x14:conditionalFormatting>
        <x14:conditionalFormatting xmlns:xm="http://schemas.microsoft.com/office/excel/2006/main">
          <x14:cfRule type="dataBar" id="{E14AA83F-CF83-4855-AA78-062B7BE6C9D3}">
            <x14:dataBar minLength="0" maxLength="100" border="1" negativeBarBorderColorSameAsPositive="0">
              <x14:cfvo type="autoMin"/>
              <x14:cfvo type="autoMax"/>
              <x14:borderColor rgb="FF63C384"/>
              <x14:negativeFillColor rgb="FFFF0000"/>
              <x14:negativeBorderColor rgb="FFFF0000"/>
              <x14:axisColor rgb="FF000000"/>
            </x14:dataBar>
          </x14:cfRule>
          <xm:sqref>AB30:AB193</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732C2-7ACD-430C-9059-5D1221359255}">
  <sheetPr codeName="CHFMA">
    <tabColor theme="4" tint="0.79998168889431442"/>
    <outlinePr summaryBelow="0" summaryRight="0"/>
    <pageSetUpPr fitToPage="1"/>
  </sheetPr>
  <dimension ref="A1:AR123"/>
  <sheetViews>
    <sheetView showGridLines="0" zoomScaleNormal="100" workbookViewId="0">
      <pane xSplit="26" ySplit="19" topLeftCell="AA23" activePane="bottomRight" state="frozen"/>
      <selection activeCell="CJ19" sqref="CJ19"/>
      <selection pane="topRight" activeCell="CJ19" sqref="CJ19"/>
      <selection pane="bottomLeft" activeCell="CJ19" sqref="CJ19"/>
      <selection pane="bottomRight" activeCell="F27" sqref="F27"/>
    </sheetView>
  </sheetViews>
  <sheetFormatPr defaultColWidth="9.28515625" defaultRowHeight="12" outlineLevelRow="2" outlineLevelCol="1" x14ac:dyDescent="0.2"/>
  <cols>
    <col min="1" max="1" width="0.7109375" style="142" customWidth="1"/>
    <col min="2" max="2" width="2.28515625" style="142" customWidth="1"/>
    <col min="3" max="3" width="16.5703125" style="142" customWidth="1" outlineLevel="1"/>
    <col min="4" max="4" width="12.42578125" style="95" customWidth="1" outlineLevel="1"/>
    <col min="5" max="5" width="8.5703125" style="610" customWidth="1" outlineLevel="1"/>
    <col min="6" max="6" width="48.28515625" style="142" customWidth="1"/>
    <col min="7" max="7" width="9.42578125" style="611" customWidth="1" outlineLevel="1"/>
    <col min="8" max="12" width="2.28515625" style="1761" customWidth="1" outlineLevel="1"/>
    <col min="13" max="13" width="4.28515625" style="35" customWidth="1" outlineLevel="1"/>
    <col min="14" max="16" width="6.5703125" style="615" customWidth="1" outlineLevel="1"/>
    <col min="17" max="17" width="2.7109375" style="612" customWidth="1"/>
    <col min="18" max="18" width="8.42578125" style="612" customWidth="1" outlineLevel="1"/>
    <col min="19" max="19" width="6.5703125" style="615" customWidth="1" outlineLevel="1"/>
    <col min="20" max="21" width="8" style="615" customWidth="1" outlineLevel="1"/>
    <col min="22" max="22" width="8.85546875" style="617" customWidth="1" outlineLevel="1"/>
    <col min="23" max="23" width="6.42578125" style="142" customWidth="1"/>
    <col min="24" max="25" width="7.5703125" style="142" customWidth="1"/>
    <col min="26" max="26" width="6.140625" style="943" customWidth="1" collapsed="1"/>
    <col min="27" max="27" width="8.85546875" style="413" customWidth="1"/>
    <col min="28" max="28" width="6.85546875" style="413" customWidth="1" outlineLevel="1"/>
    <col min="29" max="29" width="8.85546875" style="985" customWidth="1" outlineLevel="1"/>
    <col min="30" max="31" width="8.85546875" style="142" customWidth="1"/>
    <col min="32" max="32" width="6.85546875" style="613" customWidth="1"/>
    <col min="33" max="35" width="8.85546875" style="413" customWidth="1"/>
    <col min="36" max="36" width="6.85546875" style="986" customWidth="1"/>
    <col min="37" max="39" width="8.85546875" style="142" customWidth="1"/>
    <col min="40" max="40" width="6.85546875" style="613" customWidth="1"/>
    <col min="41" max="43" width="8.85546875" style="142" customWidth="1"/>
    <col min="44" max="44" width="6.85546875" style="613" customWidth="1"/>
    <col min="45" max="16384" width="9.28515625" style="142"/>
  </cols>
  <sheetData>
    <row r="1" spans="1:44" s="34" customFormat="1" x14ac:dyDescent="0.2">
      <c r="A1" s="21" t="s">
        <v>651</v>
      </c>
      <c r="B1" s="21"/>
      <c r="C1" s="21"/>
      <c r="D1" s="21"/>
      <c r="E1" s="752"/>
      <c r="F1" s="21"/>
      <c r="G1" s="23"/>
      <c r="H1" s="1765"/>
      <c r="I1" s="1741"/>
      <c r="J1" s="1741"/>
      <c r="K1" s="1741"/>
      <c r="L1" s="1741"/>
      <c r="M1" s="21"/>
      <c r="N1" s="22"/>
      <c r="O1" s="22"/>
      <c r="P1" s="22"/>
      <c r="Q1" s="21"/>
      <c r="R1" s="21"/>
      <c r="S1" s="753"/>
      <c r="T1" s="21"/>
      <c r="U1" s="754" t="s">
        <v>369</v>
      </c>
      <c r="V1" s="28" t="s">
        <v>652</v>
      </c>
      <c r="W1" s="21"/>
      <c r="X1" s="21"/>
      <c r="Y1" s="21"/>
      <c r="Z1" s="21"/>
      <c r="AA1" s="1971" t="s">
        <v>78</v>
      </c>
      <c r="AB1" s="1971"/>
      <c r="AC1" s="1971"/>
      <c r="AD1" s="1971"/>
      <c r="AE1" s="1971"/>
      <c r="AF1" s="1971"/>
      <c r="AG1" s="1971"/>
      <c r="AH1" s="1971"/>
      <c r="AI1" s="1971"/>
      <c r="AJ1" s="1971"/>
      <c r="AK1" s="1971"/>
      <c r="AL1" s="1971"/>
      <c r="AM1" s="1971"/>
      <c r="AN1" s="1971"/>
      <c r="AO1" s="1971"/>
      <c r="AP1" s="1971"/>
      <c r="AQ1" s="1971"/>
      <c r="AR1" s="1971"/>
    </row>
    <row r="2" spans="1:44" s="34" customFormat="1" x14ac:dyDescent="0.2">
      <c r="A2" s="755" t="s">
        <v>653</v>
      </c>
      <c r="B2" s="22"/>
      <c r="C2" s="22"/>
      <c r="D2" s="29"/>
      <c r="E2" s="754"/>
      <c r="F2" s="22"/>
      <c r="G2" s="756"/>
      <c r="H2" s="1742"/>
      <c r="I2" s="1742"/>
      <c r="J2" s="1742"/>
      <c r="K2" s="1742"/>
      <c r="L2" s="1742"/>
      <c r="M2" s="58"/>
      <c r="N2" s="757" t="s">
        <v>654</v>
      </c>
      <c r="O2" s="757"/>
      <c r="P2" s="22"/>
      <c r="Q2" s="38"/>
      <c r="R2" s="38"/>
      <c r="S2" s="758"/>
      <c r="T2" s="1966">
        <f ca="1">SUM($AA$4:$AR$4)</f>
        <v>633527.74357994925</v>
      </c>
      <c r="U2" s="1966"/>
      <c r="V2" s="42">
        <f ca="1">T2/$T$5</f>
        <v>1</v>
      </c>
      <c r="W2" s="22"/>
      <c r="X2" s="22"/>
      <c r="Y2" s="22"/>
      <c r="Z2" s="22"/>
      <c r="AA2" s="1958" t="s">
        <v>810</v>
      </c>
      <c r="AB2" s="1958"/>
      <c r="AC2" s="1958"/>
      <c r="AD2" s="1958"/>
      <c r="AE2" s="1958"/>
      <c r="AF2" s="1958"/>
      <c r="AG2" s="1958"/>
      <c r="AH2" s="1958"/>
      <c r="AI2" s="1958"/>
      <c r="AJ2" s="1958"/>
      <c r="AK2" s="1958"/>
      <c r="AL2" s="1958"/>
      <c r="AM2" s="1958"/>
      <c r="AN2" s="1958"/>
      <c r="AO2" s="1958"/>
      <c r="AP2" s="1958"/>
      <c r="AQ2" s="1958"/>
      <c r="AR2" s="1958"/>
    </row>
    <row r="3" spans="1:44" s="34" customFormat="1" x14ac:dyDescent="0.2">
      <c r="A3" s="755" t="s">
        <v>661</v>
      </c>
      <c r="B3" s="22"/>
      <c r="C3" s="22"/>
      <c r="E3" s="65"/>
      <c r="F3" s="22"/>
      <c r="G3" s="756"/>
      <c r="H3" s="1742"/>
      <c r="I3" s="1742"/>
      <c r="J3" s="1742"/>
      <c r="K3" s="1742"/>
      <c r="L3" s="1742"/>
      <c r="M3" s="58"/>
      <c r="N3" s="757" t="s">
        <v>662</v>
      </c>
      <c r="O3" s="757"/>
      <c r="P3" s="47"/>
      <c r="Q3" s="38"/>
      <c r="R3" s="38"/>
      <c r="S3" s="758"/>
      <c r="T3" s="1966"/>
      <c r="U3" s="1966"/>
      <c r="V3" s="42">
        <f ca="1">T3/$T$5</f>
        <v>0</v>
      </c>
      <c r="W3" s="22"/>
      <c r="X3" s="22"/>
      <c r="Y3" s="22"/>
      <c r="Z3" s="22"/>
      <c r="AA3" s="1958" t="str">
        <f>$U1</f>
        <v>CHF</v>
      </c>
      <c r="AB3" s="1958"/>
      <c r="AC3" s="1958"/>
      <c r="AD3" s="1958"/>
      <c r="AE3" s="1958"/>
      <c r="AF3" s="1958"/>
      <c r="AG3" s="1958"/>
      <c r="AH3" s="1958"/>
      <c r="AI3" s="1958"/>
      <c r="AJ3" s="1958"/>
      <c r="AK3" s="1958"/>
      <c r="AL3" s="1958"/>
      <c r="AM3" s="1958"/>
      <c r="AN3" s="1958"/>
      <c r="AO3" s="1958"/>
      <c r="AP3" s="1958"/>
      <c r="AQ3" s="1958"/>
      <c r="AR3" s="1958"/>
    </row>
    <row r="4" spans="1:44" s="34" customFormat="1" x14ac:dyDescent="0.2">
      <c r="A4" s="755" t="s">
        <v>5</v>
      </c>
      <c r="B4" s="22"/>
      <c r="C4" s="22"/>
      <c r="D4" s="759"/>
      <c r="E4" s="754"/>
      <c r="F4" s="22"/>
      <c r="G4" s="756"/>
      <c r="H4" s="1742"/>
      <c r="I4" s="1742"/>
      <c r="J4" s="1742"/>
      <c r="K4" s="1742"/>
      <c r="L4" s="1742"/>
      <c r="M4" s="58"/>
      <c r="N4" s="757" t="s">
        <v>663</v>
      </c>
      <c r="O4" s="757"/>
      <c r="P4" s="58"/>
      <c r="Q4" s="38"/>
      <c r="R4" s="38"/>
      <c r="S4" s="758"/>
      <c r="T4" s="1966"/>
      <c r="U4" s="1966"/>
      <c r="V4" s="42">
        <f ca="1">T4/$T$5</f>
        <v>0</v>
      </c>
      <c r="W4" s="22"/>
      <c r="X4" s="22"/>
      <c r="Y4" s="22"/>
      <c r="Z4" s="22"/>
      <c r="AA4" s="760">
        <f ca="1">SUMIF($A$15:$A$119,"&gt;A",AE$15:AE$119)</f>
        <v>633527.74357994925</v>
      </c>
      <c r="AB4" s="760"/>
      <c r="AC4" s="760"/>
      <c r="AD4" s="760"/>
      <c r="AE4" s="760"/>
      <c r="AF4" s="760"/>
      <c r="AG4" s="761"/>
      <c r="AH4" s="761"/>
      <c r="AI4" s="761"/>
      <c r="AJ4" s="761"/>
      <c r="AK4" s="761"/>
      <c r="AL4" s="761"/>
      <c r="AM4" s="761"/>
      <c r="AN4" s="761"/>
      <c r="AO4" s="761"/>
      <c r="AP4" s="761"/>
      <c r="AQ4" s="761"/>
      <c r="AR4" s="761"/>
    </row>
    <row r="5" spans="1:44" s="34" customFormat="1" outlineLevel="1" x14ac:dyDescent="0.2">
      <c r="A5" s="755" t="s">
        <v>664</v>
      </c>
      <c r="B5" s="22"/>
      <c r="C5" s="22"/>
      <c r="D5" s="29"/>
      <c r="E5" s="58"/>
      <c r="F5" s="22"/>
      <c r="G5" s="756"/>
      <c r="H5" s="1742"/>
      <c r="I5" s="1742"/>
      <c r="J5" s="1742"/>
      <c r="K5" s="1742"/>
      <c r="L5" s="1742"/>
      <c r="M5" s="58"/>
      <c r="N5" s="762" t="s">
        <v>665</v>
      </c>
      <c r="O5" s="762"/>
      <c r="P5" s="67"/>
      <c r="Q5" s="38"/>
      <c r="R5" s="38"/>
      <c r="S5" s="758"/>
      <c r="T5" s="1967">
        <f ca="1">SUM(T2:U4)</f>
        <v>633527.74357994925</v>
      </c>
      <c r="U5" s="1967"/>
      <c r="V5" s="69"/>
      <c r="W5" s="22"/>
      <c r="X5" s="22"/>
      <c r="Y5" s="22"/>
      <c r="Z5" s="22"/>
      <c r="AA5" s="760">
        <v>615841.66</v>
      </c>
      <c r="AB5" s="763"/>
      <c r="AC5" s="763"/>
      <c r="AD5" s="763"/>
      <c r="AE5" s="763"/>
      <c r="AF5" s="763"/>
      <c r="AG5" s="75"/>
      <c r="AH5" s="75"/>
      <c r="AI5" s="75"/>
      <c r="AJ5" s="75"/>
      <c r="AK5" s="75"/>
      <c r="AL5" s="75"/>
      <c r="AM5" s="75"/>
      <c r="AN5" s="75"/>
      <c r="AO5" s="75"/>
      <c r="AP5" s="75"/>
      <c r="AQ5" s="75"/>
      <c r="AR5" s="75"/>
    </row>
    <row r="6" spans="1:44" s="34" customFormat="1" outlineLevel="1" x14ac:dyDescent="0.2">
      <c r="A6" s="755" t="s">
        <v>811</v>
      </c>
      <c r="B6" s="22"/>
      <c r="C6" s="22"/>
      <c r="D6" s="29"/>
      <c r="E6" s="58"/>
      <c r="F6" s="22"/>
      <c r="G6" s="756"/>
      <c r="H6" s="1742"/>
      <c r="I6" s="1742"/>
      <c r="J6" s="1742"/>
      <c r="K6" s="1742"/>
      <c r="L6" s="1742"/>
      <c r="M6" s="58"/>
      <c r="N6" s="758"/>
      <c r="O6" s="758"/>
      <c r="P6" s="758"/>
      <c r="Q6" s="38"/>
      <c r="R6" s="38"/>
      <c r="S6" s="758"/>
      <c r="T6" s="758"/>
      <c r="U6" s="758"/>
      <c r="V6" s="764"/>
      <c r="W6" s="22"/>
      <c r="X6" s="22"/>
      <c r="Y6" s="22"/>
      <c r="Z6" s="22"/>
      <c r="AA6" s="763">
        <f>1913.35</f>
        <v>1913.35</v>
      </c>
      <c r="AB6" s="763"/>
      <c r="AC6" s="765"/>
      <c r="AD6" s="763"/>
      <c r="AE6" s="763"/>
      <c r="AF6" s="766"/>
      <c r="AG6" s="767"/>
      <c r="AH6" s="767"/>
      <c r="AI6" s="767"/>
      <c r="AJ6" s="768"/>
      <c r="AK6" s="75"/>
      <c r="AL6" s="75"/>
      <c r="AM6" s="75"/>
      <c r="AN6" s="84"/>
      <c r="AO6" s="75"/>
      <c r="AP6" s="75"/>
      <c r="AQ6" s="75"/>
      <c r="AR6" s="84"/>
    </row>
    <row r="7" spans="1:44" s="34" customFormat="1" outlineLevel="1" x14ac:dyDescent="0.2">
      <c r="A7" s="755" t="s">
        <v>812</v>
      </c>
      <c r="B7" s="22"/>
      <c r="C7" s="22"/>
      <c r="D7" s="29"/>
      <c r="E7" s="58"/>
      <c r="F7" s="22"/>
      <c r="G7" s="756"/>
      <c r="H7" s="1742"/>
      <c r="I7" s="1742"/>
      <c r="J7" s="1742"/>
      <c r="K7" s="1742"/>
      <c r="L7" s="1742"/>
      <c r="M7" s="58"/>
      <c r="N7" s="758"/>
      <c r="O7" s="758"/>
      <c r="P7" s="758"/>
      <c r="Q7" s="38"/>
      <c r="R7" s="38"/>
      <c r="S7" s="758"/>
      <c r="T7" s="758"/>
      <c r="U7" s="758"/>
      <c r="V7" s="764"/>
      <c r="W7" s="22"/>
      <c r="X7" s="22"/>
      <c r="Y7" s="22"/>
      <c r="Z7" s="22"/>
      <c r="AA7" s="763">
        <f>AA6-AA8-1913.35</f>
        <v>0</v>
      </c>
      <c r="AB7" s="763"/>
      <c r="AC7" s="765"/>
      <c r="AD7" s="763"/>
      <c r="AE7" s="763"/>
      <c r="AF7" s="766"/>
      <c r="AG7" s="767"/>
      <c r="AH7" s="767"/>
      <c r="AI7" s="767"/>
      <c r="AJ7" s="768"/>
      <c r="AK7" s="75"/>
      <c r="AL7" s="75"/>
      <c r="AM7" s="75"/>
      <c r="AN7" s="84"/>
      <c r="AO7" s="75"/>
      <c r="AP7" s="75"/>
      <c r="AQ7" s="75"/>
      <c r="AR7" s="84"/>
    </row>
    <row r="8" spans="1:44" s="34" customFormat="1" outlineLevel="1" x14ac:dyDescent="0.2">
      <c r="A8" s="755" t="s">
        <v>813</v>
      </c>
      <c r="B8" s="22"/>
      <c r="C8" s="22"/>
      <c r="D8" s="769"/>
      <c r="E8" s="58"/>
      <c r="F8" s="22"/>
      <c r="G8" s="756"/>
      <c r="H8" s="1742"/>
      <c r="I8" s="1742"/>
      <c r="J8" s="1742"/>
      <c r="K8" s="1742"/>
      <c r="L8" s="1742"/>
      <c r="M8" s="58"/>
      <c r="N8" s="758"/>
      <c r="O8" s="758"/>
      <c r="P8" s="758"/>
      <c r="Q8" s="38"/>
      <c r="R8" s="38"/>
      <c r="S8" s="758"/>
      <c r="T8" s="758"/>
      <c r="U8" s="758"/>
      <c r="V8" s="764"/>
      <c r="W8" s="22"/>
      <c r="X8" s="22"/>
      <c r="Y8" s="22"/>
      <c r="Z8" s="760"/>
      <c r="AA8" s="763"/>
      <c r="AB8" s="763"/>
      <c r="AC8" s="763"/>
      <c r="AD8" s="763"/>
      <c r="AE8" s="763"/>
      <c r="AF8" s="763"/>
      <c r="AG8" s="75"/>
      <c r="AH8" s="75"/>
      <c r="AI8" s="75"/>
      <c r="AJ8" s="75"/>
      <c r="AK8" s="75"/>
      <c r="AL8" s="75"/>
      <c r="AM8" s="75"/>
      <c r="AN8" s="75"/>
      <c r="AO8" s="75"/>
      <c r="AP8" s="75"/>
      <c r="AQ8" s="75"/>
      <c r="AR8" s="75"/>
    </row>
    <row r="9" spans="1:44" s="34" customFormat="1" outlineLevel="1" x14ac:dyDescent="0.2">
      <c r="A9" s="755" t="s">
        <v>669</v>
      </c>
      <c r="B9" s="22"/>
      <c r="C9" s="22"/>
      <c r="D9" s="769"/>
      <c r="E9" s="58"/>
      <c r="F9" s="22"/>
      <c r="G9" s="756"/>
      <c r="H9" s="1742"/>
      <c r="I9" s="1742"/>
      <c r="J9" s="1742"/>
      <c r="K9" s="1742"/>
      <c r="L9" s="1742"/>
      <c r="M9" s="58"/>
      <c r="N9" s="758"/>
      <c r="O9" s="758"/>
      <c r="P9" s="758"/>
      <c r="Q9" s="38"/>
      <c r="R9" s="38"/>
      <c r="S9" s="758"/>
      <c r="T9" s="758"/>
      <c r="U9" s="758"/>
      <c r="V9" s="764"/>
      <c r="W9" s="22"/>
      <c r="X9" s="22"/>
      <c r="Y9" s="22"/>
      <c r="Z9" s="760"/>
      <c r="AA9" s="763">
        <f ca="1">(AA4-AA5)+(AA6-AA7-AA8)</f>
        <v>19599.433579949218</v>
      </c>
      <c r="AB9" s="763"/>
      <c r="AC9" s="765"/>
      <c r="AD9" s="763"/>
      <c r="AE9" s="763"/>
      <c r="AF9" s="766"/>
      <c r="AG9" s="767"/>
      <c r="AH9" s="767"/>
      <c r="AI9" s="767"/>
      <c r="AJ9" s="768"/>
      <c r="AK9" s="75"/>
      <c r="AL9" s="75"/>
      <c r="AM9" s="75"/>
      <c r="AN9" s="84"/>
      <c r="AO9" s="75"/>
      <c r="AP9" s="75"/>
      <c r="AQ9" s="75"/>
      <c r="AR9" s="84"/>
    </row>
    <row r="10" spans="1:44" s="34" customFormat="1" outlineLevel="1" x14ac:dyDescent="0.2">
      <c r="A10" s="770" t="s">
        <v>670</v>
      </c>
      <c r="B10" s="107"/>
      <c r="C10" s="107"/>
      <c r="D10" s="769"/>
      <c r="E10" s="58"/>
      <c r="F10" s="22"/>
      <c r="G10" s="756"/>
      <c r="H10" s="1742"/>
      <c r="I10" s="1742"/>
      <c r="J10" s="1742"/>
      <c r="K10" s="1742"/>
      <c r="L10" s="1742"/>
      <c r="M10" s="58"/>
      <c r="N10" s="758"/>
      <c r="O10" s="758"/>
      <c r="P10" s="758"/>
      <c r="Q10" s="38"/>
      <c r="R10" s="38"/>
      <c r="S10" s="758"/>
      <c r="T10" s="758"/>
      <c r="U10" s="758"/>
      <c r="V10" s="764"/>
      <c r="W10" s="22"/>
      <c r="X10" s="22"/>
      <c r="Y10" s="22"/>
      <c r="Z10" s="760"/>
      <c r="AA10" s="771">
        <f ca="1">AA9/(AA5+(AA8+AA7+AA6)/2)</f>
        <v>3.1776080556295952E-2</v>
      </c>
      <c r="AB10" s="771"/>
      <c r="AC10" s="772"/>
      <c r="AD10" s="763"/>
      <c r="AE10" s="763"/>
      <c r="AF10" s="766"/>
      <c r="AG10" s="767"/>
      <c r="AH10" s="767"/>
      <c r="AI10" s="767"/>
      <c r="AJ10" s="768"/>
      <c r="AK10" s="75"/>
      <c r="AL10" s="75"/>
      <c r="AM10" s="75"/>
      <c r="AN10" s="84"/>
      <c r="AO10" s="75"/>
      <c r="AP10" s="75"/>
      <c r="AQ10" s="75"/>
      <c r="AR10" s="84"/>
    </row>
    <row r="11" spans="1:44" s="34" customFormat="1" outlineLevel="1" x14ac:dyDescent="0.2">
      <c r="A11" s="755" t="s">
        <v>671</v>
      </c>
      <c r="B11" s="22"/>
      <c r="C11" s="22"/>
      <c r="D11" s="769"/>
      <c r="E11" s="58"/>
      <c r="F11" s="22"/>
      <c r="G11" s="756"/>
      <c r="H11" s="1742"/>
      <c r="I11" s="1742"/>
      <c r="J11" s="1742"/>
      <c r="K11" s="1742"/>
      <c r="L11" s="1742"/>
      <c r="M11" s="58"/>
      <c r="N11" s="758"/>
      <c r="O11" s="758"/>
      <c r="P11" s="758"/>
      <c r="Q11" s="38"/>
      <c r="R11" s="38"/>
      <c r="S11" s="758"/>
      <c r="T11" s="758"/>
      <c r="U11" s="758"/>
      <c r="V11" s="764"/>
      <c r="W11" s="22"/>
      <c r="X11" s="22"/>
      <c r="Y11" s="22"/>
      <c r="Z11" s="760"/>
      <c r="AA11" s="773">
        <f ca="1">AA9-AA6</f>
        <v>17686.08357994922</v>
      </c>
      <c r="AB11" s="773"/>
      <c r="AC11" s="773"/>
      <c r="AD11" s="773"/>
      <c r="AE11" s="773"/>
      <c r="AF11" s="773"/>
      <c r="AG11" s="60"/>
      <c r="AH11" s="60"/>
      <c r="AI11" s="60"/>
      <c r="AJ11" s="60"/>
      <c r="AK11" s="60"/>
      <c r="AL11" s="60"/>
      <c r="AM11" s="60"/>
      <c r="AN11" s="60"/>
      <c r="AO11" s="60"/>
      <c r="AP11" s="60"/>
      <c r="AQ11" s="60"/>
      <c r="AR11" s="60"/>
    </row>
    <row r="12" spans="1:44" s="34" customFormat="1" outlineLevel="1" x14ac:dyDescent="0.2">
      <c r="A12" s="770" t="s">
        <v>672</v>
      </c>
      <c r="B12" s="107"/>
      <c r="C12" s="107"/>
      <c r="D12" s="769"/>
      <c r="E12" s="58"/>
      <c r="F12" s="107"/>
      <c r="G12" s="774"/>
      <c r="H12" s="1742"/>
      <c r="I12" s="1742"/>
      <c r="J12" s="1742"/>
      <c r="K12" s="1742"/>
      <c r="L12" s="1742"/>
      <c r="M12" s="58"/>
      <c r="N12" s="758"/>
      <c r="O12" s="758"/>
      <c r="P12" s="758"/>
      <c r="Q12" s="38"/>
      <c r="R12" s="38"/>
      <c r="S12" s="758"/>
      <c r="T12" s="758"/>
      <c r="U12" s="758"/>
      <c r="V12" s="764"/>
      <c r="W12" s="22"/>
      <c r="X12" s="22"/>
      <c r="Y12" s="22"/>
      <c r="Z12" s="760"/>
      <c r="AA12" s="771">
        <f ca="1">IFERROR(AA11/(AA5+(AA8+AA7+AA6)/2),"")</f>
        <v>2.8674013168257365E-2</v>
      </c>
      <c r="AB12" s="771"/>
      <c r="AC12" s="771"/>
      <c r="AD12" s="771"/>
      <c r="AE12" s="771"/>
      <c r="AF12" s="771"/>
      <c r="AG12" s="51"/>
      <c r="AH12" s="51"/>
      <c r="AI12" s="51"/>
      <c r="AJ12" s="51"/>
      <c r="AK12" s="51"/>
      <c r="AL12" s="51"/>
      <c r="AM12" s="51"/>
      <c r="AN12" s="51"/>
      <c r="AO12" s="51"/>
      <c r="AP12" s="51"/>
      <c r="AQ12" s="51"/>
      <c r="AR12" s="51"/>
    </row>
    <row r="13" spans="1:44" collapsed="1" x14ac:dyDescent="0.2">
      <c r="A13" s="775"/>
      <c r="B13" s="775"/>
      <c r="C13" s="775"/>
      <c r="D13" s="776"/>
      <c r="E13" s="777"/>
      <c r="F13" s="775"/>
      <c r="G13" s="778"/>
      <c r="H13" s="1743"/>
      <c r="I13" s="1743"/>
      <c r="J13" s="1743"/>
      <c r="K13" s="1743"/>
      <c r="L13" s="1743"/>
      <c r="M13" s="779"/>
      <c r="N13" s="780"/>
      <c r="O13" s="780"/>
      <c r="P13" s="780"/>
      <c r="Q13" s="781"/>
      <c r="R13" s="781"/>
      <c r="S13" s="780"/>
      <c r="T13" s="780"/>
      <c r="U13" s="780"/>
      <c r="V13" s="782"/>
      <c r="W13" s="775"/>
      <c r="X13" s="775"/>
      <c r="Y13" s="775"/>
      <c r="Z13" s="783"/>
      <c r="AA13" s="1980" t="s">
        <v>673</v>
      </c>
      <c r="AB13" s="1981"/>
      <c r="AC13" s="1981"/>
      <c r="AD13" s="1981"/>
      <c r="AE13" s="1981"/>
      <c r="AF13" s="1981"/>
      <c r="AG13" s="1982" t="s">
        <v>674</v>
      </c>
      <c r="AH13" s="1983"/>
      <c r="AI13" s="1983"/>
      <c r="AJ13" s="1984"/>
      <c r="AK13" s="1985" t="s">
        <v>675</v>
      </c>
      <c r="AL13" s="1986"/>
      <c r="AM13" s="1986"/>
      <c r="AN13" s="1987"/>
      <c r="AO13" s="1988" t="s">
        <v>676</v>
      </c>
      <c r="AP13" s="1988"/>
      <c r="AQ13" s="1988"/>
      <c r="AR13" s="1989"/>
    </row>
    <row r="14" spans="1:44" s="35" customFormat="1" x14ac:dyDescent="0.2">
      <c r="A14" s="785" t="s">
        <v>677</v>
      </c>
      <c r="B14" s="785" t="s">
        <v>363</v>
      </c>
      <c r="C14" s="144" t="s">
        <v>678</v>
      </c>
      <c r="D14" s="145" t="s">
        <v>679</v>
      </c>
      <c r="E14" s="145" t="s">
        <v>680</v>
      </c>
      <c r="F14" s="144" t="s">
        <v>9</v>
      </c>
      <c r="G14" s="146" t="s">
        <v>681</v>
      </c>
      <c r="H14" s="1701" t="s">
        <v>682</v>
      </c>
      <c r="I14" s="1674" t="s">
        <v>683</v>
      </c>
      <c r="J14" s="1674" t="s">
        <v>684</v>
      </c>
      <c r="K14" s="1674" t="s">
        <v>814</v>
      </c>
      <c r="L14" s="1674" t="s">
        <v>686</v>
      </c>
      <c r="M14" s="144" t="s">
        <v>687</v>
      </c>
      <c r="N14" s="144" t="s">
        <v>688</v>
      </c>
      <c r="O14" s="144" t="s">
        <v>689</v>
      </c>
      <c r="P14" s="144" t="s">
        <v>815</v>
      </c>
      <c r="Q14" s="147" t="s">
        <v>718</v>
      </c>
      <c r="R14" s="145" t="s">
        <v>692</v>
      </c>
      <c r="S14" s="786" t="s">
        <v>693</v>
      </c>
      <c r="T14" s="144" t="s">
        <v>691</v>
      </c>
      <c r="U14" s="144" t="s">
        <v>674</v>
      </c>
      <c r="V14" s="144" t="s">
        <v>694</v>
      </c>
      <c r="W14" s="144" t="s">
        <v>695</v>
      </c>
      <c r="X14" s="144" t="s">
        <v>696</v>
      </c>
      <c r="Y14" s="144" t="s">
        <v>697</v>
      </c>
      <c r="Z14" s="149" t="s">
        <v>698</v>
      </c>
      <c r="AA14" s="787" t="s">
        <v>699</v>
      </c>
      <c r="AB14" s="788" t="s">
        <v>700</v>
      </c>
      <c r="AC14" s="788" t="s">
        <v>701</v>
      </c>
      <c r="AD14" s="789" t="s">
        <v>702</v>
      </c>
      <c r="AE14" s="789" t="s">
        <v>703</v>
      </c>
      <c r="AF14" s="789" t="s">
        <v>704</v>
      </c>
      <c r="AG14" s="790" t="s">
        <v>705</v>
      </c>
      <c r="AH14" s="791" t="s">
        <v>706</v>
      </c>
      <c r="AI14" s="791" t="s">
        <v>707</v>
      </c>
      <c r="AJ14" s="792" t="s">
        <v>708</v>
      </c>
      <c r="AK14" s="793" t="s">
        <v>709</v>
      </c>
      <c r="AL14" s="794" t="s">
        <v>710</v>
      </c>
      <c r="AM14" s="794" t="s">
        <v>711</v>
      </c>
      <c r="AN14" s="795" t="s">
        <v>712</v>
      </c>
      <c r="AO14" s="796" t="s">
        <v>713</v>
      </c>
      <c r="AP14" s="796" t="s">
        <v>714</v>
      </c>
      <c r="AQ14" s="796" t="s">
        <v>715</v>
      </c>
      <c r="AR14" s="797" t="s">
        <v>716</v>
      </c>
    </row>
    <row r="15" spans="1:44" x14ac:dyDescent="0.2">
      <c r="A15" s="164" t="s">
        <v>362</v>
      </c>
      <c r="B15" s="164"/>
      <c r="C15" s="164"/>
      <c r="D15" s="165"/>
      <c r="E15" s="166"/>
      <c r="F15" s="164"/>
      <c r="G15" s="167"/>
      <c r="H15" s="1766"/>
      <c r="I15" s="1703"/>
      <c r="J15" s="1703"/>
      <c r="K15" s="1703"/>
      <c r="L15" s="1703"/>
      <c r="M15" s="163"/>
      <c r="N15" s="172">
        <f>SUM(N$16:N$19)</f>
        <v>0</v>
      </c>
      <c r="O15" s="172"/>
      <c r="P15" s="172">
        <f t="shared" ref="P15:P45" ca="1" si="0">SUMIF($AA$14:$AR$14,"I_Ctrlv",$AA15:$AR15)/$T$2</f>
        <v>4.3614705126956213E-2</v>
      </c>
      <c r="Q15" s="169" t="s">
        <v>718</v>
      </c>
      <c r="R15" s="169"/>
      <c r="S15" s="172"/>
      <c r="T15" s="172"/>
      <c r="U15" s="172"/>
      <c r="V15" s="798"/>
      <c r="W15" s="164"/>
      <c r="X15" s="164"/>
      <c r="Y15" s="164"/>
      <c r="Z15" s="799"/>
      <c r="AA15" s="185"/>
      <c r="AB15" s="800"/>
      <c r="AC15" s="801"/>
      <c r="AD15" s="164"/>
      <c r="AE15" s="178">
        <f ca="1">SUM(AE$16:AE$19)</f>
        <v>27631.125725985414</v>
      </c>
      <c r="AF15" s="179">
        <f t="shared" ref="AF15:AF19" ca="1" si="1">IFERROR(AE15/AA$4,0)</f>
        <v>4.3614705126956213E-2</v>
      </c>
      <c r="AG15" s="180"/>
      <c r="AH15" s="181"/>
      <c r="AI15" s="178">
        <f ca="1">SUM(AI$16:AI$19)</f>
        <v>-27631.125725985414</v>
      </c>
      <c r="AJ15" s="182">
        <f ca="1">IFERROR(AI15/AA$4,0)</f>
        <v>-4.3614705126956213E-2</v>
      </c>
      <c r="AK15" s="180"/>
      <c r="AL15" s="181"/>
      <c r="AM15" s="178">
        <f ca="1">SUM(AM$16:AM$19)</f>
        <v>0</v>
      </c>
      <c r="AN15" s="182">
        <f t="shared" ref="AN15:AN17" ca="1" si="2">IFERROR(AM15/AA$4,0)</f>
        <v>0</v>
      </c>
      <c r="AO15" s="181"/>
      <c r="AP15" s="181"/>
      <c r="AQ15" s="178">
        <f ca="1">SUM(AQ$16:AQ$19)</f>
        <v>27631.125725985414</v>
      </c>
      <c r="AR15" s="802">
        <f ca="1">IFERROR(AQ15/AA$4,0)</f>
        <v>4.3614705126956213E-2</v>
      </c>
    </row>
    <row r="16" spans="1:44" ht="12" customHeight="1" outlineLevel="1" x14ac:dyDescent="0.2">
      <c r="A16" s="188"/>
      <c r="B16" s="188"/>
      <c r="C16" s="188" t="s">
        <v>719</v>
      </c>
      <c r="D16" s="189">
        <f t="shared" ref="D16:E18" ca="1" si="3">OFFSET(Origine,MATCH($C16,smo_ids,0),MATCH(D$14,Intestazioni,0)-1,1,1)</f>
        <v>0</v>
      </c>
      <c r="E16" s="189" t="str">
        <f t="shared" ca="1" si="3"/>
        <v>35487400</v>
      </c>
      <c r="F16" s="188" t="s">
        <v>391</v>
      </c>
      <c r="G16" s="190"/>
      <c r="H16" s="1676" t="str">
        <f ca="1">IF(OFFSET(Origine,MATCH($C16,smo_ids,0),MATCH(H$14,Intestazioni,0)-1,1,1)&lt;&gt;"",HYPERLINK(OFFSET(Origine,MATCH($C16,smo_ids,0),MATCH(H$14,Intestazioni,0)-1,1,1),""),"")</f>
        <v></v>
      </c>
      <c r="I16" s="1676" t="str">
        <f ca="1">IF(OFFSET(Origine,MATCH($C16,smo_ids,0),MATCH(I$14,Intestazioni,0)-1,1,1)&lt;&gt;"",HYPERLINK(OFFSET(Origine,MATCH($C16,smo_ids,0),MATCH(I$14,Intestazioni,0)-1,1,1),"i"),"")</f>
        <v/>
      </c>
      <c r="J16" s="1744" t="str">
        <f t="shared" ref="J16:K19" ca="1" si="4">IF(OFFSET(Origine,MATCH($C16,smo_ids,0),MATCH(J$14,Intestazioni,0)-1,1,1)&lt;&gt;"",HYPERLINK(OFFSET(Origine,MATCH($C16,smo_ids,0),MATCH(J$14,Intestazioni,0)-1,1,1),""),"")</f>
        <v/>
      </c>
      <c r="K16" s="1704" t="str">
        <f t="shared" ca="1" si="4"/>
        <v></v>
      </c>
      <c r="L16" s="1704" t="str">
        <f ca="1">IF(OFFSET(Origine,MATCH($C16,smo_ids,0),MATCH(L$14,Intestazioni,0)-1,1,1)&lt;&gt;"",HYPERLINK("https://www.zonebourse.com/mods_a/charts/TV/inc_dyna_graph.php?c="&amp;OFFSET(Origine,MATCH($C16,smo_ids,0),MATCH(L$14,Intestazioni,0)-1,1,1)&amp;"&amp;style=TradingView.CANDLES&amp;showAT=1",""),"")</f>
        <v/>
      </c>
      <c r="M16" s="187"/>
      <c r="N16" s="191"/>
      <c r="O16" s="191">
        <v>1.3399999999999967E-2</v>
      </c>
      <c r="P16" s="192">
        <f t="shared" ca="1" si="0"/>
        <v>2.5067030174158938E-2</v>
      </c>
      <c r="Q16" s="188"/>
      <c r="R16" s="193"/>
      <c r="S16" s="803">
        <f ca="1">OFFSET(Origine,MATCH($C16,smo_ids,0),MATCH(S$14,Intestazioni,0)-1,1,1)</f>
        <v>0</v>
      </c>
      <c r="T16" s="193">
        <f t="array" aca="1" ref="T16" ca="1">SUM(IF($AA$14:$AR$14="I_pos",AA16:AR16))</f>
        <v>15880.657000000001</v>
      </c>
      <c r="U16" s="193"/>
      <c r="V16" s="193"/>
      <c r="W16" s="188" t="str">
        <f>RIGHT(F16,3)</f>
        <v>CHF</v>
      </c>
      <c r="X16" s="195">
        <v>1</v>
      </c>
      <c r="Y16" s="195"/>
      <c r="Z16" s="196">
        <f ca="1">_xlfn.NUMBERVALUE(OFFSET(Origine,MATCH(W16&amp;"/"&amp;MRif,LUKB_Name,0),MATCH("Price",Intestazioni,0)-1,1,1))</f>
        <v>1.0000001300000001</v>
      </c>
      <c r="AA16" s="210">
        <v>15880.657000000001</v>
      </c>
      <c r="AB16" s="804"/>
      <c r="AC16" s="805"/>
      <c r="AD16" s="199">
        <f>AA16*$X16</f>
        <v>15880.657000000001</v>
      </c>
      <c r="AE16" s="200">
        <f ca="1">AD16*$Z16</f>
        <v>15880.659064485413</v>
      </c>
      <c r="AF16" s="216">
        <f t="shared" ca="1" si="1"/>
        <v>2.5067030174158938E-2</v>
      </c>
      <c r="AG16" s="404">
        <f ca="1">AH16/$X16</f>
        <v>-15880.657000000003</v>
      </c>
      <c r="AH16" s="405">
        <f ca="1">AI16/$Z16</f>
        <v>-15880.657000000003</v>
      </c>
      <c r="AI16" s="405">
        <f ca="1">AJ16*AA$4</f>
        <v>-15880.659064485415</v>
      </c>
      <c r="AJ16" s="406">
        <f ca="1">$N16-AF16</f>
        <v>-2.5067030174158938E-2</v>
      </c>
      <c r="AK16" s="205"/>
      <c r="AL16" s="384" cm="1">
        <f t="array" aca="1" ref="AL16" ca="1">AK16-SUM(IF($W$17:$W$118=$W16,IF($R$17:$R$118="",AM$17:AM$118)))-SUMPRODUCT(Z$17:Z$19,AK17:AK19)</f>
        <v>0</v>
      </c>
      <c r="AM16" s="206">
        <f t="shared" ref="AM16:AM17" ca="1" si="5">AL16*$Z16</f>
        <v>0</v>
      </c>
      <c r="AN16" s="207">
        <f t="shared" ca="1" si="2"/>
        <v>0</v>
      </c>
      <c r="AO16" s="193">
        <f ca="1">AD16+AL16</f>
        <v>15880.657000000001</v>
      </c>
      <c r="AP16" s="193">
        <f ca="1">AO16</f>
        <v>15880.657000000001</v>
      </c>
      <c r="AQ16" s="193">
        <f ca="1">AP16*$Z16</f>
        <v>15880.659064485413</v>
      </c>
      <c r="AR16" s="806">
        <f ca="1">AQ16/AA$4</f>
        <v>2.5067030174158938E-2</v>
      </c>
    </row>
    <row r="17" spans="1:44" ht="12" customHeight="1" outlineLevel="1" x14ac:dyDescent="0.2">
      <c r="A17" s="188"/>
      <c r="B17" s="188"/>
      <c r="C17" s="188" t="s">
        <v>720</v>
      </c>
      <c r="D17" s="189" t="str">
        <f t="shared" ca="1" si="3"/>
        <v>EU0009654078</v>
      </c>
      <c r="E17" s="189" t="str">
        <f t="shared" ca="1" si="3"/>
        <v>897789</v>
      </c>
      <c r="F17" s="188" t="s">
        <v>427</v>
      </c>
      <c r="G17" s="190"/>
      <c r="H17" s="1676" t="str">
        <f ca="1">IF(OFFSET(Origine,MATCH($C17,smo_ids,0),MATCH(H$14,Intestazioni,0)-1,1,1)&lt;&gt;"",HYPERLINK(OFFSET(Origine,MATCH($C17,smo_ids,0),MATCH(H$14,Intestazioni,0)-1,1,1),""),"")</f>
        <v></v>
      </c>
      <c r="I17" s="1676" t="str">
        <f ca="1">IF(OFFSET(Origine,MATCH($C17,smo_ids,0),MATCH(I$14,Intestazioni,0)-1,1,1)&lt;&gt;"",HYPERLINK(OFFSET(Origine,MATCH($C17,smo_ids,0),MATCH(I$14,Intestazioni,0)-1,1,1),"i"),"")</f>
        <v>i</v>
      </c>
      <c r="J17" s="1744" t="str">
        <f t="shared" ca="1" si="4"/>
        <v></v>
      </c>
      <c r="K17" s="1704" t="str">
        <f t="shared" ca="1" si="4"/>
        <v></v>
      </c>
      <c r="L17" s="1704" t="str">
        <f ca="1">IF(OFFSET(Origine,MATCH($C17,smo_ids,0),MATCH(L$14,Intestazioni,0)-1,1,1)&lt;&gt;"",HYPERLINK("https://www.zonebourse.com/mods_a/charts/TV/inc_dyna_graph.php?c="&amp;OFFSET(Origine,MATCH($C17,smo_ids,0),MATCH(L$14,Intestazioni,0)-1,1,1)&amp;"&amp;style=TradingView.CANDLES&amp;showAT=1",""),"")</f>
        <v/>
      </c>
      <c r="M17" s="187"/>
      <c r="N17" s="191"/>
      <c r="O17" s="191"/>
      <c r="P17" s="192">
        <f t="shared" ca="1" si="0"/>
        <v>1.4144954810284674E-2</v>
      </c>
      <c r="Q17" s="188"/>
      <c r="R17" s="193"/>
      <c r="S17" s="803">
        <f ca="1">OFFSET(Origine,MATCH($C17,smo_ids,0),MATCH(S$14,Intestazioni,0)-1,1,1)</f>
        <v>-3.4041599999999998E-3</v>
      </c>
      <c r="T17" s="193">
        <f t="array" aca="1" ref="T17" ca="1">SUM(IF($AA$14:$AR$14="I_pos",AA17:AR17))</f>
        <v>9874.08</v>
      </c>
      <c r="U17" s="193"/>
      <c r="V17" s="193"/>
      <c r="W17" s="188" t="str">
        <f>RIGHT(F17,3)</f>
        <v>EUR</v>
      </c>
      <c r="X17" s="195">
        <v>1</v>
      </c>
      <c r="Y17" s="195"/>
      <c r="Z17" s="196">
        <f ca="1">_xlfn.NUMBERVALUE(OFFSET(Origine,MATCH(W17&amp;"/"&amp;MRif,LUKB_Name,0),MATCH("Price",Intestazioni,0)-1,1,1))</f>
        <v>0.90754999999999997</v>
      </c>
      <c r="AA17" s="210">
        <v>9874.08</v>
      </c>
      <c r="AB17" s="804"/>
      <c r="AC17" s="805"/>
      <c r="AD17" s="199">
        <f>AA17*$X17</f>
        <v>9874.08</v>
      </c>
      <c r="AE17" s="199">
        <f ca="1">AD17*$Z17</f>
        <v>8961.2213039999988</v>
      </c>
      <c r="AF17" s="216">
        <f t="shared" ca="1" si="1"/>
        <v>1.4144954810284674E-2</v>
      </c>
      <c r="AG17" s="404">
        <f ca="1">AH17/$X17</f>
        <v>-9874.0799999999981</v>
      </c>
      <c r="AH17" s="405">
        <f ca="1">AI17/$Z17</f>
        <v>-9874.0799999999981</v>
      </c>
      <c r="AI17" s="405">
        <f ca="1">AJ17*AA$4</f>
        <v>-8961.2213039999988</v>
      </c>
      <c r="AJ17" s="406">
        <f ca="1">$N17-AF17</f>
        <v>-1.4144954810284674E-2</v>
      </c>
      <c r="AK17" s="205"/>
      <c r="AL17" s="206" cm="1">
        <f t="array" aca="1" ref="AL17" ca="1">AK17-SUM(IF($W$20:$W$118=$W17,IF($R$20:$R$118="",AL$20:AL$118)))</f>
        <v>0</v>
      </c>
      <c r="AM17" s="206">
        <f t="shared" ca="1" si="5"/>
        <v>0</v>
      </c>
      <c r="AN17" s="207">
        <f t="shared" ca="1" si="2"/>
        <v>0</v>
      </c>
      <c r="AO17" s="193">
        <f t="shared" ref="AO17:AO19" ca="1" si="6">AD17+AL17</f>
        <v>9874.08</v>
      </c>
      <c r="AP17" s="193">
        <f ca="1">AO17</f>
        <v>9874.08</v>
      </c>
      <c r="AQ17" s="193">
        <f ca="1">AP17*$Z17</f>
        <v>8961.2213039999988</v>
      </c>
      <c r="AR17" s="806">
        <f ca="1">AQ17/AA$4</f>
        <v>1.4144954810284674E-2</v>
      </c>
    </row>
    <row r="18" spans="1:44" ht="12" customHeight="1" outlineLevel="1" x14ac:dyDescent="0.2">
      <c r="A18" s="188"/>
      <c r="B18" s="188"/>
      <c r="C18" s="188" t="s">
        <v>721</v>
      </c>
      <c r="D18" s="189" t="str">
        <f t="shared" ca="1" si="3"/>
        <v>XC0009652816</v>
      </c>
      <c r="E18" s="189" t="str">
        <f t="shared" ca="1" si="3"/>
        <v>275000</v>
      </c>
      <c r="F18" s="188" t="s">
        <v>364</v>
      </c>
      <c r="G18" s="190"/>
      <c r="H18" s="1676" t="str">
        <f ca="1">IF(OFFSET(Origine,MATCH($C18,smo_ids,0),MATCH(H$14,Intestazioni,0)-1,1,1)&lt;&gt;"",HYPERLINK(OFFSET(Origine,MATCH($C18,smo_ids,0),MATCH(H$14,Intestazioni,0)-1,1,1),""),"")</f>
        <v></v>
      </c>
      <c r="I18" s="1676" t="str">
        <f ca="1">IF(OFFSET(Origine,MATCH($C18,smo_ids,0),MATCH(I$14,Intestazioni,0)-1,1,1)&lt;&gt;"",HYPERLINK(OFFSET(Origine,MATCH($C18,smo_ids,0),MATCH(I$14,Intestazioni,0)-1,1,1),"i"),"")</f>
        <v>i</v>
      </c>
      <c r="J18" s="1744" t="str">
        <f t="shared" ca="1" si="4"/>
        <v/>
      </c>
      <c r="K18" s="1704" t="str">
        <f t="shared" ca="1" si="4"/>
        <v></v>
      </c>
      <c r="L18" s="1704" t="str">
        <f ca="1">IF(OFFSET(Origine,MATCH($C18,smo_ids,0),MATCH(L$14,Intestazioni,0)-1,1,1)&lt;&gt;"",HYPERLINK("https://www.zonebourse.com/mods_a/charts/TV/inc_dyna_graph.php?c="&amp;OFFSET(Origine,MATCH($C18,smo_ids,0),MATCH(L$14,Intestazioni,0)-1,1,1)&amp;"&amp;style=TradingView.CANDLES&amp;showAT=1",""),"")</f>
        <v/>
      </c>
      <c r="M18" s="187"/>
      <c r="N18" s="191"/>
      <c r="O18" s="191"/>
      <c r="P18" s="192">
        <f t="shared" ca="1" si="0"/>
        <v>4.4027201425125995E-3</v>
      </c>
      <c r="Q18" s="188"/>
      <c r="R18" s="193"/>
      <c r="S18" s="803">
        <f ca="1">OFFSET(Origine,MATCH($C18,smo_ids,0),MATCH(S$14,Intestazioni,0)-1,1,1)</f>
        <v>3.97869E-3</v>
      </c>
      <c r="T18" s="193">
        <f t="array" aca="1" ref="T18" ca="1">SUM(IF($AA$14:$AR$14="I_pos",AA18:AR18))</f>
        <v>3565.67</v>
      </c>
      <c r="U18" s="193"/>
      <c r="V18" s="193"/>
      <c r="W18" s="188" t="str">
        <f>RIGHT(F18,3)</f>
        <v>USD</v>
      </c>
      <c r="X18" s="195">
        <v>1</v>
      </c>
      <c r="Y18" s="195"/>
      <c r="Z18" s="196">
        <f ca="1">_xlfn.NUMBERVALUE(OFFSET(Origine,MATCH(W18&amp;"/"&amp;MRif,LUKB_Name,0),MATCH("Price",Intestazioni,0)-1,1,1))</f>
        <v>0.78225</v>
      </c>
      <c r="AA18" s="210">
        <v>3565.67</v>
      </c>
      <c r="AB18" s="804"/>
      <c r="AC18" s="805"/>
      <c r="AD18" s="199">
        <f>AA18*$X18</f>
        <v>3565.67</v>
      </c>
      <c r="AE18" s="199">
        <f ca="1">AD18*$Z18</f>
        <v>2789.2453575</v>
      </c>
      <c r="AF18" s="216">
        <f t="shared" ca="1" si="1"/>
        <v>4.4027201425125995E-3</v>
      </c>
      <c r="AG18" s="404">
        <f ca="1">AH18/$X18</f>
        <v>-3565.67</v>
      </c>
      <c r="AH18" s="405">
        <f ca="1">AI18/$Z18</f>
        <v>-3565.67</v>
      </c>
      <c r="AI18" s="405">
        <f ca="1">AJ18*AA$4</f>
        <v>-2789.2453575</v>
      </c>
      <c r="AJ18" s="406">
        <f ca="1">$N18-AF18</f>
        <v>-4.4027201425125995E-3</v>
      </c>
      <c r="AK18" s="205"/>
      <c r="AL18" s="206" cm="1">
        <f t="array" aca="1" ref="AL18" ca="1">AK18-SUM(IF($W$20:$W$118=$W18,IF($R$20:$R$118="",AL$20:AL$118)))</f>
        <v>0</v>
      </c>
      <c r="AM18" s="206">
        <f ca="1">AL18*$Z18</f>
        <v>0</v>
      </c>
      <c r="AN18" s="207">
        <f ca="1">IFERROR(AM18/AA$4,0)</f>
        <v>0</v>
      </c>
      <c r="AO18" s="193">
        <f t="shared" ca="1" si="6"/>
        <v>3565.67</v>
      </c>
      <c r="AP18" s="193">
        <f ca="1">AO18</f>
        <v>3565.67</v>
      </c>
      <c r="AQ18" s="193">
        <f ca="1">AP18*$Z18</f>
        <v>2789.2453575</v>
      </c>
      <c r="AR18" s="806">
        <f ca="1">AQ18/AA$4</f>
        <v>4.4027201425125995E-3</v>
      </c>
    </row>
    <row r="19" spans="1:44" ht="12" customHeight="1" outlineLevel="1" x14ac:dyDescent="0.2">
      <c r="A19" s="188"/>
      <c r="B19" s="188"/>
      <c r="C19" s="188" t="s">
        <v>722</v>
      </c>
      <c r="D19" s="189" t="str">
        <f ca="1">OFFSET(Origine,MATCH($C19,smo_ids,0),MATCH(D$14,Intestazioni,0)-1,1,1)</f>
        <v>GB0009534727</v>
      </c>
      <c r="E19" s="189" t="str">
        <f ca="1">OFFSET(Origine,MATCH($C19,smo_ids,0),MATCH(E$14,Intestazioni,0)-1,1,1)</f>
        <v>275001</v>
      </c>
      <c r="F19" s="188" t="s">
        <v>723</v>
      </c>
      <c r="G19" s="190"/>
      <c r="H19" s="1676" t="str">
        <f ca="1">IF(OFFSET(Origine,MATCH($C19,smo_ids,0),MATCH(H$14,Intestazioni,0)-1,1,1)&lt;&gt;"",HYPERLINK(OFFSET(Origine,MATCH($C19,smo_ids,0),MATCH(H$14,Intestazioni,0)-1,1,1),""),"")</f>
        <v></v>
      </c>
      <c r="I19" s="1676" t="str">
        <f ca="1">IF(OFFSET(Origine,MATCH($C19,smo_ids,0),MATCH(I$14,Intestazioni,0)-1,1,1)&lt;&gt;"",HYPERLINK(OFFSET(Origine,MATCH($C19,smo_ids,0),MATCH(I$14,Intestazioni,0)-1,1,1),"i"),"")</f>
        <v>i</v>
      </c>
      <c r="J19" s="1744" t="str">
        <f t="shared" ca="1" si="4"/>
        <v/>
      </c>
      <c r="K19" s="1704" t="str">
        <f t="shared" ca="1" si="4"/>
        <v></v>
      </c>
      <c r="L19" s="1704" t="str">
        <f ca="1">IF(OFFSET(Origine,MATCH($C19,smo_ids,0),MATCH(L$14,Intestazioni,0)-1,1,1)&lt;&gt;"",HYPERLINK("https://www.zonebourse.com/mods_a/charts/TV/inc_dyna_graph.php?c="&amp;OFFSET(Origine,MATCH($C19,smo_ids,0),MATCH(L$14,Intestazioni,0)-1,1,1)&amp;"&amp;style=TradingView.CANDLES&amp;showAT=1",""),"")</f>
        <v/>
      </c>
      <c r="M19" s="187"/>
      <c r="N19" s="191"/>
      <c r="O19" s="191"/>
      <c r="P19" s="192">
        <f t="shared" ca="1" si="0"/>
        <v>0</v>
      </c>
      <c r="Q19" s="188"/>
      <c r="R19" s="193"/>
      <c r="S19" s="803">
        <f ca="1">OFFSET(Origine,MATCH($C19,smo_ids,0),MATCH(S$14,Intestazioni,0)-1,1,1)</f>
        <v>-1.2447300000000001E-3</v>
      </c>
      <c r="T19" s="193">
        <f t="array" aca="1" ref="T19" ca="1">SUM(IF($AA$14:$AR$14="I_pos",AA19:AR19))</f>
        <v>0</v>
      </c>
      <c r="U19" s="193"/>
      <c r="V19" s="193"/>
      <c r="W19" s="188" t="str">
        <f>RIGHT(F19,3)</f>
        <v>GBP</v>
      </c>
      <c r="X19" s="195">
        <v>1</v>
      </c>
      <c r="Y19" s="195"/>
      <c r="Z19" s="196">
        <f ca="1">_xlfn.NUMBERVALUE(OFFSET(Origine,MATCH(W19&amp;"/"&amp;MRif,LUKB_Name,0),MATCH("Price",Intestazioni,0)-1,1,1))</f>
        <v>1.0430999999999999</v>
      </c>
      <c r="AA19" s="197"/>
      <c r="AB19" s="200"/>
      <c r="AC19" s="807"/>
      <c r="AD19" s="199">
        <f>AA19*$X19</f>
        <v>0</v>
      </c>
      <c r="AE19" s="199">
        <f ca="1">AD19*$Z19</f>
        <v>0</v>
      </c>
      <c r="AF19" s="216">
        <f t="shared" ca="1" si="1"/>
        <v>0</v>
      </c>
      <c r="AG19" s="404">
        <f ca="1">AH19/$X19</f>
        <v>0</v>
      </c>
      <c r="AH19" s="405">
        <f ca="1">AI19/$Z19</f>
        <v>0</v>
      </c>
      <c r="AI19" s="405">
        <f ca="1">AJ19*AA$4</f>
        <v>0</v>
      </c>
      <c r="AJ19" s="406">
        <f ca="1">$N19-AF19</f>
        <v>0</v>
      </c>
      <c r="AK19" s="205"/>
      <c r="AL19" s="206" cm="1">
        <f t="array" aca="1" ref="AL19" ca="1">AK19-SUM(IF($W$20:$W$118=$W19,IF($R$20:$R$118="",AL$20:AL$118)))</f>
        <v>0</v>
      </c>
      <c r="AM19" s="206">
        <f ca="1">AL19*$Z19</f>
        <v>0</v>
      </c>
      <c r="AN19" s="207">
        <f ca="1">IFERROR(AM19/AA$4,0)</f>
        <v>0</v>
      </c>
      <c r="AO19" s="193">
        <f t="shared" ca="1" si="6"/>
        <v>0</v>
      </c>
      <c r="AP19" s="193">
        <f ca="1">AO19</f>
        <v>0</v>
      </c>
      <c r="AQ19" s="193">
        <f ca="1">AP19*$Z19</f>
        <v>0</v>
      </c>
      <c r="AR19" s="806">
        <f ca="1">AQ19/AA$4</f>
        <v>0</v>
      </c>
    </row>
    <row r="20" spans="1:44" x14ac:dyDescent="0.2">
      <c r="A20" s="255" t="s">
        <v>368</v>
      </c>
      <c r="B20" s="255"/>
      <c r="C20" s="255"/>
      <c r="D20" s="256"/>
      <c r="E20" s="257"/>
      <c r="F20" s="255"/>
      <c r="G20" s="258"/>
      <c r="H20" s="1767"/>
      <c r="I20" s="1745"/>
      <c r="J20" s="1745"/>
      <c r="K20" s="1745"/>
      <c r="L20" s="1745"/>
      <c r="M20" s="254"/>
      <c r="N20" s="262" cm="1">
        <f t="array" ref="N20">SUM(IF($B$21:$B$36="",N$21:N$36))</f>
        <v>0</v>
      </c>
      <c r="O20" s="262" cm="1">
        <f t="array" ref="O20">SUM(IF($B$21:$B$36="",O$21:O$36))</f>
        <v>0</v>
      </c>
      <c r="P20" s="262">
        <f t="shared" ca="1" si="0"/>
        <v>0.11034579133676468</v>
      </c>
      <c r="Q20" s="808" t="s">
        <v>718</v>
      </c>
      <c r="R20" s="808"/>
      <c r="S20" s="262"/>
      <c r="T20" s="809"/>
      <c r="U20" s="809"/>
      <c r="V20" s="810"/>
      <c r="W20" s="255"/>
      <c r="X20" s="811"/>
      <c r="Y20" s="811"/>
      <c r="Z20" s="812"/>
      <c r="AA20" s="813"/>
      <c r="AB20" s="814"/>
      <c r="AC20" s="815"/>
      <c r="AD20" s="255"/>
      <c r="AE20" s="268" cm="1">
        <f t="array" aca="1" ref="AE20" ca="1">SUM(IF($B$21:$B$36="",AE$21:AE$36))</f>
        <v>69907.120199124445</v>
      </c>
      <c r="AF20" s="269" cm="1">
        <f t="array" aca="1" ref="AF20" ca="1">SUM(IF($B$21:$B$36="",AF$21:AF$36))</f>
        <v>0.1103457913367647</v>
      </c>
      <c r="AG20" s="270"/>
      <c r="AH20" s="259"/>
      <c r="AI20" s="268" cm="1">
        <f t="array" aca="1" ref="AI20" ca="1">SUM(IF($B$21:$B$36="",AI$21:AI$36))</f>
        <v>-69907.120199124445</v>
      </c>
      <c r="AJ20" s="271" cm="1">
        <f t="array" aca="1" ref="AJ20" ca="1">SUM(IF($B$21:$B$36="",AJ$21:AJ$36))</f>
        <v>-0.1103457913367647</v>
      </c>
      <c r="AK20" s="270"/>
      <c r="AL20" s="259"/>
      <c r="AM20" s="268" cm="1">
        <f t="array" aca="1" ref="AM20" ca="1">SUM(IF($B$21:$B$36="",AM$21:AM$36))</f>
        <v>0</v>
      </c>
      <c r="AN20" s="271" cm="1">
        <f t="array" aca="1" ref="AN20" ca="1">SUM(IF($B$21:$B$36="",AN$21:AN$36))</f>
        <v>0</v>
      </c>
      <c r="AO20" s="259"/>
      <c r="AP20" s="259"/>
      <c r="AQ20" s="268" cm="1">
        <f t="array" aca="1" ref="AQ20" ca="1">SUM(IF($B$21:$B$36="",AQ$21:AQ$36))</f>
        <v>69907.120199124445</v>
      </c>
      <c r="AR20" s="816" cm="1">
        <f t="array" aca="1" ref="AR20" ca="1">SUM(IF($B$21:$B$36="",AR$21:AR$36))</f>
        <v>0.1103457913367647</v>
      </c>
    </row>
    <row r="21" spans="1:44" outlineLevel="1" x14ac:dyDescent="0.2">
      <c r="A21" s="817"/>
      <c r="B21" s="818" t="s">
        <v>369</v>
      </c>
      <c r="C21" s="817"/>
      <c r="D21" s="819"/>
      <c r="E21" s="820"/>
      <c r="F21" s="817"/>
      <c r="G21" s="821"/>
      <c r="H21" s="1768"/>
      <c r="I21" s="1746"/>
      <c r="J21" s="1746"/>
      <c r="K21" s="1746"/>
      <c r="L21" s="1746"/>
      <c r="M21" s="273"/>
      <c r="N21" s="822">
        <f>SUM(N$22:N$33)</f>
        <v>0</v>
      </c>
      <c r="O21" s="822"/>
      <c r="P21" s="822">
        <f t="shared" ca="1" si="0"/>
        <v>0.11034579133676468</v>
      </c>
      <c r="Q21" s="823" t="s">
        <v>718</v>
      </c>
      <c r="R21" s="823"/>
      <c r="S21" s="822"/>
      <c r="T21" s="824"/>
      <c r="U21" s="824"/>
      <c r="V21" s="825"/>
      <c r="W21" s="818"/>
      <c r="X21" s="826"/>
      <c r="Y21" s="826"/>
      <c r="Z21" s="827"/>
      <c r="AA21" s="828"/>
      <c r="AB21" s="818"/>
      <c r="AC21" s="829"/>
      <c r="AD21" s="818"/>
      <c r="AE21" s="830" cm="1">
        <f t="array" aca="1" ref="AE21" ca="1">SUM(IF($B$22:$B$33="",AE$22:AE$33))</f>
        <v>69907.120199124445</v>
      </c>
      <c r="AF21" s="831">
        <f t="shared" ref="AF21" ca="1" si="7">IFERROR(AE21/AA$4,0)</f>
        <v>0.11034579133676468</v>
      </c>
      <c r="AG21" s="832"/>
      <c r="AH21" s="279"/>
      <c r="AI21" s="830" cm="1">
        <f t="array" aca="1" ref="AI21" ca="1">SUM(IF($B$22:$B$33="",AI$22:AI$33))</f>
        <v>-69907.120199124445</v>
      </c>
      <c r="AJ21" s="833">
        <f ca="1">IFERROR(AI21/AA$4,0)</f>
        <v>-0.11034579133676468</v>
      </c>
      <c r="AK21" s="832"/>
      <c r="AL21" s="279"/>
      <c r="AM21" s="830" cm="1">
        <f t="array" aca="1" ref="AM21" ca="1">SUM(IF($B$22:$B$33="",AM$22:AM$33))</f>
        <v>0</v>
      </c>
      <c r="AN21" s="833">
        <f t="shared" ref="AN21" ca="1" si="8">IFERROR(AM21/AA$4,0)</f>
        <v>0</v>
      </c>
      <c r="AO21" s="279"/>
      <c r="AP21" s="279"/>
      <c r="AQ21" s="830" cm="1">
        <f t="array" aca="1" ref="AQ21" ca="1">SUM(IF($B$22:$B$33="",AQ$22:AQ$33))</f>
        <v>69907.120199124445</v>
      </c>
      <c r="AR21" s="834">
        <f ca="1">IFERROR(AQ21/AA$4,0)</f>
        <v>0.11034579133676468</v>
      </c>
    </row>
    <row r="22" spans="1:44" outlineLevel="2" x14ac:dyDescent="0.2">
      <c r="A22" s="1865"/>
      <c r="B22" s="1865"/>
      <c r="C22" s="1865" t="str">
        <f ca="1">OFFSET(Origine,MATCH($F22,Descrizioni,0),MATCH(C$14,Intestazioni,0)-1,1,1)</f>
        <v>CH0373476123:CHF</v>
      </c>
      <c r="D22" s="1866" t="str">
        <f ca="1">OFFSET(Origine,MATCH($F22,Descrizioni,0),MATCH(D$14,Intestazioni,0)-1,1,1)</f>
        <v>CH0373476123</v>
      </c>
      <c r="E22" s="1867" t="str">
        <f ca="1">OFFSET(Origine,MATCH($F22,Descrizioni,0),MATCH(E$14,Intestazioni,0)-1,1,1)</f>
        <v>37347612</v>
      </c>
      <c r="F22" s="1868" t="s">
        <v>535</v>
      </c>
      <c r="G22" s="1869">
        <f ca="1">OFFSET(Origine,MATCH($F22,Descrizioni,0),MATCH(G$14,Intestazioni,0)-1,1,1)</f>
        <v>46721</v>
      </c>
      <c r="H22" s="1708" t="str">
        <f ca="1">HYPERLINK(OFFSET(Origine,MATCH($F22,Descrizioni,0),MATCH(H$14,Intestazioni,0)-1,1,1),"")</f>
        <v></v>
      </c>
      <c r="I22" s="1680" t="str">
        <f ca="1">HYPERLINK(OFFSET(Origine,MATCH($F22,Descrizioni,0),MATCH(I$14,Intestazioni,0)-1,1,1),"i")</f>
        <v>i</v>
      </c>
      <c r="J22" s="1708" t="str">
        <f ca="1">HYPERLINK(OFFSET(Origine,MATCH($F22,Descrizioni,0),MATCH(J$14,Intestazioni,0)-1,1,1),"")</f>
        <v></v>
      </c>
      <c r="K22" s="1801" t="str">
        <f ca="1">HYPERLINK(OFFSET(Origine,MATCH($F22,Descrizioni,0),MATCH(K$14,Intestazioni,0)-1,1,1),"")</f>
        <v></v>
      </c>
      <c r="L22" s="1802" t="str">
        <f ca="1">IFERROR(HYPERLINK("https://www.zonebourse.com/mods_a/charts/TV/inc_dyna_graph.php?c="&amp;OFFSET(Origine,MATCH($F22,Descrizioni,0),MATCH(L$14,Intestazioni,0)-1,1,1)&amp;"&amp;style=TradingView.CANDLES&amp;showAT=1",""),"")</f>
        <v></v>
      </c>
      <c r="M22" s="1870" t="str">
        <f ca="1">(OFFSET(Origine,MATCH($F22,Descrizioni,0),MATCH(M$14,Intestazioni,0)-1,1,1))</f>
        <v>Pct</v>
      </c>
      <c r="N22" s="1871"/>
      <c r="O22" s="1871"/>
      <c r="P22" s="1871">
        <f ca="1">SUMIF($AA$14:$AR$14,"I_Ctrlv",$AA22:$AR22)/$T$2</f>
        <v>3.1792876459047839E-2</v>
      </c>
      <c r="Q22" s="1872"/>
      <c r="R22" s="1872"/>
      <c r="S22" s="1871"/>
      <c r="T22" s="1873">
        <f>SUMIF($AA$14:$AR$14,"I_Pos",AA22:AR22)</f>
        <v>20000</v>
      </c>
      <c r="U22" s="1873">
        <f ca="1">SUMIF($AA$14:$AR$14,"P_Pos",AA22:AR22)</f>
        <v>-20000</v>
      </c>
      <c r="V22" s="1873">
        <f>SUMIF($AA$14:$AR$14,"O_Pos",AA22:AR22)</f>
        <v>0</v>
      </c>
      <c r="W22" s="1865" t="str">
        <f ca="1">OFFSET(Origine,MATCH($F22,Descrizioni,0),MATCH(W$14,Intestazioni,0)-1,1,1)</f>
        <v>CHF</v>
      </c>
      <c r="X22" s="1874">
        <f ca="1">_xlfn.NUMBERVALUE(OFFSET(Origine,MATCH($F22,Descrizioni,0),MATCH(X$14,Intestazioni,0)-1,1,1))</f>
        <v>1.00708333333</v>
      </c>
      <c r="Y22" s="1875">
        <f ca="1">_xlfn.NUMBERVALUE(OFFSET(Origine,MATCH($F22,Descrizioni,0),MATCH(Y$14,Intestazioni,0)-1,1,1))</f>
        <v>6.7986861400000003E-3</v>
      </c>
      <c r="Z22" s="1876">
        <f ca="1">_xlfn.NUMBERVALUE(OFFSET(Origine,MATCH(W22&amp;"/"&amp;MRif,LUKB_Name,0),MATCH("Price",Intestazioni,0)-1,1,1))</f>
        <v>1.0000001300000001</v>
      </c>
      <c r="AA22" s="1877">
        <v>20000</v>
      </c>
      <c r="AB22" s="1878">
        <f ca="1">IFERROR($X22/AC22-1,"")</f>
        <v>2.1589910052749017E-2</v>
      </c>
      <c r="AC22" s="1879">
        <v>0.98580000000000001</v>
      </c>
      <c r="AD22" s="1880">
        <f ca="1">AA22*$X22</f>
        <v>20141.666666599998</v>
      </c>
      <c r="AE22" s="1880">
        <f ca="1">AD22*$Z22</f>
        <v>20141.669285016666</v>
      </c>
      <c r="AF22" s="1881">
        <f ca="1">IFERROR(AE22/AA$4,0)</f>
        <v>3.1792876459047839E-2</v>
      </c>
      <c r="AG22" s="1882">
        <f ca="1">AH22/$X22</f>
        <v>-20000</v>
      </c>
      <c r="AH22" s="1883">
        <f ca="1">AI22/$Z22</f>
        <v>-20141.666666599998</v>
      </c>
      <c r="AI22" s="1883">
        <f ca="1">AJ22*AA$4</f>
        <v>-20141.669285016666</v>
      </c>
      <c r="AJ22" s="1884">
        <f ca="1">$N22-AF22</f>
        <v>-3.1792876459047839E-2</v>
      </c>
      <c r="AK22" s="1885"/>
      <c r="AL22" s="1886">
        <f ca="1">AK22*$X22</f>
        <v>0</v>
      </c>
      <c r="AM22" s="1886">
        <f ca="1">AL22*$Z22</f>
        <v>0</v>
      </c>
      <c r="AN22" s="1887">
        <f ca="1">IFERROR(AM22/AA$4,0)</f>
        <v>0</v>
      </c>
      <c r="AO22" s="1888">
        <f>AA22+AK22</f>
        <v>20000</v>
      </c>
      <c r="AP22" s="1888">
        <f ca="1">AD22+IF($R22="",AL22)</f>
        <v>20141.666666599998</v>
      </c>
      <c r="AQ22" s="1888">
        <f ca="1">AP22*$Z22</f>
        <v>20141.669285016666</v>
      </c>
      <c r="AR22" s="1889">
        <f ca="1">IFERROR(AQ22/AA$4,0)</f>
        <v>3.1792876459047839E-2</v>
      </c>
    </row>
    <row r="23" spans="1:44" outlineLevel="2" x14ac:dyDescent="0.2">
      <c r="A23" s="299"/>
      <c r="B23" s="299"/>
      <c r="C23" s="299" t="str">
        <f t="shared" ref="C23:C36" ca="1" si="9">OFFSET(Origine,MATCH($F23,Descrizioni,0),MATCH(C$14,Intestazioni,0)-1,1,1)</f>
        <v>CH1112455808:CHF:P</v>
      </c>
      <c r="D23" s="300" t="str">
        <f t="shared" ref="D23:G36" ca="1" si="10">OFFSET(Origine,MATCH($F23,Descrizioni,0),MATCH(D$14,Intestazioni,0)-1,1,1)</f>
        <v>CH1112455808</v>
      </c>
      <c r="E23" s="301" t="str">
        <f t="shared" ca="1" si="10"/>
        <v>111245580</v>
      </c>
      <c r="F23" s="835" t="s">
        <v>372</v>
      </c>
      <c r="G23" s="844">
        <f t="shared" ca="1" si="10"/>
        <v>47084</v>
      </c>
      <c r="H23" s="1748" t="str">
        <f t="shared" ref="H23:H33" ca="1" si="11">HYPERLINK(OFFSET(Origine,MATCH($F23,Descrizioni,0),MATCH(H$14,Intestazioni,0)-1,1,1),"")</f>
        <v></v>
      </c>
      <c r="I23" s="1747" t="str">
        <f t="shared" ref="I23:I36" ca="1" si="12">HYPERLINK(OFFSET(Origine,MATCH($F23,Descrizioni,0),MATCH(I$14,Intestazioni,0)-1,1,1),"i")</f>
        <v>i</v>
      </c>
      <c r="J23" s="1748" t="str">
        <f t="shared" ref="J23:K36" ca="1" si="13">HYPERLINK(OFFSET(Origine,MATCH($F23,Descrizioni,0),MATCH(J$14,Intestazioni,0)-1,1,1),"")</f>
        <v></v>
      </c>
      <c r="K23" s="1709" t="str">
        <f t="shared" ca="1" si="13"/>
        <v></v>
      </c>
      <c r="L23" s="1710" t="str">
        <f t="shared" ref="L23:L36" ca="1" si="14">IFERROR(HYPERLINK("https://www.zonebourse.com/mods_a/charts/TV/inc_dyna_graph.php?c="&amp;OFFSET(Origine,MATCH($F23,Descrizioni,0),MATCH(L$14,Intestazioni,0)-1,1,1)&amp;"&amp;style=TradingView.CANDLES&amp;showAT=1",""),"")</f>
        <v></v>
      </c>
      <c r="M23" s="298" t="str">
        <f t="shared" ref="M23:M36" ca="1" si="15">(OFFSET(Origine,MATCH($F23,Descrizioni,0),MATCH(M$14,Intestazioni,0)-1,1,1))</f>
        <v>Pct</v>
      </c>
      <c r="N23" s="837"/>
      <c r="O23" s="837"/>
      <c r="P23" s="837">
        <f t="shared" ca="1" si="0"/>
        <v>0</v>
      </c>
      <c r="Q23" s="838"/>
      <c r="R23" s="838"/>
      <c r="S23" s="837"/>
      <c r="T23" s="307">
        <f t="shared" ref="T23:T24" si="16">SUMIF($AA$14:$AR$14,"I_Pos",AA23:AR23)</f>
        <v>0</v>
      </c>
      <c r="U23" s="307">
        <f t="shared" ref="U23:U24" ca="1" si="17">SUMIF($AA$14:$AR$14,"P_Pos",AA23:AR23)</f>
        <v>0</v>
      </c>
      <c r="V23" s="307">
        <f t="shared" ref="V23:V24" si="18">SUMIF($AA$14:$AR$14,"O_Pos",AA23:AR23)</f>
        <v>0</v>
      </c>
      <c r="W23" s="299" t="str">
        <f t="shared" ref="W23:W36" ca="1" si="19">OFFSET(Origine,MATCH($F23,Descrizioni,0),MATCH(W$14,Intestazioni,0)-1,1,1)</f>
        <v>CHF</v>
      </c>
      <c r="X23" s="839">
        <f t="shared" ref="X23:X36" ca="1" si="20">_xlfn.NUMBERVALUE(OFFSET(Origine,MATCH($F23,Descrizioni,0),MATCH(X$14,Intestazioni,0)-1,1,1))</f>
        <v>0.99063333333000003</v>
      </c>
      <c r="Y23" s="840">
        <f t="shared" ref="Y23:Y36" ca="1" si="21">_xlfn.NUMBERVALUE(OFFSET(Origine,MATCH($F23,Descrizioni,0),MATCH(Y$14,Intestazioni,0)-1,1,1))</f>
        <v>1.136616457E-2</v>
      </c>
      <c r="Z23" s="841">
        <f t="shared" ref="Z23:Z24" ca="1" si="22">_xlfn.NUMBERVALUE(OFFSET(Origine,MATCH(W23&amp;"/"&amp;MRif,LUKB_Name,0),MATCH("Price",Intestazioni,0)-1,1,1))</f>
        <v>1.0000001300000001</v>
      </c>
      <c r="AA23" s="197"/>
      <c r="AB23" s="312" t="str">
        <f t="shared" ref="AB23:AB36" ca="1" si="23">IFERROR($X23/AC23-1,"")</f>
        <v/>
      </c>
      <c r="AC23" s="842"/>
      <c r="AD23" s="199">
        <f t="shared" ref="AD23:AD24" ca="1" si="24">AA23*$X23</f>
        <v>0</v>
      </c>
      <c r="AE23" s="199">
        <f t="shared" ref="AE23:AE24" ca="1" si="25">AD23*$Z23</f>
        <v>0</v>
      </c>
      <c r="AF23" s="216">
        <f t="shared" ref="AF23:AF24" ca="1" si="26">IFERROR(AE23/AA$4,0)</f>
        <v>0</v>
      </c>
      <c r="AG23" s="404">
        <f t="shared" ref="AG23:AG24" ca="1" si="27">AH23/$X23</f>
        <v>0</v>
      </c>
      <c r="AH23" s="405">
        <f t="shared" ref="AH23:AH24" ca="1" si="28">AI23/$Z23</f>
        <v>0</v>
      </c>
      <c r="AI23" s="405">
        <f t="shared" ref="AI23:AI24" ca="1" si="29">AJ23*AA$4</f>
        <v>0</v>
      </c>
      <c r="AJ23" s="406">
        <f t="shared" ref="AJ23:AJ24" ca="1" si="30">$N23-AF23</f>
        <v>0</v>
      </c>
      <c r="AK23" s="205"/>
      <c r="AL23" s="206">
        <f t="shared" ref="AL23:AL24" ca="1" si="31">AK23*$X23</f>
        <v>0</v>
      </c>
      <c r="AM23" s="206">
        <f t="shared" ref="AM23:AM24" ca="1" si="32">AL23*$Z23</f>
        <v>0</v>
      </c>
      <c r="AN23" s="207">
        <f t="shared" ref="AN23:AN24" ca="1" si="33">IFERROR(AM23/AA$4,0)</f>
        <v>0</v>
      </c>
      <c r="AO23" s="313">
        <f t="shared" ref="AO23:AO24" si="34">AA23+AK23</f>
        <v>0</v>
      </c>
      <c r="AP23" s="313">
        <f t="shared" ref="AP23:AP24" ca="1" si="35">AD23+IF($R23="",AL23)</f>
        <v>0</v>
      </c>
      <c r="AQ23" s="313">
        <f t="shared" ref="AQ23:AQ24" ca="1" si="36">AP23*$Z23</f>
        <v>0</v>
      </c>
      <c r="AR23" s="843">
        <f t="shared" ref="AR23:AR24" ca="1" si="37">IFERROR(AQ23/AA$4,0)</f>
        <v>0</v>
      </c>
    </row>
    <row r="24" spans="1:44" outlineLevel="2" x14ac:dyDescent="0.2">
      <c r="A24" s="299"/>
      <c r="B24" s="299"/>
      <c r="C24" s="299" t="str">
        <f t="shared" ca="1" si="9"/>
        <v>CH1154887116:CHF:P</v>
      </c>
      <c r="D24" s="300" t="str">
        <f t="shared" ca="1" si="10"/>
        <v>CH1154887116</v>
      </c>
      <c r="E24" s="301" t="str">
        <f t="shared" ca="1" si="10"/>
        <v>115488711</v>
      </c>
      <c r="F24" s="835" t="s">
        <v>4322</v>
      </c>
      <c r="G24" s="844">
        <f t="shared" ca="1" si="10"/>
        <v>47501</v>
      </c>
      <c r="H24" s="1748" t="str">
        <f t="shared" ca="1" si="11"/>
        <v></v>
      </c>
      <c r="I24" s="1747" t="str">
        <f t="shared" ca="1" si="12"/>
        <v>i</v>
      </c>
      <c r="J24" s="1748" t="str">
        <f t="shared" ca="1" si="13"/>
        <v></v>
      </c>
      <c r="K24" s="1709" t="str">
        <f t="shared" ca="1" si="13"/>
        <v></v>
      </c>
      <c r="L24" s="1710" t="str">
        <f t="shared" ca="1" si="14"/>
        <v></v>
      </c>
      <c r="M24" s="298" t="str">
        <f t="shared" ca="1" si="15"/>
        <v>Pct</v>
      </c>
      <c r="N24" s="837"/>
      <c r="O24" s="837"/>
      <c r="P24" s="837">
        <f t="shared" ca="1" si="0"/>
        <v>1.5619089119050579E-2</v>
      </c>
      <c r="Q24" s="838"/>
      <c r="R24" s="838"/>
      <c r="S24" s="837"/>
      <c r="T24" s="307">
        <f t="shared" si="16"/>
        <v>10000</v>
      </c>
      <c r="U24" s="307">
        <f t="shared" ca="1" si="17"/>
        <v>-10000</v>
      </c>
      <c r="V24" s="307">
        <f t="shared" si="18"/>
        <v>0</v>
      </c>
      <c r="W24" s="299" t="str">
        <f t="shared" ca="1" si="19"/>
        <v>CHF</v>
      </c>
      <c r="X24" s="839">
        <f ca="1">_xlfn.NUMBERVALUE(OFFSET(Origine,MATCH($F24,Descrizioni,0),MATCH(X$14,Intestazioni,0)-1,1,1))</f>
        <v>0.98951250000000002</v>
      </c>
      <c r="Y24" s="840">
        <f t="shared" ca="1" si="21"/>
        <v>6.1983966400000002E-3</v>
      </c>
      <c r="Z24" s="841">
        <f t="shared" ca="1" si="22"/>
        <v>1.0000001300000001</v>
      </c>
      <c r="AA24" s="197">
        <f>10000</f>
        <v>10000</v>
      </c>
      <c r="AB24" s="312">
        <f t="shared" ca="1" si="23"/>
        <v>2.0379746835443857E-3</v>
      </c>
      <c r="AC24" s="842">
        <v>0.98750000000000004</v>
      </c>
      <c r="AD24" s="199">
        <f t="shared" ca="1" si="24"/>
        <v>9895.125</v>
      </c>
      <c r="AE24" s="199">
        <f t="shared" ca="1" si="25"/>
        <v>9895.1262863662505</v>
      </c>
      <c r="AF24" s="216">
        <f t="shared" ca="1" si="26"/>
        <v>1.5619089119050579E-2</v>
      </c>
      <c r="AG24" s="404">
        <f t="shared" ca="1" si="27"/>
        <v>-10000</v>
      </c>
      <c r="AH24" s="405">
        <f t="shared" ca="1" si="28"/>
        <v>-9895.125</v>
      </c>
      <c r="AI24" s="405">
        <f t="shared" ca="1" si="29"/>
        <v>-9895.1262863662505</v>
      </c>
      <c r="AJ24" s="406">
        <f t="shared" ca="1" si="30"/>
        <v>-1.5619089119050579E-2</v>
      </c>
      <c r="AK24" s="205"/>
      <c r="AL24" s="206">
        <f t="shared" ca="1" si="31"/>
        <v>0</v>
      </c>
      <c r="AM24" s="206">
        <f t="shared" ca="1" si="32"/>
        <v>0</v>
      </c>
      <c r="AN24" s="207">
        <f t="shared" ca="1" si="33"/>
        <v>0</v>
      </c>
      <c r="AO24" s="313">
        <f t="shared" si="34"/>
        <v>10000</v>
      </c>
      <c r="AP24" s="313">
        <f t="shared" ca="1" si="35"/>
        <v>9895.125</v>
      </c>
      <c r="AQ24" s="313">
        <f t="shared" ca="1" si="36"/>
        <v>9895.1262863662505</v>
      </c>
      <c r="AR24" s="843">
        <f t="shared" ca="1" si="37"/>
        <v>1.5619089119050579E-2</v>
      </c>
    </row>
    <row r="25" spans="1:44" outlineLevel="2" x14ac:dyDescent="0.2">
      <c r="A25" s="299"/>
      <c r="B25" s="299"/>
      <c r="C25" s="299" t="str">
        <f t="shared" ca="1" si="9"/>
        <v>CH1112246744:CHF</v>
      </c>
      <c r="D25" s="300" t="str">
        <f t="shared" ca="1" si="10"/>
        <v>CH1112246744</v>
      </c>
      <c r="E25" s="301" t="str">
        <f t="shared" ca="1" si="10"/>
        <v>111224674</v>
      </c>
      <c r="F25" s="835" t="s">
        <v>534</v>
      </c>
      <c r="G25" s="844">
        <f t="shared" ca="1" si="10"/>
        <v>47982</v>
      </c>
      <c r="H25" s="1748" t="str">
        <f t="shared" ca="1" si="11"/>
        <v></v>
      </c>
      <c r="I25" s="1747" t="str">
        <f t="shared" ca="1" si="12"/>
        <v>i</v>
      </c>
      <c r="J25" s="1748" t="str">
        <f t="shared" ca="1" si="13"/>
        <v></v>
      </c>
      <c r="K25" s="1709" t="str">
        <f t="shared" ca="1" si="13"/>
        <v></v>
      </c>
      <c r="L25" s="1710" t="str">
        <f t="shared" ca="1" si="14"/>
        <v></v>
      </c>
      <c r="M25" s="298" t="str">
        <f t="shared" ca="1" si="15"/>
        <v>Pct</v>
      </c>
      <c r="N25" s="837"/>
      <c r="O25" s="837"/>
      <c r="P25" s="837">
        <f t="shared" ca="1" si="0"/>
        <v>3.1491105017795493E-2</v>
      </c>
      <c r="Q25" s="838"/>
      <c r="R25" s="838"/>
      <c r="S25" s="837"/>
      <c r="T25" s="307">
        <f t="shared" ref="T25:T33" si="38">SUMIF($AA$14:$AR$14,"I_Pos",AA25:AR25)</f>
        <v>20000</v>
      </c>
      <c r="U25" s="307">
        <f t="shared" ref="U25:U33" ca="1" si="39">SUMIF($AA$14:$AR$14,"P_Pos",AA25:AR25)</f>
        <v>-20000</v>
      </c>
      <c r="V25" s="307">
        <f t="shared" ref="V25" si="40">SUMIF($AA$14:$AR$14,"O_Pos",AA25:AR25)</f>
        <v>0</v>
      </c>
      <c r="W25" s="299" t="str">
        <f t="shared" ca="1" si="19"/>
        <v>CHF</v>
      </c>
      <c r="X25" s="839">
        <f ca="1">_xlfn.NUMBERVALUE(OFFSET(Origine,MATCH($F25,Descrizioni,0),MATCH(X$14,Intestazioni,0)-1,1,1))</f>
        <v>0.99752430556000005</v>
      </c>
      <c r="Y25" s="840">
        <f t="shared" ca="1" si="21"/>
        <v>1.023936839E-2</v>
      </c>
      <c r="Z25" s="841">
        <f t="shared" ref="Z25:Z36" ca="1" si="41">_xlfn.NUMBERVALUE(OFFSET(Origine,MATCH(W25&amp;"/"&amp;MRif,LUKB_Name,0),MATCH("Price",Intestazioni,0)-1,1,1))</f>
        <v>1.0000001300000001</v>
      </c>
      <c r="AA25" s="197">
        <v>20000</v>
      </c>
      <c r="AB25" s="312">
        <f t="shared" ref="AB25" ca="1" si="42">IFERROR($X25/AC25-1,"")</f>
        <v>8.1678926003036167E-2</v>
      </c>
      <c r="AC25" s="842">
        <v>0.92220000000000002</v>
      </c>
      <c r="AD25" s="199">
        <f t="shared" ref="AD25" ca="1" si="43">AA25*$X25</f>
        <v>19950.4861112</v>
      </c>
      <c r="AE25" s="199">
        <f t="shared" ref="AE25" ca="1" si="44">AD25*$Z25</f>
        <v>19950.488704763196</v>
      </c>
      <c r="AF25" s="216">
        <f t="shared" ref="AF25" ca="1" si="45">IFERROR(AE25/AA$4,0)</f>
        <v>3.1491105017795493E-2</v>
      </c>
      <c r="AG25" s="404">
        <f t="shared" ref="AG25" ca="1" si="46">AH25/$X25</f>
        <v>-20000</v>
      </c>
      <c r="AH25" s="405">
        <f t="shared" ref="AH25" ca="1" si="47">AI25/$Z25</f>
        <v>-19950.4861112</v>
      </c>
      <c r="AI25" s="405">
        <f t="shared" ref="AI25" ca="1" si="48">AJ25*AA$4</f>
        <v>-19950.488704763196</v>
      </c>
      <c r="AJ25" s="406">
        <f t="shared" ref="AJ25:AJ36" ca="1" si="49">$N25-AF25</f>
        <v>-3.1491105017795493E-2</v>
      </c>
      <c r="AK25" s="205"/>
      <c r="AL25" s="206">
        <f t="shared" ref="AL25" ca="1" si="50">AK25*$X25</f>
        <v>0</v>
      </c>
      <c r="AM25" s="206">
        <f t="shared" ref="AM25" ca="1" si="51">AL25*$Z25</f>
        <v>0</v>
      </c>
      <c r="AN25" s="207">
        <f t="shared" ref="AN25" ca="1" si="52">IFERROR(AM25/AA$4,0)</f>
        <v>0</v>
      </c>
      <c r="AO25" s="313">
        <f t="shared" ref="AO25" si="53">AA25+AK25</f>
        <v>20000</v>
      </c>
      <c r="AP25" s="313">
        <f t="shared" ref="AP25:AP78" ca="1" si="54">AD25+IF($R25="",AL25)</f>
        <v>19950.4861112</v>
      </c>
      <c r="AQ25" s="313">
        <f t="shared" ref="AQ25" ca="1" si="55">AP25*$Z25</f>
        <v>19950.488704763196</v>
      </c>
      <c r="AR25" s="843">
        <f t="shared" ref="AR25" ca="1" si="56">IFERROR(AQ25/AA$4,0)</f>
        <v>3.1491105017795493E-2</v>
      </c>
    </row>
    <row r="26" spans="1:44" outlineLevel="2" x14ac:dyDescent="0.2">
      <c r="A26" s="299"/>
      <c r="B26" s="299"/>
      <c r="C26" s="299" t="str">
        <f t="shared" ca="1" si="9"/>
        <v>CH1148728129:CHF</v>
      </c>
      <c r="D26" s="300" t="str">
        <f t="shared" ca="1" si="10"/>
        <v>CH1148728129</v>
      </c>
      <c r="E26" s="301" t="str">
        <f t="shared" ca="1" si="10"/>
        <v>114872812</v>
      </c>
      <c r="F26" s="835" t="s">
        <v>374</v>
      </c>
      <c r="G26" s="844">
        <f t="shared" ca="1" si="10"/>
        <v>48234</v>
      </c>
      <c r="H26" s="1748" t="str">
        <f t="shared" ca="1" si="11"/>
        <v></v>
      </c>
      <c r="I26" s="1747" t="str">
        <f t="shared" ca="1" si="12"/>
        <v>i</v>
      </c>
      <c r="J26" s="1748" t="str">
        <f t="shared" ca="1" si="13"/>
        <v></v>
      </c>
      <c r="K26" s="1709" t="str">
        <f t="shared" ca="1" si="13"/>
        <v></v>
      </c>
      <c r="L26" s="1710" t="str">
        <f t="shared" ca="1" si="14"/>
        <v></v>
      </c>
      <c r="M26" s="298" t="str">
        <f t="shared" ca="1" si="15"/>
        <v>Pct</v>
      </c>
      <c r="N26" s="837"/>
      <c r="O26" s="837"/>
      <c r="P26" s="837">
        <f t="shared" ca="1" si="0"/>
        <v>3.1442720740870782E-2</v>
      </c>
      <c r="Q26" s="838"/>
      <c r="R26" s="838"/>
      <c r="S26" s="837"/>
      <c r="T26" s="307">
        <f t="shared" si="38"/>
        <v>20000</v>
      </c>
      <c r="U26" s="307">
        <f t="shared" ca="1" si="39"/>
        <v>-20000</v>
      </c>
      <c r="V26" s="307">
        <f t="shared" ref="V26:V27" si="57">SUMIF($AA$14:$AR$14,"O_Pos",AA26:AR26)</f>
        <v>0</v>
      </c>
      <c r="W26" s="299" t="str">
        <f t="shared" ca="1" si="19"/>
        <v>CHF</v>
      </c>
      <c r="X26" s="839">
        <f ca="1">_xlfn.NUMBERVALUE(OFFSET(Origine,MATCH($F26,Descrizioni,0),MATCH(X$14,Intestazioni,0)-1,1,1))</f>
        <v>0.99599166667000005</v>
      </c>
      <c r="Y26" s="840">
        <f t="shared" ca="1" si="21"/>
        <v>8.9377875499999995E-3</v>
      </c>
      <c r="Z26" s="841">
        <f t="shared" ca="1" si="41"/>
        <v>1.0000001300000001</v>
      </c>
      <c r="AA26" s="197">
        <v>20000</v>
      </c>
      <c r="AB26" s="312">
        <f t="shared" ref="AB26:AB27" ca="1" si="58">IFERROR($X26/AC26-1,"")</f>
        <v>8.4131562719059749E-2</v>
      </c>
      <c r="AC26" s="842">
        <v>0.91869999999999996</v>
      </c>
      <c r="AD26" s="199">
        <f t="shared" ref="AD26:AD27" ca="1" si="59">AA26*$X26</f>
        <v>19919.833333400002</v>
      </c>
      <c r="AE26" s="199">
        <f t="shared" ref="AE26:AE27" ca="1" si="60">AD26*$Z26</f>
        <v>19919.835922978338</v>
      </c>
      <c r="AF26" s="216">
        <f t="shared" ref="AF26:AF27" ca="1" si="61">IFERROR(AE26/AA$4,0)</f>
        <v>3.1442720740870782E-2</v>
      </c>
      <c r="AG26" s="404">
        <f t="shared" ref="AG26:AG27" ca="1" si="62">AH26/$X26</f>
        <v>-20000</v>
      </c>
      <c r="AH26" s="405">
        <f t="shared" ref="AH26:AH27" ca="1" si="63">AI26/$Z26</f>
        <v>-19919.833333400002</v>
      </c>
      <c r="AI26" s="405">
        <f t="shared" ref="AI26:AI27" ca="1" si="64">AJ26*AA$4</f>
        <v>-19919.835922978338</v>
      </c>
      <c r="AJ26" s="406">
        <f t="shared" ca="1" si="49"/>
        <v>-3.1442720740870782E-2</v>
      </c>
      <c r="AK26" s="205"/>
      <c r="AL26" s="206">
        <f t="shared" ref="AL26:AL27" ca="1" si="65">AK26*$X26</f>
        <v>0</v>
      </c>
      <c r="AM26" s="206">
        <f t="shared" ref="AM26:AM27" ca="1" si="66">AL26*$Z26</f>
        <v>0</v>
      </c>
      <c r="AN26" s="207">
        <f t="shared" ref="AN26:AN27" ca="1" si="67">IFERROR(AM26/AA$4,0)</f>
        <v>0</v>
      </c>
      <c r="AO26" s="313">
        <f t="shared" ref="AO26:AO27" si="68">AA26+AK26</f>
        <v>20000</v>
      </c>
      <c r="AP26" s="313">
        <f t="shared" ca="1" si="54"/>
        <v>19919.833333400002</v>
      </c>
      <c r="AQ26" s="313">
        <f t="shared" ref="AQ26:AQ27" ca="1" si="69">AP26*$Z26</f>
        <v>19919.835922978338</v>
      </c>
      <c r="AR26" s="843">
        <f t="shared" ref="AR26:AR27" ca="1" si="70">IFERROR(AQ26/AA$4,0)</f>
        <v>3.1442720740870782E-2</v>
      </c>
    </row>
    <row r="27" spans="1:44" outlineLevel="2" x14ac:dyDescent="0.2">
      <c r="A27" s="299"/>
      <c r="B27" s="299"/>
      <c r="C27" s="299" t="str">
        <f t="shared" ca="1" si="9"/>
        <v>CH1400064502:CHF:P</v>
      </c>
      <c r="D27" s="300" t="str">
        <f t="shared" ca="1" si="10"/>
        <v>CH1400064502</v>
      </c>
      <c r="E27" s="301" t="str">
        <f t="shared" ca="1" si="10"/>
        <v>140006450</v>
      </c>
      <c r="F27" s="835" t="s">
        <v>816</v>
      </c>
      <c r="G27" s="844">
        <f t="shared" ca="1" si="10"/>
        <v>48610</v>
      </c>
      <c r="H27" s="1748" t="str">
        <f t="shared" ca="1" si="11"/>
        <v></v>
      </c>
      <c r="I27" s="1747" t="str">
        <f t="shared" ca="1" si="12"/>
        <v>i</v>
      </c>
      <c r="J27" s="1748" t="str">
        <f t="shared" ca="1" si="13"/>
        <v></v>
      </c>
      <c r="K27" s="1709" t="str">
        <f t="shared" ca="1" si="13"/>
        <v></v>
      </c>
      <c r="L27" s="1710" t="str">
        <f t="shared" ca="1" si="14"/>
        <v></v>
      </c>
      <c r="M27" s="298" t="str">
        <f t="shared" ca="1" si="15"/>
        <v>Pct</v>
      </c>
      <c r="N27" s="837"/>
      <c r="O27" s="837"/>
      <c r="P27" s="837">
        <f t="shared" ca="1" si="0"/>
        <v>0</v>
      </c>
      <c r="Q27" s="838"/>
      <c r="R27" s="838"/>
      <c r="S27" s="837"/>
      <c r="T27" s="307">
        <f t="shared" ref="T27" si="71">SUMIF($AA$14:$AR$14,"I_Pos",AA27:AR27)</f>
        <v>0</v>
      </c>
      <c r="U27" s="307">
        <f t="shared" ref="U27" ca="1" si="72">SUMIF($AA$14:$AR$14,"P_Pos",AA27:AR27)</f>
        <v>0</v>
      </c>
      <c r="V27" s="307">
        <f t="shared" si="57"/>
        <v>0</v>
      </c>
      <c r="W27" s="299" t="str">
        <f t="shared" ca="1" si="19"/>
        <v>CHF</v>
      </c>
      <c r="X27" s="845">
        <f t="shared" ca="1" si="20"/>
        <v>1.00450833333</v>
      </c>
      <c r="Y27" s="840">
        <f t="shared" ca="1" si="21"/>
        <v>9.4957603599999992E-3</v>
      </c>
      <c r="Z27" s="841">
        <f t="shared" ref="Z27" ca="1" si="73">_xlfn.NUMBERVALUE(OFFSET(Origine,MATCH(W27&amp;"/"&amp;MRif,LUKB_Name,0),MATCH("Price",Intestazioni,0)-1,1,1))</f>
        <v>1.0000001300000001</v>
      </c>
      <c r="AA27" s="197"/>
      <c r="AB27" s="312" t="str">
        <f t="shared" ca="1" si="58"/>
        <v/>
      </c>
      <c r="AC27" s="842"/>
      <c r="AD27" s="199">
        <f t="shared" ca="1" si="59"/>
        <v>0</v>
      </c>
      <c r="AE27" s="199">
        <f t="shared" ca="1" si="60"/>
        <v>0</v>
      </c>
      <c r="AF27" s="216">
        <f t="shared" ca="1" si="61"/>
        <v>0</v>
      </c>
      <c r="AG27" s="404">
        <f t="shared" ca="1" si="62"/>
        <v>0</v>
      </c>
      <c r="AH27" s="405">
        <f t="shared" ca="1" si="63"/>
        <v>0</v>
      </c>
      <c r="AI27" s="405">
        <f t="shared" ca="1" si="64"/>
        <v>0</v>
      </c>
      <c r="AJ27" s="406">
        <f t="shared" ref="AJ27" ca="1" si="74">$N27-AF27</f>
        <v>0</v>
      </c>
      <c r="AK27" s="205"/>
      <c r="AL27" s="206">
        <f t="shared" ca="1" si="65"/>
        <v>0</v>
      </c>
      <c r="AM27" s="206">
        <f t="shared" ca="1" si="66"/>
        <v>0</v>
      </c>
      <c r="AN27" s="207">
        <f t="shared" ca="1" si="67"/>
        <v>0</v>
      </c>
      <c r="AO27" s="313">
        <f t="shared" si="68"/>
        <v>0</v>
      </c>
      <c r="AP27" s="313">
        <f t="shared" ref="AP27" ca="1" si="75">AD27+IF($R27="",AL27)</f>
        <v>0</v>
      </c>
      <c r="AQ27" s="313">
        <f t="shared" ca="1" si="69"/>
        <v>0</v>
      </c>
      <c r="AR27" s="843">
        <f t="shared" ca="1" si="70"/>
        <v>0</v>
      </c>
    </row>
    <row r="28" spans="1:44" outlineLevel="2" x14ac:dyDescent="0.2">
      <c r="A28" s="299"/>
      <c r="B28" s="299"/>
      <c r="C28" s="299" t="str">
        <f t="shared" ca="1" si="9"/>
        <v>LU0071006638:CHF</v>
      </c>
      <c r="D28" s="300" t="str">
        <f t="shared" ca="1" si="10"/>
        <v>LU0071006638</v>
      </c>
      <c r="E28" s="301" t="str">
        <f t="shared" ca="1" si="10"/>
        <v>529250</v>
      </c>
      <c r="F28" s="835" t="s">
        <v>748</v>
      </c>
      <c r="G28" s="844" t="str">
        <f t="shared" ca="1" si="10"/>
        <v/>
      </c>
      <c r="H28" s="1748" t="str">
        <f t="shared" ca="1" si="11"/>
        <v></v>
      </c>
      <c r="I28" s="1747" t="str">
        <f t="shared" ca="1" si="12"/>
        <v>i</v>
      </c>
      <c r="J28" s="1748" t="str">
        <f t="shared" ca="1" si="13"/>
        <v></v>
      </c>
      <c r="K28" s="1709" t="str">
        <f t="shared" ca="1" si="13"/>
        <v></v>
      </c>
      <c r="L28" s="1710" t="str">
        <f t="shared" ca="1" si="14"/>
        <v></v>
      </c>
      <c r="M28" s="298" t="str">
        <f t="shared" ca="1" si="15"/>
        <v>Unit</v>
      </c>
      <c r="N28" s="837"/>
      <c r="O28" s="837"/>
      <c r="P28" s="837">
        <f t="shared" ca="1" si="0"/>
        <v>0</v>
      </c>
      <c r="Q28" s="838"/>
      <c r="R28" s="838"/>
      <c r="S28" s="837"/>
      <c r="T28" s="307">
        <f t="shared" si="38"/>
        <v>0</v>
      </c>
      <c r="U28" s="307">
        <f t="shared" ca="1" si="39"/>
        <v>0</v>
      </c>
      <c r="V28" s="307">
        <f t="shared" ref="V28:V36" si="76">SUMIF($AA$14:$AR$14,"O_Pos",AA28:AR28)</f>
        <v>0</v>
      </c>
      <c r="W28" s="299" t="str">
        <f t="shared" ca="1" si="19"/>
        <v>CHF</v>
      </c>
      <c r="X28" s="845">
        <f t="shared" ca="1" si="20"/>
        <v>758.95</v>
      </c>
      <c r="Y28" s="840">
        <f t="shared" ca="1" si="21"/>
        <v>0</v>
      </c>
      <c r="Z28" s="841">
        <f t="shared" ca="1" si="41"/>
        <v>1.0000001300000001</v>
      </c>
      <c r="AA28" s="197"/>
      <c r="AB28" s="312" t="str">
        <f t="shared" ca="1" si="23"/>
        <v/>
      </c>
      <c r="AC28" s="842"/>
      <c r="AD28" s="199">
        <f t="shared" ref="AD28:AD33" ca="1" si="77">AA28*$X28</f>
        <v>0</v>
      </c>
      <c r="AE28" s="199">
        <f t="shared" ref="AE28:AE33" ca="1" si="78">AD28*$Z28</f>
        <v>0</v>
      </c>
      <c r="AF28" s="216">
        <f t="shared" ref="AF28:AF39" ca="1" si="79">IFERROR(AE28/AA$4,0)</f>
        <v>0</v>
      </c>
      <c r="AG28" s="404">
        <f t="shared" ref="AG28:AG33" ca="1" si="80">AH28/$X28</f>
        <v>0</v>
      </c>
      <c r="AH28" s="405">
        <f t="shared" ref="AH28:AH33" ca="1" si="81">AI28/$Z28</f>
        <v>0</v>
      </c>
      <c r="AI28" s="405">
        <f t="shared" ref="AI28:AI35" ca="1" si="82">AJ28*AA$4</f>
        <v>0</v>
      </c>
      <c r="AJ28" s="406">
        <f t="shared" ca="1" si="49"/>
        <v>0</v>
      </c>
      <c r="AK28" s="205"/>
      <c r="AL28" s="206">
        <f t="shared" ref="AL28:AL33" ca="1" si="83">AK28*$X28</f>
        <v>0</v>
      </c>
      <c r="AM28" s="206">
        <f t="shared" ref="AM28:AM33" ca="1" si="84">AL28*$Z28</f>
        <v>0</v>
      </c>
      <c r="AN28" s="207">
        <f t="shared" ref="AN28:AN39" ca="1" si="85">IFERROR(AM28/AA$4,0)</f>
        <v>0</v>
      </c>
      <c r="AO28" s="313">
        <f t="shared" ref="AO28:AO36" si="86">AA28+AK28</f>
        <v>0</v>
      </c>
      <c r="AP28" s="313">
        <f t="shared" ca="1" si="54"/>
        <v>0</v>
      </c>
      <c r="AQ28" s="313">
        <f t="shared" ref="AQ28:AQ33" ca="1" si="87">AP28*$Z28</f>
        <v>0</v>
      </c>
      <c r="AR28" s="843">
        <f t="shared" ref="AR28:AR39" ca="1" si="88">IFERROR(AQ28/AA$4,0)</f>
        <v>0</v>
      </c>
    </row>
    <row r="29" spans="1:44" ht="12" customHeight="1" outlineLevel="2" x14ac:dyDescent="0.2">
      <c r="A29" s="299"/>
      <c r="B29" s="299"/>
      <c r="C29" s="299" t="str">
        <f t="shared" ca="1" si="9"/>
        <v>LU0942970442:CHF</v>
      </c>
      <c r="D29" s="300" t="str">
        <f t="shared" ca="1" si="10"/>
        <v>LU0942970442</v>
      </c>
      <c r="E29" s="301" t="str">
        <f t="shared" ca="1" si="10"/>
        <v>23971272</v>
      </c>
      <c r="F29" s="835" t="s">
        <v>749</v>
      </c>
      <c r="G29" s="844" t="str">
        <f t="shared" ca="1" si="10"/>
        <v/>
      </c>
      <c r="H29" s="1748" t="str">
        <f t="shared" ca="1" si="11"/>
        <v></v>
      </c>
      <c r="I29" s="1747" t="str">
        <f t="shared" ca="1" si="12"/>
        <v>i</v>
      </c>
      <c r="J29" s="1748" t="str">
        <f t="shared" ca="1" si="13"/>
        <v></v>
      </c>
      <c r="K29" s="1709" t="str">
        <f t="shared" ca="1" si="13"/>
        <v></v>
      </c>
      <c r="L29" s="1710" t="str">
        <f t="shared" ca="1" si="14"/>
        <v></v>
      </c>
      <c r="M29" s="298" t="str">
        <f t="shared" ca="1" si="15"/>
        <v>Unit</v>
      </c>
      <c r="N29" s="837"/>
      <c r="O29" s="837"/>
      <c r="P29" s="837">
        <f t="shared" ca="1" si="0"/>
        <v>0</v>
      </c>
      <c r="Q29" s="838"/>
      <c r="R29" s="838"/>
      <c r="S29" s="837"/>
      <c r="T29" s="307">
        <f t="shared" si="38"/>
        <v>0</v>
      </c>
      <c r="U29" s="307">
        <f t="shared" ca="1" si="39"/>
        <v>0</v>
      </c>
      <c r="V29" s="307">
        <f t="shared" si="76"/>
        <v>0</v>
      </c>
      <c r="W29" s="299" t="str">
        <f t="shared" ca="1" si="19"/>
        <v>CHF</v>
      </c>
      <c r="X29" s="845">
        <f t="shared" ca="1" si="20"/>
        <v>15.3565</v>
      </c>
      <c r="Y29" s="840">
        <f t="shared" ca="1" si="21"/>
        <v>0</v>
      </c>
      <c r="Z29" s="841">
        <f t="shared" ca="1" si="41"/>
        <v>1.0000001300000001</v>
      </c>
      <c r="AA29" s="846"/>
      <c r="AB29" s="312" t="str">
        <f t="shared" ca="1" si="23"/>
        <v/>
      </c>
      <c r="AC29" s="847"/>
      <c r="AD29" s="199">
        <f t="shared" ca="1" si="77"/>
        <v>0</v>
      </c>
      <c r="AE29" s="199">
        <f t="shared" ca="1" si="78"/>
        <v>0</v>
      </c>
      <c r="AF29" s="216">
        <f t="shared" ca="1" si="79"/>
        <v>0</v>
      </c>
      <c r="AG29" s="404">
        <f t="shared" ca="1" si="80"/>
        <v>0</v>
      </c>
      <c r="AH29" s="405">
        <f t="shared" ca="1" si="81"/>
        <v>0</v>
      </c>
      <c r="AI29" s="405">
        <f t="shared" ca="1" si="82"/>
        <v>0</v>
      </c>
      <c r="AJ29" s="406">
        <f t="shared" ca="1" si="49"/>
        <v>0</v>
      </c>
      <c r="AK29" s="205"/>
      <c r="AL29" s="206">
        <f t="shared" ca="1" si="83"/>
        <v>0</v>
      </c>
      <c r="AM29" s="206">
        <f t="shared" ca="1" si="84"/>
        <v>0</v>
      </c>
      <c r="AN29" s="207">
        <f t="shared" ca="1" si="85"/>
        <v>0</v>
      </c>
      <c r="AO29" s="313">
        <f t="shared" si="86"/>
        <v>0</v>
      </c>
      <c r="AP29" s="313">
        <f t="shared" ca="1" si="54"/>
        <v>0</v>
      </c>
      <c r="AQ29" s="313">
        <f t="shared" ca="1" si="87"/>
        <v>0</v>
      </c>
      <c r="AR29" s="843">
        <f t="shared" ca="1" si="88"/>
        <v>0</v>
      </c>
    </row>
    <row r="30" spans="1:44" outlineLevel="2" x14ac:dyDescent="0.2">
      <c r="A30" s="299"/>
      <c r="B30" s="299"/>
      <c r="C30" s="299" t="str">
        <f t="shared" ca="1" si="9"/>
        <v>CH0226976816:CHF</v>
      </c>
      <c r="D30" s="300" t="str">
        <f t="shared" ca="1" si="10"/>
        <v>CH0226976816</v>
      </c>
      <c r="E30" s="301" t="str">
        <f t="shared" ca="1" si="10"/>
        <v>22697681</v>
      </c>
      <c r="F30" s="835" t="s">
        <v>739</v>
      </c>
      <c r="G30" s="844" t="str">
        <f t="shared" ca="1" si="10"/>
        <v/>
      </c>
      <c r="H30" s="1748" t="str">
        <f t="shared" ca="1" si="11"/>
        <v></v>
      </c>
      <c r="I30" s="1747" t="str">
        <f t="shared" ca="1" si="12"/>
        <v>i</v>
      </c>
      <c r="J30" s="1748" t="str">
        <f t="shared" ca="1" si="13"/>
        <v></v>
      </c>
      <c r="K30" s="1709" t="str">
        <f t="shared" ca="1" si="13"/>
        <v></v>
      </c>
      <c r="L30" s="1710" t="str">
        <f t="shared" ca="1" si="14"/>
        <v></v>
      </c>
      <c r="M30" s="298" t="str">
        <f t="shared" ca="1" si="15"/>
        <v>Unit</v>
      </c>
      <c r="N30" s="837"/>
      <c r="O30" s="837"/>
      <c r="P30" s="837">
        <f t="shared" ca="1" si="0"/>
        <v>0</v>
      </c>
      <c r="Q30" s="838"/>
      <c r="R30" s="838"/>
      <c r="S30" s="837"/>
      <c r="T30" s="307">
        <f t="shared" si="38"/>
        <v>0</v>
      </c>
      <c r="U30" s="307">
        <f t="shared" ca="1" si="39"/>
        <v>0</v>
      </c>
      <c r="V30" s="307">
        <f t="shared" si="76"/>
        <v>0</v>
      </c>
      <c r="W30" s="299" t="str">
        <f t="shared" ca="1" si="19"/>
        <v>CHF</v>
      </c>
      <c r="X30" s="845">
        <f t="shared" ca="1" si="20"/>
        <v>97.5</v>
      </c>
      <c r="Y30" s="840">
        <f t="shared" ca="1" si="21"/>
        <v>0</v>
      </c>
      <c r="Z30" s="841">
        <f t="shared" ca="1" si="41"/>
        <v>1.0000001300000001</v>
      </c>
      <c r="AA30" s="197"/>
      <c r="AB30" s="312" t="str">
        <f t="shared" ca="1" si="23"/>
        <v/>
      </c>
      <c r="AC30" s="842"/>
      <c r="AD30" s="199">
        <f t="shared" ca="1" si="77"/>
        <v>0</v>
      </c>
      <c r="AE30" s="199">
        <f t="shared" ca="1" si="78"/>
        <v>0</v>
      </c>
      <c r="AF30" s="216">
        <f t="shared" ca="1" si="79"/>
        <v>0</v>
      </c>
      <c r="AG30" s="404">
        <f t="shared" ca="1" si="80"/>
        <v>0</v>
      </c>
      <c r="AH30" s="405">
        <f t="shared" ca="1" si="81"/>
        <v>0</v>
      </c>
      <c r="AI30" s="405">
        <f t="shared" ca="1" si="82"/>
        <v>0</v>
      </c>
      <c r="AJ30" s="406">
        <f t="shared" ca="1" si="49"/>
        <v>0</v>
      </c>
      <c r="AK30" s="205"/>
      <c r="AL30" s="206">
        <f t="shared" ca="1" si="83"/>
        <v>0</v>
      </c>
      <c r="AM30" s="206">
        <f t="shared" ca="1" si="84"/>
        <v>0</v>
      </c>
      <c r="AN30" s="207">
        <f t="shared" ca="1" si="85"/>
        <v>0</v>
      </c>
      <c r="AO30" s="313">
        <f t="shared" si="86"/>
        <v>0</v>
      </c>
      <c r="AP30" s="313">
        <f t="shared" ca="1" si="54"/>
        <v>0</v>
      </c>
      <c r="AQ30" s="313">
        <f t="shared" ca="1" si="87"/>
        <v>0</v>
      </c>
      <c r="AR30" s="843">
        <f t="shared" ca="1" si="88"/>
        <v>0</v>
      </c>
    </row>
    <row r="31" spans="1:44" outlineLevel="2" x14ac:dyDescent="0.2">
      <c r="A31" s="299"/>
      <c r="B31" s="299"/>
      <c r="C31" s="299" t="str">
        <f t="shared" ca="1" si="9"/>
        <v>LU0821169405:CHF</v>
      </c>
      <c r="D31" s="300" t="str">
        <f t="shared" ca="1" si="10"/>
        <v>LU0821169405</v>
      </c>
      <c r="E31" s="301" t="str">
        <f t="shared" ca="1" si="10"/>
        <v>19336939</v>
      </c>
      <c r="F31" s="835" t="s">
        <v>817</v>
      </c>
      <c r="G31" s="844" t="str">
        <f t="shared" ca="1" si="10"/>
        <v/>
      </c>
      <c r="H31" s="1748" t="str">
        <f t="shared" ca="1" si="11"/>
        <v></v>
      </c>
      <c r="I31" s="1747" t="str">
        <f t="shared" ca="1" si="12"/>
        <v>i</v>
      </c>
      <c r="J31" s="1748" t="str">
        <f t="shared" ca="1" si="13"/>
        <v></v>
      </c>
      <c r="K31" s="1709" t="str">
        <f t="shared" ca="1" si="13"/>
        <v></v>
      </c>
      <c r="L31" s="1710" t="str">
        <f t="shared" ca="1" si="14"/>
        <v></v>
      </c>
      <c r="M31" s="298" t="str">
        <f t="shared" ca="1" si="15"/>
        <v>Unit</v>
      </c>
      <c r="N31" s="837"/>
      <c r="O31" s="837"/>
      <c r="P31" s="837">
        <f t="shared" ca="1" si="0"/>
        <v>0</v>
      </c>
      <c r="Q31" s="838"/>
      <c r="R31" s="838"/>
      <c r="S31" s="837"/>
      <c r="T31" s="307">
        <f t="shared" si="38"/>
        <v>0</v>
      </c>
      <c r="U31" s="307">
        <f t="shared" ca="1" si="39"/>
        <v>0</v>
      </c>
      <c r="V31" s="307">
        <f t="shared" si="76"/>
        <v>0</v>
      </c>
      <c r="W31" s="299" t="str">
        <f t="shared" ca="1" si="19"/>
        <v>CHF</v>
      </c>
      <c r="X31" s="845">
        <f t="shared" ca="1" si="20"/>
        <v>154.46</v>
      </c>
      <c r="Y31" s="840">
        <f t="shared" ca="1" si="21"/>
        <v>0</v>
      </c>
      <c r="Z31" s="841">
        <f t="shared" ca="1" si="41"/>
        <v>1.0000001300000001</v>
      </c>
      <c r="AA31" s="197"/>
      <c r="AB31" s="312" t="str">
        <f t="shared" ca="1" si="23"/>
        <v/>
      </c>
      <c r="AC31" s="842"/>
      <c r="AD31" s="199">
        <f t="shared" ca="1" si="77"/>
        <v>0</v>
      </c>
      <c r="AE31" s="199">
        <f t="shared" ca="1" si="78"/>
        <v>0</v>
      </c>
      <c r="AF31" s="216">
        <f t="shared" ca="1" si="79"/>
        <v>0</v>
      </c>
      <c r="AG31" s="404">
        <f t="shared" ca="1" si="80"/>
        <v>0</v>
      </c>
      <c r="AH31" s="405">
        <f t="shared" ca="1" si="81"/>
        <v>0</v>
      </c>
      <c r="AI31" s="405">
        <f ca="1">AJ31*AA$4</f>
        <v>0</v>
      </c>
      <c r="AJ31" s="406">
        <f t="shared" ca="1" si="49"/>
        <v>0</v>
      </c>
      <c r="AK31" s="205"/>
      <c r="AL31" s="206">
        <f t="shared" ca="1" si="83"/>
        <v>0</v>
      </c>
      <c r="AM31" s="206">
        <f t="shared" ca="1" si="84"/>
        <v>0</v>
      </c>
      <c r="AN31" s="207">
        <f t="shared" ca="1" si="85"/>
        <v>0</v>
      </c>
      <c r="AO31" s="313">
        <f t="shared" si="86"/>
        <v>0</v>
      </c>
      <c r="AP31" s="313">
        <f t="shared" ca="1" si="54"/>
        <v>0</v>
      </c>
      <c r="AQ31" s="313">
        <f t="shared" ca="1" si="87"/>
        <v>0</v>
      </c>
      <c r="AR31" s="843">
        <f t="shared" ca="1" si="88"/>
        <v>0</v>
      </c>
    </row>
    <row r="32" spans="1:44" outlineLevel="2" x14ac:dyDescent="0.2">
      <c r="A32" s="299"/>
      <c r="B32" s="299"/>
      <c r="C32" s="299" t="str">
        <f t="shared" ca="1" si="9"/>
        <v>IE00B6QGFW01:CHF</v>
      </c>
      <c r="D32" s="300" t="str">
        <f t="shared" ca="1" si="10"/>
        <v>IE00B6QGFW01</v>
      </c>
      <c r="E32" s="301" t="str">
        <f t="shared" ca="1" si="10"/>
        <v>18127378</v>
      </c>
      <c r="F32" s="835" t="s">
        <v>579</v>
      </c>
      <c r="G32" s="844" t="str">
        <f t="shared" ca="1" si="10"/>
        <v/>
      </c>
      <c r="H32" s="1748" t="str">
        <f t="shared" ca="1" si="11"/>
        <v></v>
      </c>
      <c r="I32" s="1747" t="str">
        <f t="shared" ca="1" si="12"/>
        <v>i</v>
      </c>
      <c r="J32" s="1748" t="str">
        <f t="shared" ca="1" si="13"/>
        <v></v>
      </c>
      <c r="K32" s="1709" t="str">
        <f t="shared" ca="1" si="13"/>
        <v></v>
      </c>
      <c r="L32" s="1710" t="str">
        <f t="shared" ca="1" si="14"/>
        <v></v>
      </c>
      <c r="M32" s="298" t="str">
        <f t="shared" ca="1" si="15"/>
        <v>Unit</v>
      </c>
      <c r="N32" s="837"/>
      <c r="O32" s="837"/>
      <c r="P32" s="837">
        <f t="shared" ca="1" si="0"/>
        <v>0</v>
      </c>
      <c r="Q32" s="838"/>
      <c r="R32" s="838"/>
      <c r="S32" s="837"/>
      <c r="T32" s="307">
        <f t="shared" si="38"/>
        <v>0</v>
      </c>
      <c r="U32" s="307">
        <f t="shared" ca="1" si="39"/>
        <v>0</v>
      </c>
      <c r="V32" s="307">
        <f t="shared" si="76"/>
        <v>0</v>
      </c>
      <c r="W32" s="299" t="str">
        <f t="shared" ca="1" si="19"/>
        <v>CHF</v>
      </c>
      <c r="X32" s="845">
        <f t="shared" ca="1" si="20"/>
        <v>68.063999999999993</v>
      </c>
      <c r="Y32" s="840">
        <f t="shared" ca="1" si="21"/>
        <v>0</v>
      </c>
      <c r="Z32" s="841">
        <f t="shared" ca="1" si="41"/>
        <v>1.0000001300000001</v>
      </c>
      <c r="AA32" s="197"/>
      <c r="AB32" s="312" t="str">
        <f t="shared" ca="1" si="23"/>
        <v/>
      </c>
      <c r="AC32" s="842"/>
      <c r="AD32" s="199">
        <f ca="1">AA32*$X32</f>
        <v>0</v>
      </c>
      <c r="AE32" s="199">
        <f ca="1">AD32*$Z32</f>
        <v>0</v>
      </c>
      <c r="AF32" s="216">
        <f t="shared" ca="1" si="79"/>
        <v>0</v>
      </c>
      <c r="AG32" s="404">
        <f ca="1">AH32/$X32</f>
        <v>0</v>
      </c>
      <c r="AH32" s="405">
        <f ca="1">AI32/$Z32</f>
        <v>0</v>
      </c>
      <c r="AI32" s="405">
        <f t="shared" ca="1" si="82"/>
        <v>0</v>
      </c>
      <c r="AJ32" s="406">
        <f t="shared" ca="1" si="49"/>
        <v>0</v>
      </c>
      <c r="AK32" s="205"/>
      <c r="AL32" s="206">
        <f ca="1">AK32*$X32</f>
        <v>0</v>
      </c>
      <c r="AM32" s="206">
        <f ca="1">AL32*$Z32</f>
        <v>0</v>
      </c>
      <c r="AN32" s="207">
        <f t="shared" ca="1" si="85"/>
        <v>0</v>
      </c>
      <c r="AO32" s="313">
        <f t="shared" si="86"/>
        <v>0</v>
      </c>
      <c r="AP32" s="313">
        <f t="shared" ca="1" si="54"/>
        <v>0</v>
      </c>
      <c r="AQ32" s="313">
        <f ca="1">AP32*$Z32</f>
        <v>0</v>
      </c>
      <c r="AR32" s="843">
        <f t="shared" ca="1" si="88"/>
        <v>0</v>
      </c>
    </row>
    <row r="33" spans="1:44" outlineLevel="2" x14ac:dyDescent="0.2">
      <c r="A33" s="299"/>
      <c r="B33" s="299"/>
      <c r="C33" s="299" t="str">
        <f t="shared" ca="1" si="9"/>
        <v>LU0623004180:CHF</v>
      </c>
      <c r="D33" s="300" t="str">
        <f t="shared" ca="1" si="10"/>
        <v>LU0623004180</v>
      </c>
      <c r="E33" s="301" t="str">
        <f t="shared" ca="1" si="10"/>
        <v>13040599</v>
      </c>
      <c r="F33" s="835" t="s">
        <v>581</v>
      </c>
      <c r="G33" s="844" t="str">
        <f t="shared" ca="1" si="10"/>
        <v/>
      </c>
      <c r="H33" s="1748" t="str">
        <f t="shared" ca="1" si="11"/>
        <v></v>
      </c>
      <c r="I33" s="1747" t="str">
        <f t="shared" ca="1" si="12"/>
        <v>i</v>
      </c>
      <c r="J33" s="1748" t="str">
        <f t="shared" ca="1" si="13"/>
        <v></v>
      </c>
      <c r="K33" s="1709" t="str">
        <f t="shared" ca="1" si="13"/>
        <v></v>
      </c>
      <c r="L33" s="1710" t="str">
        <f t="shared" ca="1" si="14"/>
        <v></v>
      </c>
      <c r="M33" s="298" t="str">
        <f t="shared" ca="1" si="15"/>
        <v>Unit</v>
      </c>
      <c r="N33" s="837"/>
      <c r="O33" s="837"/>
      <c r="P33" s="837">
        <f t="shared" ca="1" si="0"/>
        <v>0</v>
      </c>
      <c r="Q33" s="838"/>
      <c r="R33" s="838"/>
      <c r="S33" s="837"/>
      <c r="T33" s="307">
        <f t="shared" si="38"/>
        <v>0</v>
      </c>
      <c r="U33" s="307">
        <f t="shared" ca="1" si="39"/>
        <v>0</v>
      </c>
      <c r="V33" s="307">
        <f t="shared" si="76"/>
        <v>0</v>
      </c>
      <c r="W33" s="299" t="str">
        <f t="shared" ca="1" si="19"/>
        <v>CHF</v>
      </c>
      <c r="X33" s="845">
        <f t="shared" ca="1" si="20"/>
        <v>7.08</v>
      </c>
      <c r="Y33" s="840">
        <f t="shared" ca="1" si="21"/>
        <v>0</v>
      </c>
      <c r="Z33" s="841">
        <f t="shared" ca="1" si="41"/>
        <v>1.0000001300000001</v>
      </c>
      <c r="AA33" s="197"/>
      <c r="AB33" s="312" t="str">
        <f t="shared" ca="1" si="23"/>
        <v/>
      </c>
      <c r="AC33" s="842"/>
      <c r="AD33" s="199">
        <f t="shared" ca="1" si="77"/>
        <v>0</v>
      </c>
      <c r="AE33" s="199">
        <f t="shared" ca="1" si="78"/>
        <v>0</v>
      </c>
      <c r="AF33" s="216">
        <f t="shared" ca="1" si="79"/>
        <v>0</v>
      </c>
      <c r="AG33" s="404">
        <f t="shared" ca="1" si="80"/>
        <v>0</v>
      </c>
      <c r="AH33" s="405">
        <f t="shared" ca="1" si="81"/>
        <v>0</v>
      </c>
      <c r="AI33" s="405">
        <f t="shared" ca="1" si="82"/>
        <v>0</v>
      </c>
      <c r="AJ33" s="406">
        <f t="shared" ca="1" si="49"/>
        <v>0</v>
      </c>
      <c r="AK33" s="205"/>
      <c r="AL33" s="206">
        <f t="shared" ca="1" si="83"/>
        <v>0</v>
      </c>
      <c r="AM33" s="206">
        <f t="shared" ca="1" si="84"/>
        <v>0</v>
      </c>
      <c r="AN33" s="207">
        <f t="shared" ca="1" si="85"/>
        <v>0</v>
      </c>
      <c r="AO33" s="313">
        <f t="shared" si="86"/>
        <v>0</v>
      </c>
      <c r="AP33" s="313">
        <f t="shared" ca="1" si="54"/>
        <v>0</v>
      </c>
      <c r="AQ33" s="313">
        <f t="shared" ca="1" si="87"/>
        <v>0</v>
      </c>
      <c r="AR33" s="843">
        <f t="shared" ca="1" si="88"/>
        <v>0</v>
      </c>
    </row>
    <row r="34" spans="1:44" outlineLevel="1" x14ac:dyDescent="0.2">
      <c r="A34" s="817"/>
      <c r="B34" s="818" t="s">
        <v>381</v>
      </c>
      <c r="C34" s="817"/>
      <c r="D34" s="819"/>
      <c r="E34" s="820"/>
      <c r="F34" s="817"/>
      <c r="G34" s="821"/>
      <c r="H34" s="1768"/>
      <c r="I34" s="1746"/>
      <c r="J34" s="1746"/>
      <c r="K34" s="1746"/>
      <c r="L34" s="1746"/>
      <c r="M34" s="273"/>
      <c r="N34" s="822">
        <f>SUM(N$35:N$36)</f>
        <v>0</v>
      </c>
      <c r="O34" s="822"/>
      <c r="P34" s="822">
        <f t="shared" ca="1" si="0"/>
        <v>0</v>
      </c>
      <c r="Q34" s="823" t="s">
        <v>718</v>
      </c>
      <c r="R34" s="823"/>
      <c r="S34" s="822"/>
      <c r="T34" s="824"/>
      <c r="U34" s="824"/>
      <c r="V34" s="825"/>
      <c r="W34" s="818"/>
      <c r="X34" s="826"/>
      <c r="Y34" s="826"/>
      <c r="Z34" s="827"/>
      <c r="AA34" s="828"/>
      <c r="AB34" s="818"/>
      <c r="AC34" s="829"/>
      <c r="AD34" s="818"/>
      <c r="AE34" s="830" cm="1">
        <f t="array" aca="1" ref="AE34" ca="1">SUM(IF($B$35:$B$36="",AE$35:AE$36))</f>
        <v>0</v>
      </c>
      <c r="AF34" s="831">
        <f t="shared" ca="1" si="79"/>
        <v>0</v>
      </c>
      <c r="AG34" s="832"/>
      <c r="AH34" s="279"/>
      <c r="AI34" s="830" cm="1">
        <f t="array" aca="1" ref="AI34" ca="1">SUM(IF($B$35:$B$36="",AI$35:AI$36))</f>
        <v>0</v>
      </c>
      <c r="AJ34" s="833">
        <f ca="1">IFERROR(AI34/AA$4,0)</f>
        <v>0</v>
      </c>
      <c r="AK34" s="832"/>
      <c r="AL34" s="279"/>
      <c r="AM34" s="830" cm="1">
        <f t="array" aca="1" ref="AM34" ca="1">SUM(IF($B$35:$B$36="",AM$35:AM$36))</f>
        <v>0</v>
      </c>
      <c r="AN34" s="833">
        <f t="shared" ca="1" si="85"/>
        <v>0</v>
      </c>
      <c r="AO34" s="279"/>
      <c r="AP34" s="279"/>
      <c r="AQ34" s="830" cm="1">
        <f t="array" aca="1" ref="AQ34" ca="1">SUM(IF($B$35:$B$36="",AQ$35:AQ$36))</f>
        <v>0</v>
      </c>
      <c r="AR34" s="834">
        <f ca="1">IFERROR(AQ34/AA$4,0)</f>
        <v>0</v>
      </c>
    </row>
    <row r="35" spans="1:44" outlineLevel="2" x14ac:dyDescent="0.2">
      <c r="A35" s="299"/>
      <c r="B35" s="299"/>
      <c r="C35" s="299" t="str">
        <f t="shared" ca="1" si="9"/>
        <v>LU0549537040:EUR</v>
      </c>
      <c r="D35" s="300" t="str">
        <f t="shared" ca="1" si="10"/>
        <v>LU0549537040</v>
      </c>
      <c r="E35" s="301" t="str">
        <f t="shared" ca="1" si="10"/>
        <v>18102269</v>
      </c>
      <c r="F35" s="835" t="s">
        <v>743</v>
      </c>
      <c r="G35" s="844" t="str">
        <f t="shared" ca="1" si="10"/>
        <v/>
      </c>
      <c r="H35" s="1748" t="str">
        <f ca="1">HYPERLINK(OFFSET(Origine,MATCH($F35,Descrizioni,0),MATCH(H$14,Intestazioni,0)-1,1,1),"")</f>
        <v></v>
      </c>
      <c r="I35" s="1747" t="str">
        <f t="shared" ca="1" si="12"/>
        <v>i</v>
      </c>
      <c r="J35" s="1748" t="str">
        <f t="shared" ca="1" si="13"/>
        <v></v>
      </c>
      <c r="K35" s="1709" t="str">
        <f t="shared" ca="1" si="13"/>
        <v></v>
      </c>
      <c r="L35" s="1710" t="str">
        <f t="shared" ca="1" si="14"/>
        <v></v>
      </c>
      <c r="M35" s="298" t="str">
        <f t="shared" ca="1" si="15"/>
        <v>Unit</v>
      </c>
      <c r="N35" s="837"/>
      <c r="O35" s="837"/>
      <c r="P35" s="837">
        <f t="shared" ca="1" si="0"/>
        <v>0</v>
      </c>
      <c r="Q35" s="838"/>
      <c r="R35" s="838"/>
      <c r="S35" s="837"/>
      <c r="T35" s="307">
        <f>SUMIF($AA$14:$AR$14,"I_Pos",AA35:AR35)</f>
        <v>0</v>
      </c>
      <c r="U35" s="307">
        <f ca="1">SUMIF($AA$14:$AR$14,"P_Pos",AA35:AR35)</f>
        <v>0</v>
      </c>
      <c r="V35" s="307">
        <f t="shared" si="76"/>
        <v>0</v>
      </c>
      <c r="W35" s="299" t="str">
        <f t="shared" ca="1" si="19"/>
        <v>EUR</v>
      </c>
      <c r="X35" s="845">
        <f t="shared" ca="1" si="20"/>
        <v>128.82</v>
      </c>
      <c r="Y35" s="840">
        <f t="shared" ca="1" si="21"/>
        <v>0</v>
      </c>
      <c r="Z35" s="841">
        <f t="shared" ca="1" si="41"/>
        <v>0.90754999999999997</v>
      </c>
      <c r="AA35" s="197"/>
      <c r="AB35" s="312" t="str">
        <f t="shared" ca="1" si="23"/>
        <v/>
      </c>
      <c r="AC35" s="842"/>
      <c r="AD35" s="199">
        <f ca="1">AA35*$X35</f>
        <v>0</v>
      </c>
      <c r="AE35" s="199">
        <f ca="1">AD35*$Z35</f>
        <v>0</v>
      </c>
      <c r="AF35" s="216">
        <f t="shared" ca="1" si="79"/>
        <v>0</v>
      </c>
      <c r="AG35" s="404">
        <f ca="1">AH35/$X35</f>
        <v>0</v>
      </c>
      <c r="AH35" s="405">
        <f ca="1">AI35/$Z35</f>
        <v>0</v>
      </c>
      <c r="AI35" s="405">
        <f t="shared" ca="1" si="82"/>
        <v>0</v>
      </c>
      <c r="AJ35" s="406">
        <f t="shared" ca="1" si="49"/>
        <v>0</v>
      </c>
      <c r="AK35" s="205"/>
      <c r="AL35" s="206">
        <f ca="1">AK35*$X35</f>
        <v>0</v>
      </c>
      <c r="AM35" s="206">
        <f ca="1">AL35*$Z35</f>
        <v>0</v>
      </c>
      <c r="AN35" s="207">
        <f t="shared" ca="1" si="85"/>
        <v>0</v>
      </c>
      <c r="AO35" s="313">
        <f t="shared" si="86"/>
        <v>0</v>
      </c>
      <c r="AP35" s="313">
        <f t="shared" ca="1" si="54"/>
        <v>0</v>
      </c>
      <c r="AQ35" s="313">
        <f ca="1">AP35*$Z35</f>
        <v>0</v>
      </c>
      <c r="AR35" s="843">
        <f t="shared" ca="1" si="88"/>
        <v>0</v>
      </c>
    </row>
    <row r="36" spans="1:44" outlineLevel="2" x14ac:dyDescent="0.2">
      <c r="A36" s="299"/>
      <c r="B36" s="299"/>
      <c r="C36" s="299" t="str">
        <f t="shared" ca="1" si="9"/>
        <v>IE00B6YX5M31:EUR:STU</v>
      </c>
      <c r="D36" s="300" t="str">
        <f t="shared" ca="1" si="10"/>
        <v>IE00B6YX5M31</v>
      </c>
      <c r="E36" s="301" t="str">
        <f t="shared" ca="1" si="10"/>
        <v>13975758</v>
      </c>
      <c r="F36" s="835" t="s">
        <v>818</v>
      </c>
      <c r="G36" s="844" t="str">
        <f t="shared" ca="1" si="10"/>
        <v/>
      </c>
      <c r="H36" s="1748" t="str">
        <f ca="1">HYPERLINK(OFFSET(Origine,MATCH($F36,Descrizioni,0),MATCH(H$14,Intestazioni,0)-1,1,1),"")</f>
        <v></v>
      </c>
      <c r="I36" s="1747" t="str">
        <f t="shared" ca="1" si="12"/>
        <v>i</v>
      </c>
      <c r="J36" s="1748" t="str">
        <f t="shared" ca="1" si="13"/>
        <v></v>
      </c>
      <c r="K36" s="1709" t="str">
        <f t="shared" ca="1" si="13"/>
        <v></v>
      </c>
      <c r="L36" s="1710" t="str">
        <f t="shared" ca="1" si="14"/>
        <v></v>
      </c>
      <c r="M36" s="298" t="str">
        <f t="shared" ca="1" si="15"/>
        <v>Unit</v>
      </c>
      <c r="N36" s="837"/>
      <c r="O36" s="837"/>
      <c r="P36" s="837">
        <f t="shared" ca="1" si="0"/>
        <v>0</v>
      </c>
      <c r="Q36" s="838"/>
      <c r="R36" s="838"/>
      <c r="S36" s="837"/>
      <c r="T36" s="307">
        <f>SUMIF($AA$14:$AR$14,"I_Pos",AA36:AR36)</f>
        <v>0</v>
      </c>
      <c r="U36" s="307">
        <f ca="1">SUMIF($AA$14:$AR$14,"P_Pos",AA36:AR36)</f>
        <v>0</v>
      </c>
      <c r="V36" s="307">
        <f t="shared" si="76"/>
        <v>0</v>
      </c>
      <c r="W36" s="299" t="str">
        <f t="shared" ca="1" si="19"/>
        <v>EUR</v>
      </c>
      <c r="X36" s="845">
        <f t="shared" ca="1" si="20"/>
        <v>50.606000000000002</v>
      </c>
      <c r="Y36" s="840">
        <f t="shared" ca="1" si="21"/>
        <v>0</v>
      </c>
      <c r="Z36" s="841">
        <f t="shared" ca="1" si="41"/>
        <v>0.90754999999999997</v>
      </c>
      <c r="AA36" s="197"/>
      <c r="AB36" s="312" t="str">
        <f t="shared" ca="1" si="23"/>
        <v/>
      </c>
      <c r="AC36" s="842"/>
      <c r="AD36" s="199">
        <f ca="1">AA36*$X36</f>
        <v>0</v>
      </c>
      <c r="AE36" s="199">
        <f ca="1">AD36*$Z36</f>
        <v>0</v>
      </c>
      <c r="AF36" s="216">
        <f t="shared" ca="1" si="79"/>
        <v>0</v>
      </c>
      <c r="AG36" s="404">
        <f ca="1">AH36/$X36</f>
        <v>0</v>
      </c>
      <c r="AH36" s="405">
        <f ca="1">AI36/$Z36</f>
        <v>0</v>
      </c>
      <c r="AI36" s="405">
        <f ca="1">AJ36*AA$4</f>
        <v>0</v>
      </c>
      <c r="AJ36" s="406">
        <f t="shared" ca="1" si="49"/>
        <v>0</v>
      </c>
      <c r="AK36" s="205"/>
      <c r="AL36" s="206">
        <f ca="1">AK36*$X36</f>
        <v>0</v>
      </c>
      <c r="AM36" s="206">
        <f ca="1">AL36*$Z36</f>
        <v>0</v>
      </c>
      <c r="AN36" s="207">
        <f t="shared" ca="1" si="85"/>
        <v>0</v>
      </c>
      <c r="AO36" s="313">
        <f t="shared" si="86"/>
        <v>0</v>
      </c>
      <c r="AP36" s="313">
        <f t="shared" ca="1" si="54"/>
        <v>0</v>
      </c>
      <c r="AQ36" s="313">
        <f ca="1">AP36*$Z36</f>
        <v>0</v>
      </c>
      <c r="AR36" s="843">
        <f t="shared" ca="1" si="88"/>
        <v>0</v>
      </c>
    </row>
    <row r="37" spans="1:44" x14ac:dyDescent="0.2">
      <c r="A37" s="848" t="s">
        <v>388</v>
      </c>
      <c r="B37" s="848"/>
      <c r="C37" s="848"/>
      <c r="D37" s="849"/>
      <c r="E37" s="850"/>
      <c r="F37" s="848"/>
      <c r="G37" s="851"/>
      <c r="H37" s="1769"/>
      <c r="I37" s="1749"/>
      <c r="J37" s="1749"/>
      <c r="K37" s="1749"/>
      <c r="L37" s="1749"/>
      <c r="M37" s="853"/>
      <c r="N37" s="854">
        <f>SUMIF($B$38:$B$97,"&gt;A",$N$38:$N$97)</f>
        <v>0.68500000000000016</v>
      </c>
      <c r="O37" s="854"/>
      <c r="P37" s="854">
        <f t="shared" ca="1" si="0"/>
        <v>0.72255381413610298</v>
      </c>
      <c r="Q37" s="852" t="s">
        <v>718</v>
      </c>
      <c r="R37" s="852"/>
      <c r="S37" s="854"/>
      <c r="T37" s="855"/>
      <c r="U37" s="855"/>
      <c r="V37" s="856"/>
      <c r="W37" s="848"/>
      <c r="X37" s="857"/>
      <c r="Y37" s="857"/>
      <c r="Z37" s="858"/>
      <c r="AA37" s="344"/>
      <c r="AB37" s="859"/>
      <c r="AC37" s="860"/>
      <c r="AD37" s="848"/>
      <c r="AE37" s="861" cm="1">
        <f t="array" aca="1" ref="AE37" ca="1">SUM(IF($B$38:$B$98="",AE$38:AE$98))</f>
        <v>457757.88748473139</v>
      </c>
      <c r="AF37" s="862">
        <f t="shared" ca="1" si="79"/>
        <v>0.72255381413610298</v>
      </c>
      <c r="AG37" s="863"/>
      <c r="AH37" s="864"/>
      <c r="AI37" s="861" cm="1">
        <f t="array" aca="1" ref="AI37" ca="1">SUM(IF($B$38:$B$98="",AI$38:AI$98))</f>
        <v>36393.752507629033</v>
      </c>
      <c r="AJ37" s="865">
        <f ca="1">IFERROR(AI37/AA$4,0)</f>
        <v>5.7446185863896986E-2</v>
      </c>
      <c r="AK37" s="866"/>
      <c r="AL37" s="867"/>
      <c r="AM37" s="868" cm="1">
        <f t="array" aca="1" ref="AM37" ca="1">SUM(IF($B$38:$B$98="",AM$38:AM$98))</f>
        <v>0</v>
      </c>
      <c r="AN37" s="869">
        <f t="shared" ca="1" si="85"/>
        <v>0</v>
      </c>
      <c r="AO37" s="867"/>
      <c r="AP37" s="867"/>
      <c r="AQ37" s="868" cm="1">
        <f t="array" aca="1" ref="AQ37" ca="1">SUM(IF($B$38:$B$98="",AQ$38:AQ$98))</f>
        <v>457757.88748473139</v>
      </c>
      <c r="AR37" s="870">
        <f t="shared" ca="1" si="88"/>
        <v>0.72255381413610298</v>
      </c>
    </row>
    <row r="38" spans="1:44" outlineLevel="1" x14ac:dyDescent="0.2">
      <c r="A38" s="346"/>
      <c r="B38" s="346" t="s">
        <v>397</v>
      </c>
      <c r="C38" s="346"/>
      <c r="D38" s="347"/>
      <c r="E38" s="348"/>
      <c r="F38" s="346"/>
      <c r="G38" s="349"/>
      <c r="H38" s="1750"/>
      <c r="I38" s="1750"/>
      <c r="J38" s="1750"/>
      <c r="K38" s="1750"/>
      <c r="L38" s="1750"/>
      <c r="M38" s="345"/>
      <c r="N38" s="352">
        <f>SUM(N$42:N$54)</f>
        <v>0.29000000000000004</v>
      </c>
      <c r="O38" s="352"/>
      <c r="P38" s="352">
        <f t="shared" ca="1" si="0"/>
        <v>0.24000388508194015</v>
      </c>
      <c r="Q38" s="871" t="s">
        <v>718</v>
      </c>
      <c r="R38" s="871"/>
      <c r="S38" s="352"/>
      <c r="T38" s="421"/>
      <c r="U38" s="421"/>
      <c r="V38" s="872"/>
      <c r="W38" s="346"/>
      <c r="X38" s="873"/>
      <c r="Y38" s="873"/>
      <c r="Z38" s="874"/>
      <c r="AA38" s="357"/>
      <c r="AB38" s="359"/>
      <c r="AC38" s="875"/>
      <c r="AD38" s="359"/>
      <c r="AE38" s="360">
        <f ca="1">SUM(AE$42:AE$54)</f>
        <v>152049.119766383</v>
      </c>
      <c r="AF38" s="361">
        <f t="shared" ca="1" si="79"/>
        <v>0.24000388508194015</v>
      </c>
      <c r="AG38" s="362"/>
      <c r="AH38" s="359"/>
      <c r="AI38" s="360">
        <f ca="1">SUM(AI$42:AI$54)</f>
        <v>31673.925871802283</v>
      </c>
      <c r="AJ38" s="363">
        <f ca="1">IFERROR(AI38/AA$4,0)</f>
        <v>4.9996114918059831E-2</v>
      </c>
      <c r="AK38" s="362"/>
      <c r="AL38" s="359"/>
      <c r="AM38" s="360">
        <f ca="1">SUM(AM$42:AM$54)</f>
        <v>0</v>
      </c>
      <c r="AN38" s="363">
        <f t="shared" ca="1" si="85"/>
        <v>0</v>
      </c>
      <c r="AO38" s="359"/>
      <c r="AP38" s="359"/>
      <c r="AQ38" s="360">
        <f ca="1">SUM(AQ$42:AQ$54)</f>
        <v>152049.119766383</v>
      </c>
      <c r="AR38" s="876">
        <f t="shared" ca="1" si="88"/>
        <v>0.24000388508194015</v>
      </c>
    </row>
    <row r="39" spans="1:44" s="413" customFormat="1" outlineLevel="2" x14ac:dyDescent="0.2">
      <c r="A39" s="390"/>
      <c r="B39" s="390"/>
      <c r="C39" s="390" t="str">
        <f t="shared" ref="C39:C54" ca="1" si="89">OFFSET(Origine,MATCH($F39,Descrizioni,0),MATCH(C$14,Intestazioni,0)-1,1,1)</f>
        <v>CH0012221716:CHF</v>
      </c>
      <c r="D39" s="397" t="str">
        <f t="shared" ref="D39:E54" ca="1" si="90">OFFSET(Origine,MATCH($F39,Descrizioni,0),MATCH(D$14,Intestazioni,0)-1,1,1)</f>
        <v>CH0012221716</v>
      </c>
      <c r="E39" s="398" t="str">
        <f t="shared" ca="1" si="90"/>
        <v>1222171</v>
      </c>
      <c r="F39" s="390" t="s">
        <v>442</v>
      </c>
      <c r="G39" s="371"/>
      <c r="H39" s="1752" t="str">
        <f t="shared" ref="H39:H54" ca="1" si="91">HYPERLINK(OFFSET(Origine,MATCH($F39,Descrizioni,0),MATCH(H$14,Intestazioni,0)-1,1,1),"")</f>
        <v></v>
      </c>
      <c r="I39" s="1751" t="str">
        <f t="shared" ref="I39:I54" ca="1" si="92">HYPERLINK(OFFSET(Origine,MATCH($F39,Descrizioni,0),MATCH(I$14,Intestazioni,0)-1,1,1),"i")</f>
        <v>i</v>
      </c>
      <c r="J39" s="1752" t="str">
        <f t="shared" ref="J39:K54" ca="1" si="93">HYPERLINK(OFFSET(Origine,MATCH($F39,Descrizioni,0),MATCH(J$14,Intestazioni,0)-1,1,1),"")</f>
        <v></v>
      </c>
      <c r="K39" s="1719" t="str">
        <f t="shared" ca="1" si="93"/>
        <v></v>
      </c>
      <c r="L39" s="1720" t="str">
        <f t="shared" ref="L39:L54" ca="1" si="94">IFERROR(HYPERLINK("https://www.zonebourse.com/mods_a/charts/TV/inc_dyna_graph.php?c="&amp;OFFSET(Origine,MATCH($F39,Descrizioni,0),MATCH(L$14,Intestazioni,0)-1,1,1)&amp;"&amp;style=TradingView.CANDLES&amp;showAT=1",""),"")</f>
        <v></v>
      </c>
      <c r="M39" s="396" t="str">
        <f t="shared" ref="M39:M54" ca="1" si="95">(OFFSET(Origine,MATCH($F39,Descrizioni,0),MATCH(M$14,Intestazioni,0)-1,1,1))</f>
        <v>Unit</v>
      </c>
      <c r="N39" s="877">
        <v>2.5000000000000001E-2</v>
      </c>
      <c r="O39" s="877"/>
      <c r="P39" s="877">
        <f t="shared" ca="1" si="0"/>
        <v>2.3866361211207009E-2</v>
      </c>
      <c r="Q39" s="878"/>
      <c r="R39" s="878"/>
      <c r="S39" s="400">
        <f t="shared" ref="S39:S98" ca="1" si="96">OFFSET(Origine,MATCH($F39,Descrizioni,0),MATCH(S$14,Intestazioni,0)-1,1,1)</f>
        <v>-4.8697621744054398E-2</v>
      </c>
      <c r="T39" s="399">
        <f t="shared" ref="T39" si="97">SUMIF($AA$14:$AR$14,"I_Pos",AA39:AR39)</f>
        <v>225</v>
      </c>
      <c r="U39" s="399">
        <f t="shared" ref="U39" ca="1" si="98">SUMIF($AA$14:$AR$14,"P_Pos",AA39:AR39)</f>
        <v>10.687373966277258</v>
      </c>
      <c r="V39" s="399">
        <f t="shared" ref="V39" si="99">SUMIF($AA$14:$AR$14,"O_Pos",AA39:AR39)</f>
        <v>0</v>
      </c>
      <c r="W39" s="390" t="str">
        <f t="shared" ref="W39:W54" ca="1" si="100">OFFSET(Origine,MATCH($F39,Descrizioni,0),MATCH(W$14,Intestazioni,0)-1,1,1)</f>
        <v>CHF</v>
      </c>
      <c r="X39" s="879">
        <f t="shared" ref="X39:X54" ca="1" si="101">_xlfn.NUMBERVALUE(OFFSET(Origine,MATCH($F39,Descrizioni,0),MATCH(X$14,Intestazioni,0)-1,1,1))</f>
        <v>67.2</v>
      </c>
      <c r="Y39" s="879"/>
      <c r="Z39" s="880">
        <f t="shared" ref="Z39" ca="1" si="102">_xlfn.NUMBERVALUE(OFFSET(Origine,MATCH(W39&amp;"/"&amp;MRif,LUKB_Name,0),MATCH("Price",Intestazioni,0)-1,1,1))</f>
        <v>1.0000001300000001</v>
      </c>
      <c r="AA39" s="197">
        <f>0+225</f>
        <v>225</v>
      </c>
      <c r="AB39" s="403">
        <f t="shared" ref="AB39" ca="1" si="103">IFERROR($X39/AC39-1,"")</f>
        <v>-4.5996592844974371E-2</v>
      </c>
      <c r="AC39" s="807">
        <v>70.44</v>
      </c>
      <c r="AD39" s="200">
        <f t="shared" ref="AD39" ca="1" si="104">AA39*$X39</f>
        <v>15120</v>
      </c>
      <c r="AE39" s="200">
        <f t="shared" ref="AE39" ca="1" si="105">AD39*$Z39</f>
        <v>15120.001965600002</v>
      </c>
      <c r="AF39" s="201">
        <f t="shared" ca="1" si="79"/>
        <v>2.3866361211207009E-2</v>
      </c>
      <c r="AG39" s="404">
        <f t="shared" ref="AG39" ca="1" si="106">AH39/$X39</f>
        <v>10.687373966277258</v>
      </c>
      <c r="AH39" s="405">
        <f t="shared" ref="AH39" ca="1" si="107">AI39/$Z39</f>
        <v>718.19153053383184</v>
      </c>
      <c r="AI39" s="405">
        <f t="shared" ref="AI39" ca="1" si="108">AJ39*AA$4</f>
        <v>718.19162389873088</v>
      </c>
      <c r="AJ39" s="406">
        <f t="shared" ref="AJ39" ca="1" si="109">$N39-AF39</f>
        <v>1.133638788792992E-3</v>
      </c>
      <c r="AK39" s="407"/>
      <c r="AL39" s="408">
        <f t="shared" ref="AL39" ca="1" si="110">AK39*$X39</f>
        <v>0</v>
      </c>
      <c r="AM39" s="408">
        <f t="shared" ref="AM39" ca="1" si="111">AL39*$Z39</f>
        <v>0</v>
      </c>
      <c r="AN39" s="409">
        <f t="shared" ca="1" si="85"/>
        <v>0</v>
      </c>
      <c r="AO39" s="399">
        <f t="shared" ref="AO39" si="112">AA39+AK39</f>
        <v>225</v>
      </c>
      <c r="AP39" s="399">
        <f t="shared" ref="AP39" ca="1" si="113">AD39+IF($R39="",AL39)</f>
        <v>15120</v>
      </c>
      <c r="AQ39" s="399">
        <f t="shared" ref="AQ39" ca="1" si="114">AP39*$Z39</f>
        <v>15120.001965600002</v>
      </c>
      <c r="AR39" s="881">
        <f t="shared" ca="1" si="88"/>
        <v>2.3866361211207009E-2</v>
      </c>
    </row>
    <row r="40" spans="1:44" s="413" customFormat="1" outlineLevel="2" x14ac:dyDescent="0.2">
      <c r="A40" s="390"/>
      <c r="B40" s="390"/>
      <c r="C40" s="390" t="str">
        <f t="shared" ca="1" si="89"/>
        <v>CH1169360919:CHF</v>
      </c>
      <c r="D40" s="397" t="str">
        <f t="shared" ca="1" si="90"/>
        <v>CH1169360919</v>
      </c>
      <c r="E40" s="398" t="str">
        <f t="shared" ca="1" si="90"/>
        <v>116936091</v>
      </c>
      <c r="F40" s="390" t="s">
        <v>4411</v>
      </c>
      <c r="G40" s="371"/>
      <c r="H40" s="1752" t="str">
        <f t="shared" ca="1" si="91"/>
        <v></v>
      </c>
      <c r="I40" s="1751" t="str">
        <f t="shared" ca="1" si="92"/>
        <v>i</v>
      </c>
      <c r="J40" s="1752" t="str">
        <f t="shared" ca="1" si="93"/>
        <v></v>
      </c>
      <c r="K40" s="1719" t="str">
        <f t="shared" ca="1" si="93"/>
        <v></v>
      </c>
      <c r="L40" s="1720" t="str">
        <f t="shared" ca="1" si="94"/>
        <v></v>
      </c>
      <c r="M40" s="396" t="str">
        <f t="shared" ca="1" si="95"/>
        <v>Unit</v>
      </c>
      <c r="N40" s="877">
        <v>2.5000000000000001E-2</v>
      </c>
      <c r="O40" s="877"/>
      <c r="P40" s="877">
        <f t="shared" ca="1" si="0"/>
        <v>2.4777134387057961E-2</v>
      </c>
      <c r="Q40" s="878"/>
      <c r="R40" s="878"/>
      <c r="S40" s="400">
        <f t="shared" ca="1" si="96"/>
        <v>-2.66030013642564E-2</v>
      </c>
      <c r="T40" s="399">
        <f t="shared" ref="T40" si="115">SUMIF($AA$14:$AR$14,"I_Pos",AA40:AR40)</f>
        <v>220</v>
      </c>
      <c r="U40" s="399">
        <f t="shared" ref="U40" ca="1" si="116">SUMIF($AA$14:$AR$14,"P_Pos",AA40:AR40)</f>
        <v>1.9788581714622846</v>
      </c>
      <c r="V40" s="399">
        <f t="shared" ref="V40" si="117">SUMIF($AA$14:$AR$14,"O_Pos",AA40:AR40)</f>
        <v>0</v>
      </c>
      <c r="W40" s="390" t="str">
        <f t="shared" ca="1" si="100"/>
        <v>CHF</v>
      </c>
      <c r="X40" s="879">
        <f t="shared" ca="1" si="101"/>
        <v>71.349999999999994</v>
      </c>
      <c r="Y40" s="879"/>
      <c r="Z40" s="880">
        <f t="shared" ref="Z40" ca="1" si="118">_xlfn.NUMBERVALUE(OFFSET(Origine,MATCH(W40&amp;"/"&amp;MRif,LUKB_Name,0),MATCH("Price",Intestazioni,0)-1,1,1))</f>
        <v>1.0000001300000001</v>
      </c>
      <c r="AA40" s="197">
        <f>220</f>
        <v>220</v>
      </c>
      <c r="AB40" s="403">
        <f t="shared" ref="AB40" ca="1" si="119">IFERROR($X40/AC40-1,"")</f>
        <v>-1.8873113548076637E-2</v>
      </c>
      <c r="AC40" s="807">
        <v>72.722499999999997</v>
      </c>
      <c r="AD40" s="200">
        <f t="shared" ref="AD40" ca="1" si="120">AA40*$X40</f>
        <v>15696.999999999998</v>
      </c>
      <c r="AE40" s="200">
        <f t="shared" ref="AE40" ca="1" si="121">AD40*$Z40</f>
        <v>15697.002040609999</v>
      </c>
      <c r="AF40" s="201">
        <f t="shared" ref="AF40" ca="1" si="122">IFERROR(AE40/AA$4,0)</f>
        <v>2.4777134387057961E-2</v>
      </c>
      <c r="AG40" s="404">
        <f t="shared" ref="AG40" ca="1" si="123">AH40/$X40</f>
        <v>1.9788581714622846</v>
      </c>
      <c r="AH40" s="405">
        <f t="shared" ref="AH40" ca="1" si="124">AI40/$Z40</f>
        <v>141.191530533834</v>
      </c>
      <c r="AI40" s="405">
        <f t="shared" ref="AI40" ca="1" si="125">AJ40*AA$4</f>
        <v>141.19154888873297</v>
      </c>
      <c r="AJ40" s="406">
        <f t="shared" ref="AJ40" ca="1" si="126">$N40-AF40</f>
        <v>2.2286561294204005E-4</v>
      </c>
      <c r="AK40" s="407"/>
      <c r="AL40" s="408">
        <f t="shared" ref="AL40" ca="1" si="127">AK40*$X40</f>
        <v>0</v>
      </c>
      <c r="AM40" s="408">
        <f t="shared" ref="AM40" ca="1" si="128">AL40*$Z40</f>
        <v>0</v>
      </c>
      <c r="AN40" s="409">
        <f t="shared" ref="AN40" ca="1" si="129">IFERROR(AM40/AA$4,0)</f>
        <v>0</v>
      </c>
      <c r="AO40" s="399">
        <f t="shared" ref="AO40" si="130">AA40+AK40</f>
        <v>220</v>
      </c>
      <c r="AP40" s="399">
        <f t="shared" ref="AP40" ca="1" si="131">AD40+IF($R40="",AL40)</f>
        <v>15696.999999999998</v>
      </c>
      <c r="AQ40" s="399">
        <f t="shared" ref="AQ40" ca="1" si="132">AP40*$Z40</f>
        <v>15697.002040609999</v>
      </c>
      <c r="AR40" s="881">
        <f t="shared" ref="AR40" ca="1" si="133">IFERROR(AQ40/AA$4,0)</f>
        <v>2.4777134387057961E-2</v>
      </c>
    </row>
    <row r="41" spans="1:44" s="413" customFormat="1" outlineLevel="2" x14ac:dyDescent="0.2">
      <c r="A41" s="390"/>
      <c r="B41" s="390"/>
      <c r="C41" s="390" t="str">
        <f t="shared" ca="1" si="89"/>
        <v>CH0009002962:CHF:P</v>
      </c>
      <c r="D41" s="397" t="str">
        <f t="shared" ca="1" si="90"/>
        <v>CH0009002962</v>
      </c>
      <c r="E41" s="398" t="str">
        <f t="shared" ca="1" si="90"/>
        <v>900296</v>
      </c>
      <c r="F41" s="390" t="s">
        <v>476</v>
      </c>
      <c r="G41" s="371"/>
      <c r="H41" s="1752" t="str">
        <f t="shared" ca="1" si="91"/>
        <v></v>
      </c>
      <c r="I41" s="1751" t="str">
        <f t="shared" ca="1" si="92"/>
        <v>i</v>
      </c>
      <c r="J41" s="1752" t="str">
        <f t="shared" ca="1" si="93"/>
        <v></v>
      </c>
      <c r="K41" s="1719" t="str">
        <f t="shared" ca="1" si="93"/>
        <v></v>
      </c>
      <c r="L41" s="1720" t="str">
        <f t="shared" ca="1" si="94"/>
        <v></v>
      </c>
      <c r="M41" s="396" t="str">
        <f t="shared" ca="1" si="95"/>
        <v>Unit</v>
      </c>
      <c r="N41" s="877">
        <v>2.5000000000000001E-2</v>
      </c>
      <c r="O41" s="877"/>
      <c r="P41" s="877">
        <f t="shared" ca="1" si="0"/>
        <v>2.1972205559523915E-2</v>
      </c>
      <c r="Q41" s="878"/>
      <c r="R41" s="878"/>
      <c r="S41" s="400">
        <f t="shared" ca="1" si="96"/>
        <v>-2.1505376344086997E-3</v>
      </c>
      <c r="T41" s="399">
        <f t="shared" ref="T41" si="134">SUMIF($AA$14:$AR$14,"I_Pos",AA41:AR41)</f>
        <v>10</v>
      </c>
      <c r="U41" s="399">
        <f t="shared" ref="U41" ca="1" si="135">SUMIF($AA$14:$AR$14,"P_Pos",AA41:AR41)</f>
        <v>1.3780111569926947</v>
      </c>
      <c r="V41" s="399">
        <f t="shared" ref="V41" si="136">SUMIF($AA$14:$AR$14,"O_Pos",AA41:AR41)</f>
        <v>0</v>
      </c>
      <c r="W41" s="390" t="str">
        <f t="shared" ca="1" si="100"/>
        <v>CHF</v>
      </c>
      <c r="X41" s="879">
        <f t="shared" ca="1" si="101"/>
        <v>1392</v>
      </c>
      <c r="Y41" s="879"/>
      <c r="Z41" s="880">
        <f t="shared" ref="Z41" ca="1" si="137">_xlfn.NUMBERVALUE(OFFSET(Origine,MATCH(W41&amp;"/"&amp;MRif,LUKB_Name,0),MATCH("Price",Intestazioni,0)-1,1,1))</f>
        <v>1.0000001300000001</v>
      </c>
      <c r="AA41" s="197">
        <f>10</f>
        <v>10</v>
      </c>
      <c r="AB41" s="403">
        <f t="shared" ref="AB41" ca="1" si="138">IFERROR($X41/AC41-1,"")</f>
        <v>4.1604310086800211E-2</v>
      </c>
      <c r="AC41" s="807">
        <v>1336.4</v>
      </c>
      <c r="AD41" s="200">
        <f t="shared" ref="AD41" ca="1" si="139">AA41*$X41</f>
        <v>13920</v>
      </c>
      <c r="AE41" s="200">
        <f t="shared" ref="AE41" ca="1" si="140">AD41*$Z41</f>
        <v>13920.001809600002</v>
      </c>
      <c r="AF41" s="201">
        <f t="shared" ref="AF41" ca="1" si="141">IFERROR(AE41/AA$4,0)</f>
        <v>2.1972205559523915E-2</v>
      </c>
      <c r="AG41" s="404">
        <f t="shared" ref="AG41" ca="1" si="142">AH41/$X41</f>
        <v>1.3780111569926947</v>
      </c>
      <c r="AH41" s="405">
        <f t="shared" ref="AH41" ca="1" si="143">AI41/$Z41</f>
        <v>1918.1915305338309</v>
      </c>
      <c r="AI41" s="405">
        <f t="shared" ref="AI41" ca="1" si="144">AJ41*AA$4</f>
        <v>1918.1917798987301</v>
      </c>
      <c r="AJ41" s="406">
        <f t="shared" ref="AJ41" ca="1" si="145">$N41-AF41</f>
        <v>3.0277944404760865E-3</v>
      </c>
      <c r="AK41" s="407"/>
      <c r="AL41" s="408">
        <f t="shared" ref="AL41" ca="1" si="146">AK41*$X41</f>
        <v>0</v>
      </c>
      <c r="AM41" s="408">
        <f t="shared" ref="AM41" ca="1" si="147">AL41*$Z41</f>
        <v>0</v>
      </c>
      <c r="AN41" s="409">
        <f t="shared" ref="AN41" ca="1" si="148">IFERROR(AM41/AA$4,0)</f>
        <v>0</v>
      </c>
      <c r="AO41" s="399">
        <f t="shared" ref="AO41" si="149">AA41+AK41</f>
        <v>10</v>
      </c>
      <c r="AP41" s="399">
        <f t="shared" ref="AP41" ca="1" si="150">AD41+IF($R41="",AL41)</f>
        <v>13920</v>
      </c>
      <c r="AQ41" s="399">
        <f t="shared" ref="AQ41" ca="1" si="151">AP41*$Z41</f>
        <v>13920.001809600002</v>
      </c>
      <c r="AR41" s="881">
        <f t="shared" ref="AR41" ca="1" si="152">IFERROR(AQ41/AA$4,0)</f>
        <v>2.1972205559523915E-2</v>
      </c>
    </row>
    <row r="42" spans="1:44" outlineLevel="2" x14ac:dyDescent="0.2">
      <c r="A42" s="367"/>
      <c r="B42" s="367"/>
      <c r="C42" s="367" t="str">
        <f t="shared" ca="1" si="89"/>
        <v>CH1335392721:CHF:P</v>
      </c>
      <c r="D42" s="368" t="str">
        <f t="shared" ca="1" si="90"/>
        <v>CH1335392721</v>
      </c>
      <c r="E42" s="369" t="str">
        <f t="shared" ca="1" si="90"/>
        <v>133539272</v>
      </c>
      <c r="F42" s="367" t="s">
        <v>4272</v>
      </c>
      <c r="G42" s="414"/>
      <c r="H42" s="1754" t="str">
        <f t="shared" ca="1" si="91"/>
        <v></v>
      </c>
      <c r="I42" s="1753" t="str">
        <f t="shared" ca="1" si="92"/>
        <v>i</v>
      </c>
      <c r="J42" s="1754" t="str">
        <f t="shared" ca="1" si="93"/>
        <v></v>
      </c>
      <c r="K42" s="1716" t="str">
        <f t="shared" ca="1" si="93"/>
        <v></v>
      </c>
      <c r="L42" s="1717" t="str">
        <f t="shared" ca="1" si="94"/>
        <v></v>
      </c>
      <c r="M42" s="366" t="str">
        <f t="shared" ca="1" si="95"/>
        <v>Unit</v>
      </c>
      <c r="N42" s="882">
        <v>2.5000000000000001E-2</v>
      </c>
      <c r="O42" s="882"/>
      <c r="P42" s="882">
        <f t="shared" ca="1" si="0"/>
        <v>2.2698298559335771E-2</v>
      </c>
      <c r="Q42" s="883"/>
      <c r="R42" s="883"/>
      <c r="S42" s="375">
        <f t="shared" ca="1" si="96"/>
        <v>-2.5745257452574499E-2</v>
      </c>
      <c r="T42" s="391">
        <f t="shared" ref="T42" si="153">SUMIF($AA$14:$AR$14,"I_Pos",AA42:AR42)</f>
        <v>100</v>
      </c>
      <c r="U42" s="391">
        <f t="shared" ref="U42" ca="1" si="154">SUMIF($AA$14:$AR$14,"P_Pos",AA42:AR42)</f>
        <v>10.140413981459174</v>
      </c>
      <c r="V42" s="391">
        <f t="shared" ref="V42" si="155">SUMIF($AA$14:$AR$14,"O_Pos",AA42:AR42)</f>
        <v>0</v>
      </c>
      <c r="W42" s="367" t="str">
        <f t="shared" ca="1" si="100"/>
        <v>CHF</v>
      </c>
      <c r="X42" s="884">
        <f t="shared" ca="1" si="101"/>
        <v>143.80000000000001</v>
      </c>
      <c r="Y42" s="884"/>
      <c r="Z42" s="885">
        <f t="shared" ref="Z42" ca="1" si="156">_xlfn.NUMBERVALUE(OFFSET(Origine,MATCH(W42&amp;"/"&amp;MRif,LUKB_Name,0),MATCH("Price",Intestazioni,0)-1,1,1))</f>
        <v>1.0000001300000001</v>
      </c>
      <c r="AA42" s="197">
        <f>100</f>
        <v>100</v>
      </c>
      <c r="AB42" s="312">
        <f t="shared" ref="AB42" ca="1" si="157">IFERROR($X42/AC42-1,"")</f>
        <v>-5.6172813576409131E-2</v>
      </c>
      <c r="AC42" s="807">
        <v>152.35839999999999</v>
      </c>
      <c r="AD42" s="199">
        <f t="shared" ref="AD42" ca="1" si="158">AA42*$X42</f>
        <v>14380.000000000002</v>
      </c>
      <c r="AE42" s="199">
        <f t="shared" ref="AE42" ca="1" si="159">AD42*$Z42</f>
        <v>14380.001869400003</v>
      </c>
      <c r="AF42" s="216">
        <f t="shared" ref="AF42" ca="1" si="160">IFERROR(AE42/AA$4,0)</f>
        <v>2.2698298559335771E-2</v>
      </c>
      <c r="AG42" s="404">
        <f t="shared" ref="AG42" ca="1" si="161">AH42/$X42</f>
        <v>10.140413981459174</v>
      </c>
      <c r="AH42" s="405">
        <f t="shared" ref="AH42" ca="1" si="162">AI42/$Z42</f>
        <v>1458.1915305338293</v>
      </c>
      <c r="AI42" s="405">
        <f t="shared" ref="AI42" ca="1" si="163">AJ42*AA$4</f>
        <v>1458.1917200987284</v>
      </c>
      <c r="AJ42" s="406">
        <f t="shared" ref="AJ42" ca="1" si="164">$N42-AF42</f>
        <v>2.3017014406642305E-3</v>
      </c>
      <c r="AK42" s="205"/>
      <c r="AL42" s="206">
        <f t="shared" ref="AL42" ca="1" si="165">AK42*$X42</f>
        <v>0</v>
      </c>
      <c r="AM42" s="206">
        <f t="shared" ref="AM42" ca="1" si="166">AL42*$Z42</f>
        <v>0</v>
      </c>
      <c r="AN42" s="207">
        <f t="shared" ref="AN42" ca="1" si="167">IFERROR(AM42/AA$4,0)</f>
        <v>0</v>
      </c>
      <c r="AO42" s="391">
        <f t="shared" ref="AO42" si="168">AA42+AK42</f>
        <v>100</v>
      </c>
      <c r="AP42" s="391">
        <f t="shared" ref="AP42" ca="1" si="169">AD42+IF($R42="",AL42)</f>
        <v>14380.000000000002</v>
      </c>
      <c r="AQ42" s="391">
        <f t="shared" ref="AQ42" ca="1" si="170">AP42*$Z42</f>
        <v>14380.001869400003</v>
      </c>
      <c r="AR42" s="886">
        <f t="shared" ref="AR42" ca="1" si="171">IFERROR(AQ42/AA$4,0)</f>
        <v>2.2698298559335771E-2</v>
      </c>
    </row>
    <row r="43" spans="1:44" outlineLevel="2" x14ac:dyDescent="0.2">
      <c r="A43" s="367"/>
      <c r="B43" s="367"/>
      <c r="C43" s="367" t="str">
        <f t="shared" ca="1" si="89"/>
        <v>CH0360674466:CHF</v>
      </c>
      <c r="D43" s="368" t="str">
        <f t="shared" ca="1" si="90"/>
        <v>CH0360674466</v>
      </c>
      <c r="E43" s="369" t="str">
        <f t="shared" ca="1" si="90"/>
        <v>36067446</v>
      </c>
      <c r="F43" s="367" t="s">
        <v>401</v>
      </c>
      <c r="G43" s="414"/>
      <c r="H43" s="1754" t="str">
        <f t="shared" ca="1" si="91"/>
        <v></v>
      </c>
      <c r="I43" s="1753" t="str">
        <f t="shared" ca="1" si="92"/>
        <v>i</v>
      </c>
      <c r="J43" s="1754" t="str">
        <f t="shared" ca="1" si="93"/>
        <v></v>
      </c>
      <c r="K43" s="1716" t="str">
        <f t="shared" ca="1" si="93"/>
        <v></v>
      </c>
      <c r="L43" s="1717" t="str">
        <f t="shared" ca="1" si="94"/>
        <v></v>
      </c>
      <c r="M43" s="366" t="str">
        <f t="shared" ca="1" si="95"/>
        <v>Unit</v>
      </c>
      <c r="N43" s="882">
        <v>2.5000000000000001E-2</v>
      </c>
      <c r="O43" s="882"/>
      <c r="P43" s="882">
        <v>2.5000000000000001E-2</v>
      </c>
      <c r="Q43" s="883"/>
      <c r="R43" s="883"/>
      <c r="S43" s="375">
        <f t="shared" ca="1" si="96"/>
        <v>-4.2016806722688996E-3</v>
      </c>
      <c r="T43" s="391">
        <f t="shared" ref="T43" si="172">SUMIF($AA$14:$AR$14,"I_Pos",AA43:AR43)</f>
        <v>170</v>
      </c>
      <c r="U43" s="391">
        <f t="shared" ref="U43" ca="1" si="173">SUMIF($AA$14:$AR$14,"P_Pos",AA43:AR43)</f>
        <v>-2.9304690871958696</v>
      </c>
      <c r="V43" s="391">
        <f t="shared" ref="V43" si="174">SUMIF($AA$14:$AR$14,"O_Pos",AA43:AR43)</f>
        <v>0</v>
      </c>
      <c r="W43" s="367" t="str">
        <f t="shared" ca="1" si="100"/>
        <v>CHF</v>
      </c>
      <c r="X43" s="884">
        <f t="shared" ca="1" si="101"/>
        <v>94.8</v>
      </c>
      <c r="Y43" s="884"/>
      <c r="Z43" s="885">
        <f t="shared" ref="Z43" ca="1" si="175">_xlfn.NUMBERVALUE(OFFSET(Origine,MATCH(W43&amp;"/"&amp;MRif,LUKB_Name,0),MATCH("Price",Intestazioni,0)-1,1,1))</f>
        <v>1.0000001300000001</v>
      </c>
      <c r="AA43" s="197">
        <f>0+170</f>
        <v>170</v>
      </c>
      <c r="AB43" s="312">
        <f t="shared" ref="AB43" ca="1" si="176">IFERROR($X43/AC43-1,"")</f>
        <v>-1.1551707419305446E-2</v>
      </c>
      <c r="AC43" s="807">
        <v>95.907899999999998</v>
      </c>
      <c r="AD43" s="199">
        <f t="shared" ref="AD43" ca="1" si="177">AA43*$X43</f>
        <v>16116</v>
      </c>
      <c r="AE43" s="199">
        <f t="shared" ref="AE43" ca="1" si="178">AD43*$Z43</f>
        <v>16116.002095080001</v>
      </c>
      <c r="AF43" s="216">
        <f t="shared" ref="AF43" ca="1" si="179">IFERROR(AE43/AA$4,0)</f>
        <v>2.543851040210398E-2</v>
      </c>
      <c r="AG43" s="404">
        <f t="shared" ref="AG43" ca="1" si="180">AH43/$X43</f>
        <v>-2.9304690871958696</v>
      </c>
      <c r="AH43" s="405">
        <f t="shared" ref="AH43" ca="1" si="181">AI43/$Z43</f>
        <v>-277.80846946616845</v>
      </c>
      <c r="AI43" s="405">
        <f t="shared" ref="AI43" ca="1" si="182">AJ43*AA$4</f>
        <v>-277.80850558126951</v>
      </c>
      <c r="AJ43" s="406">
        <f t="shared" ref="AJ43" ca="1" si="183">$N43-AF43</f>
        <v>-4.3851040210397818E-4</v>
      </c>
      <c r="AK43" s="205"/>
      <c r="AL43" s="206">
        <f t="shared" ref="AL43" ca="1" si="184">AK43*$X43</f>
        <v>0</v>
      </c>
      <c r="AM43" s="206">
        <f t="shared" ref="AM43" ca="1" si="185">AL43*$Z43</f>
        <v>0</v>
      </c>
      <c r="AN43" s="207">
        <f t="shared" ref="AN43" ca="1" si="186">IFERROR(AM43/AA$4,0)</f>
        <v>0</v>
      </c>
      <c r="AO43" s="391">
        <f t="shared" ref="AO43" si="187">AA43+AK43</f>
        <v>170</v>
      </c>
      <c r="AP43" s="391">
        <f t="shared" ref="AP43" ca="1" si="188">AD43+IF($R43="",AL43)</f>
        <v>16116</v>
      </c>
      <c r="AQ43" s="391">
        <f t="shared" ref="AQ43" ca="1" si="189">AP43*$Z43</f>
        <v>16116.002095080001</v>
      </c>
      <c r="AR43" s="886">
        <f t="shared" ref="AR43" ca="1" si="190">IFERROR(AQ43/AA$4,0)</f>
        <v>2.543851040210398E-2</v>
      </c>
    </row>
    <row r="44" spans="1:44" outlineLevel="2" x14ac:dyDescent="0.2">
      <c r="A44" s="367"/>
      <c r="B44" s="367"/>
      <c r="C44" s="367" t="str">
        <f t="shared" ca="1" si="89"/>
        <v>CH0012214059:CHF</v>
      </c>
      <c r="D44" s="368" t="str">
        <f t="shared" ca="1" si="90"/>
        <v>CH0012214059</v>
      </c>
      <c r="E44" s="369" t="str">
        <f t="shared" ca="1" si="90"/>
        <v>1221405</v>
      </c>
      <c r="F44" s="367" t="s">
        <v>485</v>
      </c>
      <c r="G44" s="414"/>
      <c r="H44" s="1754" t="str">
        <f t="shared" ca="1" si="91"/>
        <v></v>
      </c>
      <c r="I44" s="1753" t="str">
        <f t="shared" ca="1" si="92"/>
        <v>i</v>
      </c>
      <c r="J44" s="1754" t="str">
        <f t="shared" ca="1" si="93"/>
        <v></v>
      </c>
      <c r="K44" s="1716" t="str">
        <f t="shared" ca="1" si="93"/>
        <v></v>
      </c>
      <c r="L44" s="1717" t="str">
        <f t="shared" ca="1" si="94"/>
        <v></v>
      </c>
      <c r="M44" s="366" t="str">
        <f t="shared" ca="1" si="95"/>
        <v>Unit</v>
      </c>
      <c r="N44" s="882">
        <v>2.5000000000000001E-2</v>
      </c>
      <c r="O44" s="882"/>
      <c r="P44" s="882">
        <f t="shared" ca="1" si="0"/>
        <v>1.585408280458751E-2</v>
      </c>
      <c r="Q44" s="883"/>
      <c r="R44" s="883"/>
      <c r="S44" s="375">
        <f t="shared" ca="1" si="96"/>
        <v>-3.0127462340672002E-2</v>
      </c>
      <c r="T44" s="391">
        <f t="shared" ref="T44:T54" si="191">SUMIF($AA$14:$AR$14,"I_Pos",AA44:AR44)</f>
        <v>150</v>
      </c>
      <c r="U44" s="391">
        <f t="shared" ref="U44:U54" ca="1" si="192">SUMIF($AA$14:$AR$14,"P_Pos",AA44:AR44)</f>
        <v>86.532131579059651</v>
      </c>
      <c r="V44" s="391">
        <f t="shared" ref="V44:V51" si="193">SUMIF($AA$14:$AR$14,"O_Pos",AA44:AR44)</f>
        <v>0</v>
      </c>
      <c r="W44" s="367" t="str">
        <f t="shared" ca="1" si="100"/>
        <v>CHF</v>
      </c>
      <c r="X44" s="884">
        <f t="shared" ca="1" si="101"/>
        <v>66.959999999999994</v>
      </c>
      <c r="Y44" s="884"/>
      <c r="Z44" s="885">
        <f t="shared" ref="Z44:Z54" ca="1" si="194">_xlfn.NUMBERVALUE(OFFSET(Origine,MATCH(W44&amp;"/"&amp;MRif,LUKB_Name,0),MATCH("Price",Intestazioni,0)-1,1,1))</f>
        <v>1.0000001300000001</v>
      </c>
      <c r="AA44" s="197">
        <v>150</v>
      </c>
      <c r="AB44" s="312">
        <f t="shared" ref="AB44:AB54" ca="1" si="195">IFERROR($X44/AC44-1,"")</f>
        <v>0.62721749696233275</v>
      </c>
      <c r="AC44" s="807">
        <v>41.15</v>
      </c>
      <c r="AD44" s="199">
        <f t="shared" ref="AD44:AD51" ca="1" si="196">AA44*$X44</f>
        <v>10043.999999999998</v>
      </c>
      <c r="AE44" s="199">
        <f t="shared" ref="AE44:AE54" ca="1" si="197">AD44*$Z44</f>
        <v>10044.001305719999</v>
      </c>
      <c r="AF44" s="216">
        <f t="shared" ref="AF44:AF46" ca="1" si="198">IFERROR(AE44/AA$4,0)</f>
        <v>1.585408280458751E-2</v>
      </c>
      <c r="AG44" s="404">
        <f t="shared" ref="AG44:AG54" ca="1" si="199">AH44/$X44</f>
        <v>86.532131579059651</v>
      </c>
      <c r="AH44" s="405">
        <f t="shared" ref="AH44:AH54" ca="1" si="200">AI44/$Z44</f>
        <v>5794.1915305338334</v>
      </c>
      <c r="AI44" s="405">
        <f t="shared" ref="AI44:AI51" ca="1" si="201">AJ44*AA$4</f>
        <v>5794.1922837787333</v>
      </c>
      <c r="AJ44" s="406">
        <f t="shared" ref="AJ44:AJ54" ca="1" si="202">$N44-AF44</f>
        <v>9.1459171954124917E-3</v>
      </c>
      <c r="AK44" s="205"/>
      <c r="AL44" s="206">
        <f t="shared" ref="AL44:AL54" ca="1" si="203">AK44*$X44</f>
        <v>0</v>
      </c>
      <c r="AM44" s="206">
        <f t="shared" ref="AM44:AM54" ca="1" si="204">AL44*$Z44</f>
        <v>0</v>
      </c>
      <c r="AN44" s="207">
        <f t="shared" ref="AN44:AN46" ca="1" si="205">IFERROR(AM44/AA$4,0)</f>
        <v>0</v>
      </c>
      <c r="AO44" s="391">
        <f t="shared" ref="AO44:AO51" si="206">AA44+AK44</f>
        <v>150</v>
      </c>
      <c r="AP44" s="391">
        <f t="shared" ca="1" si="54"/>
        <v>10043.999999999998</v>
      </c>
      <c r="AQ44" s="391">
        <f t="shared" ref="AQ44:AQ54" ca="1" si="207">AP44*$Z44</f>
        <v>10044.001305719999</v>
      </c>
      <c r="AR44" s="886">
        <f t="shared" ref="AR44:AR46" ca="1" si="208">IFERROR(AQ44/AA$4,0)</f>
        <v>1.585408280458751E-2</v>
      </c>
    </row>
    <row r="45" spans="1:44" outlineLevel="2" x14ac:dyDescent="0.2">
      <c r="A45" s="367"/>
      <c r="B45" s="367"/>
      <c r="C45" s="367" t="str">
        <f t="shared" ca="1" si="89"/>
        <v>CH0030380734:CHF</v>
      </c>
      <c r="D45" s="368" t="str">
        <f t="shared" ca="1" si="90"/>
        <v>CH0030380734</v>
      </c>
      <c r="E45" s="369" t="str">
        <f t="shared" ca="1" si="90"/>
        <v>3038073</v>
      </c>
      <c r="F45" s="390" t="s">
        <v>4417</v>
      </c>
      <c r="G45" s="414"/>
      <c r="H45" s="1754" t="str">
        <f t="shared" ca="1" si="91"/>
        <v></v>
      </c>
      <c r="I45" s="1753" t="str">
        <f t="shared" ca="1" si="92"/>
        <v>i</v>
      </c>
      <c r="J45" s="1754" t="str">
        <f t="shared" ca="1" si="93"/>
        <v></v>
      </c>
      <c r="K45" s="1716" t="str">
        <f t="shared" ca="1" si="93"/>
        <v></v>
      </c>
      <c r="L45" s="1717" t="str">
        <f t="shared" ca="1" si="94"/>
        <v></v>
      </c>
      <c r="M45" s="366" t="str">
        <f t="shared" ca="1" si="95"/>
        <v>Unit</v>
      </c>
      <c r="N45" s="882">
        <v>2.5000000000000001E-2</v>
      </c>
      <c r="O45" s="882"/>
      <c r="P45" s="882">
        <f t="shared" ca="1" si="0"/>
        <v>2.8443904036107824E-2</v>
      </c>
      <c r="Q45" s="883"/>
      <c r="R45" s="883"/>
      <c r="S45" s="375">
        <f t="shared" ca="1" si="96"/>
        <v>-6.1458333333333302E-2</v>
      </c>
      <c r="T45" s="391">
        <f t="shared" si="191"/>
        <v>100</v>
      </c>
      <c r="U45" s="391">
        <f t="shared" ca="1" si="192"/>
        <v>-12.107705157969853</v>
      </c>
      <c r="V45" s="391">
        <f t="shared" ref="V45" si="209">SUMIF($AA$14:$AR$14,"O_Pos",AA45:AR45)</f>
        <v>0</v>
      </c>
      <c r="W45" s="367" t="str">
        <f t="shared" ca="1" si="100"/>
        <v>CHF</v>
      </c>
      <c r="X45" s="884">
        <f t="shared" ca="1" si="101"/>
        <v>180.2</v>
      </c>
      <c r="Y45" s="884"/>
      <c r="Z45" s="885">
        <f t="shared" ref="Z45" ca="1" si="210">_xlfn.NUMBERVALUE(OFFSET(Origine,MATCH(W45&amp;"/"&amp;MRif,LUKB_Name,0),MATCH("Price",Intestazioni,0)-1,1,1))</f>
        <v>1.0000001300000001</v>
      </c>
      <c r="AA45" s="197">
        <f>100</f>
        <v>100</v>
      </c>
      <c r="AB45" s="312">
        <f t="shared" ref="AB45" ca="1" si="211">IFERROR($X45/AC45-1,"")</f>
        <v>0.1566704323713668</v>
      </c>
      <c r="AC45" s="807">
        <v>155.792</v>
      </c>
      <c r="AD45" s="199">
        <f t="shared" ref="AD45" ca="1" si="212">AA45*$X45</f>
        <v>18020</v>
      </c>
      <c r="AE45" s="199">
        <f t="shared" ref="AE45" ca="1" si="213">AD45*$Z45</f>
        <v>18020.002342600001</v>
      </c>
      <c r="AF45" s="216">
        <f t="shared" ca="1" si="198"/>
        <v>2.8443904036107824E-2</v>
      </c>
      <c r="AG45" s="404">
        <f t="shared" ref="AG45" ca="1" si="214">AH45/$X45</f>
        <v>-12.107705157969853</v>
      </c>
      <c r="AH45" s="405">
        <f t="shared" ref="AH45" ca="1" si="215">AI45/$Z45</f>
        <v>-2181.8084694661675</v>
      </c>
      <c r="AI45" s="405">
        <f t="shared" ref="AI45" ca="1" si="216">AJ45*AA$4</f>
        <v>-2181.8087531012688</v>
      </c>
      <c r="AJ45" s="406">
        <f t="shared" ref="AJ45" ca="1" si="217">$N45-AF45</f>
        <v>-3.4439040361078227E-3</v>
      </c>
      <c r="AK45" s="205"/>
      <c r="AL45" s="206">
        <f t="shared" ref="AL45" ca="1" si="218">AK45*$X45</f>
        <v>0</v>
      </c>
      <c r="AM45" s="206">
        <f t="shared" ref="AM45" ca="1" si="219">AL45*$Z45</f>
        <v>0</v>
      </c>
      <c r="AN45" s="207">
        <f t="shared" ca="1" si="205"/>
        <v>0</v>
      </c>
      <c r="AO45" s="391">
        <f t="shared" ref="AO45" si="220">AA45+AK45</f>
        <v>100</v>
      </c>
      <c r="AP45" s="391">
        <f t="shared" ref="AP45" ca="1" si="221">AD45+IF($R45="",AL45)</f>
        <v>18020</v>
      </c>
      <c r="AQ45" s="391">
        <f t="shared" ref="AQ45" ca="1" si="222">AP45*$Z45</f>
        <v>18020.002342600001</v>
      </c>
      <c r="AR45" s="886">
        <f t="shared" ca="1" si="208"/>
        <v>2.8443904036107824E-2</v>
      </c>
    </row>
    <row r="46" spans="1:44" outlineLevel="2" x14ac:dyDescent="0.2">
      <c r="A46" s="367"/>
      <c r="B46" s="367"/>
      <c r="C46" s="367" t="str">
        <f t="shared" ca="1" si="89"/>
        <v>CH0013841017:CHF</v>
      </c>
      <c r="D46" s="368" t="str">
        <f t="shared" ca="1" si="90"/>
        <v>CH0013841017</v>
      </c>
      <c r="E46" s="369" t="str">
        <f t="shared" ca="1" si="90"/>
        <v>1384101</v>
      </c>
      <c r="F46" s="367" t="s">
        <v>475</v>
      </c>
      <c r="G46" s="414"/>
      <c r="H46" s="1754" t="str">
        <f t="shared" ca="1" si="91"/>
        <v></v>
      </c>
      <c r="I46" s="1753" t="str">
        <f t="shared" ca="1" si="92"/>
        <v>i</v>
      </c>
      <c r="J46" s="1754" t="str">
        <f t="shared" ca="1" si="93"/>
        <v></v>
      </c>
      <c r="K46" s="1716" t="str">
        <f t="shared" ca="1" si="93"/>
        <v></v>
      </c>
      <c r="L46" s="1717" t="str">
        <f t="shared" ca="1" si="94"/>
        <v></v>
      </c>
      <c r="M46" s="366" t="str">
        <f t="shared" ca="1" si="95"/>
        <v>Unit</v>
      </c>
      <c r="N46" s="882">
        <v>2.5000000000000001E-2</v>
      </c>
      <c r="O46" s="882"/>
      <c r="P46" s="882">
        <f t="shared" ref="P46:P77" ca="1" si="223">SUMIF($AA$14:$AR$14,"I_Ctrlv",$AA46:$AR46)/$T$2</f>
        <v>2.4538786467554512E-2</v>
      </c>
      <c r="Q46" s="883"/>
      <c r="R46" s="883"/>
      <c r="S46" s="375">
        <f t="shared" ca="1" si="96"/>
        <v>-2.2632968691060001E-2</v>
      </c>
      <c r="T46" s="391">
        <f t="shared" si="191"/>
        <v>30</v>
      </c>
      <c r="U46" s="391">
        <f t="shared" ca="1" si="192"/>
        <v>0.56385860774571461</v>
      </c>
      <c r="V46" s="391">
        <f t="shared" ref="V46" si="224">SUMIF($AA$14:$AR$14,"O_Pos",AA46:AR46)</f>
        <v>0</v>
      </c>
      <c r="W46" s="367" t="str">
        <f t="shared" ca="1" si="100"/>
        <v>CHF</v>
      </c>
      <c r="X46" s="884">
        <f t="shared" ca="1" si="101"/>
        <v>518.20000000000005</v>
      </c>
      <c r="Y46" s="884"/>
      <c r="Z46" s="885">
        <f t="shared" ref="Z46" ca="1" si="225">_xlfn.NUMBERVALUE(OFFSET(Origine,MATCH(W46&amp;"/"&amp;MRif,LUKB_Name,0),MATCH("Price",Intestazioni,0)-1,1,1))</f>
        <v>1.0000001300000001</v>
      </c>
      <c r="AA46" s="197">
        <f>15+15</f>
        <v>30</v>
      </c>
      <c r="AB46" s="312">
        <f t="shared" ref="AB46" ca="1" si="226">IFERROR($X46/AC46-1,"")</f>
        <v>-8.2019486271036279E-2</v>
      </c>
      <c r="AC46" s="807">
        <v>564.5</v>
      </c>
      <c r="AD46" s="199">
        <f t="shared" ref="AD46" ca="1" si="227">AA46*$X46</f>
        <v>15546.000000000002</v>
      </c>
      <c r="AE46" s="199">
        <f t="shared" ref="AE46" ca="1" si="228">AD46*$Z46</f>
        <v>15546.002020980004</v>
      </c>
      <c r="AF46" s="216">
        <f t="shared" ca="1" si="198"/>
        <v>2.4538786467554512E-2</v>
      </c>
      <c r="AG46" s="404">
        <f t="shared" ref="AG46" ca="1" si="229">AH46/$X46</f>
        <v>0.56385860774571461</v>
      </c>
      <c r="AH46" s="405">
        <f t="shared" ref="AH46" ca="1" si="230">AI46/$Z46</f>
        <v>292.19153053382934</v>
      </c>
      <c r="AI46" s="405">
        <f t="shared" ref="AI46" ca="1" si="231">AJ46*AA$4</f>
        <v>292.19156851872833</v>
      </c>
      <c r="AJ46" s="406">
        <f t="shared" ref="AJ46" ca="1" si="232">$N46-AF46</f>
        <v>4.6121353244548899E-4</v>
      </c>
      <c r="AK46" s="205"/>
      <c r="AL46" s="206">
        <f t="shared" ref="AL46" ca="1" si="233">AK46*$X46</f>
        <v>0</v>
      </c>
      <c r="AM46" s="206">
        <f t="shared" ref="AM46" ca="1" si="234">AL46*$Z46</f>
        <v>0</v>
      </c>
      <c r="AN46" s="207">
        <f t="shared" ca="1" si="205"/>
        <v>0</v>
      </c>
      <c r="AO46" s="391">
        <f t="shared" ref="AO46" si="235">AA46+AK46</f>
        <v>30</v>
      </c>
      <c r="AP46" s="391">
        <f t="shared" ref="AP46" ca="1" si="236">AD46+IF($R46="",AL46)</f>
        <v>15546.000000000002</v>
      </c>
      <c r="AQ46" s="391">
        <f t="shared" ref="AQ46" ca="1" si="237">AP46*$Z46</f>
        <v>15546.002020980004</v>
      </c>
      <c r="AR46" s="886">
        <f t="shared" ca="1" si="208"/>
        <v>2.4538786467554512E-2</v>
      </c>
    </row>
    <row r="47" spans="1:44" outlineLevel="2" x14ac:dyDescent="0.2">
      <c r="A47" s="367"/>
      <c r="B47" s="367"/>
      <c r="C47" s="367" t="str">
        <f t="shared" ca="1" si="89"/>
        <v>CH0012032048:CHF</v>
      </c>
      <c r="D47" s="368" t="str">
        <f t="shared" ca="1" si="90"/>
        <v>CH0012032048</v>
      </c>
      <c r="E47" s="369" t="str">
        <f t="shared" ca="1" si="90"/>
        <v>1203204</v>
      </c>
      <c r="F47" s="367" t="s">
        <v>525</v>
      </c>
      <c r="G47" s="414"/>
      <c r="H47" s="1754" t="str">
        <f t="shared" ca="1" si="91"/>
        <v></v>
      </c>
      <c r="I47" s="1753" t="str">
        <f t="shared" ca="1" si="92"/>
        <v>i</v>
      </c>
      <c r="J47" s="1754" t="str">
        <f t="shared" ca="1" si="93"/>
        <v></v>
      </c>
      <c r="K47" s="1716" t="str">
        <f t="shared" ca="1" si="93"/>
        <v></v>
      </c>
      <c r="L47" s="1717" t="str">
        <f t="shared" ca="1" si="94"/>
        <v></v>
      </c>
      <c r="M47" s="366" t="str">
        <f t="shared" ca="1" si="95"/>
        <v>Unit</v>
      </c>
      <c r="N47" s="882">
        <v>2.5000000000000001E-2</v>
      </c>
      <c r="O47" s="882"/>
      <c r="P47" s="882">
        <f t="shared" ca="1" si="223"/>
        <v>2.524435944780646E-2</v>
      </c>
      <c r="Q47" s="883"/>
      <c r="R47" s="883"/>
      <c r="S47" s="375">
        <f t="shared" ca="1" si="96"/>
        <v>-2.0666850372003397E-2</v>
      </c>
      <c r="T47" s="391">
        <f t="shared" si="191"/>
        <v>45</v>
      </c>
      <c r="U47" s="391">
        <f t="shared" ca="1" si="192"/>
        <v>-0.43558939073203923</v>
      </c>
      <c r="V47" s="391">
        <f t="shared" ref="V47" si="238">SUMIF($AA$14:$AR$14,"O_Pos",AA47:AR47)</f>
        <v>0</v>
      </c>
      <c r="W47" s="367" t="str">
        <f t="shared" ca="1" si="100"/>
        <v>CHF</v>
      </c>
      <c r="X47" s="884">
        <f t="shared" ca="1" si="101"/>
        <v>355.4</v>
      </c>
      <c r="Y47" s="884"/>
      <c r="Z47" s="885">
        <f t="shared" ca="1" si="194"/>
        <v>1.0000001300000001</v>
      </c>
      <c r="AA47" s="197">
        <f>45</f>
        <v>45</v>
      </c>
      <c r="AB47" s="312">
        <f t="shared" ref="AB47" ca="1" si="239">IFERROR($X47/AC47-1,"")</f>
        <v>0.45032277231197515</v>
      </c>
      <c r="AC47" s="807">
        <v>245.0489</v>
      </c>
      <c r="AD47" s="199">
        <f t="shared" ref="AD47" ca="1" si="240">AA47*$X47</f>
        <v>15992.999999999998</v>
      </c>
      <c r="AE47" s="199">
        <f t="shared" ca="1" si="197"/>
        <v>15993.00207909</v>
      </c>
      <c r="AF47" s="216">
        <f t="shared" ref="AF47:AF51" ca="1" si="241">IFERROR(AE47/AA$4,0)</f>
        <v>2.524435944780646E-2</v>
      </c>
      <c r="AG47" s="404">
        <f t="shared" ca="1" si="199"/>
        <v>-0.43558939073203923</v>
      </c>
      <c r="AH47" s="405">
        <f t="shared" ca="1" si="200"/>
        <v>-154.80846946616674</v>
      </c>
      <c r="AI47" s="405">
        <f t="shared" ref="AI47" ca="1" si="242">AJ47*AA$4</f>
        <v>-154.8084895912678</v>
      </c>
      <c r="AJ47" s="406">
        <f t="shared" ca="1" si="202"/>
        <v>-2.4435944780645813E-4</v>
      </c>
      <c r="AK47" s="205"/>
      <c r="AL47" s="206">
        <f t="shared" ca="1" si="203"/>
        <v>0</v>
      </c>
      <c r="AM47" s="206">
        <f t="shared" ca="1" si="204"/>
        <v>0</v>
      </c>
      <c r="AN47" s="207">
        <f t="shared" ref="AN47:AN51" ca="1" si="243">IFERROR(AM47/AA$4,0)</f>
        <v>0</v>
      </c>
      <c r="AO47" s="391">
        <f t="shared" ref="AO47" si="244">AA47+AK47</f>
        <v>45</v>
      </c>
      <c r="AP47" s="391">
        <f t="shared" ca="1" si="54"/>
        <v>15992.999999999998</v>
      </c>
      <c r="AQ47" s="391">
        <f t="shared" ca="1" si="207"/>
        <v>15993.00207909</v>
      </c>
      <c r="AR47" s="886">
        <f t="shared" ref="AR47:AR51" ca="1" si="245">IFERROR(AQ47/AA$4,0)</f>
        <v>2.524435944780646E-2</v>
      </c>
    </row>
    <row r="48" spans="1:44" outlineLevel="2" x14ac:dyDescent="0.2">
      <c r="A48" s="367"/>
      <c r="B48" s="367"/>
      <c r="C48" s="367" t="str">
        <f t="shared" ca="1" si="89"/>
        <v>CH1243598427:CHF</v>
      </c>
      <c r="D48" s="368" t="str">
        <f t="shared" ca="1" si="90"/>
        <v>CH1243598427</v>
      </c>
      <c r="E48" s="369" t="str">
        <f t="shared" ca="1" si="90"/>
        <v>124359842</v>
      </c>
      <c r="F48" s="367" t="s">
        <v>486</v>
      </c>
      <c r="G48" s="414"/>
      <c r="H48" s="1754" t="str">
        <f t="shared" ca="1" si="91"/>
        <v></v>
      </c>
      <c r="I48" s="1753" t="str">
        <f t="shared" ca="1" si="92"/>
        <v>i</v>
      </c>
      <c r="J48" s="1754" t="str">
        <f t="shared" ca="1" si="93"/>
        <v></v>
      </c>
      <c r="K48" s="1716" t="str">
        <f t="shared" ca="1" si="93"/>
        <v></v>
      </c>
      <c r="L48" s="1717" t="str">
        <f t="shared" ca="1" si="94"/>
        <v></v>
      </c>
      <c r="M48" s="366" t="str">
        <f t="shared" ca="1" si="95"/>
        <v>Unit</v>
      </c>
      <c r="N48" s="882">
        <v>2.5000000000000001E-2</v>
      </c>
      <c r="O48" s="882"/>
      <c r="P48" s="882">
        <f t="shared" ca="1" si="223"/>
        <v>2.5823655384612877E-2</v>
      </c>
      <c r="Q48" s="883"/>
      <c r="R48" s="883"/>
      <c r="S48" s="375">
        <f t="shared" ca="1" si="96"/>
        <v>-3.1952662721893697E-2</v>
      </c>
      <c r="T48" s="391">
        <f t="shared" si="191"/>
        <v>250</v>
      </c>
      <c r="U48" s="391">
        <f t="shared" ca="1" si="192"/>
        <v>-7.9738458048008773</v>
      </c>
      <c r="V48" s="391">
        <f t="shared" si="193"/>
        <v>0</v>
      </c>
      <c r="W48" s="367" t="str">
        <f t="shared" ca="1" si="100"/>
        <v>CHF</v>
      </c>
      <c r="X48" s="884">
        <f t="shared" ca="1" si="101"/>
        <v>65.44</v>
      </c>
      <c r="Y48" s="884"/>
      <c r="Z48" s="885">
        <f t="shared" ca="1" si="194"/>
        <v>1.0000001300000001</v>
      </c>
      <c r="AA48" s="197">
        <f>380+-130</f>
        <v>250</v>
      </c>
      <c r="AB48" s="312">
        <f t="shared" ca="1" si="195"/>
        <v>1.573338576484467</v>
      </c>
      <c r="AC48" s="807">
        <v>25.43</v>
      </c>
      <c r="AD48" s="199">
        <f t="shared" ca="1" si="196"/>
        <v>16360</v>
      </c>
      <c r="AE48" s="199">
        <f t="shared" ref="AE48:AE52" ca="1" si="246">AD48*$Z48</f>
        <v>16360.002126800002</v>
      </c>
      <c r="AF48" s="216">
        <f t="shared" ca="1" si="241"/>
        <v>2.5823655384612877E-2</v>
      </c>
      <c r="AG48" s="404">
        <f t="shared" ref="AG48:AG52" ca="1" si="247">AH48/$X48</f>
        <v>-7.9738458048008773</v>
      </c>
      <c r="AH48" s="405">
        <f t="shared" ref="AH48:AH52" ca="1" si="248">AI48/$Z48</f>
        <v>-521.80846946616941</v>
      </c>
      <c r="AI48" s="405">
        <f t="shared" ca="1" si="201"/>
        <v>-521.80853730127046</v>
      </c>
      <c r="AJ48" s="406">
        <f t="shared" ca="1" si="202"/>
        <v>-8.236553846128758E-4</v>
      </c>
      <c r="AK48" s="205"/>
      <c r="AL48" s="206">
        <f t="shared" ref="AL48:AL52" ca="1" si="249">AK48*$X48</f>
        <v>0</v>
      </c>
      <c r="AM48" s="206">
        <f t="shared" ref="AM48:AM52" ca="1" si="250">AL48*$Z48</f>
        <v>0</v>
      </c>
      <c r="AN48" s="207">
        <f t="shared" ca="1" si="243"/>
        <v>0</v>
      </c>
      <c r="AO48" s="391">
        <f t="shared" si="206"/>
        <v>250</v>
      </c>
      <c r="AP48" s="391">
        <f t="shared" ca="1" si="54"/>
        <v>16360</v>
      </c>
      <c r="AQ48" s="391">
        <f t="shared" ref="AQ48:AQ52" ca="1" si="251">AP48*$Z48</f>
        <v>16360.002126800002</v>
      </c>
      <c r="AR48" s="886">
        <f t="shared" ca="1" si="245"/>
        <v>2.5823655384612877E-2</v>
      </c>
    </row>
    <row r="49" spans="1:44" outlineLevel="2" x14ac:dyDescent="0.2">
      <c r="A49" s="367"/>
      <c r="B49" s="367"/>
      <c r="C49" s="367" t="str">
        <f t="shared" ca="1" si="89"/>
        <v>CH0024638212:CHF</v>
      </c>
      <c r="D49" s="368" t="str">
        <f t="shared" ca="1" si="90"/>
        <v>CH0024638212</v>
      </c>
      <c r="E49" s="369" t="str">
        <f t="shared" ca="1" si="90"/>
        <v>2463821</v>
      </c>
      <c r="F49" s="367" t="s">
        <v>573</v>
      </c>
      <c r="G49" s="414"/>
      <c r="H49" s="1754" t="str">
        <f t="shared" ca="1" si="91"/>
        <v></v>
      </c>
      <c r="I49" s="1753" t="str">
        <f t="shared" ca="1" si="92"/>
        <v>i</v>
      </c>
      <c r="J49" s="1754" t="str">
        <f t="shared" ca="1" si="93"/>
        <v></v>
      </c>
      <c r="K49" s="1716" t="str">
        <f t="shared" ca="1" si="93"/>
        <v></v>
      </c>
      <c r="L49" s="1717" t="str">
        <f t="shared" ca="1" si="94"/>
        <v></v>
      </c>
      <c r="M49" s="366" t="str">
        <f t="shared" ca="1" si="95"/>
        <v>Unit</v>
      </c>
      <c r="N49" s="882">
        <v>2.5000000000000001E-2</v>
      </c>
      <c r="O49" s="882"/>
      <c r="P49" s="882">
        <f t="shared" ca="1" si="223"/>
        <v>0</v>
      </c>
      <c r="Q49" s="883"/>
      <c r="R49" s="883"/>
      <c r="S49" s="375">
        <f t="shared" ca="1" si="96"/>
        <v>-1.9572953736654897E-2</v>
      </c>
      <c r="T49" s="391">
        <f t="shared" si="191"/>
        <v>0</v>
      </c>
      <c r="U49" s="391">
        <f t="shared" ca="1" si="192"/>
        <v>57.488898477436777</v>
      </c>
      <c r="V49" s="391">
        <f t="shared" ref="V49:V50" si="252">SUMIF($AA$14:$AR$14,"O_Pos",AA49:AR49)</f>
        <v>0</v>
      </c>
      <c r="W49" s="367" t="str">
        <f t="shared" ca="1" si="100"/>
        <v>CHF</v>
      </c>
      <c r="X49" s="884">
        <f t="shared" ca="1" si="101"/>
        <v>275.5</v>
      </c>
      <c r="Y49" s="884"/>
      <c r="Z49" s="885">
        <f t="shared" ref="Z49:Z50" ca="1" si="253">_xlfn.NUMBERVALUE(OFFSET(Origine,MATCH(W49&amp;"/"&amp;MRif,LUKB_Name,0),MATCH("Price",Intestazioni,0)-1,1,1))</f>
        <v>1.0000001300000001</v>
      </c>
      <c r="AA49" s="197">
        <f>45+-45</f>
        <v>0</v>
      </c>
      <c r="AB49" s="312" t="str">
        <f t="shared" ref="AB49:AB50" ca="1" si="254">IFERROR($X49/AC49-1,"")</f>
        <v/>
      </c>
      <c r="AC49" s="807"/>
      <c r="AD49" s="199">
        <f t="shared" ref="AD49:AD50" ca="1" si="255">AA49*$X49</f>
        <v>0</v>
      </c>
      <c r="AE49" s="199">
        <f t="shared" ca="1" si="246"/>
        <v>0</v>
      </c>
      <c r="AF49" s="216">
        <f t="shared" ref="AF49:AF50" ca="1" si="256">IFERROR(AE49/AA$4,0)</f>
        <v>0</v>
      </c>
      <c r="AG49" s="404">
        <f t="shared" ca="1" si="247"/>
        <v>57.488898477436777</v>
      </c>
      <c r="AH49" s="405">
        <f t="shared" ca="1" si="248"/>
        <v>15838.191530533832</v>
      </c>
      <c r="AI49" s="405">
        <f t="shared" ref="AI49:AI50" ca="1" si="257">AJ49*AA$4</f>
        <v>15838.193589498733</v>
      </c>
      <c r="AJ49" s="406">
        <f t="shared" ref="AJ49:AJ50" ca="1" si="258">$N49-AF49</f>
        <v>2.5000000000000001E-2</v>
      </c>
      <c r="AK49" s="205"/>
      <c r="AL49" s="206">
        <f t="shared" ca="1" si="249"/>
        <v>0</v>
      </c>
      <c r="AM49" s="206">
        <f t="shared" ca="1" si="250"/>
        <v>0</v>
      </c>
      <c r="AN49" s="207">
        <f t="shared" ref="AN49:AN50" ca="1" si="259">IFERROR(AM49/AA$4,0)</f>
        <v>0</v>
      </c>
      <c r="AO49" s="391">
        <f t="shared" ref="AO49:AO50" si="260">AA49+AK49</f>
        <v>0</v>
      </c>
      <c r="AP49" s="391">
        <f t="shared" ref="AP49:AP50" ca="1" si="261">AD49+IF($R49="",AL49)</f>
        <v>0</v>
      </c>
      <c r="AQ49" s="391">
        <f t="shared" ca="1" si="251"/>
        <v>0</v>
      </c>
      <c r="AR49" s="886">
        <f t="shared" ref="AR49:AR50" ca="1" si="262">IFERROR(AQ49/AA$4,0)</f>
        <v>0</v>
      </c>
    </row>
    <row r="50" spans="1:44" outlineLevel="2" x14ac:dyDescent="0.2">
      <c r="A50" s="367"/>
      <c r="B50" s="367"/>
      <c r="C50" s="367" t="str">
        <f t="shared" ca="1" si="89"/>
        <v>CH1386220409:CHF</v>
      </c>
      <c r="D50" s="368" t="str">
        <f t="shared" ca="1" si="90"/>
        <v>CH1386220409</v>
      </c>
      <c r="E50" s="369" t="str">
        <f t="shared" ca="1" si="90"/>
        <v>138622040</v>
      </c>
      <c r="F50" s="390" t="s">
        <v>4426</v>
      </c>
      <c r="G50" s="414"/>
      <c r="H50" s="1754" t="str">
        <f t="shared" ca="1" si="91"/>
        <v></v>
      </c>
      <c r="I50" s="1753" t="str">
        <f t="shared" ca="1" si="92"/>
        <v>i</v>
      </c>
      <c r="J50" s="1754" t="str">
        <f t="shared" ca="1" si="93"/>
        <v></v>
      </c>
      <c r="K50" s="1716" t="str">
        <f t="shared" ca="1" si="93"/>
        <v></v>
      </c>
      <c r="L50" s="1717" t="str">
        <f t="shared" ca="1" si="94"/>
        <v></v>
      </c>
      <c r="M50" s="366" t="str">
        <f t="shared" ca="1" si="95"/>
        <v>Unit</v>
      </c>
      <c r="N50" s="882">
        <v>2.5000000000000001E-2</v>
      </c>
      <c r="O50" s="882"/>
      <c r="P50" s="882">
        <f t="shared" ca="1" si="223"/>
        <v>2.7650884203269832E-2</v>
      </c>
      <c r="Q50" s="883"/>
      <c r="R50" s="883"/>
      <c r="S50" s="375">
        <f t="shared" ca="1" si="96"/>
        <v>-1.7366720516962898E-2</v>
      </c>
      <c r="T50" s="391">
        <f t="shared" si="191"/>
        <v>360</v>
      </c>
      <c r="U50" s="391">
        <f t="shared" ca="1" si="192"/>
        <v>-34.513121033007934</v>
      </c>
      <c r="V50" s="391">
        <f t="shared" si="252"/>
        <v>0</v>
      </c>
      <c r="W50" s="367" t="str">
        <f t="shared" ca="1" si="100"/>
        <v>CHF</v>
      </c>
      <c r="X50" s="884">
        <f t="shared" ca="1" si="101"/>
        <v>48.66</v>
      </c>
      <c r="Y50" s="884"/>
      <c r="Z50" s="885">
        <f t="shared" ca="1" si="253"/>
        <v>1.0000001300000001</v>
      </c>
      <c r="AA50" s="197">
        <f>360</f>
        <v>360</v>
      </c>
      <c r="AB50" s="312">
        <f t="shared" ca="1" si="254"/>
        <v>0.11170003746790091</v>
      </c>
      <c r="AC50" s="807">
        <v>43.770800000000001</v>
      </c>
      <c r="AD50" s="199">
        <f t="shared" ca="1" si="255"/>
        <v>17517.599999999999</v>
      </c>
      <c r="AE50" s="199">
        <f t="shared" ca="1" si="246"/>
        <v>17517.602277287999</v>
      </c>
      <c r="AF50" s="216">
        <f t="shared" ca="1" si="256"/>
        <v>2.7650884203269832E-2</v>
      </c>
      <c r="AG50" s="404">
        <f t="shared" ca="1" si="247"/>
        <v>-34.513121033007934</v>
      </c>
      <c r="AH50" s="405">
        <f t="shared" ca="1" si="248"/>
        <v>-1679.408469466166</v>
      </c>
      <c r="AI50" s="405">
        <f t="shared" ca="1" si="257"/>
        <v>-1679.4086877892673</v>
      </c>
      <c r="AJ50" s="406">
        <f t="shared" ca="1" si="258"/>
        <v>-2.6508842032698307E-3</v>
      </c>
      <c r="AK50" s="205"/>
      <c r="AL50" s="206">
        <f t="shared" ca="1" si="249"/>
        <v>0</v>
      </c>
      <c r="AM50" s="206">
        <f t="shared" ca="1" si="250"/>
        <v>0</v>
      </c>
      <c r="AN50" s="207">
        <f t="shared" ca="1" si="259"/>
        <v>0</v>
      </c>
      <c r="AO50" s="391">
        <f t="shared" si="260"/>
        <v>360</v>
      </c>
      <c r="AP50" s="391">
        <f t="shared" ca="1" si="261"/>
        <v>17517.599999999999</v>
      </c>
      <c r="AQ50" s="391">
        <f t="shared" ca="1" si="251"/>
        <v>17517.602277287999</v>
      </c>
      <c r="AR50" s="886">
        <f t="shared" ca="1" si="262"/>
        <v>2.7650884203269832E-2</v>
      </c>
    </row>
    <row r="51" spans="1:44" outlineLevel="2" x14ac:dyDescent="0.2">
      <c r="A51" s="367"/>
      <c r="B51" s="367"/>
      <c r="C51" s="367" t="str">
        <f t="shared" ca="1" si="89"/>
        <v>CH0008742519:CHF:P</v>
      </c>
      <c r="D51" s="368" t="str">
        <f t="shared" ca="1" si="90"/>
        <v>CH0008742519</v>
      </c>
      <c r="E51" s="369" t="str">
        <f t="shared" ca="1" si="90"/>
        <v>874251</v>
      </c>
      <c r="F51" s="367" t="s">
        <v>435</v>
      </c>
      <c r="G51" s="414"/>
      <c r="H51" s="1754" t="str">
        <f t="shared" ca="1" si="91"/>
        <v></v>
      </c>
      <c r="I51" s="1753" t="str">
        <f t="shared" ca="1" si="92"/>
        <v>i</v>
      </c>
      <c r="J51" s="1754" t="str">
        <f t="shared" ca="1" si="93"/>
        <v></v>
      </c>
      <c r="K51" s="1716" t="str">
        <f t="shared" ca="1" si="93"/>
        <v></v>
      </c>
      <c r="L51" s="1717" t="str">
        <f t="shared" ca="1" si="94"/>
        <v></v>
      </c>
      <c r="M51" s="366" t="str">
        <f t="shared" ca="1" si="95"/>
        <v>Unit</v>
      </c>
      <c r="N51" s="882">
        <v>1.4999999999999999E-2</v>
      </c>
      <c r="O51" s="882"/>
      <c r="P51" s="882">
        <f t="shared" ca="1" si="223"/>
        <v>1.694085460974069E-2</v>
      </c>
      <c r="Q51" s="883"/>
      <c r="R51" s="883"/>
      <c r="S51" s="375">
        <f t="shared" ca="1" si="96"/>
        <v>-2.0920502092049999E-3</v>
      </c>
      <c r="T51" s="391">
        <f t="shared" ref="T51" si="263">SUMIF($AA$14:$AR$14,"I_Pos",AA51:AR51)</f>
        <v>15</v>
      </c>
      <c r="U51" s="391">
        <f t="shared" ref="U51" ca="1" si="264">SUMIF($AA$14:$AR$14,"P_Pos",AA51:AR51)</f>
        <v>-1.7184976683154465</v>
      </c>
      <c r="V51" s="391">
        <f t="shared" si="193"/>
        <v>0</v>
      </c>
      <c r="W51" s="367" t="str">
        <f t="shared" ca="1" si="100"/>
        <v>CHF</v>
      </c>
      <c r="X51" s="884">
        <f t="shared" ca="1" si="101"/>
        <v>715.5</v>
      </c>
      <c r="Y51" s="884"/>
      <c r="Z51" s="885">
        <f t="shared" ca="1" si="194"/>
        <v>1.0000001300000001</v>
      </c>
      <c r="AA51" s="197">
        <f>15</f>
        <v>15</v>
      </c>
      <c r="AB51" s="312">
        <f t="shared" ca="1" si="195"/>
        <v>0.3311627906976744</v>
      </c>
      <c r="AC51" s="807">
        <v>537.5</v>
      </c>
      <c r="AD51" s="199">
        <f t="shared" ca="1" si="196"/>
        <v>10732.5</v>
      </c>
      <c r="AE51" s="199">
        <f t="shared" ref="AE51" ca="1" si="265">AD51*$Z51</f>
        <v>10732.501395225001</v>
      </c>
      <c r="AF51" s="216">
        <f t="shared" ca="1" si="241"/>
        <v>1.694085460974069E-2</v>
      </c>
      <c r="AG51" s="404">
        <f t="shared" ref="AG51" ca="1" si="266">AH51/$X51</f>
        <v>-1.7184976683154465</v>
      </c>
      <c r="AH51" s="405">
        <f t="shared" ref="AH51" ca="1" si="267">AI51/$Z51</f>
        <v>-1229.5850816797019</v>
      </c>
      <c r="AI51" s="405">
        <f t="shared" ca="1" si="201"/>
        <v>-1229.5852415257627</v>
      </c>
      <c r="AJ51" s="406">
        <f t="shared" ca="1" si="202"/>
        <v>-1.9408546097406908E-3</v>
      </c>
      <c r="AK51" s="205"/>
      <c r="AL51" s="206">
        <f t="shared" ref="AL51" ca="1" si="268">AK51*$X51</f>
        <v>0</v>
      </c>
      <c r="AM51" s="206">
        <f t="shared" ref="AM51" ca="1" si="269">AL51*$Z51</f>
        <v>0</v>
      </c>
      <c r="AN51" s="207">
        <f t="shared" ca="1" si="243"/>
        <v>0</v>
      </c>
      <c r="AO51" s="391">
        <f t="shared" si="206"/>
        <v>15</v>
      </c>
      <c r="AP51" s="391">
        <f t="shared" ca="1" si="54"/>
        <v>10732.5</v>
      </c>
      <c r="AQ51" s="391">
        <f t="shared" ref="AQ51" ca="1" si="270">AP51*$Z51</f>
        <v>10732.501395225001</v>
      </c>
      <c r="AR51" s="886">
        <f t="shared" ca="1" si="245"/>
        <v>1.694085460974069E-2</v>
      </c>
    </row>
    <row r="52" spans="1:44" outlineLevel="2" x14ac:dyDescent="0.2">
      <c r="A52" s="367"/>
      <c r="B52" s="367"/>
      <c r="C52" s="367" t="str">
        <f t="shared" ca="1" si="89"/>
        <v>CH0008038389:CHF</v>
      </c>
      <c r="D52" s="368" t="str">
        <f t="shared" ca="1" si="90"/>
        <v>CH0008038389</v>
      </c>
      <c r="E52" s="369" t="str">
        <f t="shared" ca="1" si="90"/>
        <v>803838</v>
      </c>
      <c r="F52" s="390" t="s">
        <v>440</v>
      </c>
      <c r="G52" s="414"/>
      <c r="H52" s="1754" t="str">
        <f t="shared" ca="1" si="91"/>
        <v></v>
      </c>
      <c r="I52" s="1753" t="str">
        <f t="shared" ca="1" si="92"/>
        <v>i</v>
      </c>
      <c r="J52" s="1754" t="str">
        <f t="shared" ca="1" si="93"/>
        <v></v>
      </c>
      <c r="K52" s="1716" t="str">
        <f t="shared" ca="1" si="93"/>
        <v></v>
      </c>
      <c r="L52" s="1717" t="str">
        <f t="shared" ca="1" si="94"/>
        <v></v>
      </c>
      <c r="M52" s="366" t="str">
        <f t="shared" ca="1" si="95"/>
        <v>Unit</v>
      </c>
      <c r="N52" s="882">
        <v>2.5000000000000001E-2</v>
      </c>
      <c r="O52" s="882"/>
      <c r="P52" s="882">
        <f t="shared" ca="1" si="223"/>
        <v>2.7370549166820735E-2</v>
      </c>
      <c r="Q52" s="883"/>
      <c r="R52" s="883"/>
      <c r="S52" s="375">
        <f t="shared" ca="1" si="96"/>
        <v>-1.3821700069110003E-3</v>
      </c>
      <c r="T52" s="391">
        <f t="shared" si="191"/>
        <v>120</v>
      </c>
      <c r="U52" s="391">
        <f t="shared" ca="1" si="192"/>
        <v>-10.393138196997695</v>
      </c>
      <c r="V52" s="391">
        <f t="shared" ref="V52" si="271">SUMIF($AA$14:$AR$14,"O_Pos",AA52:AR52)</f>
        <v>0</v>
      </c>
      <c r="W52" s="367" t="str">
        <f t="shared" ca="1" si="100"/>
        <v>CHF</v>
      </c>
      <c r="X52" s="884">
        <f t="shared" ca="1" si="101"/>
        <v>144.5</v>
      </c>
      <c r="Y52" s="884"/>
      <c r="Z52" s="885">
        <f t="shared" ref="Z52" ca="1" si="272">_xlfn.NUMBERVALUE(OFFSET(Origine,MATCH(W52&amp;"/"&amp;MRif,LUKB_Name,0),MATCH("Price",Intestazioni,0)-1,1,1))</f>
        <v>1.0000001300000001</v>
      </c>
      <c r="AA52" s="197">
        <f>70+50</f>
        <v>120</v>
      </c>
      <c r="AB52" s="312">
        <f t="shared" ref="AB52" ca="1" si="273">IFERROR($X52/AC52-1,"")</f>
        <v>0.19710044874007604</v>
      </c>
      <c r="AC52" s="807">
        <v>120.70833333333333</v>
      </c>
      <c r="AD52" s="199">
        <f t="shared" ref="AD52" ca="1" si="274">AA52*$X52</f>
        <v>17340</v>
      </c>
      <c r="AE52" s="199">
        <f t="shared" ca="1" si="246"/>
        <v>17340.002254200001</v>
      </c>
      <c r="AF52" s="216">
        <f t="shared" ref="AF52" ca="1" si="275">IFERROR(AE52/AA$4,0)</f>
        <v>2.7370549166820735E-2</v>
      </c>
      <c r="AG52" s="404">
        <f t="shared" ca="1" si="247"/>
        <v>-10.393138196997695</v>
      </c>
      <c r="AH52" s="405">
        <f t="shared" ca="1" si="248"/>
        <v>-1501.808469466167</v>
      </c>
      <c r="AI52" s="405">
        <f t="shared" ref="AI52" ca="1" si="276">AJ52*AA$4</f>
        <v>-1501.8086647012683</v>
      </c>
      <c r="AJ52" s="406">
        <f t="shared" ref="AJ52" ca="1" si="277">$N52-AF52</f>
        <v>-2.3705491668207339E-3</v>
      </c>
      <c r="AK52" s="205"/>
      <c r="AL52" s="206">
        <f t="shared" ca="1" si="249"/>
        <v>0</v>
      </c>
      <c r="AM52" s="206">
        <f t="shared" ca="1" si="250"/>
        <v>0</v>
      </c>
      <c r="AN52" s="207">
        <f t="shared" ref="AN52" ca="1" si="278">IFERROR(AM52/AA$4,0)</f>
        <v>0</v>
      </c>
      <c r="AO52" s="391">
        <f t="shared" ref="AO52" si="279">AA52+AK52</f>
        <v>120</v>
      </c>
      <c r="AP52" s="391">
        <f t="shared" ref="AP52" ca="1" si="280">AD52+IF($R52="",AL52)</f>
        <v>17340</v>
      </c>
      <c r="AQ52" s="391">
        <f t="shared" ca="1" si="251"/>
        <v>17340.002254200001</v>
      </c>
      <c r="AR52" s="886">
        <f t="shared" ref="AR52" ca="1" si="281">IFERROR(AQ52/AA$4,0)</f>
        <v>2.7370549166820735E-2</v>
      </c>
    </row>
    <row r="53" spans="1:44" outlineLevel="2" x14ac:dyDescent="0.2">
      <c r="A53" s="367"/>
      <c r="B53" s="367"/>
      <c r="C53" s="367" t="str">
        <f t="shared" ca="1" si="89"/>
        <v>CH0111762537:CHF</v>
      </c>
      <c r="D53" s="368" t="str">
        <f t="shared" ca="1" si="90"/>
        <v>CH0111762537</v>
      </c>
      <c r="E53" s="369" t="str">
        <f t="shared" ca="1" si="90"/>
        <v>11176253</v>
      </c>
      <c r="F53" s="367" t="s">
        <v>516</v>
      </c>
      <c r="G53" s="414"/>
      <c r="H53" s="1754" t="str">
        <f t="shared" ca="1" si="91"/>
        <v></v>
      </c>
      <c r="I53" s="1753" t="str">
        <f t="shared" ca="1" si="92"/>
        <v>i</v>
      </c>
      <c r="J53" s="1754" t="str">
        <f t="shared" ca="1" si="93"/>
        <v></v>
      </c>
      <c r="K53" s="1716" t="str">
        <f t="shared" ca="1" si="93"/>
        <v></v>
      </c>
      <c r="L53" s="1717" t="str">
        <f t="shared" ca="1" si="94"/>
        <v></v>
      </c>
      <c r="M53" s="366" t="str">
        <f t="shared" ca="1" si="95"/>
        <v>Unit</v>
      </c>
      <c r="N53" s="882"/>
      <c r="O53" s="882"/>
      <c r="P53" s="882">
        <f t="shared" ca="1" si="223"/>
        <v>0</v>
      </c>
      <c r="Q53" s="883"/>
      <c r="R53" s="883"/>
      <c r="S53" s="375">
        <f t="shared" ca="1" si="96"/>
        <v>-2.9546531837573001E-2</v>
      </c>
      <c r="T53" s="391">
        <f t="shared" si="191"/>
        <v>0</v>
      </c>
      <c r="U53" s="391">
        <f t="shared" ca="1" si="192"/>
        <v>0</v>
      </c>
      <c r="V53" s="391">
        <f>SUMIF($AA$14:$AR$14,"O_Pos",AA53:AR53)</f>
        <v>0</v>
      </c>
      <c r="W53" s="367" t="str">
        <f t="shared" ca="1" si="100"/>
        <v>CHF</v>
      </c>
      <c r="X53" s="884">
        <f t="shared" ca="1" si="101"/>
        <v>307.10000000000002</v>
      </c>
      <c r="Y53" s="884"/>
      <c r="Z53" s="885">
        <f t="shared" ca="1" si="194"/>
        <v>1.0000001300000001</v>
      </c>
      <c r="AA53" s="197"/>
      <c r="AB53" s="312" t="str">
        <f t="shared" ca="1" si="195"/>
        <v/>
      </c>
      <c r="AC53" s="807"/>
      <c r="AD53" s="199">
        <f ca="1">AA53*$X53</f>
        <v>0</v>
      </c>
      <c r="AE53" s="199">
        <f t="shared" ca="1" si="197"/>
        <v>0</v>
      </c>
      <c r="AF53" s="216">
        <f t="shared" ref="AF53:AF56" ca="1" si="282">IFERROR(AE53/AA$4,0)</f>
        <v>0</v>
      </c>
      <c r="AG53" s="404">
        <f t="shared" ca="1" si="199"/>
        <v>0</v>
      </c>
      <c r="AH53" s="405">
        <f t="shared" ca="1" si="200"/>
        <v>0</v>
      </c>
      <c r="AI53" s="405">
        <f ca="1">AJ53*AA$4</f>
        <v>0</v>
      </c>
      <c r="AJ53" s="406">
        <f t="shared" ca="1" si="202"/>
        <v>0</v>
      </c>
      <c r="AK53" s="205"/>
      <c r="AL53" s="206">
        <f t="shared" ca="1" si="203"/>
        <v>0</v>
      </c>
      <c r="AM53" s="206">
        <f t="shared" ca="1" si="204"/>
        <v>0</v>
      </c>
      <c r="AN53" s="207">
        <f t="shared" ref="AN53:AN56" ca="1" si="283">IFERROR(AM53/AA$4,0)</f>
        <v>0</v>
      </c>
      <c r="AO53" s="391">
        <f>AA53+AK53</f>
        <v>0</v>
      </c>
      <c r="AP53" s="391">
        <f t="shared" ca="1" si="54"/>
        <v>0</v>
      </c>
      <c r="AQ53" s="391">
        <f t="shared" ca="1" si="207"/>
        <v>0</v>
      </c>
      <c r="AR53" s="886">
        <f t="shared" ref="AR53:AR56" ca="1" si="284">IFERROR(AQ53/AA$4,0)</f>
        <v>0</v>
      </c>
    </row>
    <row r="54" spans="1:44" outlineLevel="2" x14ac:dyDescent="0.2">
      <c r="A54" s="367"/>
      <c r="B54" s="367"/>
      <c r="C54" s="367" t="str">
        <f t="shared" ca="1" si="89"/>
        <v>CH0017142719:CHF</v>
      </c>
      <c r="D54" s="368" t="str">
        <f t="shared" ca="1" si="90"/>
        <v>CH0017142719</v>
      </c>
      <c r="E54" s="369" t="str">
        <f t="shared" ca="1" si="90"/>
        <v>1714271</v>
      </c>
      <c r="F54" s="367" t="s">
        <v>406</v>
      </c>
      <c r="G54" s="414"/>
      <c r="H54" s="1754" t="str">
        <f t="shared" ca="1" si="91"/>
        <v></v>
      </c>
      <c r="I54" s="1753" t="str">
        <f t="shared" ca="1" si="92"/>
        <v>i</v>
      </c>
      <c r="J54" s="1754" t="str">
        <f t="shared" ca="1" si="93"/>
        <v></v>
      </c>
      <c r="K54" s="1716" t="str">
        <f t="shared" ca="1" si="93"/>
        <v></v>
      </c>
      <c r="L54" s="1717" t="str">
        <f t="shared" ca="1" si="94"/>
        <v></v>
      </c>
      <c r="M54" s="366" t="str">
        <f t="shared" ca="1" si="95"/>
        <v>Unit</v>
      </c>
      <c r="N54" s="882">
        <v>2.5000000000000001E-2</v>
      </c>
      <c r="O54" s="882"/>
      <c r="P54" s="882">
        <f t="shared" ca="1" si="223"/>
        <v>0</v>
      </c>
      <c r="Q54" s="883"/>
      <c r="R54" s="883"/>
      <c r="S54" s="375">
        <f t="shared" ca="1" si="96"/>
        <v>-3.0810734062189499E-2</v>
      </c>
      <c r="T54" s="391">
        <f t="shared" si="191"/>
        <v>0</v>
      </c>
      <c r="U54" s="391">
        <f t="shared" ca="1" si="192"/>
        <v>116.01370883778077</v>
      </c>
      <c r="V54" s="391">
        <f>SUMIF($AA$14:$AR$14,"O_Pos",AA54:AR54)</f>
        <v>0</v>
      </c>
      <c r="W54" s="367" t="str">
        <f t="shared" ca="1" si="100"/>
        <v>CHF</v>
      </c>
      <c r="X54" s="884">
        <f t="shared" ca="1" si="101"/>
        <v>136.52000000000001</v>
      </c>
      <c r="Y54" s="884"/>
      <c r="Z54" s="885">
        <f t="shared" ca="1" si="194"/>
        <v>1.0000001300000001</v>
      </c>
      <c r="AA54" s="197">
        <f>100+150+-150+-100</f>
        <v>0</v>
      </c>
      <c r="AB54" s="312" t="str">
        <f t="shared" ca="1" si="195"/>
        <v/>
      </c>
      <c r="AC54" s="807"/>
      <c r="AD54" s="199">
        <f ca="1">AA54*$X54</f>
        <v>0</v>
      </c>
      <c r="AE54" s="199">
        <f t="shared" ca="1" si="197"/>
        <v>0</v>
      </c>
      <c r="AF54" s="216">
        <f t="shared" ca="1" si="282"/>
        <v>0</v>
      </c>
      <c r="AG54" s="404">
        <f t="shared" ca="1" si="199"/>
        <v>116.01370883778077</v>
      </c>
      <c r="AH54" s="405">
        <f t="shared" ca="1" si="200"/>
        <v>15838.191530533832</v>
      </c>
      <c r="AI54" s="405">
        <f ca="1">AJ54*AA$4</f>
        <v>15838.193589498733</v>
      </c>
      <c r="AJ54" s="406">
        <f t="shared" ca="1" si="202"/>
        <v>2.5000000000000001E-2</v>
      </c>
      <c r="AK54" s="205"/>
      <c r="AL54" s="206">
        <f t="shared" ca="1" si="203"/>
        <v>0</v>
      </c>
      <c r="AM54" s="206">
        <f t="shared" ca="1" si="204"/>
        <v>0</v>
      </c>
      <c r="AN54" s="207">
        <f t="shared" ca="1" si="283"/>
        <v>0</v>
      </c>
      <c r="AO54" s="391">
        <f>AA54+AK54</f>
        <v>0</v>
      </c>
      <c r="AP54" s="391">
        <f t="shared" ca="1" si="54"/>
        <v>0</v>
      </c>
      <c r="AQ54" s="391">
        <f t="shared" ca="1" si="207"/>
        <v>0</v>
      </c>
      <c r="AR54" s="886">
        <f t="shared" ca="1" si="284"/>
        <v>0</v>
      </c>
    </row>
    <row r="55" spans="1:44" outlineLevel="1" x14ac:dyDescent="0.2">
      <c r="A55" s="346"/>
      <c r="B55" s="346" t="s">
        <v>403</v>
      </c>
      <c r="C55" s="346"/>
      <c r="D55" s="347"/>
      <c r="E55" s="348"/>
      <c r="F55" s="346"/>
      <c r="G55" s="349"/>
      <c r="H55" s="1750"/>
      <c r="I55" s="1750"/>
      <c r="J55" s="1750"/>
      <c r="K55" s="1750"/>
      <c r="L55" s="1750"/>
      <c r="M55" s="345"/>
      <c r="N55" s="352">
        <f>SUM(N$57:N$63)</f>
        <v>0.08</v>
      </c>
      <c r="O55" s="352"/>
      <c r="P55" s="352">
        <f t="shared" ca="1" si="223"/>
        <v>0.11067807424861635</v>
      </c>
      <c r="Q55" s="871" t="s">
        <v>718</v>
      </c>
      <c r="R55" s="871"/>
      <c r="S55" s="352"/>
      <c r="T55" s="421"/>
      <c r="U55" s="421"/>
      <c r="V55" s="872"/>
      <c r="W55" s="346"/>
      <c r="X55" s="873"/>
      <c r="Y55" s="873"/>
      <c r="Z55" s="874"/>
      <c r="AA55" s="357"/>
      <c r="AB55" s="359"/>
      <c r="AC55" s="875"/>
      <c r="AD55" s="359"/>
      <c r="AE55" s="360">
        <f ca="1">SUM(AE$57:AE$63)</f>
        <v>70117.630642500008</v>
      </c>
      <c r="AF55" s="361">
        <f t="shared" ca="1" si="282"/>
        <v>0.11067807424861635</v>
      </c>
      <c r="AG55" s="362"/>
      <c r="AH55" s="359"/>
      <c r="AI55" s="360">
        <f ca="1">SUM(AI$57:AI$63)</f>
        <v>-19435.411156104055</v>
      </c>
      <c r="AJ55" s="363">
        <f ca="1">IFERROR(AI55/AA$4,0)</f>
        <v>-3.0678074248616339E-2</v>
      </c>
      <c r="AK55" s="362"/>
      <c r="AL55" s="359"/>
      <c r="AM55" s="360">
        <f ca="1">SUM(AM$57:AM$63)</f>
        <v>0</v>
      </c>
      <c r="AN55" s="363">
        <f t="shared" ca="1" si="283"/>
        <v>0</v>
      </c>
      <c r="AO55" s="359"/>
      <c r="AP55" s="359"/>
      <c r="AQ55" s="360">
        <f ca="1">SUM(AQ$57:AQ$63)</f>
        <v>70117.630642500008</v>
      </c>
      <c r="AR55" s="876">
        <f t="shared" ca="1" si="284"/>
        <v>0.11067807424861635</v>
      </c>
    </row>
    <row r="56" spans="1:44" outlineLevel="2" x14ac:dyDescent="0.2">
      <c r="A56" s="367"/>
      <c r="B56" s="367"/>
      <c r="C56" s="367" t="str">
        <f t="shared" ref="C56:C63" ca="1" si="285">OFFSET(Origine,MATCH($F56,Descrizioni,0),MATCH(C$14,Intestazioni,0)-1,1,1)</f>
        <v>FR0000121972:EUR</v>
      </c>
      <c r="D56" s="368" t="str">
        <f t="shared" ref="D56:E63" ca="1" si="286">OFFSET(Origine,MATCH($F56,Descrizioni,0),MATCH(D$14,Intestazioni,0)-1,1,1)</f>
        <v>FR0000121972</v>
      </c>
      <c r="E56" s="369" t="str">
        <f t="shared" ca="1" si="286"/>
        <v>509120</v>
      </c>
      <c r="F56" s="367" t="s">
        <v>3892</v>
      </c>
      <c r="G56" s="414"/>
      <c r="H56" s="1754" t="str">
        <f t="shared" ref="H56:H63" ca="1" si="287">HYPERLINK(OFFSET(Origine,MATCH($F56,Descrizioni,0),MATCH(H$14,Intestazioni,0)-1,1,1),"")</f>
        <v></v>
      </c>
      <c r="I56" s="1753" t="str">
        <f t="shared" ref="I56:I63" ca="1" si="288">HYPERLINK(OFFSET(Origine,MATCH($F56,Descrizioni,0),MATCH(I$14,Intestazioni,0)-1,1,1),"i")</f>
        <v>i</v>
      </c>
      <c r="J56" s="1754" t="str">
        <f t="shared" ref="J56:K63" ca="1" si="289">HYPERLINK(OFFSET(Origine,MATCH($F56,Descrizioni,0),MATCH(J$14,Intestazioni,0)-1,1,1),"")</f>
        <v></v>
      </c>
      <c r="K56" s="1716" t="str">
        <f t="shared" ca="1" si="289"/>
        <v></v>
      </c>
      <c r="L56" s="1717" t="str">
        <f t="shared" ref="L56:L63" ca="1" si="290">IFERROR(HYPERLINK("https://www.zonebourse.com/mods_a/charts/TV/inc_dyna_graph.php?c="&amp;OFFSET(Origine,MATCH($F56,Descrizioni,0),MATCH(L$14,Intestazioni,0)-1,1,1)&amp;"&amp;style=TradingView.CANDLES&amp;showAT=1",""),"")</f>
        <v></v>
      </c>
      <c r="M56" s="366" t="str">
        <f t="shared" ref="M56:M63" ca="1" si="291">(OFFSET(Origine,MATCH($F56,Descrizioni,0),MATCH(M$14,Intestazioni,0)-1,1,1))</f>
        <v>Unit</v>
      </c>
      <c r="N56" s="882">
        <v>0.02</v>
      </c>
      <c r="O56" s="882"/>
      <c r="P56" s="882">
        <f t="shared" ca="1" si="223"/>
        <v>0</v>
      </c>
      <c r="Q56" s="883"/>
      <c r="R56" s="883"/>
      <c r="S56" s="375">
        <f t="shared" ca="1" si="96"/>
        <v>-3.2345500542103396E-2</v>
      </c>
      <c r="T56" s="391">
        <f t="shared" ref="T56" si="292">SUMIF($AA$14:$AR$14,"I_Pos",AA56:AR56)</f>
        <v>0</v>
      </c>
      <c r="U56" s="391">
        <f t="shared" ref="U56" ca="1" si="293">SUMIF($AA$14:$AR$14,"P_Pos",AA56:AR56)</f>
        <v>52.142949465577153</v>
      </c>
      <c r="V56" s="391">
        <f t="shared" ref="V56" si="294">SUMIF($AA$14:$AR$14,"O_Pos",AA56:AR56)</f>
        <v>0</v>
      </c>
      <c r="W56" s="367" t="str">
        <f t="shared" ref="W56:W63" ca="1" si="295">OFFSET(Origine,MATCH($F56,Descrizioni,0),MATCH(W$14,Intestazioni,0)-1,1,1)</f>
        <v>EUR</v>
      </c>
      <c r="X56" s="887">
        <f t="shared" ref="X56:X63" ca="1" si="296">_xlfn.NUMBERVALUE(OFFSET(Origine,MATCH($F56,Descrizioni,0),MATCH(X$14,Intestazioni,0)-1,1,1))</f>
        <v>267.75</v>
      </c>
      <c r="Y56" s="887"/>
      <c r="Z56" s="885">
        <f t="shared" ref="Z56" ca="1" si="297">_xlfn.NUMBERVALUE(OFFSET(Origine,MATCH(W56&amp;"/"&amp;MRif,LUKB_Name,0),MATCH("Price",Intestazioni,0)-1,1,1))</f>
        <v>0.90754999999999997</v>
      </c>
      <c r="AA56" s="197"/>
      <c r="AB56" s="312" t="str">
        <f t="shared" ref="AB56" ca="1" si="298">IFERROR($X56/AC56-1,"")</f>
        <v/>
      </c>
      <c r="AC56" s="807"/>
      <c r="AD56" s="199">
        <f t="shared" ref="AD56" ca="1" si="299">AA56*$X56</f>
        <v>0</v>
      </c>
      <c r="AE56" s="199">
        <f t="shared" ref="AE56" ca="1" si="300">AD56*$Z56</f>
        <v>0</v>
      </c>
      <c r="AF56" s="216">
        <f t="shared" ca="1" si="282"/>
        <v>0</v>
      </c>
      <c r="AG56" s="404">
        <f t="shared" ref="AG56" ca="1" si="301">AH56/$X56</f>
        <v>52.142949465577153</v>
      </c>
      <c r="AH56" s="405">
        <f t="shared" ref="AH56" ca="1" si="302">AI56/$Z56</f>
        <v>13961.274719408282</v>
      </c>
      <c r="AI56" s="405">
        <f t="shared" ref="AI56" ca="1" si="303">AJ56*AA$4</f>
        <v>12670.554871598986</v>
      </c>
      <c r="AJ56" s="406">
        <f t="shared" ref="AJ56" ca="1" si="304">$N56-AF56</f>
        <v>0.02</v>
      </c>
      <c r="AK56" s="205"/>
      <c r="AL56" s="206">
        <f t="shared" ref="AL56" ca="1" si="305">AK56*$X56</f>
        <v>0</v>
      </c>
      <c r="AM56" s="206">
        <f t="shared" ref="AM56" ca="1" si="306">AL56*$Z56</f>
        <v>0</v>
      </c>
      <c r="AN56" s="207">
        <f t="shared" ca="1" si="283"/>
        <v>0</v>
      </c>
      <c r="AO56" s="391">
        <f t="shared" ref="AO56" si="307">AA56+AK56</f>
        <v>0</v>
      </c>
      <c r="AP56" s="391">
        <f t="shared" ref="AP56" ca="1" si="308">AD56+IF($R56="",AL56)</f>
        <v>0</v>
      </c>
      <c r="AQ56" s="391">
        <f t="shared" ref="AQ56" ca="1" si="309">AP56*$Z56</f>
        <v>0</v>
      </c>
      <c r="AR56" s="886">
        <f t="shared" ca="1" si="284"/>
        <v>0</v>
      </c>
    </row>
    <row r="57" spans="1:44" outlineLevel="2" x14ac:dyDescent="0.2">
      <c r="A57" s="367"/>
      <c r="B57" s="367"/>
      <c r="C57" s="367" t="str">
        <f t="shared" ca="1" si="285"/>
        <v>FR0000125486:EUR:CBUA</v>
      </c>
      <c r="D57" s="368" t="str">
        <f t="shared" ca="1" si="286"/>
        <v>FR0000125486</v>
      </c>
      <c r="E57" s="369" t="str">
        <f t="shared" ca="1" si="286"/>
        <v>508670</v>
      </c>
      <c r="F57" s="367" t="s">
        <v>426</v>
      </c>
      <c r="G57" s="414"/>
      <c r="H57" s="1754" t="str">
        <f t="shared" ca="1" si="287"/>
        <v></v>
      </c>
      <c r="I57" s="1753" t="str">
        <f t="shared" ca="1" si="288"/>
        <v>i</v>
      </c>
      <c r="J57" s="1754" t="str">
        <f t="shared" ca="1" si="289"/>
        <v></v>
      </c>
      <c r="K57" s="1716" t="str">
        <f t="shared" ca="1" si="289"/>
        <v></v>
      </c>
      <c r="L57" s="1717" t="str">
        <f t="shared" ca="1" si="290"/>
        <v></v>
      </c>
      <c r="M57" s="366" t="str">
        <f t="shared" ca="1" si="291"/>
        <v>Unit</v>
      </c>
      <c r="N57" s="882">
        <v>0.02</v>
      </c>
      <c r="O57" s="882"/>
      <c r="P57" s="882">
        <f t="shared" ca="1" si="223"/>
        <v>1.7160324169178304E-2</v>
      </c>
      <c r="Q57" s="883"/>
      <c r="R57" s="883"/>
      <c r="S57" s="375">
        <f t="shared" ca="1" si="96"/>
        <v>-3.65544697792256E-2</v>
      </c>
      <c r="T57" s="391">
        <f t="shared" ref="T57" si="310">SUMIF($AA$14:$AR$14,"I_Pos",AA57:AR57)</f>
        <v>90</v>
      </c>
      <c r="U57" s="391">
        <f t="shared" ref="U57" ca="1" si="311">SUMIF($AA$14:$AR$14,"P_Pos",AA57:AR57)</f>
        <v>14.893123361444648</v>
      </c>
      <c r="V57" s="391">
        <f t="shared" ref="V57" si="312">SUMIF($AA$14:$AR$14,"O_Pos",AA57:AR57)</f>
        <v>0</v>
      </c>
      <c r="W57" s="367" t="str">
        <f t="shared" ca="1" si="295"/>
        <v>EUR</v>
      </c>
      <c r="X57" s="887">
        <f t="shared" ca="1" si="296"/>
        <v>133.1</v>
      </c>
      <c r="Y57" s="887"/>
      <c r="Z57" s="885">
        <f t="shared" ref="Z57" ca="1" si="313">_xlfn.NUMBERVALUE(OFFSET(Origine,MATCH(W57&amp;"/"&amp;MRif,LUKB_Name,0),MATCH("Price",Intestazioni,0)-1,1,1))</f>
        <v>0.90754999999999997</v>
      </c>
      <c r="AA57" s="197">
        <f>90</f>
        <v>90</v>
      </c>
      <c r="AB57" s="312">
        <f t="shared" ref="AB57" ca="1" si="314">IFERROR($X57/AC57-1,"")</f>
        <v>8.1674116212921533E-2</v>
      </c>
      <c r="AC57" s="807">
        <v>123.05</v>
      </c>
      <c r="AD57" s="199">
        <f t="shared" ref="AD57" ca="1" si="315">AA57*$X57</f>
        <v>11979</v>
      </c>
      <c r="AE57" s="199">
        <f t="shared" ref="AE57" ca="1" si="316">AD57*$Z57</f>
        <v>10871.541449999999</v>
      </c>
      <c r="AF57" s="216">
        <f t="shared" ref="AF57" ca="1" si="317">IFERROR(AE57/AA$4,0)</f>
        <v>1.7160324169178304E-2</v>
      </c>
      <c r="AG57" s="404">
        <f t="shared" ref="AG57" ca="1" si="318">AH57/$X57</f>
        <v>14.893123361444648</v>
      </c>
      <c r="AH57" s="405">
        <f t="shared" ref="AH57" ca="1" si="319">AI57/$Z57</f>
        <v>1982.2747194082824</v>
      </c>
      <c r="AI57" s="405">
        <f t="shared" ref="AI57" ca="1" si="320">AJ57*AA$4</f>
        <v>1799.0134215989867</v>
      </c>
      <c r="AJ57" s="406">
        <f t="shared" ref="AJ57" ca="1" si="321">$N57-AF57</f>
        <v>2.839675830821696E-3</v>
      </c>
      <c r="AK57" s="205"/>
      <c r="AL57" s="206">
        <f t="shared" ref="AL57" ca="1" si="322">AK57*$X57</f>
        <v>0</v>
      </c>
      <c r="AM57" s="206">
        <f t="shared" ref="AM57" ca="1" si="323">AL57*$Z57</f>
        <v>0</v>
      </c>
      <c r="AN57" s="207">
        <f t="shared" ref="AN57" ca="1" si="324">IFERROR(AM57/AA$4,0)</f>
        <v>0</v>
      </c>
      <c r="AO57" s="391">
        <f t="shared" ref="AO57" si="325">AA57+AK57</f>
        <v>90</v>
      </c>
      <c r="AP57" s="391">
        <f t="shared" ref="AP57" ca="1" si="326">AD57+IF($R57="",AL57)</f>
        <v>11979</v>
      </c>
      <c r="AQ57" s="391">
        <f t="shared" ref="AQ57" ca="1" si="327">AP57*$Z57</f>
        <v>10871.541449999999</v>
      </c>
      <c r="AR57" s="886">
        <f t="shared" ref="AR57" ca="1" si="328">IFERROR(AQ57/AA$4,0)</f>
        <v>1.7160324169178304E-2</v>
      </c>
    </row>
    <row r="58" spans="1:44" outlineLevel="2" x14ac:dyDescent="0.2">
      <c r="A58" s="367"/>
      <c r="B58" s="367"/>
      <c r="C58" s="367" t="str">
        <f t="shared" ca="1" si="285"/>
        <v>DE000A0H08K7:EUR:STU</v>
      </c>
      <c r="D58" s="368" t="str">
        <f t="shared" ca="1" si="286"/>
        <v>DE000A0H08K7</v>
      </c>
      <c r="E58" s="369" t="str">
        <f t="shared" ca="1" si="286"/>
        <v>12980686</v>
      </c>
      <c r="F58" s="367" t="s">
        <v>438</v>
      </c>
      <c r="G58" s="414"/>
      <c r="H58" s="1754" t="str">
        <f t="shared" ca="1" si="287"/>
        <v></v>
      </c>
      <c r="I58" s="1753" t="str">
        <f t="shared" ca="1" si="288"/>
        <v>i</v>
      </c>
      <c r="J58" s="1754" t="str">
        <f t="shared" ca="1" si="289"/>
        <v></v>
      </c>
      <c r="K58" s="1716" t="str">
        <f t="shared" ca="1" si="289"/>
        <v></v>
      </c>
      <c r="L58" s="1717" t="str">
        <f t="shared" ca="1" si="290"/>
        <v></v>
      </c>
      <c r="M58" s="366" t="str">
        <f t="shared" ca="1" si="291"/>
        <v>Unit</v>
      </c>
      <c r="N58" s="882">
        <v>0.02</v>
      </c>
      <c r="O58" s="882"/>
      <c r="P58" s="882">
        <f t="shared" ca="1" si="223"/>
        <v>1.5767399784346471E-2</v>
      </c>
      <c r="Q58" s="883"/>
      <c r="R58" s="883"/>
      <c r="S58" s="375">
        <f t="shared" ca="1" si="96"/>
        <v>-4.6637309847878304E-2</v>
      </c>
      <c r="T58" s="391">
        <f t="shared" ref="T58:T63" si="329">SUMIF($AA$14:$AR$14,"I_Pos",AA58:AR58)</f>
        <v>230</v>
      </c>
      <c r="U58" s="391">
        <f t="shared" ref="U58:U63" ca="1" si="330">SUMIF($AA$14:$AR$14,"P_Pos",AA58:AR58)</f>
        <v>61.741191503673235</v>
      </c>
      <c r="V58" s="391">
        <f t="shared" ref="V58:V63" si="331">SUMIF($AA$14:$AR$14,"O_Pos",AA58:AR58)</f>
        <v>0</v>
      </c>
      <c r="W58" s="367" t="str">
        <f t="shared" ca="1" si="295"/>
        <v>EUR</v>
      </c>
      <c r="X58" s="887">
        <f t="shared" ca="1" si="296"/>
        <v>47.854999999999997</v>
      </c>
      <c r="Y58" s="887"/>
      <c r="Z58" s="885">
        <f t="shared" ref="Z58:Z63" ca="1" si="332">_xlfn.NUMBERVALUE(OFFSET(Origine,MATCH(W58&amp;"/"&amp;MRif,LUKB_Name,0),MATCH("Price",Intestazioni,0)-1,1,1))</f>
        <v>0.90754999999999997</v>
      </c>
      <c r="AA58" s="197">
        <f>230</f>
        <v>230</v>
      </c>
      <c r="AB58" s="312">
        <f t="shared" ref="AB58:AB63" ca="1" si="333">IFERROR($X58/AC58-1,"")</f>
        <v>9.7930193349355932E-3</v>
      </c>
      <c r="AC58" s="807">
        <v>47.390900000000002</v>
      </c>
      <c r="AD58" s="199">
        <f t="shared" ref="AD58:AD63" ca="1" si="334">AA58*$X58</f>
        <v>11006.65</v>
      </c>
      <c r="AE58" s="199">
        <f t="shared" ref="AE58:AE63" ca="1" si="335">AD58*$Z58</f>
        <v>9989.0852074999984</v>
      </c>
      <c r="AF58" s="216">
        <f t="shared" ref="AF58:AF118" ca="1" si="336">IFERROR(AE58/AA$4,0)</f>
        <v>1.5767399784346471E-2</v>
      </c>
      <c r="AG58" s="404">
        <f t="shared" ref="AG58:AG63" ca="1" si="337">AH58/$X58</f>
        <v>61.741191503673235</v>
      </c>
      <c r="AH58" s="405">
        <f t="shared" ref="AH58:AH63" ca="1" si="338">AI58/$Z58</f>
        <v>2954.6247194082825</v>
      </c>
      <c r="AI58" s="405">
        <f t="shared" ref="AI58:AI63" ca="1" si="339">AJ58*AA$4</f>
        <v>2681.4696640989869</v>
      </c>
      <c r="AJ58" s="406">
        <f t="shared" ref="AJ58:AJ63" ca="1" si="340">$N58-AF58</f>
        <v>4.2326002156535293E-3</v>
      </c>
      <c r="AK58" s="205"/>
      <c r="AL58" s="206">
        <f t="shared" ref="AL58:AL63" ca="1" si="341">AK58*$X58</f>
        <v>0</v>
      </c>
      <c r="AM58" s="206">
        <f t="shared" ref="AM58:AM63" ca="1" si="342">AL58*$Z58</f>
        <v>0</v>
      </c>
      <c r="AN58" s="207">
        <f t="shared" ref="AN58:AN118" ca="1" si="343">IFERROR(AM58/AA$4,0)</f>
        <v>0</v>
      </c>
      <c r="AO58" s="391">
        <f t="shared" ref="AO58:AO63" si="344">AA58+AK58</f>
        <v>230</v>
      </c>
      <c r="AP58" s="391">
        <f t="shared" ca="1" si="54"/>
        <v>11006.65</v>
      </c>
      <c r="AQ58" s="391">
        <f t="shared" ref="AQ58:AQ63" ca="1" si="345">AP58*$Z58</f>
        <v>9989.0852074999984</v>
      </c>
      <c r="AR58" s="886">
        <f t="shared" ref="AR58:AR118" ca="1" si="346">IFERROR(AQ58/AA$4,0)</f>
        <v>1.5767399784346471E-2</v>
      </c>
    </row>
    <row r="59" spans="1:44" outlineLevel="2" x14ac:dyDescent="0.2">
      <c r="A59" s="367"/>
      <c r="B59" s="367"/>
      <c r="C59" s="367" t="str">
        <f t="shared" ca="1" si="285"/>
        <v>DE000A0H08F7:EUR:STU</v>
      </c>
      <c r="D59" s="368" t="str">
        <f t="shared" ca="1" si="286"/>
        <v>DE000A0H08F7</v>
      </c>
      <c r="E59" s="369" t="str">
        <f t="shared" ca="1" si="286"/>
        <v>12980561</v>
      </c>
      <c r="F59" s="367" t="s">
        <v>2802</v>
      </c>
      <c r="G59" s="414"/>
      <c r="H59" s="1754" t="str">
        <f t="shared" ca="1" si="287"/>
        <v></v>
      </c>
      <c r="I59" s="1753" t="str">
        <f t="shared" ca="1" si="288"/>
        <v>i</v>
      </c>
      <c r="J59" s="1754" t="str">
        <f t="shared" ca="1" si="289"/>
        <v></v>
      </c>
      <c r="K59" s="1716" t="str">
        <f t="shared" ca="1" si="289"/>
        <v></v>
      </c>
      <c r="L59" s="1717" t="str">
        <f t="shared" ca="1" si="290"/>
        <v></v>
      </c>
      <c r="M59" s="366" t="str">
        <f t="shared" ca="1" si="291"/>
        <v>Unit</v>
      </c>
      <c r="N59" s="882">
        <v>0.02</v>
      </c>
      <c r="O59" s="882"/>
      <c r="P59" s="882">
        <f t="shared" ca="1" si="223"/>
        <v>1.7440098049321937E-2</v>
      </c>
      <c r="Q59" s="883"/>
      <c r="R59" s="883"/>
      <c r="S59" s="375">
        <f t="shared" ca="1" si="96"/>
        <v>-3.46203623813632E-2</v>
      </c>
      <c r="T59" s="391">
        <f t="shared" ref="T59" si="347">SUMIF($AA$14:$AR$14,"I_Pos",AA59:AR59)</f>
        <v>135</v>
      </c>
      <c r="U59" s="391">
        <f t="shared" ref="U59" ca="1" si="348">SUMIF($AA$14:$AR$14,"P_Pos",AA59:AR59)</f>
        <v>19.815643373345306</v>
      </c>
      <c r="V59" s="391">
        <f t="shared" si="331"/>
        <v>0</v>
      </c>
      <c r="W59" s="367" t="str">
        <f t="shared" ca="1" si="295"/>
        <v>EUR</v>
      </c>
      <c r="X59" s="887">
        <f t="shared" ca="1" si="296"/>
        <v>90.18</v>
      </c>
      <c r="Y59" s="887"/>
      <c r="Z59" s="885">
        <f t="shared" ca="1" si="332"/>
        <v>0.90754999999999997</v>
      </c>
      <c r="AA59" s="197">
        <f>135</f>
        <v>135</v>
      </c>
      <c r="AB59" s="312">
        <f t="shared" ca="1" si="333"/>
        <v>6.1315758503001083E-2</v>
      </c>
      <c r="AC59" s="807">
        <v>84.97</v>
      </c>
      <c r="AD59" s="199">
        <f t="shared" ca="1" si="334"/>
        <v>12174.300000000001</v>
      </c>
      <c r="AE59" s="199">
        <f t="shared" ca="1" si="335"/>
        <v>11048.785965000001</v>
      </c>
      <c r="AF59" s="216">
        <f t="shared" ca="1" si="336"/>
        <v>1.7440098049321937E-2</v>
      </c>
      <c r="AG59" s="404">
        <f t="shared" ca="1" si="337"/>
        <v>19.815643373345306</v>
      </c>
      <c r="AH59" s="405">
        <f t="shared" ca="1" si="338"/>
        <v>1786.97471940828</v>
      </c>
      <c r="AI59" s="405">
        <f t="shared" ca="1" si="339"/>
        <v>1621.7689065989844</v>
      </c>
      <c r="AJ59" s="406">
        <f t="shared" ca="1" si="340"/>
        <v>2.5599019506780639E-3</v>
      </c>
      <c r="AK59" s="205"/>
      <c r="AL59" s="206">
        <f t="shared" ca="1" si="341"/>
        <v>0</v>
      </c>
      <c r="AM59" s="206">
        <f t="shared" ca="1" si="342"/>
        <v>0</v>
      </c>
      <c r="AN59" s="207">
        <f t="shared" ca="1" si="343"/>
        <v>0</v>
      </c>
      <c r="AO59" s="391">
        <f t="shared" si="344"/>
        <v>135</v>
      </c>
      <c r="AP59" s="391">
        <f t="shared" ca="1" si="54"/>
        <v>12174.300000000001</v>
      </c>
      <c r="AQ59" s="391">
        <f t="shared" ca="1" si="345"/>
        <v>11048.785965000001</v>
      </c>
      <c r="AR59" s="886">
        <f t="shared" ca="1" si="346"/>
        <v>1.7440098049321937E-2</v>
      </c>
    </row>
    <row r="60" spans="1:44" outlineLevel="2" x14ac:dyDescent="0.2">
      <c r="A60" s="367"/>
      <c r="B60" s="367"/>
      <c r="C60" s="367" t="str">
        <f t="shared" ref="C60:E61" ca="1" si="349">OFFSET(Origine,MATCH($F60,Descrizioni,0),MATCH(C$14,Intestazioni,0)-1,1,1)</f>
        <v>DE000A0H08J9:EUR:STU</v>
      </c>
      <c r="D60" s="368" t="str">
        <f t="shared" ca="1" si="349"/>
        <v>DE000A0H08J9</v>
      </c>
      <c r="E60" s="369" t="str">
        <f t="shared" ca="1" si="349"/>
        <v>12980675</v>
      </c>
      <c r="F60" s="367" t="s">
        <v>2943</v>
      </c>
      <c r="G60" s="414"/>
      <c r="H60" s="1713" t="str">
        <f t="shared" ca="1" si="287"/>
        <v></v>
      </c>
      <c r="I60" s="1683" t="str">
        <f ca="1">HYPERLINK(OFFSET(Origine,MATCH($F60,Descrizioni,0),MATCH(I$14,Intestazioni,0)-1,1,1),"i")</f>
        <v>i</v>
      </c>
      <c r="J60" s="1713" t="str">
        <f ca="1">HYPERLINK(OFFSET(Origine,MATCH($F60,Descrizioni,0),MATCH(J$14,Intestazioni,0)-1,1,1),"")</f>
        <v></v>
      </c>
      <c r="K60" s="1714" t="str">
        <f ca="1">HYPERLINK(OFFSET(Origine,MATCH($F60,Descrizioni,0),MATCH(K$14,Intestazioni,0)-1,1,1),"")</f>
        <v></v>
      </c>
      <c r="L60" s="1715" t="str">
        <f ca="1">IFERROR(HYPERLINK("https://www.zonebourse.com/mods_a/charts/TV/inc_dyna_graph.php?c="&amp;OFFSET(Origine,MATCH($F60,Descrizioni,0),MATCH(L$14,Intestazioni,0)-1,1,1)&amp;"&amp;style=TradingView.CANDLES&amp;showAT=1",""),"")</f>
        <v></v>
      </c>
      <c r="M60" s="366" t="str">
        <f ca="1">(OFFSET(Origine,MATCH($F60,Descrizioni,0),MATCH(M$14,Intestazioni,0)-1,1,1))</f>
        <v>Unit</v>
      </c>
      <c r="N60" s="882">
        <v>0.02</v>
      </c>
      <c r="O60" s="882"/>
      <c r="P60" s="882">
        <f t="shared" ca="1" si="223"/>
        <v>1.8483985537599775E-2</v>
      </c>
      <c r="Q60" s="883"/>
      <c r="R60" s="883"/>
      <c r="S60" s="375">
        <f ca="1">OFFSET(Origine,MATCH($F60,Descrizioni,0),MATCH(S$14,Intestazioni,0)-1,1,1)</f>
        <v>-3.4458993797381196E-2</v>
      </c>
      <c r="T60" s="374">
        <f>SUMIF($AA$14:$AR$14,"I_Pos",AA60:AR60)</f>
        <v>115</v>
      </c>
      <c r="U60" s="374">
        <f ca="1">SUMIF($AA$14:$AR$14,"P_Pos",AA60:AR60)</f>
        <v>9.4320384974000007</v>
      </c>
      <c r="V60" s="374">
        <f>SUMIF($AA$14:$AR$14,"O_Pos",AA60:AR60)</f>
        <v>0</v>
      </c>
      <c r="W60" s="367" t="str">
        <f ca="1">OFFSET(Origine,MATCH($F60,Descrizioni,0),MATCH(W$14,Intestazioni,0)-1,1,1)</f>
        <v>EUR</v>
      </c>
      <c r="X60" s="887">
        <f t="shared" ca="1" si="296"/>
        <v>112.2</v>
      </c>
      <c r="Y60" s="888"/>
      <c r="Z60" s="885">
        <f ca="1">_xlfn.NUMBERVALUE(OFFSET(Origine,MATCH(W60&amp;"/"&amp;MRif,LUKB_Name,0),MATCH("Price",Intestazioni,0)-1,1,1))</f>
        <v>0.90754999999999997</v>
      </c>
      <c r="AA60" s="197">
        <f>115</f>
        <v>115</v>
      </c>
      <c r="AB60" s="379">
        <f ca="1">IFERROR($X60/AC60-1,"")</f>
        <v>6.8978658536585469E-2</v>
      </c>
      <c r="AC60" s="889">
        <v>104.96</v>
      </c>
      <c r="AD60" s="381">
        <f ca="1">AA60*$X60</f>
        <v>12903</v>
      </c>
      <c r="AE60" s="381">
        <f ca="1">AD60*$Z60</f>
        <v>11710.11765</v>
      </c>
      <c r="AF60" s="382">
        <f ca="1">IFERROR(AE60/AA$4,0)</f>
        <v>1.8483985537599775E-2</v>
      </c>
      <c r="AG60" s="404">
        <f ca="1">AH60/$X60</f>
        <v>9.4320384974000007</v>
      </c>
      <c r="AH60" s="890">
        <f ca="1">AI60/$Z60</f>
        <v>1058.2747194082801</v>
      </c>
      <c r="AI60" s="890">
        <f ca="1">AJ60*AA$4</f>
        <v>960.43722159898459</v>
      </c>
      <c r="AJ60" s="406">
        <f ca="1">$N60-AF60</f>
        <v>1.5160144624002253E-3</v>
      </c>
      <c r="AK60" s="205"/>
      <c r="AL60" s="384">
        <f ca="1">AK60*$X60</f>
        <v>0</v>
      </c>
      <c r="AM60" s="384">
        <f ca="1">AL60*$Z60</f>
        <v>0</v>
      </c>
      <c r="AN60" s="207">
        <f ca="1">IFERROR(AM60/AA$4,0)</f>
        <v>0</v>
      </c>
      <c r="AO60" s="374">
        <f>AA60+AK60</f>
        <v>115</v>
      </c>
      <c r="AP60" s="374">
        <f ca="1">AD60+IF($R60="",AL60)</f>
        <v>12903</v>
      </c>
      <c r="AQ60" s="374">
        <f ca="1">AP60*$Z60</f>
        <v>11710.11765</v>
      </c>
      <c r="AR60" s="886">
        <f ca="1">IFERROR(AQ60/AA$4,0)</f>
        <v>1.8483985537599775E-2</v>
      </c>
    </row>
    <row r="61" spans="1:44" outlineLevel="2" x14ac:dyDescent="0.2">
      <c r="A61" s="367"/>
      <c r="B61" s="367"/>
      <c r="C61" s="367" t="str">
        <f t="shared" ca="1" si="349"/>
        <v>DE000A0H08M3:EUR:STU</v>
      </c>
      <c r="D61" s="368" t="str">
        <f t="shared" ca="1" si="349"/>
        <v>DE000A0H08M3</v>
      </c>
      <c r="E61" s="369" t="str">
        <f t="shared" ca="1" si="349"/>
        <v>12980919</v>
      </c>
      <c r="F61" s="367" t="s">
        <v>3016</v>
      </c>
      <c r="G61" s="414"/>
      <c r="H61" s="1754" t="str">
        <f t="shared" ca="1" si="287"/>
        <v></v>
      </c>
      <c r="I61" s="1753" t="str">
        <f ca="1">HYPERLINK(OFFSET(Origine,MATCH($F61,Descrizioni,0),MATCH(I$14,Intestazioni,0)-1,1,1),"i")</f>
        <v>i</v>
      </c>
      <c r="J61" s="1754" t="str">
        <f ca="1">HYPERLINK(OFFSET(Origine,MATCH($F61,Descrizioni,0),MATCH(J$14,Intestazioni,0)-1,1,1),"")</f>
        <v></v>
      </c>
      <c r="K61" s="1716" t="str">
        <f ca="1">HYPERLINK(OFFSET(Origine,MATCH($F61,Descrizioni,0),MATCH(K$14,Intestazioni,0)-1,1,1),"")</f>
        <v></v>
      </c>
      <c r="L61" s="1717" t="str">
        <f ca="1">IFERROR(HYPERLINK("https://www.zonebourse.com/mods_a/charts/TV/inc_dyna_graph.php?c="&amp;OFFSET(Origine,MATCH($F61,Descrizioni,0),MATCH(L$14,Intestazioni,0)-1,1,1)&amp;"&amp;style=TradingView.CANDLES&amp;showAT=1",""),"")</f>
        <v></v>
      </c>
      <c r="M61" s="366" t="str">
        <f ca="1">(OFFSET(Origine,MATCH($F61,Descrizioni,0),MATCH(M$14,Intestazioni,0)-1,1,1))</f>
        <v>Unit</v>
      </c>
      <c r="N61" s="882"/>
      <c r="O61" s="882"/>
      <c r="P61" s="882">
        <f t="shared" ca="1" si="223"/>
        <v>2.1666932717789879E-2</v>
      </c>
      <c r="Q61" s="883"/>
      <c r="R61" s="883"/>
      <c r="S61" s="375">
        <f ca="1">OFFSET(Origine,MATCH($F61,Descrizioni,0),MATCH(S$14,Intestazioni,0)-1,1,1)</f>
        <v>-3.0002006823198899E-2</v>
      </c>
      <c r="T61" s="391">
        <f t="shared" ref="T61" si="350">SUMIF($AA$14:$AR$14,"I_Pos",AA61:AR61)</f>
        <v>310</v>
      </c>
      <c r="U61" s="391">
        <f t="shared" ref="U61" ca="1" si="351">SUMIF($AA$14:$AR$14,"P_Pos",AA61:AR61)</f>
        <v>-310</v>
      </c>
      <c r="V61" s="391">
        <f t="shared" ref="V61" si="352">SUMIF($AA$14:$AR$14,"O_Pos",AA61:AR61)</f>
        <v>0</v>
      </c>
      <c r="W61" s="367" t="str">
        <f ca="1">OFFSET(Origine,MATCH($F61,Descrizioni,0),MATCH(W$14,Intestazioni,0)-1,1,1)</f>
        <v>EUR</v>
      </c>
      <c r="X61" s="887">
        <f ca="1">_xlfn.NUMBERVALUE(OFFSET(Origine,MATCH($F61,Descrizioni,0),MATCH(X$14,Intestazioni,0)-1,1,1))</f>
        <v>48.79</v>
      </c>
      <c r="Y61" s="887"/>
      <c r="Z61" s="885">
        <f t="shared" ref="Z61" ca="1" si="353">_xlfn.NUMBERVALUE(OFFSET(Origine,MATCH(W61&amp;"/"&amp;MRif,LUKB_Name,0),MATCH("Price",Intestazioni,0)-1,1,1))</f>
        <v>0.90754999999999997</v>
      </c>
      <c r="AA61" s="197">
        <f>310</f>
        <v>310</v>
      </c>
      <c r="AB61" s="312">
        <f ca="1">IFERROR($X61/AC61-1,"")</f>
        <v>0.10282566584314501</v>
      </c>
      <c r="AC61" s="807">
        <v>44.240900000000003</v>
      </c>
      <c r="AD61" s="199">
        <f ca="1">AA61*$X61</f>
        <v>15124.9</v>
      </c>
      <c r="AE61" s="199">
        <f ca="1">AD61*$Z61</f>
        <v>13726.602994999999</v>
      </c>
      <c r="AF61" s="216">
        <f ca="1">IFERROR(AE61/AA$4,0)</f>
        <v>2.1666932717789879E-2</v>
      </c>
      <c r="AG61" s="404">
        <f ca="1">AH61/$X61</f>
        <v>-310</v>
      </c>
      <c r="AH61" s="405">
        <f ca="1">AI61/$Z61</f>
        <v>-15124.9</v>
      </c>
      <c r="AI61" s="405">
        <f ca="1">AJ61*AA$4</f>
        <v>-13726.602994999999</v>
      </c>
      <c r="AJ61" s="406">
        <f ca="1">$N61-AF61</f>
        <v>-2.1666932717789879E-2</v>
      </c>
      <c r="AK61" s="205"/>
      <c r="AL61" s="206">
        <f ca="1">AK61*$X61</f>
        <v>0</v>
      </c>
      <c r="AM61" s="206">
        <f ca="1">AL61*$Z61</f>
        <v>0</v>
      </c>
      <c r="AN61" s="207">
        <f ca="1">IFERROR(AM61/AA$4,0)</f>
        <v>0</v>
      </c>
      <c r="AO61" s="391">
        <f t="shared" ref="AO61" si="354">AA61+AK61</f>
        <v>310</v>
      </c>
      <c r="AP61" s="391">
        <f ca="1">AD61+IF($R61="",AL61)</f>
        <v>15124.9</v>
      </c>
      <c r="AQ61" s="391">
        <f ca="1">AP61*$Z61</f>
        <v>13726.602994999999</v>
      </c>
      <c r="AR61" s="886">
        <f ca="1">IFERROR(AQ61/AA$4,0)</f>
        <v>2.1666932717789879E-2</v>
      </c>
    </row>
    <row r="62" spans="1:44" outlineLevel="2" x14ac:dyDescent="0.2">
      <c r="A62" s="367"/>
      <c r="B62" s="367"/>
      <c r="C62" s="367" t="str">
        <f t="shared" ca="1" si="285"/>
        <v>DE000A0Q4R02:EUR:STU</v>
      </c>
      <c r="D62" s="368" t="str">
        <f t="shared" ca="1" si="286"/>
        <v>DE000A0Q4R02</v>
      </c>
      <c r="E62" s="369" t="str">
        <f t="shared" ca="1" si="286"/>
        <v>12981018</v>
      </c>
      <c r="F62" s="367" t="s">
        <v>416</v>
      </c>
      <c r="G62" s="414"/>
      <c r="H62" s="1754" t="str">
        <f t="shared" ca="1" si="287"/>
        <v></v>
      </c>
      <c r="I62" s="1753" t="str">
        <f t="shared" ca="1" si="288"/>
        <v>i</v>
      </c>
      <c r="J62" s="1754" t="str">
        <f t="shared" ca="1" si="289"/>
        <v></v>
      </c>
      <c r="K62" s="1716" t="str">
        <f t="shared" ca="1" si="289"/>
        <v></v>
      </c>
      <c r="L62" s="1717" t="str">
        <f t="shared" ca="1" si="290"/>
        <v></v>
      </c>
      <c r="M62" s="366" t="str">
        <f t="shared" ca="1" si="291"/>
        <v>Unit</v>
      </c>
      <c r="N62" s="882"/>
      <c r="O62" s="882"/>
      <c r="P62" s="882">
        <f t="shared" ca="1" si="223"/>
        <v>2.0159333990379974E-2</v>
      </c>
      <c r="Q62" s="883"/>
      <c r="R62" s="883"/>
      <c r="S62" s="375">
        <f t="shared" ca="1" si="96"/>
        <v>-4.0300546448087504E-2</v>
      </c>
      <c r="T62" s="391">
        <f t="shared" si="329"/>
        <v>250</v>
      </c>
      <c r="U62" s="391">
        <f t="shared" ca="1" si="330"/>
        <v>-250</v>
      </c>
      <c r="V62" s="391">
        <f t="shared" ref="V62" si="355">SUMIF($AA$14:$AR$14,"O_Pos",AA62:AR62)</f>
        <v>0</v>
      </c>
      <c r="W62" s="367" t="str">
        <f t="shared" ca="1" si="295"/>
        <v>EUR</v>
      </c>
      <c r="X62" s="887">
        <f t="shared" ca="1" si="296"/>
        <v>56.29</v>
      </c>
      <c r="Y62" s="887"/>
      <c r="Z62" s="885">
        <f t="shared" ref="Z62" ca="1" si="356">_xlfn.NUMBERVALUE(OFFSET(Origine,MATCH(W62&amp;"/"&amp;MRif,LUKB_Name,0),MATCH("Price",Intestazioni,0)-1,1,1))</f>
        <v>0.90754999999999997</v>
      </c>
      <c r="AA62" s="197">
        <f>250</f>
        <v>250</v>
      </c>
      <c r="AB62" s="312">
        <f t="shared" ref="AB62" ca="1" si="357">IFERROR($X62/AC62-1,"")</f>
        <v>0.29340156108904014</v>
      </c>
      <c r="AC62" s="807">
        <v>43.520899999999997</v>
      </c>
      <c r="AD62" s="199">
        <f t="shared" ref="AD62" ca="1" si="358">AA62*$X62</f>
        <v>14072.5</v>
      </c>
      <c r="AE62" s="199">
        <f t="shared" ref="AE62" ca="1" si="359">AD62*$Z62</f>
        <v>12771.497374999999</v>
      </c>
      <c r="AF62" s="216">
        <f t="shared" ref="AF62" ca="1" si="360">IFERROR(AE62/AA$4,0)</f>
        <v>2.0159333990379974E-2</v>
      </c>
      <c r="AG62" s="404">
        <f t="shared" ref="AG62" ca="1" si="361">AH62/$X62</f>
        <v>-250</v>
      </c>
      <c r="AH62" s="405">
        <f t="shared" ref="AH62" ca="1" si="362">AI62/$Z62</f>
        <v>-14072.5</v>
      </c>
      <c r="AI62" s="405">
        <f t="shared" ref="AI62" ca="1" si="363">AJ62*AA$4</f>
        <v>-12771.497374999999</v>
      </c>
      <c r="AJ62" s="406">
        <f t="shared" ref="AJ62" ca="1" si="364">$N62-AF62</f>
        <v>-2.0159333990379974E-2</v>
      </c>
      <c r="AK62" s="205"/>
      <c r="AL62" s="206">
        <f t="shared" ref="AL62" ca="1" si="365">AK62*$X62</f>
        <v>0</v>
      </c>
      <c r="AM62" s="206">
        <f t="shared" ref="AM62" ca="1" si="366">AL62*$Z62</f>
        <v>0</v>
      </c>
      <c r="AN62" s="207">
        <f t="shared" ref="AN62" ca="1" si="367">IFERROR(AM62/AA$4,0)</f>
        <v>0</v>
      </c>
      <c r="AO62" s="391">
        <f t="shared" ref="AO62" si="368">AA62+AK62</f>
        <v>250</v>
      </c>
      <c r="AP62" s="391">
        <f t="shared" ref="AP62" ca="1" si="369">AD62+IF($R62="",AL62)</f>
        <v>14072.5</v>
      </c>
      <c r="AQ62" s="391">
        <f t="shared" ref="AQ62" ca="1" si="370">AP62*$Z62</f>
        <v>12771.497374999999</v>
      </c>
      <c r="AR62" s="886">
        <f t="shared" ref="AR62" ca="1" si="371">IFERROR(AQ62/AA$4,0)</f>
        <v>2.0159333990379974E-2</v>
      </c>
    </row>
    <row r="63" spans="1:44" outlineLevel="2" x14ac:dyDescent="0.2">
      <c r="A63" s="367"/>
      <c r="B63" s="367"/>
      <c r="C63" s="367" t="str">
        <f t="shared" ca="1" si="285"/>
        <v>IE00BWK1SP74:CHF</v>
      </c>
      <c r="D63" s="368" t="str">
        <f t="shared" ca="1" si="286"/>
        <v>IE00BWK1SP74</v>
      </c>
      <c r="E63" s="369" t="str">
        <f t="shared" ca="1" si="286"/>
        <v>27741453</v>
      </c>
      <c r="F63" s="367" t="s">
        <v>757</v>
      </c>
      <c r="G63" s="414"/>
      <c r="H63" s="1754" t="str">
        <f t="shared" ca="1" si="287"/>
        <v></v>
      </c>
      <c r="I63" s="1753" t="str">
        <f t="shared" ca="1" si="288"/>
        <v>i</v>
      </c>
      <c r="J63" s="1754" t="str">
        <f t="shared" ca="1" si="289"/>
        <v></v>
      </c>
      <c r="K63" s="1716" t="str">
        <f t="shared" ca="1" si="289"/>
        <v></v>
      </c>
      <c r="L63" s="1717" t="str">
        <f t="shared" ca="1" si="290"/>
        <v></v>
      </c>
      <c r="M63" s="366" t="str">
        <f t="shared" ca="1" si="291"/>
        <v>Unit</v>
      </c>
      <c r="N63" s="882"/>
      <c r="O63" s="882"/>
      <c r="P63" s="882">
        <f t="shared" ca="1" si="223"/>
        <v>0</v>
      </c>
      <c r="Q63" s="883"/>
      <c r="R63" s="883"/>
      <c r="S63" s="375">
        <f t="shared" ca="1" si="96"/>
        <v>-3.3192017371523004E-2</v>
      </c>
      <c r="T63" s="391">
        <f t="shared" si="329"/>
        <v>0</v>
      </c>
      <c r="U63" s="391">
        <f t="shared" ca="1" si="330"/>
        <v>0</v>
      </c>
      <c r="V63" s="391">
        <f t="shared" si="331"/>
        <v>0</v>
      </c>
      <c r="W63" s="367" t="str">
        <f t="shared" ca="1" si="295"/>
        <v>CHF</v>
      </c>
      <c r="X63" s="887">
        <f t="shared" ca="1" si="296"/>
        <v>9.35</v>
      </c>
      <c r="Y63" s="887"/>
      <c r="Z63" s="885">
        <f t="shared" ca="1" si="332"/>
        <v>1.0000001300000001</v>
      </c>
      <c r="AA63" s="197"/>
      <c r="AB63" s="312" t="str">
        <f t="shared" ca="1" si="333"/>
        <v/>
      </c>
      <c r="AC63" s="807"/>
      <c r="AD63" s="199">
        <f t="shared" ca="1" si="334"/>
        <v>0</v>
      </c>
      <c r="AE63" s="199">
        <f t="shared" ca="1" si="335"/>
        <v>0</v>
      </c>
      <c r="AF63" s="216">
        <f t="shared" ca="1" si="336"/>
        <v>0</v>
      </c>
      <c r="AG63" s="404">
        <f t="shared" ca="1" si="337"/>
        <v>0</v>
      </c>
      <c r="AH63" s="405">
        <f t="shared" ca="1" si="338"/>
        <v>0</v>
      </c>
      <c r="AI63" s="405">
        <f t="shared" ca="1" si="339"/>
        <v>0</v>
      </c>
      <c r="AJ63" s="406">
        <f t="shared" ca="1" si="340"/>
        <v>0</v>
      </c>
      <c r="AK63" s="205"/>
      <c r="AL63" s="206">
        <f t="shared" ca="1" si="341"/>
        <v>0</v>
      </c>
      <c r="AM63" s="206">
        <f t="shared" ca="1" si="342"/>
        <v>0</v>
      </c>
      <c r="AN63" s="207">
        <f t="shared" ca="1" si="343"/>
        <v>0</v>
      </c>
      <c r="AO63" s="391">
        <f t="shared" si="344"/>
        <v>0</v>
      </c>
      <c r="AP63" s="391">
        <f t="shared" ca="1" si="54"/>
        <v>0</v>
      </c>
      <c r="AQ63" s="391">
        <f t="shared" ca="1" si="345"/>
        <v>0</v>
      </c>
      <c r="AR63" s="886">
        <f t="shared" ca="1" si="346"/>
        <v>0</v>
      </c>
    </row>
    <row r="64" spans="1:44" outlineLevel="1" x14ac:dyDescent="0.2">
      <c r="A64" s="346"/>
      <c r="B64" s="346" t="s">
        <v>603</v>
      </c>
      <c r="C64" s="346"/>
      <c r="D64" s="347"/>
      <c r="E64" s="348"/>
      <c r="F64" s="346"/>
      <c r="G64" s="349"/>
      <c r="H64" s="1750"/>
      <c r="I64" s="1750"/>
      <c r="J64" s="1750"/>
      <c r="K64" s="1750"/>
      <c r="L64" s="1750"/>
      <c r="M64" s="345"/>
      <c r="N64" s="352">
        <f>SUM(N$65:N$66)</f>
        <v>0</v>
      </c>
      <c r="O64" s="352"/>
      <c r="P64" s="352">
        <f t="shared" ca="1" si="223"/>
        <v>0</v>
      </c>
      <c r="Q64" s="871" t="s">
        <v>718</v>
      </c>
      <c r="R64" s="871"/>
      <c r="S64" s="352"/>
      <c r="T64" s="421"/>
      <c r="U64" s="421"/>
      <c r="V64" s="872"/>
      <c r="W64" s="346"/>
      <c r="X64" s="873"/>
      <c r="Y64" s="873"/>
      <c r="Z64" s="874"/>
      <c r="AA64" s="357"/>
      <c r="AB64" s="359"/>
      <c r="AC64" s="875"/>
      <c r="AD64" s="359"/>
      <c r="AE64" s="360">
        <f ca="1">SUM(AE$65:AE$66)</f>
        <v>0</v>
      </c>
      <c r="AF64" s="361">
        <f t="shared" ca="1" si="336"/>
        <v>0</v>
      </c>
      <c r="AG64" s="362"/>
      <c r="AH64" s="359"/>
      <c r="AI64" s="360">
        <f ca="1">SUM(AI$65:AI$66)</f>
        <v>0</v>
      </c>
      <c r="AJ64" s="363">
        <f ca="1">IFERROR(AI64/AA$4,0)</f>
        <v>0</v>
      </c>
      <c r="AK64" s="362"/>
      <c r="AL64" s="359"/>
      <c r="AM64" s="360">
        <f ca="1">SUM(AM$65:AM$66)</f>
        <v>0</v>
      </c>
      <c r="AN64" s="363">
        <f t="shared" ca="1" si="343"/>
        <v>0</v>
      </c>
      <c r="AO64" s="359"/>
      <c r="AP64" s="359"/>
      <c r="AQ64" s="360">
        <f ca="1">SUM(AQ$65:AQ$66)</f>
        <v>0</v>
      </c>
      <c r="AR64" s="876">
        <f t="shared" ca="1" si="346"/>
        <v>0</v>
      </c>
    </row>
    <row r="65" spans="1:44" outlineLevel="2" x14ac:dyDescent="0.2">
      <c r="A65" s="367"/>
      <c r="B65" s="367"/>
      <c r="C65" s="367" t="str">
        <f t="shared" ref="C65:E66" ca="1" si="372">OFFSET(Origine,MATCH($F65,Descrizioni,0),MATCH(C$14,Intestazioni,0)-1,1,1)</f>
        <v>LU1681044647:EUR</v>
      </c>
      <c r="D65" s="368" t="str">
        <f t="shared" ca="1" si="372"/>
        <v>LU1681044647</v>
      </c>
      <c r="E65" s="369" t="str">
        <f t="shared" ca="1" si="372"/>
        <v>38784749</v>
      </c>
      <c r="F65" s="367" t="s">
        <v>759</v>
      </c>
      <c r="G65" s="414"/>
      <c r="H65" s="1754" t="str">
        <f ca="1">HYPERLINK(OFFSET(Origine,MATCH($F65,Descrizioni,0),MATCH(H$14,Intestazioni,0)-1,1,1),"")</f>
        <v></v>
      </c>
      <c r="I65" s="1753" t="str">
        <f ca="1">HYPERLINK(OFFSET(Origine,MATCH($F65,Descrizioni,0),MATCH(I$14,Intestazioni,0)-1,1,1),"i")</f>
        <v>i</v>
      </c>
      <c r="J65" s="1754" t="str">
        <f t="shared" ref="J65:K66" ca="1" si="373">HYPERLINK(OFFSET(Origine,MATCH($F65,Descrizioni,0),MATCH(J$14,Intestazioni,0)-1,1,1),"")</f>
        <v></v>
      </c>
      <c r="K65" s="1716" t="str">
        <f t="shared" ca="1" si="373"/>
        <v></v>
      </c>
      <c r="L65" s="1717" t="str">
        <f ca="1">IFERROR(HYPERLINK("https://www.zonebourse.com/mods_a/charts/TV/inc_dyna_graph.php?c="&amp;OFFSET(Origine,MATCH($F65,Descrizioni,0),MATCH(L$14,Intestazioni,0)-1,1,1)&amp;"&amp;style=TradingView.CANDLES&amp;showAT=1",""),"")</f>
        <v></v>
      </c>
      <c r="M65" s="366" t="str">
        <f ca="1">(OFFSET(Origine,MATCH($F65,Descrizioni,0),MATCH(M$14,Intestazioni,0)-1,1,1))</f>
        <v>Unit</v>
      </c>
      <c r="N65" s="882"/>
      <c r="O65" s="882"/>
      <c r="P65" s="882">
        <f t="shared" ca="1" si="223"/>
        <v>0</v>
      </c>
      <c r="Q65" s="883"/>
      <c r="R65" s="883"/>
      <c r="S65" s="375">
        <f t="shared" ca="1" si="96"/>
        <v>-9.9692127254068005E-3</v>
      </c>
      <c r="T65" s="391">
        <f>SUMIF($AA$14:$AR$14,"I_Pos",AA65:AR65)</f>
        <v>0</v>
      </c>
      <c r="U65" s="391">
        <f ca="1">SUMIF($AA$14:$AR$14,"P_Pos",AA65:AR65)</f>
        <v>0</v>
      </c>
      <c r="V65" s="391">
        <f>SUMIF($AA$14:$AR$14,"O_Pos",AA65:AR65)</f>
        <v>0</v>
      </c>
      <c r="W65" s="367" t="str">
        <f ca="1">OFFSET(Origine,MATCH($F65,Descrizioni,0),MATCH(W$14,Intestazioni,0)-1,1,1)</f>
        <v>EUR</v>
      </c>
      <c r="X65" s="887">
        <f ca="1">_xlfn.NUMBERVALUE(OFFSET(Origine,MATCH($F65,Descrizioni,0),MATCH(X$14,Intestazioni,0)-1,1,1))</f>
        <v>675.3</v>
      </c>
      <c r="Y65" s="887"/>
      <c r="Z65" s="885">
        <f ca="1">_xlfn.NUMBERVALUE(OFFSET(Origine,MATCH(W65&amp;"/"&amp;MRif,LUKB_Name,0),MATCH("Price",Intestazioni,0)-1,1,1))</f>
        <v>0.90754999999999997</v>
      </c>
      <c r="AA65" s="197"/>
      <c r="AB65" s="312" t="str">
        <f t="shared" ref="AB65:AB66" ca="1" si="374">IFERROR($X65/AC65-1,"")</f>
        <v/>
      </c>
      <c r="AC65" s="807"/>
      <c r="AD65" s="199">
        <f ca="1">AA65*$X65</f>
        <v>0</v>
      </c>
      <c r="AE65" s="199">
        <f ca="1">AD65*$Z65</f>
        <v>0</v>
      </c>
      <c r="AF65" s="216">
        <f ca="1">IFERROR(AE65/AA$4,0)</f>
        <v>0</v>
      </c>
      <c r="AG65" s="404">
        <f ca="1">AH65/$X65</f>
        <v>0</v>
      </c>
      <c r="AH65" s="405">
        <f ca="1">AI65/$Z65</f>
        <v>0</v>
      </c>
      <c r="AI65" s="405">
        <f ca="1">AJ65*AA$4</f>
        <v>0</v>
      </c>
      <c r="AJ65" s="406">
        <f ca="1">$N65-AF65</f>
        <v>0</v>
      </c>
      <c r="AK65" s="205"/>
      <c r="AL65" s="206">
        <f ca="1">AK65*$X65</f>
        <v>0</v>
      </c>
      <c r="AM65" s="206">
        <f ca="1">AL65*$Z65</f>
        <v>0</v>
      </c>
      <c r="AN65" s="207">
        <f ca="1">IFERROR(AM65/AA$4,0)</f>
        <v>0</v>
      </c>
      <c r="AO65" s="391">
        <f>AA65+AK65</f>
        <v>0</v>
      </c>
      <c r="AP65" s="391">
        <f t="shared" ca="1" si="54"/>
        <v>0</v>
      </c>
      <c r="AQ65" s="391">
        <f ca="1">AP65*$Z65</f>
        <v>0</v>
      </c>
      <c r="AR65" s="886">
        <f ca="1">IFERROR(AQ65/AA$4,0)</f>
        <v>0</v>
      </c>
    </row>
    <row r="66" spans="1:44" outlineLevel="2" x14ac:dyDescent="0.2">
      <c r="A66" s="367"/>
      <c r="B66" s="367"/>
      <c r="C66" s="367" t="str">
        <f t="shared" ca="1" si="372"/>
        <v>LU1711971983:EUR</v>
      </c>
      <c r="D66" s="368" t="str">
        <f t="shared" ca="1" si="372"/>
        <v>LU1711971983</v>
      </c>
      <c r="E66" s="369" t="str">
        <f t="shared" ca="1" si="372"/>
        <v>38956329</v>
      </c>
      <c r="F66" s="367" t="s">
        <v>761</v>
      </c>
      <c r="G66" s="414"/>
      <c r="H66" s="1754" t="str">
        <f ca="1">HYPERLINK(OFFSET(Origine,MATCH($F66,Descrizioni,0),MATCH(H$14,Intestazioni,0)-1,1,1),"")</f>
        <v></v>
      </c>
      <c r="I66" s="1753" t="str">
        <f ca="1">HYPERLINK(OFFSET(Origine,MATCH($F66,Descrizioni,0),MATCH(I$14,Intestazioni,0)-1,1,1),"i")</f>
        <v>i</v>
      </c>
      <c r="J66" s="1754" t="str">
        <f t="shared" ca="1" si="373"/>
        <v></v>
      </c>
      <c r="K66" s="1716" t="str">
        <f t="shared" ca="1" si="373"/>
        <v></v>
      </c>
      <c r="L66" s="1717" t="str">
        <f ca="1">IFERROR(HYPERLINK("https://www.zonebourse.com/mods_a/charts/TV/inc_dyna_graph.php?c="&amp;OFFSET(Origine,MATCH($F66,Descrizioni,0),MATCH(L$14,Intestazioni,0)-1,1,1)&amp;"&amp;style=TradingView.CANDLES&amp;showAT=1",""),"")</f>
        <v></v>
      </c>
      <c r="M66" s="366" t="str">
        <f ca="1">(OFFSET(Origine,MATCH($F66,Descrizioni,0),MATCH(M$14,Intestazioni,0)-1,1,1))</f>
        <v>Unit</v>
      </c>
      <c r="N66" s="882"/>
      <c r="O66" s="882"/>
      <c r="P66" s="882">
        <f t="shared" ca="1" si="223"/>
        <v>0</v>
      </c>
      <c r="Q66" s="883"/>
      <c r="R66" s="883"/>
      <c r="S66" s="375">
        <f t="shared" ca="1" si="96"/>
        <v>5.1107325383305362E-3</v>
      </c>
      <c r="T66" s="391">
        <f>SUMIF($AA$14:$AR$14,"I_Pos",AA66:AR66)</f>
        <v>0</v>
      </c>
      <c r="U66" s="391">
        <f ca="1">SUMIF($AA$14:$AR$14,"P_Pos",AA66:AR66)</f>
        <v>0</v>
      </c>
      <c r="V66" s="391">
        <f>SUMIF($AA$14:$AR$14,"O_Pos",AA66:AR66)</f>
        <v>0</v>
      </c>
      <c r="W66" s="367" t="str">
        <f ca="1">OFFSET(Origine,MATCH($F66,Descrizioni,0),MATCH(W$14,Intestazioni,0)-1,1,1)</f>
        <v>EUR</v>
      </c>
      <c r="X66" s="887">
        <f ca="1">_xlfn.NUMBERVALUE(OFFSET(Origine,MATCH($F66,Descrizioni,0),MATCH(X$14,Intestazioni,0)-1,1,1))</f>
        <v>23.6</v>
      </c>
      <c r="Y66" s="887"/>
      <c r="Z66" s="885">
        <f ca="1">_xlfn.NUMBERVALUE(OFFSET(Origine,MATCH(W66&amp;"/"&amp;MRif,LUKB_Name,0),MATCH("Price",Intestazioni,0)-1,1,1))</f>
        <v>0.90754999999999997</v>
      </c>
      <c r="AA66" s="197"/>
      <c r="AB66" s="312" t="str">
        <f t="shared" ca="1" si="374"/>
        <v/>
      </c>
      <c r="AC66" s="807"/>
      <c r="AD66" s="199">
        <f ca="1">AA66*$X66</f>
        <v>0</v>
      </c>
      <c r="AE66" s="199">
        <f ca="1">AD66*$Z66</f>
        <v>0</v>
      </c>
      <c r="AF66" s="216">
        <f t="shared" ca="1" si="336"/>
        <v>0</v>
      </c>
      <c r="AG66" s="404">
        <f ca="1">AH66/$X66</f>
        <v>0</v>
      </c>
      <c r="AH66" s="405">
        <f ca="1">AI66/$Z66</f>
        <v>0</v>
      </c>
      <c r="AI66" s="405">
        <f ca="1">AJ66*AA$4</f>
        <v>0</v>
      </c>
      <c r="AJ66" s="406">
        <f ca="1">$N66-AF66</f>
        <v>0</v>
      </c>
      <c r="AK66" s="205"/>
      <c r="AL66" s="206">
        <f ca="1">AK66*$X66</f>
        <v>0</v>
      </c>
      <c r="AM66" s="206">
        <f ca="1">AL66*$Z66</f>
        <v>0</v>
      </c>
      <c r="AN66" s="207">
        <f t="shared" ca="1" si="343"/>
        <v>0</v>
      </c>
      <c r="AO66" s="391">
        <f>AA66+AK66</f>
        <v>0</v>
      </c>
      <c r="AP66" s="391">
        <f t="shared" ca="1" si="54"/>
        <v>0</v>
      </c>
      <c r="AQ66" s="391">
        <f ca="1">AP66*$Z66</f>
        <v>0</v>
      </c>
      <c r="AR66" s="886">
        <f t="shared" ca="1" si="346"/>
        <v>0</v>
      </c>
    </row>
    <row r="67" spans="1:44" outlineLevel="1" x14ac:dyDescent="0.2">
      <c r="A67" s="346"/>
      <c r="B67" s="346" t="s">
        <v>762</v>
      </c>
      <c r="C67" s="346"/>
      <c r="D67" s="347"/>
      <c r="E67" s="348"/>
      <c r="F67" s="346"/>
      <c r="G67" s="349"/>
      <c r="H67" s="1750"/>
      <c r="I67" s="1750"/>
      <c r="J67" s="1750"/>
      <c r="K67" s="1750"/>
      <c r="L67" s="1750"/>
      <c r="M67" s="345"/>
      <c r="N67" s="352">
        <f>SUM(N$68:N$69)</f>
        <v>0</v>
      </c>
      <c r="O67" s="352"/>
      <c r="P67" s="352">
        <f t="shared" ca="1" si="223"/>
        <v>2.5327623373328362E-2</v>
      </c>
      <c r="Q67" s="871" t="s">
        <v>718</v>
      </c>
      <c r="R67" s="871"/>
      <c r="S67" s="352"/>
      <c r="T67" s="421"/>
      <c r="U67" s="421"/>
      <c r="V67" s="872"/>
      <c r="W67" s="346"/>
      <c r="X67" s="873"/>
      <c r="Y67" s="873"/>
      <c r="Z67" s="874"/>
      <c r="AA67" s="357"/>
      <c r="AB67" s="359"/>
      <c r="AC67" s="875"/>
      <c r="AD67" s="359"/>
      <c r="AE67" s="360">
        <f ca="1">SUM(AE$68:AE$69)</f>
        <v>16045.752085947501</v>
      </c>
      <c r="AF67" s="361">
        <f t="shared" ca="1" si="336"/>
        <v>2.5327623373328362E-2</v>
      </c>
      <c r="AG67" s="362"/>
      <c r="AH67" s="359"/>
      <c r="AI67" s="360">
        <f ca="1">SUM(AI$68:AI$69)</f>
        <v>-16045.752085947499</v>
      </c>
      <c r="AJ67" s="363">
        <f ca="1">IFERROR(AI67/AA$4,0)</f>
        <v>-2.5327623373328362E-2</v>
      </c>
      <c r="AK67" s="362"/>
      <c r="AL67" s="359"/>
      <c r="AM67" s="360">
        <f ca="1">SUM(AM$68:AM$69)</f>
        <v>0</v>
      </c>
      <c r="AN67" s="363">
        <f t="shared" ca="1" si="343"/>
        <v>0</v>
      </c>
      <c r="AO67" s="359"/>
      <c r="AP67" s="359"/>
      <c r="AQ67" s="360">
        <f ca="1">SUM(AQ$68:AQ$69)</f>
        <v>16045.752085947501</v>
      </c>
      <c r="AR67" s="876">
        <f t="shared" ca="1" si="346"/>
        <v>2.5327623373328362E-2</v>
      </c>
    </row>
    <row r="68" spans="1:44" outlineLevel="2" x14ac:dyDescent="0.2">
      <c r="A68" s="367"/>
      <c r="B68" s="367"/>
      <c r="C68" s="367" t="str">
        <f t="shared" ref="C68:E69" ca="1" si="375">OFFSET(Origine,MATCH($F68,Descrizioni,0),MATCH(C$14,Intestazioni,0)-1,1,1)</f>
        <v>LU0950670850:GBP</v>
      </c>
      <c r="D68" s="368" t="str">
        <f t="shared" ca="1" si="375"/>
        <v>LU0950670850</v>
      </c>
      <c r="E68" s="369" t="str">
        <f t="shared" ca="1" si="375"/>
        <v>21966875</v>
      </c>
      <c r="F68" s="367" t="s">
        <v>763</v>
      </c>
      <c r="G68" s="414"/>
      <c r="H68" s="1754" t="str">
        <f ca="1">HYPERLINK(OFFSET(Origine,MATCH($F68,Descrizioni,0),MATCH(H$14,Intestazioni,0)-1,1,1),"")</f>
        <v></v>
      </c>
      <c r="I68" s="1753" t="str">
        <f ca="1">HYPERLINK(OFFSET(Origine,MATCH($F68,Descrizioni,0),MATCH(I$14,Intestazioni,0)-1,1,1),"i")</f>
        <v>i</v>
      </c>
      <c r="J68" s="1754" t="str">
        <f t="shared" ref="J68:K69" ca="1" si="376">HYPERLINK(OFFSET(Origine,MATCH($F68,Descrizioni,0),MATCH(J$14,Intestazioni,0)-1,1,1),"")</f>
        <v></v>
      </c>
      <c r="K68" s="1716" t="str">
        <f t="shared" ca="1" si="376"/>
        <v></v>
      </c>
      <c r="L68" s="1717" t="str">
        <f ca="1">IFERROR(HYPERLINK("https://www.zonebourse.com/mods_a/charts/TV/inc_dyna_graph.php?c="&amp;OFFSET(Origine,MATCH($F68,Descrizioni,0),MATCH(L$14,Intestazioni,0)-1,1,1)&amp;"&amp;style=TradingView.CANDLES&amp;showAT=1",""),"")</f>
        <v></v>
      </c>
      <c r="M68" s="366" t="str">
        <f ca="1">(OFFSET(Origine,MATCH($F68,Descrizioni,0),MATCH(M$14,Intestazioni,0)-1,1,1))</f>
        <v>Unit</v>
      </c>
      <c r="N68" s="882"/>
      <c r="O68" s="882"/>
      <c r="P68" s="882">
        <f t="shared" ca="1" si="223"/>
        <v>0</v>
      </c>
      <c r="Q68" s="883"/>
      <c r="R68" s="883"/>
      <c r="S68" s="375">
        <f t="shared" ca="1" si="96"/>
        <v>-2.6827924909349599E-2</v>
      </c>
      <c r="T68" s="391">
        <f>SUMIF($AA$14:$AR$14,"I_Pos",AA68:AR68)</f>
        <v>0</v>
      </c>
      <c r="U68" s="391">
        <f ca="1">SUMIF($AA$14:$AR$14,"P_Pos",AA68:AR68)</f>
        <v>0</v>
      </c>
      <c r="V68" s="391">
        <f>SUMIF($AA$14:$AR$14,"O_Pos",AA68:AR68)</f>
        <v>0</v>
      </c>
      <c r="W68" s="367" t="str">
        <f ca="1">OFFSET(Origine,MATCH($F68,Descrizioni,0),MATCH(W$14,Intestazioni,0)-1,1,1)</f>
        <v>GBP</v>
      </c>
      <c r="X68" s="887">
        <f ca="1">_xlfn.NUMBERVALUE(OFFSET(Origine,MATCH($F68,Descrizioni,0),MATCH(X$14,Intestazioni,0)-1,1,1))</f>
        <v>42.405000000000001</v>
      </c>
      <c r="Y68" s="887"/>
      <c r="Z68" s="885">
        <f ca="1">_xlfn.NUMBERVALUE(OFFSET(Origine,MATCH(W68&amp;"/"&amp;MRif,LUKB_Name,0),MATCH("Price",Intestazioni,0)-1,1,1))</f>
        <v>1.0430999999999999</v>
      </c>
      <c r="AA68" s="197"/>
      <c r="AB68" s="312" t="str">
        <f t="shared" ref="AB68:AB69" ca="1" si="377">IFERROR($X68/AC68-1,"")</f>
        <v/>
      </c>
      <c r="AC68" s="807"/>
      <c r="AD68" s="199">
        <f ca="1">AA68*$X68</f>
        <v>0</v>
      </c>
      <c r="AE68" s="199">
        <f ca="1">AD68*$Z68</f>
        <v>0</v>
      </c>
      <c r="AF68" s="216">
        <f t="shared" ca="1" si="336"/>
        <v>0</v>
      </c>
      <c r="AG68" s="404">
        <f ca="1">AH68/$X68</f>
        <v>0</v>
      </c>
      <c r="AH68" s="405">
        <f ca="1">AI68/$Z68</f>
        <v>0</v>
      </c>
      <c r="AI68" s="405">
        <f ca="1">AJ68*AA$4</f>
        <v>0</v>
      </c>
      <c r="AJ68" s="406">
        <f ca="1">$N68-AF68</f>
        <v>0</v>
      </c>
      <c r="AK68" s="205"/>
      <c r="AL68" s="206">
        <f ca="1">AK68*$X68</f>
        <v>0</v>
      </c>
      <c r="AM68" s="206">
        <f ca="1">AL68*$Z68</f>
        <v>0</v>
      </c>
      <c r="AN68" s="207">
        <f t="shared" ca="1" si="343"/>
        <v>0</v>
      </c>
      <c r="AO68" s="391">
        <f>AA68+AK68</f>
        <v>0</v>
      </c>
      <c r="AP68" s="391">
        <f t="shared" ca="1" si="54"/>
        <v>0</v>
      </c>
      <c r="AQ68" s="391">
        <f ca="1">AP68*$Z68</f>
        <v>0</v>
      </c>
      <c r="AR68" s="886">
        <f t="shared" ca="1" si="346"/>
        <v>0</v>
      </c>
    </row>
    <row r="69" spans="1:44" outlineLevel="2" x14ac:dyDescent="0.2">
      <c r="A69" s="367"/>
      <c r="B69" s="367"/>
      <c r="C69" s="367" t="str">
        <f t="shared" ca="1" si="375"/>
        <v>LU1169820997:CHF:P</v>
      </c>
      <c r="D69" s="368" t="str">
        <f t="shared" ca="1" si="375"/>
        <v>LU1169820997</v>
      </c>
      <c r="E69" s="369" t="str">
        <f t="shared" ca="1" si="375"/>
        <v>26749332</v>
      </c>
      <c r="F69" s="367" t="s">
        <v>765</v>
      </c>
      <c r="G69" s="414"/>
      <c r="H69" s="1754" t="str">
        <f ca="1">HYPERLINK(OFFSET(Origine,MATCH($F69,Descrizioni,0),MATCH(H$14,Intestazioni,0)-1,1,1),"")</f>
        <v></v>
      </c>
      <c r="I69" s="1753" t="str">
        <f ca="1">HYPERLINK(OFFSET(Origine,MATCH($F69,Descrizioni,0),MATCH(I$14,Intestazioni,0)-1,1,1),"i")</f>
        <v>i</v>
      </c>
      <c r="J69" s="1754" t="str">
        <f t="shared" ca="1" si="376"/>
        <v></v>
      </c>
      <c r="K69" s="1716" t="str">
        <f t="shared" ca="1" si="376"/>
        <v></v>
      </c>
      <c r="L69" s="1717" t="str">
        <f ca="1">IFERROR(HYPERLINK("https://www.zonebourse.com/mods_a/charts/TV/inc_dyna_graph.php?c="&amp;OFFSET(Origine,MATCH($F69,Descrizioni,0),MATCH(L$14,Intestazioni,0)-1,1,1)&amp;"&amp;style=TradingView.CANDLES&amp;showAT=1",""),"")</f>
        <v></v>
      </c>
      <c r="M69" s="366" t="str">
        <f ca="1">(OFFSET(Origine,MATCH($F69,Descrizioni,0),MATCH(M$14,Intestazioni,0)-1,1,1))</f>
        <v>Unit</v>
      </c>
      <c r="N69" s="882"/>
      <c r="O69" s="882"/>
      <c r="P69" s="882">
        <f t="shared" ca="1" si="223"/>
        <v>2.5327623373328362E-2</v>
      </c>
      <c r="Q69" s="883"/>
      <c r="R69" s="883"/>
      <c r="S69" s="375">
        <f t="shared" ca="1" si="96"/>
        <v>-2.5403911564625799E-2</v>
      </c>
      <c r="T69" s="391">
        <f>SUMIF($AA$14:$AR$14,"I_Pos",AA69:AR69)</f>
        <v>875</v>
      </c>
      <c r="U69" s="391">
        <f ca="1">SUMIF($AA$14:$AR$14,"P_Pos",AA69:AR69)</f>
        <v>-874.99999999999989</v>
      </c>
      <c r="V69" s="391">
        <f>SUMIF($AA$14:$AR$14,"O_Pos",AA69:AR69)</f>
        <v>0</v>
      </c>
      <c r="W69" s="367" t="str">
        <f ca="1">OFFSET(Origine,MATCH($F69,Descrizioni,0),MATCH(W$14,Intestazioni,0)-1,1,1)</f>
        <v>CHF</v>
      </c>
      <c r="X69" s="887">
        <f ca="1">_xlfn.NUMBERVALUE(OFFSET(Origine,MATCH($F69,Descrizioni,0),MATCH(X$14,Intestazioni,0)-1,1,1))</f>
        <v>18.338000000000001</v>
      </c>
      <c r="Y69" s="887"/>
      <c r="Z69" s="885">
        <f ca="1">_xlfn.NUMBERVALUE(OFFSET(Origine,MATCH(W69&amp;"/"&amp;MRif,LUKB_Name,0),MATCH("Price",Intestazioni,0)-1,1,1))</f>
        <v>1.0000001300000001</v>
      </c>
      <c r="AA69" s="197">
        <v>875</v>
      </c>
      <c r="AB69" s="312">
        <f t="shared" ca="1" si="377"/>
        <v>0.51965658976398843</v>
      </c>
      <c r="AC69" s="807">
        <v>12.0672</v>
      </c>
      <c r="AD69" s="199">
        <f ca="1">AA69*$X69</f>
        <v>16045.75</v>
      </c>
      <c r="AE69" s="199">
        <f ca="1">AD69*$Z69</f>
        <v>16045.752085947501</v>
      </c>
      <c r="AF69" s="216">
        <f t="shared" ca="1" si="336"/>
        <v>2.5327623373328362E-2</v>
      </c>
      <c r="AG69" s="404">
        <f ca="1">AH69/$X69</f>
        <v>-874.99999999999989</v>
      </c>
      <c r="AH69" s="405">
        <f ca="1">AI69/$Z69</f>
        <v>-16045.749999999998</v>
      </c>
      <c r="AI69" s="405">
        <f ca="1">AJ69*AA$4</f>
        <v>-16045.752085947499</v>
      </c>
      <c r="AJ69" s="406">
        <f ca="1">$N69-AF69</f>
        <v>-2.5327623373328362E-2</v>
      </c>
      <c r="AK69" s="205"/>
      <c r="AL69" s="206">
        <f ca="1">AK69*$X69</f>
        <v>0</v>
      </c>
      <c r="AM69" s="206">
        <f ca="1">AL69*$Z69</f>
        <v>0</v>
      </c>
      <c r="AN69" s="207">
        <f t="shared" ca="1" si="343"/>
        <v>0</v>
      </c>
      <c r="AO69" s="391">
        <f>AA69+AK69</f>
        <v>875</v>
      </c>
      <c r="AP69" s="391">
        <f t="shared" ca="1" si="54"/>
        <v>16045.75</v>
      </c>
      <c r="AQ69" s="391">
        <f ca="1">AP69*$Z69</f>
        <v>16045.752085947501</v>
      </c>
      <c r="AR69" s="886">
        <f t="shared" ca="1" si="346"/>
        <v>2.5327623373328362E-2</v>
      </c>
    </row>
    <row r="70" spans="1:44" outlineLevel="1" x14ac:dyDescent="0.2">
      <c r="A70" s="346"/>
      <c r="B70" s="346" t="s">
        <v>389</v>
      </c>
      <c r="C70" s="346"/>
      <c r="D70" s="347"/>
      <c r="E70" s="348"/>
      <c r="F70" s="346"/>
      <c r="G70" s="349"/>
      <c r="H70" s="1750"/>
      <c r="I70" s="1750"/>
      <c r="J70" s="1750"/>
      <c r="K70" s="1750"/>
      <c r="L70" s="1750"/>
      <c r="M70" s="345"/>
      <c r="N70" s="352">
        <f>SUM(N$71:N$81)</f>
        <v>0.15000000000000002</v>
      </c>
      <c r="O70" s="352"/>
      <c r="P70" s="352">
        <f t="shared" ca="1" si="223"/>
        <v>0.12403030338873212</v>
      </c>
      <c r="Q70" s="871" t="s">
        <v>718</v>
      </c>
      <c r="R70" s="871"/>
      <c r="S70" s="352"/>
      <c r="T70" s="421"/>
      <c r="U70" s="421"/>
      <c r="V70" s="872"/>
      <c r="W70" s="346"/>
      <c r="X70" s="873"/>
      <c r="Y70" s="873"/>
      <c r="Z70" s="874"/>
      <c r="AA70" s="357"/>
      <c r="AB70" s="359"/>
      <c r="AC70" s="875"/>
      <c r="AD70" s="359"/>
      <c r="AE70" s="360">
        <f ca="1">SUM(AE$71:AE$81)</f>
        <v>78576.638241399996</v>
      </c>
      <c r="AF70" s="361">
        <f t="shared" ca="1" si="336"/>
        <v>0.12403030338873212</v>
      </c>
      <c r="AG70" s="362"/>
      <c r="AH70" s="359"/>
      <c r="AI70" s="360">
        <f ca="1">SUM(AI$71:AI$81)</f>
        <v>16452.523295592397</v>
      </c>
      <c r="AJ70" s="363">
        <f ca="1">IFERROR(AI70/AA$4,0)</f>
        <v>2.5969696611267884E-2</v>
      </c>
      <c r="AK70" s="362"/>
      <c r="AL70" s="359"/>
      <c r="AM70" s="360">
        <f ca="1">SUM(AM$71:AM$81)</f>
        <v>0</v>
      </c>
      <c r="AN70" s="363">
        <f t="shared" ca="1" si="343"/>
        <v>0</v>
      </c>
      <c r="AO70" s="359"/>
      <c r="AP70" s="359"/>
      <c r="AQ70" s="360">
        <f ca="1">SUM(AQ$71:AQ$81)</f>
        <v>78576.638241399996</v>
      </c>
      <c r="AR70" s="876">
        <f t="shared" ca="1" si="346"/>
        <v>0.12403030338873212</v>
      </c>
    </row>
    <row r="71" spans="1:44" outlineLevel="2" x14ac:dyDescent="0.2">
      <c r="A71" s="367"/>
      <c r="B71" s="367"/>
      <c r="C71" s="367" t="str">
        <f t="shared" ref="C71:C81" ca="1" si="378">OFFSET(Origine,MATCH($F71,Descrizioni,0),MATCH(C$14,Intestazioni,0)-1,1,1)</f>
        <v>IE00BFWFPX50:USD</v>
      </c>
      <c r="D71" s="368" t="str">
        <f t="shared" ref="D71:E81" ca="1" si="379">OFFSET(Origine,MATCH($F71,Descrizioni,0),MATCH(D$14,Intestazioni,0)-1,1,1)</f>
        <v>IE00BFWFPX50</v>
      </c>
      <c r="E71" s="369" t="str">
        <f t="shared" ca="1" si="379"/>
        <v>42480705</v>
      </c>
      <c r="F71" s="367" t="s">
        <v>462</v>
      </c>
      <c r="G71" s="414"/>
      <c r="H71" s="1754" t="str">
        <f t="shared" ref="H71:H81" ca="1" si="380">HYPERLINK(OFFSET(Origine,MATCH($F71,Descrizioni,0),MATCH(H$14,Intestazioni,0)-1,1,1),"")</f>
        <v></v>
      </c>
      <c r="I71" s="1753" t="str">
        <f t="shared" ref="I71:I81" ca="1" si="381">HYPERLINK(OFFSET(Origine,MATCH($F71,Descrizioni,0),MATCH(I$14,Intestazioni,0)-1,1,1),"i")</f>
        <v>i</v>
      </c>
      <c r="J71" s="1754" t="str">
        <f t="shared" ref="J71:K81" ca="1" si="382">HYPERLINK(OFFSET(Origine,MATCH($F71,Descrizioni,0),MATCH(J$14,Intestazioni,0)-1,1,1),"")</f>
        <v></v>
      </c>
      <c r="K71" s="1716" t="str">
        <f t="shared" ca="1" si="382"/>
        <v></v>
      </c>
      <c r="L71" s="1717" t="str">
        <f t="shared" ref="L71:L81" ca="1" si="383">IFERROR(HYPERLINK("https://www.zonebourse.com/mods_a/charts/TV/inc_dyna_graph.php?c="&amp;OFFSET(Origine,MATCH($F71,Descrizioni,0),MATCH(L$14,Intestazioni,0)-1,1,1)&amp;"&amp;style=TradingView.CANDLES&amp;showAT=1",""),"")</f>
        <v></v>
      </c>
      <c r="M71" s="366" t="str">
        <f t="shared" ref="M71:M81" ca="1" si="384">(OFFSET(Origine,MATCH($F71,Descrizioni,0),MATCH(M$14,Intestazioni,0)-1,1,1))</f>
        <v>Unit</v>
      </c>
      <c r="N71" s="882">
        <v>2.5000000000000001E-2</v>
      </c>
      <c r="O71" s="882"/>
      <c r="P71" s="882">
        <f t="shared" ca="1" si="223"/>
        <v>2.2619679004146995E-2</v>
      </c>
      <c r="Q71" s="883"/>
      <c r="R71" s="883"/>
      <c r="S71" s="375">
        <f t="shared" ca="1" si="96"/>
        <v>-1.4825796886583E-3</v>
      </c>
      <c r="T71" s="391">
        <f t="shared" ref="T71:T81" si="385">SUMIF($AA$14:$AR$14,"I_Pos",AA71:AR71)</f>
        <v>340</v>
      </c>
      <c r="U71" s="391">
        <f t="shared" ref="U71:U81" ca="1" si="386">SUMIF($AA$14:$AR$14,"P_Pos",AA71:AR71)</f>
        <v>35.778984239415898</v>
      </c>
      <c r="V71" s="391">
        <f t="shared" ref="V71" si="387">SUMIF($AA$14:$AR$14,"O_Pos",AA71:AR71)</f>
        <v>0</v>
      </c>
      <c r="W71" s="367" t="str">
        <f t="shared" ref="W71:W81" ca="1" si="388">OFFSET(Origine,MATCH($F71,Descrizioni,0),MATCH(W$14,Intestazioni,0)-1,1,1)</f>
        <v>USD</v>
      </c>
      <c r="X71" s="887">
        <f t="shared" ref="X71:X81" ca="1" si="389">_xlfn.NUMBERVALUE(OFFSET(Origine,MATCH($F71,Descrizioni,0),MATCH(X$14,Intestazioni,0)-1,1,1))</f>
        <v>53.88</v>
      </c>
      <c r="Y71" s="887"/>
      <c r="Z71" s="885">
        <f t="shared" ref="Z71:Z81" ca="1" si="390">_xlfn.NUMBERVALUE(OFFSET(Origine,MATCH(W71&amp;"/"&amp;MRif,LUKB_Name,0),MATCH("Price",Intestazioni,0)-1,1,1))</f>
        <v>0.78225</v>
      </c>
      <c r="AA71" s="197">
        <f>340</f>
        <v>340</v>
      </c>
      <c r="AB71" s="312">
        <f t="shared" ref="AB71:AB81" ca="1" si="391">IFERROR($X71/AC71-1,"")</f>
        <v>0.2935256496437284</v>
      </c>
      <c r="AC71" s="807">
        <v>41.653599999999997</v>
      </c>
      <c r="AD71" s="199">
        <f t="shared" ref="AD71" ca="1" si="392">AA71*$X71</f>
        <v>18319.2</v>
      </c>
      <c r="AE71" s="199">
        <f t="shared" ref="AE71" ca="1" si="393">AD71*$Z71</f>
        <v>14330.1942</v>
      </c>
      <c r="AF71" s="216">
        <f t="shared" ref="AF71" ca="1" si="394">IFERROR(AE71/AA$4,0)</f>
        <v>2.2619679004146995E-2</v>
      </c>
      <c r="AG71" s="404">
        <f t="shared" ref="AG71" ca="1" si="395">AH71/$X71</f>
        <v>35.778984239415898</v>
      </c>
      <c r="AH71" s="405">
        <f t="shared" ref="AH71" ca="1" si="396">AI71/$Z71</f>
        <v>1927.7716708197286</v>
      </c>
      <c r="AI71" s="405">
        <f t="shared" ref="AI71" ca="1" si="397">AJ71*AA$4</f>
        <v>1507.9993894987326</v>
      </c>
      <c r="AJ71" s="406">
        <f t="shared" ref="AJ71:AJ81" ca="1" si="398">$N71-AF71</f>
        <v>2.380320995853006E-3</v>
      </c>
      <c r="AK71" s="205"/>
      <c r="AL71" s="206">
        <f t="shared" ref="AL71" ca="1" si="399">AK71*$X71</f>
        <v>0</v>
      </c>
      <c r="AM71" s="206">
        <f t="shared" ref="AM71" ca="1" si="400">AL71*$Z71</f>
        <v>0</v>
      </c>
      <c r="AN71" s="207">
        <f t="shared" ref="AN71" ca="1" si="401">IFERROR(AM71/AA$4,0)</f>
        <v>0</v>
      </c>
      <c r="AO71" s="391">
        <f t="shared" ref="AO71" si="402">AA71+AK71</f>
        <v>340</v>
      </c>
      <c r="AP71" s="391">
        <f t="shared" ca="1" si="54"/>
        <v>18319.2</v>
      </c>
      <c r="AQ71" s="391">
        <f t="shared" ref="AQ71" ca="1" si="403">AP71*$Z71</f>
        <v>14330.1942</v>
      </c>
      <c r="AR71" s="886">
        <f t="shared" ref="AR71" ca="1" si="404">IFERROR(AQ71/AA$4,0)</f>
        <v>2.2619679004146995E-2</v>
      </c>
    </row>
    <row r="72" spans="1:44" outlineLevel="2" x14ac:dyDescent="0.2">
      <c r="A72" s="367"/>
      <c r="B72" s="367"/>
      <c r="C72" s="367" t="str">
        <f t="shared" ca="1" si="378"/>
        <v>US81369Y6059:USD</v>
      </c>
      <c r="D72" s="368" t="str">
        <f t="shared" ca="1" si="379"/>
        <v>US81369Y6059</v>
      </c>
      <c r="E72" s="369" t="str">
        <f t="shared" ca="1" si="379"/>
        <v>986018</v>
      </c>
      <c r="F72" s="367" t="s">
        <v>411</v>
      </c>
      <c r="G72" s="414"/>
      <c r="H72" s="1754" t="str">
        <f t="shared" ca="1" si="380"/>
        <v></v>
      </c>
      <c r="I72" s="1753" t="str">
        <f t="shared" ca="1" si="381"/>
        <v>i</v>
      </c>
      <c r="J72" s="1754" t="str">
        <f t="shared" ca="1" si="382"/>
        <v></v>
      </c>
      <c r="K72" s="1716" t="str">
        <f t="shared" ca="1" si="382"/>
        <v></v>
      </c>
      <c r="L72" s="1717" t="str">
        <f t="shared" ca="1" si="383"/>
        <v></v>
      </c>
      <c r="M72" s="366" t="str">
        <f t="shared" ca="1" si="384"/>
        <v>Unit</v>
      </c>
      <c r="N72" s="882"/>
      <c r="O72" s="882"/>
      <c r="P72" s="882">
        <f t="shared" ca="1" si="223"/>
        <v>0</v>
      </c>
      <c r="Q72" s="883"/>
      <c r="R72" s="883"/>
      <c r="S72" s="375">
        <f t="shared" ca="1" si="96"/>
        <v>-5.5550141311763003E-3</v>
      </c>
      <c r="T72" s="391">
        <f t="shared" si="385"/>
        <v>0</v>
      </c>
      <c r="U72" s="391">
        <f t="shared" ca="1" si="386"/>
        <v>0</v>
      </c>
      <c r="V72" s="391">
        <f t="shared" ref="V72:V81" si="405">SUMIF($AA$14:$AR$14,"O_Pos",AA72:AR72)</f>
        <v>0</v>
      </c>
      <c r="W72" s="367" t="str">
        <f t="shared" ca="1" si="388"/>
        <v>USD</v>
      </c>
      <c r="X72" s="887">
        <f t="shared" ca="1" si="389"/>
        <v>51.02</v>
      </c>
      <c r="Y72" s="887"/>
      <c r="Z72" s="885">
        <f t="shared" ca="1" si="390"/>
        <v>0.78225</v>
      </c>
      <c r="AA72" s="197">
        <f>315+-315</f>
        <v>0</v>
      </c>
      <c r="AB72" s="312" t="str">
        <f t="shared" ca="1" si="391"/>
        <v/>
      </c>
      <c r="AC72" s="807"/>
      <c r="AD72" s="199">
        <f t="shared" ref="AD72:AD81" ca="1" si="406">AA72*$X72</f>
        <v>0</v>
      </c>
      <c r="AE72" s="199">
        <f t="shared" ref="AE72:AE81" ca="1" si="407">AD72*$Z72</f>
        <v>0</v>
      </c>
      <c r="AF72" s="216">
        <f t="shared" ca="1" si="336"/>
        <v>0</v>
      </c>
      <c r="AG72" s="404">
        <f t="shared" ref="AG72:AG81" ca="1" si="408">AH72/$X72</f>
        <v>0</v>
      </c>
      <c r="AH72" s="405">
        <f t="shared" ref="AH72:AH81" ca="1" si="409">AI72/$Z72</f>
        <v>0</v>
      </c>
      <c r="AI72" s="405">
        <f t="shared" ref="AI72:AI81" ca="1" si="410">AJ72*AA$4</f>
        <v>0</v>
      </c>
      <c r="AJ72" s="406">
        <f t="shared" ca="1" si="398"/>
        <v>0</v>
      </c>
      <c r="AK72" s="205"/>
      <c r="AL72" s="206">
        <f t="shared" ref="AL72:AL81" ca="1" si="411">AK72*$X72</f>
        <v>0</v>
      </c>
      <c r="AM72" s="206">
        <f t="shared" ref="AM72:AM81" ca="1" si="412">AL72*$Z72</f>
        <v>0</v>
      </c>
      <c r="AN72" s="207">
        <f t="shared" ca="1" si="343"/>
        <v>0</v>
      </c>
      <c r="AO72" s="391">
        <f>AA72+AK72</f>
        <v>0</v>
      </c>
      <c r="AP72" s="391">
        <f t="shared" ca="1" si="54"/>
        <v>0</v>
      </c>
      <c r="AQ72" s="391">
        <f t="shared" ref="AQ72:AQ81" ca="1" si="413">AP72*$Z72</f>
        <v>0</v>
      </c>
      <c r="AR72" s="886">
        <f t="shared" ca="1" si="346"/>
        <v>0</v>
      </c>
    </row>
    <row r="73" spans="1:44" outlineLevel="2" x14ac:dyDescent="0.2">
      <c r="A73" s="367"/>
      <c r="B73" s="367"/>
      <c r="C73" s="367" t="str">
        <f t="shared" ca="1" si="378"/>
        <v>US81369Y7040:USD</v>
      </c>
      <c r="D73" s="368" t="str">
        <f t="shared" ca="1" si="379"/>
        <v>US81369Y7040</v>
      </c>
      <c r="E73" s="369" t="str">
        <f t="shared" ca="1" si="379"/>
        <v>986058</v>
      </c>
      <c r="F73" s="367" t="s">
        <v>472</v>
      </c>
      <c r="G73" s="414"/>
      <c r="H73" s="1754" t="str">
        <f t="shared" ca="1" si="380"/>
        <v></v>
      </c>
      <c r="I73" s="1753" t="str">
        <f t="shared" ca="1" si="381"/>
        <v>i</v>
      </c>
      <c r="J73" s="1754" t="str">
        <f t="shared" ca="1" si="382"/>
        <v></v>
      </c>
      <c r="K73" s="1716" t="str">
        <f t="shared" ca="1" si="382"/>
        <v></v>
      </c>
      <c r="L73" s="1717" t="str">
        <f t="shared" ca="1" si="383"/>
        <v></v>
      </c>
      <c r="M73" s="366" t="str">
        <f t="shared" ca="1" si="384"/>
        <v>Unit</v>
      </c>
      <c r="N73" s="882">
        <v>2.5000000000000001E-2</v>
      </c>
      <c r="O73" s="882"/>
      <c r="P73" s="882">
        <f t="shared" ca="1" si="223"/>
        <v>2.6037967977196066E-2</v>
      </c>
      <c r="Q73" s="891"/>
      <c r="R73" s="891"/>
      <c r="S73" s="375">
        <f t="shared" ca="1" si="96"/>
        <v>-1.77193963107883E-2</v>
      </c>
      <c r="T73" s="391">
        <f t="shared" si="385"/>
        <v>120</v>
      </c>
      <c r="U73" s="391">
        <f t="shared" ca="1" si="386"/>
        <v>-4.7836358571687869</v>
      </c>
      <c r="V73" s="391">
        <f t="shared" ref="V73" si="414">SUMIF($AA$14:$AR$14,"O_Pos",AA73:AR73)</f>
        <v>0</v>
      </c>
      <c r="W73" s="367" t="str">
        <f t="shared" ca="1" si="388"/>
        <v>USD</v>
      </c>
      <c r="X73" s="887">
        <f ca="1">_xlfn.NUMBERVALUE(OFFSET(Origine,MATCH($F73,Descrizioni,0),MATCH(X$14,Intestazioni,0)-1,1,1))</f>
        <v>175.73</v>
      </c>
      <c r="Y73" s="887"/>
      <c r="Z73" s="885">
        <f t="shared" ca="1" si="390"/>
        <v>0.78225</v>
      </c>
      <c r="AA73" s="197">
        <f>120</f>
        <v>120</v>
      </c>
      <c r="AB73" s="312">
        <f t="shared" ca="1" si="391"/>
        <v>4.0499733554384632E-2</v>
      </c>
      <c r="AC73" s="807">
        <v>168.89</v>
      </c>
      <c r="AD73" s="199">
        <f t="shared" ref="AD73" ca="1" si="415">AA73*$X73</f>
        <v>21087.599999999999</v>
      </c>
      <c r="AE73" s="199">
        <f t="shared" ref="AE73" ca="1" si="416">AD73*$Z73</f>
        <v>16495.775099999999</v>
      </c>
      <c r="AF73" s="216">
        <f t="shared" ref="AF73" ca="1" si="417">IFERROR(AE73/AA$4,0)</f>
        <v>2.6037967977196066E-2</v>
      </c>
      <c r="AG73" s="404">
        <f t="shared" ref="AG73" ca="1" si="418">AH73/$X73</f>
        <v>-4.7836358571687869</v>
      </c>
      <c r="AH73" s="405">
        <f t="shared" ref="AH73" ca="1" si="419">AI73/$Z73</f>
        <v>-840.62832918027084</v>
      </c>
      <c r="AI73" s="405">
        <f t="shared" ref="AI73" ca="1" si="420">AJ73*AA$4</f>
        <v>-657.58151050126685</v>
      </c>
      <c r="AJ73" s="406">
        <f t="shared" ca="1" si="398"/>
        <v>-1.0379679771960644E-3</v>
      </c>
      <c r="AK73" s="205"/>
      <c r="AL73" s="206">
        <f t="shared" ref="AL73" ca="1" si="421">AK73*$X73</f>
        <v>0</v>
      </c>
      <c r="AM73" s="206">
        <f t="shared" ref="AM73" ca="1" si="422">AL73*$Z73</f>
        <v>0</v>
      </c>
      <c r="AN73" s="207">
        <f t="shared" ref="AN73" ca="1" si="423">IFERROR(AM73/AA$4,0)</f>
        <v>0</v>
      </c>
      <c r="AO73" s="391">
        <f t="shared" ref="AO73" si="424">AA73+AK73</f>
        <v>120</v>
      </c>
      <c r="AP73" s="391">
        <f t="shared" ca="1" si="54"/>
        <v>21087.599999999999</v>
      </c>
      <c r="AQ73" s="391">
        <f t="shared" ref="AQ73" ca="1" si="425">AP73*$Z73</f>
        <v>16495.775099999999</v>
      </c>
      <c r="AR73" s="886">
        <f t="shared" ref="AR73" ca="1" si="426">IFERROR(AQ73/AA$4,0)</f>
        <v>2.6037967977196066E-2</v>
      </c>
    </row>
    <row r="74" spans="1:44" outlineLevel="2" x14ac:dyDescent="0.2">
      <c r="A74" s="367"/>
      <c r="B74" s="367"/>
      <c r="C74" s="367" t="str">
        <f t="shared" ca="1" si="378"/>
        <v>US81369Y8030:USD</v>
      </c>
      <c r="D74" s="368" t="str">
        <f t="shared" ca="1" si="379"/>
        <v>US81369Y8030</v>
      </c>
      <c r="E74" s="369" t="str">
        <f t="shared" ca="1" si="379"/>
        <v>986053</v>
      </c>
      <c r="F74" s="367" t="s">
        <v>414</v>
      </c>
      <c r="G74" s="414"/>
      <c r="H74" s="1754" t="str">
        <f t="shared" ca="1" si="380"/>
        <v></v>
      </c>
      <c r="I74" s="1753" t="str">
        <f t="shared" ca="1" si="381"/>
        <v>i</v>
      </c>
      <c r="J74" s="1754" t="str">
        <f t="shared" ca="1" si="382"/>
        <v></v>
      </c>
      <c r="K74" s="1716" t="str">
        <f t="shared" ca="1" si="382"/>
        <v></v>
      </c>
      <c r="L74" s="1717" t="str">
        <f t="shared" ca="1" si="383"/>
        <v></v>
      </c>
      <c r="M74" s="366" t="str">
        <f t="shared" ca="1" si="384"/>
        <v>Unit</v>
      </c>
      <c r="N74" s="882"/>
      <c r="O74" s="882"/>
      <c r="P74" s="882">
        <f t="shared" ca="1" si="223"/>
        <v>0</v>
      </c>
      <c r="Q74" s="891"/>
      <c r="R74" s="891"/>
      <c r="S74" s="375">
        <f t="shared" ca="1" si="96"/>
        <v>-1.53052080719739E-2</v>
      </c>
      <c r="T74" s="391">
        <f t="shared" ref="T74" si="427">SUMIF($AA$14:$AR$14,"I_Pos",AA74:AR74)</f>
        <v>0</v>
      </c>
      <c r="U74" s="391">
        <f t="shared" ref="U74" ca="1" si="428">SUMIF($AA$14:$AR$14,"P_Pos",AA74:AR74)</f>
        <v>0</v>
      </c>
      <c r="V74" s="391">
        <f t="shared" si="405"/>
        <v>0</v>
      </c>
      <c r="W74" s="367" t="str">
        <f t="shared" ca="1" si="388"/>
        <v>USD</v>
      </c>
      <c r="X74" s="887">
        <f ca="1">_xlfn.NUMBERVALUE(OFFSET(Origine,MATCH($F74,Descrizioni,0),MATCH(X$14,Intestazioni,0)-1,1,1))</f>
        <v>137.36000000000001</v>
      </c>
      <c r="Y74" s="887"/>
      <c r="Z74" s="885">
        <f t="shared" ref="Z74" ca="1" si="429">_xlfn.NUMBERVALUE(OFFSET(Origine,MATCH(W74&amp;"/"&amp;MRif,LUKB_Name,0),MATCH("Price",Intestazioni,0)-1,1,1))</f>
        <v>0.78225</v>
      </c>
      <c r="AA74" s="197">
        <f>100+-100</f>
        <v>0</v>
      </c>
      <c r="AB74" s="312" t="str">
        <f t="shared" ref="AB74" ca="1" si="430">IFERROR($X74/AC74-1,"")</f>
        <v/>
      </c>
      <c r="AC74" s="807"/>
      <c r="AD74" s="199">
        <f t="shared" ca="1" si="406"/>
        <v>0</v>
      </c>
      <c r="AE74" s="199">
        <f t="shared" ca="1" si="407"/>
        <v>0</v>
      </c>
      <c r="AF74" s="216">
        <f t="shared" ca="1" si="336"/>
        <v>0</v>
      </c>
      <c r="AG74" s="404">
        <f t="shared" ca="1" si="408"/>
        <v>0</v>
      </c>
      <c r="AH74" s="405">
        <f t="shared" ca="1" si="409"/>
        <v>0</v>
      </c>
      <c r="AI74" s="405">
        <f t="shared" ca="1" si="410"/>
        <v>0</v>
      </c>
      <c r="AJ74" s="406">
        <f t="shared" ref="AJ74" ca="1" si="431">$N74-AF74</f>
        <v>0</v>
      </c>
      <c r="AK74" s="205"/>
      <c r="AL74" s="206">
        <f t="shared" ca="1" si="411"/>
        <v>0</v>
      </c>
      <c r="AM74" s="206">
        <f t="shared" ca="1" si="412"/>
        <v>0</v>
      </c>
      <c r="AN74" s="207">
        <f t="shared" ca="1" si="343"/>
        <v>0</v>
      </c>
      <c r="AO74" s="391">
        <f t="shared" ref="AO74" si="432">AA74+AK74</f>
        <v>0</v>
      </c>
      <c r="AP74" s="391">
        <f t="shared" ref="AP74" ca="1" si="433">AD74+IF($R74="",AL74)</f>
        <v>0</v>
      </c>
      <c r="AQ74" s="391">
        <f t="shared" ca="1" si="413"/>
        <v>0</v>
      </c>
      <c r="AR74" s="886">
        <f t="shared" ca="1" si="346"/>
        <v>0</v>
      </c>
    </row>
    <row r="75" spans="1:44" outlineLevel="2" x14ac:dyDescent="0.2">
      <c r="A75" s="367"/>
      <c r="B75" s="367"/>
      <c r="C75" s="367" t="str">
        <f t="shared" ca="1" si="378"/>
        <v>US81369Y8865:USD</v>
      </c>
      <c r="D75" s="368" t="str">
        <f t="shared" ca="1" si="379"/>
        <v>US81369Y8865</v>
      </c>
      <c r="E75" s="369" t="str">
        <f t="shared" ca="1" si="379"/>
        <v>986060</v>
      </c>
      <c r="F75" s="367" t="s">
        <v>430</v>
      </c>
      <c r="G75" s="414"/>
      <c r="H75" s="1754" t="str">
        <f t="shared" ca="1" si="380"/>
        <v></v>
      </c>
      <c r="I75" s="1753" t="str">
        <f t="shared" ca="1" si="381"/>
        <v>i</v>
      </c>
      <c r="J75" s="1754" t="str">
        <f t="shared" ca="1" si="382"/>
        <v></v>
      </c>
      <c r="K75" s="1716" t="str">
        <f t="shared" ca="1" si="382"/>
        <v></v>
      </c>
      <c r="L75" s="1717" t="str">
        <f t="shared" ca="1" si="383"/>
        <v></v>
      </c>
      <c r="M75" s="366" t="str">
        <f t="shared" ca="1" si="384"/>
        <v>Unit</v>
      </c>
      <c r="N75" s="882">
        <v>2.5000000000000001E-2</v>
      </c>
      <c r="O75" s="882"/>
      <c r="P75" s="882">
        <f t="shared" ca="1" si="223"/>
        <v>2.5998332420183033E-2</v>
      </c>
      <c r="Q75" s="891"/>
      <c r="R75" s="891"/>
      <c r="S75" s="375">
        <f t="shared" ca="1" si="96"/>
        <v>-1.2244036309900801E-2</v>
      </c>
      <c r="T75" s="391">
        <f t="shared" ref="T75" si="434">SUMIF($AA$14:$AR$14,"I_Pos",AA75:AR75)</f>
        <v>450</v>
      </c>
      <c r="U75" s="391">
        <f t="shared" ref="U75" ca="1" si="435">SUMIF($AA$14:$AR$14,"P_Pos",AA75:AR75)</f>
        <v>-17.27993864458794</v>
      </c>
      <c r="V75" s="391">
        <f t="shared" ref="V75" si="436">SUMIF($AA$14:$AR$14,"O_Pos",AA75:AR75)</f>
        <v>0</v>
      </c>
      <c r="W75" s="367" t="str">
        <f t="shared" ca="1" si="388"/>
        <v>USD</v>
      </c>
      <c r="X75" s="887">
        <f ca="1">_xlfn.NUMBERVALUE(OFFSET(Origine,MATCH($F75,Descrizioni,0),MATCH(X$14,Intestazioni,0)-1,1,1))</f>
        <v>46.79</v>
      </c>
      <c r="Y75" s="887"/>
      <c r="Z75" s="885">
        <f t="shared" ref="Z75" ca="1" si="437">_xlfn.NUMBERVALUE(OFFSET(Origine,MATCH(W75&amp;"/"&amp;MRif,LUKB_Name,0),MATCH("Price",Intestazioni,0)-1,1,1))</f>
        <v>0.78225</v>
      </c>
      <c r="AA75" s="197">
        <f>450</f>
        <v>450</v>
      </c>
      <c r="AB75" s="312">
        <f t="shared" ref="AB75" ca="1" si="438">IFERROR($X75/AC75-1,"")</f>
        <v>2.733560215171793E-2</v>
      </c>
      <c r="AC75" s="807">
        <v>45.545000000000002</v>
      </c>
      <c r="AD75" s="199">
        <f t="shared" ref="AD75" ca="1" si="439">AA75*$X75</f>
        <v>21055.5</v>
      </c>
      <c r="AE75" s="199">
        <f t="shared" ref="AE75" ca="1" si="440">AD75*$Z75</f>
        <v>16470.664874999999</v>
      </c>
      <c r="AF75" s="216">
        <f t="shared" ref="AF75" ca="1" si="441">IFERROR(AE75/AA$4,0)</f>
        <v>2.5998332420183033E-2</v>
      </c>
      <c r="AG75" s="404">
        <f t="shared" ref="AG75" ca="1" si="442">AH75/$X75</f>
        <v>-17.27993864458794</v>
      </c>
      <c r="AH75" s="405">
        <f t="shared" ref="AH75" ca="1" si="443">AI75/$Z75</f>
        <v>-808.52832918026968</v>
      </c>
      <c r="AI75" s="405">
        <f t="shared" ref="AI75" ca="1" si="444">AJ75*AA$4</f>
        <v>-632.47128550126592</v>
      </c>
      <c r="AJ75" s="406">
        <f t="shared" ref="AJ75" ca="1" si="445">$N75-AF75</f>
        <v>-9.9833242018303181E-4</v>
      </c>
      <c r="AK75" s="205"/>
      <c r="AL75" s="206">
        <f t="shared" ref="AL75" ca="1" si="446">AK75*$X75</f>
        <v>0</v>
      </c>
      <c r="AM75" s="206">
        <f t="shared" ref="AM75" ca="1" si="447">AL75*$Z75</f>
        <v>0</v>
      </c>
      <c r="AN75" s="207">
        <f t="shared" ref="AN75" ca="1" si="448">IFERROR(AM75/AA$4,0)</f>
        <v>0</v>
      </c>
      <c r="AO75" s="391">
        <f t="shared" ref="AO75" si="449">AA75+AK75</f>
        <v>450</v>
      </c>
      <c r="AP75" s="391">
        <f t="shared" ref="AP75" ca="1" si="450">AD75+IF($R75="",AL75)</f>
        <v>21055.5</v>
      </c>
      <c r="AQ75" s="391">
        <f t="shared" ref="AQ75" ca="1" si="451">AP75*$Z75</f>
        <v>16470.664874999999</v>
      </c>
      <c r="AR75" s="886">
        <f t="shared" ref="AR75" ca="1" si="452">IFERROR(AQ75/AA$4,0)</f>
        <v>2.5998332420183033E-2</v>
      </c>
    </row>
    <row r="76" spans="1:44" outlineLevel="2" x14ac:dyDescent="0.2">
      <c r="A76" s="367"/>
      <c r="B76" s="367"/>
      <c r="C76" s="367" t="str">
        <f t="shared" ca="1" si="378"/>
        <v>IE00B53SZB19:USD:LSS</v>
      </c>
      <c r="D76" s="368" t="str">
        <f t="shared" ca="1" si="379"/>
        <v>IE00B53SZB19</v>
      </c>
      <c r="E76" s="369" t="str">
        <f t="shared" ca="1" si="379"/>
        <v>10737617</v>
      </c>
      <c r="F76" s="367" t="s">
        <v>510</v>
      </c>
      <c r="G76" s="414"/>
      <c r="H76" s="1754" t="str">
        <f t="shared" ca="1" si="380"/>
        <v></v>
      </c>
      <c r="I76" s="1753" t="str">
        <f t="shared" ca="1" si="381"/>
        <v>i</v>
      </c>
      <c r="J76" s="1754" t="str">
        <f t="shared" ca="1" si="382"/>
        <v></v>
      </c>
      <c r="K76" s="1716" t="str">
        <f t="shared" ca="1" si="382"/>
        <v></v>
      </c>
      <c r="L76" s="1717" t="str">
        <f t="shared" ca="1" si="383"/>
        <v></v>
      </c>
      <c r="M76" s="366" t="str">
        <f t="shared" ca="1" si="384"/>
        <v>Unit</v>
      </c>
      <c r="N76" s="882"/>
      <c r="O76" s="882"/>
      <c r="P76" s="882">
        <f t="shared" ca="1" si="223"/>
        <v>0</v>
      </c>
      <c r="Q76" s="891"/>
      <c r="R76" s="891"/>
      <c r="S76" s="375">
        <f t="shared" ca="1" si="96"/>
        <v>-1.12201963534362E-2</v>
      </c>
      <c r="T76" s="391">
        <f t="shared" si="385"/>
        <v>0</v>
      </c>
      <c r="U76" s="391">
        <f t="shared" ca="1" si="386"/>
        <v>0</v>
      </c>
      <c r="V76" s="391">
        <f t="shared" ref="V76:V78" si="453">SUMIF($AA$14:$AR$14,"O_Pos",AA76:AR76)</f>
        <v>0</v>
      </c>
      <c r="W76" s="367" t="str">
        <f t="shared" ca="1" si="388"/>
        <v>USD</v>
      </c>
      <c r="X76" s="887">
        <f ca="1">_xlfn.NUMBERVALUE(OFFSET(Origine,MATCH($F76,Descrizioni,0),MATCH(X$14,Intestazioni,0)-1,1,1))</f>
        <v>1410</v>
      </c>
      <c r="Y76" s="887"/>
      <c r="Z76" s="885">
        <f t="shared" ca="1" si="390"/>
        <v>0.78225</v>
      </c>
      <c r="AA76" s="197"/>
      <c r="AB76" s="312" t="str">
        <f t="shared" ca="1" si="391"/>
        <v/>
      </c>
      <c r="AC76" s="807"/>
      <c r="AD76" s="199">
        <f t="shared" ref="AD76:AD78" ca="1" si="454">AA76*$X76</f>
        <v>0</v>
      </c>
      <c r="AE76" s="199">
        <f t="shared" ref="AE76:AE78" ca="1" si="455">AD76*$Z76</f>
        <v>0</v>
      </c>
      <c r="AF76" s="216">
        <f t="shared" ref="AF76:AF78" ca="1" si="456">IFERROR(AE76/AA$4,0)</f>
        <v>0</v>
      </c>
      <c r="AG76" s="404">
        <f t="shared" ref="AG76:AG78" ca="1" si="457">AH76/$X76</f>
        <v>0</v>
      </c>
      <c r="AH76" s="405">
        <f t="shared" ref="AH76:AH78" ca="1" si="458">AI76/$Z76</f>
        <v>0</v>
      </c>
      <c r="AI76" s="405">
        <f t="shared" ref="AI76:AI78" ca="1" si="459">AJ76*AA$4</f>
        <v>0</v>
      </c>
      <c r="AJ76" s="406">
        <f t="shared" ca="1" si="398"/>
        <v>0</v>
      </c>
      <c r="AK76" s="205"/>
      <c r="AL76" s="206">
        <f t="shared" ref="AL76:AL78" ca="1" si="460">AK76*$X76</f>
        <v>0</v>
      </c>
      <c r="AM76" s="206">
        <f t="shared" ref="AM76:AM78" ca="1" si="461">AL76*$Z76</f>
        <v>0</v>
      </c>
      <c r="AN76" s="207">
        <f t="shared" ref="AN76:AN78" ca="1" si="462">IFERROR(AM76/AA$4,0)</f>
        <v>0</v>
      </c>
      <c r="AO76" s="391">
        <f t="shared" ref="AO76" si="463">AA76+AK76</f>
        <v>0</v>
      </c>
      <c r="AP76" s="391">
        <f t="shared" ca="1" si="54"/>
        <v>0</v>
      </c>
      <c r="AQ76" s="391">
        <f t="shared" ref="AQ76:AQ78" ca="1" si="464">AP76*$Z76</f>
        <v>0</v>
      </c>
      <c r="AR76" s="886">
        <f t="shared" ref="AR76:AR78" ca="1" si="465">IFERROR(AQ76/AA$4,0)</f>
        <v>0</v>
      </c>
    </row>
    <row r="77" spans="1:44" outlineLevel="2" x14ac:dyDescent="0.2">
      <c r="A77" s="367"/>
      <c r="B77" s="367"/>
      <c r="C77" s="367" t="str">
        <f t="shared" ca="1" si="378"/>
        <v>IE00BYVTMT69:CHF:P</v>
      </c>
      <c r="D77" s="368" t="str">
        <f t="shared" ca="1" si="379"/>
        <v>IE00BYVTMT69</v>
      </c>
      <c r="E77" s="369" t="str">
        <f t="shared" ca="1" si="379"/>
        <v>37364244</v>
      </c>
      <c r="F77" s="367" t="s">
        <v>402</v>
      </c>
      <c r="G77" s="414"/>
      <c r="H77" s="1754" t="str">
        <f t="shared" ca="1" si="380"/>
        <v></v>
      </c>
      <c r="I77" s="1753" t="str">
        <f t="shared" ca="1" si="381"/>
        <v>i</v>
      </c>
      <c r="J77" s="1754" t="str">
        <f t="shared" ca="1" si="382"/>
        <v></v>
      </c>
      <c r="K77" s="1716" t="str">
        <f t="shared" ca="1" si="382"/>
        <v></v>
      </c>
      <c r="L77" s="1717" t="str">
        <f t="shared" ca="1" si="383"/>
        <v></v>
      </c>
      <c r="M77" s="366" t="str">
        <f t="shared" ca="1" si="384"/>
        <v>Unit</v>
      </c>
      <c r="N77" s="882"/>
      <c r="O77" s="882"/>
      <c r="P77" s="882">
        <f t="shared" ca="1" si="223"/>
        <v>0</v>
      </c>
      <c r="Q77" s="891"/>
      <c r="R77" s="891"/>
      <c r="S77" s="375">
        <f t="shared" ca="1" si="96"/>
        <v>-1.1203423967774599E-2</v>
      </c>
      <c r="T77" s="391">
        <f t="shared" ref="T77" si="466">SUMIF($AA$14:$AR$14,"I_Pos",AA77:AR77)</f>
        <v>0</v>
      </c>
      <c r="U77" s="391">
        <f t="shared" ref="U77" ca="1" si="467">SUMIF($AA$14:$AR$14,"P_Pos",AA77:AR77)</f>
        <v>0</v>
      </c>
      <c r="V77" s="391">
        <f t="shared" ref="V77" si="468">SUMIF($AA$14:$AR$14,"O_Pos",AA77:AR77)</f>
        <v>0</v>
      </c>
      <c r="W77" s="367" t="str">
        <f t="shared" ca="1" si="388"/>
        <v>CHF</v>
      </c>
      <c r="X77" s="887">
        <f t="shared" ca="1" si="389"/>
        <v>392.75</v>
      </c>
      <c r="Y77" s="887"/>
      <c r="Z77" s="885">
        <f t="shared" ref="Z77" ca="1" si="469">_xlfn.NUMBERVALUE(OFFSET(Origine,MATCH(W77&amp;"/"&amp;MRif,LUKB_Name,0),MATCH("Price",Intestazioni,0)-1,1,1))</f>
        <v>1.0000001300000001</v>
      </c>
      <c r="AA77" s="197">
        <f>70+-70</f>
        <v>0</v>
      </c>
      <c r="AB77" s="312" t="str">
        <f t="shared" ca="1" si="391"/>
        <v/>
      </c>
      <c r="AC77" s="807"/>
      <c r="AD77" s="199">
        <f t="shared" ref="AD77" ca="1" si="470">AA77*$X77</f>
        <v>0</v>
      </c>
      <c r="AE77" s="199">
        <f t="shared" ref="AE77" ca="1" si="471">AD77*$Z77</f>
        <v>0</v>
      </c>
      <c r="AF77" s="216">
        <f t="shared" ref="AF77" ca="1" si="472">IFERROR(AE77/AA$4,0)</f>
        <v>0</v>
      </c>
      <c r="AG77" s="404">
        <f t="shared" ref="AG77" ca="1" si="473">AH77/$X77</f>
        <v>0</v>
      </c>
      <c r="AH77" s="405">
        <f t="shared" ref="AH77" ca="1" si="474">AI77/$Z77</f>
        <v>0</v>
      </c>
      <c r="AI77" s="405">
        <f t="shared" ref="AI77" ca="1" si="475">AJ77*AA$4</f>
        <v>0</v>
      </c>
      <c r="AJ77" s="406">
        <f t="shared" ca="1" si="398"/>
        <v>0</v>
      </c>
      <c r="AK77" s="205"/>
      <c r="AL77" s="206">
        <f t="shared" ref="AL77" ca="1" si="476">AK77*$X77</f>
        <v>0</v>
      </c>
      <c r="AM77" s="206">
        <f t="shared" ref="AM77" ca="1" si="477">AL77*$Z77</f>
        <v>0</v>
      </c>
      <c r="AN77" s="207">
        <f t="shared" ref="AN77" ca="1" si="478">IFERROR(AM77/AA$4,0)</f>
        <v>0</v>
      </c>
      <c r="AO77" s="391">
        <f>AA77+AK77</f>
        <v>0</v>
      </c>
      <c r="AP77" s="391">
        <f t="shared" ref="AP77" ca="1" si="479">AD77+IF($R77="",AL77)</f>
        <v>0</v>
      </c>
      <c r="AQ77" s="391">
        <f t="shared" ref="AQ77" ca="1" si="480">AP77*$Z77</f>
        <v>0</v>
      </c>
      <c r="AR77" s="886">
        <f t="shared" ref="AR77" ca="1" si="481">IFERROR(AQ77/AA$4,0)</f>
        <v>0</v>
      </c>
    </row>
    <row r="78" spans="1:44" outlineLevel="2" x14ac:dyDescent="0.2">
      <c r="A78" s="367"/>
      <c r="B78" s="367"/>
      <c r="C78" s="367" t="str">
        <f t="shared" ca="1" si="378"/>
        <v>IE000MLMNYS0:USD</v>
      </c>
      <c r="D78" s="368" t="str">
        <f t="shared" ca="1" si="379"/>
        <v>IE000MLMNYS0</v>
      </c>
      <c r="E78" s="369" t="str">
        <f t="shared" ca="1" si="379"/>
        <v>119553349</v>
      </c>
      <c r="F78" s="367" t="s">
        <v>452</v>
      </c>
      <c r="G78" s="414"/>
      <c r="H78" s="1754" t="str">
        <f t="shared" ca="1" si="380"/>
        <v></v>
      </c>
      <c r="I78" s="1753" t="str">
        <f t="shared" ca="1" si="381"/>
        <v>i</v>
      </c>
      <c r="J78" s="1754" t="str">
        <f t="shared" ca="1" si="382"/>
        <v></v>
      </c>
      <c r="K78" s="1716" t="str">
        <f t="shared" ca="1" si="382"/>
        <v></v>
      </c>
      <c r="L78" s="1717" t="str">
        <f t="shared" ca="1" si="383"/>
        <v></v>
      </c>
      <c r="M78" s="366" t="str">
        <f t="shared" ca="1" si="384"/>
        <v>Unit</v>
      </c>
      <c r="N78" s="882"/>
      <c r="O78" s="882"/>
      <c r="P78" s="882">
        <f t="shared" ref="P78:P109" ca="1" si="482">SUMIF($AA$14:$AR$14,"I_Ctrlv",$AA78:$AR78)/$T$2</f>
        <v>0</v>
      </c>
      <c r="Q78" s="891"/>
      <c r="R78" s="891"/>
      <c r="S78" s="375">
        <f t="shared" ca="1" si="96"/>
        <v>-1.41592920353982E-2</v>
      </c>
      <c r="T78" s="391">
        <f t="shared" si="385"/>
        <v>0</v>
      </c>
      <c r="U78" s="391">
        <f t="shared" ca="1" si="386"/>
        <v>0</v>
      </c>
      <c r="V78" s="391">
        <f t="shared" si="453"/>
        <v>0</v>
      </c>
      <c r="W78" s="367" t="str">
        <f t="shared" ca="1" si="388"/>
        <v>USD</v>
      </c>
      <c r="X78" s="887">
        <f t="shared" ca="1" si="389"/>
        <v>7.2450000000000001</v>
      </c>
      <c r="Y78" s="887"/>
      <c r="Z78" s="885">
        <f t="shared" ca="1" si="390"/>
        <v>0.78225</v>
      </c>
      <c r="AA78" s="197"/>
      <c r="AB78" s="312" t="str">
        <f t="shared" ref="AB78" ca="1" si="483">IFERROR($X78/AC78-1,"")</f>
        <v/>
      </c>
      <c r="AC78" s="807"/>
      <c r="AD78" s="199">
        <f t="shared" ca="1" si="454"/>
        <v>0</v>
      </c>
      <c r="AE78" s="199">
        <f t="shared" ca="1" si="455"/>
        <v>0</v>
      </c>
      <c r="AF78" s="216">
        <f t="shared" ca="1" si="456"/>
        <v>0</v>
      </c>
      <c r="AG78" s="404">
        <f t="shared" ca="1" si="457"/>
        <v>0</v>
      </c>
      <c r="AH78" s="405">
        <f t="shared" ca="1" si="458"/>
        <v>0</v>
      </c>
      <c r="AI78" s="405">
        <f t="shared" ca="1" si="459"/>
        <v>0</v>
      </c>
      <c r="AJ78" s="406">
        <f t="shared" ref="AJ78" ca="1" si="484">$N78-AF78</f>
        <v>0</v>
      </c>
      <c r="AK78" s="205"/>
      <c r="AL78" s="206">
        <f t="shared" ca="1" si="460"/>
        <v>0</v>
      </c>
      <c r="AM78" s="206">
        <f t="shared" ca="1" si="461"/>
        <v>0</v>
      </c>
      <c r="AN78" s="207">
        <f t="shared" ca="1" si="462"/>
        <v>0</v>
      </c>
      <c r="AO78" s="391">
        <f>AA78+AK78</f>
        <v>0</v>
      </c>
      <c r="AP78" s="391">
        <f t="shared" ca="1" si="54"/>
        <v>0</v>
      </c>
      <c r="AQ78" s="391">
        <f t="shared" ca="1" si="464"/>
        <v>0</v>
      </c>
      <c r="AR78" s="886">
        <f t="shared" ca="1" si="465"/>
        <v>0</v>
      </c>
    </row>
    <row r="79" spans="1:44" outlineLevel="2" x14ac:dyDescent="0.2">
      <c r="A79" s="367"/>
      <c r="B79" s="367"/>
      <c r="C79" s="367" t="str">
        <f t="shared" ca="1" si="378"/>
        <v>IE00B88DZ566:CHF:P</v>
      </c>
      <c r="D79" s="368" t="str">
        <f t="shared" ca="1" si="379"/>
        <v>IE00B88DZ566</v>
      </c>
      <c r="E79" s="369" t="str">
        <f t="shared" ca="1" si="379"/>
        <v>19328353</v>
      </c>
      <c r="F79" s="367" t="s">
        <v>826</v>
      </c>
      <c r="G79" s="414"/>
      <c r="H79" s="1754" t="str">
        <f t="shared" ca="1" si="380"/>
        <v></v>
      </c>
      <c r="I79" s="1753" t="str">
        <f t="shared" ca="1" si="381"/>
        <v>i</v>
      </c>
      <c r="J79" s="1754" t="str">
        <f t="shared" ca="1" si="382"/>
        <v></v>
      </c>
      <c r="K79" s="1716" t="str">
        <f t="shared" ca="1" si="382"/>
        <v></v>
      </c>
      <c r="L79" s="1717" t="str">
        <f t="shared" ca="1" si="383"/>
        <v></v>
      </c>
      <c r="M79" s="366" t="str">
        <f t="shared" ca="1" si="384"/>
        <v>Unit</v>
      </c>
      <c r="N79" s="882">
        <v>2.5000000000000001E-2</v>
      </c>
      <c r="O79" s="882"/>
      <c r="P79" s="882">
        <f t="shared" ca="1" si="482"/>
        <v>0</v>
      </c>
      <c r="Q79" s="891"/>
      <c r="R79" s="891"/>
      <c r="S79" s="375">
        <f t="shared" ca="1" si="96"/>
        <v>-1.0843848580441599E-2</v>
      </c>
      <c r="T79" s="391">
        <f t="shared" si="385"/>
        <v>0</v>
      </c>
      <c r="U79" s="391">
        <f t="shared" ca="1" si="386"/>
        <v>157.84524148429171</v>
      </c>
      <c r="V79" s="391">
        <f t="shared" si="405"/>
        <v>0</v>
      </c>
      <c r="W79" s="367" t="str">
        <f t="shared" ca="1" si="388"/>
        <v>CHF</v>
      </c>
      <c r="X79" s="887">
        <f t="shared" ca="1" si="389"/>
        <v>100.34</v>
      </c>
      <c r="Y79" s="887"/>
      <c r="Z79" s="885">
        <f t="shared" ca="1" si="390"/>
        <v>1.0000001300000001</v>
      </c>
      <c r="AA79" s="197"/>
      <c r="AB79" s="312" t="str">
        <f t="shared" ca="1" si="391"/>
        <v/>
      </c>
      <c r="AC79" s="807"/>
      <c r="AD79" s="199">
        <f t="shared" ca="1" si="406"/>
        <v>0</v>
      </c>
      <c r="AE79" s="199">
        <f t="shared" ca="1" si="407"/>
        <v>0</v>
      </c>
      <c r="AF79" s="216">
        <f t="shared" ca="1" si="336"/>
        <v>0</v>
      </c>
      <c r="AG79" s="404">
        <f t="shared" ca="1" si="408"/>
        <v>157.84524148429171</v>
      </c>
      <c r="AH79" s="405">
        <f t="shared" ca="1" si="409"/>
        <v>15838.191530533832</v>
      </c>
      <c r="AI79" s="405">
        <f t="shared" ca="1" si="410"/>
        <v>15838.193589498733</v>
      </c>
      <c r="AJ79" s="406">
        <f t="shared" ca="1" si="398"/>
        <v>2.5000000000000001E-2</v>
      </c>
      <c r="AK79" s="205"/>
      <c r="AL79" s="206">
        <f t="shared" ca="1" si="411"/>
        <v>0</v>
      </c>
      <c r="AM79" s="206">
        <f t="shared" ca="1" si="412"/>
        <v>0</v>
      </c>
      <c r="AN79" s="207">
        <f t="shared" ca="1" si="343"/>
        <v>0</v>
      </c>
      <c r="AO79" s="391">
        <f>AA79+AK79</f>
        <v>0</v>
      </c>
      <c r="AP79" s="391">
        <f t="shared" ref="AP79:AP118" ca="1" si="485">AD79+IF($R79="",AL79)</f>
        <v>0</v>
      </c>
      <c r="AQ79" s="391">
        <f t="shared" ca="1" si="413"/>
        <v>0</v>
      </c>
      <c r="AR79" s="886">
        <f t="shared" ca="1" si="346"/>
        <v>0</v>
      </c>
    </row>
    <row r="80" spans="1:44" outlineLevel="2" x14ac:dyDescent="0.2">
      <c r="A80" s="367"/>
      <c r="B80" s="367"/>
      <c r="C80" s="367" t="str">
        <f t="shared" ca="1" si="378"/>
        <v>IE00BD4TYL27:CHF</v>
      </c>
      <c r="D80" s="368" t="str">
        <f t="shared" ca="1" si="379"/>
        <v>IE00BD4TYL27</v>
      </c>
      <c r="E80" s="369" t="str">
        <f t="shared" ca="1" si="379"/>
        <v>22375108</v>
      </c>
      <c r="F80" s="367" t="s">
        <v>524</v>
      </c>
      <c r="G80" s="414"/>
      <c r="H80" s="1754" t="str">
        <f t="shared" ca="1" si="380"/>
        <v></v>
      </c>
      <c r="I80" s="1753" t="str">
        <f t="shared" ca="1" si="381"/>
        <v>i</v>
      </c>
      <c r="J80" s="1754" t="str">
        <f t="shared" ca="1" si="382"/>
        <v></v>
      </c>
      <c r="K80" s="1716" t="str">
        <f t="shared" ca="1" si="382"/>
        <v></v>
      </c>
      <c r="L80" s="1717" t="str">
        <f t="shared" ca="1" si="383"/>
        <v></v>
      </c>
      <c r="M80" s="366" t="str">
        <f t="shared" ca="1" si="384"/>
        <v>Unit</v>
      </c>
      <c r="N80" s="882"/>
      <c r="O80" s="882"/>
      <c r="P80" s="882">
        <f t="shared" ca="1" si="482"/>
        <v>0</v>
      </c>
      <c r="Q80" s="883"/>
      <c r="R80" s="883"/>
      <c r="S80" s="375">
        <f t="shared" ca="1" si="96"/>
        <v>-1.16892520947554E-2</v>
      </c>
      <c r="T80" s="391">
        <f t="shared" ref="T80" si="486">SUMIF($AA$14:$AR$14,"I_Pos",AA80:AR80)</f>
        <v>0</v>
      </c>
      <c r="U80" s="391">
        <f t="shared" ref="U80" ca="1" si="487">SUMIF($AA$14:$AR$14,"P_Pos",AA80:AR80)</f>
        <v>0</v>
      </c>
      <c r="V80" s="391">
        <f t="shared" ref="V80" si="488">SUMIF($AA$14:$AR$14,"O_Pos",AA80:AR80)</f>
        <v>0</v>
      </c>
      <c r="W80" s="367" t="str">
        <f t="shared" ca="1" si="388"/>
        <v>CHF</v>
      </c>
      <c r="X80" s="887">
        <f t="shared" ca="1" si="389"/>
        <v>47.77</v>
      </c>
      <c r="Y80" s="887"/>
      <c r="Z80" s="885">
        <f t="shared" ref="Z80" ca="1" si="489">_xlfn.NUMBERVALUE(OFFSET(Origine,MATCH(W80&amp;"/"&amp;MRif,LUKB_Name,0),MATCH("Price",Intestazioni,0)-1,1,1))</f>
        <v>1.0000001300000001</v>
      </c>
      <c r="AA80" s="197"/>
      <c r="AB80" s="312" t="str">
        <f t="shared" ref="AB80" ca="1" si="490">IFERROR($X80/AC80-1,"")</f>
        <v/>
      </c>
      <c r="AC80" s="807"/>
      <c r="AD80" s="199">
        <f t="shared" ref="AD80" ca="1" si="491">AA80*$X80</f>
        <v>0</v>
      </c>
      <c r="AE80" s="199">
        <f t="shared" ref="AE80" ca="1" si="492">AD80*$Z80</f>
        <v>0</v>
      </c>
      <c r="AF80" s="216">
        <f t="shared" ref="AF80" ca="1" si="493">IFERROR(AE80/AA$4,0)</f>
        <v>0</v>
      </c>
      <c r="AG80" s="404">
        <f t="shared" ref="AG80" ca="1" si="494">AH80/$X80</f>
        <v>0</v>
      </c>
      <c r="AH80" s="405">
        <f t="shared" ref="AH80" ca="1" si="495">AI80/$Z80</f>
        <v>0</v>
      </c>
      <c r="AI80" s="405">
        <f t="shared" ref="AI80" ca="1" si="496">AJ80*AA$4</f>
        <v>0</v>
      </c>
      <c r="AJ80" s="406">
        <f t="shared" ref="AJ80" ca="1" si="497">$N80-AF80</f>
        <v>0</v>
      </c>
      <c r="AK80" s="205"/>
      <c r="AL80" s="206">
        <f t="shared" ref="AL80" ca="1" si="498">AK80*$X80</f>
        <v>0</v>
      </c>
      <c r="AM80" s="206">
        <f t="shared" ref="AM80" ca="1" si="499">AL80*$Z80</f>
        <v>0</v>
      </c>
      <c r="AN80" s="207">
        <f t="shared" ref="AN80" ca="1" si="500">IFERROR(AM80/AA$4,0)</f>
        <v>0</v>
      </c>
      <c r="AO80" s="391">
        <f>AA80+AK80</f>
        <v>0</v>
      </c>
      <c r="AP80" s="391">
        <f t="shared" ref="AP80" ca="1" si="501">AD80+IF($R80="",AL80)</f>
        <v>0</v>
      </c>
      <c r="AQ80" s="391">
        <f t="shared" ref="AQ80" ca="1" si="502">AP80*$Z80</f>
        <v>0</v>
      </c>
      <c r="AR80" s="886">
        <f t="shared" ref="AR80" ca="1" si="503">IFERROR(AQ80/AA$4,0)</f>
        <v>0</v>
      </c>
    </row>
    <row r="81" spans="1:44" outlineLevel="2" x14ac:dyDescent="0.2">
      <c r="A81" s="367"/>
      <c r="B81" s="367"/>
      <c r="C81" s="367" t="str">
        <f t="shared" ca="1" si="378"/>
        <v>IE0002GFATQ6:CHF:P</v>
      </c>
      <c r="D81" s="368" t="str">
        <f t="shared" ca="1" si="379"/>
        <v>IE0002GFATQ6</v>
      </c>
      <c r="E81" s="369" t="str">
        <f t="shared" ca="1" si="379"/>
        <v>134865972</v>
      </c>
      <c r="F81" s="367" t="s">
        <v>4300</v>
      </c>
      <c r="G81" s="414"/>
      <c r="H81" s="1754" t="str">
        <f t="shared" ca="1" si="380"/>
        <v></v>
      </c>
      <c r="I81" s="1753" t="str">
        <f t="shared" ca="1" si="381"/>
        <v>i</v>
      </c>
      <c r="J81" s="1754" t="str">
        <f t="shared" ca="1" si="382"/>
        <v></v>
      </c>
      <c r="K81" s="1716" t="str">
        <f t="shared" ca="1" si="382"/>
        <v></v>
      </c>
      <c r="L81" s="1717" t="str">
        <f t="shared" ca="1" si="383"/>
        <v></v>
      </c>
      <c r="M81" s="366" t="str">
        <f t="shared" ca="1" si="384"/>
        <v>Unit</v>
      </c>
      <c r="N81" s="882">
        <v>0.05</v>
      </c>
      <c r="O81" s="882"/>
      <c r="P81" s="882">
        <f t="shared" ca="1" si="482"/>
        <v>4.937432398720603E-2</v>
      </c>
      <c r="Q81" s="883"/>
      <c r="R81" s="883"/>
      <c r="S81" s="375">
        <f t="shared" ca="1" si="96"/>
        <v>-2.5217207035388798E-2</v>
      </c>
      <c r="T81" s="391">
        <f t="shared" si="385"/>
        <v>3400</v>
      </c>
      <c r="U81" s="391">
        <f t="shared" ca="1" si="386"/>
        <v>43.085115333442076</v>
      </c>
      <c r="V81" s="391">
        <f t="shared" si="405"/>
        <v>0</v>
      </c>
      <c r="W81" s="367" t="str">
        <f t="shared" ca="1" si="388"/>
        <v>CHF</v>
      </c>
      <c r="X81" s="887">
        <f t="shared" ca="1" si="389"/>
        <v>9.1999999999999993</v>
      </c>
      <c r="Y81" s="887"/>
      <c r="Z81" s="885">
        <f t="shared" ca="1" si="390"/>
        <v>1.0000001300000001</v>
      </c>
      <c r="AA81" s="197">
        <f>3400</f>
        <v>3400</v>
      </c>
      <c r="AB81" s="312">
        <f t="shared" ca="1" si="391"/>
        <v>-2.2327074101231692E-2</v>
      </c>
      <c r="AC81" s="807">
        <v>9.4100999999999999</v>
      </c>
      <c r="AD81" s="199">
        <f t="shared" ca="1" si="406"/>
        <v>31279.999999999996</v>
      </c>
      <c r="AE81" s="199">
        <f t="shared" ca="1" si="407"/>
        <v>31280.004066400001</v>
      </c>
      <c r="AF81" s="216">
        <f t="shared" ca="1" si="336"/>
        <v>4.937432398720603E-2</v>
      </c>
      <c r="AG81" s="404">
        <f t="shared" ca="1" si="408"/>
        <v>43.085115333442076</v>
      </c>
      <c r="AH81" s="405">
        <f t="shared" ca="1" si="409"/>
        <v>396.38306106766709</v>
      </c>
      <c r="AI81" s="405">
        <f t="shared" ca="1" si="410"/>
        <v>396.38311259746507</v>
      </c>
      <c r="AJ81" s="406">
        <f t="shared" ca="1" si="398"/>
        <v>6.2567601279397284E-4</v>
      </c>
      <c r="AK81" s="205"/>
      <c r="AL81" s="206">
        <f t="shared" ca="1" si="411"/>
        <v>0</v>
      </c>
      <c r="AM81" s="206">
        <f t="shared" ca="1" si="412"/>
        <v>0</v>
      </c>
      <c r="AN81" s="207">
        <f t="shared" ca="1" si="343"/>
        <v>0</v>
      </c>
      <c r="AO81" s="391">
        <f>AA81+AK81</f>
        <v>3400</v>
      </c>
      <c r="AP81" s="391">
        <f t="shared" ca="1" si="485"/>
        <v>31279.999999999996</v>
      </c>
      <c r="AQ81" s="391">
        <f t="shared" ca="1" si="413"/>
        <v>31280.004066400001</v>
      </c>
      <c r="AR81" s="886">
        <f t="shared" ca="1" si="346"/>
        <v>4.937432398720603E-2</v>
      </c>
    </row>
    <row r="82" spans="1:44" outlineLevel="1" x14ac:dyDescent="0.2">
      <c r="A82" s="346"/>
      <c r="B82" s="346" t="s">
        <v>463</v>
      </c>
      <c r="C82" s="346"/>
      <c r="D82" s="347"/>
      <c r="E82" s="348"/>
      <c r="F82" s="346"/>
      <c r="G82" s="349"/>
      <c r="H82" s="1750"/>
      <c r="I82" s="1750"/>
      <c r="J82" s="1750"/>
      <c r="K82" s="1750"/>
      <c r="L82" s="1750"/>
      <c r="M82" s="345"/>
      <c r="N82" s="352">
        <f>SUM(N$83:N$84)</f>
        <v>0.05</v>
      </c>
      <c r="O82" s="352"/>
      <c r="P82" s="352">
        <f t="shared" ca="1" si="482"/>
        <v>5.6711337639559704E-2</v>
      </c>
      <c r="Q82" s="871" t="s">
        <v>718</v>
      </c>
      <c r="R82" s="871"/>
      <c r="S82" s="352"/>
      <c r="T82" s="421"/>
      <c r="U82" s="421"/>
      <c r="V82" s="872"/>
      <c r="W82" s="346"/>
      <c r="X82" s="873"/>
      <c r="Y82" s="873"/>
      <c r="Z82" s="874"/>
      <c r="AA82" s="357"/>
      <c r="AB82" s="359"/>
      <c r="AC82" s="875"/>
      <c r="AD82" s="359"/>
      <c r="AE82" s="360">
        <f ca="1">SUM(AE$83:AE$84)</f>
        <v>35928.205770190907</v>
      </c>
      <c r="AF82" s="361">
        <f t="shared" ca="1" si="336"/>
        <v>5.6711337639559704E-2</v>
      </c>
      <c r="AG82" s="362"/>
      <c r="AH82" s="359"/>
      <c r="AI82" s="360">
        <f ca="1">SUM(AI$83:AI$84)</f>
        <v>-4251.8185911934379</v>
      </c>
      <c r="AJ82" s="363">
        <f ca="1">IFERROR(AI82/AA$4,0)</f>
        <v>-6.7113376395596972E-3</v>
      </c>
      <c r="AK82" s="362"/>
      <c r="AL82" s="359"/>
      <c r="AM82" s="360">
        <f ca="1">SUM(AM$83:AM$84)</f>
        <v>0</v>
      </c>
      <c r="AN82" s="363">
        <f t="shared" ca="1" si="343"/>
        <v>0</v>
      </c>
      <c r="AO82" s="359"/>
      <c r="AP82" s="359"/>
      <c r="AQ82" s="360">
        <f ca="1">SUM(AQ$83:AQ$84)</f>
        <v>35928.205770190907</v>
      </c>
      <c r="AR82" s="876">
        <f t="shared" ca="1" si="346"/>
        <v>5.6711337639559704E-2</v>
      </c>
    </row>
    <row r="83" spans="1:44" outlineLevel="2" x14ac:dyDescent="0.2">
      <c r="A83" s="367"/>
      <c r="B83" s="367"/>
      <c r="C83" s="367" t="str">
        <f t="shared" ref="C83:E84" ca="1" si="504">OFFSET(Origine,MATCH($F83,Descrizioni,0),MATCH(C$14,Intestazioni,0)-1,1,1)</f>
        <v>IE00B52MJY50:USD</v>
      </c>
      <c r="D83" s="368" t="str">
        <f t="shared" ca="1" si="504"/>
        <v>IE00B52MJY50</v>
      </c>
      <c r="E83" s="369" t="str">
        <f t="shared" ca="1" si="504"/>
        <v>10737120</v>
      </c>
      <c r="F83" s="367" t="s">
        <v>770</v>
      </c>
      <c r="G83" s="414"/>
      <c r="H83" s="1754" t="str">
        <f ca="1">HYPERLINK(OFFSET(Origine,MATCH($F83,Descrizioni,0),MATCH(H$14,Intestazioni,0)-1,1,1),"")</f>
        <v></v>
      </c>
      <c r="I83" s="1753" t="str">
        <f ca="1">HYPERLINK(OFFSET(Origine,MATCH($F83,Descrizioni,0),MATCH(I$14,Intestazioni,0)-1,1,1),"i")</f>
        <v>i</v>
      </c>
      <c r="J83" s="1754" t="str">
        <f t="shared" ref="J83:K84" ca="1" si="505">HYPERLINK(OFFSET(Origine,MATCH($F83,Descrizioni,0),MATCH(J$14,Intestazioni,0)-1,1,1),"")</f>
        <v></v>
      </c>
      <c r="K83" s="1716" t="str">
        <f t="shared" ca="1" si="505"/>
        <v></v>
      </c>
      <c r="L83" s="1717" t="str">
        <f ca="1">IFERROR(HYPERLINK("https://www.zonebourse.com/mods_a/charts/TV/inc_dyna_graph.php?c="&amp;OFFSET(Origine,MATCH($F83,Descrizioni,0),MATCH(L$14,Intestazioni,0)-1,1,1)&amp;"&amp;style=TradingView.CANDLES&amp;showAT=1",""),"")</f>
        <v></v>
      </c>
      <c r="M83" s="366" t="str">
        <f ca="1">(OFFSET(Origine,MATCH($F83,Descrizioni,0),MATCH(M$14,Intestazioni,0)-1,1,1))</f>
        <v>Unit</v>
      </c>
      <c r="N83" s="882">
        <v>2.5000000000000001E-2</v>
      </c>
      <c r="O83" s="882"/>
      <c r="P83" s="882">
        <f t="shared" ca="1" si="482"/>
        <v>2.0343659619657273E-2</v>
      </c>
      <c r="Q83" s="883"/>
      <c r="R83" s="883"/>
      <c r="S83" s="375">
        <f t="shared" ca="1" si="96"/>
        <v>-2.8480620794980899E-2</v>
      </c>
      <c r="T83" s="391">
        <f t="shared" ref="T83:T90" si="506">SUMIF($AA$14:$AR$14,"I_Pos",AA83:AR83)</f>
        <v>70</v>
      </c>
      <c r="U83" s="391">
        <f ca="1">SUMIF($AA$14:$AR$14,"P_Pos",AA83:AR83)</f>
        <v>16.021887542251463</v>
      </c>
      <c r="V83" s="391">
        <f>SUMIF($AA$14:$AR$14,"O_Pos",AA83:AR83)</f>
        <v>0</v>
      </c>
      <c r="W83" s="367" t="str">
        <f ca="1">OFFSET(Origine,MATCH($F83,Descrizioni,0),MATCH(W$14,Intestazioni,0)-1,1,1)</f>
        <v>USD</v>
      </c>
      <c r="X83" s="887">
        <f ca="1">_xlfn.NUMBERVALUE(OFFSET(Origine,MATCH($F83,Descrizioni,0),MATCH(X$14,Intestazioni,0)-1,1,1))</f>
        <v>235.37</v>
      </c>
      <c r="Y83" s="887"/>
      <c r="Z83" s="885">
        <f ca="1">_xlfn.NUMBERVALUE(OFFSET(Origine,MATCH(W83&amp;"/"&amp;MRif,LUKB_Name,0),MATCH("Price",Intestazioni,0)-1,1,1))</f>
        <v>0.78225</v>
      </c>
      <c r="AA83" s="197">
        <v>70</v>
      </c>
      <c r="AB83" s="312">
        <f t="shared" ref="AB83:AB84" ca="1" si="507">IFERROR($X83/AC83-1,"")</f>
        <v>0.54078292746792367</v>
      </c>
      <c r="AC83" s="807">
        <v>152.76</v>
      </c>
      <c r="AD83" s="199">
        <f ca="1">AA83*$X83</f>
        <v>16475.900000000001</v>
      </c>
      <c r="AE83" s="199">
        <f ca="1">AD83*$Z83</f>
        <v>12888.272775000001</v>
      </c>
      <c r="AF83" s="216">
        <f t="shared" ca="1" si="336"/>
        <v>2.0343659619657273E-2</v>
      </c>
      <c r="AG83" s="404">
        <f ca="1">AH83/$X83</f>
        <v>16.021887542251463</v>
      </c>
      <c r="AH83" s="405">
        <f ca="1">AI83/$Z83</f>
        <v>3771.0716708197265</v>
      </c>
      <c r="AI83" s="405">
        <f ca="1">AJ83*AA$4</f>
        <v>2949.920814498731</v>
      </c>
      <c r="AJ83" s="406">
        <f ca="1">$N83-AF83</f>
        <v>4.6563403803427279E-3</v>
      </c>
      <c r="AK83" s="205"/>
      <c r="AL83" s="206">
        <f ca="1">AK83*$X83</f>
        <v>0</v>
      </c>
      <c r="AM83" s="206">
        <f ca="1">AL83*$Z83</f>
        <v>0</v>
      </c>
      <c r="AN83" s="207">
        <f t="shared" ca="1" si="343"/>
        <v>0</v>
      </c>
      <c r="AO83" s="391">
        <f>AA83+AK83</f>
        <v>70</v>
      </c>
      <c r="AP83" s="391">
        <f t="shared" ca="1" si="485"/>
        <v>16475.900000000001</v>
      </c>
      <c r="AQ83" s="391">
        <f ca="1">AP83*$Z83</f>
        <v>12888.272775000001</v>
      </c>
      <c r="AR83" s="886">
        <f t="shared" ca="1" si="346"/>
        <v>2.0343659619657273E-2</v>
      </c>
    </row>
    <row r="84" spans="1:44" outlineLevel="2" x14ac:dyDescent="0.2">
      <c r="A84" s="367"/>
      <c r="B84" s="367"/>
      <c r="C84" s="367" t="str">
        <f t="shared" ca="1" si="504"/>
        <v>LU1169821888:CHF</v>
      </c>
      <c r="D84" s="368" t="str">
        <f t="shared" ca="1" si="504"/>
        <v>LU1169821888</v>
      </c>
      <c r="E84" s="369" t="str">
        <f t="shared" ca="1" si="504"/>
        <v>26751433</v>
      </c>
      <c r="F84" s="367" t="s">
        <v>496</v>
      </c>
      <c r="G84" s="414"/>
      <c r="H84" s="1754" t="str">
        <f ca="1">HYPERLINK(OFFSET(Origine,MATCH($F84,Descrizioni,0),MATCH(H$14,Intestazioni,0)-1,1,1),"")</f>
        <v></v>
      </c>
      <c r="I84" s="1753" t="str">
        <f ca="1">HYPERLINK(OFFSET(Origine,MATCH($F84,Descrizioni,0),MATCH(I$14,Intestazioni,0)-1,1,1),"i")</f>
        <v>i</v>
      </c>
      <c r="J84" s="1754" t="str">
        <f t="shared" ca="1" si="505"/>
        <v></v>
      </c>
      <c r="K84" s="1716" t="str">
        <f t="shared" ca="1" si="505"/>
        <v></v>
      </c>
      <c r="L84" s="1717" t="str">
        <f ca="1">IFERROR(HYPERLINK("https://www.zonebourse.com/mods_a/charts/TV/inc_dyna_graph.php?c="&amp;OFFSET(Origine,MATCH($F84,Descrizioni,0),MATCH(L$14,Intestazioni,0)-1,1,1)&amp;"&amp;style=TradingView.CANDLES&amp;showAT=1",""),"")</f>
        <v></v>
      </c>
      <c r="M84" s="366" t="str">
        <f ca="1">(OFFSET(Origine,MATCH($F84,Descrizioni,0),MATCH(M$14,Intestazioni,0)-1,1,1))</f>
        <v>Unit</v>
      </c>
      <c r="N84" s="882">
        <v>2.5000000000000001E-2</v>
      </c>
      <c r="O84" s="882"/>
      <c r="P84" s="882">
        <f t="shared" ca="1" si="482"/>
        <v>3.6367678019902427E-2</v>
      </c>
      <c r="Q84" s="883"/>
      <c r="R84" s="883"/>
      <c r="S84" s="375">
        <f t="shared" ca="1" si="96"/>
        <v>-5.0438596491228005E-2</v>
      </c>
      <c r="T84" s="391">
        <f t="shared" si="506"/>
        <v>626</v>
      </c>
      <c r="U84" s="391">
        <f ca="1">SUMIF($AA$14:$AR$14,"P_Pos",AA84:AR84)</f>
        <v>-195.67282894895172</v>
      </c>
      <c r="V84" s="391">
        <f>SUMIF($AA$14:$AR$14,"O_Pos",AA84:AR84)</f>
        <v>0</v>
      </c>
      <c r="W84" s="367" t="str">
        <f ca="1">OFFSET(Origine,MATCH($F84,Descrizioni,0),MATCH(W$14,Intestazioni,0)-1,1,1)</f>
        <v>CHF</v>
      </c>
      <c r="X84" s="887">
        <f ca="1">_xlfn.NUMBERVALUE(OFFSET(Origine,MATCH($F84,Descrizioni,0),MATCH(X$14,Intestazioni,0)-1,1,1))</f>
        <v>36.805</v>
      </c>
      <c r="Y84" s="887"/>
      <c r="Z84" s="885">
        <f ca="1">_xlfn.NUMBERVALUE(OFFSET(Origine,MATCH(W84&amp;"/"&amp;MRif,LUKB_Name,0),MATCH("Price",Intestazioni,0)-1,1,1))</f>
        <v>1.0000001300000001</v>
      </c>
      <c r="AA84" s="197">
        <v>626</v>
      </c>
      <c r="AB84" s="312">
        <f t="shared" ca="1" si="507"/>
        <v>1.235782235235515</v>
      </c>
      <c r="AC84" s="807">
        <v>16.4618</v>
      </c>
      <c r="AD84" s="199">
        <f ca="1">AA84*$X84</f>
        <v>23039.93</v>
      </c>
      <c r="AE84" s="199">
        <f ca="1">AD84*$Z84</f>
        <v>23039.932995190902</v>
      </c>
      <c r="AF84" s="216">
        <f t="shared" ca="1" si="336"/>
        <v>3.6367678019902427E-2</v>
      </c>
      <c r="AG84" s="404">
        <f ca="1">AH84/$X84</f>
        <v>-195.67282894895172</v>
      </c>
      <c r="AH84" s="405">
        <f ca="1">AI84/$Z84</f>
        <v>-7201.7384694661678</v>
      </c>
      <c r="AI84" s="405">
        <f ca="1">AJ84*AA$4</f>
        <v>-7201.7394056921694</v>
      </c>
      <c r="AJ84" s="406">
        <f ca="1">$N84-AF84</f>
        <v>-1.1367678019902426E-2</v>
      </c>
      <c r="AK84" s="205"/>
      <c r="AL84" s="206">
        <f ca="1">AK84*$X84</f>
        <v>0</v>
      </c>
      <c r="AM84" s="206">
        <f ca="1">AL84*$Z84</f>
        <v>0</v>
      </c>
      <c r="AN84" s="207">
        <f t="shared" ca="1" si="343"/>
        <v>0</v>
      </c>
      <c r="AO84" s="391">
        <f>AA84+AK84</f>
        <v>626</v>
      </c>
      <c r="AP84" s="391">
        <f t="shared" ca="1" si="485"/>
        <v>23039.93</v>
      </c>
      <c r="AQ84" s="391">
        <f ca="1">AP84*$Z84</f>
        <v>23039.932995190902</v>
      </c>
      <c r="AR84" s="886">
        <f t="shared" ca="1" si="346"/>
        <v>3.6367678019902427E-2</v>
      </c>
    </row>
    <row r="85" spans="1:44" outlineLevel="1" x14ac:dyDescent="0.2">
      <c r="A85" s="346"/>
      <c r="B85" s="346" t="s">
        <v>420</v>
      </c>
      <c r="C85" s="346"/>
      <c r="D85" s="347"/>
      <c r="E85" s="348"/>
      <c r="F85" s="346"/>
      <c r="G85" s="349"/>
      <c r="H85" s="1750"/>
      <c r="I85" s="1750"/>
      <c r="J85" s="1750"/>
      <c r="K85" s="1750"/>
      <c r="L85" s="1750"/>
      <c r="M85" s="345"/>
      <c r="N85" s="352">
        <f>SUM(N$86:N$92)</f>
        <v>6.0000000000000005E-2</v>
      </c>
      <c r="O85" s="352"/>
      <c r="P85" s="352">
        <f t="shared" ca="1" si="482"/>
        <v>4.0281579549766813E-2</v>
      </c>
      <c r="Q85" s="871" t="s">
        <v>718</v>
      </c>
      <c r="R85" s="871"/>
      <c r="S85" s="352"/>
      <c r="T85" s="421">
        <f t="shared" si="506"/>
        <v>0</v>
      </c>
      <c r="U85" s="421"/>
      <c r="V85" s="872"/>
      <c r="W85" s="346"/>
      <c r="X85" s="873"/>
      <c r="Y85" s="873"/>
      <c r="Z85" s="874"/>
      <c r="AA85" s="357"/>
      <c r="AB85" s="359"/>
      <c r="AC85" s="875"/>
      <c r="AD85" s="359"/>
      <c r="AE85" s="360">
        <f ca="1">SUM(AE$86:AE$92)</f>
        <v>25519.498199999998</v>
      </c>
      <c r="AF85" s="361">
        <f t="shared" ca="1" si="336"/>
        <v>4.0281579549766813E-2</v>
      </c>
      <c r="AG85" s="362"/>
      <c r="AH85" s="359"/>
      <c r="AI85" s="360">
        <f ca="1">SUM(AI$86:AI$92)</f>
        <v>12492.166414796957</v>
      </c>
      <c r="AJ85" s="363">
        <f ca="1">IFERROR(AI85/AA$4,0)</f>
        <v>1.9718420450233184E-2</v>
      </c>
      <c r="AK85" s="362"/>
      <c r="AL85" s="359"/>
      <c r="AM85" s="360">
        <f ca="1">SUM(AM$86:AM$92)</f>
        <v>0</v>
      </c>
      <c r="AN85" s="363">
        <f t="shared" ca="1" si="343"/>
        <v>0</v>
      </c>
      <c r="AO85" s="359"/>
      <c r="AP85" s="359"/>
      <c r="AQ85" s="360">
        <f ca="1">SUM(AQ$86:AQ$92)</f>
        <v>25519.498199999998</v>
      </c>
      <c r="AR85" s="876">
        <f t="shared" ca="1" si="346"/>
        <v>4.0281579549766813E-2</v>
      </c>
    </row>
    <row r="86" spans="1:44" outlineLevel="2" x14ac:dyDescent="0.2">
      <c r="A86" s="367"/>
      <c r="B86" s="367"/>
      <c r="C86" s="367" t="str">
        <f t="shared" ref="C86:C92" ca="1" si="508">OFFSET(Origine,MATCH($F86,Descrizioni,0),MATCH(C$14,Intestazioni,0)-1,1,1)</f>
        <v>DE000A0Q4R85:USD</v>
      </c>
      <c r="D86" s="368" t="str">
        <f t="shared" ref="D86:E92" ca="1" si="509">OFFSET(Origine,MATCH($F86,Descrizioni,0),MATCH(D$14,Intestazioni,0)-1,1,1)</f>
        <v>DE000A0Q4R85</v>
      </c>
      <c r="E86" s="369" t="str">
        <f t="shared" ca="1" si="509"/>
        <v>43398616</v>
      </c>
      <c r="F86" s="367" t="s">
        <v>827</v>
      </c>
      <c r="G86" s="414"/>
      <c r="H86" s="1754" t="str">
        <f t="shared" ref="H86:H92" ca="1" si="510">HYPERLINK(OFFSET(Origine,MATCH($F86,Descrizioni,0),MATCH(H$14,Intestazioni,0)-1,1,1),"")</f>
        <v></v>
      </c>
      <c r="I86" s="1753" t="str">
        <f t="shared" ref="I86:I92" ca="1" si="511">HYPERLINK(OFFSET(Origine,MATCH($F86,Descrizioni,0),MATCH(I$14,Intestazioni,0)-1,1,1),"i")</f>
        <v>i</v>
      </c>
      <c r="J86" s="1754" t="str">
        <f t="shared" ref="J86:K92" ca="1" si="512">HYPERLINK(OFFSET(Origine,MATCH($F86,Descrizioni,0),MATCH(J$14,Intestazioni,0)-1,1,1),"")</f>
        <v></v>
      </c>
      <c r="K86" s="1716" t="str">
        <f t="shared" ca="1" si="512"/>
        <v></v>
      </c>
      <c r="L86" s="1717" t="str">
        <f t="shared" ref="L86:L92" ca="1" si="513">IFERROR(HYPERLINK("https://www.zonebourse.com/mods_a/charts/TV/inc_dyna_graph.php?c="&amp;OFFSET(Origine,MATCH($F86,Descrizioni,0),MATCH(L$14,Intestazioni,0)-1,1,1)&amp;"&amp;style=TradingView.CANDLES&amp;showAT=1",""),"")</f>
        <v></v>
      </c>
      <c r="M86" s="366" t="str">
        <f t="shared" ref="M86:M92" ca="1" si="514">(OFFSET(Origine,MATCH($F86,Descrizioni,0),MATCH(M$14,Intestazioni,0)-1,1,1))</f>
        <v>Unit</v>
      </c>
      <c r="N86" s="882">
        <v>0.01</v>
      </c>
      <c r="O86" s="882"/>
      <c r="P86" s="882">
        <f t="shared" ca="1" si="482"/>
        <v>0</v>
      </c>
      <c r="Q86" s="891"/>
      <c r="R86" s="891"/>
      <c r="S86" s="375">
        <f t="shared" ca="1" si="96"/>
        <v>-1.7827605219628898E-2</v>
      </c>
      <c r="T86" s="391">
        <f t="shared" si="506"/>
        <v>0</v>
      </c>
      <c r="U86" s="391">
        <f t="shared" ref="U86" ca="1" si="515">SUMIF($AA$14:$AR$14,"P_Pos",AA86:AR86)</f>
        <v>151.54918915284227</v>
      </c>
      <c r="V86" s="391">
        <f t="shared" ref="V86" si="516">SUMIF($AA$14:$AR$14,"O_Pos",AA86:AR86)</f>
        <v>0</v>
      </c>
      <c r="W86" s="367" t="str">
        <f t="shared" ref="W86:W92" ca="1" si="517">OFFSET(Origine,MATCH($F86,Descrizioni,0),MATCH(W$14,Intestazioni,0)-1,1,1)</f>
        <v>USD</v>
      </c>
      <c r="X86" s="887">
        <f t="shared" ref="X86:X92" ca="1" si="518">_xlfn.NUMBERVALUE(OFFSET(Origine,MATCH($F86,Descrizioni,0),MATCH(X$14,Intestazioni,0)-1,1,1))</f>
        <v>53.44</v>
      </c>
      <c r="Y86" s="887"/>
      <c r="Z86" s="885">
        <f t="shared" ref="Z86" ca="1" si="519">_xlfn.NUMBERVALUE(OFFSET(Origine,MATCH(W86&amp;"/"&amp;MRif,LUKB_Name,0),MATCH("Price",Intestazioni,0)-1,1,1))</f>
        <v>0.78225</v>
      </c>
      <c r="AA86" s="197"/>
      <c r="AB86" s="312" t="str">
        <f t="shared" ref="AB86" ca="1" si="520">IFERROR($X86/AC86-1,"")</f>
        <v/>
      </c>
      <c r="AC86" s="807"/>
      <c r="AD86" s="199">
        <f t="shared" ref="AD86" ca="1" si="521">AA86*$X86</f>
        <v>0</v>
      </c>
      <c r="AE86" s="199">
        <f t="shared" ref="AE86" ca="1" si="522">AD86*$Z86</f>
        <v>0</v>
      </c>
      <c r="AF86" s="216">
        <f t="shared" ca="1" si="336"/>
        <v>0</v>
      </c>
      <c r="AG86" s="404">
        <f t="shared" ref="AG86" ca="1" si="523">AH86/$X86</f>
        <v>151.54918915284227</v>
      </c>
      <c r="AH86" s="405">
        <f t="shared" ref="AH86" ca="1" si="524">AI86/$Z86</f>
        <v>8098.7886683278912</v>
      </c>
      <c r="AI86" s="405">
        <f t="shared" ref="AI86" ca="1" si="525">AJ86*AA$4</f>
        <v>6335.2774357994931</v>
      </c>
      <c r="AJ86" s="406">
        <f t="shared" ref="AJ86" ca="1" si="526">$N86-AF86</f>
        <v>0.01</v>
      </c>
      <c r="AK86" s="205"/>
      <c r="AL86" s="206">
        <f t="shared" ref="AL86" ca="1" si="527">AK86*$X86</f>
        <v>0</v>
      </c>
      <c r="AM86" s="206">
        <f t="shared" ref="AM86" ca="1" si="528">AL86*$Z86</f>
        <v>0</v>
      </c>
      <c r="AN86" s="207">
        <f t="shared" ca="1" si="343"/>
        <v>0</v>
      </c>
      <c r="AO86" s="391">
        <f t="shared" ref="AO86" si="529">AA86+AK86</f>
        <v>0</v>
      </c>
      <c r="AP86" s="391">
        <f t="shared" ref="AP86" ca="1" si="530">AD86+IF($R86="",AL86)</f>
        <v>0</v>
      </c>
      <c r="AQ86" s="391">
        <f t="shared" ref="AQ86" ca="1" si="531">AP86*$Z86</f>
        <v>0</v>
      </c>
      <c r="AR86" s="886">
        <f t="shared" ca="1" si="346"/>
        <v>0</v>
      </c>
    </row>
    <row r="87" spans="1:44" outlineLevel="2" x14ac:dyDescent="0.2">
      <c r="A87" s="367"/>
      <c r="B87" s="367"/>
      <c r="C87" s="367" t="str">
        <f t="shared" ca="1" si="508"/>
        <v>US46138E8003:USD:P</v>
      </c>
      <c r="D87" s="368" t="str">
        <f t="shared" ca="1" si="509"/>
        <v>US46138E8003</v>
      </c>
      <c r="E87" s="369" t="str">
        <f t="shared" ca="1" si="509"/>
        <v>41970675</v>
      </c>
      <c r="F87" s="367" t="s">
        <v>4254</v>
      </c>
      <c r="G87" s="414"/>
      <c r="H87" s="1754" t="str">
        <f t="shared" ca="1" si="510"/>
        <v></v>
      </c>
      <c r="I87" s="1753" t="str">
        <f t="shared" ca="1" si="511"/>
        <v>i</v>
      </c>
      <c r="J87" s="1754" t="str">
        <f t="shared" ca="1" si="512"/>
        <v></v>
      </c>
      <c r="K87" s="1716" t="str">
        <f t="shared" ca="1" si="512"/>
        <v></v>
      </c>
      <c r="L87" s="1717" t="str">
        <f t="shared" ca="1" si="513"/>
        <v></v>
      </c>
      <c r="M87" s="366" t="str">
        <f t="shared" ca="1" si="514"/>
        <v>Unit</v>
      </c>
      <c r="N87" s="882">
        <v>2.5000000000000001E-2</v>
      </c>
      <c r="O87" s="882"/>
      <c r="P87" s="882">
        <f t="shared" ca="1" si="482"/>
        <v>1.9019140553991277E-2</v>
      </c>
      <c r="Q87" s="883"/>
      <c r="R87" s="883"/>
      <c r="S87" s="375">
        <f t="shared" ca="1" si="96"/>
        <v>-5.7470139024867903E-2</v>
      </c>
      <c r="T87" s="391">
        <f t="shared" ref="T87" si="532">SUMIF($AA$14:$AR$14,"I_Pos",AA87:AR87)</f>
        <v>320</v>
      </c>
      <c r="U87" s="391">
        <f t="shared" ref="U87" ca="1" si="533">SUMIF($AA$14:$AR$14,"P_Pos",AA87:AR87)</f>
        <v>100.62889105265874</v>
      </c>
      <c r="V87" s="391">
        <f t="shared" ref="V87" si="534">SUMIF($AA$14:$AR$14,"O_Pos",AA87:AR87)</f>
        <v>0</v>
      </c>
      <c r="W87" s="367" t="str">
        <f t="shared" ca="1" si="517"/>
        <v>USD</v>
      </c>
      <c r="X87" s="887">
        <f t="shared" ca="1" si="518"/>
        <v>48.134999999999998</v>
      </c>
      <c r="Y87" s="887"/>
      <c r="Z87" s="885">
        <f t="shared" ref="Z87" ca="1" si="535">_xlfn.NUMBERVALUE(OFFSET(Origine,MATCH(W87&amp;"/"&amp;MRif,LUKB_Name,0),MATCH("Price",Intestazioni,0)-1,1,1))</f>
        <v>0.78225</v>
      </c>
      <c r="AA87" s="197">
        <f>320</f>
        <v>320</v>
      </c>
      <c r="AB87" s="312">
        <f t="shared" ref="AB87" ca="1" si="536">IFERROR($X87/AC87-1,"")</f>
        <v>-7.7343300747556132E-2</v>
      </c>
      <c r="AC87" s="807">
        <v>52.17</v>
      </c>
      <c r="AD87" s="199">
        <f t="shared" ref="AD87" ca="1" si="537">AA87*$X87</f>
        <v>15403.199999999999</v>
      </c>
      <c r="AE87" s="199">
        <f t="shared" ref="AE87" ca="1" si="538">AD87*$Z87</f>
        <v>12049.153199999999</v>
      </c>
      <c r="AF87" s="216">
        <f t="shared" ref="AF87" ca="1" si="539">IFERROR(AE87/AA$4,0)</f>
        <v>1.9019140553991277E-2</v>
      </c>
      <c r="AG87" s="404">
        <f t="shared" ref="AG87" ca="1" si="540">AH87/$X87</f>
        <v>100.62889105265874</v>
      </c>
      <c r="AH87" s="405">
        <f t="shared" ref="AH87" ca="1" si="541">AI87/$Z87</f>
        <v>4843.7716708197286</v>
      </c>
      <c r="AI87" s="405">
        <f t="shared" ref="AI87" ca="1" si="542">AJ87*AA$4</f>
        <v>3789.0403894987326</v>
      </c>
      <c r="AJ87" s="406">
        <f t="shared" ref="AJ87" ca="1" si="543">$N87-AF87</f>
        <v>5.9808594460087246E-3</v>
      </c>
      <c r="AK87" s="205"/>
      <c r="AL87" s="206">
        <f t="shared" ref="AL87" ca="1" si="544">AK87*$X87</f>
        <v>0</v>
      </c>
      <c r="AM87" s="206">
        <f t="shared" ref="AM87" ca="1" si="545">AL87*$Z87</f>
        <v>0</v>
      </c>
      <c r="AN87" s="207">
        <f t="shared" ref="AN87" ca="1" si="546">IFERROR(AM87/AA$4,0)</f>
        <v>0</v>
      </c>
      <c r="AO87" s="391">
        <f t="shared" ref="AO87" si="547">AA87+AK87</f>
        <v>320</v>
      </c>
      <c r="AP87" s="391">
        <f t="shared" ref="AP87" ca="1" si="548">AD87+IF($R87="",AL87)</f>
        <v>15403.199999999999</v>
      </c>
      <c r="AQ87" s="391">
        <f t="shared" ref="AQ87" ca="1" si="549">AP87*$Z87</f>
        <v>12049.153199999999</v>
      </c>
      <c r="AR87" s="886">
        <f t="shared" ref="AR87" ca="1" si="550">IFERROR(AQ87/AA$4,0)</f>
        <v>1.9019140553991277E-2</v>
      </c>
    </row>
    <row r="88" spans="1:44" outlineLevel="2" x14ac:dyDescent="0.2">
      <c r="A88" s="367"/>
      <c r="B88" s="367"/>
      <c r="C88" s="367" t="str">
        <f ca="1">OFFSET(Origine,MATCH($F88,Descrizioni,0),MATCH(C$14,Intestazioni,0)-1,1,1)</f>
        <v>LU0390135332:USD</v>
      </c>
      <c r="D88" s="368" t="str">
        <f ca="1">OFFSET(Origine,MATCH($F88,Descrizioni,0),MATCH(D$14,Intestazioni,0)-1,1,1)</f>
        <v>LU0390135332</v>
      </c>
      <c r="E88" s="369" t="str">
        <f ca="1">OFFSET(Origine,MATCH($F88,Descrizioni,0),MATCH(E$14,Intestazioni,0)-1,1,1)</f>
        <v>4613240</v>
      </c>
      <c r="F88" s="367" t="s">
        <v>422</v>
      </c>
      <c r="G88" s="414"/>
      <c r="H88" s="1754" t="str">
        <f t="shared" ca="1" si="510"/>
        <v></v>
      </c>
      <c r="I88" s="1753" t="str">
        <f ca="1">HYPERLINK(OFFSET(Origine,MATCH($F88,Descrizioni,0),MATCH(I$14,Intestazioni,0)-1,1,1),"i")</f>
        <v>i</v>
      </c>
      <c r="J88" s="1754" t="str">
        <f ca="1">HYPERLINK(OFFSET(Origine,MATCH($F88,Descrizioni,0),MATCH(J$14,Intestazioni,0)-1,1,1),"")</f>
        <v></v>
      </c>
      <c r="K88" s="1716" t="str">
        <f ca="1">HYPERLINK(OFFSET(Origine,MATCH($F88,Descrizioni,0),MATCH(K$14,Intestazioni,0)-1,1,1),"")</f>
        <v></v>
      </c>
      <c r="L88" s="1717" t="str">
        <f ca="1">IFERROR(HYPERLINK("https://www.zonebourse.com/mods_a/charts/TV/inc_dyna_graph.php?c="&amp;OFFSET(Origine,MATCH($F88,Descrizioni,0),MATCH(L$14,Intestazioni,0)-1,1,1)&amp;"&amp;style=TradingView.CANDLES&amp;showAT=1",""),"")</f>
        <v></v>
      </c>
      <c r="M88" s="366" t="str">
        <f ca="1">(OFFSET(Origine,MATCH($F88,Descrizioni,0),MATCH(M$14,Intestazioni,0)-1,1,1))</f>
        <v>Unit</v>
      </c>
      <c r="N88" s="882">
        <v>2.5000000000000001E-2</v>
      </c>
      <c r="O88" s="892"/>
      <c r="P88" s="892">
        <f t="shared" ca="1" si="482"/>
        <v>2.126243899577554E-2</v>
      </c>
      <c r="Q88" s="883"/>
      <c r="R88" s="883"/>
      <c r="S88" s="375">
        <f ca="1">OFFSET(Origine,MATCH($F88,Descrizioni,0),MATCH(S$14,Intestazioni,0)-1,1,1)</f>
        <v>-1.9272826681246538E-2</v>
      </c>
      <c r="T88" s="391">
        <f>SUMIF($AA$14:$AR$14,"I_Pos",AA88:AR88)</f>
        <v>240</v>
      </c>
      <c r="U88" s="391">
        <f ca="1">SUMIF($AA$14:$AR$14,"P_Pos",AA88:AR88)</f>
        <v>42.187758478323737</v>
      </c>
      <c r="V88" s="391">
        <f>SUMIF($AA$14:$AR$14,"O_Pos",AA88:AR88)</f>
        <v>0</v>
      </c>
      <c r="W88" s="367" t="str">
        <f ca="1">OFFSET(Origine,MATCH($F88,Descrizioni,0),MATCH(W$14,Intestazioni,0)-1,1,1)</f>
        <v>USD</v>
      </c>
      <c r="X88" s="887">
        <f ca="1">_xlfn.NUMBERVALUE(OFFSET(Origine,MATCH($F88,Descrizioni,0),MATCH(X$14,Intestazioni,0)-1,1,1))</f>
        <v>71.75</v>
      </c>
      <c r="Y88" s="887"/>
      <c r="Z88" s="885">
        <f ca="1">_xlfn.NUMBERVALUE(OFFSET(Origine,MATCH(W88&amp;"/"&amp;MRif,LUKB_Name,0),MATCH("Price",Intestazioni,0)-1,1,1))</f>
        <v>0.78225</v>
      </c>
      <c r="AA88" s="197">
        <f>220+135+-115</f>
        <v>240</v>
      </c>
      <c r="AB88" s="312">
        <f ca="1">IFERROR($X88/AC88-1,"")</f>
        <v>0.3656261895698516</v>
      </c>
      <c r="AC88" s="807">
        <v>52.54</v>
      </c>
      <c r="AD88" s="199">
        <f ca="1">AA88*$X88</f>
        <v>17220</v>
      </c>
      <c r="AE88" s="199">
        <f ca="1">AD88*$Z88</f>
        <v>13470.344999999999</v>
      </c>
      <c r="AF88" s="216">
        <f ca="1">IFERROR(AE88/AA$4,0)</f>
        <v>2.126243899577554E-2</v>
      </c>
      <c r="AG88" s="404">
        <f ca="1">AH88/$X88</f>
        <v>42.187758478323737</v>
      </c>
      <c r="AH88" s="405">
        <f ca="1">AI88/$Z88</f>
        <v>3026.9716708197279</v>
      </c>
      <c r="AI88" s="405">
        <f ca="1">AJ88*AA$4</f>
        <v>2367.8485894987321</v>
      </c>
      <c r="AJ88" s="406">
        <f ca="1">$N88-AF88</f>
        <v>3.7375610042244614E-3</v>
      </c>
      <c r="AK88" s="205"/>
      <c r="AL88" s="206">
        <f ca="1">AK88*$X88</f>
        <v>0</v>
      </c>
      <c r="AM88" s="206">
        <f ca="1">AL88*$Z88</f>
        <v>0</v>
      </c>
      <c r="AN88" s="207">
        <f ca="1">IFERROR(AM88/AA$4,0)</f>
        <v>0</v>
      </c>
      <c r="AO88" s="391">
        <f>AA88+AK88</f>
        <v>240</v>
      </c>
      <c r="AP88" s="391">
        <f ca="1">AD88+IF($R88="",AL88)</f>
        <v>17220</v>
      </c>
      <c r="AQ88" s="391">
        <f ca="1">AP88*$Z88</f>
        <v>13470.344999999999</v>
      </c>
      <c r="AR88" s="886">
        <f ca="1">IFERROR(AQ88/AA$4,0)</f>
        <v>2.126243899577554E-2</v>
      </c>
    </row>
    <row r="89" spans="1:44" outlineLevel="2" x14ac:dyDescent="0.2">
      <c r="A89" s="367"/>
      <c r="B89" s="367"/>
      <c r="C89" s="367" t="str">
        <f t="shared" ca="1" si="508"/>
        <v>LU1900066462:EUR</v>
      </c>
      <c r="D89" s="368" t="str">
        <f t="shared" ca="1" si="509"/>
        <v>LU1900066462</v>
      </c>
      <c r="E89" s="369" t="str">
        <f t="shared" ca="1" si="509"/>
        <v>45209801</v>
      </c>
      <c r="F89" s="367" t="s">
        <v>773</v>
      </c>
      <c r="G89" s="414"/>
      <c r="H89" s="1754" t="str">
        <f t="shared" ca="1" si="510"/>
        <v></v>
      </c>
      <c r="I89" s="1753" t="str">
        <f t="shared" ca="1" si="511"/>
        <v>i</v>
      </c>
      <c r="J89" s="1754" t="str">
        <f t="shared" ca="1" si="512"/>
        <v></v>
      </c>
      <c r="K89" s="1716" t="str">
        <f t="shared" ca="1" si="512"/>
        <v></v>
      </c>
      <c r="L89" s="1717" t="str">
        <f t="shared" ca="1" si="513"/>
        <v></v>
      </c>
      <c r="M89" s="366" t="str">
        <f t="shared" ca="1" si="514"/>
        <v>Unit</v>
      </c>
      <c r="N89" s="882"/>
      <c r="O89" s="882"/>
      <c r="P89" s="882">
        <f t="shared" ca="1" si="482"/>
        <v>0</v>
      </c>
      <c r="Q89" s="883"/>
      <c r="R89" s="883"/>
      <c r="S89" s="375">
        <f t="shared" ca="1" si="96"/>
        <v>-1.48203968852049E-2</v>
      </c>
      <c r="T89" s="391">
        <f t="shared" si="506"/>
        <v>0</v>
      </c>
      <c r="U89" s="391">
        <f t="shared" ref="U89:U90" ca="1" si="551">SUMIF($AA$14:$AR$14,"P_Pos",AA89:AR89)</f>
        <v>0</v>
      </c>
      <c r="V89" s="391">
        <f t="shared" ref="V89:V90" si="552">SUMIF($AA$14:$AR$14,"O_Pos",AA89:AR89)</f>
        <v>0</v>
      </c>
      <c r="W89" s="367" t="str">
        <f t="shared" ca="1" si="517"/>
        <v>EUR</v>
      </c>
      <c r="X89" s="887">
        <f t="shared" ca="1" si="518"/>
        <v>39.22</v>
      </c>
      <c r="Y89" s="887"/>
      <c r="Z89" s="885">
        <f t="shared" ref="Z89:Z90" ca="1" si="553">_xlfn.NUMBERVALUE(OFFSET(Origine,MATCH(W89&amp;"/"&amp;MRif,LUKB_Name,0),MATCH("Price",Intestazioni,0)-1,1,1))</f>
        <v>0.90754999999999997</v>
      </c>
      <c r="AA89" s="197"/>
      <c r="AB89" s="312" t="str">
        <f t="shared" ref="AB89:AB90" ca="1" si="554">IFERROR($X89/AC89-1,"")</f>
        <v/>
      </c>
      <c r="AC89" s="807"/>
      <c r="AD89" s="199">
        <f t="shared" ref="AD89:AD90" ca="1" si="555">AA89*$X89</f>
        <v>0</v>
      </c>
      <c r="AE89" s="199">
        <f t="shared" ref="AE89:AE90" ca="1" si="556">AD89*$Z89</f>
        <v>0</v>
      </c>
      <c r="AF89" s="216">
        <f t="shared" ca="1" si="336"/>
        <v>0</v>
      </c>
      <c r="AG89" s="404">
        <f t="shared" ref="AG89:AG90" ca="1" si="557">AH89/$X89</f>
        <v>0</v>
      </c>
      <c r="AH89" s="405">
        <f t="shared" ref="AH89:AH90" ca="1" si="558">AI89/$Z89</f>
        <v>0</v>
      </c>
      <c r="AI89" s="405">
        <f t="shared" ref="AI89:AI90" ca="1" si="559">AJ89*AA$4</f>
        <v>0</v>
      </c>
      <c r="AJ89" s="406">
        <f t="shared" ref="AJ89:AJ90" ca="1" si="560">$N89-AF89</f>
        <v>0</v>
      </c>
      <c r="AK89" s="205"/>
      <c r="AL89" s="206">
        <f t="shared" ref="AL89:AL90" ca="1" si="561">AK89*$X89</f>
        <v>0</v>
      </c>
      <c r="AM89" s="206">
        <f t="shared" ref="AM89:AM90" ca="1" si="562">AL89*$Z89</f>
        <v>0</v>
      </c>
      <c r="AN89" s="207">
        <f t="shared" ca="1" si="343"/>
        <v>0</v>
      </c>
      <c r="AO89" s="391">
        <f t="shared" ref="AO89:AO90" si="563">AA89+AK89</f>
        <v>0</v>
      </c>
      <c r="AP89" s="391">
        <f t="shared" ca="1" si="485"/>
        <v>0</v>
      </c>
      <c r="AQ89" s="391">
        <f t="shared" ref="AQ89:AQ90" ca="1" si="564">AP89*$Z89</f>
        <v>0</v>
      </c>
      <c r="AR89" s="886">
        <f t="shared" ca="1" si="346"/>
        <v>0</v>
      </c>
    </row>
    <row r="90" spans="1:44" outlineLevel="2" x14ac:dyDescent="0.2">
      <c r="A90" s="367"/>
      <c r="B90" s="367"/>
      <c r="C90" s="367" t="str">
        <f t="shared" ca="1" si="508"/>
        <v>IE00B27YCK28:USD</v>
      </c>
      <c r="D90" s="368" t="str">
        <f t="shared" ca="1" si="509"/>
        <v>IE00B27YCK28</v>
      </c>
      <c r="E90" s="369" t="str">
        <f t="shared" ca="1" si="509"/>
        <v>3477137</v>
      </c>
      <c r="F90" s="367" t="s">
        <v>774</v>
      </c>
      <c r="G90" s="414"/>
      <c r="H90" s="1754" t="str">
        <f t="shared" ca="1" si="510"/>
        <v></v>
      </c>
      <c r="I90" s="1753" t="str">
        <f t="shared" ca="1" si="511"/>
        <v>i</v>
      </c>
      <c r="J90" s="1754" t="str">
        <f t="shared" ca="1" si="512"/>
        <v></v>
      </c>
      <c r="K90" s="1716" t="str">
        <f t="shared" ca="1" si="512"/>
        <v></v>
      </c>
      <c r="L90" s="1717" t="str">
        <f t="shared" ca="1" si="513"/>
        <v></v>
      </c>
      <c r="M90" s="366" t="str">
        <f t="shared" ca="1" si="514"/>
        <v>Unit</v>
      </c>
      <c r="N90" s="882"/>
      <c r="O90" s="882"/>
      <c r="P90" s="882">
        <f t="shared" ca="1" si="482"/>
        <v>0</v>
      </c>
      <c r="Q90" s="883"/>
      <c r="R90" s="883"/>
      <c r="S90" s="375">
        <f t="shared" ca="1" si="96"/>
        <v>-4.8007246376811794E-2</v>
      </c>
      <c r="T90" s="391">
        <f t="shared" si="506"/>
        <v>0</v>
      </c>
      <c r="U90" s="391">
        <f t="shared" ca="1" si="551"/>
        <v>0</v>
      </c>
      <c r="V90" s="391">
        <f t="shared" si="552"/>
        <v>0</v>
      </c>
      <c r="W90" s="367" t="str">
        <f t="shared" ca="1" si="517"/>
        <v>USD</v>
      </c>
      <c r="X90" s="887">
        <f t="shared" ca="1" si="518"/>
        <v>21.02</v>
      </c>
      <c r="Y90" s="887"/>
      <c r="Z90" s="885">
        <f t="shared" ca="1" si="553"/>
        <v>0.78225</v>
      </c>
      <c r="AA90" s="197"/>
      <c r="AB90" s="312" t="str">
        <f t="shared" ca="1" si="554"/>
        <v/>
      </c>
      <c r="AC90" s="807"/>
      <c r="AD90" s="199">
        <f t="shared" ca="1" si="555"/>
        <v>0</v>
      </c>
      <c r="AE90" s="199">
        <f t="shared" ca="1" si="556"/>
        <v>0</v>
      </c>
      <c r="AF90" s="216">
        <f t="shared" ca="1" si="336"/>
        <v>0</v>
      </c>
      <c r="AG90" s="404">
        <f t="shared" ca="1" si="557"/>
        <v>0</v>
      </c>
      <c r="AH90" s="405">
        <f t="shared" ca="1" si="558"/>
        <v>0</v>
      </c>
      <c r="AI90" s="405">
        <f t="shared" ca="1" si="559"/>
        <v>0</v>
      </c>
      <c r="AJ90" s="406">
        <f t="shared" ca="1" si="560"/>
        <v>0</v>
      </c>
      <c r="AK90" s="205"/>
      <c r="AL90" s="206">
        <f t="shared" ca="1" si="561"/>
        <v>0</v>
      </c>
      <c r="AM90" s="206">
        <f t="shared" ca="1" si="562"/>
        <v>0</v>
      </c>
      <c r="AN90" s="207">
        <f t="shared" ca="1" si="343"/>
        <v>0</v>
      </c>
      <c r="AO90" s="391">
        <f t="shared" si="563"/>
        <v>0</v>
      </c>
      <c r="AP90" s="391">
        <f t="shared" ca="1" si="485"/>
        <v>0</v>
      </c>
      <c r="AQ90" s="391">
        <f t="shared" ca="1" si="564"/>
        <v>0</v>
      </c>
      <c r="AR90" s="886">
        <f t="shared" ca="1" si="346"/>
        <v>0</v>
      </c>
    </row>
    <row r="91" spans="1:44" outlineLevel="2" x14ac:dyDescent="0.2">
      <c r="A91" s="367"/>
      <c r="B91" s="367"/>
      <c r="C91" s="367" t="str">
        <f ca="1">OFFSET(Origine,MATCH($F91,Descrizioni,0),MATCH(C$14,Intestazioni,0)-1,1,1)</f>
        <v>LU0292107991:USD</v>
      </c>
      <c r="D91" s="368" t="str">
        <f ca="1">OFFSET(Origine,MATCH($F91,Descrizioni,0),MATCH(D$14,Intestazioni,0)-1,1,1)</f>
        <v>LU0292107991</v>
      </c>
      <c r="E91" s="369" t="str">
        <f ca="1">OFFSET(Origine,MATCH($F91,Descrizioni,0),MATCH(E$14,Intestazioni,0)-1,1,1)</f>
        <v>3067298</v>
      </c>
      <c r="F91" s="367" t="s">
        <v>465</v>
      </c>
      <c r="G91" s="414"/>
      <c r="H91" s="1754" t="str">
        <f t="shared" ca="1" si="510"/>
        <v></v>
      </c>
      <c r="I91" s="1753" t="str">
        <f ca="1">HYPERLINK(OFFSET(Origine,MATCH($F91,Descrizioni,0),MATCH(I$14,Intestazioni,0)-1,1,1),"i")</f>
        <v>i</v>
      </c>
      <c r="J91" s="1754" t="str">
        <f ca="1">HYPERLINK(OFFSET(Origine,MATCH($F91,Descrizioni,0),MATCH(J$14,Intestazioni,0)-1,1,1),"")</f>
        <v></v>
      </c>
      <c r="K91" s="1716" t="str">
        <f ca="1">HYPERLINK(OFFSET(Origine,MATCH($F91,Descrizioni,0),MATCH(K$14,Intestazioni,0)-1,1,1),"")</f>
        <v></v>
      </c>
      <c r="L91" s="1717" t="str">
        <f ca="1">IFERROR(HYPERLINK("https://www.zonebourse.com/mods_a/charts/TV/inc_dyna_graph.php?c="&amp;OFFSET(Origine,MATCH($F91,Descrizioni,0),MATCH(L$14,Intestazioni,0)-1,1,1)&amp;"&amp;style=TradingView.CANDLES&amp;showAT=1",""),"")</f>
        <v></v>
      </c>
      <c r="M91" s="366" t="str">
        <f ca="1">(OFFSET(Origine,MATCH($F91,Descrizioni,0),MATCH(M$14,Intestazioni,0)-1,1,1))</f>
        <v>Unit</v>
      </c>
      <c r="N91" s="882"/>
      <c r="O91" s="892"/>
      <c r="P91" s="892">
        <f t="shared" ca="1" si="482"/>
        <v>0</v>
      </c>
      <c r="Q91" s="883"/>
      <c r="R91" s="883"/>
      <c r="S91" s="375">
        <f t="shared" ca="1" si="96"/>
        <v>-4.4256534153305598E-2</v>
      </c>
      <c r="T91" s="391">
        <f t="shared" ref="T91" si="565">SUMIF($AA$14:$AR$14,"I_Pos",AA91:AR91)</f>
        <v>0</v>
      </c>
      <c r="U91" s="391">
        <f t="shared" ref="U91" ca="1" si="566">SUMIF($AA$14:$AR$14,"P_Pos",AA91:AR91)</f>
        <v>0</v>
      </c>
      <c r="V91" s="391">
        <f>SUMIF($AA$14:$AR$14,"O_Pos",AA91:AR91)</f>
        <v>0</v>
      </c>
      <c r="W91" s="367" t="str">
        <f ca="1">OFFSET(Origine,MATCH($F91,Descrizioni,0),MATCH(W$14,Intestazioni,0)-1,1,1)</f>
        <v>USD</v>
      </c>
      <c r="X91" s="887">
        <f t="shared" ca="1" si="518"/>
        <v>86.364999999999995</v>
      </c>
      <c r="Y91" s="887"/>
      <c r="Z91" s="885">
        <f t="shared" ref="Z91" ca="1" si="567">_xlfn.NUMBERVALUE(OFFSET(Origine,MATCH(W91&amp;"/"&amp;MRif,LUKB_Name,0),MATCH("Price",Intestazioni,0)-1,1,1))</f>
        <v>0.78225</v>
      </c>
      <c r="AA91" s="197">
        <f>195+-195</f>
        <v>0</v>
      </c>
      <c r="AB91" s="312" t="str">
        <f ca="1">IFERROR($X91/AC91-1,"")</f>
        <v/>
      </c>
      <c r="AC91" s="807"/>
      <c r="AD91" s="199">
        <f ca="1">AA91*$X91</f>
        <v>0</v>
      </c>
      <c r="AE91" s="199">
        <f ca="1">AD91*$Z91</f>
        <v>0</v>
      </c>
      <c r="AF91" s="216">
        <f ca="1">IFERROR(AE91/AA$4,0)</f>
        <v>0</v>
      </c>
      <c r="AG91" s="404">
        <f ca="1">AH91/$X91</f>
        <v>0</v>
      </c>
      <c r="AH91" s="405">
        <f ca="1">AI91/$Z91</f>
        <v>0</v>
      </c>
      <c r="AI91" s="405">
        <f ca="1">AJ91*AA$4</f>
        <v>0</v>
      </c>
      <c r="AJ91" s="406">
        <f ca="1">$N91-AF91</f>
        <v>0</v>
      </c>
      <c r="AK91" s="205"/>
      <c r="AL91" s="206">
        <f ca="1">AK91*$X91</f>
        <v>0</v>
      </c>
      <c r="AM91" s="206">
        <f ca="1">AL91*$Z91</f>
        <v>0</v>
      </c>
      <c r="AN91" s="207">
        <f ca="1">IFERROR(AM91/AA$4,0)</f>
        <v>0</v>
      </c>
      <c r="AO91" s="391">
        <f>AA91+AK91</f>
        <v>0</v>
      </c>
      <c r="AP91" s="391">
        <f ca="1">AD91+IF($R91="",AL91)</f>
        <v>0</v>
      </c>
      <c r="AQ91" s="391">
        <f ca="1">AP91*$Z91</f>
        <v>0</v>
      </c>
      <c r="AR91" s="886">
        <f ca="1">IFERROR(AQ91/AA$4,0)</f>
        <v>0</v>
      </c>
    </row>
    <row r="92" spans="1:44" outlineLevel="2" x14ac:dyDescent="0.2">
      <c r="A92" s="367"/>
      <c r="B92" s="367"/>
      <c r="C92" s="367" t="str">
        <f t="shared" ca="1" si="508"/>
        <v>LU1953056766:CHF</v>
      </c>
      <c r="D92" s="368" t="str">
        <f t="shared" ca="1" si="509"/>
        <v>LU1953056766</v>
      </c>
      <c r="E92" s="369" t="str">
        <f t="shared" ca="1" si="509"/>
        <v>46424244</v>
      </c>
      <c r="F92" s="367" t="s">
        <v>776</v>
      </c>
      <c r="G92" s="414"/>
      <c r="H92" s="1754" t="str">
        <f t="shared" ca="1" si="510"/>
        <v></v>
      </c>
      <c r="I92" s="1753" t="str">
        <f t="shared" ca="1" si="511"/>
        <v>i</v>
      </c>
      <c r="J92" s="1754" t="str">
        <f t="shared" ca="1" si="512"/>
        <v></v>
      </c>
      <c r="K92" s="1716" t="str">
        <f t="shared" ca="1" si="512"/>
        <v></v>
      </c>
      <c r="L92" s="1717" t="str">
        <f t="shared" ca="1" si="513"/>
        <v></v>
      </c>
      <c r="M92" s="366" t="str">
        <f t="shared" ca="1" si="514"/>
        <v>Unit</v>
      </c>
      <c r="N92" s="882"/>
      <c r="O92" s="882"/>
      <c r="P92" s="882">
        <f t="shared" ca="1" si="482"/>
        <v>0</v>
      </c>
      <c r="Q92" s="883"/>
      <c r="R92" s="883"/>
      <c r="S92" s="375">
        <f t="shared" ca="1" si="96"/>
        <v>-2.9307492318600793E-2</v>
      </c>
      <c r="T92" s="391">
        <f t="shared" ref="T92" si="568">SUMIF($AA$14:$AR$14,"I_Pos",AA92:AR92)</f>
        <v>0</v>
      </c>
      <c r="U92" s="391">
        <f t="shared" ref="U92" ca="1" si="569">SUMIF($AA$14:$AR$14,"P_Pos",AA92:AR92)</f>
        <v>0</v>
      </c>
      <c r="V92" s="391">
        <f t="shared" ref="V92" si="570">SUMIF($AA$14:$AR$14,"O_Pos",AA92:AR92)</f>
        <v>0</v>
      </c>
      <c r="W92" s="367" t="str">
        <f t="shared" ca="1" si="517"/>
        <v>CHF</v>
      </c>
      <c r="X92" s="887">
        <f t="shared" ca="1" si="518"/>
        <v>123.21</v>
      </c>
      <c r="Y92" s="887"/>
      <c r="Z92" s="885">
        <f t="shared" ref="Z92" ca="1" si="571">_xlfn.NUMBERVALUE(OFFSET(Origine,MATCH(W92&amp;"/"&amp;MRif,LUKB_Name,0),MATCH("Price",Intestazioni,0)-1,1,1))</f>
        <v>1.0000001300000001</v>
      </c>
      <c r="AA92" s="197"/>
      <c r="AB92" s="312" t="str">
        <f t="shared" ref="AB92" ca="1" si="572">IFERROR($X92/AC92-1,"")</f>
        <v/>
      </c>
      <c r="AC92" s="807"/>
      <c r="AD92" s="199">
        <f t="shared" ref="AD92" ca="1" si="573">AA92*$X92</f>
        <v>0</v>
      </c>
      <c r="AE92" s="199">
        <f t="shared" ref="AE92" ca="1" si="574">AD92*$Z92</f>
        <v>0</v>
      </c>
      <c r="AF92" s="216">
        <f t="shared" ref="AF92" ca="1" si="575">IFERROR(AE92/AA$4,0)</f>
        <v>0</v>
      </c>
      <c r="AG92" s="404">
        <f t="shared" ref="AG92" ca="1" si="576">AH92/$X92</f>
        <v>0</v>
      </c>
      <c r="AH92" s="405">
        <f t="shared" ref="AH92" ca="1" si="577">AI92/$Z92</f>
        <v>0</v>
      </c>
      <c r="AI92" s="405">
        <f t="shared" ref="AI92" ca="1" si="578">AJ92*AA$4</f>
        <v>0</v>
      </c>
      <c r="AJ92" s="406">
        <f t="shared" ref="AJ92" ca="1" si="579">$N92-AF92</f>
        <v>0</v>
      </c>
      <c r="AK92" s="205"/>
      <c r="AL92" s="206">
        <f t="shared" ref="AL92" ca="1" si="580">AK92*$X92</f>
        <v>0</v>
      </c>
      <c r="AM92" s="206">
        <f t="shared" ref="AM92" ca="1" si="581">AL92*$Z92</f>
        <v>0</v>
      </c>
      <c r="AN92" s="207">
        <f t="shared" ref="AN92" ca="1" si="582">IFERROR(AM92/AA$4,0)</f>
        <v>0</v>
      </c>
      <c r="AO92" s="391">
        <f t="shared" ref="AO92" si="583">AA92+AK92</f>
        <v>0</v>
      </c>
      <c r="AP92" s="391">
        <f t="shared" ref="AP92" ca="1" si="584">AD92+IF($R92="",AL92)</f>
        <v>0</v>
      </c>
      <c r="AQ92" s="391">
        <f t="shared" ref="AQ92" ca="1" si="585">AP92*$Z92</f>
        <v>0</v>
      </c>
      <c r="AR92" s="886">
        <f t="shared" ref="AR92" ca="1" si="586">IFERROR(AQ92/AA$4,0)</f>
        <v>0</v>
      </c>
    </row>
    <row r="93" spans="1:44" outlineLevel="1" x14ac:dyDescent="0.2">
      <c r="A93" s="346"/>
      <c r="B93" s="346" t="s">
        <v>423</v>
      </c>
      <c r="C93" s="346"/>
      <c r="D93" s="347"/>
      <c r="E93" s="348"/>
      <c r="F93" s="346"/>
      <c r="G93" s="349"/>
      <c r="H93" s="1750"/>
      <c r="I93" s="1750"/>
      <c r="J93" s="1750"/>
      <c r="K93" s="1750"/>
      <c r="L93" s="1750"/>
      <c r="M93" s="345"/>
      <c r="N93" s="352">
        <f>SUM(N$94:N$95)</f>
        <v>2.5000000000000001E-2</v>
      </c>
      <c r="O93" s="352"/>
      <c r="P93" s="352">
        <f t="shared" ca="1" si="482"/>
        <v>2.3703112633464262E-2</v>
      </c>
      <c r="Q93" s="871" t="s">
        <v>718</v>
      </c>
      <c r="R93" s="871"/>
      <c r="S93" s="352"/>
      <c r="T93" s="421"/>
      <c r="U93" s="421"/>
      <c r="V93" s="872"/>
      <c r="W93" s="346"/>
      <c r="X93" s="873"/>
      <c r="Y93" s="873"/>
      <c r="Z93" s="874"/>
      <c r="AA93" s="357"/>
      <c r="AB93" s="359"/>
      <c r="AC93" s="875"/>
      <c r="AD93" s="359"/>
      <c r="AE93" s="360">
        <f ca="1">SUM(AE$94:AE$95)</f>
        <v>15016.579462500002</v>
      </c>
      <c r="AF93" s="361">
        <f t="shared" ca="1" si="336"/>
        <v>2.3703112633464262E-2</v>
      </c>
      <c r="AG93" s="362"/>
      <c r="AH93" s="359"/>
      <c r="AI93" s="360">
        <f ca="1">SUM(AI$94:AI$95)</f>
        <v>821.61412699872949</v>
      </c>
      <c r="AJ93" s="363">
        <f ca="1">IFERROR(AI93/AA$4,0)</f>
        <v>1.2968873665357393E-3</v>
      </c>
      <c r="AK93" s="362"/>
      <c r="AL93" s="359"/>
      <c r="AM93" s="360">
        <f ca="1">SUM(AM$94:AM$95)</f>
        <v>0</v>
      </c>
      <c r="AN93" s="363">
        <f t="shared" ca="1" si="343"/>
        <v>0</v>
      </c>
      <c r="AO93" s="359"/>
      <c r="AP93" s="359"/>
      <c r="AQ93" s="360">
        <f ca="1">SUM(AQ$94:AQ$95)</f>
        <v>15016.579462500002</v>
      </c>
      <c r="AR93" s="876">
        <f t="shared" ca="1" si="346"/>
        <v>2.3703112633464262E-2</v>
      </c>
    </row>
    <row r="94" spans="1:44" outlineLevel="2" x14ac:dyDescent="0.2">
      <c r="A94" s="367"/>
      <c r="B94" s="367"/>
      <c r="C94" s="367" t="str">
        <f t="shared" ref="C94:E95" ca="1" si="587">OFFSET(Origine,MATCH($F94,Descrizioni,0),MATCH(C$14,Intestazioni,0)-1,1,1)</f>
        <v>LU0390136736:USD</v>
      </c>
      <c r="D94" s="368" t="str">
        <f t="shared" ca="1" si="587"/>
        <v>LU0390136736</v>
      </c>
      <c r="E94" s="369" t="str">
        <f t="shared" ca="1" si="587"/>
        <v>4613685</v>
      </c>
      <c r="F94" s="367" t="s">
        <v>424</v>
      </c>
      <c r="G94" s="414"/>
      <c r="H94" s="1754" t="str">
        <f ca="1">HYPERLINK(OFFSET(Origine,MATCH($F94,Descrizioni,0),MATCH(H$14,Intestazioni,0)-1,1,1),"")</f>
        <v></v>
      </c>
      <c r="I94" s="1753" t="str">
        <f ca="1">HYPERLINK(OFFSET(Origine,MATCH($F94,Descrizioni,0),MATCH(I$14,Intestazioni,0)-1,1,1),"i")</f>
        <v>i</v>
      </c>
      <c r="J94" s="1754" t="str">
        <f ca="1">HYPERLINK(OFFSET(Origine,MATCH($F94,Descrizioni,0),MATCH(J$14,Intestazioni,0)-1,1,1),"")</f>
        <v></v>
      </c>
      <c r="K94" s="1716" t="str">
        <f ca="1">HYPERLINK(OFFSET(Origine,MATCH($F94,Descrizioni,0),MATCH(K$14,Intestazioni,0)-1,1,1),"")</f>
        <v></v>
      </c>
      <c r="L94" s="1717" t="str">
        <f ca="1">IFERROR(HYPERLINK("https://www.zonebourse.com/mods_a/charts/TV/inc_dyna_graph.php?c="&amp;OFFSET(Origine,MATCH($F94,Descrizioni,0),MATCH(L$14,Intestazioni,0)-1,1,1)&amp;"&amp;style=TradingView.CANDLES&amp;showAT=1",""),"")</f>
        <v></v>
      </c>
      <c r="M94" s="366" t="str">
        <f ca="1">(OFFSET(Origine,MATCH($F94,Descrizioni,0),MATCH(M$14,Intestazioni,0)-1,1,1))</f>
        <v>Unit</v>
      </c>
      <c r="N94" s="882">
        <v>2.5000000000000001E-2</v>
      </c>
      <c r="O94" s="882"/>
      <c r="P94" s="882">
        <f t="shared" ca="1" si="482"/>
        <v>2.3703112633464262E-2</v>
      </c>
      <c r="Q94" s="883"/>
      <c r="R94" s="883"/>
      <c r="S94" s="375">
        <f t="shared" ca="1" si="96"/>
        <v>3.7096088435374201E-2</v>
      </c>
      <c r="T94" s="391">
        <f>SUMIF($AA$14:$AR$14,"I_Pos",AA94:AR94)</f>
        <v>605</v>
      </c>
      <c r="U94" s="391">
        <f ca="1">SUMIF($AA$14:$AR$14,"P_Pos",AA94:AR94)</f>
        <v>33.101849064598944</v>
      </c>
      <c r="V94" s="391">
        <f>SUMIF($AA$14:$AR$14,"O_Pos",AA94:AR94)</f>
        <v>0</v>
      </c>
      <c r="W94" s="367" t="str">
        <f ca="1">OFFSET(Origine,MATCH($F94,Descrizioni,0),MATCH(W$14,Intestazioni,0)-1,1,1)</f>
        <v>USD</v>
      </c>
      <c r="X94" s="887">
        <f ca="1">_xlfn.NUMBERVALUE(OFFSET(Origine,MATCH($F94,Descrizioni,0),MATCH(X$14,Intestazioni,0)-1,1,1))</f>
        <v>31.73</v>
      </c>
      <c r="Y94" s="887"/>
      <c r="Z94" s="885">
        <f ca="1">_xlfn.NUMBERVALUE(OFFSET(Origine,MATCH(W94&amp;"/"&amp;MRif,LUKB_Name,0),MATCH("Price",Intestazioni,0)-1,1,1))</f>
        <v>0.78225</v>
      </c>
      <c r="AA94" s="197">
        <f>885+-280</f>
        <v>605</v>
      </c>
      <c r="AB94" s="312">
        <f t="shared" ref="AB94:AB95" ca="1" si="588">IFERROR($X94/AC94-1,"")</f>
        <v>0.48897231346785563</v>
      </c>
      <c r="AC94" s="807">
        <v>21.31</v>
      </c>
      <c r="AD94" s="199">
        <f ca="1">AA94*$X94</f>
        <v>19196.650000000001</v>
      </c>
      <c r="AE94" s="199">
        <f ca="1">AD94*$Z94</f>
        <v>15016.579462500002</v>
      </c>
      <c r="AF94" s="216">
        <f ca="1">IFERROR(AE94/AA$4,0)</f>
        <v>2.3703112633464262E-2</v>
      </c>
      <c r="AG94" s="404">
        <f ca="1">AH94/$X94</f>
        <v>33.101849064598944</v>
      </c>
      <c r="AH94" s="405">
        <f ca="1">AI94/$Z94</f>
        <v>1050.3216708197244</v>
      </c>
      <c r="AI94" s="405">
        <f ca="1">AJ94*AA$4</f>
        <v>821.61412699872949</v>
      </c>
      <c r="AJ94" s="406">
        <f ca="1">$N94-AF94</f>
        <v>1.2968873665357393E-3</v>
      </c>
      <c r="AK94" s="205"/>
      <c r="AL94" s="206">
        <f ca="1">AK94*$X94</f>
        <v>0</v>
      </c>
      <c r="AM94" s="206">
        <f ca="1">AL94*$Z94</f>
        <v>0</v>
      </c>
      <c r="AN94" s="207">
        <f ca="1">IFERROR(AM94/AA$4,0)</f>
        <v>0</v>
      </c>
      <c r="AO94" s="391">
        <f>AA94+AK94</f>
        <v>605</v>
      </c>
      <c r="AP94" s="391">
        <f t="shared" ca="1" si="485"/>
        <v>19196.650000000001</v>
      </c>
      <c r="AQ94" s="391">
        <f ca="1">AP94*$Z94</f>
        <v>15016.579462500002</v>
      </c>
      <c r="AR94" s="886">
        <f t="shared" ca="1" si="346"/>
        <v>2.3703112633464262E-2</v>
      </c>
    </row>
    <row r="95" spans="1:44" outlineLevel="2" x14ac:dyDescent="0.2">
      <c r="A95" s="367"/>
      <c r="B95" s="367"/>
      <c r="C95" s="367" t="str">
        <f t="shared" ca="1" si="587"/>
        <v>LU2128486979:USD</v>
      </c>
      <c r="D95" s="368" t="str">
        <f t="shared" ca="1" si="587"/>
        <v>LU2128486979</v>
      </c>
      <c r="E95" s="369" t="str">
        <f t="shared" ca="1" si="587"/>
        <v>56356692</v>
      </c>
      <c r="F95" s="367" t="s">
        <v>777</v>
      </c>
      <c r="G95" s="414"/>
      <c r="H95" s="1754" t="str">
        <f ca="1">HYPERLINK(OFFSET(Origine,MATCH($F95,Descrizioni,0),MATCH(H$14,Intestazioni,0)-1,1,1),"")</f>
        <v></v>
      </c>
      <c r="I95" s="1753" t="str">
        <f ca="1">HYPERLINK(OFFSET(Origine,MATCH($F95,Descrizioni,0),MATCH(I$14,Intestazioni,0)-1,1,1),"i")</f>
        <v>i</v>
      </c>
      <c r="J95" s="1754" t="str">
        <f ca="1">HYPERLINK(OFFSET(Origine,MATCH($F95,Descrizioni,0),MATCH(J$14,Intestazioni,0)-1,1,1),"")</f>
        <v></v>
      </c>
      <c r="K95" s="1716" t="str">
        <f ca="1">HYPERLINK(OFFSET(Origine,MATCH($F95,Descrizioni,0),MATCH(K$14,Intestazioni,0)-1,1,1),"")</f>
        <v></v>
      </c>
      <c r="L95" s="1717" t="str">
        <f ca="1">IFERROR(HYPERLINK("https://www.zonebourse.com/mods_a/charts/TV/inc_dyna_graph.php?c="&amp;OFFSET(Origine,MATCH($F95,Descrizioni,0),MATCH(L$14,Intestazioni,0)-1,1,1)&amp;"&amp;style=TradingView.CANDLES&amp;showAT=1",""),"")</f>
        <v></v>
      </c>
      <c r="M95" s="366" t="str">
        <f ca="1">(OFFSET(Origine,MATCH($F95,Descrizioni,0),MATCH(M$14,Intestazioni,0)-1,1,1))</f>
        <v>Unit</v>
      </c>
      <c r="N95" s="882"/>
      <c r="O95" s="882"/>
      <c r="P95" s="882">
        <f t="shared" ca="1" si="482"/>
        <v>0</v>
      </c>
      <c r="Q95" s="883"/>
      <c r="R95" s="883"/>
      <c r="S95" s="375">
        <f t="shared" ca="1" si="96"/>
        <v>-3.1762667529723752E-2</v>
      </c>
      <c r="T95" s="391">
        <f>SUMIF($AA$14:$AR$14,"I_Pos",AA95:AR95)</f>
        <v>0</v>
      </c>
      <c r="U95" s="391">
        <f ca="1">SUMIF($AA$14:$AR$14,"P_Pos",AA95:AR95)</f>
        <v>0</v>
      </c>
      <c r="V95" s="391">
        <f>SUMIF($AA$14:$AR$14,"O_Pos",AA95:AR95)</f>
        <v>0</v>
      </c>
      <c r="W95" s="367" t="str">
        <f ca="1">OFFSET(Origine,MATCH($F95,Descrizioni,0),MATCH(W$14,Intestazioni,0)-1,1,1)</f>
        <v>USD</v>
      </c>
      <c r="X95" s="887">
        <f ca="1">_xlfn.NUMBERVALUE(OFFSET(Origine,MATCH($F95,Descrizioni,0),MATCH(X$14,Intestazioni,0)-1,1,1))</f>
        <v>408.06130000000002</v>
      </c>
      <c r="Y95" s="887"/>
      <c r="Z95" s="885">
        <f ca="1">_xlfn.NUMBERVALUE(OFFSET(Origine,MATCH(W95&amp;"/"&amp;MRif,LUKB_Name,0),MATCH("Price",Intestazioni,0)-1,1,1))</f>
        <v>0.78225</v>
      </c>
      <c r="AA95" s="197"/>
      <c r="AB95" s="312" t="str">
        <f t="shared" ca="1" si="588"/>
        <v/>
      </c>
      <c r="AC95" s="807"/>
      <c r="AD95" s="199">
        <f ca="1">AA95*$X95</f>
        <v>0</v>
      </c>
      <c r="AE95" s="199">
        <f ca="1">AD95*$Z95</f>
        <v>0</v>
      </c>
      <c r="AF95" s="216">
        <f ca="1">IFERROR(AE95/AA$4,0)</f>
        <v>0</v>
      </c>
      <c r="AG95" s="404">
        <f ca="1">AH95/$X95</f>
        <v>0</v>
      </c>
      <c r="AH95" s="405">
        <f ca="1">AI95/$Z95</f>
        <v>0</v>
      </c>
      <c r="AI95" s="405">
        <f ca="1">AJ95*AA$4</f>
        <v>0</v>
      </c>
      <c r="AJ95" s="406">
        <f ca="1">$N95-AF95</f>
        <v>0</v>
      </c>
      <c r="AK95" s="205"/>
      <c r="AL95" s="206">
        <f ca="1">AK95*$X95</f>
        <v>0</v>
      </c>
      <c r="AM95" s="206">
        <f ca="1">AL95*$Z95</f>
        <v>0</v>
      </c>
      <c r="AN95" s="207">
        <f ca="1">IFERROR(AM95/AA$4,0)</f>
        <v>0</v>
      </c>
      <c r="AO95" s="391">
        <f>AA95+AK95</f>
        <v>0</v>
      </c>
      <c r="AP95" s="391">
        <f t="shared" ca="1" si="485"/>
        <v>0</v>
      </c>
      <c r="AQ95" s="391">
        <f ca="1">AP95*$Z95</f>
        <v>0</v>
      </c>
      <c r="AR95" s="886">
        <f t="shared" ca="1" si="346"/>
        <v>0</v>
      </c>
    </row>
    <row r="96" spans="1:44" outlineLevel="1" x14ac:dyDescent="0.2">
      <c r="A96" s="346"/>
      <c r="B96" s="346" t="s">
        <v>491</v>
      </c>
      <c r="C96" s="346"/>
      <c r="D96" s="347"/>
      <c r="E96" s="348"/>
      <c r="F96" s="346"/>
      <c r="G96" s="349"/>
      <c r="H96" s="1750"/>
      <c r="I96" s="1750"/>
      <c r="J96" s="1750"/>
      <c r="K96" s="1750"/>
      <c r="L96" s="1750"/>
      <c r="M96" s="345"/>
      <c r="N96" s="352">
        <f>SUM(N$97:N$98)</f>
        <v>0.03</v>
      </c>
      <c r="O96" s="352"/>
      <c r="P96" s="352">
        <f t="shared" ca="1" si="482"/>
        <v>3.1202197062906382E-2</v>
      </c>
      <c r="Q96" s="871" t="s">
        <v>718</v>
      </c>
      <c r="R96" s="871"/>
      <c r="S96" s="352"/>
      <c r="T96" s="421"/>
      <c r="U96" s="421"/>
      <c r="V96" s="872"/>
      <c r="W96" s="346"/>
      <c r="X96" s="873"/>
      <c r="Y96" s="873"/>
      <c r="Z96" s="874"/>
      <c r="AA96" s="357"/>
      <c r="AB96" s="359"/>
      <c r="AC96" s="875"/>
      <c r="AD96" s="359"/>
      <c r="AE96" s="360">
        <f ca="1">SUM(AE$97:AE$98)</f>
        <v>19767.4575</v>
      </c>
      <c r="AF96" s="361">
        <f t="shared" ref="AF96" ca="1" si="589">IFERROR(AE96/AA$4,0)</f>
        <v>3.1202197062906382E-2</v>
      </c>
      <c r="AG96" s="362"/>
      <c r="AH96" s="359"/>
      <c r="AI96" s="360">
        <f ca="1">SUM(AI$97:AI$98)</f>
        <v>-761.62519260152351</v>
      </c>
      <c r="AJ96" s="363">
        <f ca="1">IFERROR(AI96/AA$4,0)</f>
        <v>-1.2021970629063836E-3</v>
      </c>
      <c r="AK96" s="362"/>
      <c r="AL96" s="359"/>
      <c r="AM96" s="360">
        <f ca="1">SUM(AM$97:AM$98)</f>
        <v>0</v>
      </c>
      <c r="AN96" s="363">
        <f t="shared" ref="AN96" ca="1" si="590">IFERROR(AM96/AA$4,0)</f>
        <v>0</v>
      </c>
      <c r="AO96" s="359"/>
      <c r="AP96" s="359"/>
      <c r="AQ96" s="360">
        <f ca="1">SUM(AQ$97:AQ$98)</f>
        <v>19767.4575</v>
      </c>
      <c r="AR96" s="876">
        <f t="shared" ca="1" si="346"/>
        <v>3.1202197062906382E-2</v>
      </c>
    </row>
    <row r="97" spans="1:44" outlineLevel="2" x14ac:dyDescent="0.2">
      <c r="A97" s="367"/>
      <c r="B97" s="367"/>
      <c r="C97" s="367" t="str">
        <f t="shared" ref="C97:E98" ca="1" si="591">OFFSET(Origine,MATCH($F97,Descrizioni,0),MATCH(C$14,Intestazioni,0)-1,1,1)</f>
        <v>IE00B1XNHC34:USD</v>
      </c>
      <c r="D97" s="368" t="str">
        <f t="shared" ca="1" si="591"/>
        <v>IE00B1XNHC34</v>
      </c>
      <c r="E97" s="369" t="str">
        <f t="shared" ca="1" si="591"/>
        <v>3246465</v>
      </c>
      <c r="F97" s="367" t="s">
        <v>781</v>
      </c>
      <c r="G97" s="414"/>
      <c r="H97" s="1754" t="str">
        <f ca="1">HYPERLINK(OFFSET(Origine,MATCH($F97,Descrizioni,0),MATCH(H$14,Intestazioni,0)-1,1,1),"")</f>
        <v></v>
      </c>
      <c r="I97" s="1753" t="str">
        <f ca="1">HYPERLINK(OFFSET(Origine,MATCH($F97,Descrizioni,0),MATCH(I$14,Intestazioni,0)-1,1,1),"i")</f>
        <v>i</v>
      </c>
      <c r="J97" s="1754" t="str">
        <f ca="1">HYPERLINK(OFFSET(Origine,MATCH($F97,Descrizioni,0),MATCH(J$14,Intestazioni,0)-1,1,1),"")</f>
        <v></v>
      </c>
      <c r="K97" s="1716" t="str">
        <f ca="1">HYPERLINK(OFFSET(Origine,MATCH($F97,Descrizioni,0),MATCH(K$14,Intestazioni,0)-1,1,1),"")</f>
        <v></v>
      </c>
      <c r="L97" s="1717" t="str">
        <f ca="1">IFERROR(HYPERLINK("https://www.zonebourse.com/mods_a/charts/TV/inc_dyna_graph.php?c="&amp;OFFSET(Origine,MATCH($F97,Descrizioni,0),MATCH(L$14,Intestazioni,0)-1,1,1)&amp;"&amp;style=TradingView.CANDLES&amp;showAT=1",""),"")</f>
        <v></v>
      </c>
      <c r="M97" s="366" t="str">
        <f ca="1">(OFFSET(Origine,MATCH($F97,Descrizioni,0),MATCH(M$14,Intestazioni,0)-1,1,1))</f>
        <v>Unit</v>
      </c>
      <c r="N97" s="892"/>
      <c r="O97" s="892"/>
      <c r="P97" s="882">
        <f t="shared" ca="1" si="482"/>
        <v>0</v>
      </c>
      <c r="Q97" s="883"/>
      <c r="R97" s="883"/>
      <c r="S97" s="375">
        <f t="shared" ca="1" si="96"/>
        <v>-3.4066985645933204E-2</v>
      </c>
      <c r="T97" s="391">
        <f>SUMIF($AA$14:$AR$14,"I_Pos",AA97:AR97)</f>
        <v>0</v>
      </c>
      <c r="U97" s="391">
        <f ca="1">SUMIF($AA$14:$AR$14,"P_Pos",AA97:AR97)</f>
        <v>0</v>
      </c>
      <c r="V97" s="391">
        <f>SUMIF($AA$14:$AR$14,"O_Pos",AA97:AR97)</f>
        <v>0</v>
      </c>
      <c r="W97" s="367" t="str">
        <f ca="1">OFFSET(Origine,MATCH($F97,Descrizioni,0),MATCH(W$14,Intestazioni,0)-1,1,1)</f>
        <v>USD</v>
      </c>
      <c r="X97" s="887">
        <f ca="1">_xlfn.NUMBERVALUE(OFFSET(Origine,MATCH($F97,Descrizioni,0),MATCH(X$14,Intestazioni,0)-1,1,1))</f>
        <v>10.093999999999999</v>
      </c>
      <c r="Y97" s="887"/>
      <c r="Z97" s="885">
        <f ca="1">_xlfn.NUMBERVALUE(OFFSET(Origine,MATCH(W97&amp;"/"&amp;MRif,LUKB_Name,0),MATCH("Price",Intestazioni,0)-1,1,1))</f>
        <v>0.78225</v>
      </c>
      <c r="AA97" s="197"/>
      <c r="AB97" s="312" t="str">
        <f t="shared" ref="AB97:AB98" ca="1" si="592">IFERROR($X97/AC97-1,"")</f>
        <v/>
      </c>
      <c r="AC97" s="807"/>
      <c r="AD97" s="199">
        <f ca="1">AA97*$X97</f>
        <v>0</v>
      </c>
      <c r="AE97" s="199">
        <f ca="1">AD97*$Z97</f>
        <v>0</v>
      </c>
      <c r="AF97" s="216">
        <f t="shared" ca="1" si="336"/>
        <v>0</v>
      </c>
      <c r="AG97" s="404">
        <f ca="1">AH97/$X97</f>
        <v>0</v>
      </c>
      <c r="AH97" s="405">
        <f ca="1">AI97/$Z97</f>
        <v>0</v>
      </c>
      <c r="AI97" s="405">
        <f ca="1">AJ97*AA$4</f>
        <v>0</v>
      </c>
      <c r="AJ97" s="406">
        <f ca="1">$N97-AF97</f>
        <v>0</v>
      </c>
      <c r="AK97" s="205"/>
      <c r="AL97" s="206">
        <f ca="1">AK97*$X97</f>
        <v>0</v>
      </c>
      <c r="AM97" s="206">
        <f ca="1">AL97*$Z97</f>
        <v>0</v>
      </c>
      <c r="AN97" s="207">
        <f t="shared" ca="1" si="343"/>
        <v>0</v>
      </c>
      <c r="AO97" s="391">
        <f>AA97+AK97</f>
        <v>0</v>
      </c>
      <c r="AP97" s="391">
        <f t="shared" ca="1" si="485"/>
        <v>0</v>
      </c>
      <c r="AQ97" s="391">
        <f ca="1">AP97*$Z97</f>
        <v>0</v>
      </c>
      <c r="AR97" s="886">
        <f t="shared" ca="1" si="346"/>
        <v>0</v>
      </c>
    </row>
    <row r="98" spans="1:44" outlineLevel="2" x14ac:dyDescent="0.2">
      <c r="A98" s="367"/>
      <c r="B98" s="367"/>
      <c r="C98" s="367" t="str">
        <f t="shared" ca="1" si="591"/>
        <v>IE000YYE6WK5:USD</v>
      </c>
      <c r="D98" s="368" t="str">
        <f t="shared" ca="1" si="591"/>
        <v>IE000YYE6WK5</v>
      </c>
      <c r="E98" s="369" t="str">
        <f t="shared" ca="1" si="591"/>
        <v>125816101</v>
      </c>
      <c r="F98" s="367" t="s">
        <v>4473</v>
      </c>
      <c r="G98" s="414"/>
      <c r="H98" s="1754" t="str">
        <f ca="1">HYPERLINK(OFFSET(Origine,MATCH($F98,Descrizioni,0),MATCH(H$14,Intestazioni,0)-1,1,1),"")</f>
        <v></v>
      </c>
      <c r="I98" s="1753" t="str">
        <f ca="1">HYPERLINK(OFFSET(Origine,MATCH($F98,Descrizioni,0),MATCH(I$14,Intestazioni,0)-1,1,1),"i")</f>
        <v>i</v>
      </c>
      <c r="J98" s="1754" t="str">
        <f ca="1">HYPERLINK(OFFSET(Origine,MATCH($F98,Descrizioni,0),MATCH(J$14,Intestazioni,0)-1,1,1),"")</f>
        <v></v>
      </c>
      <c r="K98" s="1716" t="str">
        <f ca="1">HYPERLINK(OFFSET(Origine,MATCH($F98,Descrizioni,0),MATCH(K$14,Intestazioni,0)-1,1,1),"")</f>
        <v></v>
      </c>
      <c r="L98" s="1717" t="str">
        <f ca="1">HYPERLINK("https://www.zonebourse.com/mods_a/charts/TV/inc_dyna_graph.php?c="&amp;OFFSET(Origine,MATCH($F98,Descrizioni,0),MATCH(L$14,Intestazioni,0)-1,1,1)&amp;"&amp;style=TradingView.CANDLES&amp;showAT=1","")</f>
        <v></v>
      </c>
      <c r="M98" s="366" t="str">
        <f ca="1">(OFFSET(Origine,MATCH($F98,Descrizioni,0),MATCH(M$14,Intestazioni,0)-1,1,1))</f>
        <v>Unit</v>
      </c>
      <c r="N98" s="882">
        <v>0.03</v>
      </c>
      <c r="O98" s="892"/>
      <c r="P98" s="882">
        <f t="shared" ca="1" si="482"/>
        <v>3.1202197062906382E-2</v>
      </c>
      <c r="Q98" s="883"/>
      <c r="R98" s="883"/>
      <c r="S98" s="375">
        <f t="shared" ca="1" si="96"/>
        <v>3.7536493813430001E-3</v>
      </c>
      <c r="T98" s="391">
        <f>SUMIF($AA$14:$AR$14,"I_Pos",AA98:AR98)</f>
        <v>350</v>
      </c>
      <c r="U98" s="391">
        <f ca="1">SUMIF($AA$14:$AR$14,"P_Pos",AA98:AR98)</f>
        <v>-13.4852353880378</v>
      </c>
      <c r="V98" s="391">
        <f>SUMIF($AA$14:$AR$14,"O_Pos",AA98:AR98)</f>
        <v>0</v>
      </c>
      <c r="W98" s="367" t="str">
        <f ca="1">OFFSET(Origine,MATCH($F98,Descrizioni,0),MATCH(W$14,Intestazioni,0)-1,1,1)</f>
        <v>USD</v>
      </c>
      <c r="X98" s="887">
        <f ca="1">_xlfn.NUMBERVALUE(OFFSET(Origine,MATCH($F98,Descrizioni,0),MATCH(X$14,Intestazioni,0)-1,1,1))</f>
        <v>72.2</v>
      </c>
      <c r="Y98" s="887"/>
      <c r="Z98" s="885">
        <f ca="1">_xlfn.NUMBERVALUE(OFFSET(Origine,MATCH(W98&amp;"/"&amp;MRif,LUKB_Name,0),MATCH("Price",Intestazioni,0)-1,1,1))</f>
        <v>0.78225</v>
      </c>
      <c r="AA98" s="197">
        <f>350</f>
        <v>350</v>
      </c>
      <c r="AB98" s="312">
        <f t="shared" ca="1" si="592"/>
        <v>1.0194287505211896E-2</v>
      </c>
      <c r="AC98" s="807">
        <v>71.471400000000003</v>
      </c>
      <c r="AD98" s="199">
        <f ca="1">AA98*$X98</f>
        <v>25270</v>
      </c>
      <c r="AE98" s="199">
        <f ca="1">AD98*$Z98</f>
        <v>19767.4575</v>
      </c>
      <c r="AF98" s="216">
        <f t="shared" ref="AF98" ca="1" si="593">IFERROR(AE98/AA$4,0)</f>
        <v>3.1202197062906382E-2</v>
      </c>
      <c r="AG98" s="404">
        <f ca="1">AH98/$X98</f>
        <v>-13.4852353880378</v>
      </c>
      <c r="AH98" s="405">
        <f ca="1">AI98/$Z98</f>
        <v>-973.63399501632921</v>
      </c>
      <c r="AI98" s="405">
        <f ca="1">AJ98*AA$4</f>
        <v>-761.62519260152351</v>
      </c>
      <c r="AJ98" s="406">
        <f ca="1">$N98-AF98</f>
        <v>-1.2021970629063836E-3</v>
      </c>
      <c r="AK98" s="205"/>
      <c r="AL98" s="206">
        <f ca="1">AK98*$X98</f>
        <v>0</v>
      </c>
      <c r="AM98" s="206">
        <f ca="1">AL98*$Z98</f>
        <v>0</v>
      </c>
      <c r="AN98" s="207">
        <f t="shared" ref="AN98" ca="1" si="594">IFERROR(AM98/AA$4,0)</f>
        <v>0</v>
      </c>
      <c r="AO98" s="391">
        <f>AA98+AK98</f>
        <v>350</v>
      </c>
      <c r="AP98" s="391">
        <f t="shared" ca="1" si="485"/>
        <v>25270</v>
      </c>
      <c r="AQ98" s="391">
        <f ca="1">AP98*$Z98</f>
        <v>19767.4575</v>
      </c>
      <c r="AR98" s="886">
        <f t="shared" ref="AR98" ca="1" si="595">IFERROR(AQ98/AA$4,0)</f>
        <v>3.1202197062906382E-2</v>
      </c>
    </row>
    <row r="99" spans="1:44" x14ac:dyDescent="0.2">
      <c r="A99" s="435" t="s">
        <v>577</v>
      </c>
      <c r="B99" s="435"/>
      <c r="C99" s="435"/>
      <c r="D99" s="436"/>
      <c r="E99" s="437"/>
      <c r="F99" s="435"/>
      <c r="G99" s="438"/>
      <c r="H99" s="1770"/>
      <c r="I99" s="1755"/>
      <c r="J99" s="1755"/>
      <c r="K99" s="1755"/>
      <c r="L99" s="1755"/>
      <c r="M99" s="434"/>
      <c r="N99" s="894">
        <f>SUM(N$100,N$102)</f>
        <v>0</v>
      </c>
      <c r="O99" s="894"/>
      <c r="P99" s="894">
        <f t="shared" ca="1" si="482"/>
        <v>0</v>
      </c>
      <c r="Q99" s="893" t="s">
        <v>718</v>
      </c>
      <c r="R99" s="893"/>
      <c r="S99" s="894"/>
      <c r="T99" s="441">
        <f>SUMIF($AA$14:$AR$14,"I_Pos",AA99:AR99)</f>
        <v>0</v>
      </c>
      <c r="U99" s="441"/>
      <c r="V99" s="441"/>
      <c r="W99" s="435"/>
      <c r="X99" s="895"/>
      <c r="Y99" s="895"/>
      <c r="Z99" s="896"/>
      <c r="AA99" s="453"/>
      <c r="AB99" s="897"/>
      <c r="AC99" s="898"/>
      <c r="AD99" s="447"/>
      <c r="AE99" s="448" cm="1">
        <f t="array" aca="1" ref="AE99" ca="1">SUM(IF($B$100:$B$103="",AE$100:AE$103))</f>
        <v>0</v>
      </c>
      <c r="AF99" s="449">
        <f ca="1">IFERROR(AE99/AA$4,0)</f>
        <v>0</v>
      </c>
      <c r="AG99" s="899"/>
      <c r="AH99" s="900"/>
      <c r="AI99" s="901" cm="1">
        <f t="array" aca="1" ref="AI99" ca="1">SUM(IF($B$100:$B$103="",AI$100:AI$103))</f>
        <v>0</v>
      </c>
      <c r="AJ99" s="902">
        <f ca="1">IFERROR(AI99/AA$4,0)</f>
        <v>0</v>
      </c>
      <c r="AK99" s="450"/>
      <c r="AL99" s="451"/>
      <c r="AM99" s="448" cm="1">
        <f t="array" aca="1" ref="AM99" ca="1">SUM(IF($B$100:$B$103="",AM$100:AM$103))</f>
        <v>0</v>
      </c>
      <c r="AN99" s="452">
        <f ca="1">IFERROR(AM99/AA$4,0)</f>
        <v>0</v>
      </c>
      <c r="AO99" s="451"/>
      <c r="AP99" s="451"/>
      <c r="AQ99" s="448" cm="1">
        <f t="array" aca="1" ref="AQ99" ca="1">SUM(IF($B$100:$B$103="",AQ$100:AQ$103))</f>
        <v>0</v>
      </c>
      <c r="AR99" s="903">
        <f ca="1">IFERROR(AQ99/AA$4,0)</f>
        <v>0</v>
      </c>
    </row>
    <row r="100" spans="1:44" outlineLevel="1" x14ac:dyDescent="0.2">
      <c r="A100" s="456"/>
      <c r="B100" s="456" t="s">
        <v>397</v>
      </c>
      <c r="C100" s="456"/>
      <c r="D100" s="457"/>
      <c r="E100" s="458"/>
      <c r="F100" s="456"/>
      <c r="G100" s="459"/>
      <c r="H100" s="1756"/>
      <c r="I100" s="1756"/>
      <c r="J100" s="1756"/>
      <c r="K100" s="1756"/>
      <c r="L100" s="1756"/>
      <c r="M100" s="455"/>
      <c r="N100" s="905">
        <f>SUM(N$101)</f>
        <v>0</v>
      </c>
      <c r="O100" s="905"/>
      <c r="P100" s="905">
        <f t="shared" ca="1" si="482"/>
        <v>0</v>
      </c>
      <c r="Q100" s="904"/>
      <c r="R100" s="904"/>
      <c r="S100" s="905"/>
      <c r="T100" s="462">
        <f>SUMIF($AA$14:$AR$14,"I_Pos",AA100:AR100)</f>
        <v>0</v>
      </c>
      <c r="U100" s="462"/>
      <c r="V100" s="906"/>
      <c r="W100" s="456"/>
      <c r="X100" s="907"/>
      <c r="Y100" s="907"/>
      <c r="Z100" s="908"/>
      <c r="AA100" s="475"/>
      <c r="AB100" s="909"/>
      <c r="AC100" s="910"/>
      <c r="AD100" s="456"/>
      <c r="AE100" s="469">
        <f ca="1">SUM(AE$101)</f>
        <v>0</v>
      </c>
      <c r="AF100" s="470">
        <f ca="1">IFERROR(AE100/AA$4,0)</f>
        <v>0</v>
      </c>
      <c r="AG100" s="911"/>
      <c r="AH100" s="909"/>
      <c r="AI100" s="912">
        <f ca="1">SUM(AI$101)</f>
        <v>0</v>
      </c>
      <c r="AJ100" s="913">
        <f ca="1">IFERROR(AI100/AA$4,0)</f>
        <v>0</v>
      </c>
      <c r="AK100" s="471"/>
      <c r="AL100" s="456"/>
      <c r="AM100" s="469">
        <f ca="1">SUM(AM$101)</f>
        <v>0</v>
      </c>
      <c r="AN100" s="472">
        <f ca="1">IFERROR(AM100/AA$4,0)</f>
        <v>0</v>
      </c>
      <c r="AO100" s="456"/>
      <c r="AP100" s="456"/>
      <c r="AQ100" s="469">
        <f ca="1">SUM(AQ$101)</f>
        <v>0</v>
      </c>
      <c r="AR100" s="914">
        <f ca="1">IFERROR(AQ100/AA$4,0)</f>
        <v>0</v>
      </c>
    </row>
    <row r="101" spans="1:44" outlineLevel="2" x14ac:dyDescent="0.2">
      <c r="A101" s="478"/>
      <c r="B101" s="478"/>
      <c r="C101" s="478" t="str">
        <f ca="1">OFFSET(Origine,MATCH($F101,Descrizioni,0),MATCH(C$14,Intestazioni,0)-1,1,1)</f>
        <v>CH0014420829:CHF</v>
      </c>
      <c r="D101" s="479" t="str">
        <f ca="1">OFFSET(Origine,MATCH($F101,Descrizioni,0),MATCH(D$14,Intestazioni,0)-1,1,1)</f>
        <v>CH0014420829</v>
      </c>
      <c r="E101" s="480" t="str">
        <f ca="1">OFFSET(Origine,MATCH($F101,Descrizioni,0),MATCH(E$14,Intestazioni,0)-1,1,1)</f>
        <v>1442082</v>
      </c>
      <c r="F101" s="478" t="s">
        <v>578</v>
      </c>
      <c r="G101" s="481"/>
      <c r="H101" s="1758" t="str">
        <f ca="1">HYPERLINK(OFFSET(Origine,MATCH($F101,Descrizioni,0),MATCH(H$14,Intestazioni,0)-1,1,1),"")</f>
        <v></v>
      </c>
      <c r="I101" s="1757" t="str">
        <f ca="1">HYPERLINK(OFFSET(Origine,MATCH($F101,Descrizioni,0),MATCH(I$14,Intestazioni,0)-1,1,1),"i")</f>
        <v>i</v>
      </c>
      <c r="J101" s="1758" t="str">
        <f ca="1">HYPERLINK(OFFSET(Origine,MATCH($F101,Descrizioni,0),MATCH(J$14,Intestazioni,0)-1,1,1),"")</f>
        <v></v>
      </c>
      <c r="K101" s="1726" t="str">
        <f ca="1">HYPERLINK(OFFSET(Origine,MATCH($F101,Descrizioni,0),MATCH(K$14,Intestazioni,0)-1,1,1),"")</f>
        <v></v>
      </c>
      <c r="L101" s="1725" t="str">
        <f ca="1">IFERROR(HYPERLINK("https://www.zonebourse.com/mods_a/charts/TV/inc_dyna_graph.php?c="&amp;OFFSET(Origine,MATCH($F101,Descrizioni,0),MATCH(L$14,Intestazioni,0)-1,1,1)&amp;"&amp;style=TradingView.CANDLES&amp;showAT=1",""),"")</f>
        <v></v>
      </c>
      <c r="M101" s="477" t="str">
        <f ca="1">(OFFSET(Origine,MATCH($F101,Descrizioni,0),MATCH(M$14,Intestazioni,0)-1,1,1))</f>
        <v>Unit</v>
      </c>
      <c r="N101" s="664"/>
      <c r="O101" s="664"/>
      <c r="P101" s="664">
        <f t="shared" ca="1" si="482"/>
        <v>0</v>
      </c>
      <c r="Q101" s="915"/>
      <c r="R101" s="915"/>
      <c r="S101" s="664">
        <f t="shared" ref="S101:S103" ca="1" si="596">OFFSET(Origine,MATCH($F101,Descrizioni,0),MATCH(S$14,Intestazioni,0)-1,1,1)</f>
        <v>-1.9230769230768998E-3</v>
      </c>
      <c r="T101" s="484">
        <f>SUMIF($AA$14:$AR$14,"I_Pos",AA101:AR101)</f>
        <v>0</v>
      </c>
      <c r="U101" s="484">
        <f ca="1">SUMIF($AA$14:$AR$14,"P_Pos",AA101:AR101)</f>
        <v>0</v>
      </c>
      <c r="V101" s="484">
        <f>SUMIF($AA$14:$AR$14,"O_Pos",AA101:AR101)</f>
        <v>0</v>
      </c>
      <c r="W101" s="478" t="str">
        <f ca="1">OFFSET(Origine,MATCH($F101,Descrizioni,0),MATCH(W$14,Intestazioni,0)-1,1,1)</f>
        <v>CHF</v>
      </c>
      <c r="X101" s="916">
        <f ca="1">_xlfn.NUMBERVALUE(OFFSET(Origine,MATCH($F101,Descrizioni,0),MATCH(X$14,Intestazioni,0)-1,1,1))</f>
        <v>103.8</v>
      </c>
      <c r="Y101" s="916"/>
      <c r="Z101" s="917">
        <f ca="1">_xlfn.NUMBERVALUE(OFFSET(Origine,MATCH(W101&amp;"/"&amp;MRif,LUKB_Name,0),MATCH("Price",Intestazioni,0)-1,1,1))</f>
        <v>1.0000001300000001</v>
      </c>
      <c r="AA101" s="197"/>
      <c r="AB101" s="312" t="str">
        <f ca="1">IFERROR($X101/AC101-1,"")</f>
        <v/>
      </c>
      <c r="AC101" s="807"/>
      <c r="AD101" s="199">
        <f ca="1">AA101*$X101</f>
        <v>0</v>
      </c>
      <c r="AE101" s="199">
        <f ca="1">AD101*$Z101</f>
        <v>0</v>
      </c>
      <c r="AF101" s="216">
        <f ca="1">IFERROR(AE101/AA$4,0)</f>
        <v>0</v>
      </c>
      <c r="AG101" s="404">
        <f ca="1">AH101/$X101</f>
        <v>0</v>
      </c>
      <c r="AH101" s="405">
        <f ca="1">AI101/$Z101</f>
        <v>0</v>
      </c>
      <c r="AI101" s="405">
        <f ca="1">AJ101*AA$4</f>
        <v>0</v>
      </c>
      <c r="AJ101" s="406">
        <f ca="1">$N101-AF101</f>
        <v>0</v>
      </c>
      <c r="AK101" s="205"/>
      <c r="AL101" s="206">
        <f ca="1">AK101*$X101</f>
        <v>0</v>
      </c>
      <c r="AM101" s="206">
        <f ca="1">AL101*$Z101</f>
        <v>0</v>
      </c>
      <c r="AN101" s="207">
        <f ca="1">IFERROR(AM101/AA$4,0)</f>
        <v>0</v>
      </c>
      <c r="AO101" s="541">
        <f>AA101+AK101</f>
        <v>0</v>
      </c>
      <c r="AP101" s="541">
        <f t="shared" ca="1" si="485"/>
        <v>0</v>
      </c>
      <c r="AQ101" s="541">
        <f ca="1">AP101*$Z101</f>
        <v>0</v>
      </c>
      <c r="AR101" s="918">
        <f ca="1">IFERROR(AQ101/AA$4,0)</f>
        <v>0</v>
      </c>
    </row>
    <row r="102" spans="1:44" outlineLevel="1" x14ac:dyDescent="0.2">
      <c r="A102" s="456"/>
      <c r="B102" s="456" t="s">
        <v>782</v>
      </c>
      <c r="C102" s="456"/>
      <c r="D102" s="457"/>
      <c r="E102" s="458"/>
      <c r="F102" s="456"/>
      <c r="G102" s="459"/>
      <c r="H102" s="1756"/>
      <c r="I102" s="1756"/>
      <c r="J102" s="1756"/>
      <c r="K102" s="1756"/>
      <c r="L102" s="1756"/>
      <c r="M102" s="455"/>
      <c r="N102" s="905">
        <f>SUM(N$103)</f>
        <v>0</v>
      </c>
      <c r="O102" s="905"/>
      <c r="P102" s="905">
        <f t="shared" ca="1" si="482"/>
        <v>0</v>
      </c>
      <c r="Q102" s="904"/>
      <c r="R102" s="904"/>
      <c r="S102" s="905"/>
      <c r="T102" s="462"/>
      <c r="U102" s="462"/>
      <c r="V102" s="919"/>
      <c r="W102" s="456"/>
      <c r="X102" s="907"/>
      <c r="Y102" s="907"/>
      <c r="Z102" s="908"/>
      <c r="AA102" s="475"/>
      <c r="AB102" s="909"/>
      <c r="AC102" s="910"/>
      <c r="AD102" s="456"/>
      <c r="AE102" s="469">
        <f ca="1">SUM(AE$103)</f>
        <v>0</v>
      </c>
      <c r="AF102" s="470">
        <f ca="1">IFERROR(AE102/AA$4,0)</f>
        <v>0</v>
      </c>
      <c r="AG102" s="911"/>
      <c r="AH102" s="909"/>
      <c r="AI102" s="912">
        <f ca="1">SUM(AI$103)</f>
        <v>0</v>
      </c>
      <c r="AJ102" s="913">
        <f ca="1">IFERROR(AI102/AA$4,0)</f>
        <v>0</v>
      </c>
      <c r="AK102" s="471"/>
      <c r="AL102" s="456"/>
      <c r="AM102" s="469">
        <f ca="1">SUM(AM$103)</f>
        <v>0</v>
      </c>
      <c r="AN102" s="472">
        <f ca="1">IFERROR(AM102/AA$4,0)</f>
        <v>0</v>
      </c>
      <c r="AO102" s="456"/>
      <c r="AP102" s="456"/>
      <c r="AQ102" s="469">
        <f ca="1">SUM(AQ$103)</f>
        <v>0</v>
      </c>
      <c r="AR102" s="914">
        <f ca="1">IFERROR(AQ102/AA$4,0)</f>
        <v>0</v>
      </c>
    </row>
    <row r="103" spans="1:44" outlineLevel="2" x14ac:dyDescent="0.2">
      <c r="A103" s="478"/>
      <c r="B103" s="478"/>
      <c r="C103" s="478" t="str">
        <f ca="1">OFFSET(Origine,MATCH($F103,Descrizioni,0),MATCH(C$14,Intestazioni,0)-1,1,1)</f>
        <v>IE00BSJCQV56:EUR</v>
      </c>
      <c r="D103" s="479" t="str">
        <f ca="1">OFFSET(Origine,MATCH($F103,Descrizioni,0),MATCH(D$14,Intestazioni,0)-1,1,1)</f>
        <v>IE00BSJCQV56</v>
      </c>
      <c r="E103" s="480" t="str">
        <f ca="1">OFFSET(Origine,MATCH($F103,Descrizioni,0),MATCH(E$14,Intestazioni,0)-1,1,1)</f>
        <v>29091268</v>
      </c>
      <c r="F103" s="478" t="s">
        <v>783</v>
      </c>
      <c r="G103" s="481"/>
      <c r="H103" s="1758" t="str">
        <f ca="1">HYPERLINK(OFFSET(Origine,MATCH($F103,Descrizioni,0),MATCH(H$14,Intestazioni,0)-1,1,1),"")</f>
        <v></v>
      </c>
      <c r="I103" s="1757" t="str">
        <f ca="1">HYPERLINK(OFFSET(Origine,MATCH($F103,Descrizioni,0),MATCH(I$14,Intestazioni,0)-1,1,1),"i")</f>
        <v>i</v>
      </c>
      <c r="J103" s="1758" t="str">
        <f ca="1">HYPERLINK(OFFSET(Origine,MATCH($F103,Descrizioni,0),MATCH(J$14,Intestazioni,0)-1,1,1),"")</f>
        <v></v>
      </c>
      <c r="K103" s="1726" t="str">
        <f ca="1">HYPERLINK(OFFSET(Origine,MATCH($F103,Descrizioni,0),MATCH(K$14,Intestazioni,0)-1,1,1),"")</f>
        <v></v>
      </c>
      <c r="L103" s="1725" t="str">
        <f ca="1">IFERROR(HYPERLINK("https://www.zonebourse.com/mods_a/charts/TV/inc_dyna_graph.php?c="&amp;OFFSET(Origine,MATCH($F103,Descrizioni,0),MATCH(L$14,Intestazioni,0)-1,1,1)&amp;"&amp;style=TradingView.CANDLES&amp;showAT=1",""),"")</f>
        <v></v>
      </c>
      <c r="M103" s="477" t="str">
        <f ca="1">(OFFSET(Origine,MATCH($F103,Descrizioni,0),MATCH(M$14,Intestazioni,0)-1,1,1))</f>
        <v>Unit</v>
      </c>
      <c r="N103" s="664"/>
      <c r="O103" s="664"/>
      <c r="P103" s="664">
        <f t="shared" ca="1" si="482"/>
        <v>0</v>
      </c>
      <c r="Q103" s="915"/>
      <c r="R103" s="915"/>
      <c r="S103" s="664">
        <f t="shared" ca="1" si="596"/>
        <v>-2.50917992656059E-2</v>
      </c>
      <c r="T103" s="484">
        <f>SUMIF($AA$14:$AR$14,"I_Pos",AA103:AR103)</f>
        <v>0</v>
      </c>
      <c r="U103" s="484">
        <f ca="1">SUMIF($AA$14:$AR$14,"P_Pos",AA103:AR103)</f>
        <v>0</v>
      </c>
      <c r="V103" s="484">
        <f>SUMIF($AA$14:$AR$14,"O_Pos",AA103:AR103)</f>
        <v>0</v>
      </c>
      <c r="W103" s="478" t="str">
        <f ca="1">OFFSET(Origine,MATCH($F103,Descrizioni,0),MATCH(W$14,Intestazioni,0)-1,1,1)</f>
        <v>EUR</v>
      </c>
      <c r="X103" s="916">
        <f ca="1">_xlfn.NUMBERVALUE(OFFSET(Origine,MATCH($F103,Descrizioni,0),MATCH(X$14,Intestazioni,0)-1,1,1))</f>
        <v>31.88</v>
      </c>
      <c r="Y103" s="916"/>
      <c r="Z103" s="917">
        <f ca="1">_xlfn.NUMBERVALUE(OFFSET(Origine,MATCH(W103&amp;"/"&amp;MRif,LUKB_Name,0),MATCH("Price",Intestazioni,0)-1,1,1))</f>
        <v>0.90754999999999997</v>
      </c>
      <c r="AA103" s="197"/>
      <c r="AB103" s="312" t="str">
        <f ca="1">IFERROR($X103/AC103-1,"")</f>
        <v/>
      </c>
      <c r="AC103" s="807"/>
      <c r="AD103" s="199">
        <f ca="1">AA103*$X103</f>
        <v>0</v>
      </c>
      <c r="AE103" s="199">
        <f ca="1">AD103*$Z103</f>
        <v>0</v>
      </c>
      <c r="AF103" s="216">
        <f ca="1">IFERROR(AE103/AA$4,0)</f>
        <v>0</v>
      </c>
      <c r="AG103" s="404">
        <f ca="1">AH103/$X103</f>
        <v>0</v>
      </c>
      <c r="AH103" s="405">
        <f ca="1">AI103/$Z103</f>
        <v>0</v>
      </c>
      <c r="AI103" s="405">
        <f ca="1">AJ103*AA$4</f>
        <v>0</v>
      </c>
      <c r="AJ103" s="406">
        <f ca="1">$N103-AF103</f>
        <v>0</v>
      </c>
      <c r="AK103" s="205"/>
      <c r="AL103" s="206">
        <f ca="1">AK103*$X103</f>
        <v>0</v>
      </c>
      <c r="AM103" s="206">
        <f ca="1">AL103*$Z103</f>
        <v>0</v>
      </c>
      <c r="AN103" s="207">
        <f ca="1">IFERROR(AM103/AA$4,0)</f>
        <v>0</v>
      </c>
      <c r="AO103" s="541">
        <f>AA103+AK103</f>
        <v>0</v>
      </c>
      <c r="AP103" s="541">
        <f t="shared" ca="1" si="485"/>
        <v>0</v>
      </c>
      <c r="AQ103" s="541">
        <f ca="1">AP103*$Z103</f>
        <v>0</v>
      </c>
      <c r="AR103" s="918">
        <f ca="1">IFERROR(AQ103/AA$4,0)</f>
        <v>0</v>
      </c>
    </row>
    <row r="104" spans="1:44" x14ac:dyDescent="0.2">
      <c r="A104" s="492" t="s">
        <v>393</v>
      </c>
      <c r="B104" s="492"/>
      <c r="C104" s="492"/>
      <c r="D104" s="493"/>
      <c r="E104" s="494"/>
      <c r="F104" s="492"/>
      <c r="G104" s="495"/>
      <c r="H104" s="1771"/>
      <c r="I104" s="1759"/>
      <c r="J104" s="1759"/>
      <c r="K104" s="1759"/>
      <c r="L104" s="1759"/>
      <c r="M104" s="491"/>
      <c r="N104" s="921">
        <f>SUMIF($B$105:$B$118,"&gt;A",$N$105:$N$118)</f>
        <v>0.12000000000000001</v>
      </c>
      <c r="O104" s="921"/>
      <c r="P104" s="921">
        <f t="shared" ca="1" si="482"/>
        <v>0.1234856894001761</v>
      </c>
      <c r="Q104" s="920" t="s">
        <v>718</v>
      </c>
      <c r="R104" s="920"/>
      <c r="S104" s="921"/>
      <c r="T104" s="499"/>
      <c r="U104" s="499"/>
      <c r="V104" s="499"/>
      <c r="W104" s="492"/>
      <c r="X104" s="922"/>
      <c r="Y104" s="922"/>
      <c r="Z104" s="923"/>
      <c r="AA104" s="509"/>
      <c r="AB104" s="924"/>
      <c r="AC104" s="925"/>
      <c r="AD104" s="492"/>
      <c r="AE104" s="511" cm="1">
        <f t="array" aca="1" ref="AE104" ca="1">SUM(IF($B$105:$B$118="",AE$105:AE$118))</f>
        <v>78231.610170108019</v>
      </c>
      <c r="AF104" s="505">
        <f t="shared" ca="1" si="336"/>
        <v>0.1234856894001761</v>
      </c>
      <c r="AG104" s="506"/>
      <c r="AH104" s="492"/>
      <c r="AI104" s="511" cm="1">
        <f t="array" aca="1" ref="AI104" ca="1">SUM(IF($B$105:$B$118="",AI$105:AI$118))</f>
        <v>-2208.2809405141052</v>
      </c>
      <c r="AJ104" s="507">
        <f ca="1">IFERROR(AI104/AA$4,0)</f>
        <v>-3.4856894001760903E-3</v>
      </c>
      <c r="AK104" s="508"/>
      <c r="AL104" s="496"/>
      <c r="AM104" s="511" cm="1">
        <f t="array" aca="1" ref="AM104" ca="1">SUM(IF($B$105:$B$118="",AM$105:AM$118))</f>
        <v>0</v>
      </c>
      <c r="AN104" s="507">
        <f t="shared" ca="1" si="343"/>
        <v>0</v>
      </c>
      <c r="AO104" s="496"/>
      <c r="AP104" s="496"/>
      <c r="AQ104" s="511" cm="1">
        <f t="array" aca="1" ref="AQ104" ca="1">SUM(IF($B$105:$B$118="",AQ$105:AQ$118))</f>
        <v>78231.610170108019</v>
      </c>
      <c r="AR104" s="926">
        <f t="shared" ca="1" si="346"/>
        <v>0.1234856894001761</v>
      </c>
    </row>
    <row r="105" spans="1:44" outlineLevel="1" x14ac:dyDescent="0.2">
      <c r="A105" s="514"/>
      <c r="B105" s="514" t="s">
        <v>539</v>
      </c>
      <c r="C105" s="514"/>
      <c r="D105" s="515"/>
      <c r="E105" s="516"/>
      <c r="F105" s="514"/>
      <c r="G105" s="517"/>
      <c r="H105" s="1760"/>
      <c r="I105" s="1760"/>
      <c r="J105" s="1760"/>
      <c r="K105" s="1760"/>
      <c r="L105" s="1760"/>
      <c r="M105" s="513"/>
      <c r="N105" s="928">
        <f>SUM(N$106:N$108)</f>
        <v>0</v>
      </c>
      <c r="O105" s="928"/>
      <c r="P105" s="928">
        <f t="shared" ca="1" si="482"/>
        <v>0</v>
      </c>
      <c r="Q105" s="927"/>
      <c r="R105" s="927"/>
      <c r="S105" s="928"/>
      <c r="T105" s="520"/>
      <c r="U105" s="520"/>
      <c r="V105" s="929"/>
      <c r="W105" s="514"/>
      <c r="X105" s="930"/>
      <c r="Y105" s="930"/>
      <c r="Z105" s="931"/>
      <c r="AA105" s="531"/>
      <c r="AB105" s="932"/>
      <c r="AC105" s="933"/>
      <c r="AD105" s="514"/>
      <c r="AE105" s="527">
        <f ca="1">SUM(AE$106:AE$108)</f>
        <v>0</v>
      </c>
      <c r="AF105" s="528">
        <f t="shared" ca="1" si="336"/>
        <v>0</v>
      </c>
      <c r="AG105" s="934"/>
      <c r="AH105" s="932"/>
      <c r="AI105" s="935">
        <f ca="1">SUM(AI$106:AI$108)</f>
        <v>0</v>
      </c>
      <c r="AJ105" s="936">
        <f ca="1">IFERROR(AI105/AA$4,0)</f>
        <v>0</v>
      </c>
      <c r="AK105" s="529"/>
      <c r="AL105" s="514"/>
      <c r="AM105" s="527">
        <f ca="1">SUM(AM$106:AM$108)</f>
        <v>0</v>
      </c>
      <c r="AN105" s="530">
        <f t="shared" ca="1" si="343"/>
        <v>0</v>
      </c>
      <c r="AO105" s="514"/>
      <c r="AP105" s="514"/>
      <c r="AQ105" s="527">
        <f ca="1">SUM(AQ$106:AQ$108)</f>
        <v>0</v>
      </c>
      <c r="AR105" s="937">
        <f t="shared" ca="1" si="346"/>
        <v>0</v>
      </c>
    </row>
    <row r="106" spans="1:44" outlineLevel="2" x14ac:dyDescent="0.2">
      <c r="A106" s="535"/>
      <c r="B106" s="535"/>
      <c r="C106" s="535" t="str">
        <f t="shared" ref="C106:E108" ca="1" si="597">OFFSET(Origine,MATCH($F106,Descrizioni,0),MATCH(C$14,Intestazioni,0)-1,1,1)</f>
        <v>IE00BDFL4P12:USD</v>
      </c>
      <c r="D106" s="536" t="str">
        <f t="shared" ca="1" si="597"/>
        <v>IE00BDFL4P12</v>
      </c>
      <c r="E106" s="537" t="str">
        <f t="shared" ca="1" si="597"/>
        <v>36082553</v>
      </c>
      <c r="F106" s="535" t="s">
        <v>540</v>
      </c>
      <c r="G106" s="538"/>
      <c r="H106" s="1729" t="str">
        <f ca="1">HYPERLINK(OFFSET(Origine,MATCH($F106,Descrizioni,0),MATCH(H$14,Intestazioni,0)-1,1,1),"")</f>
        <v></v>
      </c>
      <c r="I106" s="1690" t="str">
        <f ca="1">HYPERLINK(OFFSET(Origine,MATCH($F106,Descrizioni,0),MATCH(I$14,Intestazioni,0)-1,1,1),"i")</f>
        <v>i</v>
      </c>
      <c r="J106" s="1729" t="str">
        <f t="shared" ref="J106:K108" ca="1" si="598">HYPERLINK(OFFSET(Origine,MATCH($F106,Descrizioni,0),MATCH(J$14,Intestazioni,0)-1,1,1),"")</f>
        <v></v>
      </c>
      <c r="K106" s="1730" t="str">
        <f t="shared" ca="1" si="598"/>
        <v></v>
      </c>
      <c r="L106" s="1731" t="str">
        <f ca="1">IFERROR(HYPERLINK("https://www.zonebourse.com/mods_a/charts/TV/inc_dyna_graph.php?c="&amp;OFFSET(Origine,MATCH($F106,Descrizioni,0),MATCH(L$14,Intestazioni,0)-1,1,1)&amp;"&amp;style=TradingView.CANDLES&amp;showAT=1",""),"")</f>
        <v></v>
      </c>
      <c r="M106" s="534" t="str">
        <f ca="1">(OFFSET(Origine,MATCH($F106,Descrizioni,0),MATCH(M$14,Intestazioni,0)-1,1,1))</f>
        <v>Unit</v>
      </c>
      <c r="N106" s="938"/>
      <c r="O106" s="938"/>
      <c r="P106" s="938">
        <f t="shared" ca="1" si="482"/>
        <v>0</v>
      </c>
      <c r="Q106" s="939"/>
      <c r="R106" s="939"/>
      <c r="S106" s="938">
        <f t="shared" ref="S106:S118" ca="1" si="599">OFFSET(Origine,MATCH($F106,Descrizioni,0),MATCH(S$14,Intestazioni,0)-1,1,1)</f>
        <v>1.4096185737977001E-2</v>
      </c>
      <c r="T106" s="541">
        <f>SUMIF($AA$14:$AR$14,"I_Pos",AA106:AR106)</f>
        <v>0</v>
      </c>
      <c r="U106" s="541">
        <f ca="1">SUMIF($AA$14:$AR$14,"P_Pos",AA106:AR106)</f>
        <v>0</v>
      </c>
      <c r="V106" s="541">
        <f>SUMIF($AA$14:$AR$14,"O_Pos",AA106:AR106)</f>
        <v>0</v>
      </c>
      <c r="W106" s="535" t="str">
        <f ca="1">OFFSET(Origine,MATCH($F106,Descrizioni,0),MATCH(W$14,Intestazioni,0)-1,1,1)</f>
        <v>USD</v>
      </c>
      <c r="X106" s="940">
        <f ca="1">_xlfn.NUMBERVALUE(OFFSET(Origine,MATCH($F106,Descrizioni,0),MATCH(X$14,Intestazioni,0)-1,1,1))</f>
        <v>9.1724999999999994</v>
      </c>
      <c r="Y106" s="940"/>
      <c r="Z106" s="941">
        <f ca="1">_xlfn.NUMBERVALUE(OFFSET(Origine,MATCH(W106&amp;"/"&amp;MRif,LUKB_Name,0),MATCH("Price",Intestazioni,0)-1,1,1))</f>
        <v>0.78225</v>
      </c>
      <c r="AA106" s="197"/>
      <c r="AB106" s="312" t="str">
        <f t="shared" ref="AB106:AB108" ca="1" si="600">IFERROR($X106/AC106-1,"")</f>
        <v/>
      </c>
      <c r="AC106" s="807"/>
      <c r="AD106" s="199">
        <f ca="1">AA106*$X106</f>
        <v>0</v>
      </c>
      <c r="AE106" s="199">
        <f ca="1">AD106*$Z106</f>
        <v>0</v>
      </c>
      <c r="AF106" s="216">
        <f t="shared" ca="1" si="336"/>
        <v>0</v>
      </c>
      <c r="AG106" s="404">
        <f ca="1">AH106/$X106</f>
        <v>0</v>
      </c>
      <c r="AH106" s="405">
        <f ca="1">AI106/$Z106</f>
        <v>0</v>
      </c>
      <c r="AI106" s="405">
        <f ca="1">AJ106*AA$4</f>
        <v>0</v>
      </c>
      <c r="AJ106" s="406">
        <f ca="1">$N106-AF106</f>
        <v>0</v>
      </c>
      <c r="AK106" s="205"/>
      <c r="AL106" s="206">
        <f ca="1">AK106*$X106</f>
        <v>0</v>
      </c>
      <c r="AM106" s="206">
        <f ca="1">AL106*$Z106</f>
        <v>0</v>
      </c>
      <c r="AN106" s="207">
        <f t="shared" ca="1" si="343"/>
        <v>0</v>
      </c>
      <c r="AO106" s="541">
        <f>AA106+AK106</f>
        <v>0</v>
      </c>
      <c r="AP106" s="541">
        <f t="shared" ca="1" si="485"/>
        <v>0</v>
      </c>
      <c r="AQ106" s="541">
        <f ca="1">AP106*$Z106</f>
        <v>0</v>
      </c>
      <c r="AR106" s="918">
        <f t="shared" ca="1" si="346"/>
        <v>0</v>
      </c>
    </row>
    <row r="107" spans="1:44" outlineLevel="2" x14ac:dyDescent="0.2">
      <c r="A107" s="535"/>
      <c r="B107" s="535"/>
      <c r="C107" s="535" t="str">
        <f t="shared" ca="1" si="597"/>
        <v>IE00B53H0131:USD</v>
      </c>
      <c r="D107" s="536" t="str">
        <f t="shared" ca="1" si="597"/>
        <v>IE00B53H0131</v>
      </c>
      <c r="E107" s="537" t="str">
        <f t="shared" ca="1" si="597"/>
        <v>11926603</v>
      </c>
      <c r="F107" s="535" t="s">
        <v>786</v>
      </c>
      <c r="G107" s="538"/>
      <c r="H107" s="1729" t="str">
        <f ca="1">HYPERLINK(OFFSET(Origine,MATCH($F107,Descrizioni,0),MATCH(H$14,Intestazioni,0)-1,1,1),"")</f>
        <v></v>
      </c>
      <c r="I107" s="1690" t="str">
        <f ca="1">HYPERLINK(OFFSET(Origine,MATCH($F107,Descrizioni,0),MATCH(I$14,Intestazioni,0)-1,1,1),"i")</f>
        <v>i</v>
      </c>
      <c r="J107" s="1729" t="str">
        <f t="shared" ca="1" si="598"/>
        <v></v>
      </c>
      <c r="K107" s="1730" t="str">
        <f t="shared" ca="1" si="598"/>
        <v></v>
      </c>
      <c r="L107" s="1731" t="str">
        <f ca="1">IFERROR(HYPERLINK("https://www.zonebourse.com/mods_a/charts/TV/inc_dyna_graph.php?c="&amp;OFFSET(Origine,MATCH($F107,Descrizioni,0),MATCH(L$14,Intestazioni,0)-1,1,1)&amp;"&amp;style=TradingView.CANDLES&amp;showAT=1",""),"")</f>
        <v></v>
      </c>
      <c r="M107" s="534" t="str">
        <f ca="1">(OFFSET(Origine,MATCH($F107,Descrizioni,0),MATCH(M$14,Intestazioni,0)-1,1,1))</f>
        <v>Unit</v>
      </c>
      <c r="N107" s="938"/>
      <c r="O107" s="938"/>
      <c r="P107" s="938">
        <f t="shared" ca="1" si="482"/>
        <v>0</v>
      </c>
      <c r="Q107" s="939"/>
      <c r="R107" s="939"/>
      <c r="S107" s="938">
        <f t="shared" ca="1" si="599"/>
        <v>1.41093474426808E-2</v>
      </c>
      <c r="T107" s="541">
        <f>SUMIF($AA$14:$AR$14,"I_Pos",AA107:AR107)</f>
        <v>0</v>
      </c>
      <c r="U107" s="541">
        <f ca="1">SUMIF($AA$14:$AR$14,"P_Pos",AA107:AR107)</f>
        <v>0</v>
      </c>
      <c r="V107" s="541">
        <f>SUMIF($AA$14:$AR$14,"O_Pos",AA107:AR107)</f>
        <v>0</v>
      </c>
      <c r="W107" s="535" t="str">
        <f ca="1">OFFSET(Origine,MATCH($F107,Descrizioni,0),MATCH(W$14,Intestazioni,0)-1,1,1)</f>
        <v>USD</v>
      </c>
      <c r="X107" s="940">
        <f ca="1">_xlfn.NUMBERVALUE(OFFSET(Origine,MATCH($F107,Descrizioni,0),MATCH(X$14,Intestazioni,0)-1,1,1))</f>
        <v>126.5</v>
      </c>
      <c r="Y107" s="940"/>
      <c r="Z107" s="941">
        <f ca="1">_xlfn.NUMBERVALUE(OFFSET(Origine,MATCH(W107&amp;"/"&amp;MRif,LUKB_Name,0),MATCH("Price",Intestazioni,0)-1,1,1))</f>
        <v>0.78225</v>
      </c>
      <c r="AA107" s="197"/>
      <c r="AB107" s="312" t="str">
        <f t="shared" ca="1" si="600"/>
        <v/>
      </c>
      <c r="AC107" s="807"/>
      <c r="AD107" s="199">
        <f ca="1">AA107*$X107</f>
        <v>0</v>
      </c>
      <c r="AE107" s="199">
        <f ca="1">AD107*$Z107</f>
        <v>0</v>
      </c>
      <c r="AF107" s="216">
        <f ca="1">IFERROR(AE107/AA$4,0)</f>
        <v>0</v>
      </c>
      <c r="AG107" s="404">
        <f ca="1">AH107/$X107</f>
        <v>0</v>
      </c>
      <c r="AH107" s="405">
        <f ca="1">AI107/$Z107</f>
        <v>0</v>
      </c>
      <c r="AI107" s="405">
        <f ca="1">AJ107*AA$4</f>
        <v>0</v>
      </c>
      <c r="AJ107" s="406">
        <f ca="1">$N107-AF107</f>
        <v>0</v>
      </c>
      <c r="AK107" s="205"/>
      <c r="AL107" s="206">
        <f ca="1">AK107*$X107</f>
        <v>0</v>
      </c>
      <c r="AM107" s="206">
        <f ca="1">AL107*$Z107</f>
        <v>0</v>
      </c>
      <c r="AN107" s="207">
        <f ca="1">IFERROR(AM107/AA$4,0)</f>
        <v>0</v>
      </c>
      <c r="AO107" s="541">
        <f>AA107+AK107</f>
        <v>0</v>
      </c>
      <c r="AP107" s="541">
        <f t="shared" ca="1" si="485"/>
        <v>0</v>
      </c>
      <c r="AQ107" s="541">
        <f ca="1">AP107*$Z107</f>
        <v>0</v>
      </c>
      <c r="AR107" s="918">
        <f ca="1">IFERROR(AQ107/AA$4,0)</f>
        <v>0</v>
      </c>
    </row>
    <row r="108" spans="1:44" outlineLevel="2" x14ac:dyDescent="0.2">
      <c r="A108" s="535"/>
      <c r="B108" s="535"/>
      <c r="C108" s="535" t="str">
        <f t="shared" ca="1" si="597"/>
        <v>IE00BFXR6159:USD</v>
      </c>
      <c r="D108" s="536" t="str">
        <f t="shared" ca="1" si="597"/>
        <v>IE00BFXR6159</v>
      </c>
      <c r="E108" s="537" t="str">
        <f t="shared" ca="1" si="597"/>
        <v>112547249</v>
      </c>
      <c r="F108" s="535" t="s">
        <v>787</v>
      </c>
      <c r="G108" s="538"/>
      <c r="H108" s="1729" t="str">
        <f ca="1">HYPERLINK(OFFSET(Origine,MATCH($F108,Descrizioni,0),MATCH(H$14,Intestazioni,0)-1,1,1),"")</f>
        <v></v>
      </c>
      <c r="I108" s="1690" t="str">
        <f ca="1">HYPERLINK(OFFSET(Origine,MATCH($F108,Descrizioni,0),MATCH(I$14,Intestazioni,0)-1,1,1),"i")</f>
        <v>i</v>
      </c>
      <c r="J108" s="1729" t="str">
        <f t="shared" ca="1" si="598"/>
        <v></v>
      </c>
      <c r="K108" s="1730" t="str">
        <f t="shared" ca="1" si="598"/>
        <v></v>
      </c>
      <c r="L108" s="1731" t="str">
        <f ca="1">IFERROR(HYPERLINK("https://www.zonebourse.com/mods_a/charts/TV/inc_dyna_graph.php?c="&amp;OFFSET(Origine,MATCH($F108,Descrizioni,0),MATCH(L$14,Intestazioni,0)-1,1,1)&amp;"&amp;style=TradingView.CANDLES&amp;showAT=1",""),"")</f>
        <v></v>
      </c>
      <c r="M108" s="534" t="str">
        <f ca="1">(OFFSET(Origine,MATCH($F108,Descrizioni,0),MATCH(M$14,Intestazioni,0)-1,1,1))</f>
        <v>Unit</v>
      </c>
      <c r="N108" s="938"/>
      <c r="O108" s="938"/>
      <c r="P108" s="938">
        <f t="shared" ca="1" si="482"/>
        <v>0</v>
      </c>
      <c r="Q108" s="939"/>
      <c r="R108" s="939"/>
      <c r="S108" s="938">
        <f t="shared" ca="1" si="599"/>
        <v>9.7828680505846997E-3</v>
      </c>
      <c r="T108" s="541">
        <f>SUMIF($AA$14:$AR$14,"I_Pos",AA108:AR108)</f>
        <v>0</v>
      </c>
      <c r="U108" s="541">
        <f ca="1">SUMIF($AA$14:$AR$14,"P_Pos",AA108:AR108)</f>
        <v>0</v>
      </c>
      <c r="V108" s="541">
        <f>SUMIF($AA$14:$AR$14,"O_Pos",AA108:AR108)</f>
        <v>0</v>
      </c>
      <c r="W108" s="535" t="str">
        <f ca="1">OFFSET(Origine,MATCH($F108,Descrizioni,0),MATCH(W$14,Intestazioni,0)-1,1,1)</f>
        <v>USD</v>
      </c>
      <c r="X108" s="940">
        <f ca="1">_xlfn.NUMBERVALUE(OFFSET(Origine,MATCH($F108,Descrizioni,0),MATCH(X$14,Intestazioni,0)-1,1,1))</f>
        <v>16.881</v>
      </c>
      <c r="Y108" s="940"/>
      <c r="Z108" s="941">
        <f ca="1">_xlfn.NUMBERVALUE(OFFSET(Origine,MATCH(W108&amp;"/"&amp;MRif,LUKB_Name,0),MATCH("Price",Intestazioni,0)-1,1,1))</f>
        <v>0.78225</v>
      </c>
      <c r="AA108" s="197"/>
      <c r="AB108" s="312" t="str">
        <f t="shared" ca="1" si="600"/>
        <v/>
      </c>
      <c r="AC108" s="807"/>
      <c r="AD108" s="199">
        <f ca="1">AA108*$X108</f>
        <v>0</v>
      </c>
      <c r="AE108" s="199">
        <f ca="1">AD108*$Z108</f>
        <v>0</v>
      </c>
      <c r="AF108" s="216">
        <f t="shared" ref="AF108" ca="1" si="601">IFERROR(AE108/AA$4,0)</f>
        <v>0</v>
      </c>
      <c r="AG108" s="404">
        <f ca="1">AH108/$X108</f>
        <v>0</v>
      </c>
      <c r="AH108" s="405">
        <f ca="1">AI108/$Z108</f>
        <v>0</v>
      </c>
      <c r="AI108" s="405">
        <f ca="1">AJ108*AA$4</f>
        <v>0</v>
      </c>
      <c r="AJ108" s="406">
        <f ca="1">$N108-AF108</f>
        <v>0</v>
      </c>
      <c r="AK108" s="205"/>
      <c r="AL108" s="206">
        <f ca="1">AK108*$X108</f>
        <v>0</v>
      </c>
      <c r="AM108" s="206">
        <f ca="1">AL108*$Z108</f>
        <v>0</v>
      </c>
      <c r="AN108" s="207">
        <f t="shared" ref="AN108" ca="1" si="602">IFERROR(AM108/AA$4,0)</f>
        <v>0</v>
      </c>
      <c r="AO108" s="541">
        <f>AA108+AK108</f>
        <v>0</v>
      </c>
      <c r="AP108" s="541">
        <f t="shared" ca="1" si="485"/>
        <v>0</v>
      </c>
      <c r="AQ108" s="541">
        <f ca="1">AP108*$Z108</f>
        <v>0</v>
      </c>
      <c r="AR108" s="918">
        <f t="shared" ref="AR108" ca="1" si="603">IFERROR(AQ108/AA$4,0)</f>
        <v>0</v>
      </c>
    </row>
    <row r="109" spans="1:44" outlineLevel="1" x14ac:dyDescent="0.2">
      <c r="A109" s="514"/>
      <c r="B109" s="514" t="s">
        <v>394</v>
      </c>
      <c r="C109" s="514"/>
      <c r="D109" s="515"/>
      <c r="E109" s="516"/>
      <c r="F109" s="514"/>
      <c r="G109" s="517"/>
      <c r="H109" s="1760"/>
      <c r="I109" s="1760"/>
      <c r="J109" s="1760"/>
      <c r="K109" s="1760"/>
      <c r="L109" s="1760"/>
      <c r="M109" s="513"/>
      <c r="N109" s="928">
        <f>SUM(N$110:N$112)</f>
        <v>0.12000000000000001</v>
      </c>
      <c r="O109" s="928"/>
      <c r="P109" s="928">
        <f t="shared" ca="1" si="482"/>
        <v>0.1234856894001761</v>
      </c>
      <c r="Q109" s="927"/>
      <c r="R109" s="927"/>
      <c r="S109" s="928"/>
      <c r="T109" s="520"/>
      <c r="U109" s="520"/>
      <c r="V109" s="929"/>
      <c r="W109" s="514"/>
      <c r="X109" s="930"/>
      <c r="Y109" s="930"/>
      <c r="Z109" s="931"/>
      <c r="AA109" s="531"/>
      <c r="AB109" s="932"/>
      <c r="AC109" s="933"/>
      <c r="AD109" s="514"/>
      <c r="AE109" s="527">
        <f ca="1">SUM(AE$110:AE$112)</f>
        <v>78231.610170108019</v>
      </c>
      <c r="AF109" s="528">
        <f t="shared" ca="1" si="336"/>
        <v>0.1234856894001761</v>
      </c>
      <c r="AG109" s="934"/>
      <c r="AH109" s="932"/>
      <c r="AI109" s="935">
        <f ca="1">SUM(AI$110:AI$112)</f>
        <v>-2208.2809405141052</v>
      </c>
      <c r="AJ109" s="936">
        <f ca="1">IFERROR(AI109/AA$4,0)</f>
        <v>-3.4856894001760903E-3</v>
      </c>
      <c r="AK109" s="934"/>
      <c r="AL109" s="932"/>
      <c r="AM109" s="935">
        <f ca="1">SUM(AM$110:AM$112)</f>
        <v>0</v>
      </c>
      <c r="AN109" s="936">
        <f t="shared" ca="1" si="343"/>
        <v>0</v>
      </c>
      <c r="AO109" s="932"/>
      <c r="AP109" s="932"/>
      <c r="AQ109" s="935">
        <f ca="1">SUM(AQ$110:AQ$112)</f>
        <v>78231.610170108019</v>
      </c>
      <c r="AR109" s="942">
        <f t="shared" ca="1" si="346"/>
        <v>0.1234856894001761</v>
      </c>
    </row>
    <row r="110" spans="1:44" outlineLevel="2" x14ac:dyDescent="0.2">
      <c r="A110" s="535"/>
      <c r="B110" s="535"/>
      <c r="C110" s="535" t="str">
        <f t="shared" ref="C110:E112" ca="1" si="604">OFFSET(Origine,MATCH($F110,Descrizioni,0),MATCH(C$14,Intestazioni,0)-1,1,1)</f>
        <v>CH0106027128:CHF</v>
      </c>
      <c r="D110" s="536" t="str">
        <f t="shared" ca="1" si="604"/>
        <v>CH0106027128</v>
      </c>
      <c r="E110" s="537" t="str">
        <f t="shared" ca="1" si="604"/>
        <v>10602712</v>
      </c>
      <c r="F110" s="535" t="s">
        <v>396</v>
      </c>
      <c r="G110" s="538"/>
      <c r="H110" s="1729" t="str">
        <f ca="1">HYPERLINK(OFFSET(Origine,MATCH($F110,Descrizioni,0),MATCH(H$14,Intestazioni,0)-1,1,1),"")</f>
        <v></v>
      </c>
      <c r="I110" s="1690" t="str">
        <f ca="1">HYPERLINK(OFFSET(Origine,MATCH($F110,Descrizioni,0),MATCH(I$14,Intestazioni,0)-1,1,1),"i")</f>
        <v>i</v>
      </c>
      <c r="J110" s="1729" t="str">
        <f t="shared" ref="J110:K112" ca="1" si="605">HYPERLINK(OFFSET(Origine,MATCH($F110,Descrizioni,0),MATCH(J$14,Intestazioni,0)-1,1,1),"")</f>
        <v></v>
      </c>
      <c r="K110" s="1730" t="str">
        <f t="shared" ca="1" si="605"/>
        <v></v>
      </c>
      <c r="L110" s="1731" t="str">
        <f ca="1">IFERROR(HYPERLINK("https://www.zonebourse.com/mods_a/charts/TV/inc_dyna_graph.php?c="&amp;OFFSET(Origine,MATCH($F110,Descrizioni,0),MATCH(L$14,Intestazioni,0)-1,1,1)&amp;"&amp;style=TradingView.CANDLES&amp;showAT=1",""),"")</f>
        <v></v>
      </c>
      <c r="M110" s="534" t="str">
        <f ca="1">(OFFSET(Origine,MATCH($F110,Descrizioni,0),MATCH(M$14,Intestazioni,0)-1,1,1))</f>
        <v>Unit</v>
      </c>
      <c r="N110" s="938">
        <v>0.1</v>
      </c>
      <c r="O110" s="938"/>
      <c r="P110" s="938">
        <f t="shared" ref="P110:P118" ca="1" si="606">SUMIF($AA$14:$AR$14,"I_Ctrlv",$AA110:$AR110)/$T$2</f>
        <v>0.1234856894001761</v>
      </c>
      <c r="Q110" s="939"/>
      <c r="R110" s="939"/>
      <c r="S110" s="938">
        <f t="shared" ca="1" si="599"/>
        <v>-3.3103448275862001E-2</v>
      </c>
      <c r="T110" s="541">
        <f>SUMIF($AA$14:$AR$14,"I_Pos",AA110:AR110)</f>
        <v>465</v>
      </c>
      <c r="U110" s="541">
        <f ca="1">SUMIF($AA$14:$AR$14,"P_Pos",AA110:AR110)</f>
        <v>-88.438147158016434</v>
      </c>
      <c r="V110" s="541">
        <f>SUMIF($AA$14:$AR$14,"O_Pos",AA110:AR110)</f>
        <v>0</v>
      </c>
      <c r="W110" s="535" t="str">
        <f ca="1">OFFSET(Origine,MATCH($F110,Descrizioni,0),MATCH(W$14,Intestazioni,0)-1,1,1)</f>
        <v>CHF</v>
      </c>
      <c r="X110" s="940">
        <f ca="1">_xlfn.NUMBERVALUE(OFFSET(Origine,MATCH($F110,Descrizioni,0),MATCH(X$14,Intestazioni,0)-1,1,1))</f>
        <v>168.24</v>
      </c>
      <c r="Y110" s="940"/>
      <c r="Z110" s="941">
        <f ca="1">_xlfn.NUMBERVALUE(OFFSET(Origine,MATCH(W110&amp;"/"&amp;MRif,LUKB_Name,0),MATCH("Price",Intestazioni,0)-1,1,1))</f>
        <v>1.0000001300000001</v>
      </c>
      <c r="AA110" s="197">
        <f>300+165</f>
        <v>465</v>
      </c>
      <c r="AB110" s="312">
        <f t="shared" ref="AB110:AB112" ca="1" si="607">IFERROR($X110/AC110-1,"")</f>
        <v>1.1375956057857031</v>
      </c>
      <c r="AC110" s="807">
        <v>78.705251612903211</v>
      </c>
      <c r="AD110" s="199">
        <f ca="1">AA110*$X110</f>
        <v>78231.600000000006</v>
      </c>
      <c r="AE110" s="199">
        <f ca="1">AD110*$Z110</f>
        <v>78231.610170108019</v>
      </c>
      <c r="AF110" s="216">
        <f t="shared" ca="1" si="336"/>
        <v>0.1234856894001761</v>
      </c>
      <c r="AG110" s="404">
        <f ca="1">AH110/$X110</f>
        <v>-88.438147158016434</v>
      </c>
      <c r="AH110" s="405">
        <f ca="1">AI110/$Z110</f>
        <v>-14878.833877864687</v>
      </c>
      <c r="AI110" s="405">
        <f ca="1">AJ110*AA$4</f>
        <v>-14878.835812113091</v>
      </c>
      <c r="AJ110" s="406">
        <f ca="1">$N110-AF110</f>
        <v>-2.3485689400176091E-2</v>
      </c>
      <c r="AK110" s="205"/>
      <c r="AL110" s="206">
        <f ca="1">AK110*$X110</f>
        <v>0</v>
      </c>
      <c r="AM110" s="206">
        <f ca="1">AL110*$Z110</f>
        <v>0</v>
      </c>
      <c r="AN110" s="207">
        <f t="shared" ca="1" si="343"/>
        <v>0</v>
      </c>
      <c r="AO110" s="541">
        <f>AA110+AK110</f>
        <v>465</v>
      </c>
      <c r="AP110" s="541">
        <f t="shared" ca="1" si="485"/>
        <v>78231.600000000006</v>
      </c>
      <c r="AQ110" s="541">
        <f ca="1">AP110*$Z110</f>
        <v>78231.610170108019</v>
      </c>
      <c r="AR110" s="918">
        <f t="shared" ca="1" si="346"/>
        <v>0.1234856894001761</v>
      </c>
    </row>
    <row r="111" spans="1:44" outlineLevel="2" x14ac:dyDescent="0.2">
      <c r="A111" s="535"/>
      <c r="B111" s="535"/>
      <c r="C111" s="535" t="str">
        <f t="shared" ca="1" si="604"/>
        <v>CH0104136236:USD</v>
      </c>
      <c r="D111" s="536" t="str">
        <f t="shared" ca="1" si="604"/>
        <v>CH0104136236</v>
      </c>
      <c r="E111" s="537" t="str">
        <f t="shared" ca="1" si="604"/>
        <v>10413623</v>
      </c>
      <c r="F111" s="535" t="s">
        <v>789</v>
      </c>
      <c r="G111" s="538"/>
      <c r="H111" s="1729" t="str">
        <f ca="1">HYPERLINK(OFFSET(Origine,MATCH($F111,Descrizioni,0),MATCH(H$14,Intestazioni,0)-1,1,1),"")</f>
        <v></v>
      </c>
      <c r="I111" s="1690" t="str">
        <f ca="1">HYPERLINK(OFFSET(Origine,MATCH($F111,Descrizioni,0),MATCH(I$14,Intestazioni,0)-1,1,1),"i")</f>
        <v>i</v>
      </c>
      <c r="J111" s="1729" t="str">
        <f t="shared" ca="1" si="605"/>
        <v></v>
      </c>
      <c r="K111" s="1730" t="str">
        <f t="shared" ca="1" si="605"/>
        <v></v>
      </c>
      <c r="L111" s="1731" t="str">
        <f ca="1">IFERROR(HYPERLINK("https://www.zonebourse.com/mods_a/charts/TV/inc_dyna_graph.php?c="&amp;OFFSET(Origine,MATCH($F111,Descrizioni,0),MATCH(L$14,Intestazioni,0)-1,1,1)&amp;"&amp;style=TradingView.CANDLES&amp;showAT=1",""),"")</f>
        <v></v>
      </c>
      <c r="M111" s="534" t="str">
        <f ca="1">(OFFSET(Origine,MATCH($F111,Descrizioni,0),MATCH(M$14,Intestazioni,0)-1,1,1))</f>
        <v>Unit</v>
      </c>
      <c r="N111" s="938">
        <v>0.02</v>
      </c>
      <c r="O111" s="938"/>
      <c r="P111" s="938">
        <f t="shared" ca="1" si="606"/>
        <v>0</v>
      </c>
      <c r="Q111" s="939"/>
      <c r="R111" s="939"/>
      <c r="S111" s="938">
        <f t="shared" ca="1" si="599"/>
        <v>-3.1818181818181801E-2</v>
      </c>
      <c r="T111" s="541">
        <f>SUMIF($AA$14:$AR$14,"I_Pos",AA111:AR111)</f>
        <v>0</v>
      </c>
      <c r="U111" s="541">
        <f ca="1">SUMIF($AA$14:$AR$14,"P_Pos",AA111:AR111)</f>
        <v>33.063027835590496</v>
      </c>
      <c r="V111" s="541">
        <f>SUMIF($AA$14:$AR$14,"O_Pos",AA111:AR111)</f>
        <v>0</v>
      </c>
      <c r="W111" s="535" t="str">
        <f ca="1">OFFSET(Origine,MATCH($F111,Descrizioni,0),MATCH(W$14,Intestazioni,0)-1,1,1)</f>
        <v>USD</v>
      </c>
      <c r="X111" s="940">
        <f ca="1">_xlfn.NUMBERVALUE(OFFSET(Origine,MATCH($F111,Descrizioni,0),MATCH(X$14,Intestazioni,0)-1,1,1))</f>
        <v>489.9</v>
      </c>
      <c r="Y111" s="940"/>
      <c r="Z111" s="941">
        <f ca="1">_xlfn.NUMBERVALUE(OFFSET(Origine,MATCH(W111&amp;"/"&amp;MRif,LUKB_Name,0),MATCH("Price",Intestazioni,0)-1,1,1))</f>
        <v>0.78225</v>
      </c>
      <c r="AA111" s="197"/>
      <c r="AB111" s="312" t="str">
        <f t="shared" ca="1" si="607"/>
        <v/>
      </c>
      <c r="AC111" s="807"/>
      <c r="AD111" s="199">
        <f ca="1">AA111*$X111</f>
        <v>0</v>
      </c>
      <c r="AE111" s="199">
        <f ca="1">AD111*$Z111</f>
        <v>0</v>
      </c>
      <c r="AF111" s="216">
        <f ca="1">IFERROR(AE111/AA$4,0)</f>
        <v>0</v>
      </c>
      <c r="AG111" s="404">
        <f ca="1">AH111/$X111</f>
        <v>33.063027835590496</v>
      </c>
      <c r="AH111" s="405">
        <f ca="1">AI111/$Z111</f>
        <v>16197.577336655782</v>
      </c>
      <c r="AI111" s="405">
        <f ca="1">AJ111*AA$4</f>
        <v>12670.554871598986</v>
      </c>
      <c r="AJ111" s="406">
        <f ca="1">$N111-AF111</f>
        <v>0.02</v>
      </c>
      <c r="AK111" s="205"/>
      <c r="AL111" s="206">
        <f ca="1">AK111*$X111</f>
        <v>0</v>
      </c>
      <c r="AM111" s="206">
        <f ca="1">AL111*$Z111</f>
        <v>0</v>
      </c>
      <c r="AN111" s="207">
        <f ca="1">IFERROR(AM111/AA$4,0)</f>
        <v>0</v>
      </c>
      <c r="AO111" s="541">
        <f>AA111+AK111</f>
        <v>0</v>
      </c>
      <c r="AP111" s="541">
        <f t="shared" ca="1" si="485"/>
        <v>0</v>
      </c>
      <c r="AQ111" s="541">
        <f ca="1">AP111*$Z111</f>
        <v>0</v>
      </c>
      <c r="AR111" s="918">
        <f ca="1">IFERROR(AQ111/AA$4,0)</f>
        <v>0</v>
      </c>
    </row>
    <row r="112" spans="1:44" outlineLevel="2" x14ac:dyDescent="0.2">
      <c r="A112" s="535"/>
      <c r="B112" s="535"/>
      <c r="C112" s="535" t="str">
        <f t="shared" ca="1" si="604"/>
        <v>CH0106027193:USD</v>
      </c>
      <c r="D112" s="536" t="str">
        <f t="shared" ca="1" si="604"/>
        <v>CH0106027193</v>
      </c>
      <c r="E112" s="537" t="str">
        <f t="shared" ca="1" si="604"/>
        <v>10602719</v>
      </c>
      <c r="F112" s="535" t="s">
        <v>650</v>
      </c>
      <c r="G112" s="538"/>
      <c r="H112" s="1729" t="str">
        <f ca="1">HYPERLINK(OFFSET(Origine,MATCH($F112,Descrizioni,0),MATCH(H$14,Intestazioni,0)-1,1,1),"")</f>
        <v></v>
      </c>
      <c r="I112" s="1690" t="str">
        <f ca="1">HYPERLINK(OFFSET(Origine,MATCH($F112,Descrizioni,0),MATCH(I$14,Intestazioni,0)-1,1,1),"i")</f>
        <v>i</v>
      </c>
      <c r="J112" s="1729" t="str">
        <f t="shared" ca="1" si="605"/>
        <v></v>
      </c>
      <c r="K112" s="1730" t="str">
        <f t="shared" ca="1" si="605"/>
        <v></v>
      </c>
      <c r="L112" s="1731" t="str">
        <f ca="1">IFERROR(HYPERLINK("https://www.zonebourse.com/mods_a/charts/TV/inc_dyna_graph.php?c="&amp;OFFSET(Origine,MATCH($F112,Descrizioni,0),MATCH(L$14,Intestazioni,0)-1,1,1)&amp;"&amp;style=TradingView.CANDLES&amp;showAT=1",""),"")</f>
        <v></v>
      </c>
      <c r="M112" s="534" t="str">
        <f ca="1">(OFFSET(Origine,MATCH($F112,Descrizioni,0),MATCH(M$14,Intestazioni,0)-1,1,1))</f>
        <v>Unit</v>
      </c>
      <c r="N112" s="938"/>
      <c r="O112" s="938"/>
      <c r="P112" s="938">
        <f t="shared" ca="1" si="606"/>
        <v>0</v>
      </c>
      <c r="Q112" s="939"/>
      <c r="R112" s="939"/>
      <c r="S112" s="938">
        <f t="shared" ca="1" si="599"/>
        <v>-3.4014408881540004E-2</v>
      </c>
      <c r="T112" s="541">
        <f>SUMIF($AA$14:$AR$14,"I_Pos",AA112:AR112)</f>
        <v>0</v>
      </c>
      <c r="U112" s="541">
        <f ca="1">SUMIF($AA$14:$AR$14,"P_Pos",AA112:AR112)</f>
        <v>0</v>
      </c>
      <c r="V112" s="541">
        <f>SUMIF($AA$14:$AR$14,"O_Pos",AA112:AR112)</f>
        <v>0</v>
      </c>
      <c r="W112" s="535" t="str">
        <f ca="1">OFFSET(Origine,MATCH($F112,Descrizioni,0),MATCH(W$14,Intestazioni,0)-1,1,1)</f>
        <v>USD</v>
      </c>
      <c r="X112" s="940">
        <f ca="1">_xlfn.NUMBERVALUE(OFFSET(Origine,MATCH($F112,Descrizioni,0),MATCH(X$14,Intestazioni,0)-1,1,1))</f>
        <v>163.58000000000001</v>
      </c>
      <c r="Y112" s="940"/>
      <c r="Z112" s="941">
        <f ca="1">_xlfn.NUMBERVALUE(OFFSET(Origine,MATCH(W112&amp;"/"&amp;MRif,LUKB_Name,0),MATCH("Price",Intestazioni,0)-1,1,1))</f>
        <v>0.78225</v>
      </c>
      <c r="AA112" s="197"/>
      <c r="AB112" s="312" t="str">
        <f t="shared" ca="1" si="607"/>
        <v/>
      </c>
      <c r="AC112" s="807"/>
      <c r="AD112" s="199">
        <f ca="1">AA112*$X112</f>
        <v>0</v>
      </c>
      <c r="AE112" s="199">
        <f ca="1">AD112*$Z112</f>
        <v>0</v>
      </c>
      <c r="AF112" s="216">
        <f t="shared" ca="1" si="336"/>
        <v>0</v>
      </c>
      <c r="AG112" s="404">
        <f ca="1">AH112/$X112</f>
        <v>0</v>
      </c>
      <c r="AH112" s="405">
        <f ca="1">AI112/$Z112</f>
        <v>0</v>
      </c>
      <c r="AI112" s="405">
        <f ca="1">AJ112*AA$4</f>
        <v>0</v>
      </c>
      <c r="AJ112" s="406">
        <f ca="1">$N112-AF112</f>
        <v>0</v>
      </c>
      <c r="AK112" s="205"/>
      <c r="AL112" s="206">
        <f ca="1">AK112*$X112</f>
        <v>0</v>
      </c>
      <c r="AM112" s="206">
        <f ca="1">AL112*$Z112</f>
        <v>0</v>
      </c>
      <c r="AN112" s="207">
        <f t="shared" ca="1" si="343"/>
        <v>0</v>
      </c>
      <c r="AO112" s="541">
        <f>AA112+AK112</f>
        <v>0</v>
      </c>
      <c r="AP112" s="541">
        <f t="shared" ca="1" si="485"/>
        <v>0</v>
      </c>
      <c r="AQ112" s="541">
        <f ca="1">AP112*$Z112</f>
        <v>0</v>
      </c>
      <c r="AR112" s="918">
        <f t="shared" ca="1" si="346"/>
        <v>0</v>
      </c>
    </row>
    <row r="113" spans="1:44" outlineLevel="1" x14ac:dyDescent="0.2">
      <c r="A113" s="514"/>
      <c r="B113" s="514" t="s">
        <v>514</v>
      </c>
      <c r="C113" s="514"/>
      <c r="D113" s="515"/>
      <c r="E113" s="516"/>
      <c r="F113" s="514"/>
      <c r="G113" s="517"/>
      <c r="H113" s="1760"/>
      <c r="I113" s="1760"/>
      <c r="J113" s="1760"/>
      <c r="K113" s="1760"/>
      <c r="L113" s="1760"/>
      <c r="M113" s="513"/>
      <c r="N113" s="928">
        <f>SUM(N$114)</f>
        <v>0</v>
      </c>
      <c r="O113" s="928"/>
      <c r="P113" s="928">
        <f t="shared" ca="1" si="606"/>
        <v>0</v>
      </c>
      <c r="Q113" s="927"/>
      <c r="R113" s="927"/>
      <c r="S113" s="928"/>
      <c r="T113" s="520"/>
      <c r="U113" s="520"/>
      <c r="V113" s="929"/>
      <c r="W113" s="514"/>
      <c r="X113" s="930"/>
      <c r="Y113" s="930"/>
      <c r="Z113" s="931"/>
      <c r="AA113" s="531"/>
      <c r="AB113" s="932"/>
      <c r="AC113" s="933"/>
      <c r="AD113" s="514"/>
      <c r="AE113" s="527">
        <f ca="1">SUM(AE$114)</f>
        <v>0</v>
      </c>
      <c r="AF113" s="528">
        <f t="shared" ca="1" si="336"/>
        <v>0</v>
      </c>
      <c r="AG113" s="934"/>
      <c r="AH113" s="932"/>
      <c r="AI113" s="935">
        <f ca="1">SUM(AI$114)</f>
        <v>0</v>
      </c>
      <c r="AJ113" s="936">
        <f ca="1">IFERROR(AI113/AA$4,0)</f>
        <v>0</v>
      </c>
      <c r="AK113" s="529"/>
      <c r="AL113" s="514"/>
      <c r="AM113" s="527">
        <f ca="1">SUM(AM$114)</f>
        <v>0</v>
      </c>
      <c r="AN113" s="530">
        <f t="shared" ca="1" si="343"/>
        <v>0</v>
      </c>
      <c r="AO113" s="514"/>
      <c r="AP113" s="514"/>
      <c r="AQ113" s="527">
        <f ca="1">SUM(AQ$114)</f>
        <v>0</v>
      </c>
      <c r="AR113" s="937">
        <f t="shared" ca="1" si="346"/>
        <v>0</v>
      </c>
    </row>
    <row r="114" spans="1:44" outlineLevel="2" x14ac:dyDescent="0.2">
      <c r="A114" s="535"/>
      <c r="B114" s="535"/>
      <c r="C114" s="535" t="str">
        <f ca="1">OFFSET(Origine,MATCH($F114,Descrizioni,0),MATCH(C$14,Intestazioni,0)-1,1,1)</f>
        <v>GB00B15KYH63:USD:LSS</v>
      </c>
      <c r="D114" s="536" t="str">
        <f ca="1">OFFSET(Origine,MATCH($F114,Descrizioni,0),MATCH(D$14,Intestazioni,0)-1,1,1)</f>
        <v>GB00B15KYH63</v>
      </c>
      <c r="E114" s="537" t="str">
        <f ca="1">OFFSET(Origine,MATCH($F114,Descrizioni,0),MATCH(E$14,Intestazioni,0)-1,1,1)</f>
        <v>2726117</v>
      </c>
      <c r="F114" s="535" t="s">
        <v>515</v>
      </c>
      <c r="G114" s="538"/>
      <c r="H114" s="1729" t="str">
        <f ca="1">HYPERLINK(OFFSET(Origine,MATCH($F114,Descrizioni,0),MATCH(H$14,Intestazioni,0)-1,1,1),"")</f>
        <v></v>
      </c>
      <c r="I114" s="1690" t="str">
        <f ca="1">HYPERLINK(OFFSET(Origine,MATCH($F114,Descrizioni,0),MATCH(I$14,Intestazioni,0)-1,1,1),"i")</f>
        <v>i</v>
      </c>
      <c r="J114" s="1729" t="str">
        <f ca="1">HYPERLINK(OFFSET(Origine,MATCH($F114,Descrizioni,0),MATCH(J$14,Intestazioni,0)-1,1,1),"")</f>
        <v></v>
      </c>
      <c r="K114" s="1730" t="str">
        <f ca="1">HYPERLINK(OFFSET(Origine,MATCH($F114,Descrizioni,0),MATCH(K$14,Intestazioni,0)-1,1,1),"")</f>
        <v></v>
      </c>
      <c r="L114" s="1731" t="str">
        <f ca="1">IFERROR(HYPERLINK("https://www.zonebourse.com/mods_a/charts/TV/inc_dyna_graph.php?c="&amp;OFFSET(Origine,MATCH($F114,Descrizioni,0),MATCH(L$14,Intestazioni,0)-1,1,1)&amp;"&amp;style=TradingView.CANDLES&amp;showAT=1",""),"")</f>
        <v></v>
      </c>
      <c r="M114" s="534" t="str">
        <f ca="1">(OFFSET(Origine,MATCH($F114,Descrizioni,0),MATCH(M$14,Intestazioni,0)-1,1,1))</f>
        <v>Unit</v>
      </c>
      <c r="N114" s="938">
        <v>0</v>
      </c>
      <c r="O114" s="938"/>
      <c r="P114" s="938">
        <f t="shared" ca="1" si="606"/>
        <v>0</v>
      </c>
      <c r="Q114" s="939"/>
      <c r="R114" s="939"/>
      <c r="S114" s="938">
        <f t="shared" ca="1" si="599"/>
        <v>-1.2560184216035999E-3</v>
      </c>
      <c r="T114" s="541">
        <f>SUMIF($AA$14:$AR$14,"I_Pos",AA114:AR114)</f>
        <v>0</v>
      </c>
      <c r="U114" s="541">
        <f ca="1">SUMIF($AA$14:$AR$14,"P_Pos",AA114:AR114)</f>
        <v>0</v>
      </c>
      <c r="V114" s="541">
        <f>SUMIF($AA$14:$AR$14,"O_Pos",AA114:AR114)</f>
        <v>0</v>
      </c>
      <c r="W114" s="535" t="str">
        <f ca="1">OFFSET(Origine,MATCH($F114,Descrizioni,0),MATCH(W$14,Intestazioni,0)-1,1,1)</f>
        <v>USD</v>
      </c>
      <c r="X114" s="940">
        <f ca="1">_xlfn.NUMBERVALUE(OFFSET(Origine,MATCH($F114,Descrizioni,0),MATCH(X$14,Intestazioni,0)-1,1,1))</f>
        <v>5.9637500000000001</v>
      </c>
      <c r="Y114" s="940"/>
      <c r="Z114" s="941">
        <f ca="1">_xlfn.NUMBERVALUE(OFFSET(Origine,MATCH(W114&amp;"/"&amp;MRif,LUKB_Name,0),MATCH("Price",Intestazioni,0)-1,1,1))</f>
        <v>0.78225</v>
      </c>
      <c r="AA114" s="197">
        <f>1265+-1265</f>
        <v>0</v>
      </c>
      <c r="AB114" s="312" t="str">
        <f ca="1">IFERROR($X114/AC114-1,"")</f>
        <v/>
      </c>
      <c r="AC114" s="807"/>
      <c r="AD114" s="199">
        <f ca="1">AA114*$X114</f>
        <v>0</v>
      </c>
      <c r="AE114" s="199">
        <f ca="1">AD114*$Z114</f>
        <v>0</v>
      </c>
      <c r="AF114" s="216">
        <f t="shared" ca="1" si="336"/>
        <v>0</v>
      </c>
      <c r="AG114" s="404">
        <f ca="1">AH114/$X114</f>
        <v>0</v>
      </c>
      <c r="AH114" s="405">
        <f ca="1">AI114/$Z114</f>
        <v>0</v>
      </c>
      <c r="AI114" s="405">
        <f ca="1">AJ114*AA$4</f>
        <v>0</v>
      </c>
      <c r="AJ114" s="406">
        <f ca="1">$N114-AF114</f>
        <v>0</v>
      </c>
      <c r="AK114" s="205"/>
      <c r="AL114" s="206">
        <f ca="1">AK114*$X114</f>
        <v>0</v>
      </c>
      <c r="AM114" s="206">
        <f ca="1">AL114*$Z114</f>
        <v>0</v>
      </c>
      <c r="AN114" s="207">
        <f t="shared" ca="1" si="343"/>
        <v>0</v>
      </c>
      <c r="AO114" s="541">
        <f>AA114+AK114</f>
        <v>0</v>
      </c>
      <c r="AP114" s="541">
        <f t="shared" ca="1" si="485"/>
        <v>0</v>
      </c>
      <c r="AQ114" s="541">
        <f ca="1">AP114*$Z114</f>
        <v>0</v>
      </c>
      <c r="AR114" s="918">
        <f t="shared" ca="1" si="346"/>
        <v>0</v>
      </c>
    </row>
    <row r="115" spans="1:44" outlineLevel="1" x14ac:dyDescent="0.2">
      <c r="A115" s="514"/>
      <c r="B115" s="514" t="s">
        <v>481</v>
      </c>
      <c r="C115" s="514"/>
      <c r="D115" s="515"/>
      <c r="E115" s="516"/>
      <c r="F115" s="514"/>
      <c r="G115" s="517"/>
      <c r="H115" s="1760"/>
      <c r="I115" s="1760"/>
      <c r="J115" s="1760"/>
      <c r="K115" s="1760"/>
      <c r="L115" s="1760"/>
      <c r="M115" s="513"/>
      <c r="N115" s="928">
        <f>SUM(N$116:$N116)</f>
        <v>0</v>
      </c>
      <c r="O115" s="928"/>
      <c r="P115" s="928">
        <f t="shared" ca="1" si="606"/>
        <v>0</v>
      </c>
      <c r="Q115" s="927"/>
      <c r="R115" s="927"/>
      <c r="S115" s="928"/>
      <c r="T115" s="520"/>
      <c r="U115" s="520"/>
      <c r="V115" s="929"/>
      <c r="W115" s="514"/>
      <c r="X115" s="930"/>
      <c r="Y115" s="930"/>
      <c r="Z115" s="931"/>
      <c r="AA115" s="531"/>
      <c r="AB115" s="932"/>
      <c r="AC115" s="933"/>
      <c r="AD115" s="514"/>
      <c r="AE115" s="527">
        <f ca="1">SUM(AE$116:AE$116)</f>
        <v>0</v>
      </c>
      <c r="AF115" s="528">
        <f t="shared" ca="1" si="336"/>
        <v>0</v>
      </c>
      <c r="AG115" s="934"/>
      <c r="AH115" s="932"/>
      <c r="AI115" s="935">
        <f ca="1">SUM(AI$116:AI$116)</f>
        <v>0</v>
      </c>
      <c r="AJ115" s="936">
        <f ca="1">IFERROR(AI115/AA$4,0)</f>
        <v>0</v>
      </c>
      <c r="AK115" s="529"/>
      <c r="AL115" s="514"/>
      <c r="AM115" s="527">
        <f ca="1">SUM(AM$116:AM$116)</f>
        <v>0</v>
      </c>
      <c r="AN115" s="530">
        <f t="shared" ca="1" si="343"/>
        <v>0</v>
      </c>
      <c r="AO115" s="514"/>
      <c r="AP115" s="514"/>
      <c r="AQ115" s="527">
        <f ca="1">SUM(AQ$116:AQ$116)</f>
        <v>0</v>
      </c>
      <c r="AR115" s="937">
        <f t="shared" ca="1" si="346"/>
        <v>0</v>
      </c>
    </row>
    <row r="116" spans="1:44" outlineLevel="2" x14ac:dyDescent="0.2">
      <c r="A116" s="535"/>
      <c r="B116" s="535"/>
      <c r="C116" s="535" t="str">
        <f ca="1">OFFSET(Origine,MATCH($F116,Descrizioni,0),MATCH(C$14,Intestazioni,0)-1,1,1)</f>
        <v>GB00B15KYB02:USD:LSS</v>
      </c>
      <c r="D116" s="536" t="str">
        <f ca="1">OFFSET(Origine,MATCH($F116,Descrizioni,0),MATCH(D$14,Intestazioni,0)-1,1,1)</f>
        <v>GB00B15KYB02</v>
      </c>
      <c r="E116" s="537" t="str">
        <f ca="1">OFFSET(Origine,MATCH($F116,Descrizioni,0),MATCH(E$14,Intestazioni,0)-1,1,1)</f>
        <v>2726105</v>
      </c>
      <c r="F116" s="535" t="s">
        <v>541</v>
      </c>
      <c r="G116" s="538"/>
      <c r="H116" s="1729" t="str">
        <f ca="1">HYPERLINK(OFFSET(Origine,MATCH($F116,Descrizioni,0),MATCH(H$14,Intestazioni,0)-1,1,1),"")</f>
        <v></v>
      </c>
      <c r="I116" s="1690" t="str">
        <f ca="1">HYPERLINK(OFFSET(Origine,MATCH($F116,Descrizioni,0),MATCH(I$14,Intestazioni,0)-1,1,1),"i")</f>
        <v>i</v>
      </c>
      <c r="J116" s="1729" t="str">
        <f ca="1">HYPERLINK(OFFSET(Origine,MATCH($F116,Descrizioni,0),MATCH(J$14,Intestazioni,0)-1,1,1),"")</f>
        <v></v>
      </c>
      <c r="K116" s="1730" t="str">
        <f ca="1">HYPERLINK(OFFSET(Origine,MATCH($F116,Descrizioni,0),MATCH(K$14,Intestazioni,0)-1,1,1),"")</f>
        <v></v>
      </c>
      <c r="L116" s="1731" t="str">
        <f ca="1">IFERROR(HYPERLINK("https://www.zonebourse.com/mods_a/charts/TV/inc_dyna_graph.php?c="&amp;OFFSET(Origine,MATCH($F116,Descrizioni,0),MATCH(L$14,Intestazioni,0)-1,1,1)&amp;"&amp;style=TradingView.CANDLES&amp;showAT=1",""),"")</f>
        <v></v>
      </c>
      <c r="M116" s="534" t="str">
        <f ca="1">(OFFSET(Origine,MATCH($F116,Descrizioni,0),MATCH(M$14,Intestazioni,0)-1,1,1))</f>
        <v>Unit</v>
      </c>
      <c r="N116" s="938">
        <v>0</v>
      </c>
      <c r="O116" s="938"/>
      <c r="P116" s="938">
        <f t="shared" ca="1" si="606"/>
        <v>0</v>
      </c>
      <c r="Q116" s="939"/>
      <c r="R116" s="939"/>
      <c r="S116" s="938">
        <f t="shared" ca="1" si="599"/>
        <v>7.0912841670964608E-2</v>
      </c>
      <c r="T116" s="541">
        <f>SUMIF($AA$14:$AR$14,"I_Pos",AA116:AR116)</f>
        <v>0</v>
      </c>
      <c r="U116" s="541">
        <f ca="1">SUMIF($AA$14:$AR$14,"P_Pos",AA116:AR116)</f>
        <v>0</v>
      </c>
      <c r="V116" s="541">
        <f>SUMIF($AA$14:$AR$14,"O_Pos",AA116:AR116)</f>
        <v>0</v>
      </c>
      <c r="W116" s="535" t="str">
        <f ca="1">OFFSET(Origine,MATCH($F116,Descrizioni,0),MATCH(W$14,Intestazioni,0)-1,1,1)</f>
        <v>USD</v>
      </c>
      <c r="X116" s="940">
        <f ca="1">_xlfn.NUMBERVALUE(OFFSET(Origine,MATCH($F116,Descrizioni,0),MATCH(X$14,Intestazioni,0)-1,1,1))</f>
        <v>4.1529999999999996</v>
      </c>
      <c r="Y116" s="940"/>
      <c r="Z116" s="941">
        <f ca="1">_xlfn.NUMBERVALUE(OFFSET(Origine,MATCH(W116&amp;"/"&amp;MRif,LUKB_Name,0),MATCH("Price",Intestazioni,0)-1,1,1))</f>
        <v>0.78225</v>
      </c>
      <c r="AA116" s="197"/>
      <c r="AB116" s="312" t="str">
        <f ca="1">IFERROR($X116/AC116-1,"")</f>
        <v/>
      </c>
      <c r="AC116" s="807"/>
      <c r="AD116" s="199">
        <f ca="1">AA116*$X116</f>
        <v>0</v>
      </c>
      <c r="AE116" s="199">
        <f ca="1">AD116*$Z116</f>
        <v>0</v>
      </c>
      <c r="AF116" s="216">
        <f t="shared" ca="1" si="336"/>
        <v>0</v>
      </c>
      <c r="AG116" s="404">
        <f ca="1">AH116/$X116</f>
        <v>0</v>
      </c>
      <c r="AH116" s="405">
        <f ca="1">AI116/$Z116</f>
        <v>0</v>
      </c>
      <c r="AI116" s="405">
        <f ca="1">AJ116*AA$4</f>
        <v>0</v>
      </c>
      <c r="AJ116" s="406">
        <f ca="1">$N116-AF116</f>
        <v>0</v>
      </c>
      <c r="AK116" s="205"/>
      <c r="AL116" s="206">
        <f ca="1">AK116*$X116</f>
        <v>0</v>
      </c>
      <c r="AM116" s="206">
        <f ca="1">AL116*$Z116</f>
        <v>0</v>
      </c>
      <c r="AN116" s="207">
        <f t="shared" ca="1" si="343"/>
        <v>0</v>
      </c>
      <c r="AO116" s="541">
        <f>AA116+AK116</f>
        <v>0</v>
      </c>
      <c r="AP116" s="541">
        <f t="shared" ca="1" si="485"/>
        <v>0</v>
      </c>
      <c r="AQ116" s="541">
        <f ca="1">AP116*$Z116</f>
        <v>0</v>
      </c>
      <c r="AR116" s="918">
        <f t="shared" ca="1" si="346"/>
        <v>0</v>
      </c>
    </row>
    <row r="117" spans="1:44" outlineLevel="1" x14ac:dyDescent="0.2">
      <c r="A117" s="514"/>
      <c r="B117" s="514" t="s">
        <v>542</v>
      </c>
      <c r="C117" s="514"/>
      <c r="D117" s="515"/>
      <c r="E117" s="516"/>
      <c r="F117" s="514"/>
      <c r="G117" s="517"/>
      <c r="H117" s="1760"/>
      <c r="I117" s="1760"/>
      <c r="J117" s="1760"/>
      <c r="K117" s="1760"/>
      <c r="L117" s="1760"/>
      <c r="M117" s="513"/>
      <c r="N117" s="928">
        <f>SUM(N$118)</f>
        <v>0</v>
      </c>
      <c r="O117" s="928"/>
      <c r="P117" s="928">
        <f t="shared" ca="1" si="606"/>
        <v>0</v>
      </c>
      <c r="Q117" s="927"/>
      <c r="R117" s="927"/>
      <c r="S117" s="928"/>
      <c r="T117" s="520"/>
      <c r="U117" s="520"/>
      <c r="V117" s="929"/>
      <c r="W117" s="514"/>
      <c r="X117" s="930"/>
      <c r="Y117" s="930"/>
      <c r="Z117" s="931"/>
      <c r="AA117" s="531"/>
      <c r="AB117" s="932"/>
      <c r="AC117" s="933"/>
      <c r="AD117" s="514"/>
      <c r="AE117" s="527">
        <f ca="1">SUM(AE$118)</f>
        <v>0</v>
      </c>
      <c r="AF117" s="528">
        <f t="shared" ca="1" si="336"/>
        <v>0</v>
      </c>
      <c r="AG117" s="934"/>
      <c r="AH117" s="932"/>
      <c r="AI117" s="935">
        <f ca="1">SUM(AI$118)</f>
        <v>0</v>
      </c>
      <c r="AJ117" s="936">
        <f ca="1">IFERROR(AI117/AA$4,0)</f>
        <v>0</v>
      </c>
      <c r="AK117" s="529"/>
      <c r="AL117" s="514"/>
      <c r="AM117" s="527">
        <f ca="1">SUM(AM$118)</f>
        <v>0</v>
      </c>
      <c r="AN117" s="530">
        <f t="shared" ca="1" si="343"/>
        <v>0</v>
      </c>
      <c r="AO117" s="514"/>
      <c r="AP117" s="514"/>
      <c r="AQ117" s="527">
        <f ca="1">SUM(AQ$118)</f>
        <v>0</v>
      </c>
      <c r="AR117" s="937">
        <f t="shared" ca="1" si="346"/>
        <v>0</v>
      </c>
    </row>
    <row r="118" spans="1:44" outlineLevel="2" x14ac:dyDescent="0.2">
      <c r="A118" s="535"/>
      <c r="B118" s="535"/>
      <c r="C118" s="535" t="str">
        <f ca="1">OFFSET(Origine,MATCH($F118,Descrizioni,0),MATCH(C$14,Intestazioni,0)-1,1,1)</f>
        <v>GB00B15KYG56:USD:LSS</v>
      </c>
      <c r="D118" s="536" t="str">
        <f ca="1">OFFSET(Origine,MATCH($F118,Descrizioni,0),MATCH(D$14,Intestazioni,0)-1,1,1)</f>
        <v>GB00B15KYG56</v>
      </c>
      <c r="E118" s="537" t="str">
        <f ca="1">OFFSET(Origine,MATCH($F118,Descrizioni,0),MATCH(E$14,Intestazioni,0)-1,1,1)</f>
        <v>2726111</v>
      </c>
      <c r="F118" s="535" t="s">
        <v>543</v>
      </c>
      <c r="G118" s="538"/>
      <c r="H118" s="1729" t="str">
        <f ca="1">HYPERLINK(OFFSET(Origine,MATCH($F118,Descrizioni,0),MATCH(H$14,Intestazioni,0)-1,1,1),"")</f>
        <v></v>
      </c>
      <c r="I118" s="1690" t="str">
        <f ca="1">HYPERLINK(OFFSET(Origine,MATCH($F118,Descrizioni,0),MATCH(I$14,Intestazioni,0)-1,1,1),"i")</f>
        <v>i</v>
      </c>
      <c r="J118" s="1729" t="str">
        <f ca="1">HYPERLINK(OFFSET(Origine,MATCH($F118,Descrizioni,0),MATCH(J$14,Intestazioni,0)-1,1,1),"")</f>
        <v></v>
      </c>
      <c r="K118" s="1730" t="str">
        <f ca="1">HYPERLINK(OFFSET(Origine,MATCH($F118,Descrizioni,0),MATCH(K$14,Intestazioni,0)-1,1,1),"")</f>
        <v></v>
      </c>
      <c r="L118" s="1731" t="str">
        <f ca="1">IFERROR(HYPERLINK("https://www.zonebourse.com/mods_a/charts/TV/inc_dyna_graph.php?c="&amp;OFFSET(Origine,MATCH($F118,Descrizioni,0),MATCH(L$14,Intestazioni,0)-1,1,1)&amp;"&amp;style=TradingView.CANDLES&amp;showAT=1",""),"")</f>
        <v></v>
      </c>
      <c r="M118" s="534" t="str">
        <f ca="1">(OFFSET(Origine,MATCH($F118,Descrizioni,0),MATCH(M$14,Intestazioni,0)-1,1,1))</f>
        <v>Unit</v>
      </c>
      <c r="N118" s="938">
        <v>0</v>
      </c>
      <c r="O118" s="938"/>
      <c r="P118" s="938">
        <f t="shared" ca="1" si="606"/>
        <v>0</v>
      </c>
      <c r="Q118" s="939"/>
      <c r="R118" s="939"/>
      <c r="S118" s="938">
        <f t="shared" ca="1" si="599"/>
        <v>-4.5834456726881996E-3</v>
      </c>
      <c r="T118" s="541">
        <f>SUMIF($AA$14:$AR$14,"I_Pos",AA118:AR118)</f>
        <v>0</v>
      </c>
      <c r="U118" s="541">
        <f ca="1">SUMIF($AA$14:$AR$14,"P_Pos",AA118:AR118)</f>
        <v>0</v>
      </c>
      <c r="V118" s="541">
        <f>SUMIF($AA$14:$AR$14,"O_Pos",AA118:AR118)</f>
        <v>0</v>
      </c>
      <c r="W118" s="535" t="str">
        <f ca="1">OFFSET(Origine,MATCH($F118,Descrizioni,0),MATCH(W$14,Intestazioni,0)-1,1,1)</f>
        <v>USD</v>
      </c>
      <c r="X118" s="940">
        <f ca="1">_xlfn.NUMBERVALUE(OFFSET(Origine,MATCH($F118,Descrizioni,0),MATCH(X$14,Intestazioni,0)-1,1,1))</f>
        <v>18.46</v>
      </c>
      <c r="Y118" s="940"/>
      <c r="Z118" s="941">
        <f ca="1">_xlfn.NUMBERVALUE(OFFSET(Origine,MATCH(W118&amp;"/"&amp;MRif,LUKB_Name,0),MATCH("Price",Intestazioni,0)-1,1,1))</f>
        <v>0.78225</v>
      </c>
      <c r="AA118" s="197"/>
      <c r="AB118" s="312" t="str">
        <f ca="1">IFERROR($X118/AC118-1,"")</f>
        <v/>
      </c>
      <c r="AC118" s="807"/>
      <c r="AD118" s="199">
        <f ca="1">AA118*$X118</f>
        <v>0</v>
      </c>
      <c r="AE118" s="199">
        <f ca="1">AD118*$Z118</f>
        <v>0</v>
      </c>
      <c r="AF118" s="216">
        <f t="shared" ca="1" si="336"/>
        <v>0</v>
      </c>
      <c r="AG118" s="404">
        <f ca="1">AH118/$X118</f>
        <v>0</v>
      </c>
      <c r="AH118" s="405">
        <f ca="1">AI118/$Z118</f>
        <v>0</v>
      </c>
      <c r="AI118" s="405">
        <f ca="1">AJ118*AA$4</f>
        <v>0</v>
      </c>
      <c r="AJ118" s="406">
        <f ca="1">$N118-AF118</f>
        <v>0</v>
      </c>
      <c r="AK118" s="205"/>
      <c r="AL118" s="206">
        <f ca="1">AK118*$X118</f>
        <v>0</v>
      </c>
      <c r="AM118" s="206">
        <f ca="1">AL118*$Z118</f>
        <v>0</v>
      </c>
      <c r="AN118" s="207">
        <f t="shared" ca="1" si="343"/>
        <v>0</v>
      </c>
      <c r="AO118" s="541">
        <f>AA118+AK118</f>
        <v>0</v>
      </c>
      <c r="AP118" s="541">
        <f t="shared" ca="1" si="485"/>
        <v>0</v>
      </c>
      <c r="AQ118" s="541">
        <f ca="1">AP118*$Z118</f>
        <v>0</v>
      </c>
      <c r="AR118" s="918">
        <f t="shared" ca="1" si="346"/>
        <v>0</v>
      </c>
    </row>
    <row r="119" spans="1:44" x14ac:dyDescent="0.2">
      <c r="AA119" s="622"/>
      <c r="AB119" s="622"/>
      <c r="AC119" s="944"/>
      <c r="AD119" s="619"/>
      <c r="AE119" s="619"/>
      <c r="AF119" s="621"/>
      <c r="AG119" s="622"/>
      <c r="AH119" s="622"/>
      <c r="AI119" s="622"/>
      <c r="AJ119" s="945"/>
      <c r="AK119" s="619"/>
      <c r="AL119" s="619"/>
      <c r="AM119" s="619"/>
      <c r="AN119" s="621"/>
      <c r="AO119" s="619"/>
      <c r="AP119" s="619"/>
      <c r="AQ119" s="619"/>
      <c r="AR119" s="621"/>
    </row>
    <row r="120" spans="1:44" x14ac:dyDescent="0.2">
      <c r="A120" s="946" t="s">
        <v>805</v>
      </c>
      <c r="B120" s="626"/>
      <c r="C120" s="626"/>
      <c r="D120" s="627"/>
      <c r="E120" s="628"/>
      <c r="F120" s="626"/>
      <c r="G120" s="629"/>
      <c r="H120" s="1762"/>
      <c r="I120" s="1762"/>
      <c r="J120" s="1762"/>
      <c r="K120" s="1762"/>
      <c r="L120" s="1762"/>
      <c r="M120" s="628" t="s">
        <v>366</v>
      </c>
      <c r="N120" s="626"/>
      <c r="O120" s="626"/>
      <c r="P120" s="626"/>
      <c r="Q120" s="630"/>
      <c r="R120" s="630"/>
      <c r="S120" s="641"/>
      <c r="T120" s="626"/>
      <c r="U120" s="626"/>
      <c r="V120" s="632"/>
      <c r="W120" s="637" t="s">
        <v>381</v>
      </c>
      <c r="X120" s="637" t="s">
        <v>366</v>
      </c>
      <c r="Y120" s="637"/>
      <c r="Z120" s="947" t="s">
        <v>806</v>
      </c>
      <c r="AA120" s="948" t="s">
        <v>369</v>
      </c>
      <c r="AB120" s="641"/>
      <c r="AC120" s="949"/>
      <c r="AD120" s="637" t="s">
        <v>381</v>
      </c>
      <c r="AE120" s="637" t="s">
        <v>366</v>
      </c>
      <c r="AF120" s="638" t="s">
        <v>806</v>
      </c>
      <c r="AG120" s="950" t="s">
        <v>369</v>
      </c>
      <c r="AH120" s="951" t="s">
        <v>381</v>
      </c>
      <c r="AI120" s="951" t="s">
        <v>366</v>
      </c>
      <c r="AJ120" s="952" t="s">
        <v>806</v>
      </c>
      <c r="AK120" s="639" t="s">
        <v>369</v>
      </c>
      <c r="AL120" s="637" t="s">
        <v>381</v>
      </c>
      <c r="AM120" s="637" t="s">
        <v>366</v>
      </c>
      <c r="AN120" s="640" t="s">
        <v>806</v>
      </c>
      <c r="AO120" s="641" t="s">
        <v>369</v>
      </c>
      <c r="AP120" s="637" t="s">
        <v>381</v>
      </c>
      <c r="AQ120" s="637" t="s">
        <v>366</v>
      </c>
      <c r="AR120" s="953" t="s">
        <v>806</v>
      </c>
    </row>
    <row r="121" spans="1:44" x14ac:dyDescent="0.2">
      <c r="B121" s="142" t="s">
        <v>807</v>
      </c>
      <c r="M121" s="97">
        <f t="array" aca="1" ref="M121" ca="1">SUM(IF($W$15:$W$118=M$120,F$15:F$118))</f>
        <v>0</v>
      </c>
      <c r="S121" s="954"/>
      <c r="W121" s="954">
        <f t="array" aca="1" ref="W121" ca="1">SUM(IF($W$15:$W$118=W$120,N$15:N$118))</f>
        <v>0.1</v>
      </c>
      <c r="X121" s="954">
        <f t="array" aca="1" ref="X121" ca="1">SUM(IF($W$15:$W$118=X$120,N$15:N$118))</f>
        <v>0.23499999999999999</v>
      </c>
      <c r="Y121" s="954"/>
      <c r="Z121" s="955">
        <f t="array" aca="1" ref="Z121" ca="1">SUM(IF($W$15:$W$118=Z$120,N$15:N$118))</f>
        <v>0</v>
      </c>
      <c r="AA121" s="956">
        <f t="array" aca="1" ref="AA121" ca="1">SUM(IF($W$15:$W$118=AA$120,AF$15:AF$118))</f>
        <v>0.68058772253126554</v>
      </c>
      <c r="AB121" s="957"/>
      <c r="AC121" s="958"/>
      <c r="AD121" s="959">
        <f t="array" aca="1" ref="AD121" ca="1">SUM(IF($W$15:$W$118=AD$120,AF$15:AF$118))</f>
        <v>0.12482302905890102</v>
      </c>
      <c r="AE121" s="959">
        <f t="array" aca="1" ref="AE121" ca="1">SUM(IF($W$15:$W$118=AE$120,AF$15:AF$118))</f>
        <v>0.19458924840983341</v>
      </c>
      <c r="AF121" s="960">
        <f t="array" aca="1" ref="AF121" ca="1">SUM(IF($W$15:$W$118=AF$120,AF$15:AF$118))</f>
        <v>0</v>
      </c>
      <c r="AG121" s="961">
        <f t="array" aca="1" ref="AG121" ca="1">SUM(IF($W$15:$W$118=AG$120,AJ$15:AJ$118))</f>
        <v>-0.11558772253126559</v>
      </c>
      <c r="AH121" s="962">
        <f t="array" aca="1" ref="AH121" ca="1">SUM(IF($W$15:$W$118=AH$120,AJ$15:AJ$118))</f>
        <v>-2.4823029058901012E-2</v>
      </c>
      <c r="AI121" s="962">
        <f t="array" aca="1" ref="AI121" ca="1">SUM(IF($W$15:$W$118=AI$120,AJ$15:AJ$118))</f>
        <v>4.0410751590166577E-2</v>
      </c>
      <c r="AJ121" s="963">
        <f t="array" aca="1" ref="AJ121" ca="1">SUM(IF($W$15:$W$118=AJ$120,AJ$15:AJ$118))</f>
        <v>0</v>
      </c>
      <c r="AK121" s="964">
        <f t="array" aca="1" ref="AK121" ca="1">SUM(IF($W$15:$W$118=AK$120,AN$15:AN$118))</f>
        <v>0</v>
      </c>
      <c r="AL121" s="954">
        <f t="array" aca="1" ref="AL121" ca="1">SUM(IF($W$15:$W$118=AL$120,AN$15:AN$118))</f>
        <v>0</v>
      </c>
      <c r="AM121" s="954">
        <f t="array" aca="1" ref="AM121" ca="1">SUM(IF($W$15:$W$118=AM$120,AN$15:AN$118))</f>
        <v>0</v>
      </c>
      <c r="AN121" s="960">
        <f t="array" aca="1" ref="AN121" ca="1">SUM(IF($W$15:$W$118=AN$120,AN$15:AN$118))</f>
        <v>0</v>
      </c>
      <c r="AO121" s="954">
        <f t="array" aca="1" ref="AO121" ca="1">SUM(IF($W$15:$W$118=AO$120,AR$15:AR$118))</f>
        <v>0.68058772253126554</v>
      </c>
      <c r="AP121" s="954">
        <f t="array" aca="1" ref="AP121" ca="1">SUM(IF($W$15:$W$118=AP$120,AR$15:AR$118))</f>
        <v>0.12482302905890102</v>
      </c>
      <c r="AQ121" s="954">
        <f t="array" aca="1" ref="AQ121" ca="1">SUM(IF($W$15:$W$118=AQ$120,AR$15:AR$118))</f>
        <v>0.19458924840983341</v>
      </c>
      <c r="AR121" s="965">
        <f t="array" aca="1" ref="AR121" ca="1">SUM(IF($W$15:$W$118=AR$120,AR$15:AR$118))</f>
        <v>0</v>
      </c>
    </row>
    <row r="122" spans="1:44" x14ac:dyDescent="0.2">
      <c r="A122" s="478"/>
      <c r="B122" s="478" t="s">
        <v>808</v>
      </c>
      <c r="C122" s="478"/>
      <c r="D122" s="479"/>
      <c r="E122" s="480"/>
      <c r="F122" s="478"/>
      <c r="G122" s="481"/>
      <c r="H122" s="1763"/>
      <c r="I122" s="1763"/>
      <c r="J122" s="1763"/>
      <c r="K122" s="1763"/>
      <c r="L122" s="1763"/>
      <c r="M122" s="477"/>
      <c r="N122" s="664"/>
      <c r="O122" s="664"/>
      <c r="P122" s="664"/>
      <c r="Q122" s="661"/>
      <c r="R122" s="661"/>
      <c r="S122" s="664"/>
      <c r="T122" s="664"/>
      <c r="U122" s="664"/>
      <c r="V122" s="665"/>
      <c r="W122" s="478"/>
      <c r="X122" s="478"/>
      <c r="Y122" s="478"/>
      <c r="Z122" s="966"/>
      <c r="AA122" s="967">
        <f t="array" aca="1" ref="AA122" ca="1">SUM(IF($W$15:$W$118=AA$120,AE$15:AE$118))</f>
        <v>431171.20416344929</v>
      </c>
      <c r="AB122" s="968"/>
      <c r="AC122" s="969"/>
      <c r="AD122" s="484">
        <f t="array" aca="1" ref="AD122" ca="1">SUM(IF($W$15:$W$118=AD$120,AE$15:AE$118))</f>
        <v>79078.851946499984</v>
      </c>
      <c r="AE122" s="484">
        <f t="array" aca="1" ref="AE122" ca="1">SUM(IF($W$15:$W$118=AE$120,AE$15:AE$118))</f>
        <v>123277.68747</v>
      </c>
      <c r="AF122" s="662">
        <f t="array" aca="1" ref="AF122" ca="1">SUM(IF($W$15:$W$118=AF$120,AE$15:AE$118))</f>
        <v>0</v>
      </c>
      <c r="AG122" s="970">
        <f t="array" aca="1" ref="AG122" ca="1">SUM(IF($W$15:$W$118=AG$120,AI$15:AI$118))</f>
        <v>-73228.029040777954</v>
      </c>
      <c r="AH122" s="968">
        <f t="array" aca="1" ref="AH122" ca="1">SUM(IF($W$15:$W$118=AH$120,AI$15:AI$118))</f>
        <v>-15726.077588505068</v>
      </c>
      <c r="AI122" s="968">
        <f t="array" aca="1" ref="AI122" ca="1">SUM(IF($W$15:$W$118=AI$120,AI$15:AI$118))</f>
        <v>25601.33227128808</v>
      </c>
      <c r="AJ122" s="971">
        <f t="array" aca="1" ref="AJ122" ca="1">SUM(IF($W$15:$W$118=AJ$120,AI$15:AI$118))</f>
        <v>0</v>
      </c>
      <c r="AK122" s="675">
        <f t="array" aca="1" ref="AK122" ca="1">SUM(IF($W$15:$W$118=AK$120,AM$15:AM$118))</f>
        <v>0</v>
      </c>
      <c r="AL122" s="484">
        <f t="array" aca="1" ref="AL122" ca="1">SUM(IF($W$15:$W$118=AL$120,AM$15:AM$118))</f>
        <v>0</v>
      </c>
      <c r="AM122" s="484">
        <f t="array" aca="1" ref="AM122" ca="1">SUM(IF($W$15:$W$118=AM$120,AM$15:AM$118))</f>
        <v>0</v>
      </c>
      <c r="AN122" s="972">
        <f t="array" aca="1" ref="AN122" ca="1">SUM(IF($W$15:$W$118=AN$120,AM$15:AM$118))</f>
        <v>0</v>
      </c>
      <c r="AO122" s="484">
        <f t="array" aca="1" ref="AO122" ca="1">SUM(IF($W$15:$W$118=AO$120,AQ$15:AQ$118))</f>
        <v>431171.20416344929</v>
      </c>
      <c r="AP122" s="484">
        <f t="array" aca="1" ref="AP122" ca="1">SUM(IF($W$15:$W$118=AP$120,AQ$15:AQ$118))</f>
        <v>79078.851946499984</v>
      </c>
      <c r="AQ122" s="484">
        <f t="array" aca="1" ref="AQ122" ca="1">SUM(IF($W$15:$W$118=AQ$120,AQ$15:AQ$118))</f>
        <v>123277.68747</v>
      </c>
      <c r="AR122" s="973">
        <f t="array" aca="1" ref="AR122" ca="1">SUM(IF($W$15:$W$118=AR$120,AQ$15:AQ$118))</f>
        <v>0</v>
      </c>
    </row>
    <row r="123" spans="1:44" x14ac:dyDescent="0.2">
      <c r="A123" s="679"/>
      <c r="B123" s="679" t="s">
        <v>809</v>
      </c>
      <c r="C123" s="679"/>
      <c r="D123" s="974"/>
      <c r="E123" s="681"/>
      <c r="F123" s="679"/>
      <c r="G123" s="682"/>
      <c r="H123" s="1764"/>
      <c r="I123" s="1764"/>
      <c r="J123" s="1764"/>
      <c r="K123" s="1764"/>
      <c r="L123" s="1764"/>
      <c r="M123" s="678"/>
      <c r="N123" s="975"/>
      <c r="O123" s="975"/>
      <c r="P123" s="975"/>
      <c r="Q123" s="683"/>
      <c r="R123" s="683"/>
      <c r="S123" s="975"/>
      <c r="T123" s="975"/>
      <c r="U123" s="975"/>
      <c r="V123" s="976"/>
      <c r="W123" s="679"/>
      <c r="X123" s="679"/>
      <c r="Y123" s="679"/>
      <c r="Z123" s="977"/>
      <c r="AA123" s="978">
        <f t="array" aca="1" ref="AA123" ca="1">SUM(IF($W$15:$W$118=AA$120,AD$15:AD$118))</f>
        <v>431171.14811120008</v>
      </c>
      <c r="AB123" s="979"/>
      <c r="AC123" s="980"/>
      <c r="AD123" s="686">
        <f t="array" aca="1" ref="AD123" ca="1">SUM(IF($W$15:$W$118=AD$120,AD$15:AD$118))</f>
        <v>87134.430000000008</v>
      </c>
      <c r="AE123" s="686">
        <f t="array" aca="1" ref="AE123" ca="1">SUM(IF($W$15:$W$118=AE$120,AD$15:AD$118))</f>
        <v>157593.72</v>
      </c>
      <c r="AF123" s="684">
        <f t="array" aca="1" ref="AF123" ca="1">SUM(IF($W$15:$W$118=AF$120,AD$15:AD$118))</f>
        <v>0</v>
      </c>
      <c r="AG123" s="981">
        <f t="array" aca="1" ref="AG123" ca="1">SUM(IF($W$15:$W$118=AG$120,AH$15:AH$118))</f>
        <v>-73228.019521135371</v>
      </c>
      <c r="AH123" s="979">
        <f t="array" aca="1" ref="AH123" ca="1">SUM(IF($W$15:$W$118=AH$120,AH$15:AH$118))</f>
        <v>-17328.056402958591</v>
      </c>
      <c r="AI123" s="979">
        <f t="array" aca="1" ref="AI123" ca="1">SUM(IF($W$15:$W$118=AI$120,AH$15:AH$118))</f>
        <v>32727.813705705441</v>
      </c>
      <c r="AJ123" s="982">
        <f t="array" aca="1" ref="AJ123" ca="1">SUM(IF($W$15:$W$118=AJ$120,AH$15:AH$118))</f>
        <v>0</v>
      </c>
      <c r="AK123" s="698">
        <f t="array" aca="1" ref="AK123" ca="1">SUM(IF($W$15:$W$118=AK$120,AL$15:AL$118))</f>
        <v>0</v>
      </c>
      <c r="AL123" s="686">
        <f t="array" aca="1" ref="AL123" ca="1">SUM(IF($W$15:$W$118=AL$120,AL$15:AL$118))</f>
        <v>0</v>
      </c>
      <c r="AM123" s="686">
        <f t="array" aca="1" ref="AM123" ca="1">SUM(IF($W$15:$W$118=AM$120,AL$15:AL$118))</f>
        <v>0</v>
      </c>
      <c r="AN123" s="983">
        <f t="array" aca="1" ref="AN123" ca="1">SUM(IF($W$15:$W$118=AN$120,AL$15:AL$118))</f>
        <v>0</v>
      </c>
      <c r="AO123" s="686">
        <f t="array" aca="1" ref="AO123" ca="1">SUM(IF($W$15:$W$118=AO$120,AP$15:AP$118))</f>
        <v>431171.14811120008</v>
      </c>
      <c r="AP123" s="686">
        <f t="array" aca="1" ref="AP123" ca="1">SUM(IF($W$15:$W$118=AP$120,AP$15:AP$118))</f>
        <v>87134.430000000008</v>
      </c>
      <c r="AQ123" s="686">
        <f t="array" aca="1" ref="AQ123" ca="1">SUM(IF($W$15:$W$118=AQ$120,AP$15:AP$118))</f>
        <v>157593.72</v>
      </c>
      <c r="AR123" s="984">
        <f t="array" aca="1" ref="AR123" ca="1">SUM(IF($W$15:$W$118=AR$120,AP$15:AP$118))</f>
        <v>0</v>
      </c>
    </row>
  </sheetData>
  <autoFilter ref="A14:AR123" xr:uid="{00000000-0009-0000-0000-000007000000}"/>
  <dataConsolidate/>
  <mergeCells count="11">
    <mergeCell ref="AA1:AR1"/>
    <mergeCell ref="T2:U2"/>
    <mergeCell ref="AA2:AR2"/>
    <mergeCell ref="AA13:AF13"/>
    <mergeCell ref="AG13:AJ13"/>
    <mergeCell ref="AK13:AN13"/>
    <mergeCell ref="AO13:AR13"/>
    <mergeCell ref="T3:U3"/>
    <mergeCell ref="AA3:AR3"/>
    <mergeCell ref="T5:U5"/>
    <mergeCell ref="T4:U4"/>
  </mergeCells>
  <conditionalFormatting sqref="AG117:AJ118 AG109:AJ115 AG104:AH104 AJ104 AG96:AJ103 AG33:AJ34 AG76:AJ93 AG52:AJ70 AG15:AJ31 AG36:AJ47">
    <cfRule type="expression" dxfId="239" priority="51">
      <formula>ABS($AJ15)&lt;0.01</formula>
    </cfRule>
  </conditionalFormatting>
  <conditionalFormatting sqref="AG116:AJ116">
    <cfRule type="expression" dxfId="238" priority="50">
      <formula>ABS($AJ116)&lt;0.01</formula>
    </cfRule>
  </conditionalFormatting>
  <conditionalFormatting sqref="AG35:AJ35">
    <cfRule type="expression" dxfId="237" priority="48">
      <formula>ABS($AJ35)&lt;0.01</formula>
    </cfRule>
  </conditionalFormatting>
  <conditionalFormatting sqref="AG32:AJ32">
    <cfRule type="expression" dxfId="236" priority="47">
      <formula>ABS($AJ32)&lt;0.01</formula>
    </cfRule>
  </conditionalFormatting>
  <conditionalFormatting sqref="AG72:AJ72">
    <cfRule type="expression" dxfId="235" priority="44">
      <formula>ABS($AJ72)&lt;0.01</formula>
    </cfRule>
  </conditionalFormatting>
  <conditionalFormatting sqref="AG94:AJ95">
    <cfRule type="expression" dxfId="234" priority="42">
      <formula>ABS($AJ94)&lt;0.01</formula>
    </cfRule>
  </conditionalFormatting>
  <conditionalFormatting sqref="AG105:AJ108">
    <cfRule type="expression" dxfId="233" priority="38">
      <formula>ABS($AJ105)&lt;0.01</formula>
    </cfRule>
  </conditionalFormatting>
  <conditionalFormatting sqref="AG71:AJ71">
    <cfRule type="expression" dxfId="232" priority="31">
      <formula>ABS($AJ71)&lt;0.01</formula>
    </cfRule>
  </conditionalFormatting>
  <conditionalFormatting sqref="AG48:AJ48">
    <cfRule type="expression" dxfId="231" priority="29">
      <formula>ABS($AJ48)&lt;0.01</formula>
    </cfRule>
  </conditionalFormatting>
  <conditionalFormatting sqref="AB118 AB116 AB114 AB110:AB112 AB106:AB108 AB103 AB101 AB97:AB98 AB94:AB95 AB83:AB84 AB86:AB92 AB68:AB69 AB65:AB66 AB56:AB63 AB71:AB81 AB35:AB36 AB22:AB33 AB39:AB54">
    <cfRule type="expression" dxfId="230" priority="27">
      <formula>$W:$W="Pct"</formula>
    </cfRule>
  </conditionalFormatting>
  <conditionalFormatting sqref="AB110:AB112 AB118 AB116 AB114 AB106:AB108 AB97:AB98 AB103 AB101 AB94:AB95 AB83:AB84 AB65:AB66 AB68:AB69 AB86:AB92 AB56:AB63 AB71:AB81">
    <cfRule type="dataBar" priority="24">
      <dataBar>
        <cfvo type="min"/>
        <cfvo type="max"/>
        <color rgb="FF63C384"/>
      </dataBar>
      <extLst>
        <ext xmlns:x14="http://schemas.microsoft.com/office/spreadsheetml/2009/9/main" uri="{B025F937-C7B1-47D3-B67F-A62EFF666E3E}">
          <x14:id>{C7EE2DFA-81DA-4B80-9980-9BC1C77F6B03}</x14:id>
        </ext>
      </extLst>
    </cfRule>
  </conditionalFormatting>
  <conditionalFormatting sqref="X16:Y19">
    <cfRule type="expression" dxfId="229" priority="22">
      <formula>$M16="Pct"</formula>
    </cfRule>
  </conditionalFormatting>
  <conditionalFormatting sqref="AB35:AB36 AB22:AB33">
    <cfRule type="dataBar" priority="4557">
      <dataBar>
        <cfvo type="min"/>
        <cfvo type="max"/>
        <color rgb="FF63C384"/>
      </dataBar>
      <extLst>
        <ext xmlns:x14="http://schemas.microsoft.com/office/spreadsheetml/2009/9/main" uri="{B025F937-C7B1-47D3-B67F-A62EFF666E3E}">
          <x14:id>{A675779A-9C4F-40FD-B21B-05034B8499AB}</x14:id>
        </ext>
      </extLst>
    </cfRule>
  </conditionalFormatting>
  <conditionalFormatting sqref="A35:AR36 A22:AR33">
    <cfRule type="expression" dxfId="228" priority="14">
      <formula>IFERROR(AND($G22&gt;0,$G22-TODAY()&lt;30),FALSE)</formula>
    </cfRule>
  </conditionalFormatting>
  <conditionalFormatting sqref="AL16:AL19">
    <cfRule type="expression" dxfId="227" priority="13">
      <formula>IFERROR(AND($G16&gt;0,$G16-TODAY()&lt;30),FALSE)</formula>
    </cfRule>
  </conditionalFormatting>
  <conditionalFormatting sqref="AG51:AJ51">
    <cfRule type="expression" dxfId="226" priority="11">
      <formula>ABS($AJ51)&lt;0.01</formula>
    </cfRule>
  </conditionalFormatting>
  <conditionalFormatting sqref="AG49:AJ49">
    <cfRule type="expression" dxfId="225" priority="9">
      <formula>ABS($AJ49)&lt;0.01</formula>
    </cfRule>
  </conditionalFormatting>
  <conditionalFormatting sqref="AG74:AJ75">
    <cfRule type="expression" dxfId="224" priority="8">
      <formula>ABS($AJ74)&lt;0.01</formula>
    </cfRule>
  </conditionalFormatting>
  <conditionalFormatting sqref="X20:X118">
    <cfRule type="expression" dxfId="223" priority="4">
      <formula>NOT(_xlfn.ISFORMULA($X20))</formula>
    </cfRule>
  </conditionalFormatting>
  <conditionalFormatting sqref="AG50:AJ50">
    <cfRule type="expression" dxfId="222" priority="3">
      <formula>ABS($AJ50)&lt;0.01</formula>
    </cfRule>
  </conditionalFormatting>
  <conditionalFormatting sqref="AG73:AJ73">
    <cfRule type="expression" dxfId="221" priority="2">
      <formula>ABS($AJ73)&lt;0.01</formula>
    </cfRule>
  </conditionalFormatting>
  <conditionalFormatting sqref="AB39:AB54">
    <cfRule type="dataBar" priority="13341">
      <dataBar>
        <cfvo type="min"/>
        <cfvo type="max"/>
        <color rgb="FF63C384"/>
      </dataBar>
      <extLst>
        <ext xmlns:x14="http://schemas.microsoft.com/office/spreadsheetml/2009/9/main" uri="{B025F937-C7B1-47D3-B67F-A62EFF666E3E}">
          <x14:id>{5C3444BF-9F80-4063-BABB-BD8298E82DEB}</x14:id>
        </ext>
      </extLst>
    </cfRule>
  </conditionalFormatting>
  <conditionalFormatting sqref="Z16:Z19">
    <cfRule type="expression" dxfId="220" priority="1">
      <formula>NOT(_xlfn.ISFORMULA($Z16))</formula>
    </cfRule>
  </conditionalFormatting>
  <dataValidations count="1">
    <dataValidation type="list" allowBlank="1" showInputMessage="1" showErrorMessage="1" sqref="F114:G114 F116:G116 F118:G118 F94:G95 F106:G108 F110:G112 F83:G84 F97:G103 Q16:Q19 F16:G19 F35:G36 F22:G33 F65:G66 F68:G69 F86:G92 F71:G81 F56:G63 F39:G54" xr:uid="{1CD8A6E2-CF03-4430-A55F-546C1C60E2F1}">
      <formula1>Descrizioni</formula1>
    </dataValidation>
  </dataValidations>
  <printOptions horizontalCentered="1"/>
  <pageMargins left="0.78740157480314965" right="0.19685039370078741" top="0.78740157480314965" bottom="0.59055118110236227" header="0.31496062992125984" footer="0.19685039370078741"/>
  <pageSetup paperSize="9" scale="95" fitToHeight="0" orientation="portrait" r:id="rId1"/>
  <headerFooter>
    <oddFooter>&amp;L&amp;"-,Grassetto" Riservato&amp;C&amp;D - &amp;T&amp;RPagina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C7EE2DFA-81DA-4B80-9980-9BC1C77F6B03}">
            <x14:dataBar minLength="0" maxLength="100" border="1" negativeBarBorderColorSameAsPositive="0">
              <x14:cfvo type="autoMin"/>
              <x14:cfvo type="autoMax"/>
              <x14:borderColor rgb="FF63C384"/>
              <x14:negativeFillColor rgb="FFFF0000"/>
              <x14:negativeBorderColor rgb="FFFF0000"/>
              <x14:axisColor rgb="FF000000"/>
            </x14:dataBar>
          </x14:cfRule>
          <xm:sqref>AB110:AB112 AB118 AB116 AB114 AB106:AB108 AB97:AB98 AB103 AB101 AB94:AB95 AB83:AB84 AB65:AB66 AB68:AB69 AB86:AB92 AB56:AB63 AB71:AB81</xm:sqref>
        </x14:conditionalFormatting>
        <x14:conditionalFormatting xmlns:xm="http://schemas.microsoft.com/office/excel/2006/main">
          <x14:cfRule type="dataBar" id="{A675779A-9C4F-40FD-B21B-05034B8499AB}">
            <x14:dataBar minLength="0" maxLength="100" border="1" negativeBarBorderColorSameAsPositive="0">
              <x14:cfvo type="autoMin"/>
              <x14:cfvo type="autoMax"/>
              <x14:borderColor rgb="FF63C384"/>
              <x14:negativeFillColor rgb="FFFF0000"/>
              <x14:negativeBorderColor rgb="FFFF0000"/>
              <x14:axisColor rgb="FF000000"/>
            </x14:dataBar>
          </x14:cfRule>
          <xm:sqref>AB35:AB36 AB22:AB33</xm:sqref>
        </x14:conditionalFormatting>
        <x14:conditionalFormatting xmlns:xm="http://schemas.microsoft.com/office/excel/2006/main">
          <x14:cfRule type="dataBar" id="{5C3444BF-9F80-4063-BABB-BD8298E82DEB}">
            <x14:dataBar minLength="0" maxLength="100" border="1" negativeBarBorderColorSameAsPositive="0">
              <x14:cfvo type="autoMin"/>
              <x14:cfvo type="autoMax"/>
              <x14:borderColor rgb="FF63C384"/>
              <x14:negativeFillColor rgb="FFFF0000"/>
              <x14:negativeBorderColor rgb="FFFF0000"/>
              <x14:axisColor rgb="FF000000"/>
            </x14:dataBar>
          </x14:cfRule>
          <xm:sqref>AB39:AB54</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1AF7C-857A-4D06-8BF2-72AD6F865296}">
  <sheetPr codeName="EURMB">
    <tabColor theme="5" tint="0.79998168889431442"/>
    <outlinePr summaryBelow="0" summaryRight="0"/>
    <pageSetUpPr fitToPage="1"/>
  </sheetPr>
  <dimension ref="A1:AS107"/>
  <sheetViews>
    <sheetView showGridLines="0" workbookViewId="0">
      <pane xSplit="26" ySplit="21" topLeftCell="AA22" activePane="bottomRight" state="frozen"/>
      <selection activeCell="CJ19" sqref="CJ19"/>
      <selection pane="topRight" activeCell="CJ19" sqref="CJ19"/>
      <selection pane="bottomLeft" activeCell="CJ19" sqref="CJ19"/>
      <selection pane="bottomRight" activeCell="AD20" sqref="AD20"/>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10" hidden="1" customWidth="1" outlineLevel="1"/>
    <col min="6" max="6" width="49.85546875" style="142" customWidth="1" collapsed="1"/>
    <col min="7" max="7" width="9.5703125" style="611" hidden="1" customWidth="1" outlineLevel="1"/>
    <col min="8" max="12" width="2.7109375" style="1694" hidden="1" customWidth="1" outlineLevel="1"/>
    <col min="13" max="13" width="3.7109375" style="1797" hidden="1" customWidth="1" outlineLevel="1"/>
    <col min="14" max="14" width="10" style="615" hidden="1" customWidth="1" outlineLevel="1"/>
    <col min="15" max="15" width="4.28515625" style="615" hidden="1" customWidth="1" outlineLevel="1"/>
    <col min="16" max="16" width="7.28515625" style="615" hidden="1" customWidth="1" outlineLevel="1"/>
    <col min="17" max="17" width="7.5703125" style="615" hidden="1" customWidth="1" outlineLevel="1"/>
    <col min="18" max="18" width="8.28515625" style="615" hidden="1" customWidth="1" outlineLevel="1"/>
    <col min="19" max="19" width="2.5703125" style="612" customWidth="1" collapsed="1"/>
    <col min="20" max="20" width="8" style="612" hidden="1" customWidth="1" outlineLevel="1"/>
    <col min="21" max="21" width="6.5703125" style="35" hidden="1" customWidth="1" outlineLevel="1"/>
    <col min="22" max="22" width="7.85546875" style="617" hidden="1" customWidth="1" outlineLevel="1"/>
    <col min="23" max="23" width="6.140625" style="142" bestFit="1" customWidth="1"/>
    <col min="24" max="24" width="7.28515625" style="142" customWidth="1"/>
    <col min="25" max="25" width="5.85546875" style="142" customWidth="1"/>
    <col min="26" max="26" width="5.7109375" style="943" bestFit="1" customWidth="1"/>
    <col min="27" max="27" width="8.85546875" style="413" customWidth="1" collapsed="1"/>
    <col min="28" max="28" width="6.85546875" style="413" hidden="1" customWidth="1" outlineLevel="1"/>
    <col min="29" max="29" width="8.85546875" style="1096" hidden="1" customWidth="1" outlineLevel="1"/>
    <col min="30" max="31" width="8.85546875" style="142" customWidth="1"/>
    <col min="32" max="32" width="6.85546875" style="613" customWidth="1"/>
    <col min="33" max="35" width="8.85546875" style="142" hidden="1" customWidth="1"/>
    <col min="36" max="36" width="6.85546875" style="613" hidden="1" customWidth="1"/>
    <col min="37" max="39" width="8.85546875" style="142" customWidth="1"/>
    <col min="40" max="40" width="6.85546875" style="613" customWidth="1"/>
    <col min="41" max="43" width="8.85546875" style="142" hidden="1" customWidth="1"/>
    <col min="44" max="44" width="6.85546875" style="613" hidden="1" customWidth="1"/>
    <col min="45" max="45" width="2.85546875" style="38" hidden="1" customWidth="1"/>
    <col min="46" max="16384" width="9.28515625" style="142"/>
  </cols>
  <sheetData>
    <row r="1" spans="1:45" s="34" customFormat="1" x14ac:dyDescent="0.2">
      <c r="A1" s="21" t="s">
        <v>651</v>
      </c>
      <c r="B1" s="21"/>
      <c r="C1" s="21"/>
      <c r="D1" s="21"/>
      <c r="E1" s="752"/>
      <c r="F1" s="21"/>
      <c r="G1" s="23"/>
      <c r="H1" s="1741"/>
      <c r="I1" s="1741"/>
      <c r="J1" s="1741"/>
      <c r="K1" s="1741"/>
      <c r="L1" s="1741"/>
      <c r="M1" s="1741"/>
      <c r="N1" s="22"/>
      <c r="O1" s="22"/>
      <c r="P1" s="22"/>
      <c r="Q1" s="21"/>
      <c r="R1" s="987" t="s">
        <v>381</v>
      </c>
      <c r="S1" s="21"/>
      <c r="T1" s="21"/>
      <c r="U1" s="21"/>
      <c r="V1" s="28" t="s">
        <v>652</v>
      </c>
      <c r="W1" s="21"/>
      <c r="X1" s="21"/>
      <c r="Y1" s="21"/>
      <c r="Z1" s="21"/>
      <c r="AA1" s="1970" t="s">
        <v>385</v>
      </c>
      <c r="AB1" s="1972"/>
      <c r="AC1" s="1972"/>
      <c r="AD1" s="1972"/>
      <c r="AE1" s="1972"/>
      <c r="AF1" s="1972"/>
      <c r="AG1" s="1971"/>
      <c r="AH1" s="1971"/>
      <c r="AI1" s="1971"/>
      <c r="AJ1" s="1971"/>
      <c r="AK1" s="1971"/>
      <c r="AL1" s="1971"/>
      <c r="AM1" s="1971"/>
      <c r="AN1" s="1971"/>
      <c r="AO1" s="1971"/>
      <c r="AP1" s="1971"/>
      <c r="AQ1" s="1971"/>
      <c r="AR1" s="1971"/>
      <c r="AS1" s="38"/>
    </row>
    <row r="2" spans="1:45" s="34" customFormat="1" x14ac:dyDescent="0.2">
      <c r="A2" s="21" t="s">
        <v>653</v>
      </c>
      <c r="B2" s="21"/>
      <c r="C2" s="21"/>
      <c r="D2" s="21"/>
      <c r="E2" s="752"/>
      <c r="F2" s="21"/>
      <c r="G2" s="23"/>
      <c r="H2" s="1741"/>
      <c r="I2" s="1741"/>
      <c r="J2" s="1741"/>
      <c r="K2" s="1741"/>
      <c r="L2" s="1741"/>
      <c r="M2" s="1741"/>
      <c r="N2" s="22" t="s">
        <v>654</v>
      </c>
      <c r="O2" s="22"/>
      <c r="P2" s="22"/>
      <c r="Q2" s="21">
        <f ca="1">SUM($AA$4:$AR$4)</f>
        <v>135773.6742137</v>
      </c>
      <c r="R2" s="987"/>
      <c r="S2" s="21"/>
      <c r="T2" s="21"/>
      <c r="U2" s="21"/>
      <c r="V2" s="28">
        <f ca="1">Q2/$Q$5</f>
        <v>1</v>
      </c>
      <c r="W2" s="21"/>
      <c r="X2" s="21"/>
      <c r="Y2" s="21"/>
      <c r="Z2" s="21"/>
      <c r="AA2" s="1968" t="s">
        <v>828</v>
      </c>
      <c r="AB2" s="1969"/>
      <c r="AC2" s="1969"/>
      <c r="AD2" s="1969"/>
      <c r="AE2" s="1969"/>
      <c r="AF2" s="1969"/>
      <c r="AG2" s="1958"/>
      <c r="AH2" s="1958"/>
      <c r="AI2" s="1958"/>
      <c r="AJ2" s="1958"/>
      <c r="AK2" s="1958"/>
      <c r="AL2" s="1958"/>
      <c r="AM2" s="1958"/>
      <c r="AN2" s="1958"/>
      <c r="AO2" s="1958"/>
      <c r="AP2" s="1958"/>
      <c r="AQ2" s="1958"/>
      <c r="AR2" s="1958"/>
      <c r="AS2" s="988"/>
    </row>
    <row r="3" spans="1:45" s="34" customFormat="1" x14ac:dyDescent="0.2">
      <c r="A3" s="21" t="s">
        <v>661</v>
      </c>
      <c r="B3" s="21"/>
      <c r="C3" s="21"/>
      <c r="D3" s="21"/>
      <c r="E3" s="752"/>
      <c r="F3" s="21"/>
      <c r="G3" s="23"/>
      <c r="H3" s="1741"/>
      <c r="I3" s="1741"/>
      <c r="J3" s="1741"/>
      <c r="K3" s="1741"/>
      <c r="L3" s="1741"/>
      <c r="M3" s="1741"/>
      <c r="N3" s="22" t="s">
        <v>662</v>
      </c>
      <c r="O3" s="22"/>
      <c r="P3" s="22"/>
      <c r="Q3" s="21"/>
      <c r="R3" s="987"/>
      <c r="S3" s="21"/>
      <c r="T3" s="21"/>
      <c r="U3" s="21"/>
      <c r="V3" s="28">
        <f t="shared" ref="V3:V4" ca="1" si="0">Q3/$Q$5</f>
        <v>0</v>
      </c>
      <c r="W3" s="21"/>
      <c r="X3" s="21"/>
      <c r="Y3" s="21"/>
      <c r="Z3" s="21"/>
      <c r="AA3" s="1957" t="str">
        <f>$R1</f>
        <v>EUR</v>
      </c>
      <c r="AB3" s="1958"/>
      <c r="AC3" s="1958"/>
      <c r="AD3" s="1958"/>
      <c r="AE3" s="1958"/>
      <c r="AF3" s="1958"/>
      <c r="AG3" s="1958"/>
      <c r="AH3" s="1958"/>
      <c r="AI3" s="1958"/>
      <c r="AJ3" s="1958"/>
      <c r="AK3" s="1958"/>
      <c r="AL3" s="1958"/>
      <c r="AM3" s="1958"/>
      <c r="AN3" s="1958"/>
      <c r="AO3" s="1958"/>
      <c r="AP3" s="1958"/>
      <c r="AQ3" s="1958"/>
      <c r="AR3" s="1958"/>
      <c r="AS3" s="988"/>
    </row>
    <row r="4" spans="1:45" s="34" customFormat="1" x14ac:dyDescent="0.2">
      <c r="A4" s="21" t="s">
        <v>5</v>
      </c>
      <c r="B4" s="21"/>
      <c r="C4" s="21"/>
      <c r="D4" s="21"/>
      <c r="E4" s="752"/>
      <c r="F4" s="21"/>
      <c r="G4" s="23"/>
      <c r="H4" s="1741"/>
      <c r="I4" s="1741"/>
      <c r="J4" s="1741"/>
      <c r="K4" s="1741"/>
      <c r="L4" s="1741"/>
      <c r="M4" s="1741"/>
      <c r="N4" s="22" t="s">
        <v>663</v>
      </c>
      <c r="O4" s="22"/>
      <c r="P4" s="22"/>
      <c r="Q4" s="21"/>
      <c r="R4" s="987"/>
      <c r="S4" s="21"/>
      <c r="T4" s="21"/>
      <c r="U4" s="21"/>
      <c r="V4" s="28">
        <f t="shared" ca="1" si="0"/>
        <v>0</v>
      </c>
      <c r="W4" s="21"/>
      <c r="X4" s="21"/>
      <c r="Y4" s="21"/>
      <c r="Z4" s="21"/>
      <c r="AA4" s="1993">
        <f ca="1">SUMIF($A$17:$A$102,"&gt;A",AE$17:AE$102)</f>
        <v>135773.6742137</v>
      </c>
      <c r="AB4" s="1994"/>
      <c r="AC4" s="1994"/>
      <c r="AD4" s="1994"/>
      <c r="AE4" s="1994"/>
      <c r="AF4" s="1994"/>
      <c r="AG4" s="1994"/>
      <c r="AH4" s="1994"/>
      <c r="AI4" s="1994"/>
      <c r="AJ4" s="1994"/>
      <c r="AK4" s="1994"/>
      <c r="AL4" s="1994"/>
      <c r="AM4" s="1994"/>
      <c r="AN4" s="1994"/>
      <c r="AO4" s="1994"/>
      <c r="AP4" s="1994"/>
      <c r="AQ4" s="1994"/>
      <c r="AR4" s="1994"/>
      <c r="AS4" s="989"/>
    </row>
    <row r="5" spans="1:45" s="34" customFormat="1" outlineLevel="1" x14ac:dyDescent="0.2">
      <c r="A5" s="755" t="s">
        <v>664</v>
      </c>
      <c r="B5" s="22"/>
      <c r="C5" s="22"/>
      <c r="D5" s="94"/>
      <c r="E5" s="58"/>
      <c r="F5" s="22"/>
      <c r="G5" s="756"/>
      <c r="H5" s="1671"/>
      <c r="I5" s="1671"/>
      <c r="J5" s="1671"/>
      <c r="K5" s="1671"/>
      <c r="L5" s="1671"/>
      <c r="M5" s="1772"/>
      <c r="N5" s="762" t="s">
        <v>665</v>
      </c>
      <c r="O5" s="762"/>
      <c r="P5" s="67"/>
      <c r="Q5" s="1967">
        <f ca="1">SUM(Q2:R4)</f>
        <v>135773.6742137</v>
      </c>
      <c r="R5" s="1967"/>
      <c r="S5" s="38"/>
      <c r="T5" s="38"/>
      <c r="U5" s="58"/>
      <c r="V5" s="69"/>
      <c r="W5" s="22"/>
      <c r="X5" s="22"/>
      <c r="Y5" s="22"/>
      <c r="Z5" s="22"/>
      <c r="AA5" s="1943">
        <v>132851.43</v>
      </c>
      <c r="AB5" s="1944"/>
      <c r="AC5" s="1944"/>
      <c r="AD5" s="1944"/>
      <c r="AE5" s="1944"/>
      <c r="AF5" s="1944"/>
      <c r="AG5" s="1944"/>
      <c r="AH5" s="1944"/>
      <c r="AI5" s="1944"/>
      <c r="AJ5" s="1944"/>
      <c r="AK5" s="1944"/>
      <c r="AL5" s="1944"/>
      <c r="AM5" s="1944"/>
      <c r="AN5" s="1944"/>
      <c r="AO5" s="1944"/>
      <c r="AP5" s="1944"/>
      <c r="AQ5" s="1944"/>
      <c r="AR5" s="1944"/>
      <c r="AS5" s="990"/>
    </row>
    <row r="6" spans="1:45" s="34" customFormat="1" outlineLevel="1" x14ac:dyDescent="0.2">
      <c r="A6" s="755" t="s">
        <v>811</v>
      </c>
      <c r="B6" s="22"/>
      <c r="C6" s="22"/>
      <c r="D6" s="94"/>
      <c r="E6" s="58"/>
      <c r="F6" s="22"/>
      <c r="G6" s="756"/>
      <c r="H6" s="1671"/>
      <c r="I6" s="1671"/>
      <c r="J6" s="1671"/>
      <c r="K6" s="1671"/>
      <c r="L6" s="1671"/>
      <c r="M6" s="1772"/>
      <c r="N6" s="758"/>
      <c r="O6" s="758"/>
      <c r="P6" s="758"/>
      <c r="Q6" s="758"/>
      <c r="R6" s="758"/>
      <c r="S6" s="38"/>
      <c r="T6" s="38"/>
      <c r="U6" s="58"/>
      <c r="V6" s="764"/>
      <c r="W6" s="22"/>
      <c r="X6" s="22"/>
      <c r="Y6" s="22"/>
      <c r="Z6" s="22"/>
      <c r="AA6" s="70">
        <f>300.66</f>
        <v>300.66000000000003</v>
      </c>
      <c r="AB6" s="75"/>
      <c r="AC6" s="991"/>
      <c r="AD6" s="75"/>
      <c r="AE6" s="75"/>
      <c r="AF6" s="84"/>
      <c r="AG6" s="75"/>
      <c r="AH6" s="75"/>
      <c r="AI6" s="75"/>
      <c r="AJ6" s="84"/>
      <c r="AK6" s="75"/>
      <c r="AL6" s="75"/>
      <c r="AM6" s="75"/>
      <c r="AN6" s="84"/>
      <c r="AO6" s="75"/>
      <c r="AP6" s="75"/>
      <c r="AQ6" s="75"/>
      <c r="AR6" s="84"/>
      <c r="AS6" s="990"/>
    </row>
    <row r="7" spans="1:45" s="34" customFormat="1" outlineLevel="1" x14ac:dyDescent="0.2">
      <c r="A7" s="755" t="s">
        <v>829</v>
      </c>
      <c r="B7" s="22"/>
      <c r="C7" s="22"/>
      <c r="D7" s="94"/>
      <c r="E7" s="58"/>
      <c r="F7" s="22"/>
      <c r="G7" s="756"/>
      <c r="H7" s="1671"/>
      <c r="I7" s="1671"/>
      <c r="J7" s="1671"/>
      <c r="K7" s="1671"/>
      <c r="L7" s="1671"/>
      <c r="M7" s="1772"/>
      <c r="N7" s="758"/>
      <c r="O7" s="758"/>
      <c r="P7" s="758"/>
      <c r="Q7" s="758"/>
      <c r="R7" s="758"/>
      <c r="S7" s="38"/>
      <c r="T7" s="38"/>
      <c r="U7" s="58"/>
      <c r="V7" s="764"/>
      <c r="W7" s="22"/>
      <c r="X7" s="22"/>
      <c r="Y7" s="22"/>
      <c r="Z7" s="22"/>
      <c r="AA7" s="75">
        <f>AA6-AA8-300.66</f>
        <v>0</v>
      </c>
      <c r="AB7" s="75"/>
      <c r="AC7" s="991"/>
      <c r="AD7" s="75"/>
      <c r="AE7" s="75"/>
      <c r="AF7" s="84"/>
      <c r="AG7" s="75"/>
      <c r="AH7" s="75"/>
      <c r="AI7" s="75"/>
      <c r="AJ7" s="84"/>
      <c r="AK7" s="75"/>
      <c r="AL7" s="75"/>
      <c r="AM7" s="75"/>
      <c r="AN7" s="84"/>
      <c r="AO7" s="75"/>
      <c r="AP7" s="75"/>
      <c r="AQ7" s="75"/>
      <c r="AR7" s="84"/>
      <c r="AS7" s="990"/>
    </row>
    <row r="8" spans="1:45" s="34" customFormat="1" outlineLevel="1" x14ac:dyDescent="0.2">
      <c r="A8" s="755" t="s">
        <v>830</v>
      </c>
      <c r="B8" s="22"/>
      <c r="C8" s="22"/>
      <c r="D8" s="94"/>
      <c r="E8" s="58"/>
      <c r="F8" s="22"/>
      <c r="G8" s="756"/>
      <c r="H8" s="1671"/>
      <c r="I8" s="1671"/>
      <c r="J8" s="1671"/>
      <c r="K8" s="1671"/>
      <c r="L8" s="1671"/>
      <c r="M8" s="1772"/>
      <c r="N8" s="758"/>
      <c r="O8" s="758"/>
      <c r="P8" s="758"/>
      <c r="Q8" s="758"/>
      <c r="R8" s="758"/>
      <c r="S8" s="38"/>
      <c r="T8" s="38"/>
      <c r="U8" s="58"/>
      <c r="V8" s="764"/>
      <c r="W8" s="22"/>
      <c r="X8" s="773"/>
      <c r="Y8" s="773"/>
      <c r="Z8" s="754"/>
      <c r="AA8" s="1943"/>
      <c r="AB8" s="1944"/>
      <c r="AC8" s="1944"/>
      <c r="AD8" s="1944"/>
      <c r="AE8" s="1944"/>
      <c r="AF8" s="1944"/>
      <c r="AG8" s="1944"/>
      <c r="AH8" s="1944"/>
      <c r="AI8" s="1944"/>
      <c r="AJ8" s="1944"/>
      <c r="AK8" s="1944"/>
      <c r="AL8" s="1944"/>
      <c r="AM8" s="1944"/>
      <c r="AN8" s="1944"/>
      <c r="AO8" s="1944"/>
      <c r="AP8" s="1944"/>
      <c r="AQ8" s="1944"/>
      <c r="AR8" s="1944"/>
      <c r="AS8" s="990"/>
    </row>
    <row r="9" spans="1:45" s="34" customFormat="1" outlineLevel="1" x14ac:dyDescent="0.2">
      <c r="A9" s="755" t="s">
        <v>669</v>
      </c>
      <c r="B9" s="22"/>
      <c r="C9" s="22"/>
      <c r="D9" s="94"/>
      <c r="E9" s="58"/>
      <c r="F9" s="22"/>
      <c r="G9" s="756"/>
      <c r="H9" s="1671"/>
      <c r="I9" s="1671"/>
      <c r="J9" s="1671"/>
      <c r="K9" s="1671"/>
      <c r="L9" s="1671"/>
      <c r="M9" s="1772"/>
      <c r="N9" s="758"/>
      <c r="O9" s="758"/>
      <c r="P9" s="758"/>
      <c r="Q9" s="758"/>
      <c r="R9" s="758"/>
      <c r="S9" s="38"/>
      <c r="T9" s="38"/>
      <c r="U9" s="58"/>
      <c r="V9" s="764"/>
      <c r="W9" s="22"/>
      <c r="X9" s="773"/>
      <c r="Y9" s="773"/>
      <c r="Z9" s="754"/>
      <c r="AA9" s="70">
        <f ca="1">(AA4-AA5)+(AA6-AA7-AA8)</f>
        <v>3222.9042137000033</v>
      </c>
      <c r="AB9" s="75"/>
      <c r="AC9" s="991"/>
      <c r="AD9" s="75"/>
      <c r="AE9" s="75"/>
      <c r="AF9" s="84"/>
      <c r="AG9" s="75"/>
      <c r="AH9" s="75"/>
      <c r="AI9" s="75"/>
      <c r="AJ9" s="84"/>
      <c r="AK9" s="75"/>
      <c r="AL9" s="75"/>
      <c r="AM9" s="75"/>
      <c r="AN9" s="84"/>
      <c r="AO9" s="75"/>
      <c r="AP9" s="75"/>
      <c r="AQ9" s="75"/>
      <c r="AR9" s="84"/>
      <c r="AS9" s="990"/>
    </row>
    <row r="10" spans="1:45" s="34" customFormat="1" outlineLevel="1" x14ac:dyDescent="0.2">
      <c r="A10" s="770" t="s">
        <v>670</v>
      </c>
      <c r="B10" s="107"/>
      <c r="C10" s="107"/>
      <c r="D10" s="94"/>
      <c r="E10" s="58"/>
      <c r="F10" s="22"/>
      <c r="G10" s="756"/>
      <c r="H10" s="1671"/>
      <c r="I10" s="1671"/>
      <c r="J10" s="1671"/>
      <c r="K10" s="1671"/>
      <c r="L10" s="1671"/>
      <c r="M10" s="1772"/>
      <c r="N10" s="758"/>
      <c r="O10" s="758"/>
      <c r="P10" s="758"/>
      <c r="Q10" s="758"/>
      <c r="R10" s="758"/>
      <c r="S10" s="38"/>
      <c r="T10" s="38"/>
      <c r="U10" s="58"/>
      <c r="V10" s="764"/>
      <c r="W10" s="22"/>
      <c r="X10" s="773"/>
      <c r="Y10" s="773"/>
      <c r="Z10" s="754"/>
      <c r="AA10" s="50">
        <f ca="1">AA9/(AA5+(AA8+AA7+AA6)/2)</f>
        <v>2.4232041844408705E-2</v>
      </c>
      <c r="AB10" s="51"/>
      <c r="AC10" s="992"/>
      <c r="AD10" s="75"/>
      <c r="AE10" s="75"/>
      <c r="AF10" s="84"/>
      <c r="AG10" s="75"/>
      <c r="AH10" s="75"/>
      <c r="AI10" s="75"/>
      <c r="AJ10" s="84"/>
      <c r="AK10" s="75"/>
      <c r="AL10" s="75"/>
      <c r="AM10" s="75"/>
      <c r="AN10" s="84"/>
      <c r="AO10" s="75"/>
      <c r="AP10" s="75"/>
      <c r="AQ10" s="75"/>
      <c r="AR10" s="84"/>
      <c r="AS10" s="990"/>
    </row>
    <row r="11" spans="1:45" s="34" customFormat="1" outlineLevel="1" x14ac:dyDescent="0.2">
      <c r="A11" s="755" t="s">
        <v>671</v>
      </c>
      <c r="B11" s="22"/>
      <c r="C11" s="22"/>
      <c r="D11" s="94"/>
      <c r="E11" s="58"/>
      <c r="F11" s="22"/>
      <c r="G11" s="756"/>
      <c r="H11" s="1671"/>
      <c r="I11" s="1671"/>
      <c r="J11" s="1671"/>
      <c r="K11" s="1671"/>
      <c r="L11" s="1671"/>
      <c r="M11" s="1772"/>
      <c r="N11" s="758"/>
      <c r="O11" s="758"/>
      <c r="P11" s="758"/>
      <c r="Q11" s="758"/>
      <c r="R11" s="758"/>
      <c r="S11" s="38"/>
      <c r="T11" s="38"/>
      <c r="U11" s="58"/>
      <c r="V11" s="764"/>
      <c r="W11" s="22"/>
      <c r="X11" s="773"/>
      <c r="Y11" s="773"/>
      <c r="Z11" s="754"/>
      <c r="AA11" s="1936">
        <f ca="1">AA9-AA6</f>
        <v>2922.2442137000035</v>
      </c>
      <c r="AB11" s="1937"/>
      <c r="AC11" s="1937"/>
      <c r="AD11" s="1937"/>
      <c r="AE11" s="1937"/>
      <c r="AF11" s="1937"/>
      <c r="AG11" s="1937"/>
      <c r="AH11" s="1937"/>
      <c r="AI11" s="1937"/>
      <c r="AJ11" s="1937"/>
      <c r="AK11" s="1937"/>
      <c r="AL11" s="1937"/>
      <c r="AM11" s="1937"/>
      <c r="AN11" s="1937"/>
      <c r="AO11" s="1937"/>
      <c r="AP11" s="1937"/>
      <c r="AQ11" s="1937"/>
      <c r="AR11" s="1937"/>
      <c r="AS11" s="993"/>
    </row>
    <row r="12" spans="1:45" s="34" customFormat="1" outlineLevel="1" x14ac:dyDescent="0.2">
      <c r="A12" s="770" t="s">
        <v>672</v>
      </c>
      <c r="B12" s="107"/>
      <c r="C12" s="107"/>
      <c r="D12" s="94"/>
      <c r="E12" s="58"/>
      <c r="F12" s="994"/>
      <c r="G12" s="995"/>
      <c r="H12" s="1671"/>
      <c r="I12" s="1671"/>
      <c r="J12" s="1671"/>
      <c r="K12" s="1671"/>
      <c r="L12" s="1671"/>
      <c r="M12" s="1772"/>
      <c r="N12" s="758"/>
      <c r="O12" s="758"/>
      <c r="P12" s="758"/>
      <c r="Q12" s="758"/>
      <c r="R12" s="758"/>
      <c r="S12" s="38"/>
      <c r="T12" s="38"/>
      <c r="U12" s="58"/>
      <c r="V12" s="764"/>
      <c r="W12" s="22"/>
      <c r="X12" s="773"/>
      <c r="Y12" s="773"/>
      <c r="Z12" s="754"/>
      <c r="AA12" s="1930">
        <f ca="1">IFERROR(AA11/(AA5+(AA8+AA7+AA6)/2),"")</f>
        <v>2.1971470254980113E-2</v>
      </c>
      <c r="AB12" s="1931"/>
      <c r="AC12" s="1931"/>
      <c r="AD12" s="1931"/>
      <c r="AE12" s="1931"/>
      <c r="AF12" s="1931"/>
      <c r="AG12" s="1931"/>
      <c r="AH12" s="1931"/>
      <c r="AI12" s="1931"/>
      <c r="AJ12" s="1931"/>
      <c r="AK12" s="1931"/>
      <c r="AL12" s="1931"/>
      <c r="AM12" s="1931"/>
      <c r="AN12" s="1931"/>
      <c r="AO12" s="1931"/>
      <c r="AP12" s="1931"/>
      <c r="AQ12" s="1931"/>
      <c r="AR12" s="1931"/>
      <c r="AS12" s="996"/>
    </row>
    <row r="13" spans="1:45" s="34" customFormat="1" outlineLevel="1" x14ac:dyDescent="0.2">
      <c r="A13" s="770"/>
      <c r="B13" s="107"/>
      <c r="C13" s="107"/>
      <c r="D13" s="94"/>
      <c r="E13" s="58"/>
      <c r="F13" s="994"/>
      <c r="G13" s="995"/>
      <c r="H13" s="1671"/>
      <c r="I13" s="1671"/>
      <c r="J13" s="1671"/>
      <c r="K13" s="1671"/>
      <c r="L13" s="1671"/>
      <c r="M13" s="1772"/>
      <c r="N13" s="758"/>
      <c r="O13" s="758"/>
      <c r="P13" s="758"/>
      <c r="Q13" s="758"/>
      <c r="R13" s="758"/>
      <c r="S13" s="38"/>
      <c r="T13" s="38"/>
      <c r="U13" s="58"/>
      <c r="V13" s="764"/>
      <c r="W13" s="22"/>
      <c r="X13" s="773"/>
      <c r="Y13" s="773"/>
      <c r="Z13" s="754"/>
      <c r="AA13" s="50"/>
      <c r="AB13" s="51"/>
      <c r="AC13" s="992"/>
      <c r="AD13" s="51"/>
      <c r="AE13" s="51"/>
      <c r="AF13" s="51"/>
      <c r="AG13" s="51"/>
      <c r="AH13" s="51"/>
      <c r="AI13" s="51"/>
      <c r="AJ13" s="51"/>
      <c r="AK13" s="51"/>
      <c r="AL13" s="51"/>
      <c r="AM13" s="51"/>
      <c r="AN13" s="51"/>
      <c r="AO13" s="51"/>
      <c r="AP13" s="51"/>
      <c r="AQ13" s="51"/>
      <c r="AR13" s="51"/>
      <c r="AS13" s="996"/>
    </row>
    <row r="14" spans="1:45" s="34" customFormat="1" outlineLevel="1" x14ac:dyDescent="0.2">
      <c r="A14" s="770"/>
      <c r="B14" s="107"/>
      <c r="C14" s="107"/>
      <c r="D14" s="94"/>
      <c r="E14" s="58"/>
      <c r="F14" s="994"/>
      <c r="G14" s="995"/>
      <c r="H14" s="1671"/>
      <c r="I14" s="1671"/>
      <c r="J14" s="1671"/>
      <c r="K14" s="1671"/>
      <c r="L14" s="1671"/>
      <c r="M14" s="1772"/>
      <c r="N14" s="758"/>
      <c r="O14" s="758"/>
      <c r="P14" s="758"/>
      <c r="Q14" s="758"/>
      <c r="R14" s="758"/>
      <c r="S14" s="38"/>
      <c r="T14" s="38"/>
      <c r="U14" s="58"/>
      <c r="V14" s="764"/>
      <c r="W14" s="22"/>
      <c r="X14" s="773"/>
      <c r="Y14" s="773"/>
      <c r="Z14" s="754"/>
      <c r="AA14" s="50"/>
      <c r="AB14" s="51"/>
      <c r="AC14" s="992"/>
      <c r="AD14" s="51"/>
      <c r="AE14" s="51"/>
      <c r="AF14" s="51"/>
      <c r="AG14" s="51"/>
      <c r="AH14" s="51"/>
      <c r="AI14" s="51"/>
      <c r="AJ14" s="51"/>
      <c r="AK14" s="51"/>
      <c r="AL14" s="51"/>
      <c r="AM14" s="51"/>
      <c r="AN14" s="51"/>
      <c r="AO14" s="51"/>
      <c r="AP14" s="51"/>
      <c r="AQ14" s="51"/>
      <c r="AR14" s="51"/>
      <c r="AS14" s="996"/>
    </row>
    <row r="15" spans="1:45" x14ac:dyDescent="0.2">
      <c r="A15" s="775"/>
      <c r="B15" s="775"/>
      <c r="C15" s="775"/>
      <c r="D15" s="776"/>
      <c r="E15" s="777"/>
      <c r="F15" s="775"/>
      <c r="G15" s="778"/>
      <c r="H15" s="1773"/>
      <c r="I15" s="1773"/>
      <c r="J15" s="1773"/>
      <c r="K15" s="1773"/>
      <c r="L15" s="1773"/>
      <c r="M15" s="1774"/>
      <c r="N15" s="780"/>
      <c r="O15" s="780"/>
      <c r="P15" s="780"/>
      <c r="Q15" s="780"/>
      <c r="R15" s="780"/>
      <c r="S15" s="781"/>
      <c r="T15" s="781"/>
      <c r="U15" s="779"/>
      <c r="V15" s="782"/>
      <c r="W15" s="775"/>
      <c r="X15" s="775"/>
      <c r="Y15" s="775"/>
      <c r="Z15" s="783"/>
      <c r="AA15" s="1980" t="s">
        <v>673</v>
      </c>
      <c r="AB15" s="1981"/>
      <c r="AC15" s="1981"/>
      <c r="AD15" s="1981"/>
      <c r="AE15" s="1981"/>
      <c r="AF15" s="1981"/>
      <c r="AG15" s="1990" t="s">
        <v>674</v>
      </c>
      <c r="AH15" s="1991"/>
      <c r="AI15" s="1991"/>
      <c r="AJ15" s="1992"/>
      <c r="AK15" s="1985" t="s">
        <v>675</v>
      </c>
      <c r="AL15" s="1986"/>
      <c r="AM15" s="1986"/>
      <c r="AN15" s="1987"/>
      <c r="AO15" s="1988" t="s">
        <v>676</v>
      </c>
      <c r="AP15" s="1988"/>
      <c r="AQ15" s="1988"/>
      <c r="AR15" s="1989"/>
      <c r="AS15" s="997"/>
    </row>
    <row r="16" spans="1:45" s="35" customFormat="1" x14ac:dyDescent="0.2">
      <c r="A16" s="998" t="s">
        <v>677</v>
      </c>
      <c r="B16" s="998" t="s">
        <v>363</v>
      </c>
      <c r="C16" s="145" t="s">
        <v>678</v>
      </c>
      <c r="D16" s="145" t="s">
        <v>679</v>
      </c>
      <c r="E16" s="145" t="s">
        <v>680</v>
      </c>
      <c r="F16" s="145" t="s">
        <v>9</v>
      </c>
      <c r="G16" s="999" t="s">
        <v>681</v>
      </c>
      <c r="H16" s="1775" t="s">
        <v>682</v>
      </c>
      <c r="I16" s="1775" t="s">
        <v>683</v>
      </c>
      <c r="J16" s="1775" t="s">
        <v>684</v>
      </c>
      <c r="K16" s="1775" t="s">
        <v>814</v>
      </c>
      <c r="L16" s="1775" t="s">
        <v>686</v>
      </c>
      <c r="M16" s="1775" t="s">
        <v>687</v>
      </c>
      <c r="N16" s="145" t="s">
        <v>688</v>
      </c>
      <c r="O16" s="145" t="s">
        <v>689</v>
      </c>
      <c r="P16" s="145" t="s">
        <v>815</v>
      </c>
      <c r="Q16" s="145" t="s">
        <v>691</v>
      </c>
      <c r="R16" s="145" t="s">
        <v>674</v>
      </c>
      <c r="S16" s="147"/>
      <c r="T16" s="147" t="s">
        <v>692</v>
      </c>
      <c r="U16" s="148" t="s">
        <v>693</v>
      </c>
      <c r="V16" s="145" t="s">
        <v>694</v>
      </c>
      <c r="W16" s="145" t="s">
        <v>695</v>
      </c>
      <c r="X16" s="145" t="s">
        <v>696</v>
      </c>
      <c r="Y16" s="145" t="s">
        <v>697</v>
      </c>
      <c r="Z16" s="145" t="s">
        <v>698</v>
      </c>
      <c r="AA16" s="162" t="s">
        <v>699</v>
      </c>
      <c r="AB16" s="1000" t="s">
        <v>831</v>
      </c>
      <c r="AC16" s="1001"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2" t="s">
        <v>716</v>
      </c>
      <c r="AS16" s="1003"/>
    </row>
    <row r="17" spans="1:45" x14ac:dyDescent="0.2">
      <c r="A17" s="164" t="s">
        <v>362</v>
      </c>
      <c r="B17" s="164"/>
      <c r="C17" s="164"/>
      <c r="D17" s="165"/>
      <c r="E17" s="166"/>
      <c r="F17" s="164"/>
      <c r="G17" s="167"/>
      <c r="H17" s="1675"/>
      <c r="I17" s="1675"/>
      <c r="J17" s="1675"/>
      <c r="K17" s="1675"/>
      <c r="L17" s="1675"/>
      <c r="M17" s="1776"/>
      <c r="N17" s="1004">
        <f>SUM(N$18:N$21)</f>
        <v>1</v>
      </c>
      <c r="O17" s="1004"/>
      <c r="P17" s="172">
        <f t="shared" ref="P17:P44" ca="1" si="1">SUMIF($AA$16:$AR$16,"I_Ctrlv",$AA17:$AR17)/$Q$2</f>
        <v>8.1622096887923642E-2</v>
      </c>
      <c r="Q17" s="172"/>
      <c r="R17" s="172"/>
      <c r="S17" s="168"/>
      <c r="T17" s="168"/>
      <c r="U17" s="163"/>
      <c r="V17" s="178">
        <f>COUNTIF(V18:V21,"&lt;&gt;0")</f>
        <v>4</v>
      </c>
      <c r="W17" s="164"/>
      <c r="X17" s="164"/>
      <c r="Y17" s="164"/>
      <c r="Z17" s="1005"/>
      <c r="AA17" s="185"/>
      <c r="AB17" s="800"/>
      <c r="AC17" s="1006"/>
      <c r="AD17" s="164"/>
      <c r="AE17" s="178">
        <f ca="1">SUM(AE$18:AE$21)</f>
        <v>11082.1319915</v>
      </c>
      <c r="AF17" s="179">
        <f t="shared" ref="AF17:AF41" ca="1" si="2">IFERROR(AE17/AA$4,0)</f>
        <v>8.1622096887923642E-2</v>
      </c>
      <c r="AG17" s="180"/>
      <c r="AH17" s="181"/>
      <c r="AI17" s="178">
        <f ca="1">SUM(AI$18:AI$21)</f>
        <v>124691.54222220001</v>
      </c>
      <c r="AJ17" s="182">
        <f ca="1">IFERROR(AI17/AA$4,0)</f>
        <v>0.91837790311207645</v>
      </c>
      <c r="AK17" s="180"/>
      <c r="AL17" s="181"/>
      <c r="AM17" s="178">
        <f ca="1">SUM(AM$18:AM$21)</f>
        <v>0</v>
      </c>
      <c r="AN17" s="182">
        <f t="shared" ref="AN17:AN41" ca="1" si="3">IFERROR(AM17/AA$4,0)</f>
        <v>0</v>
      </c>
      <c r="AO17" s="181"/>
      <c r="AP17" s="181"/>
      <c r="AQ17" s="178">
        <f ca="1">SUM(AQ$18:AQ$21)</f>
        <v>11082.1319915</v>
      </c>
      <c r="AR17" s="802">
        <f ca="1">IFERROR(AQ17/AA$4,0)</f>
        <v>8.1622096887923642E-2</v>
      </c>
      <c r="AS17" s="1007" t="str">
        <f ca="1">IF(SUM(AF17,AN17,AR17)&lt;&gt;0,"V","")</f>
        <v>V</v>
      </c>
    </row>
    <row r="18" spans="1:45" ht="12" customHeight="1" outlineLevel="1" x14ac:dyDescent="0.2">
      <c r="A18" s="188"/>
      <c r="B18" s="188"/>
      <c r="C18" s="188" t="s">
        <v>832</v>
      </c>
      <c r="D18" s="189">
        <f t="shared" ref="D18:E20" ca="1" si="4">OFFSET(Origine,MATCH($C18,smo_ids,0),MATCH(D$16,Intestazioni,0)-1,1,1)</f>
        <v>0</v>
      </c>
      <c r="E18" s="189" t="str">
        <f t="shared" ca="1" si="4"/>
        <v>990879</v>
      </c>
      <c r="F18" s="188" t="s">
        <v>427</v>
      </c>
      <c r="G18" s="190"/>
      <c r="H18" s="1676" t="str">
        <f ca="1">IF(OFFSET(Origine,MATCH($C18,smo_ids,0),MATCH(H$16,Intestazioni,0)-1,1,1)&lt;&gt;"",HYPERLINK(OFFSET(Origine,MATCH($C18,smo_ids,0),MATCH(H$16,Intestazioni,0)-1,1,1),""),"")</f>
        <v></v>
      </c>
      <c r="I18" s="1676" t="str">
        <f ca="1">IF(OFFSET(Origine,MATCH($C18,smo_ids,0),MATCH(I$16,Intestazioni,0)-1,1,1)&lt;&gt;"",HYPERLINK(OFFSET(Origine,MATCH($C18,smo_ids,0),MATCH(I$16,Intestazioni,0)-1,1,1),"i"),"")</f>
        <v/>
      </c>
      <c r="J18" s="1744" t="str">
        <f t="shared" ref="J18:K21" ca="1" si="5">IF(OFFSET(Origine,MATCH($C18,smo_ids,0),MATCH(J$16,Intestazioni,0)-1,1,1)&lt;&gt;"",HYPERLINK(OFFSET(Origine,MATCH($C18,smo_ids,0),MATCH(J$16,Intestazioni,0)-1,1,1),""),"")</f>
        <v/>
      </c>
      <c r="K18" s="1704" t="str">
        <f t="shared" ca="1" si="5"/>
        <v></v>
      </c>
      <c r="L18" s="1704" t="str">
        <f ca="1">IF(OFFSET(Origine,MATCH($C18,smo_ids,0),MATCH(L$16,Intestazioni,0)-1,1,1)&lt;&gt;"",HYPERLINK("https://www.zonebourse.com/mods_a/charts/TV/inc_dyna_graph.php?c="&amp;OFFSET(Origine,MATCH($C18,smo_ids,0),MATCH(L$16,Intestazioni,0)-1,1,1)&amp;"&amp;style=TradingView.CANDLES&amp;showAT=1",""),"")</f>
        <v/>
      </c>
      <c r="M18" s="1777"/>
      <c r="N18" s="191"/>
      <c r="O18" s="191"/>
      <c r="P18" s="192">
        <f t="shared" ref="P18:P20" ca="1" si="6">SUMIF($AA$16:$CD$16,"I_Ctrlv",$AA18:$CD18)/$Q$2</f>
        <v>7.6553352924960613E-2</v>
      </c>
      <c r="Q18" s="193">
        <f t="array" aca="1" ref="Q18" ca="1">SUM(IF($AA$16:$FB$16="I_pos",AA18:FB18))</f>
        <v>10393.93</v>
      </c>
      <c r="R18" s="193"/>
      <c r="S18" s="188"/>
      <c r="T18" s="193"/>
      <c r="U18" s="194">
        <f ca="1">OFFSET(Origine,MATCH($C18,smo_ids,0),MATCH(U$16,Intestazioni,0)-1,1,1)</f>
        <v>0</v>
      </c>
      <c r="V18" s="193"/>
      <c r="W18" s="188" t="str">
        <f t="shared" ref="W18:W20" si="7">RIGHT(F18,3)</f>
        <v>EUR</v>
      </c>
      <c r="X18" s="195">
        <v>1</v>
      </c>
      <c r="Y18" s="195"/>
      <c r="Z18" s="196">
        <f ca="1">_xlfn.NUMBERVALUE(OFFSET(Origine,MATCH(W18&amp;"/"&amp;MRif,LUKB_Name,0),MATCH("Price",Intestazioni,0)-1,1,1))</f>
        <v>1</v>
      </c>
      <c r="AA18" s="197">
        <v>10393.93</v>
      </c>
      <c r="AB18" s="200"/>
      <c r="AC18" s="1008"/>
      <c r="AD18" s="199">
        <f>AA18*$X18</f>
        <v>10393.93</v>
      </c>
      <c r="AE18" s="200">
        <f ca="1">AD18*$Z18</f>
        <v>10393.93</v>
      </c>
      <c r="AF18" s="201">
        <f t="shared" ca="1" si="2"/>
        <v>7.6553352924960613E-2</v>
      </c>
      <c r="AG18" s="202">
        <f ca="1">AH18/$X18</f>
        <v>-10393.93</v>
      </c>
      <c r="AH18" s="203">
        <f ca="1">AI18/$Z18</f>
        <v>-10393.93</v>
      </c>
      <c r="AI18" s="203">
        <f ca="1">AJ18*AA$4</f>
        <v>-10393.93</v>
      </c>
      <c r="AJ18" s="204">
        <f ca="1">$N18-AF18</f>
        <v>-7.6553352924960613E-2</v>
      </c>
      <c r="AK18" s="205"/>
      <c r="AL18" s="206" cm="1">
        <f t="array" aca="1" ref="AL18" ca="1">AK18-SUM(IF($W$19:$W$102=$W18,IF($T$19:$T$102="",AM$19:AM$102)))-SUMPRODUCT($Z$19:$Z$21,AK19:AK21)</f>
        <v>0</v>
      </c>
      <c r="AM18" s="206">
        <f t="shared" ref="AM18:AM19" ca="1" si="8">AL18*$Z18</f>
        <v>0</v>
      </c>
      <c r="AN18" s="207">
        <f t="shared" ca="1" si="3"/>
        <v>0</v>
      </c>
      <c r="AO18" s="193">
        <f ca="1">AD18+AL18</f>
        <v>10393.93</v>
      </c>
      <c r="AP18" s="193">
        <f ca="1">AO18</f>
        <v>10393.93</v>
      </c>
      <c r="AQ18" s="193">
        <f ca="1">AP18*$Z18</f>
        <v>10393.93</v>
      </c>
      <c r="AR18" s="806">
        <f ca="1">AQ18/AA$4</f>
        <v>7.6553352924960613E-2</v>
      </c>
      <c r="AS18" s="1007" t="str">
        <f t="shared" ref="AS18:AS76" ca="1" si="9">IF(SUM(AF18,AN18,AR18)&lt;&gt;0,"V","")</f>
        <v>V</v>
      </c>
    </row>
    <row r="19" spans="1:45" ht="12" customHeight="1" outlineLevel="1" x14ac:dyDescent="0.2">
      <c r="A19" s="188"/>
      <c r="B19" s="188"/>
      <c r="C19" s="188" t="s">
        <v>833</v>
      </c>
      <c r="D19" s="189" t="str">
        <f t="shared" ca="1" si="4"/>
        <v>CH0009688802</v>
      </c>
      <c r="E19" s="189" t="str">
        <f t="shared" ca="1" si="4"/>
        <v>968880</v>
      </c>
      <c r="F19" s="188" t="s">
        <v>391</v>
      </c>
      <c r="G19" s="190"/>
      <c r="H19" s="1676" t="str">
        <f ca="1">IF(OFFSET(Origine,MATCH($C19,smo_ids,0),MATCH(H$16,Intestazioni,0)-1,1,1)&lt;&gt;"",HYPERLINK(OFFSET(Origine,MATCH($C19,smo_ids,0),MATCH(H$16,Intestazioni,0)-1,1,1),""),"")</f>
        <v></v>
      </c>
      <c r="I19" s="1676" t="str">
        <f ca="1">IF(OFFSET(Origine,MATCH($C19,smo_ids,0),MATCH(I$16,Intestazioni,0)-1,1,1)&lt;&gt;"",HYPERLINK(OFFSET(Origine,MATCH($C19,smo_ids,0),MATCH(I$16,Intestazioni,0)-1,1,1),"i"),"")</f>
        <v/>
      </c>
      <c r="J19" s="1744" t="str">
        <f t="shared" ca="1" si="5"/>
        <v/>
      </c>
      <c r="K19" s="1704" t="str">
        <f t="shared" ca="1" si="5"/>
        <v></v>
      </c>
      <c r="L19" s="1704" t="str">
        <f ca="1">IF(OFFSET(Origine,MATCH($C19,smo_ids,0),MATCH(L$16,Intestazioni,0)-1,1,1)&lt;&gt;"",HYPERLINK("https://www.zonebourse.com/mods_a/charts/TV/inc_dyna_graph.php?c="&amp;OFFSET(Origine,MATCH($C19,smo_ids,0),MATCH(L$16,Intestazioni,0)-1,1,1)&amp;"&amp;style=TradingView.CANDLES&amp;showAT=1",""),"")</f>
        <v/>
      </c>
      <c r="M19" s="1777"/>
      <c r="N19" s="191">
        <f>1-SUM(N20:N32,N33,N86,N193,N188)</f>
        <v>1</v>
      </c>
      <c r="O19" s="191"/>
      <c r="P19" s="192">
        <f t="shared" ca="1" si="6"/>
        <v>3.9761153598178696E-3</v>
      </c>
      <c r="Q19" s="193">
        <f t="array" aca="1" ref="Q19" ca="1">SUM(IF($AA$16:$FB$16="I_pos",AA19:FB19))</f>
        <v>490</v>
      </c>
      <c r="R19" s="193"/>
      <c r="S19" s="188"/>
      <c r="T19" s="193"/>
      <c r="U19" s="194">
        <f ca="1">OFFSET(Origine,MATCH($C19,smo_ids,0),MATCH(U$16,Intestazioni,0)-1,1,1)</f>
        <v>3.3595599999999997E-3</v>
      </c>
      <c r="V19" s="193"/>
      <c r="W19" s="188" t="str">
        <f t="shared" si="7"/>
        <v>CHF</v>
      </c>
      <c r="X19" s="195">
        <v>1</v>
      </c>
      <c r="Y19" s="195"/>
      <c r="Z19" s="196">
        <f ca="1">_xlfn.NUMBERVALUE(OFFSET(Origine,MATCH(W19&amp;"/"&amp;MRif,LUKB_Name,0),MATCH("Price",Intestazioni,0)-1,1,1))</f>
        <v>1.10173835</v>
      </c>
      <c r="AA19" s="197">
        <v>490</v>
      </c>
      <c r="AB19" s="200"/>
      <c r="AC19" s="1008"/>
      <c r="AD19" s="199">
        <f>AA19*$X19</f>
        <v>490</v>
      </c>
      <c r="AE19" s="199">
        <f ca="1">AD19*$Z19</f>
        <v>539.85179149999999</v>
      </c>
      <c r="AF19" s="216">
        <f t="shared" ca="1" si="2"/>
        <v>3.9761153598178696E-3</v>
      </c>
      <c r="AG19" s="202">
        <f ca="1">AH19/$X19</f>
        <v>122745.86104967663</v>
      </c>
      <c r="AH19" s="203">
        <f ca="1">AI19/$Z19</f>
        <v>122745.86104967663</v>
      </c>
      <c r="AI19" s="203">
        <f ca="1">AJ19*AA$4</f>
        <v>135233.8224222</v>
      </c>
      <c r="AJ19" s="204">
        <f ca="1">$N19-AF19</f>
        <v>0.9960238846401821</v>
      </c>
      <c r="AK19" s="205"/>
      <c r="AL19" s="206" cm="1">
        <f t="array" aca="1" ref="AL19" ca="1">AK19-SUM(IF($W$22:$W$102=$W19,IF($T$22:$T$102="",AL$22:AL$102)))</f>
        <v>0</v>
      </c>
      <c r="AM19" s="206">
        <f t="shared" ca="1" si="8"/>
        <v>0</v>
      </c>
      <c r="AN19" s="207">
        <f t="shared" ca="1" si="3"/>
        <v>0</v>
      </c>
      <c r="AO19" s="193">
        <f t="shared" ref="AO19:AO21" ca="1" si="10">AD19+AL19</f>
        <v>490</v>
      </c>
      <c r="AP19" s="193">
        <f ca="1">AO19</f>
        <v>490</v>
      </c>
      <c r="AQ19" s="193">
        <f ca="1">AP19*$Z19</f>
        <v>539.85179149999999</v>
      </c>
      <c r="AR19" s="806">
        <f ca="1">AQ19/AA$4</f>
        <v>3.9761153598178696E-3</v>
      </c>
      <c r="AS19" s="1007" t="str">
        <f t="shared" ca="1" si="9"/>
        <v>V</v>
      </c>
    </row>
    <row r="20" spans="1:45" ht="12" customHeight="1" outlineLevel="1" x14ac:dyDescent="0.2">
      <c r="A20" s="188"/>
      <c r="B20" s="188"/>
      <c r="C20" s="188" t="s">
        <v>834</v>
      </c>
      <c r="D20" s="189" t="str">
        <f t="shared" ca="1" si="4"/>
        <v>XD0009689841</v>
      </c>
      <c r="E20" s="189" t="str">
        <f t="shared" ca="1" si="4"/>
        <v>968984</v>
      </c>
      <c r="F20" s="188" t="s">
        <v>364</v>
      </c>
      <c r="G20" s="190"/>
      <c r="H20" s="1676" t="str">
        <f ca="1">IF(OFFSET(Origine,MATCH($C20,smo_ids,0),MATCH(H$16,Intestazioni,0)-1,1,1)&lt;&gt;"",HYPERLINK(OFFSET(Origine,MATCH($C20,smo_ids,0),MATCH(H$16,Intestazioni,0)-1,1,1),""),"")</f>
        <v></v>
      </c>
      <c r="I20" s="1676" t="str">
        <f ca="1">IF(OFFSET(Origine,MATCH($C20,smo_ids,0),MATCH(I$16,Intestazioni,0)-1,1,1)&lt;&gt;"",HYPERLINK(OFFSET(Origine,MATCH($C20,smo_ids,0),MATCH(I$16,Intestazioni,0)-1,1,1),"i"),"")</f>
        <v/>
      </c>
      <c r="J20" s="1744" t="str">
        <f t="shared" ca="1" si="5"/>
        <v/>
      </c>
      <c r="K20" s="1704" t="str">
        <f t="shared" ca="1" si="5"/>
        <v></v>
      </c>
      <c r="L20" s="1704" t="str">
        <f ca="1">IF(OFFSET(Origine,MATCH($C20,smo_ids,0),MATCH(L$16,Intestazioni,0)-1,1,1)&lt;&gt;"",HYPERLINK("https://www.zonebourse.com/mods_a/charts/TV/inc_dyna_graph.php?c="&amp;OFFSET(Origine,MATCH($C20,smo_ids,0),MATCH(L$16,Intestazioni,0)-1,1,1)&amp;"&amp;style=TradingView.CANDLES&amp;showAT=1",""),"")</f>
        <v/>
      </c>
      <c r="M20" s="1777"/>
      <c r="N20" s="191"/>
      <c r="O20" s="191"/>
      <c r="P20" s="192">
        <f t="shared" ca="1" si="6"/>
        <v>1.0926286031451523E-3</v>
      </c>
      <c r="Q20" s="193">
        <f t="array" aca="1" ref="Q20" ca="1">SUM(IF($AA$16:$FB$16="I_pos",AA20:FB20))</f>
        <v>172.1</v>
      </c>
      <c r="R20" s="193"/>
      <c r="S20" s="188"/>
      <c r="T20" s="193"/>
      <c r="U20" s="194">
        <f ca="1">OFFSET(Origine,MATCH($C20,smo_ids,0),MATCH(U$16,Intestazioni,0)-1,1,1)</f>
        <v>7.4801299999999989E-3</v>
      </c>
      <c r="V20" s="193"/>
      <c r="W20" s="188" t="str">
        <f t="shared" si="7"/>
        <v>USD</v>
      </c>
      <c r="X20" s="195">
        <v>1</v>
      </c>
      <c r="Y20" s="195"/>
      <c r="Z20" s="196">
        <f ca="1">_xlfn.NUMBERVALUE(OFFSET(Origine,MATCH(W20&amp;"/"&amp;MRif,LUKB_Name,0),MATCH("Price",Intestazioni,0)-1,1,1))</f>
        <v>0.86199999999999999</v>
      </c>
      <c r="AA20" s="197">
        <v>172.1</v>
      </c>
      <c r="AB20" s="200"/>
      <c r="AC20" s="1008"/>
      <c r="AD20" s="199">
        <f>AA20*$X20</f>
        <v>172.1</v>
      </c>
      <c r="AE20" s="199">
        <f ca="1">AD20*$Z20</f>
        <v>148.3502</v>
      </c>
      <c r="AF20" s="216">
        <f t="shared" ca="1" si="2"/>
        <v>1.0926286031451523E-3</v>
      </c>
      <c r="AG20" s="202">
        <f ca="1">AH20/$X20</f>
        <v>-172.1</v>
      </c>
      <c r="AH20" s="203">
        <f ca="1">AI20/$Z20</f>
        <v>-172.1</v>
      </c>
      <c r="AI20" s="203">
        <f ca="1">AJ20*AA$4</f>
        <v>-148.3502</v>
      </c>
      <c r="AJ20" s="204">
        <f ca="1">$N20-AF20</f>
        <v>-1.0926286031451523E-3</v>
      </c>
      <c r="AK20" s="205"/>
      <c r="AL20" s="206" cm="1">
        <f t="array" aca="1" ref="AL20" ca="1">AK20-SUM(IF($W$22:$W$102=$W20,IF($T$22:$T$102="",AL$22:AL$102)))</f>
        <v>0</v>
      </c>
      <c r="AM20" s="206">
        <f ca="1">AL20*$Z20</f>
        <v>0</v>
      </c>
      <c r="AN20" s="207">
        <f ca="1">IFERROR(AM20/AA$4,0)</f>
        <v>0</v>
      </c>
      <c r="AO20" s="193">
        <f t="shared" ca="1" si="10"/>
        <v>172.1</v>
      </c>
      <c r="AP20" s="193">
        <f ca="1">AO20</f>
        <v>172.1</v>
      </c>
      <c r="AQ20" s="193">
        <f ca="1">AP20*$Z20</f>
        <v>148.3502</v>
      </c>
      <c r="AR20" s="806">
        <f ca="1">AQ20/AA$4</f>
        <v>1.0926286031451523E-3</v>
      </c>
      <c r="AS20" s="1007" t="str">
        <f t="shared" ca="1" si="9"/>
        <v>V</v>
      </c>
    </row>
    <row r="21" spans="1:45" ht="12"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6" t="str">
        <f ca="1">IF(OFFSET(Origine,MATCH($C21,smo_ids,0),MATCH(H$16,Intestazioni,0)-1,1,1)&lt;&gt;"",HYPERLINK(OFFSET(Origine,MATCH($C21,smo_ids,0),MATCH(H$16,Intestazioni,0)-1,1,1),""),"")</f>
        <v></v>
      </c>
      <c r="I21" s="1676" t="str">
        <f ca="1">IF(OFFSET(Origine,MATCH($C21,smo_ids,0),MATCH(I$16,Intestazioni,0)-1,1,1)&lt;&gt;"",HYPERLINK(OFFSET(Origine,MATCH($C21,smo_ids,0),MATCH(I$16,Intestazioni,0)-1,1,1),"i"),"")</f>
        <v/>
      </c>
      <c r="J21" s="1744" t="str">
        <f t="shared" ca="1" si="5"/>
        <v/>
      </c>
      <c r="K21" s="1704" t="str">
        <f t="shared" ca="1" si="5"/>
        <v></v>
      </c>
      <c r="L21" s="1704" t="str">
        <f ca="1">IF(OFFSET(Origine,MATCH($C21,smo_ids,0),MATCH(L$16,Intestazioni,0)-1,1,1)&lt;&gt;"",HYPERLINK("https://www.zonebourse.com/mods_a/charts/TV/inc_dyna_graph.php?c="&amp;OFFSET(Origine,MATCH($C21,smo_ids,0),MATCH(L$16,Intestazioni,0)-1,1,1)&amp;"&amp;style=TradingView.CANDLES&amp;showAT=1",""),"")</f>
        <v/>
      </c>
      <c r="M21" s="1777"/>
      <c r="N21" s="191"/>
      <c r="O21" s="191"/>
      <c r="P21" s="192">
        <f ca="1">SUMIF($AA$16:$CD$16,"I_Ctrlv",$AA21:$CD21)/$Q$2</f>
        <v>0</v>
      </c>
      <c r="Q21" s="193">
        <f t="array" aca="1" ref="Q21" ca="1">SUM(IF($AA$16:$FB$16="I_pos",AA21:FB21))</f>
        <v>0</v>
      </c>
      <c r="R21" s="193"/>
      <c r="S21" s="188"/>
      <c r="T21" s="193"/>
      <c r="U21" s="194">
        <f ca="1">OFFSET(Origine,MATCH($C21,smo_ids,0),MATCH(U$16,Intestazioni,0)-1,1,1)</f>
        <v>2.1744000000000004E-3</v>
      </c>
      <c r="V21" s="193"/>
      <c r="W21" s="188" t="str">
        <f>RIGHT(F21,3)</f>
        <v>GBP</v>
      </c>
      <c r="X21" s="195">
        <v>1</v>
      </c>
      <c r="Y21" s="195"/>
      <c r="Z21" s="196">
        <f ca="1">_xlfn.NUMBERVALUE(OFFSET(Origine,MATCH(W21&amp;"/"&amp;MRif,LUKB_Name,0),MATCH("Price",Intestazioni,0)-1,1,1))</f>
        <v>1.1492567300000001</v>
      </c>
      <c r="AA21" s="197"/>
      <c r="AB21" s="200"/>
      <c r="AC21" s="1008"/>
      <c r="AD21" s="199">
        <f>AA21*$X21</f>
        <v>0</v>
      </c>
      <c r="AE21" s="199">
        <f ca="1">AD21*$Z21</f>
        <v>0</v>
      </c>
      <c r="AF21" s="216">
        <f t="shared" ca="1" si="2"/>
        <v>0</v>
      </c>
      <c r="AG21" s="202">
        <f ca="1">AH21/$X21</f>
        <v>0</v>
      </c>
      <c r="AH21" s="203">
        <f ca="1">AI21/$Z21</f>
        <v>0</v>
      </c>
      <c r="AI21" s="203">
        <f ca="1">AJ21*AA$4</f>
        <v>0</v>
      </c>
      <c r="AJ21" s="204">
        <f ca="1">$N21-AF21</f>
        <v>0</v>
      </c>
      <c r="AK21" s="205"/>
      <c r="AL21" s="206" cm="1">
        <f t="array" aca="1" ref="AL21" ca="1">AK21-SUM(IF($W$22:$W$102=$W21,IF($T$22:$T$102="",AL$22:AL$102)))</f>
        <v>0</v>
      </c>
      <c r="AM21" s="206">
        <f ca="1">AL21*$Z21</f>
        <v>0</v>
      </c>
      <c r="AN21" s="207">
        <f ca="1">IFERROR(AM21/AA$4,0)</f>
        <v>0</v>
      </c>
      <c r="AO21" s="1009">
        <f t="shared" ca="1" si="10"/>
        <v>0</v>
      </c>
      <c r="AP21" s="193">
        <f ca="1">AO21</f>
        <v>0</v>
      </c>
      <c r="AQ21" s="193">
        <f ca="1">AP21*$Z21</f>
        <v>0</v>
      </c>
      <c r="AR21" s="806">
        <f ca="1">AQ21/AA$4</f>
        <v>0</v>
      </c>
      <c r="AS21" s="1007" t="str">
        <f t="shared" ca="1" si="9"/>
        <v/>
      </c>
    </row>
    <row r="22" spans="1:45" x14ac:dyDescent="0.2">
      <c r="A22" s="255" t="s">
        <v>368</v>
      </c>
      <c r="B22" s="255"/>
      <c r="C22" s="255"/>
      <c r="D22" s="256"/>
      <c r="E22" s="257"/>
      <c r="F22" s="255"/>
      <c r="G22" s="258"/>
      <c r="H22" s="1778"/>
      <c r="I22" s="1778"/>
      <c r="J22" s="1778"/>
      <c r="K22" s="1778"/>
      <c r="L22" s="1778"/>
      <c r="M22" s="1779"/>
      <c r="N22" s="1011">
        <f>SUM(N$23:N$41)</f>
        <v>0</v>
      </c>
      <c r="O22" s="1011"/>
      <c r="P22" s="262">
        <f t="shared" ca="1" si="1"/>
        <v>0.48529527247301557</v>
      </c>
      <c r="Q22" s="809"/>
      <c r="R22" s="809"/>
      <c r="S22" s="1010"/>
      <c r="T22" s="1010"/>
      <c r="U22" s="254"/>
      <c r="V22" s="809">
        <f ca="1">COUNTIF(V23:V41,"&lt;&gt;0")</f>
        <v>0</v>
      </c>
      <c r="W22" s="255"/>
      <c r="X22" s="811"/>
      <c r="Y22" s="811"/>
      <c r="Z22" s="1012"/>
      <c r="AA22" s="813"/>
      <c r="AB22" s="814"/>
      <c r="AC22" s="1013"/>
      <c r="AD22" s="255"/>
      <c r="AE22" s="268" cm="1">
        <f t="array" aca="1" ref="AE22" ca="1">SUM(IF($B$23:$B$41="",AE$23:AE$41))</f>
        <v>65890.322222199989</v>
      </c>
      <c r="AF22" s="269">
        <f t="shared" ca="1" si="2"/>
        <v>0.48529527247301557</v>
      </c>
      <c r="AG22" s="270"/>
      <c r="AH22" s="259"/>
      <c r="AI22" s="268" cm="1">
        <f t="array" aca="1" ref="AI22" ca="1">SUM(IF($B$23:$B$41="",AI$23:AI$41))</f>
        <v>-65890.322222199989</v>
      </c>
      <c r="AJ22" s="271">
        <f ca="1">IFERROR(AI22/AA$4,0)</f>
        <v>-0.48529527247301557</v>
      </c>
      <c r="AK22" s="270"/>
      <c r="AL22" s="259"/>
      <c r="AM22" s="268" cm="1">
        <f t="array" aca="1" ref="AM22" ca="1">SUM(IF($B$23:$B$41="",AM$23:AM$41))</f>
        <v>0</v>
      </c>
      <c r="AN22" s="271">
        <f t="shared" ca="1" si="3"/>
        <v>0</v>
      </c>
      <c r="AO22" s="259"/>
      <c r="AP22" s="259"/>
      <c r="AQ22" s="268" cm="1">
        <f t="array" aca="1" ref="AQ22" ca="1">SUM(IF($B$23:$B$41="",AQ$23:AQ$41))</f>
        <v>65890.322222199989</v>
      </c>
      <c r="AR22" s="816">
        <f ca="1">IFERROR(AQ22/AA$4,0)</f>
        <v>0.48529527247301557</v>
      </c>
      <c r="AS22" s="1007" t="str">
        <f t="shared" ca="1" si="9"/>
        <v>V</v>
      </c>
    </row>
    <row r="23" spans="1:45" outlineLevel="1" x14ac:dyDescent="0.2">
      <c r="A23" s="299"/>
      <c r="B23" s="299"/>
      <c r="C23" s="299" t="str">
        <f t="shared" ref="C23:C41" ca="1" si="11">OFFSET(Origine,MATCH($F23,Descrizioni,0),MATCH(C$16,Intestazioni,0)-1,1,1)</f>
        <v>DE000A3E5UY4:EUR</v>
      </c>
      <c r="D23" s="1014" t="str">
        <f t="shared" ref="D23:G41" ca="1" si="12">OFFSET(Origine,MATCH($F23,Descrizioni,0),MATCH(D$16,Intestazioni,0)-1,1,1)</f>
        <v>DE000A3E5UY4</v>
      </c>
      <c r="E23" s="301" t="str">
        <f t="shared" ca="1" si="12"/>
        <v>114425619</v>
      </c>
      <c r="F23" s="299" t="s">
        <v>500</v>
      </c>
      <c r="G23" s="836">
        <f t="shared" ca="1" si="12"/>
        <v>46321</v>
      </c>
      <c r="H23" s="1680" t="str">
        <f t="shared" ref="H23:H41" ca="1" si="13">HYPERLINK(OFFSET(Origine,MATCH($F23,Descrizioni,0),MATCH(H$16,Intestazioni,0)-1,1,1),"")</f>
        <v></v>
      </c>
      <c r="I23" s="1680" t="str">
        <f t="shared" ref="I23:I31" ca="1" si="14">HYPERLINK(OFFSET(Origine,MATCH($F23,Descrizioni,0),MATCH(I$16,Intestazioni,0)-1,1,1),"i")</f>
        <v>i</v>
      </c>
      <c r="J23" s="1708" t="str">
        <f t="shared" ref="J23:K31" ca="1" si="15">HYPERLINK(OFFSET(Origine,MATCH($F23,Descrizioni,0),MATCH(J$16,Intestazioni,0)-1,1,1),"")</f>
        <v></v>
      </c>
      <c r="K23" s="1709" t="str">
        <f t="shared" ca="1" si="15"/>
        <v></v>
      </c>
      <c r="L23" s="1710" t="str">
        <f t="shared" ref="L23:L41" ca="1" si="16">IFERROR(HYPERLINK("https://www.marketscreener.com/mods_a/charts/TV/inc_dyna_graph.php?c="&amp;OFFSET(Origine,MATCH($F23,Descrizioni,0),MATCH(L$16,Intestazioni,0)-1,1,1)&amp;"&amp;style=TradingView.CANDLES&amp;showAT=1",""),"")</f>
        <v></v>
      </c>
      <c r="M23" s="1780" t="str">
        <f t="shared" ref="M23:M41" ca="1" si="17">(OFFSET(Origine,MATCH($F23,Descrizioni,0),MATCH(M$16,Intestazioni,0)-1,1,1))</f>
        <v>Pct</v>
      </c>
      <c r="N23" s="1015"/>
      <c r="O23" s="1015"/>
      <c r="P23" s="837">
        <f t="shared" ca="1" si="1"/>
        <v>7.2628591234698933E-2</v>
      </c>
      <c r="Q23" s="307">
        <f t="shared" ref="Q23" si="18">SUMIF($AA$16:$AR$16,"I_Pos",AA23:AR23)</f>
        <v>10000</v>
      </c>
      <c r="R23" s="307">
        <f t="array" aca="1" ref="R23" ca="1">SUM(IF($AD$16:$AR$16="P_Pos",AD23:AR23))</f>
        <v>-10000</v>
      </c>
      <c r="S23" s="1016"/>
      <c r="T23" s="1016"/>
      <c r="U23" s="298"/>
      <c r="V23" s="307">
        <f t="array" aca="1" ref="V23" ca="1">SUM(IF($AD$16:$AR$16="O_Pos",AD23:AR23))</f>
        <v>0</v>
      </c>
      <c r="W23" s="299" t="str">
        <f t="shared" ref="W23:W31" ca="1" si="19">OFFSET(Origine,MATCH($F23,Descrizioni,0),MATCH(W$16,Intestazioni,0)-1,1,1)</f>
        <v>EUR</v>
      </c>
      <c r="X23" s="839">
        <f t="shared" ref="X23:Y35" ca="1" si="20">_xlfn.NUMBERVALUE(OFFSET(Origine,MATCH($F23,Descrizioni,0),MATCH(X$16,Intestazioni,0)-1,1,1))</f>
        <v>0.98610506849000001</v>
      </c>
      <c r="Y23" s="1017">
        <f t="shared" ca="1" si="20"/>
        <v>2.1898465160000002E-2</v>
      </c>
      <c r="Z23" s="1018">
        <f t="shared" ref="Z23" ca="1" si="21">_xlfn.NUMBERVALUE(OFFSET(Origine,MATCH(W23&amp;"/"&amp;MRif,LUKB_Name,0),MATCH("Price",Intestazioni,0)-1,1,1))</f>
        <v>1</v>
      </c>
      <c r="AA23" s="197">
        <f>10000</f>
        <v>10000</v>
      </c>
      <c r="AB23" s="312">
        <f t="shared" ref="AB23" ca="1" si="22">IFERROR($X23/AC23-1,"")</f>
        <v>2.4844178434836772E-2</v>
      </c>
      <c r="AC23" s="1019">
        <v>0.96220000000000006</v>
      </c>
      <c r="AD23" s="199">
        <f t="shared" ref="AD23" ca="1" si="23">AA23*$X23</f>
        <v>9861.0506848999994</v>
      </c>
      <c r="AE23" s="199">
        <f t="shared" ref="AE23" ca="1" si="24">AD23*$Z23</f>
        <v>9861.0506848999994</v>
      </c>
      <c r="AF23" s="216">
        <f t="shared" ca="1" si="2"/>
        <v>7.2628591234698933E-2</v>
      </c>
      <c r="AG23" s="202">
        <f t="shared" ref="AG23" ca="1" si="25">AH23/$X23</f>
        <v>-10000</v>
      </c>
      <c r="AH23" s="203">
        <f t="shared" ref="AH23" ca="1" si="26">AI23/$Z23</f>
        <v>-9861.0506848999994</v>
      </c>
      <c r="AI23" s="203">
        <f t="shared" ref="AI23" ca="1" si="27">AJ23*AA$4</f>
        <v>-9861.0506848999994</v>
      </c>
      <c r="AJ23" s="204">
        <f t="shared" ref="AJ23" ca="1" si="28">$N23-AF23</f>
        <v>-7.2628591234698933E-2</v>
      </c>
      <c r="AK23" s="205"/>
      <c r="AL23" s="206">
        <f t="shared" ref="AL23" ca="1" si="29">AK23*$X23</f>
        <v>0</v>
      </c>
      <c r="AM23" s="206">
        <f t="shared" ref="AM23" ca="1" si="30">AL23*$Z23</f>
        <v>0</v>
      </c>
      <c r="AN23" s="207">
        <f t="shared" ca="1" si="3"/>
        <v>0</v>
      </c>
      <c r="AO23" s="313">
        <f t="shared" ref="AO23" si="31">AA23+AK23</f>
        <v>10000</v>
      </c>
      <c r="AP23" s="313">
        <f t="shared" ref="AP23" ca="1" si="32">AD23+IF($T23="",AL23)</f>
        <v>9861.0506848999994</v>
      </c>
      <c r="AQ23" s="313">
        <f t="shared" ref="AQ23" ca="1" si="33">AP23*$Z23</f>
        <v>9861.0506848999994</v>
      </c>
      <c r="AR23" s="843">
        <f t="shared" ref="AR23" ca="1" si="34">IFERROR(AQ23/AA$4,0)</f>
        <v>7.2628591234698933E-2</v>
      </c>
      <c r="AS23" s="1007" t="str">
        <f t="shared" ca="1" si="9"/>
        <v>V</v>
      </c>
    </row>
    <row r="24" spans="1:45" outlineLevel="1" x14ac:dyDescent="0.2">
      <c r="A24" s="299"/>
      <c r="B24" s="299"/>
      <c r="C24" s="299" t="str">
        <f t="shared" ca="1" si="11"/>
        <v>DE000A30WFU3:EUR</v>
      </c>
      <c r="D24" s="1014" t="str">
        <f t="shared" ca="1" si="12"/>
        <v>DE000A30WFU3</v>
      </c>
      <c r="E24" s="301" t="str">
        <f t="shared" ca="1" si="12"/>
        <v>120579731</v>
      </c>
      <c r="F24" s="299" t="s">
        <v>503</v>
      </c>
      <c r="G24" s="836">
        <f t="shared" ca="1" si="12"/>
        <v>46447</v>
      </c>
      <c r="H24" s="1680" t="str">
        <f t="shared" ca="1" si="13"/>
        <v></v>
      </c>
      <c r="I24" s="1680" t="str">
        <f t="shared" ca="1" si="14"/>
        <v>i</v>
      </c>
      <c r="J24" s="1708" t="str">
        <f t="shared" ca="1" si="15"/>
        <v></v>
      </c>
      <c r="K24" s="1709" t="str">
        <f t="shared" ca="1" si="15"/>
        <v></v>
      </c>
      <c r="L24" s="1710" t="str">
        <f t="shared" ca="1" si="16"/>
        <v></v>
      </c>
      <c r="M24" s="1780" t="str">
        <f t="shared" ca="1" si="17"/>
        <v>Pct</v>
      </c>
      <c r="N24" s="1015"/>
      <c r="O24" s="1015"/>
      <c r="P24" s="837">
        <f t="shared" ca="1" si="1"/>
        <v>7.3148732843217573E-2</v>
      </c>
      <c r="Q24" s="307">
        <f t="shared" ref="Q24:Q30" si="35">SUMIF($AA$16:$AR$16,"I_Pos",AA24:AR24)</f>
        <v>10000</v>
      </c>
      <c r="R24" s="307">
        <f t="array" aca="1" ref="R24" ca="1">SUM(IF($AD$16:$AR$16="P_Pos",AD24:AR24))</f>
        <v>-10000</v>
      </c>
      <c r="S24" s="1016"/>
      <c r="T24" s="1016"/>
      <c r="U24" s="298"/>
      <c r="V24" s="307">
        <f t="array" aca="1" ref="V24" ca="1">SUM(IF($AD$16:$AR$16="O_Pos",AD24:AR24))</f>
        <v>0</v>
      </c>
      <c r="W24" s="299" t="str">
        <f t="shared" ca="1" si="19"/>
        <v>EUR</v>
      </c>
      <c r="X24" s="839">
        <f t="shared" ca="1" si="20"/>
        <v>0.99316722221999998</v>
      </c>
      <c r="Y24" s="1017">
        <f t="shared" ca="1" si="20"/>
        <v>2.4361272749999999E-2</v>
      </c>
      <c r="Z24" s="1018">
        <f t="shared" ref="Z24:Z41" ca="1" si="36">_xlfn.NUMBERVALUE(OFFSET(Origine,MATCH(W24&amp;"/"&amp;MRif,LUKB_Name,0),MATCH("Price",Intestazioni,0)-1,1,1))</f>
        <v>1</v>
      </c>
      <c r="AA24" s="197">
        <f>10000</f>
        <v>10000</v>
      </c>
      <c r="AB24" s="312">
        <f t="shared" ref="AB24:AB41" ca="1" si="37">IFERROR($X24/AC24-1,"")</f>
        <v>7.5755526225016467E-3</v>
      </c>
      <c r="AC24" s="1019">
        <v>0.98570000000000002</v>
      </c>
      <c r="AD24" s="199">
        <f t="shared" ref="AD24:AD30" ca="1" si="38">AA24*$X24</f>
        <v>9931.6722221999989</v>
      </c>
      <c r="AE24" s="199">
        <f t="shared" ref="AE24:AE30" ca="1" si="39">AD24*$Z24</f>
        <v>9931.6722221999989</v>
      </c>
      <c r="AF24" s="216">
        <f t="shared" ref="AF24:AF30" ca="1" si="40">IFERROR(AE24/AA$4,0)</f>
        <v>7.3148732843217573E-2</v>
      </c>
      <c r="AG24" s="202">
        <f t="shared" ref="AG24:AG30" ca="1" si="41">AH24/$X24</f>
        <v>-10000</v>
      </c>
      <c r="AH24" s="203">
        <f t="shared" ref="AH24:AH30" ca="1" si="42">AI24/$Z24</f>
        <v>-9931.6722221999989</v>
      </c>
      <c r="AI24" s="203">
        <f t="shared" ref="AI24:AI30" ca="1" si="43">AJ24*AA$4</f>
        <v>-9931.6722221999989</v>
      </c>
      <c r="AJ24" s="204">
        <f t="shared" ref="AJ24:AJ30" ca="1" si="44">$N24-AF24</f>
        <v>-7.3148732843217573E-2</v>
      </c>
      <c r="AK24" s="205"/>
      <c r="AL24" s="206">
        <f t="shared" ref="AL24:AL30" ca="1" si="45">AK24*$X24</f>
        <v>0</v>
      </c>
      <c r="AM24" s="206">
        <f t="shared" ref="AM24:AM30" ca="1" si="46">AL24*$Z24</f>
        <v>0</v>
      </c>
      <c r="AN24" s="207">
        <f t="shared" ref="AN24:AN30" ca="1" si="47">IFERROR(AM24/AA$4,0)</f>
        <v>0</v>
      </c>
      <c r="AO24" s="313">
        <f t="shared" ref="AO24:AO30" si="48">AA24+AK24</f>
        <v>10000</v>
      </c>
      <c r="AP24" s="313">
        <f t="shared" ref="AP24:AP84" ca="1" si="49">AD24+IF($T24="",AL24)</f>
        <v>9931.6722221999989</v>
      </c>
      <c r="AQ24" s="313">
        <f t="shared" ref="AQ24:AQ30" ca="1" si="50">AP24*$Z24</f>
        <v>9931.6722221999989</v>
      </c>
      <c r="AR24" s="843">
        <f t="shared" ref="AR24:AR30" ca="1" si="51">IFERROR(AQ24/AA$4,0)</f>
        <v>7.3148732843217573E-2</v>
      </c>
      <c r="AS24" s="1007" t="str">
        <f t="shared" ca="1" si="9"/>
        <v>V</v>
      </c>
    </row>
    <row r="25" spans="1:45" outlineLevel="1" x14ac:dyDescent="0.2">
      <c r="A25" s="299"/>
      <c r="B25" s="299"/>
      <c r="C25" s="299" t="str">
        <f t="shared" ca="1" si="11"/>
        <v>XS1747444831:EUR</v>
      </c>
      <c r="D25" s="1014" t="str">
        <f t="shared" ca="1" si="12"/>
        <v>XS1747444831</v>
      </c>
      <c r="E25" s="301" t="str">
        <f t="shared" ca="1" si="12"/>
        <v>39756353</v>
      </c>
      <c r="F25" s="299" t="s">
        <v>499</v>
      </c>
      <c r="G25" s="836">
        <f t="shared" ca="1" si="12"/>
        <v>46762</v>
      </c>
      <c r="H25" s="1680" t="str">
        <f t="shared" ca="1" si="13"/>
        <v></v>
      </c>
      <c r="I25" s="1680" t="str">
        <f t="shared" ca="1" si="14"/>
        <v>i</v>
      </c>
      <c r="J25" s="1708" t="str">
        <f t="shared" ca="1" si="15"/>
        <v></v>
      </c>
      <c r="K25" s="1709" t="str">
        <f t="shared" ca="1" si="15"/>
        <v></v>
      </c>
      <c r="L25" s="1710" t="str">
        <f t="shared" ca="1" si="16"/>
        <v></v>
      </c>
      <c r="M25" s="1780" t="str">
        <f t="shared" ca="1" si="17"/>
        <v>Pct</v>
      </c>
      <c r="N25" s="1015"/>
      <c r="O25" s="1015"/>
      <c r="P25" s="837">
        <f t="shared" ca="1" si="1"/>
        <v>7.1886007753888717E-2</v>
      </c>
      <c r="Q25" s="307">
        <f t="shared" si="35"/>
        <v>10000</v>
      </c>
      <c r="R25" s="307">
        <f t="array" aca="1" ref="R25" ca="1">SUM(IF($AD$16:$AR$16="P_Pos",AD25:AR25))</f>
        <v>-10000</v>
      </c>
      <c r="S25" s="1016"/>
      <c r="T25" s="1016"/>
      <c r="U25" s="298"/>
      <c r="V25" s="307">
        <f t="array" aca="1" ref="V25" ca="1">SUM(IF($AD$16:$AR$16="O_Pos",AD25:AR25))</f>
        <v>0</v>
      </c>
      <c r="W25" s="299" t="str">
        <f t="shared" ca="1" si="19"/>
        <v>EUR</v>
      </c>
      <c r="X25" s="839">
        <f t="shared" ca="1" si="20"/>
        <v>0.97602273972999998</v>
      </c>
      <c r="Y25" s="1017">
        <f t="shared" ca="1" si="20"/>
        <v>2.4906762200000002E-2</v>
      </c>
      <c r="Z25" s="1018">
        <f t="shared" ca="1" si="36"/>
        <v>1</v>
      </c>
      <c r="AA25" s="197">
        <f>10000</f>
        <v>10000</v>
      </c>
      <c r="AB25" s="312">
        <f t="shared" ref="AB25:AB30" ca="1" si="52">IFERROR($X25/AC25-1,"")</f>
        <v>1.3207453264818758E-2</v>
      </c>
      <c r="AC25" s="1019">
        <v>0.96330000000000005</v>
      </c>
      <c r="AD25" s="199">
        <f t="shared" ca="1" si="38"/>
        <v>9760.2273972999992</v>
      </c>
      <c r="AE25" s="199">
        <f t="shared" ca="1" si="39"/>
        <v>9760.2273972999992</v>
      </c>
      <c r="AF25" s="216">
        <f t="shared" ca="1" si="40"/>
        <v>7.1886007753888717E-2</v>
      </c>
      <c r="AG25" s="202">
        <f t="shared" ca="1" si="41"/>
        <v>-10000</v>
      </c>
      <c r="AH25" s="203">
        <f t="shared" ca="1" si="42"/>
        <v>-9760.2273972999992</v>
      </c>
      <c r="AI25" s="203">
        <f t="shared" ca="1" si="43"/>
        <v>-9760.2273972999992</v>
      </c>
      <c r="AJ25" s="204">
        <f t="shared" ca="1" si="44"/>
        <v>-7.1886007753888717E-2</v>
      </c>
      <c r="AK25" s="205"/>
      <c r="AL25" s="206">
        <f t="shared" ca="1" si="45"/>
        <v>0</v>
      </c>
      <c r="AM25" s="206">
        <f t="shared" ca="1" si="46"/>
        <v>0</v>
      </c>
      <c r="AN25" s="207">
        <f t="shared" ca="1" si="47"/>
        <v>0</v>
      </c>
      <c r="AO25" s="313">
        <f t="shared" si="48"/>
        <v>10000</v>
      </c>
      <c r="AP25" s="313">
        <f t="shared" ref="AP25:AP30" ca="1" si="53">AD25+IF($T25="",AL25)</f>
        <v>9760.2273972999992</v>
      </c>
      <c r="AQ25" s="313">
        <f t="shared" ca="1" si="50"/>
        <v>9760.2273972999992</v>
      </c>
      <c r="AR25" s="843">
        <f t="shared" ca="1" si="51"/>
        <v>7.1886007753888717E-2</v>
      </c>
      <c r="AS25" s="1007" t="str">
        <f t="shared" ref="AS25:AS30" ca="1" si="54">IF(SUM(AF25,AN25,AR25)&lt;&gt;0,"V","")</f>
        <v>V</v>
      </c>
    </row>
    <row r="26" spans="1:45" outlineLevel="1" x14ac:dyDescent="0.2">
      <c r="A26" s="299"/>
      <c r="B26" s="299"/>
      <c r="C26" s="299" t="str">
        <f t="shared" ca="1" si="11"/>
        <v>XS2209794408:EUR</v>
      </c>
      <c r="D26" s="1014" t="str">
        <f t="shared" ca="1" si="12"/>
        <v>XS2209794408</v>
      </c>
      <c r="E26" s="301" t="str">
        <f t="shared" ca="1" si="12"/>
        <v>56174075</v>
      </c>
      <c r="F26" s="299" t="s">
        <v>497</v>
      </c>
      <c r="G26" s="836">
        <f t="shared" ca="1" si="12"/>
        <v>47011</v>
      </c>
      <c r="H26" s="1680" t="str">
        <f t="shared" ca="1" si="13"/>
        <v></v>
      </c>
      <c r="I26" s="1680" t="str">
        <f t="shared" ca="1" si="14"/>
        <v>i</v>
      </c>
      <c r="J26" s="1708" t="str">
        <f t="shared" ca="1" si="15"/>
        <v></v>
      </c>
      <c r="K26" s="1709" t="str">
        <f t="shared" ca="1" si="15"/>
        <v></v>
      </c>
      <c r="L26" s="1710" t="str">
        <f t="shared" ca="1" si="16"/>
        <v></v>
      </c>
      <c r="M26" s="1780" t="str">
        <f t="shared" ca="1" si="17"/>
        <v>Pct</v>
      </c>
      <c r="N26" s="1015"/>
      <c r="O26" s="1015"/>
      <c r="P26" s="837">
        <f t="shared" ca="1" si="1"/>
        <v>6.9547355587783022E-2</v>
      </c>
      <c r="Q26" s="307">
        <f t="shared" ref="Q26" si="55">SUMIF($AA$16:$AR$16,"I_Pos",AA26:AR26)</f>
        <v>10000</v>
      </c>
      <c r="R26" s="307">
        <f t="array" aca="1" ref="R26" ca="1">SUM(IF($AD$16:$AR$16="P_Pos",AD26:AR26))</f>
        <v>-10000</v>
      </c>
      <c r="S26" s="1016"/>
      <c r="T26" s="1016"/>
      <c r="U26" s="298"/>
      <c r="V26" s="307">
        <f t="array" aca="1" ref="V26" ca="1">SUM(IF($AD$16:$AR$16="O_Pos",AD26:AR26))</f>
        <v>0</v>
      </c>
      <c r="W26" s="299" t="str">
        <f t="shared" ca="1" si="19"/>
        <v>EUR</v>
      </c>
      <c r="X26" s="839">
        <f t="shared" ca="1" si="20"/>
        <v>0.94427000000000005</v>
      </c>
      <c r="Y26" s="1017">
        <f t="shared" ca="1" si="20"/>
        <v>2.2295915999999999E-2</v>
      </c>
      <c r="Z26" s="1018">
        <f t="shared" ca="1" si="36"/>
        <v>1</v>
      </c>
      <c r="AA26" s="197">
        <f>10000</f>
        <v>10000</v>
      </c>
      <c r="AB26" s="312">
        <f t="shared" ref="AB26" ca="1" si="56">IFERROR($X26/AC26-1,"")</f>
        <v>1.9730021598272085E-2</v>
      </c>
      <c r="AC26" s="1019">
        <v>0.92600000000000005</v>
      </c>
      <c r="AD26" s="199">
        <f t="shared" ref="AD26" ca="1" si="57">AA26*$X26</f>
        <v>9442.7000000000007</v>
      </c>
      <c r="AE26" s="199">
        <f t="shared" ref="AE26" ca="1" si="58">AD26*$Z26</f>
        <v>9442.7000000000007</v>
      </c>
      <c r="AF26" s="216">
        <f t="shared" ref="AF26" ca="1" si="59">IFERROR(AE26/AA$4,0)</f>
        <v>6.9547355587783022E-2</v>
      </c>
      <c r="AG26" s="202">
        <f t="shared" ref="AG26" ca="1" si="60">AH26/$X26</f>
        <v>-10000</v>
      </c>
      <c r="AH26" s="203">
        <f t="shared" ref="AH26" ca="1" si="61">AI26/$Z26</f>
        <v>-9442.7000000000007</v>
      </c>
      <c r="AI26" s="203">
        <f t="shared" ref="AI26" ca="1" si="62">AJ26*AA$4</f>
        <v>-9442.7000000000007</v>
      </c>
      <c r="AJ26" s="204">
        <f t="shared" ref="AJ26" ca="1" si="63">$N26-AF26</f>
        <v>-6.9547355587783022E-2</v>
      </c>
      <c r="AK26" s="205"/>
      <c r="AL26" s="206">
        <f t="shared" ref="AL26" ca="1" si="64">AK26*$X26</f>
        <v>0</v>
      </c>
      <c r="AM26" s="206">
        <f t="shared" ref="AM26" ca="1" si="65">AL26*$Z26</f>
        <v>0</v>
      </c>
      <c r="AN26" s="207">
        <f t="shared" ref="AN26" ca="1" si="66">IFERROR(AM26/AA$4,0)</f>
        <v>0</v>
      </c>
      <c r="AO26" s="313">
        <f t="shared" ref="AO26" si="67">AA26+AK26</f>
        <v>10000</v>
      </c>
      <c r="AP26" s="313">
        <f t="shared" ref="AP26" ca="1" si="68">AD26+IF($T26="",AL26)</f>
        <v>9442.7000000000007</v>
      </c>
      <c r="AQ26" s="313">
        <f t="shared" ref="AQ26" ca="1" si="69">AP26*$Z26</f>
        <v>9442.7000000000007</v>
      </c>
      <c r="AR26" s="843">
        <f t="shared" ref="AR26" ca="1" si="70">IFERROR(AQ26/AA$4,0)</f>
        <v>6.9547355587783022E-2</v>
      </c>
      <c r="AS26" s="1007" t="str">
        <f t="shared" ref="AS26" ca="1" si="71">IF(SUM(AF26,AN26,AR26)&lt;&gt;0,"V","")</f>
        <v>V</v>
      </c>
    </row>
    <row r="27" spans="1:45" outlineLevel="1" x14ac:dyDescent="0.2">
      <c r="A27" s="299"/>
      <c r="B27" s="299"/>
      <c r="C27" s="299" t="str">
        <f t="shared" ca="1" si="11"/>
        <v>EU000A1G0EE0:EUR</v>
      </c>
      <c r="D27" s="1014" t="str">
        <f t="shared" ca="1" si="12"/>
        <v>EU000A1G0EE0</v>
      </c>
      <c r="E27" s="301" t="str">
        <f t="shared" ca="1" si="12"/>
        <v>48940521</v>
      </c>
      <c r="F27" s="299" t="s">
        <v>498</v>
      </c>
      <c r="G27" s="836">
        <f t="shared" ca="1" si="12"/>
        <v>47408</v>
      </c>
      <c r="H27" s="1680" t="str">
        <f t="shared" ca="1" si="13"/>
        <v></v>
      </c>
      <c r="I27" s="1680" t="str">
        <f t="shared" ca="1" si="14"/>
        <v>i</v>
      </c>
      <c r="J27" s="1708" t="str">
        <f t="shared" ca="1" si="15"/>
        <v></v>
      </c>
      <c r="K27" s="1709" t="str">
        <f t="shared" ca="1" si="15"/>
        <v></v>
      </c>
      <c r="L27" s="1710" t="str">
        <f t="shared" ca="1" si="16"/>
        <v></v>
      </c>
      <c r="M27" s="1780" t="str">
        <f t="shared" ca="1" si="17"/>
        <v>Pct</v>
      </c>
      <c r="N27" s="1015"/>
      <c r="O27" s="1015"/>
      <c r="P27" s="837">
        <f t="shared" ca="1" si="1"/>
        <v>6.7587304869253184E-2</v>
      </c>
      <c r="Q27" s="307">
        <f t="shared" si="35"/>
        <v>10000</v>
      </c>
      <c r="R27" s="307">
        <f t="array" aca="1" ref="R27" ca="1">SUM(IF($AD$16:$AR$16="P_Pos",AD27:AR27))</f>
        <v>-10000</v>
      </c>
      <c r="S27" s="1016"/>
      <c r="T27" s="1016"/>
      <c r="U27" s="298"/>
      <c r="V27" s="307">
        <f t="array" aca="1" ref="V27" ca="1">SUM(IF($AD$16:$AR$16="O_Pos",AD27:AR27))</f>
        <v>0</v>
      </c>
      <c r="W27" s="299" t="str">
        <f t="shared" ca="1" si="19"/>
        <v>EUR</v>
      </c>
      <c r="X27" s="839">
        <f t="shared" ca="1" si="20"/>
        <v>0.91765767122999997</v>
      </c>
      <c r="Y27" s="1017">
        <f t="shared" ca="1" si="20"/>
        <v>2.4005690989999998E-2</v>
      </c>
      <c r="Z27" s="1018">
        <f t="shared" ca="1" si="36"/>
        <v>1</v>
      </c>
      <c r="AA27" s="197">
        <f>10000</f>
        <v>10000</v>
      </c>
      <c r="AB27" s="312">
        <f t="shared" ca="1" si="52"/>
        <v>1.7246060558696374E-2</v>
      </c>
      <c r="AC27" s="1019">
        <v>0.90210000000000001</v>
      </c>
      <c r="AD27" s="199">
        <f t="shared" ca="1" si="38"/>
        <v>9176.5767123000005</v>
      </c>
      <c r="AE27" s="199">
        <f t="shared" ca="1" si="39"/>
        <v>9176.5767123000005</v>
      </c>
      <c r="AF27" s="216">
        <f t="shared" ca="1" si="40"/>
        <v>6.7587304869253184E-2</v>
      </c>
      <c r="AG27" s="202">
        <f t="shared" ca="1" si="41"/>
        <v>-10000</v>
      </c>
      <c r="AH27" s="203">
        <f t="shared" ca="1" si="42"/>
        <v>-9176.5767123000005</v>
      </c>
      <c r="AI27" s="203">
        <f t="shared" ca="1" si="43"/>
        <v>-9176.5767123000005</v>
      </c>
      <c r="AJ27" s="204">
        <f t="shared" ca="1" si="44"/>
        <v>-6.7587304869253184E-2</v>
      </c>
      <c r="AK27" s="205"/>
      <c r="AL27" s="206">
        <f t="shared" ca="1" si="45"/>
        <v>0</v>
      </c>
      <c r="AM27" s="206">
        <f t="shared" ca="1" si="46"/>
        <v>0</v>
      </c>
      <c r="AN27" s="207">
        <f t="shared" ca="1" si="47"/>
        <v>0</v>
      </c>
      <c r="AO27" s="313">
        <f t="shared" si="48"/>
        <v>10000</v>
      </c>
      <c r="AP27" s="313">
        <f t="shared" ca="1" si="53"/>
        <v>9176.5767123000005</v>
      </c>
      <c r="AQ27" s="313">
        <f t="shared" ca="1" si="50"/>
        <v>9176.5767123000005</v>
      </c>
      <c r="AR27" s="843">
        <f t="shared" ca="1" si="51"/>
        <v>6.7587304869253184E-2</v>
      </c>
      <c r="AS27" s="1007" t="str">
        <f t="shared" ca="1" si="54"/>
        <v>V</v>
      </c>
    </row>
    <row r="28" spans="1:45" outlineLevel="1" x14ac:dyDescent="0.2">
      <c r="A28" s="299"/>
      <c r="B28" s="299"/>
      <c r="C28" s="299" t="str">
        <f t="shared" ca="1" si="11"/>
        <v>XS2374594823:EUR</v>
      </c>
      <c r="D28" s="1014" t="str">
        <f t="shared" ca="1" si="12"/>
        <v>XS2374594823</v>
      </c>
      <c r="E28" s="301" t="str">
        <f t="shared" ca="1" si="12"/>
        <v>113081936</v>
      </c>
      <c r="F28" s="299" t="s">
        <v>471</v>
      </c>
      <c r="G28" s="836">
        <f t="shared" ca="1" si="12"/>
        <v>47526</v>
      </c>
      <c r="H28" s="1680" t="str">
        <f t="shared" ca="1" si="13"/>
        <v></v>
      </c>
      <c r="I28" s="1680" t="str">
        <f t="shared" ca="1" si="14"/>
        <v>i</v>
      </c>
      <c r="J28" s="1708" t="str">
        <f t="shared" ca="1" si="15"/>
        <v></v>
      </c>
      <c r="K28" s="1709" t="str">
        <f t="shared" ca="1" si="15"/>
        <v></v>
      </c>
      <c r="L28" s="1710" t="str">
        <f t="shared" ca="1" si="16"/>
        <v></v>
      </c>
      <c r="M28" s="1780" t="str">
        <f t="shared" ca="1" si="17"/>
        <v>Pct</v>
      </c>
      <c r="N28" s="1015"/>
      <c r="O28" s="1015"/>
      <c r="P28" s="837">
        <f t="shared" ca="1" si="1"/>
        <v>6.6188472152970704E-2</v>
      </c>
      <c r="Q28" s="307">
        <f t="shared" si="35"/>
        <v>10000</v>
      </c>
      <c r="R28" s="307">
        <f t="array" aca="1" ref="R28" ca="1">SUM(IF($AD$16:$AR$16="P_Pos",AD28:AR28))</f>
        <v>-10000</v>
      </c>
      <c r="S28" s="1016"/>
      <c r="T28" s="1016"/>
      <c r="U28" s="298"/>
      <c r="V28" s="307">
        <f t="array" aca="1" ref="V28" ca="1">SUM(IF($AD$16:$AR$16="O_Pos",AD28:AR28))</f>
        <v>0</v>
      </c>
      <c r="W28" s="299" t="str">
        <f t="shared" ca="1" si="19"/>
        <v>EUR</v>
      </c>
      <c r="X28" s="839">
        <f t="shared" ca="1" si="20"/>
        <v>0.89866520547999995</v>
      </c>
      <c r="Y28" s="1017">
        <f t="shared" ca="1" si="20"/>
        <v>3.0508417100000001E-2</v>
      </c>
      <c r="Z28" s="1018">
        <f t="shared" ref="Z28:Z30" ca="1" si="72">_xlfn.NUMBERVALUE(OFFSET(Origine,MATCH(W28&amp;"/"&amp;MRif,LUKB_Name,0),MATCH("Price",Intestazioni,0)-1,1,1))</f>
        <v>1</v>
      </c>
      <c r="AA28" s="197">
        <f>10000</f>
        <v>10000</v>
      </c>
      <c r="AB28" s="312">
        <f t="shared" ca="1" si="52"/>
        <v>5.2239570844798244E-2</v>
      </c>
      <c r="AC28" s="1008">
        <v>0.85404999999999998</v>
      </c>
      <c r="AD28" s="199">
        <f t="shared" ca="1" si="38"/>
        <v>8986.652054799999</v>
      </c>
      <c r="AE28" s="199">
        <f t="shared" ca="1" si="39"/>
        <v>8986.652054799999</v>
      </c>
      <c r="AF28" s="216">
        <f t="shared" ca="1" si="40"/>
        <v>6.6188472152970704E-2</v>
      </c>
      <c r="AG28" s="202">
        <f t="shared" ca="1" si="41"/>
        <v>-10000</v>
      </c>
      <c r="AH28" s="203">
        <f t="shared" ca="1" si="42"/>
        <v>-8986.652054799999</v>
      </c>
      <c r="AI28" s="203">
        <f t="shared" ca="1" si="43"/>
        <v>-8986.652054799999</v>
      </c>
      <c r="AJ28" s="204">
        <f t="shared" ca="1" si="44"/>
        <v>-6.6188472152970704E-2</v>
      </c>
      <c r="AK28" s="205"/>
      <c r="AL28" s="206">
        <f t="shared" ca="1" si="45"/>
        <v>0</v>
      </c>
      <c r="AM28" s="206">
        <f t="shared" ca="1" si="46"/>
        <v>0</v>
      </c>
      <c r="AN28" s="207">
        <f t="shared" ca="1" si="47"/>
        <v>0</v>
      </c>
      <c r="AO28" s="313">
        <f t="shared" si="48"/>
        <v>10000</v>
      </c>
      <c r="AP28" s="313">
        <f t="shared" ca="1" si="53"/>
        <v>8986.652054799999</v>
      </c>
      <c r="AQ28" s="313">
        <f t="shared" ca="1" si="50"/>
        <v>8986.652054799999</v>
      </c>
      <c r="AR28" s="843">
        <f t="shared" ca="1" si="51"/>
        <v>6.6188472152970704E-2</v>
      </c>
      <c r="AS28" s="1007" t="str">
        <f t="shared" ca="1" si="54"/>
        <v>V</v>
      </c>
    </row>
    <row r="29" spans="1:45" outlineLevel="1" x14ac:dyDescent="0.2">
      <c r="A29" s="299"/>
      <c r="B29" s="299"/>
      <c r="C29" s="299" t="str">
        <f t="shared" ca="1" si="11"/>
        <v>DE000BHY0C47:EUR:P</v>
      </c>
      <c r="D29" s="1014" t="str">
        <f t="shared" ca="1" si="12"/>
        <v>DE000BHY0C47</v>
      </c>
      <c r="E29" s="301" t="str">
        <f t="shared" ca="1" si="12"/>
        <v>59577377</v>
      </c>
      <c r="F29" s="299" t="s">
        <v>4233</v>
      </c>
      <c r="G29" s="836">
        <f t="shared" ca="1" si="12"/>
        <v>47875</v>
      </c>
      <c r="H29" s="1680" t="str">
        <f t="shared" ca="1" si="13"/>
        <v></v>
      </c>
      <c r="I29" s="1680" t="str">
        <f t="shared" ca="1" si="14"/>
        <v>i</v>
      </c>
      <c r="J29" s="1708" t="str">
        <f t="shared" ca="1" si="15"/>
        <v></v>
      </c>
      <c r="K29" s="1709" t="str">
        <f t="shared" ca="1" si="15"/>
        <v></v>
      </c>
      <c r="L29" s="1710" t="str">
        <f t="shared" ca="1" si="16"/>
        <v></v>
      </c>
      <c r="M29" s="1780" t="str">
        <f t="shared" ca="1" si="17"/>
        <v>Pct</v>
      </c>
      <c r="N29" s="1015"/>
      <c r="O29" s="1015"/>
      <c r="P29" s="837">
        <f t="shared" ca="1" si="1"/>
        <v>3.2348302943375956E-2</v>
      </c>
      <c r="Q29" s="307">
        <f t="shared" si="35"/>
        <v>5000</v>
      </c>
      <c r="R29" s="307">
        <f t="array" aca="1" ref="R29" ca="1">SUM(IF($AD$16:$AR$16="P_Pos",AD29:AR29))</f>
        <v>-5000</v>
      </c>
      <c r="S29" s="1016"/>
      <c r="T29" s="1016"/>
      <c r="U29" s="298"/>
      <c r="V29" s="307">
        <f t="array" aca="1" ref="V29" ca="1">SUM(IF($AD$16:$AR$16="O_Pos",AD29:AR29))</f>
        <v>0</v>
      </c>
      <c r="W29" s="299" t="str">
        <f t="shared" ca="1" si="19"/>
        <v>EUR</v>
      </c>
      <c r="X29" s="839">
        <f t="shared" ca="1" si="20"/>
        <v>0.87840958903999999</v>
      </c>
      <c r="Y29" s="1017">
        <f t="shared" ca="1" si="20"/>
        <v>2.6126180650000001E-2</v>
      </c>
      <c r="Z29" s="1018">
        <f t="shared" ca="1" si="72"/>
        <v>1</v>
      </c>
      <c r="AA29" s="197">
        <f>5000</f>
        <v>5000</v>
      </c>
      <c r="AB29" s="312">
        <f t="shared" ca="1" si="52"/>
        <v>1.4329779491916828E-2</v>
      </c>
      <c r="AC29" s="1008">
        <v>0.86599999999999999</v>
      </c>
      <c r="AD29" s="199">
        <f t="shared" ca="1" si="38"/>
        <v>4392.0479452</v>
      </c>
      <c r="AE29" s="199">
        <f t="shared" ca="1" si="39"/>
        <v>4392.0479452</v>
      </c>
      <c r="AF29" s="216">
        <f t="shared" ca="1" si="40"/>
        <v>3.2348302943375956E-2</v>
      </c>
      <c r="AG29" s="202">
        <f t="shared" ca="1" si="41"/>
        <v>-5000</v>
      </c>
      <c r="AH29" s="203">
        <f t="shared" ca="1" si="42"/>
        <v>-4392.0479452</v>
      </c>
      <c r="AI29" s="203">
        <f t="shared" ca="1" si="43"/>
        <v>-4392.0479452</v>
      </c>
      <c r="AJ29" s="204">
        <f t="shared" ca="1" si="44"/>
        <v>-3.2348302943375956E-2</v>
      </c>
      <c r="AK29" s="205"/>
      <c r="AL29" s="206">
        <f t="shared" ca="1" si="45"/>
        <v>0</v>
      </c>
      <c r="AM29" s="206">
        <f t="shared" ca="1" si="46"/>
        <v>0</v>
      </c>
      <c r="AN29" s="207">
        <f t="shared" ca="1" si="47"/>
        <v>0</v>
      </c>
      <c r="AO29" s="313">
        <f t="shared" si="48"/>
        <v>5000</v>
      </c>
      <c r="AP29" s="313">
        <f t="shared" ca="1" si="53"/>
        <v>4392.0479452</v>
      </c>
      <c r="AQ29" s="313">
        <f t="shared" ca="1" si="50"/>
        <v>4392.0479452</v>
      </c>
      <c r="AR29" s="843">
        <f t="shared" ca="1" si="51"/>
        <v>3.2348302943375956E-2</v>
      </c>
      <c r="AS29" s="1007" t="str">
        <f t="shared" ca="1" si="54"/>
        <v>V</v>
      </c>
    </row>
    <row r="30" spans="1:45" outlineLevel="1" x14ac:dyDescent="0.2">
      <c r="A30" s="299"/>
      <c r="B30" s="299"/>
      <c r="C30" s="299" t="str">
        <f t="shared" ca="1" si="11"/>
        <v>XS2389353264:EUR:P</v>
      </c>
      <c r="D30" s="1014" t="str">
        <f t="shared" ca="1" si="12"/>
        <v>XS2389353264</v>
      </c>
      <c r="E30" s="301" t="str">
        <f t="shared" ca="1" si="12"/>
        <v>113789568</v>
      </c>
      <c r="F30" s="299" t="s">
        <v>384</v>
      </c>
      <c r="G30" s="836">
        <f t="shared" ca="1" si="12"/>
        <v>48296</v>
      </c>
      <c r="H30" s="1680" t="str">
        <f t="shared" ca="1" si="13"/>
        <v></v>
      </c>
      <c r="I30" s="1680" t="str">
        <f t="shared" ca="1" si="14"/>
        <v>i</v>
      </c>
      <c r="J30" s="1708" t="str">
        <f t="shared" ca="1" si="15"/>
        <v></v>
      </c>
      <c r="K30" s="1709" t="str">
        <f t="shared" ca="1" si="15"/>
        <v></v>
      </c>
      <c r="L30" s="1710" t="str">
        <f t="shared" ca="1" si="16"/>
        <v></v>
      </c>
      <c r="M30" s="1780" t="str">
        <f t="shared" ca="1" si="17"/>
        <v>Pct</v>
      </c>
      <c r="N30" s="1015"/>
      <c r="O30" s="1015"/>
      <c r="P30" s="837">
        <f t="shared" ca="1" si="1"/>
        <v>3.1960505087827558E-2</v>
      </c>
      <c r="Q30" s="307">
        <f t="shared" si="35"/>
        <v>5000</v>
      </c>
      <c r="R30" s="307">
        <f t="array" aca="1" ref="R30" ca="1">SUM(IF($AD$16:$AR$16="P_Pos",AD30:AR30))</f>
        <v>-5000</v>
      </c>
      <c r="S30" s="1016"/>
      <c r="T30" s="1016"/>
      <c r="U30" s="298"/>
      <c r="V30" s="307">
        <f t="array" aca="1" ref="V30" ca="1">SUM(IF($AD$16:$AR$16="O_Pos",AD30:AR30))</f>
        <v>0</v>
      </c>
      <c r="W30" s="299" t="str">
        <f t="shared" ca="1" si="19"/>
        <v>EUR</v>
      </c>
      <c r="X30" s="839">
        <f t="shared" ca="1" si="20"/>
        <v>0.86787904110000003</v>
      </c>
      <c r="Y30" s="1017">
        <f t="shared" ca="1" si="20"/>
        <v>3.3285636559999998E-2</v>
      </c>
      <c r="Z30" s="1018">
        <f t="shared" ca="1" si="72"/>
        <v>1</v>
      </c>
      <c r="AA30" s="197">
        <f>5000</f>
        <v>5000</v>
      </c>
      <c r="AB30" s="312">
        <f t="shared" ca="1" si="52"/>
        <v>6.2365693913042364E-3</v>
      </c>
      <c r="AC30" s="1008">
        <v>0.86250000000000004</v>
      </c>
      <c r="AD30" s="199">
        <f t="shared" ca="1" si="38"/>
        <v>4339.3952055</v>
      </c>
      <c r="AE30" s="199">
        <f t="shared" ca="1" si="39"/>
        <v>4339.3952055</v>
      </c>
      <c r="AF30" s="216">
        <f t="shared" ca="1" si="40"/>
        <v>3.1960505087827558E-2</v>
      </c>
      <c r="AG30" s="202">
        <f t="shared" ca="1" si="41"/>
        <v>-5000</v>
      </c>
      <c r="AH30" s="203">
        <f t="shared" ca="1" si="42"/>
        <v>-4339.3952055</v>
      </c>
      <c r="AI30" s="203">
        <f t="shared" ca="1" si="43"/>
        <v>-4339.3952055</v>
      </c>
      <c r="AJ30" s="204">
        <f t="shared" ca="1" si="44"/>
        <v>-3.1960505087827558E-2</v>
      </c>
      <c r="AK30" s="205"/>
      <c r="AL30" s="206">
        <f t="shared" ca="1" si="45"/>
        <v>0</v>
      </c>
      <c r="AM30" s="206">
        <f t="shared" ca="1" si="46"/>
        <v>0</v>
      </c>
      <c r="AN30" s="207">
        <f t="shared" ca="1" si="47"/>
        <v>0</v>
      </c>
      <c r="AO30" s="313">
        <f t="shared" si="48"/>
        <v>5000</v>
      </c>
      <c r="AP30" s="313">
        <f t="shared" ca="1" si="53"/>
        <v>4339.3952055</v>
      </c>
      <c r="AQ30" s="313">
        <f t="shared" ca="1" si="50"/>
        <v>4339.3952055</v>
      </c>
      <c r="AR30" s="843">
        <f t="shared" ca="1" si="51"/>
        <v>3.1960505087827558E-2</v>
      </c>
      <c r="AS30" s="1007" t="str">
        <f t="shared" ca="1" si="54"/>
        <v>V</v>
      </c>
    </row>
    <row r="31" spans="1:45" outlineLevel="1" x14ac:dyDescent="0.2">
      <c r="A31" s="299"/>
      <c r="B31" s="299"/>
      <c r="C31" s="299" t="str">
        <f t="shared" ca="1" si="11"/>
        <v>IE00B0M62X26:EUR</v>
      </c>
      <c r="D31" s="1014" t="str">
        <f t="shared" ca="1" si="12"/>
        <v>IE00B0M62X26</v>
      </c>
      <c r="E31" s="301" t="str">
        <f t="shared" ca="1" si="12"/>
        <v>2308827</v>
      </c>
      <c r="F31" s="299" t="s">
        <v>647</v>
      </c>
      <c r="G31" s="836" t="str">
        <f t="shared" ca="1" si="12"/>
        <v/>
      </c>
      <c r="H31" s="1680" t="str">
        <f t="shared" ca="1" si="13"/>
        <v></v>
      </c>
      <c r="I31" s="1680" t="str">
        <f t="shared" ca="1" si="14"/>
        <v>i</v>
      </c>
      <c r="J31" s="1708" t="str">
        <f t="shared" ca="1" si="15"/>
        <v></v>
      </c>
      <c r="K31" s="1709" t="str">
        <f t="shared" ca="1" si="15"/>
        <v></v>
      </c>
      <c r="L31" s="1710" t="str">
        <f t="shared" ca="1" si="16"/>
        <v></v>
      </c>
      <c r="M31" s="1780" t="str">
        <f t="shared" ca="1" si="17"/>
        <v>Unit</v>
      </c>
      <c r="N31" s="1015"/>
      <c r="O31" s="1015"/>
      <c r="P31" s="837">
        <f t="shared" ca="1" si="1"/>
        <v>0</v>
      </c>
      <c r="Q31" s="307">
        <f t="shared" ref="Q31:Q41" si="73">SUMIF($AA$16:$AR$16,"I_Pos",AA31:AR31)</f>
        <v>0</v>
      </c>
      <c r="R31" s="307">
        <f t="array" aca="1" ref="R31" ca="1">SUM(IF($AD$16:$AR$16="P_Pos",AD31:AR31))</f>
        <v>0</v>
      </c>
      <c r="S31" s="1016"/>
      <c r="T31" s="1016"/>
      <c r="U31" s="298"/>
      <c r="V31" s="307">
        <f t="array" aca="1" ref="V31" ca="1">SUM(IF($AD$16:$AR$16="O_Pos",AD31:AR31))</f>
        <v>0</v>
      </c>
      <c r="W31" s="299" t="str">
        <f t="shared" ca="1" si="19"/>
        <v>EUR</v>
      </c>
      <c r="X31" s="845">
        <f t="shared" ca="1" si="20"/>
        <v>236.08</v>
      </c>
      <c r="Y31" s="1017">
        <f t="shared" ca="1" si="20"/>
        <v>0</v>
      </c>
      <c r="Z31" s="1018">
        <f t="shared" ca="1" si="36"/>
        <v>1</v>
      </c>
      <c r="AA31" s="197">
        <f>115+100+-215</f>
        <v>0</v>
      </c>
      <c r="AB31" s="312" t="str">
        <f t="shared" ca="1" si="37"/>
        <v/>
      </c>
      <c r="AC31" s="1008"/>
      <c r="AD31" s="199">
        <f t="shared" ref="AD31:AD41" ca="1" si="74">AA31*$X31</f>
        <v>0</v>
      </c>
      <c r="AE31" s="199">
        <f t="shared" ref="AE31:AE41" ca="1" si="75">AD31*$Z31</f>
        <v>0</v>
      </c>
      <c r="AF31" s="216">
        <f t="shared" ca="1" si="2"/>
        <v>0</v>
      </c>
      <c r="AG31" s="202">
        <f t="shared" ref="AG31:AG41" ca="1" si="76">AH31/$X31</f>
        <v>0</v>
      </c>
      <c r="AH31" s="203">
        <f t="shared" ref="AH31:AH41" ca="1" si="77">AI31/$Z31</f>
        <v>0</v>
      </c>
      <c r="AI31" s="203">
        <f t="shared" ref="AI31:AI41" ca="1" si="78">AJ31*AA$4</f>
        <v>0</v>
      </c>
      <c r="AJ31" s="204">
        <f t="shared" ref="AJ31:AJ41" ca="1" si="79">$N31-AF31</f>
        <v>0</v>
      </c>
      <c r="AK31" s="205"/>
      <c r="AL31" s="206">
        <f t="shared" ref="AL31:AL41" ca="1" si="80">AK31*$X31</f>
        <v>0</v>
      </c>
      <c r="AM31" s="206">
        <f t="shared" ref="AM31:AM41" ca="1" si="81">AL31*$Z31</f>
        <v>0</v>
      </c>
      <c r="AN31" s="207">
        <f t="shared" ca="1" si="3"/>
        <v>0</v>
      </c>
      <c r="AO31" s="313">
        <f t="shared" ref="AO31:AO41" si="82">AA31+AK31</f>
        <v>0</v>
      </c>
      <c r="AP31" s="313">
        <f t="shared" ca="1" si="49"/>
        <v>0</v>
      </c>
      <c r="AQ31" s="313">
        <f t="shared" ref="AQ31:AQ41" ca="1" si="83">AP31*$Z31</f>
        <v>0</v>
      </c>
      <c r="AR31" s="843">
        <f t="shared" ref="AR31:AR55" ca="1" si="84">IFERROR(AQ31/AA$4,0)</f>
        <v>0</v>
      </c>
      <c r="AS31" s="1007" t="str">
        <f t="shared" ca="1" si="9"/>
        <v/>
      </c>
    </row>
    <row r="32" spans="1:45" outlineLevel="1" x14ac:dyDescent="0.2">
      <c r="A32" s="299"/>
      <c r="B32" s="299"/>
      <c r="C32" s="299" t="str">
        <f t="shared" ca="1" si="11"/>
        <v>LU1287023342:EUR</v>
      </c>
      <c r="D32" s="300" t="s">
        <v>836</v>
      </c>
      <c r="E32" s="301" t="str">
        <f t="shared" ca="1" si="12"/>
        <v>31879455</v>
      </c>
      <c r="F32" s="299" t="s">
        <v>742</v>
      </c>
      <c r="G32" s="836" t="str">
        <f t="shared" ca="1" si="12"/>
        <v/>
      </c>
      <c r="H32" s="1680" t="str">
        <f t="shared" ca="1" si="13"/>
        <v></v>
      </c>
      <c r="I32" s="1680" t="str">
        <f t="shared" ref="I32" ca="1" si="85">HYPERLINK(OFFSET(Origine,MATCH($F32,Descrizioni,0),MATCH(I$16,Intestazioni,0)-1,1,1),"i")</f>
        <v>i</v>
      </c>
      <c r="J32" s="1708" t="str">
        <f t="shared" ref="J32:K32" ca="1" si="86">HYPERLINK(OFFSET(Origine,MATCH($F32,Descrizioni,0),MATCH(J$16,Intestazioni,0)-1,1,1),"")</f>
        <v></v>
      </c>
      <c r="K32" s="1709" t="str">
        <f t="shared" ca="1" si="86"/>
        <v></v>
      </c>
      <c r="L32" s="1710" t="str">
        <f t="shared" ca="1" si="16"/>
        <v></v>
      </c>
      <c r="M32" s="1780" t="str">
        <f t="shared" ca="1" si="17"/>
        <v>Unit</v>
      </c>
      <c r="N32" s="1020"/>
      <c r="O32" s="1020"/>
      <c r="P32" s="1021">
        <f t="shared" ca="1" si="1"/>
        <v>0</v>
      </c>
      <c r="Q32" s="307">
        <f t="shared" si="73"/>
        <v>0</v>
      </c>
      <c r="R32" s="307">
        <f t="array" aca="1" ref="R32" ca="1">SUM(IF($AD$16:$AR$16="P_Pos",AD32:AR32))</f>
        <v>0</v>
      </c>
      <c r="S32" s="1016"/>
      <c r="T32" s="1016"/>
      <c r="U32" s="298"/>
      <c r="V32" s="307">
        <f t="array" aca="1" ref="V32" ca="1">SUM(IF($AD$16:$AR$16="O_Pos",AD32:AR32))</f>
        <v>0</v>
      </c>
      <c r="W32" s="299" t="str">
        <f t="shared" ref="W32" ca="1" si="87">OFFSET(Origine,MATCH($F32,Descrizioni,0),MATCH(W$16,Intestazioni,0)-1,1,1)</f>
        <v>EUR</v>
      </c>
      <c r="X32" s="845">
        <f ca="1">_xlfn.NUMBERVALUE(OFFSET(Origine,MATCH($F32,Descrizioni,0),MATCH(X$16,Intestazioni,0)-1,1,1))</f>
        <v>127.56</v>
      </c>
      <c r="Y32" s="1017">
        <f t="shared" ca="1" si="20"/>
        <v>0</v>
      </c>
      <c r="Z32" s="1018">
        <f t="shared" ca="1" si="36"/>
        <v>1</v>
      </c>
      <c r="AA32" s="197"/>
      <c r="AB32" s="312" t="str">
        <f t="shared" ca="1" si="37"/>
        <v/>
      </c>
      <c r="AC32" s="1008"/>
      <c r="AD32" s="199">
        <f t="shared" ca="1" si="74"/>
        <v>0</v>
      </c>
      <c r="AE32" s="199">
        <f t="shared" ca="1" si="75"/>
        <v>0</v>
      </c>
      <c r="AF32" s="216">
        <f t="shared" ca="1" si="2"/>
        <v>0</v>
      </c>
      <c r="AG32" s="202">
        <f t="shared" ca="1" si="76"/>
        <v>0</v>
      </c>
      <c r="AH32" s="203">
        <f t="shared" ca="1" si="77"/>
        <v>0</v>
      </c>
      <c r="AI32" s="203">
        <f t="shared" ca="1" si="78"/>
        <v>0</v>
      </c>
      <c r="AJ32" s="204">
        <f t="shared" ca="1" si="79"/>
        <v>0</v>
      </c>
      <c r="AK32" s="205"/>
      <c r="AL32" s="206">
        <f t="shared" ca="1" si="80"/>
        <v>0</v>
      </c>
      <c r="AM32" s="206">
        <f t="shared" ca="1" si="81"/>
        <v>0</v>
      </c>
      <c r="AN32" s="207">
        <f t="shared" ca="1" si="3"/>
        <v>0</v>
      </c>
      <c r="AO32" s="313">
        <f t="shared" si="82"/>
        <v>0</v>
      </c>
      <c r="AP32" s="313">
        <f t="shared" ca="1" si="49"/>
        <v>0</v>
      </c>
      <c r="AQ32" s="313">
        <f t="shared" ca="1" si="83"/>
        <v>0</v>
      </c>
      <c r="AR32" s="843">
        <f t="shared" ca="1" si="84"/>
        <v>0</v>
      </c>
      <c r="AS32" s="1007" t="str">
        <f t="shared" ca="1" si="9"/>
        <v/>
      </c>
    </row>
    <row r="33" spans="1:45" outlineLevel="1" x14ac:dyDescent="0.2">
      <c r="A33" s="299"/>
      <c r="B33" s="299"/>
      <c r="C33" s="299" t="str">
        <f t="shared" ca="1" si="11"/>
        <v>LU1681046774:EUR</v>
      </c>
      <c r="D33" s="300" t="str">
        <f t="shared" ca="1" si="12"/>
        <v>LU1681046774</v>
      </c>
      <c r="E33" s="301" t="str">
        <f t="shared" ca="1" si="12"/>
        <v>38785045</v>
      </c>
      <c r="F33" s="299" t="s">
        <v>837</v>
      </c>
      <c r="G33" s="836" t="str">
        <f t="shared" ca="1" si="12"/>
        <v/>
      </c>
      <c r="H33" s="1680" t="str">
        <f t="shared" ca="1" si="13"/>
        <v></v>
      </c>
      <c r="I33" s="1680" t="str">
        <f t="shared" ref="I33" ca="1" si="88">HYPERLINK(OFFSET(Origine,MATCH($F33,Descrizioni,0),MATCH(I$16,Intestazioni,0)-1,1,1),"i")</f>
        <v>i</v>
      </c>
      <c r="J33" s="1708" t="str">
        <f t="shared" ref="J33:K33" ca="1" si="89">HYPERLINK(OFFSET(Origine,MATCH($F33,Descrizioni,0),MATCH(J$16,Intestazioni,0)-1,1,1),"")</f>
        <v></v>
      </c>
      <c r="K33" s="1709" t="str">
        <f t="shared" ca="1" si="89"/>
        <v></v>
      </c>
      <c r="L33" s="1710" t="str">
        <f t="shared" ca="1" si="16"/>
        <v></v>
      </c>
      <c r="M33" s="1780" t="str">
        <f t="shared" ca="1" si="17"/>
        <v>Unit</v>
      </c>
      <c r="N33" s="1020"/>
      <c r="O33" s="1020"/>
      <c r="P33" s="1021">
        <f t="shared" ca="1" si="1"/>
        <v>0</v>
      </c>
      <c r="Q33" s="307">
        <f t="shared" si="73"/>
        <v>0</v>
      </c>
      <c r="R33" s="307">
        <f t="array" aca="1" ref="R33" ca="1">SUM(IF($AD$16:$AR$16="P_Pos",AD33:AR33))</f>
        <v>0</v>
      </c>
      <c r="S33" s="1016"/>
      <c r="T33" s="1016"/>
      <c r="U33" s="298"/>
      <c r="V33" s="307">
        <f t="array" aca="1" ref="V33" ca="1">SUM(IF($AD$16:$AR$16="O_Pos",AD33:AR33))</f>
        <v>0</v>
      </c>
      <c r="W33" s="299" t="str">
        <f t="shared" ref="W33" ca="1" si="90">OFFSET(Origine,MATCH($F33,Descrizioni,0),MATCH(W$16,Intestazioni,0)-1,1,1)</f>
        <v>EUR</v>
      </c>
      <c r="X33" s="845">
        <f ca="1">_xlfn.NUMBERVALUE(OFFSET(Origine,MATCH($F33,Descrizioni,0),MATCH(X$16,Intestazioni,0)-1,1,1))</f>
        <v>236.44</v>
      </c>
      <c r="Y33" s="1017">
        <f t="shared" ca="1" si="20"/>
        <v>0</v>
      </c>
      <c r="Z33" s="1018">
        <f t="shared" ca="1" si="36"/>
        <v>1</v>
      </c>
      <c r="AA33" s="197"/>
      <c r="AB33" s="312" t="str">
        <f t="shared" ca="1" si="37"/>
        <v/>
      </c>
      <c r="AC33" s="1008"/>
      <c r="AD33" s="199">
        <f t="shared" ca="1" si="74"/>
        <v>0</v>
      </c>
      <c r="AE33" s="199">
        <f t="shared" ca="1" si="75"/>
        <v>0</v>
      </c>
      <c r="AF33" s="216">
        <f t="shared" ca="1" si="2"/>
        <v>0</v>
      </c>
      <c r="AG33" s="202">
        <f t="shared" ca="1" si="76"/>
        <v>0</v>
      </c>
      <c r="AH33" s="203">
        <f t="shared" ca="1" si="77"/>
        <v>0</v>
      </c>
      <c r="AI33" s="203">
        <f t="shared" ca="1" si="78"/>
        <v>0</v>
      </c>
      <c r="AJ33" s="204">
        <f t="shared" ca="1" si="79"/>
        <v>0</v>
      </c>
      <c r="AK33" s="205"/>
      <c r="AL33" s="206">
        <f t="shared" ca="1" si="80"/>
        <v>0</v>
      </c>
      <c r="AM33" s="206">
        <f t="shared" ca="1" si="81"/>
        <v>0</v>
      </c>
      <c r="AN33" s="207">
        <f t="shared" ca="1" si="3"/>
        <v>0</v>
      </c>
      <c r="AO33" s="313">
        <f t="shared" si="82"/>
        <v>0</v>
      </c>
      <c r="AP33" s="313">
        <f t="shared" ca="1" si="49"/>
        <v>0</v>
      </c>
      <c r="AQ33" s="313">
        <f t="shared" ca="1" si="83"/>
        <v>0</v>
      </c>
      <c r="AR33" s="843">
        <f t="shared" ca="1" si="84"/>
        <v>0</v>
      </c>
      <c r="AS33" s="1007" t="str">
        <f t="shared" ca="1" si="9"/>
        <v/>
      </c>
    </row>
    <row r="34" spans="1:45" outlineLevel="1" x14ac:dyDescent="0.2">
      <c r="A34" s="299"/>
      <c r="B34" s="299"/>
      <c r="C34" s="299" t="str">
        <f t="shared" ca="1" si="11"/>
        <v>LU1399300455:EUR</v>
      </c>
      <c r="D34" s="300" t="str">
        <f t="shared" ca="1" si="12"/>
        <v>LU1399300455</v>
      </c>
      <c r="E34" s="301" t="str">
        <f t="shared" ca="1" si="12"/>
        <v>34645021</v>
      </c>
      <c r="F34" s="299" t="s">
        <v>838</v>
      </c>
      <c r="G34" s="836" t="str">
        <f t="shared" ca="1" si="12"/>
        <v/>
      </c>
      <c r="H34" s="1680" t="str">
        <f t="shared" ca="1" si="13"/>
        <v></v>
      </c>
      <c r="I34" s="1680" t="str">
        <f t="shared" ref="I34" ca="1" si="91">HYPERLINK(OFFSET(Origine,MATCH($F34,Descrizioni,0),MATCH(I$16,Intestazioni,0)-1,1,1),"i")</f>
        <v>i</v>
      </c>
      <c r="J34" s="1708" t="str">
        <f t="shared" ref="J34:K34" ca="1" si="92">HYPERLINK(OFFSET(Origine,MATCH($F34,Descrizioni,0),MATCH(J$16,Intestazioni,0)-1,1,1),"")</f>
        <v></v>
      </c>
      <c r="K34" s="1709" t="str">
        <f t="shared" ca="1" si="92"/>
        <v></v>
      </c>
      <c r="L34" s="1710" t="str">
        <f t="shared" ca="1" si="16"/>
        <v></v>
      </c>
      <c r="M34" s="1780" t="str">
        <f t="shared" ca="1" si="17"/>
        <v>Unit</v>
      </c>
      <c r="N34" s="1022"/>
      <c r="O34" s="1022"/>
      <c r="P34" s="1023">
        <f t="shared" ca="1" si="1"/>
        <v>0</v>
      </c>
      <c r="Q34" s="307">
        <f t="shared" si="73"/>
        <v>0</v>
      </c>
      <c r="R34" s="307">
        <f t="array" aca="1" ref="R34" ca="1">SUM(IF($AD$16:$AR$16="P_Pos",AD34:AR34))</f>
        <v>0</v>
      </c>
      <c r="S34" s="1016"/>
      <c r="T34" s="1016"/>
      <c r="U34" s="298"/>
      <c r="V34" s="307">
        <f t="array" aca="1" ref="V34" ca="1">SUM(IF($AD$16:$AR$16="O_Pos",AD34:AR34))</f>
        <v>0</v>
      </c>
      <c r="W34" s="299" t="str">
        <f t="shared" ref="W34" ca="1" si="93">OFFSET(Origine,MATCH($F34,Descrizioni,0),MATCH(W$16,Intestazioni,0)-1,1,1)</f>
        <v>EUR</v>
      </c>
      <c r="X34" s="845">
        <f t="shared" ref="X34" ca="1" si="94">_xlfn.NUMBERVALUE(OFFSET(Origine,MATCH($F34,Descrizioni,0),MATCH(X$16,Intestazioni,0)-1,1,1))</f>
        <v>92.037999999999997</v>
      </c>
      <c r="Y34" s="1017">
        <f t="shared" ca="1" si="20"/>
        <v>0</v>
      </c>
      <c r="Z34" s="1018">
        <f t="shared" ca="1" si="36"/>
        <v>1</v>
      </c>
      <c r="AA34" s="197"/>
      <c r="AB34" s="312" t="str">
        <f t="shared" ca="1" si="37"/>
        <v/>
      </c>
      <c r="AC34" s="1008"/>
      <c r="AD34" s="199">
        <f t="shared" ca="1" si="74"/>
        <v>0</v>
      </c>
      <c r="AE34" s="199">
        <f t="shared" ca="1" si="75"/>
        <v>0</v>
      </c>
      <c r="AF34" s="216">
        <f t="shared" ca="1" si="2"/>
        <v>0</v>
      </c>
      <c r="AG34" s="202">
        <f t="shared" ca="1" si="76"/>
        <v>0</v>
      </c>
      <c r="AH34" s="203">
        <f t="shared" ca="1" si="77"/>
        <v>0</v>
      </c>
      <c r="AI34" s="203">
        <f t="shared" ca="1" si="78"/>
        <v>0</v>
      </c>
      <c r="AJ34" s="204">
        <f t="shared" ca="1" si="79"/>
        <v>0</v>
      </c>
      <c r="AK34" s="205"/>
      <c r="AL34" s="206">
        <f t="shared" ca="1" si="80"/>
        <v>0</v>
      </c>
      <c r="AM34" s="206">
        <f t="shared" ca="1" si="81"/>
        <v>0</v>
      </c>
      <c r="AN34" s="207">
        <f t="shared" ca="1" si="3"/>
        <v>0</v>
      </c>
      <c r="AO34" s="313">
        <f t="shared" si="82"/>
        <v>0</v>
      </c>
      <c r="AP34" s="313">
        <f t="shared" ca="1" si="49"/>
        <v>0</v>
      </c>
      <c r="AQ34" s="313">
        <f t="shared" ca="1" si="83"/>
        <v>0</v>
      </c>
      <c r="AR34" s="843">
        <f t="shared" ca="1" si="84"/>
        <v>0</v>
      </c>
      <c r="AS34" s="1007" t="str">
        <f t="shared" ca="1" si="9"/>
        <v/>
      </c>
    </row>
    <row r="35" spans="1:45" outlineLevel="1" x14ac:dyDescent="0.2">
      <c r="A35" s="299"/>
      <c r="B35" s="299"/>
      <c r="C35" s="299" t="str">
        <f t="shared" ca="1" si="11"/>
        <v>IE00B3DKXQ41:EUR:STU</v>
      </c>
      <c r="D35" s="300" t="str">
        <f t="shared" ca="1" si="12"/>
        <v>IE00B3DKXQ41</v>
      </c>
      <c r="E35" s="301" t="str">
        <f t="shared" ca="1" si="12"/>
        <v>10012758</v>
      </c>
      <c r="F35" s="299" t="s">
        <v>839</v>
      </c>
      <c r="G35" s="836" t="str">
        <f t="shared" ca="1" si="12"/>
        <v/>
      </c>
      <c r="H35" s="1680" t="str">
        <f t="shared" ca="1" si="13"/>
        <v></v>
      </c>
      <c r="I35" s="1680" t="str">
        <f t="shared" ref="I35" ca="1" si="95">HYPERLINK(OFFSET(Origine,MATCH($F35,Descrizioni,0),MATCH(I$16,Intestazioni,0)-1,1,1),"i")</f>
        <v>i</v>
      </c>
      <c r="J35" s="1708" t="str">
        <f t="shared" ref="J35:K35" ca="1" si="96">HYPERLINK(OFFSET(Origine,MATCH($F35,Descrizioni,0),MATCH(J$16,Intestazioni,0)-1,1,1),"")</f>
        <v></v>
      </c>
      <c r="K35" s="1709" t="str">
        <f t="shared" ca="1" si="96"/>
        <v></v>
      </c>
      <c r="L35" s="1710" t="str">
        <f t="shared" ca="1" si="16"/>
        <v></v>
      </c>
      <c r="M35" s="1780" t="str">
        <f t="shared" ca="1" si="17"/>
        <v>Unit</v>
      </c>
      <c r="N35" s="1015"/>
      <c r="O35" s="1015"/>
      <c r="P35" s="837">
        <f t="shared" ca="1" si="1"/>
        <v>0</v>
      </c>
      <c r="Q35" s="307">
        <f t="shared" si="73"/>
        <v>0</v>
      </c>
      <c r="R35" s="307">
        <f t="array" aca="1" ref="R35" ca="1">SUM(IF($AD$16:$AR$16="P_Pos",AD35:AR35))</f>
        <v>0</v>
      </c>
      <c r="S35" s="1016"/>
      <c r="T35" s="1016"/>
      <c r="U35" s="298"/>
      <c r="V35" s="307">
        <f t="array" aca="1" ref="V35" ca="1">SUM(IF($AD$16:$AR$16="O_Pos",AD35:AR35))</f>
        <v>0</v>
      </c>
      <c r="W35" s="299" t="str">
        <f t="shared" ref="W35" ca="1" si="97">OFFSET(Origine,MATCH($F35,Descrizioni,0),MATCH(W$16,Intestazioni,0)-1,1,1)</f>
        <v>EUR</v>
      </c>
      <c r="X35" s="845">
        <f t="shared" ref="X35" ca="1" si="98">_xlfn.NUMBERVALUE(OFFSET(Origine,MATCH($F35,Descrizioni,0),MATCH(X$16,Intestazioni,0)-1,1,1))</f>
        <v>107.9</v>
      </c>
      <c r="Y35" s="1017">
        <f t="shared" ca="1" si="20"/>
        <v>0</v>
      </c>
      <c r="Z35" s="1018">
        <f t="shared" ca="1" si="36"/>
        <v>1</v>
      </c>
      <c r="AA35" s="197">
        <f>200+-200</f>
        <v>0</v>
      </c>
      <c r="AB35" s="312" t="str">
        <f t="shared" ca="1" si="37"/>
        <v/>
      </c>
      <c r="AC35" s="1008"/>
      <c r="AD35" s="199">
        <f t="shared" ca="1" si="74"/>
        <v>0</v>
      </c>
      <c r="AE35" s="199">
        <f t="shared" ca="1" si="75"/>
        <v>0</v>
      </c>
      <c r="AF35" s="216">
        <f t="shared" ca="1" si="2"/>
        <v>0</v>
      </c>
      <c r="AG35" s="202">
        <f t="shared" ca="1" si="76"/>
        <v>0</v>
      </c>
      <c r="AH35" s="203">
        <f t="shared" ca="1" si="77"/>
        <v>0</v>
      </c>
      <c r="AI35" s="203">
        <f t="shared" ca="1" si="78"/>
        <v>0</v>
      </c>
      <c r="AJ35" s="204">
        <f t="shared" ca="1" si="79"/>
        <v>0</v>
      </c>
      <c r="AK35" s="205"/>
      <c r="AL35" s="206">
        <f t="shared" ca="1" si="80"/>
        <v>0</v>
      </c>
      <c r="AM35" s="206">
        <f t="shared" ca="1" si="81"/>
        <v>0</v>
      </c>
      <c r="AN35" s="207">
        <f t="shared" ca="1" si="3"/>
        <v>0</v>
      </c>
      <c r="AO35" s="313">
        <f t="shared" si="82"/>
        <v>0</v>
      </c>
      <c r="AP35" s="313">
        <f t="shared" ca="1" si="49"/>
        <v>0</v>
      </c>
      <c r="AQ35" s="313">
        <f t="shared" ca="1" si="83"/>
        <v>0</v>
      </c>
      <c r="AR35" s="843">
        <f t="shared" ca="1" si="84"/>
        <v>0</v>
      </c>
      <c r="AS35" s="1007" t="str">
        <f t="shared" ca="1" si="9"/>
        <v/>
      </c>
    </row>
    <row r="36" spans="1:45" s="413" customFormat="1" outlineLevel="1" x14ac:dyDescent="0.2">
      <c r="A36" s="302"/>
      <c r="B36" s="302"/>
      <c r="C36" s="302" t="str">
        <f t="shared" ca="1" si="11"/>
        <v>IE00B88G6526:EUR</v>
      </c>
      <c r="D36" s="300" t="str">
        <f t="shared" ca="1" si="12"/>
        <v>IE00B88G6526</v>
      </c>
      <c r="E36" s="1024" t="str">
        <f t="shared" ca="1" si="12"/>
        <v>20031577</v>
      </c>
      <c r="F36" s="302" t="s">
        <v>649</v>
      </c>
      <c r="G36" s="836" t="str">
        <f t="shared" ca="1" si="12"/>
        <v/>
      </c>
      <c r="H36" s="1680" t="str">
        <f t="shared" ca="1" si="13"/>
        <v></v>
      </c>
      <c r="I36" s="1680" t="str">
        <f t="shared" ref="I36" ca="1" si="99">HYPERLINK(OFFSET(Origine,MATCH($F36,Descrizioni,0),MATCH(I$16,Intestazioni,0)-1,1,1),"i")</f>
        <v>i</v>
      </c>
      <c r="J36" s="1708" t="str">
        <f t="shared" ref="J36:K36" ca="1" si="100">HYPERLINK(OFFSET(Origine,MATCH($F36,Descrizioni,0),MATCH(J$16,Intestazioni,0)-1,1,1),"")</f>
        <v></v>
      </c>
      <c r="K36" s="1709" t="str">
        <f t="shared" ca="1" si="100"/>
        <v></v>
      </c>
      <c r="L36" s="1710" t="str">
        <f t="shared" ca="1" si="16"/>
        <v></v>
      </c>
      <c r="M36" s="1781" t="str">
        <f t="shared" ca="1" si="17"/>
        <v>Unit</v>
      </c>
      <c r="N36" s="1020"/>
      <c r="O36" s="1020"/>
      <c r="P36" s="1021">
        <f t="shared" ca="1" si="1"/>
        <v>0</v>
      </c>
      <c r="Q36" s="313">
        <f t="shared" si="73"/>
        <v>0</v>
      </c>
      <c r="R36" s="313">
        <f t="array" aca="1" ref="R36" ca="1">SUM(IF($AD$16:$AR$16="P_Pos",AD36:AR36))</f>
        <v>0</v>
      </c>
      <c r="S36" s="1026"/>
      <c r="T36" s="1026"/>
      <c r="U36" s="1025"/>
      <c r="V36" s="313">
        <f t="array" aca="1" ref="V36" ca="1">SUM(IF($AD$16:$AR$16="O_Pos",AD36:AR36))</f>
        <v>0</v>
      </c>
      <c r="W36" s="302" t="str">
        <f t="shared" ref="W36" ca="1" si="101">OFFSET(Origine,MATCH($F36,Descrizioni,0),MATCH(W$16,Intestazioni,0)-1,1,1)</f>
        <v>EUR</v>
      </c>
      <c r="X36" s="1027">
        <f t="shared" ref="X36:Y41" ca="1" si="102">_xlfn.NUMBERVALUE(OFFSET(Origine,MATCH($F36,Descrizioni,0),MATCH(X$16,Intestazioni,0)-1,1,1))</f>
        <v>11.94</v>
      </c>
      <c r="Y36" s="1017">
        <f t="shared" ca="1" si="102"/>
        <v>0</v>
      </c>
      <c r="Z36" s="1028">
        <f t="shared" ca="1" si="36"/>
        <v>1</v>
      </c>
      <c r="AA36" s="197">
        <f>2100+-2100</f>
        <v>0</v>
      </c>
      <c r="AB36" s="312" t="str">
        <f t="shared" ca="1" si="37"/>
        <v/>
      </c>
      <c r="AC36" s="1008"/>
      <c r="AD36" s="200">
        <f t="shared" ca="1" si="74"/>
        <v>0</v>
      </c>
      <c r="AE36" s="200">
        <f t="shared" ca="1" si="75"/>
        <v>0</v>
      </c>
      <c r="AF36" s="201">
        <f t="shared" ca="1" si="2"/>
        <v>0</v>
      </c>
      <c r="AG36" s="404">
        <f t="shared" ca="1" si="76"/>
        <v>0</v>
      </c>
      <c r="AH36" s="405">
        <f t="shared" ca="1" si="77"/>
        <v>0</v>
      </c>
      <c r="AI36" s="405">
        <f t="shared" ca="1" si="78"/>
        <v>0</v>
      </c>
      <c r="AJ36" s="406">
        <f t="shared" ca="1" si="79"/>
        <v>0</v>
      </c>
      <c r="AK36" s="407"/>
      <c r="AL36" s="408">
        <f t="shared" ca="1" si="80"/>
        <v>0</v>
      </c>
      <c r="AM36" s="408">
        <f t="shared" ca="1" si="81"/>
        <v>0</v>
      </c>
      <c r="AN36" s="409">
        <f t="shared" ca="1" si="3"/>
        <v>0</v>
      </c>
      <c r="AO36" s="313">
        <f t="shared" si="82"/>
        <v>0</v>
      </c>
      <c r="AP36" s="313">
        <f t="shared" ca="1" si="49"/>
        <v>0</v>
      </c>
      <c r="AQ36" s="313">
        <f t="shared" ca="1" si="83"/>
        <v>0</v>
      </c>
      <c r="AR36" s="843">
        <f t="shared" ca="1" si="84"/>
        <v>0</v>
      </c>
      <c r="AS36" s="1007" t="str">
        <f t="shared" ca="1" si="9"/>
        <v/>
      </c>
    </row>
    <row r="37" spans="1:45" outlineLevel="1" x14ac:dyDescent="0.2">
      <c r="A37" s="299"/>
      <c r="B37" s="299"/>
      <c r="C37" s="299" t="str">
        <f t="shared" ca="1" si="11"/>
        <v>LU0942970798:EUR</v>
      </c>
      <c r="D37" s="300" t="str">
        <f t="shared" ca="1" si="12"/>
        <v>LU0942970798</v>
      </c>
      <c r="E37" s="301" t="str">
        <f t="shared" ca="1" si="12"/>
        <v>23793847</v>
      </c>
      <c r="F37" s="299" t="s">
        <v>840</v>
      </c>
      <c r="G37" s="836" t="str">
        <f t="shared" ca="1" si="12"/>
        <v/>
      </c>
      <c r="H37" s="1680" t="str">
        <f t="shared" ca="1" si="13"/>
        <v></v>
      </c>
      <c r="I37" s="1680" t="str">
        <f t="shared" ref="I37" ca="1" si="103">HYPERLINK(OFFSET(Origine,MATCH($F37,Descrizioni,0),MATCH(I$16,Intestazioni,0)-1,1,1),"i")</f>
        <v>i</v>
      </c>
      <c r="J37" s="1708" t="str">
        <f t="shared" ref="J37:K37" ca="1" si="104">HYPERLINK(OFFSET(Origine,MATCH($F37,Descrizioni,0),MATCH(J$16,Intestazioni,0)-1,1,1),"")</f>
        <v></v>
      </c>
      <c r="K37" s="1709" t="str">
        <f t="shared" ca="1" si="104"/>
        <v></v>
      </c>
      <c r="L37" s="1710" t="str">
        <f t="shared" ca="1" si="16"/>
        <v></v>
      </c>
      <c r="M37" s="1780" t="str">
        <f t="shared" ca="1" si="17"/>
        <v>Unit</v>
      </c>
      <c r="N37" s="1015"/>
      <c r="O37" s="1015"/>
      <c r="P37" s="837">
        <f t="shared" ca="1" si="1"/>
        <v>0</v>
      </c>
      <c r="Q37" s="307">
        <f t="shared" si="73"/>
        <v>0</v>
      </c>
      <c r="R37" s="307">
        <f t="array" aca="1" ref="R37" ca="1">SUM(IF($AD$16:$AR$16="P_Pos",AD37:AR37))</f>
        <v>0</v>
      </c>
      <c r="S37" s="1016"/>
      <c r="T37" s="1016"/>
      <c r="U37" s="298"/>
      <c r="V37" s="307">
        <f t="array" aca="1" ref="V37" ca="1">SUM(IF($AD$16:$AR$16="O_Pos",AD37:AR37))</f>
        <v>0</v>
      </c>
      <c r="W37" s="299" t="str">
        <f t="shared" ref="W37" ca="1" si="105">OFFSET(Origine,MATCH($F37,Descrizioni,0),MATCH(W$16,Intestazioni,0)-1,1,1)</f>
        <v>EUR</v>
      </c>
      <c r="X37" s="845">
        <f t="shared" ref="X37" ca="1" si="106">_xlfn.NUMBERVALUE(OFFSET(Origine,MATCH($F37,Descrizioni,0),MATCH(X$16,Intestazioni,0)-1,1,1))</f>
        <v>21.138000000000002</v>
      </c>
      <c r="Y37" s="1017">
        <f t="shared" ca="1" si="102"/>
        <v>0</v>
      </c>
      <c r="Z37" s="1018">
        <f t="shared" ca="1" si="36"/>
        <v>1</v>
      </c>
      <c r="AA37" s="197"/>
      <c r="AB37" s="312" t="str">
        <f t="shared" ca="1" si="37"/>
        <v/>
      </c>
      <c r="AC37" s="1008"/>
      <c r="AD37" s="199">
        <f t="shared" ca="1" si="74"/>
        <v>0</v>
      </c>
      <c r="AE37" s="199">
        <f t="shared" ca="1" si="75"/>
        <v>0</v>
      </c>
      <c r="AF37" s="216">
        <f t="shared" ca="1" si="2"/>
        <v>0</v>
      </c>
      <c r="AG37" s="202">
        <f t="shared" ca="1" si="76"/>
        <v>0</v>
      </c>
      <c r="AH37" s="203">
        <f t="shared" ca="1" si="77"/>
        <v>0</v>
      </c>
      <c r="AI37" s="203">
        <f t="shared" ca="1" si="78"/>
        <v>0</v>
      </c>
      <c r="AJ37" s="204">
        <f t="shared" ca="1" si="79"/>
        <v>0</v>
      </c>
      <c r="AK37" s="205"/>
      <c r="AL37" s="206">
        <f t="shared" ca="1" si="80"/>
        <v>0</v>
      </c>
      <c r="AM37" s="206">
        <f t="shared" ca="1" si="81"/>
        <v>0</v>
      </c>
      <c r="AN37" s="207">
        <f t="shared" ca="1" si="3"/>
        <v>0</v>
      </c>
      <c r="AO37" s="313">
        <f t="shared" si="82"/>
        <v>0</v>
      </c>
      <c r="AP37" s="313">
        <f t="shared" ca="1" si="49"/>
        <v>0</v>
      </c>
      <c r="AQ37" s="313">
        <f t="shared" ca="1" si="83"/>
        <v>0</v>
      </c>
      <c r="AR37" s="843">
        <f t="shared" ca="1" si="84"/>
        <v>0</v>
      </c>
      <c r="AS37" s="1007" t="str">
        <f t="shared" ca="1" si="9"/>
        <v/>
      </c>
    </row>
    <row r="38" spans="1:45" outlineLevel="1" x14ac:dyDescent="0.2">
      <c r="A38" s="1029"/>
      <c r="B38" s="299"/>
      <c r="C38" s="299" t="str">
        <f t="shared" ca="1" si="11"/>
        <v>IE00B6YX5M31:EUR:STU</v>
      </c>
      <c r="D38" s="300" t="str">
        <f t="shared" ca="1" si="12"/>
        <v>IE00B6YX5M31</v>
      </c>
      <c r="E38" s="301" t="str">
        <f t="shared" ca="1" si="12"/>
        <v>13975758</v>
      </c>
      <c r="F38" s="299" t="s">
        <v>818</v>
      </c>
      <c r="G38" s="836" t="str">
        <f t="shared" ca="1" si="12"/>
        <v/>
      </c>
      <c r="H38" s="1680" t="str">
        <f t="shared" ca="1" si="13"/>
        <v></v>
      </c>
      <c r="I38" s="1680" t="str">
        <f t="shared" ref="I38" ca="1" si="107">HYPERLINK(OFFSET(Origine,MATCH($F38,Descrizioni,0),MATCH(I$16,Intestazioni,0)-1,1,1),"i")</f>
        <v>i</v>
      </c>
      <c r="J38" s="1708" t="str">
        <f t="shared" ref="J38:K38" ca="1" si="108">HYPERLINK(OFFSET(Origine,MATCH($F38,Descrizioni,0),MATCH(J$16,Intestazioni,0)-1,1,1),"")</f>
        <v></v>
      </c>
      <c r="K38" s="1709" t="str">
        <f t="shared" ca="1" si="108"/>
        <v></v>
      </c>
      <c r="L38" s="1710" t="str">
        <f t="shared" ca="1" si="16"/>
        <v></v>
      </c>
      <c r="M38" s="1780" t="str">
        <f t="shared" ca="1" si="17"/>
        <v>Unit</v>
      </c>
      <c r="N38" s="1015"/>
      <c r="O38" s="1015"/>
      <c r="P38" s="837">
        <f t="shared" ca="1" si="1"/>
        <v>0</v>
      </c>
      <c r="Q38" s="307">
        <f t="shared" si="73"/>
        <v>0</v>
      </c>
      <c r="R38" s="307">
        <f t="array" aca="1" ref="R38" ca="1">SUM(IF($AD$16:$AR$16="P_Pos",AD38:AR38))</f>
        <v>0</v>
      </c>
      <c r="S38" s="1016"/>
      <c r="T38" s="1016"/>
      <c r="U38" s="298"/>
      <c r="V38" s="307">
        <f t="array" aca="1" ref="V38" ca="1">SUM(IF($AD$16:$AR$16="O_Pos",AD38:AR38))</f>
        <v>0</v>
      </c>
      <c r="W38" s="299" t="str">
        <f t="shared" ref="W38" ca="1" si="109">OFFSET(Origine,MATCH($F38,Descrizioni,0),MATCH(W$16,Intestazioni,0)-1,1,1)</f>
        <v>EUR</v>
      </c>
      <c r="X38" s="845">
        <f t="shared" ref="X38" ca="1" si="110">_xlfn.NUMBERVALUE(OFFSET(Origine,MATCH($F38,Descrizioni,0),MATCH(X$16,Intestazioni,0)-1,1,1))</f>
        <v>50.606000000000002</v>
      </c>
      <c r="Y38" s="1017">
        <f t="shared" ca="1" si="102"/>
        <v>0</v>
      </c>
      <c r="Z38" s="1018">
        <f t="shared" ca="1" si="36"/>
        <v>1</v>
      </c>
      <c r="AA38" s="197"/>
      <c r="AB38" s="312" t="str">
        <f t="shared" ca="1" si="37"/>
        <v/>
      </c>
      <c r="AC38" s="1008"/>
      <c r="AD38" s="199">
        <f t="shared" ca="1" si="74"/>
        <v>0</v>
      </c>
      <c r="AE38" s="199">
        <f t="shared" ca="1" si="75"/>
        <v>0</v>
      </c>
      <c r="AF38" s="216">
        <f t="shared" ca="1" si="2"/>
        <v>0</v>
      </c>
      <c r="AG38" s="202">
        <f t="shared" ca="1" si="76"/>
        <v>0</v>
      </c>
      <c r="AH38" s="203">
        <f t="shared" ca="1" si="77"/>
        <v>0</v>
      </c>
      <c r="AI38" s="203">
        <f t="shared" ca="1" si="78"/>
        <v>0</v>
      </c>
      <c r="AJ38" s="204">
        <f t="shared" ca="1" si="79"/>
        <v>0</v>
      </c>
      <c r="AK38" s="205"/>
      <c r="AL38" s="206">
        <f t="shared" ca="1" si="80"/>
        <v>0</v>
      </c>
      <c r="AM38" s="206">
        <f t="shared" ca="1" si="81"/>
        <v>0</v>
      </c>
      <c r="AN38" s="207">
        <f t="shared" ca="1" si="3"/>
        <v>0</v>
      </c>
      <c r="AO38" s="313">
        <f t="shared" si="82"/>
        <v>0</v>
      </c>
      <c r="AP38" s="313">
        <f t="shared" ca="1" si="49"/>
        <v>0</v>
      </c>
      <c r="AQ38" s="313">
        <f t="shared" ca="1" si="83"/>
        <v>0</v>
      </c>
      <c r="AR38" s="843">
        <f t="shared" ca="1" si="84"/>
        <v>0</v>
      </c>
      <c r="AS38" s="1007" t="str">
        <f t="shared" ca="1" si="9"/>
        <v/>
      </c>
    </row>
    <row r="39" spans="1:45" outlineLevel="1" x14ac:dyDescent="0.2">
      <c r="A39" s="299"/>
      <c r="B39" s="299"/>
      <c r="C39" s="299" t="str">
        <f t="shared" ca="1" si="11"/>
        <v>IE00BKPSFD61:USD:P</v>
      </c>
      <c r="D39" s="300" t="str">
        <f t="shared" ca="1" si="12"/>
        <v>IE00BKPSFD61</v>
      </c>
      <c r="E39" s="301" t="str">
        <f t="shared" ca="1" si="12"/>
        <v>54540945</v>
      </c>
      <c r="F39" s="299" t="s">
        <v>574</v>
      </c>
      <c r="G39" s="836" t="str">
        <f t="shared" ca="1" si="12"/>
        <v/>
      </c>
      <c r="H39" s="1680" t="str">
        <f t="shared" ca="1" si="13"/>
        <v></v>
      </c>
      <c r="I39" s="1680" t="str">
        <f t="shared" ref="I39" ca="1" si="111">HYPERLINK(OFFSET(Origine,MATCH($F39,Descrizioni,0),MATCH(I$16,Intestazioni,0)-1,1,1),"i")</f>
        <v>i</v>
      </c>
      <c r="J39" s="1708" t="str">
        <f t="shared" ref="J39:K39" ca="1" si="112">HYPERLINK(OFFSET(Origine,MATCH($F39,Descrizioni,0),MATCH(J$16,Intestazioni,0)-1,1,1),"")</f>
        <v></v>
      </c>
      <c r="K39" s="1709" t="str">
        <f t="shared" ca="1" si="112"/>
        <v></v>
      </c>
      <c r="L39" s="1710" t="str">
        <f t="shared" ca="1" si="16"/>
        <v></v>
      </c>
      <c r="M39" s="1780" t="str">
        <f t="shared" ca="1" si="17"/>
        <v>Unit</v>
      </c>
      <c r="N39" s="1015"/>
      <c r="O39" s="1015"/>
      <c r="P39" s="837">
        <f t="shared" ca="1" si="1"/>
        <v>0</v>
      </c>
      <c r="Q39" s="307">
        <f t="shared" si="73"/>
        <v>0</v>
      </c>
      <c r="R39" s="307">
        <f t="array" aca="1" ref="R39" ca="1">SUM(IF($AD$16:$AR$16="P_Pos",AD39:AR39))</f>
        <v>0</v>
      </c>
      <c r="S39" s="1016"/>
      <c r="T39" s="1016"/>
      <c r="U39" s="298"/>
      <c r="V39" s="307">
        <f t="array" aca="1" ref="V39" ca="1">SUM(IF($AD$16:$AR$16="O_Pos",AD39:AR39))</f>
        <v>0</v>
      </c>
      <c r="W39" s="299" t="str">
        <f t="shared" ref="W39" ca="1" si="113">OFFSET(Origine,MATCH($F39,Descrizioni,0),MATCH(W$16,Intestazioni,0)-1,1,1)</f>
        <v>USD</v>
      </c>
      <c r="X39" s="845">
        <f t="shared" ref="X39" ca="1" si="114">_xlfn.NUMBERVALUE(OFFSET(Origine,MATCH($F39,Descrizioni,0),MATCH(X$16,Intestazioni,0)-1,1,1))</f>
        <v>6.2729999999999997</v>
      </c>
      <c r="Y39" s="1017">
        <f t="shared" ca="1" si="102"/>
        <v>0</v>
      </c>
      <c r="Z39" s="1018">
        <f t="shared" ca="1" si="36"/>
        <v>0.86199999999999999</v>
      </c>
      <c r="AA39" s="197">
        <f>4675+-4675</f>
        <v>0</v>
      </c>
      <c r="AB39" s="312" t="str">
        <f t="shared" ca="1" si="37"/>
        <v/>
      </c>
      <c r="AC39" s="1008"/>
      <c r="AD39" s="199">
        <f t="shared" ca="1" si="74"/>
        <v>0</v>
      </c>
      <c r="AE39" s="199">
        <f t="shared" ca="1" si="75"/>
        <v>0</v>
      </c>
      <c r="AF39" s="216">
        <f t="shared" ca="1" si="2"/>
        <v>0</v>
      </c>
      <c r="AG39" s="202">
        <f t="shared" ca="1" si="76"/>
        <v>0</v>
      </c>
      <c r="AH39" s="203">
        <f t="shared" ca="1" si="77"/>
        <v>0</v>
      </c>
      <c r="AI39" s="203">
        <f t="shared" ca="1" si="78"/>
        <v>0</v>
      </c>
      <c r="AJ39" s="204">
        <f t="shared" ca="1" si="79"/>
        <v>0</v>
      </c>
      <c r="AK39" s="205"/>
      <c r="AL39" s="206">
        <f t="shared" ca="1" si="80"/>
        <v>0</v>
      </c>
      <c r="AM39" s="206">
        <f t="shared" ca="1" si="81"/>
        <v>0</v>
      </c>
      <c r="AN39" s="207">
        <f t="shared" ca="1" si="3"/>
        <v>0</v>
      </c>
      <c r="AO39" s="313">
        <f t="shared" si="82"/>
        <v>0</v>
      </c>
      <c r="AP39" s="313">
        <f t="shared" ca="1" si="49"/>
        <v>0</v>
      </c>
      <c r="AQ39" s="313">
        <f t="shared" ca="1" si="83"/>
        <v>0</v>
      </c>
      <c r="AR39" s="843">
        <f t="shared" ca="1" si="84"/>
        <v>0</v>
      </c>
      <c r="AS39" s="1007" t="str">
        <f t="shared" ca="1" si="9"/>
        <v/>
      </c>
    </row>
    <row r="40" spans="1:45" outlineLevel="1" x14ac:dyDescent="0.2">
      <c r="A40" s="1029"/>
      <c r="B40" s="299"/>
      <c r="C40" s="299" t="str">
        <f t="shared" ca="1" si="11"/>
        <v>US4642865178:USD</v>
      </c>
      <c r="D40" s="300" t="str">
        <f t="shared" ca="1" si="12"/>
        <v>US4642865178</v>
      </c>
      <c r="E40" s="301" t="str">
        <f t="shared" ca="1" si="12"/>
        <v>14149598</v>
      </c>
      <c r="F40" s="299" t="s">
        <v>841</v>
      </c>
      <c r="G40" s="836" t="str">
        <f t="shared" ca="1" si="12"/>
        <v/>
      </c>
      <c r="H40" s="1680" t="str">
        <f t="shared" ca="1" si="13"/>
        <v></v>
      </c>
      <c r="I40" s="1680" t="str">
        <f t="shared" ref="I40" ca="1" si="115">HYPERLINK(OFFSET(Origine,MATCH($F40,Descrizioni,0),MATCH(I$16,Intestazioni,0)-1,1,1),"i")</f>
        <v>i</v>
      </c>
      <c r="J40" s="1708" t="str">
        <f t="shared" ref="J40:K40" ca="1" si="116">HYPERLINK(OFFSET(Origine,MATCH($F40,Descrizioni,0),MATCH(J$16,Intestazioni,0)-1,1,1),"")</f>
        <v></v>
      </c>
      <c r="K40" s="1709" t="str">
        <f t="shared" ca="1" si="116"/>
        <v></v>
      </c>
      <c r="L40" s="1710" t="str">
        <f t="shared" ca="1" si="16"/>
        <v></v>
      </c>
      <c r="M40" s="1780" t="str">
        <f t="shared" ca="1" si="17"/>
        <v>Unit</v>
      </c>
      <c r="N40" s="1015"/>
      <c r="O40" s="1015"/>
      <c r="P40" s="837">
        <f t="shared" ca="1" si="1"/>
        <v>0</v>
      </c>
      <c r="Q40" s="307">
        <f t="shared" si="73"/>
        <v>0</v>
      </c>
      <c r="R40" s="307">
        <f t="array" aca="1" ref="R40" ca="1">SUM(IF($AD$16:$AR$16="P_Pos",AD40:AR40))</f>
        <v>0</v>
      </c>
      <c r="S40" s="1016"/>
      <c r="T40" s="1016"/>
      <c r="U40" s="298"/>
      <c r="V40" s="307">
        <f t="array" aca="1" ref="V40" ca="1">SUM(IF($AD$16:$AR$16="O_Pos",AD40:AR40))</f>
        <v>0</v>
      </c>
      <c r="W40" s="299" t="str">
        <f t="shared" ref="W40" ca="1" si="117">OFFSET(Origine,MATCH($F40,Descrizioni,0),MATCH(W$16,Intestazioni,0)-1,1,1)</f>
        <v>USD</v>
      </c>
      <c r="X40" s="845">
        <f t="shared" ref="X40" ca="1" si="118">_xlfn.NUMBERVALUE(OFFSET(Origine,MATCH($F40,Descrizioni,0),MATCH(X$16,Intestazioni,0)-1,1,1))</f>
        <v>41.71</v>
      </c>
      <c r="Y40" s="1017">
        <f t="shared" ca="1" si="102"/>
        <v>0</v>
      </c>
      <c r="Z40" s="1018">
        <f t="shared" ca="1" si="36"/>
        <v>0.86199999999999999</v>
      </c>
      <c r="AA40" s="197"/>
      <c r="AB40" s="312" t="str">
        <f t="shared" ca="1" si="37"/>
        <v/>
      </c>
      <c r="AC40" s="1008"/>
      <c r="AD40" s="199">
        <f t="shared" ca="1" si="74"/>
        <v>0</v>
      </c>
      <c r="AE40" s="199">
        <f t="shared" ca="1" si="75"/>
        <v>0</v>
      </c>
      <c r="AF40" s="216">
        <f t="shared" ca="1" si="2"/>
        <v>0</v>
      </c>
      <c r="AG40" s="202">
        <f t="shared" ca="1" si="76"/>
        <v>0</v>
      </c>
      <c r="AH40" s="203">
        <f t="shared" ca="1" si="77"/>
        <v>0</v>
      </c>
      <c r="AI40" s="203">
        <f t="shared" ca="1" si="78"/>
        <v>0</v>
      </c>
      <c r="AJ40" s="204">
        <f t="shared" ca="1" si="79"/>
        <v>0</v>
      </c>
      <c r="AK40" s="205"/>
      <c r="AL40" s="206">
        <f t="shared" ca="1" si="80"/>
        <v>0</v>
      </c>
      <c r="AM40" s="206">
        <f t="shared" ca="1" si="81"/>
        <v>0</v>
      </c>
      <c r="AN40" s="207">
        <f t="shared" ca="1" si="3"/>
        <v>0</v>
      </c>
      <c r="AO40" s="313">
        <f t="shared" si="82"/>
        <v>0</v>
      </c>
      <c r="AP40" s="313">
        <f t="shared" ca="1" si="49"/>
        <v>0</v>
      </c>
      <c r="AQ40" s="313">
        <f t="shared" ca="1" si="83"/>
        <v>0</v>
      </c>
      <c r="AR40" s="843">
        <f t="shared" ca="1" si="84"/>
        <v>0</v>
      </c>
      <c r="AS40" s="1007" t="str">
        <f t="shared" ca="1" si="9"/>
        <v/>
      </c>
    </row>
    <row r="41" spans="1:45" outlineLevel="1" x14ac:dyDescent="0.2">
      <c r="A41" s="299"/>
      <c r="B41" s="299"/>
      <c r="C41" s="299" t="str">
        <f t="shared" ca="1" si="11"/>
        <v>IE00B6QGFW01:EUR</v>
      </c>
      <c r="D41" s="300" t="str">
        <f t="shared" ca="1" si="12"/>
        <v>IE00B6QGFW01</v>
      </c>
      <c r="E41" s="301" t="str">
        <f t="shared" ca="1" si="12"/>
        <v>18127378</v>
      </c>
      <c r="F41" s="299" t="s">
        <v>580</v>
      </c>
      <c r="G41" s="836" t="str">
        <f t="shared" ca="1" si="12"/>
        <v/>
      </c>
      <c r="H41" s="1680" t="str">
        <f t="shared" ca="1" si="13"/>
        <v></v>
      </c>
      <c r="I41" s="1680" t="str">
        <f t="shared" ref="I41" ca="1" si="119">HYPERLINK(OFFSET(Origine,MATCH($F41,Descrizioni,0),MATCH(I$16,Intestazioni,0)-1,1,1),"i")</f>
        <v>i</v>
      </c>
      <c r="J41" s="1708" t="str">
        <f t="shared" ref="J41:K41" ca="1" si="120">HYPERLINK(OFFSET(Origine,MATCH($F41,Descrizioni,0),MATCH(J$16,Intestazioni,0)-1,1,1),"")</f>
        <v></v>
      </c>
      <c r="K41" s="1709" t="str">
        <f t="shared" ca="1" si="120"/>
        <v></v>
      </c>
      <c r="L41" s="1710" t="str">
        <f t="shared" ca="1" si="16"/>
        <v></v>
      </c>
      <c r="M41" s="1780" t="str">
        <f t="shared" ca="1" si="17"/>
        <v>Unit</v>
      </c>
      <c r="N41" s="1015"/>
      <c r="O41" s="1015"/>
      <c r="P41" s="837">
        <f t="shared" ca="1" si="1"/>
        <v>0</v>
      </c>
      <c r="Q41" s="307">
        <f t="shared" si="73"/>
        <v>0</v>
      </c>
      <c r="R41" s="307">
        <f t="array" aca="1" ref="R41" ca="1">SUM(IF($AD$16:$AR$16="P_Pos",AD41:AR41))</f>
        <v>0</v>
      </c>
      <c r="S41" s="1016"/>
      <c r="T41" s="1016"/>
      <c r="U41" s="298"/>
      <c r="V41" s="307">
        <f t="array" aca="1" ref="V41" ca="1">SUM(IF($AD$16:$AR$16="O_Pos",AD41:AR41))</f>
        <v>0</v>
      </c>
      <c r="W41" s="299" t="str">
        <f t="shared" ref="W41" ca="1" si="121">OFFSET(Origine,MATCH($F41,Descrizioni,0),MATCH(W$16,Intestazioni,0)-1,1,1)</f>
        <v>EUR</v>
      </c>
      <c r="X41" s="845">
        <f t="shared" ref="X41" ca="1" si="122">_xlfn.NUMBERVALUE(OFFSET(Origine,MATCH($F41,Descrizioni,0),MATCH(X$16,Intestazioni,0)-1,1,1))</f>
        <v>74.447999999999993</v>
      </c>
      <c r="Y41" s="1017">
        <f t="shared" ca="1" si="102"/>
        <v>0</v>
      </c>
      <c r="Z41" s="1018">
        <f t="shared" ca="1" si="36"/>
        <v>1</v>
      </c>
      <c r="AA41" s="197">
        <f>300+-300</f>
        <v>0</v>
      </c>
      <c r="AB41" s="312" t="str">
        <f t="shared" ca="1" si="37"/>
        <v/>
      </c>
      <c r="AC41" s="1008"/>
      <c r="AD41" s="199">
        <f t="shared" ca="1" si="74"/>
        <v>0</v>
      </c>
      <c r="AE41" s="199">
        <f t="shared" ca="1" si="75"/>
        <v>0</v>
      </c>
      <c r="AF41" s="216">
        <f t="shared" ca="1" si="2"/>
        <v>0</v>
      </c>
      <c r="AG41" s="202">
        <f t="shared" ca="1" si="76"/>
        <v>0</v>
      </c>
      <c r="AH41" s="203">
        <f t="shared" ca="1" si="77"/>
        <v>0</v>
      </c>
      <c r="AI41" s="203">
        <f t="shared" ca="1" si="78"/>
        <v>0</v>
      </c>
      <c r="AJ41" s="204">
        <f t="shared" ca="1" si="79"/>
        <v>0</v>
      </c>
      <c r="AK41" s="205"/>
      <c r="AL41" s="206">
        <f t="shared" ca="1" si="80"/>
        <v>0</v>
      </c>
      <c r="AM41" s="206">
        <f t="shared" ca="1" si="81"/>
        <v>0</v>
      </c>
      <c r="AN41" s="207">
        <f t="shared" ca="1" si="3"/>
        <v>0</v>
      </c>
      <c r="AO41" s="313">
        <f t="shared" si="82"/>
        <v>0</v>
      </c>
      <c r="AP41" s="313">
        <f t="shared" ca="1" si="49"/>
        <v>0</v>
      </c>
      <c r="AQ41" s="313">
        <f t="shared" ca="1" si="83"/>
        <v>0</v>
      </c>
      <c r="AR41" s="843">
        <f t="shared" ca="1" si="84"/>
        <v>0</v>
      </c>
      <c r="AS41" s="1007" t="str">
        <f t="shared" ca="1" si="9"/>
        <v/>
      </c>
    </row>
    <row r="42" spans="1:45" x14ac:dyDescent="0.2">
      <c r="A42" s="848" t="s">
        <v>388</v>
      </c>
      <c r="B42" s="848"/>
      <c r="C42" s="848"/>
      <c r="D42" s="849"/>
      <c r="E42" s="850"/>
      <c r="F42" s="848"/>
      <c r="G42" s="851"/>
      <c r="H42" s="1782"/>
      <c r="I42" s="1782"/>
      <c r="J42" s="1782"/>
      <c r="K42" s="1782"/>
      <c r="L42" s="1782"/>
      <c r="M42" s="1783"/>
      <c r="N42" s="1031">
        <f>SUM(N$80,N$70,N$67,N$61,N$58,N$55,N$48,N$43)</f>
        <v>0.21000000000000002</v>
      </c>
      <c r="O42" s="1031"/>
      <c r="P42" s="854">
        <f t="shared" ca="1" si="1"/>
        <v>0.24292794749066229</v>
      </c>
      <c r="Q42" s="855"/>
      <c r="R42" s="855"/>
      <c r="S42" s="1030"/>
      <c r="T42" s="1030"/>
      <c r="U42" s="853"/>
      <c r="V42" s="855">
        <f ca="1">SUM(V80,V77,V70,V67,V61,V58,V55,V48,V43)</f>
        <v>0</v>
      </c>
      <c r="W42" s="848"/>
      <c r="X42" s="857"/>
      <c r="Y42" s="857"/>
      <c r="Z42" s="1032"/>
      <c r="AA42" s="344"/>
      <c r="AB42" s="859"/>
      <c r="AC42" s="1033"/>
      <c r="AD42" s="848"/>
      <c r="AE42" s="868" cm="1">
        <f t="array" aca="1" ref="AE42" ca="1">SUM(IF($B$43:$B$82="",AE$43:AE$82))</f>
        <v>32983.22</v>
      </c>
      <c r="AF42" s="1034">
        <f ca="1">IFERROR(AE42/AA$4,0)</f>
        <v>0.24292794749066229</v>
      </c>
      <c r="AG42" s="866"/>
      <c r="AH42" s="867"/>
      <c r="AI42" s="868" cm="1">
        <f t="array" aca="1" ref="AI42" ca="1">SUM(IF($B$43:$B$82="",AI$43:AI$82))</f>
        <v>-4470.7484151230001</v>
      </c>
      <c r="AJ42" s="869">
        <f ca="1">IFERROR(AI42/AA$4,0)</f>
        <v>-3.2927947490662274E-2</v>
      </c>
      <c r="AK42" s="866"/>
      <c r="AL42" s="867"/>
      <c r="AM42" s="868" cm="1">
        <f t="array" aca="1" ref="AM42" ca="1">SUM(IF($B$43:$B$82="",AM$43:AM$82))</f>
        <v>0</v>
      </c>
      <c r="AN42" s="869">
        <f ca="1">IFERROR(AM42/AA$4,0)</f>
        <v>0</v>
      </c>
      <c r="AO42" s="867"/>
      <c r="AP42" s="867"/>
      <c r="AQ42" s="868" cm="1">
        <f t="array" aca="1" ref="AQ42" ca="1">SUM(IF($B$43:$B$82="",AQ$43:AQ$82))</f>
        <v>32983.22</v>
      </c>
      <c r="AR42" s="870">
        <f t="shared" ca="1" si="84"/>
        <v>0.24292794749066229</v>
      </c>
      <c r="AS42" s="1007" t="str">
        <f t="shared" ca="1" si="9"/>
        <v>V</v>
      </c>
    </row>
    <row r="43" spans="1:45" collapsed="1" x14ac:dyDescent="0.2">
      <c r="A43" s="346"/>
      <c r="B43" s="346" t="s">
        <v>397</v>
      </c>
      <c r="C43" s="346"/>
      <c r="D43" s="347"/>
      <c r="E43" s="348"/>
      <c r="F43" s="346"/>
      <c r="G43" s="349"/>
      <c r="H43" s="1784"/>
      <c r="I43" s="1784"/>
      <c r="J43" s="1784"/>
      <c r="K43" s="1784"/>
      <c r="L43" s="1784"/>
      <c r="M43" s="1785"/>
      <c r="N43" s="1036">
        <f>SUM(N$44:N$47)</f>
        <v>0.05</v>
      </c>
      <c r="O43" s="1036"/>
      <c r="P43" s="352">
        <f t="shared" ca="1" si="1"/>
        <v>5.789575958316983E-2</v>
      </c>
      <c r="Q43" s="421"/>
      <c r="R43" s="421"/>
      <c r="S43" s="1035"/>
      <c r="T43" s="1035"/>
      <c r="U43" s="345"/>
      <c r="V43" s="421">
        <f ca="1">COUNTIF(V44:V47,"&lt;&gt;0")</f>
        <v>0</v>
      </c>
      <c r="W43" s="346"/>
      <c r="X43" s="873"/>
      <c r="Y43" s="873"/>
      <c r="Z43" s="1037"/>
      <c r="AA43" s="357"/>
      <c r="AB43" s="359"/>
      <c r="AC43" s="1038"/>
      <c r="AD43" s="359"/>
      <c r="AE43" s="360">
        <f ca="1">SUM(AE$44:AE$47)</f>
        <v>7860.72</v>
      </c>
      <c r="AF43" s="361">
        <f ca="1">IFERROR(AE43/AA$4,0)</f>
        <v>5.789575958316983E-2</v>
      </c>
      <c r="AG43" s="362"/>
      <c r="AH43" s="359"/>
      <c r="AI43" s="360">
        <f ca="1">SUM(AI$44:AI$47)</f>
        <v>-1072.0362893149997</v>
      </c>
      <c r="AJ43" s="363">
        <f ca="1">IFERROR(AI43/AA$4,0)</f>
        <v>-7.8957595831698271E-3</v>
      </c>
      <c r="AK43" s="362"/>
      <c r="AL43" s="359"/>
      <c r="AM43" s="360">
        <f ca="1">SUM(AM$44:AM$47)</f>
        <v>0</v>
      </c>
      <c r="AN43" s="363">
        <f ca="1">IFERROR(AM43/AA$4,0)</f>
        <v>0</v>
      </c>
      <c r="AO43" s="359"/>
      <c r="AP43" s="359"/>
      <c r="AQ43" s="360">
        <f ca="1">SUM(AQ$44:AQ$47)</f>
        <v>7860.72</v>
      </c>
      <c r="AR43" s="876">
        <f t="shared" ca="1" si="84"/>
        <v>5.789575958316983E-2</v>
      </c>
      <c r="AS43" s="1007" t="str">
        <f t="shared" ca="1" si="9"/>
        <v>V</v>
      </c>
    </row>
    <row r="44" spans="1:45" hidden="1" outlineLevel="1" x14ac:dyDescent="0.2">
      <c r="A44" s="367"/>
      <c r="B44" s="367"/>
      <c r="C44" s="367" t="str">
        <f t="shared" ref="C44:E47" ca="1" si="123">OFFSET(Origine,MATCH($F44,Descrizioni,0),MATCH(C$16,Intestazioni,0)-1,1,1)</f>
        <v>CH0038863350:CHF</v>
      </c>
      <c r="D44" s="368" t="str">
        <f t="shared" ca="1" si="123"/>
        <v>CH0038863350</v>
      </c>
      <c r="E44" s="369" t="str">
        <f t="shared" ca="1" si="123"/>
        <v>3886335</v>
      </c>
      <c r="F44" s="367" t="s">
        <v>419</v>
      </c>
      <c r="G44" s="414"/>
      <c r="H44" s="1683" t="str">
        <f ca="1">HYPERLINK(OFFSET(Origine,MATCH($F44,Descrizioni,0),MATCH(H$16,Intestazioni,0)-1,1,1),"")</f>
        <v></v>
      </c>
      <c r="I44" s="1683" t="str">
        <f t="shared" ref="I44" ca="1" si="124">HYPERLINK(OFFSET(Origine,MATCH($F44,Descrizioni,0),MATCH(I$16,Intestazioni,0)-1,1,1),"i")</f>
        <v>i</v>
      </c>
      <c r="J44" s="1713" t="str">
        <f t="shared" ref="J44:K44" ca="1" si="125">HYPERLINK(OFFSET(Origine,MATCH($F44,Descrizioni,0),MATCH(J$16,Intestazioni,0)-1,1,1),"")</f>
        <v></v>
      </c>
      <c r="K44" s="1716" t="str">
        <f t="shared" ca="1" si="125"/>
        <v></v>
      </c>
      <c r="L44" s="1717" t="str">
        <f ca="1">IFERROR(HYPERLINK("https://www.marketscreener.com/mods_a/charts/TV/inc_dyna_graph.php?c="&amp;OFFSET(Origine,MATCH($F44,Descrizioni,0),MATCH(L$16,Intestazioni,0)-1,1,1)&amp;"&amp;style=TradingView.CANDLES&amp;showAT=1",""),"")</f>
        <v></v>
      </c>
      <c r="M44" s="1786" t="str">
        <f ca="1">(OFFSET(Origine,MATCH($F44,Descrizioni,0),MATCH(M$16,Intestazioni,0)-1,1,1))</f>
        <v>Unit</v>
      </c>
      <c r="N44" s="1039"/>
      <c r="O44" s="1039"/>
      <c r="P44" s="882">
        <f t="shared" ca="1" si="1"/>
        <v>0</v>
      </c>
      <c r="Q44" s="391">
        <f>SUMIF($AA$16:$AR$16,"I_Pos",AA44:AR44)</f>
        <v>0</v>
      </c>
      <c r="R44" s="391">
        <f t="array" aca="1" ref="R44" ca="1">SUM(IF($AD$16:$AR$16="P_Pos",AD44:AR44))</f>
        <v>0</v>
      </c>
      <c r="S44" s="1040"/>
      <c r="T44" s="1040"/>
      <c r="U44" s="366"/>
      <c r="V44" s="391">
        <f t="array" aca="1" ref="V44" ca="1">SUM(IF($AD$16:$AR$16="O_Pos",AD44:AR44))</f>
        <v>0</v>
      </c>
      <c r="W44" s="367" t="str">
        <f t="shared" ref="W44" ca="1" si="126">OFFSET(Origine,MATCH($F44,Descrizioni,0),MATCH(W$16,Intestazioni,0)-1,1,1)</f>
        <v>CHF</v>
      </c>
      <c r="X44" s="884">
        <f t="shared" ref="X44:Y47" ca="1" si="127">_xlfn.NUMBERVALUE(OFFSET(Origine,MATCH($F44,Descrizioni,0),MATCH(X$16,Intestazioni,0)-1,1,1))</f>
        <v>81.25</v>
      </c>
      <c r="Y44" s="1041">
        <f t="shared" ca="1" si="127"/>
        <v>3.8153850000000003E-2</v>
      </c>
      <c r="Z44" s="1042">
        <f ca="1">_xlfn.NUMBERVALUE(OFFSET(Origine,MATCH(W44&amp;"/"&amp;MRif,LUKB_Name,0),MATCH("Price",Intestazioni,0)-1,1,1))</f>
        <v>1.10173835</v>
      </c>
      <c r="AA44" s="197">
        <f>180+-180</f>
        <v>0</v>
      </c>
      <c r="AB44" s="312" t="str">
        <f ca="1">IFERROR($X44/AC44-1,"")</f>
        <v/>
      </c>
      <c r="AC44" s="1008"/>
      <c r="AD44" s="199">
        <f t="shared" ref="AD44:AD47" ca="1" si="128">AA44*$X44</f>
        <v>0</v>
      </c>
      <c r="AE44" s="199">
        <f t="shared" ref="AE44:AE47" ca="1" si="129">AD44*$Z44</f>
        <v>0</v>
      </c>
      <c r="AF44" s="216">
        <f ca="1">IFERROR(AE44/AA$4,0)</f>
        <v>0</v>
      </c>
      <c r="AG44" s="202">
        <f t="shared" ref="AG44:AG47" ca="1" si="130">AH44/$X44</f>
        <v>0</v>
      </c>
      <c r="AH44" s="203">
        <f t="shared" ref="AH44:AH47" ca="1" si="131">AI44/$Z44</f>
        <v>0</v>
      </c>
      <c r="AI44" s="203">
        <f t="shared" ref="AI44:AI47" ca="1" si="132">AJ44*AA$4</f>
        <v>0</v>
      </c>
      <c r="AJ44" s="204">
        <f t="shared" ref="AJ44:AJ47" ca="1" si="133">$N44-AF44</f>
        <v>0</v>
      </c>
      <c r="AK44" s="205"/>
      <c r="AL44" s="206">
        <f t="shared" ref="AL44:AL47" ca="1" si="134">AK44*$X44</f>
        <v>0</v>
      </c>
      <c r="AM44" s="206">
        <f t="shared" ref="AM44:AM47" ca="1" si="135">AL44*$Z44</f>
        <v>0</v>
      </c>
      <c r="AN44" s="207">
        <f ca="1">IFERROR(AM44/AA$4,0)</f>
        <v>0</v>
      </c>
      <c r="AO44" s="391">
        <f>AA44+AK44</f>
        <v>0</v>
      </c>
      <c r="AP44" s="391">
        <f t="shared" ca="1" si="49"/>
        <v>0</v>
      </c>
      <c r="AQ44" s="391">
        <f t="shared" ref="AQ44:AQ47" ca="1" si="136">AP44*$Z44</f>
        <v>0</v>
      </c>
      <c r="AR44" s="886">
        <f t="shared" ca="1" si="84"/>
        <v>0</v>
      </c>
      <c r="AS44" s="1007" t="str">
        <f t="shared" ca="1" si="9"/>
        <v/>
      </c>
    </row>
    <row r="45" spans="1:45" hidden="1" outlineLevel="1" x14ac:dyDescent="0.2">
      <c r="A45" s="367"/>
      <c r="B45" s="367"/>
      <c r="C45" s="367" t="str">
        <f t="shared" ca="1" si="123"/>
        <v>CH0017142719:CHF</v>
      </c>
      <c r="D45" s="368" t="str">
        <f t="shared" ca="1" si="123"/>
        <v>CH0017142719</v>
      </c>
      <c r="E45" s="369" t="str">
        <f t="shared" ca="1" si="123"/>
        <v>1714271</v>
      </c>
      <c r="F45" s="367" t="s">
        <v>406</v>
      </c>
      <c r="G45" s="414"/>
      <c r="H45" s="1683" t="str">
        <f ca="1">HYPERLINK(OFFSET(Origine,MATCH($F45,Descrizioni,0),MATCH(H$16,Intestazioni,0)-1,1,1),"")</f>
        <v></v>
      </c>
      <c r="I45" s="1683" t="str">
        <f t="shared" ref="I45" ca="1" si="137">HYPERLINK(OFFSET(Origine,MATCH($F45,Descrizioni,0),MATCH(I$16,Intestazioni,0)-1,1,1),"i")</f>
        <v>i</v>
      </c>
      <c r="J45" s="1713" t="str">
        <f t="shared" ref="J45:K45" ca="1" si="138">HYPERLINK(OFFSET(Origine,MATCH($F45,Descrizioni,0),MATCH(J$16,Intestazioni,0)-1,1,1),"")</f>
        <v></v>
      </c>
      <c r="K45" s="1716" t="str">
        <f t="shared" ca="1" si="138"/>
        <v></v>
      </c>
      <c r="L45" s="1717" t="str">
        <f ca="1">IFERROR(HYPERLINK("https://www.marketscreener.com/mods_a/charts/TV/inc_dyna_graph.php?c="&amp;OFFSET(Origine,MATCH($F45,Descrizioni,0),MATCH(L$16,Intestazioni,0)-1,1,1)&amp;"&amp;style=TradingView.CANDLES&amp;showAT=1",""),"")</f>
        <v></v>
      </c>
      <c r="M45" s="1786" t="str">
        <f ca="1">(OFFSET(Origine,MATCH($F45,Descrizioni,0),MATCH(M$16,Intestazioni,0)-1,1,1))</f>
        <v>Unit</v>
      </c>
      <c r="N45" s="1039"/>
      <c r="O45" s="1039"/>
      <c r="P45" s="882">
        <f t="shared" ref="P45:P77" ca="1" si="139">SUMIF($AA$16:$AR$16,"I_Ctrlv",$AA45:$AR45)/$Q$2</f>
        <v>0</v>
      </c>
      <c r="Q45" s="391">
        <f>SUMIF($AA$16:$AR$16,"I_Pos",AA45:AR45)</f>
        <v>0</v>
      </c>
      <c r="R45" s="391">
        <f t="array" aca="1" ref="R45" ca="1">SUM(IF($AD$16:$AR$16="P_Pos",AD45:AR45))</f>
        <v>0</v>
      </c>
      <c r="S45" s="1040"/>
      <c r="T45" s="1040"/>
      <c r="U45" s="366"/>
      <c r="V45" s="391">
        <f t="array" aca="1" ref="V45" ca="1">SUM(IF($AD$16:$AR$16="O_Pos",AD45:AR45))</f>
        <v>0</v>
      </c>
      <c r="W45" s="367" t="str">
        <f t="shared" ref="W45" ca="1" si="140">OFFSET(Origine,MATCH($F45,Descrizioni,0),MATCH(W$16,Intestazioni,0)-1,1,1)</f>
        <v>CHF</v>
      </c>
      <c r="X45" s="884">
        <f t="shared" ref="X45" ca="1" si="141">_xlfn.NUMBERVALUE(OFFSET(Origine,MATCH($F45,Descrizioni,0),MATCH(X$16,Intestazioni,0)-1,1,1))</f>
        <v>136.52000000000001</v>
      </c>
      <c r="Y45" s="1041">
        <f t="shared" ca="1" si="127"/>
        <v>0</v>
      </c>
      <c r="Z45" s="1042">
        <f ca="1">_xlfn.NUMBERVALUE(OFFSET(Origine,MATCH(W45&amp;"/"&amp;MRif,LUKB_Name,0),MATCH("Price",Intestazioni,0)-1,1,1))</f>
        <v>1.10173835</v>
      </c>
      <c r="AA45" s="197">
        <f>95+-95</f>
        <v>0</v>
      </c>
      <c r="AB45" s="312" t="str">
        <f ca="1">IFERROR($X45/AC45-1,"")</f>
        <v/>
      </c>
      <c r="AC45" s="1008"/>
      <c r="AD45" s="199">
        <f t="shared" ca="1" si="128"/>
        <v>0</v>
      </c>
      <c r="AE45" s="199">
        <f t="shared" ca="1" si="129"/>
        <v>0</v>
      </c>
      <c r="AF45" s="216">
        <f t="shared" ref="AF45:AF55" ca="1" si="142">IFERROR(AE45/AA$4,0)</f>
        <v>0</v>
      </c>
      <c r="AG45" s="202">
        <f t="shared" ca="1" si="130"/>
        <v>0</v>
      </c>
      <c r="AH45" s="203">
        <f t="shared" ca="1" si="131"/>
        <v>0</v>
      </c>
      <c r="AI45" s="203">
        <f t="shared" ca="1" si="132"/>
        <v>0</v>
      </c>
      <c r="AJ45" s="204">
        <f t="shared" ca="1" si="133"/>
        <v>0</v>
      </c>
      <c r="AK45" s="205"/>
      <c r="AL45" s="206">
        <f t="shared" ca="1" si="134"/>
        <v>0</v>
      </c>
      <c r="AM45" s="206">
        <f t="shared" ca="1" si="135"/>
        <v>0</v>
      </c>
      <c r="AN45" s="207">
        <f t="shared" ref="AN45:AN55" ca="1" si="143">IFERROR(AM45/AA$4,0)</f>
        <v>0</v>
      </c>
      <c r="AO45" s="391">
        <f>AA45+AK45</f>
        <v>0</v>
      </c>
      <c r="AP45" s="391">
        <f t="shared" ca="1" si="49"/>
        <v>0</v>
      </c>
      <c r="AQ45" s="391">
        <f t="shared" ca="1" si="136"/>
        <v>0</v>
      </c>
      <c r="AR45" s="886">
        <f t="shared" ca="1" si="84"/>
        <v>0</v>
      </c>
      <c r="AS45" s="1007" t="str">
        <f t="shared" ca="1" si="9"/>
        <v/>
      </c>
    </row>
    <row r="46" spans="1:45" hidden="1" outlineLevel="1" x14ac:dyDescent="0.2">
      <c r="A46" s="367"/>
      <c r="B46" s="367"/>
      <c r="C46" s="367" t="str">
        <f t="shared" ca="1" si="123"/>
        <v>CH0131872431:CHF:P</v>
      </c>
      <c r="D46" s="368" t="str">
        <f t="shared" ca="1" si="123"/>
        <v>CH0131872431</v>
      </c>
      <c r="E46" s="369" t="str">
        <f t="shared" ca="1" si="123"/>
        <v>13187243</v>
      </c>
      <c r="F46" s="367" t="s">
        <v>593</v>
      </c>
      <c r="G46" s="414"/>
      <c r="H46" s="1683" t="str">
        <f ca="1">HYPERLINK(OFFSET(Origine,MATCH($F46,Descrizioni,0),MATCH(H$16,Intestazioni,0)-1,1,1),"")</f>
        <v></v>
      </c>
      <c r="I46" s="1683" t="str">
        <f t="shared" ref="I46" ca="1" si="144">HYPERLINK(OFFSET(Origine,MATCH($F46,Descrizioni,0),MATCH(I$16,Intestazioni,0)-1,1,1),"i")</f>
        <v>i</v>
      </c>
      <c r="J46" s="1713" t="str">
        <f t="shared" ref="J46:K46" ca="1" si="145">HYPERLINK(OFFSET(Origine,MATCH($F46,Descrizioni,0),MATCH(J$16,Intestazioni,0)-1,1,1),"")</f>
        <v></v>
      </c>
      <c r="K46" s="1716" t="str">
        <f t="shared" ca="1" si="145"/>
        <v></v>
      </c>
      <c r="L46" s="1717" t="str">
        <f ca="1">IFERROR(HYPERLINK("https://www.marketscreener.com/mods_a/charts/TV/inc_dyna_graph.php?c="&amp;OFFSET(Origine,MATCH($F46,Descrizioni,0),MATCH(L$16,Intestazioni,0)-1,1,1)&amp;"&amp;style=TradingView.CANDLES&amp;showAT=1",""),"")</f>
        <v></v>
      </c>
      <c r="M46" s="1786" t="str">
        <f ca="1">(OFFSET(Origine,MATCH($F46,Descrizioni,0),MATCH(M$16,Intestazioni,0)-1,1,1))</f>
        <v>Unit</v>
      </c>
      <c r="N46" s="1039"/>
      <c r="O46" s="1039"/>
      <c r="P46" s="882">
        <f t="shared" ca="1" si="139"/>
        <v>0</v>
      </c>
      <c r="Q46" s="391">
        <f>SUMIF($AA$16:$AR$16,"I_Pos",AA46:AR46)</f>
        <v>0</v>
      </c>
      <c r="R46" s="391">
        <f t="array" aca="1" ref="R46" ca="1">SUM(IF($AD$16:$AR$16="P_Pos",AD46:AR46))</f>
        <v>0</v>
      </c>
      <c r="S46" s="1040"/>
      <c r="T46" s="1040"/>
      <c r="U46" s="366"/>
      <c r="V46" s="391">
        <f t="array" aca="1" ref="V46" ca="1">SUM(IF($AD$16:$AR$16="O_Pos",AD46:AR46))</f>
        <v>0</v>
      </c>
      <c r="W46" s="367" t="str">
        <f t="shared" ref="W46" ca="1" si="146">OFFSET(Origine,MATCH($F46,Descrizioni,0),MATCH(W$16,Intestazioni,0)-1,1,1)</f>
        <v>CHF</v>
      </c>
      <c r="X46" s="884">
        <f t="shared" ref="X46" ca="1" si="147">_xlfn.NUMBERVALUE(OFFSET(Origine,MATCH($F46,Descrizioni,0),MATCH(X$16,Intestazioni,0)-1,1,1))</f>
        <v>85.54</v>
      </c>
      <c r="Y46" s="1041">
        <f t="shared" ca="1" si="127"/>
        <v>0</v>
      </c>
      <c r="Z46" s="1042">
        <f ca="1">_xlfn.NUMBERVALUE(OFFSET(Origine,MATCH(W46&amp;"/"&amp;MRif,LUKB_Name,0),MATCH("Price",Intestazioni,0)-1,1,1))</f>
        <v>1.10173835</v>
      </c>
      <c r="AA46" s="197"/>
      <c r="AB46" s="312" t="str">
        <f ca="1">IFERROR($X46/AC46-1,"")</f>
        <v/>
      </c>
      <c r="AC46" s="1008"/>
      <c r="AD46" s="199">
        <f t="shared" ca="1" si="128"/>
        <v>0</v>
      </c>
      <c r="AE46" s="199">
        <f t="shared" ca="1" si="129"/>
        <v>0</v>
      </c>
      <c r="AF46" s="216">
        <f t="shared" ca="1" si="142"/>
        <v>0</v>
      </c>
      <c r="AG46" s="202">
        <f t="shared" ca="1" si="130"/>
        <v>0</v>
      </c>
      <c r="AH46" s="203">
        <f t="shared" ca="1" si="131"/>
        <v>0</v>
      </c>
      <c r="AI46" s="203">
        <f t="shared" ca="1" si="132"/>
        <v>0</v>
      </c>
      <c r="AJ46" s="204">
        <f t="shared" ca="1" si="133"/>
        <v>0</v>
      </c>
      <c r="AK46" s="205"/>
      <c r="AL46" s="206">
        <f t="shared" ca="1" si="134"/>
        <v>0</v>
      </c>
      <c r="AM46" s="206">
        <f t="shared" ca="1" si="135"/>
        <v>0</v>
      </c>
      <c r="AN46" s="207">
        <f t="shared" ca="1" si="143"/>
        <v>0</v>
      </c>
      <c r="AO46" s="391">
        <f>AA46+AK46</f>
        <v>0</v>
      </c>
      <c r="AP46" s="391">
        <f t="shared" ca="1" si="49"/>
        <v>0</v>
      </c>
      <c r="AQ46" s="391">
        <f t="shared" ca="1" si="136"/>
        <v>0</v>
      </c>
      <c r="AR46" s="886">
        <f t="shared" ca="1" si="84"/>
        <v>0</v>
      </c>
      <c r="AS46" s="1007" t="str">
        <f t="shared" ca="1" si="9"/>
        <v/>
      </c>
    </row>
    <row r="47" spans="1:45" hidden="1" outlineLevel="1" x14ac:dyDescent="0.2">
      <c r="A47" s="367"/>
      <c r="B47" s="367"/>
      <c r="C47" s="367" t="str">
        <f t="shared" ca="1" si="123"/>
        <v>LU1169830103:EUR</v>
      </c>
      <c r="D47" s="368" t="str">
        <f t="shared" ca="1" si="123"/>
        <v>LU1169830103</v>
      </c>
      <c r="E47" s="369" t="str">
        <f t="shared" ca="1" si="123"/>
        <v>26688077</v>
      </c>
      <c r="F47" s="367" t="s">
        <v>449</v>
      </c>
      <c r="G47" s="414"/>
      <c r="H47" s="1683" t="str">
        <f ca="1">HYPERLINK(OFFSET(Origine,MATCH($F47,Descrizioni,0),MATCH(H$16,Intestazioni,0)-1,1,1),"")</f>
        <v></v>
      </c>
      <c r="I47" s="1683" t="str">
        <f t="shared" ref="I47" ca="1" si="148">HYPERLINK(OFFSET(Origine,MATCH($F47,Descrizioni,0),MATCH(I$16,Intestazioni,0)-1,1,1),"i")</f>
        <v>i</v>
      </c>
      <c r="J47" s="1713" t="str">
        <f t="shared" ref="J47:K47" ca="1" si="149">HYPERLINK(OFFSET(Origine,MATCH($F47,Descrizioni,0),MATCH(J$16,Intestazioni,0)-1,1,1),"")</f>
        <v></v>
      </c>
      <c r="K47" s="1716" t="str">
        <f t="shared" ca="1" si="149"/>
        <v></v>
      </c>
      <c r="L47" s="1717" t="str">
        <f ca="1">IFERROR(HYPERLINK("https://www.marketscreener.com/mods_a/charts/TV/inc_dyna_graph.php?c="&amp;OFFSET(Origine,MATCH($F47,Descrizioni,0),MATCH(L$16,Intestazioni,0)-1,1,1)&amp;"&amp;style=TradingView.CANDLES&amp;showAT=1",""),"")</f>
        <v></v>
      </c>
      <c r="M47" s="1786" t="str">
        <f ca="1">(OFFSET(Origine,MATCH($F47,Descrizioni,0),MATCH(M$16,Intestazioni,0)-1,1,1))</f>
        <v>Unit</v>
      </c>
      <c r="N47" s="1039">
        <v>0.05</v>
      </c>
      <c r="O47" s="1039"/>
      <c r="P47" s="882">
        <f t="shared" ca="1" si="139"/>
        <v>5.789575958316983E-2</v>
      </c>
      <c r="Q47" s="391">
        <f>SUMIF($AA$16:$AR$16,"I_Pos",AA47:AR47)</f>
        <v>420</v>
      </c>
      <c r="R47" s="391">
        <f t="array" aca="1" ref="R47" ca="1">SUM(IF($AD$16:$AR$16="P_Pos",AD47:AR47))</f>
        <v>-57.279134928136337</v>
      </c>
      <c r="S47" s="1040"/>
      <c r="T47" s="1040"/>
      <c r="U47" s="366"/>
      <c r="V47" s="391">
        <f t="array" aca="1" ref="V47" ca="1">SUM(IF($AD$16:$AR$16="O_Pos",AD47:AR47))</f>
        <v>0</v>
      </c>
      <c r="W47" s="367" t="str">
        <f t="shared" ref="W47" ca="1" si="150">OFFSET(Origine,MATCH($F47,Descrizioni,0),MATCH(W$16,Intestazioni,0)-1,1,1)</f>
        <v>EUR</v>
      </c>
      <c r="X47" s="884">
        <f t="shared" ref="X47" ca="1" si="151">_xlfn.NUMBERVALUE(OFFSET(Origine,MATCH($F47,Descrizioni,0),MATCH(X$16,Intestazioni,0)-1,1,1))</f>
        <v>18.716000000000001</v>
      </c>
      <c r="Y47" s="1041">
        <f t="shared" ca="1" si="127"/>
        <v>0</v>
      </c>
      <c r="Z47" s="1042">
        <f ca="1">_xlfn.NUMBERVALUE(OFFSET(Origine,MATCH(W47&amp;"/"&amp;MRif,LUKB_Name,0),MATCH("Price",Intestazioni,0)-1,1,1))</f>
        <v>1</v>
      </c>
      <c r="AA47" s="197">
        <f>350+500+-430</f>
        <v>420</v>
      </c>
      <c r="AB47" s="312">
        <f ca="1">IFERROR($X47/AC47-1,"")</f>
        <v>0.22427620131611659</v>
      </c>
      <c r="AC47" s="1008">
        <v>15.2874</v>
      </c>
      <c r="AD47" s="199">
        <f t="shared" ca="1" si="128"/>
        <v>7860.72</v>
      </c>
      <c r="AE47" s="199">
        <f t="shared" ca="1" si="129"/>
        <v>7860.72</v>
      </c>
      <c r="AF47" s="216">
        <f t="shared" ca="1" si="142"/>
        <v>5.789575958316983E-2</v>
      </c>
      <c r="AG47" s="202">
        <f t="shared" ca="1" si="130"/>
        <v>-57.279134928136337</v>
      </c>
      <c r="AH47" s="203">
        <f t="shared" ca="1" si="131"/>
        <v>-1072.0362893149997</v>
      </c>
      <c r="AI47" s="203">
        <f t="shared" ca="1" si="132"/>
        <v>-1072.0362893149997</v>
      </c>
      <c r="AJ47" s="204">
        <f t="shared" ca="1" si="133"/>
        <v>-7.8957595831698271E-3</v>
      </c>
      <c r="AK47" s="205"/>
      <c r="AL47" s="206">
        <f t="shared" ca="1" si="134"/>
        <v>0</v>
      </c>
      <c r="AM47" s="206">
        <f t="shared" ca="1" si="135"/>
        <v>0</v>
      </c>
      <c r="AN47" s="207">
        <f t="shared" ca="1" si="143"/>
        <v>0</v>
      </c>
      <c r="AO47" s="391">
        <f>AA47+AK47</f>
        <v>420</v>
      </c>
      <c r="AP47" s="391">
        <f t="shared" ca="1" si="49"/>
        <v>7860.72</v>
      </c>
      <c r="AQ47" s="391">
        <f t="shared" ca="1" si="136"/>
        <v>7860.72</v>
      </c>
      <c r="AR47" s="886">
        <f t="shared" ca="1" si="84"/>
        <v>5.789575958316983E-2</v>
      </c>
      <c r="AS47" s="1007" t="str">
        <f t="shared" ca="1" si="9"/>
        <v>V</v>
      </c>
    </row>
    <row r="48" spans="1:45" collapsed="1" x14ac:dyDescent="0.2">
      <c r="A48" s="346"/>
      <c r="B48" s="346" t="s">
        <v>403</v>
      </c>
      <c r="C48" s="346"/>
      <c r="D48" s="347"/>
      <c r="E48" s="348"/>
      <c r="F48" s="346"/>
      <c r="G48" s="349"/>
      <c r="H48" s="1784"/>
      <c r="I48" s="1784"/>
      <c r="J48" s="1784"/>
      <c r="K48" s="1784"/>
      <c r="L48" s="1784"/>
      <c r="M48" s="1785"/>
      <c r="N48" s="1036">
        <f>SUM(N$49:N$54)</f>
        <v>0.06</v>
      </c>
      <c r="O48" s="1036"/>
      <c r="P48" s="352">
        <f t="shared" ca="1" si="139"/>
        <v>7.7172176864775024E-2</v>
      </c>
      <c r="Q48" s="421"/>
      <c r="R48" s="421"/>
      <c r="S48" s="1035"/>
      <c r="T48" s="1035"/>
      <c r="U48" s="345"/>
      <c r="V48" s="421">
        <f ca="1">COUNTIF(V49:V54,"&lt;&gt;0")</f>
        <v>0</v>
      </c>
      <c r="W48" s="346"/>
      <c r="X48" s="873"/>
      <c r="Y48" s="873"/>
      <c r="Z48" s="1037"/>
      <c r="AA48" s="357"/>
      <c r="AB48" s="359"/>
      <c r="AC48" s="1038"/>
      <c r="AD48" s="359"/>
      <c r="AE48" s="360">
        <f ca="1">SUM(AE$49:AE$54)</f>
        <v>10477.950000000001</v>
      </c>
      <c r="AF48" s="361">
        <f t="shared" ca="1" si="142"/>
        <v>7.7172176864775024E-2</v>
      </c>
      <c r="AG48" s="362"/>
      <c r="AH48" s="359"/>
      <c r="AI48" s="360">
        <f ca="1">SUM(AI$49:AI$54)</f>
        <v>-2331.529547178</v>
      </c>
      <c r="AJ48" s="363">
        <f ca="1">IFERROR(AI48/AA$4,0)</f>
        <v>-1.7172176864775023E-2</v>
      </c>
      <c r="AK48" s="362"/>
      <c r="AL48" s="359"/>
      <c r="AM48" s="360">
        <f ca="1">SUM(AM$49:AM$54)</f>
        <v>0</v>
      </c>
      <c r="AN48" s="363">
        <f t="shared" ca="1" si="143"/>
        <v>0</v>
      </c>
      <c r="AO48" s="359"/>
      <c r="AP48" s="359"/>
      <c r="AQ48" s="360">
        <f ca="1">SUM(AQ$49:AQ$54)</f>
        <v>10477.950000000001</v>
      </c>
      <c r="AR48" s="876">
        <f t="shared" ca="1" si="84"/>
        <v>7.7172176864775024E-2</v>
      </c>
      <c r="AS48" s="1007" t="str">
        <f t="shared" ca="1" si="9"/>
        <v>V</v>
      </c>
    </row>
    <row r="49" spans="1:45" hidden="1" outlineLevel="1" x14ac:dyDescent="0.2">
      <c r="A49" s="367"/>
      <c r="B49" s="367"/>
      <c r="C49" s="367" t="str">
        <f t="shared" ref="C49:E54" ca="1" si="152">OFFSET(Origine,MATCH($F49,Descrizioni,0),MATCH(C$16,Intestazioni,0)-1,1,1)</f>
        <v>DE000A0H08F7:EUR:STU</v>
      </c>
      <c r="D49" s="368" t="str">
        <f t="shared" ca="1" si="152"/>
        <v>DE000A0H08F7</v>
      </c>
      <c r="E49" s="369" t="str">
        <f t="shared" ca="1" si="152"/>
        <v>12980561</v>
      </c>
      <c r="F49" s="367" t="s">
        <v>2802</v>
      </c>
      <c r="G49" s="414"/>
      <c r="H49" s="1683" t="str">
        <f t="shared" ref="H49:H54" ca="1" si="153">HYPERLINK(OFFSET(Origine,MATCH($F49,Descrizioni,0),MATCH(H$16,Intestazioni,0)-1,1,1),"")</f>
        <v></v>
      </c>
      <c r="I49" s="1683" t="str">
        <f t="shared" ref="I49:I51" ca="1" si="154">HYPERLINK(OFFSET(Origine,MATCH($F49,Descrizioni,0),MATCH(I$16,Intestazioni,0)-1,1,1),"i")</f>
        <v>i</v>
      </c>
      <c r="J49" s="1713" t="str">
        <f t="shared" ref="J49:K51" ca="1" si="155">HYPERLINK(OFFSET(Origine,MATCH($F49,Descrizioni,0),MATCH(J$16,Intestazioni,0)-1,1,1),"")</f>
        <v></v>
      </c>
      <c r="K49" s="1716" t="str">
        <f t="shared" ca="1" si="155"/>
        <v></v>
      </c>
      <c r="L49" s="1717" t="str">
        <f t="shared" ref="L49:L54" ca="1" si="156">IFERROR(HYPERLINK("https://www.marketscreener.com/mods_a/charts/TV/inc_dyna_graph.php?c="&amp;OFFSET(Origine,MATCH($F49,Descrizioni,0),MATCH(L$16,Intestazioni,0)-1,1,1)&amp;"&amp;style=TradingView.CANDLES&amp;showAT=1",""),"")</f>
        <v></v>
      </c>
      <c r="M49" s="1786" t="str">
        <f t="shared" ref="M49:M54" ca="1" si="157">(OFFSET(Origine,MATCH($F49,Descrizioni,0),MATCH(M$16,Intestazioni,0)-1,1,1))</f>
        <v>Unit</v>
      </c>
      <c r="N49" s="1039"/>
      <c r="O49" s="1039"/>
      <c r="P49" s="882">
        <f t="shared" ca="1" si="139"/>
        <v>0</v>
      </c>
      <c r="Q49" s="391">
        <f t="shared" ref="Q49:Q50" si="158">SUMIF($AA$16:$AR$16,"I_Pos",AA49:AR49)</f>
        <v>0</v>
      </c>
      <c r="R49" s="391">
        <f t="array" aca="1" ref="R49" ca="1">SUM(IF($AD$16:$AR$16="P_Pos",AD49:AR49))</f>
        <v>0</v>
      </c>
      <c r="S49" s="1040"/>
      <c r="T49" s="1040"/>
      <c r="U49" s="366"/>
      <c r="V49" s="391">
        <f t="array" aca="1" ref="V49" ca="1">SUM(IF($AD$16:$AR$16="O_Pos",AD49:AR49))</f>
        <v>0</v>
      </c>
      <c r="W49" s="367" t="str">
        <f t="shared" ref="W49:W51" ca="1" si="159">OFFSET(Origine,MATCH($F49,Descrizioni,0),MATCH(W$16,Intestazioni,0)-1,1,1)</f>
        <v>EUR</v>
      </c>
      <c r="X49" s="887">
        <f t="shared" ref="X49:X53" ca="1" si="160">_xlfn.NUMBERVALUE(OFFSET(Origine,MATCH($F49,Descrizioni,0),MATCH(X$16,Intestazioni,0)-1,1,1))</f>
        <v>90.18</v>
      </c>
      <c r="Y49" s="1041">
        <f t="shared" ref="Y49:Y54" ca="1" si="161">_xlfn.NUMBERVALUE(OFFSET(Origine,MATCH($F49,Descrizioni,0),MATCH(Y$16,Intestazioni,0)-1,1,1))</f>
        <v>0</v>
      </c>
      <c r="Z49" s="1042">
        <f t="shared" ref="Z49:Z54" ca="1" si="162">_xlfn.NUMBERVALUE(OFFSET(Origine,MATCH(W49&amp;"/"&amp;MRif,LUKB_Name,0),MATCH("Price",Intestazioni,0)-1,1,1))</f>
        <v>1</v>
      </c>
      <c r="AA49" s="197"/>
      <c r="AB49" s="312" t="str">
        <f t="shared" ref="AB49:AB54" ca="1" si="163">IFERROR($X49/AC49-1,"")</f>
        <v/>
      </c>
      <c r="AC49" s="1008"/>
      <c r="AD49" s="199">
        <f t="shared" ref="AD49:AD50" ca="1" si="164">AA49*$X49</f>
        <v>0</v>
      </c>
      <c r="AE49" s="199">
        <f t="shared" ref="AE49:AE50" ca="1" si="165">AD49*$Z49</f>
        <v>0</v>
      </c>
      <c r="AF49" s="216">
        <f t="shared" ref="AF49:AF50" ca="1" si="166">IFERROR(AE49/AA$4,0)</f>
        <v>0</v>
      </c>
      <c r="AG49" s="202">
        <f t="shared" ref="AG49:AG50" ca="1" si="167">AH49/$X49</f>
        <v>0</v>
      </c>
      <c r="AH49" s="203">
        <f t="shared" ref="AH49:AH50" ca="1" si="168">AI49/$Z49</f>
        <v>0</v>
      </c>
      <c r="AI49" s="203">
        <f t="shared" ref="AI49:AI50" ca="1" si="169">AJ49*AA$4</f>
        <v>0</v>
      </c>
      <c r="AJ49" s="204">
        <f t="shared" ref="AJ49:AJ50" ca="1" si="170">$N49-AF49</f>
        <v>0</v>
      </c>
      <c r="AK49" s="205"/>
      <c r="AL49" s="206">
        <f t="shared" ref="AL49:AL50" ca="1" si="171">AK49*$X49</f>
        <v>0</v>
      </c>
      <c r="AM49" s="206">
        <f t="shared" ref="AM49:AM50" ca="1" si="172">AL49*$Z49</f>
        <v>0</v>
      </c>
      <c r="AN49" s="207">
        <f t="shared" ref="AN49:AN50" ca="1" si="173">IFERROR(AM49/AA$4,0)</f>
        <v>0</v>
      </c>
      <c r="AO49" s="391">
        <f t="shared" ref="AO49:AO50" si="174">AA49+AK49</f>
        <v>0</v>
      </c>
      <c r="AP49" s="391">
        <f t="shared" ca="1" si="49"/>
        <v>0</v>
      </c>
      <c r="AQ49" s="391">
        <f t="shared" ref="AQ49:AQ50" ca="1" si="175">AP49*$Z49</f>
        <v>0</v>
      </c>
      <c r="AR49" s="886">
        <f t="shared" ref="AR49:AR50" ca="1" si="176">IFERROR(AQ49/AA$4,0)</f>
        <v>0</v>
      </c>
      <c r="AS49" s="1007" t="str">
        <f t="shared" ca="1" si="9"/>
        <v/>
      </c>
    </row>
    <row r="50" spans="1:45" hidden="1" outlineLevel="1" x14ac:dyDescent="0.2">
      <c r="A50" s="367"/>
      <c r="B50" s="367"/>
      <c r="C50" s="367" t="str">
        <f t="shared" ca="1" si="152"/>
        <v>DE000A0H08J9:EUR:STU</v>
      </c>
      <c r="D50" s="368" t="str">
        <f t="shared" ca="1" si="152"/>
        <v>DE000A0H08J9</v>
      </c>
      <c r="E50" s="369" t="str">
        <f t="shared" ca="1" si="152"/>
        <v>12980675</v>
      </c>
      <c r="F50" s="367" t="s">
        <v>2943</v>
      </c>
      <c r="G50" s="414"/>
      <c r="H50" s="1683" t="str">
        <f t="shared" ca="1" si="153"/>
        <v></v>
      </c>
      <c r="I50" s="1683" t="str">
        <f t="shared" ca="1" si="154"/>
        <v>i</v>
      </c>
      <c r="J50" s="1713" t="str">
        <f t="shared" ca="1" si="155"/>
        <v></v>
      </c>
      <c r="K50" s="1716" t="str">
        <f t="shared" ca="1" si="155"/>
        <v></v>
      </c>
      <c r="L50" s="1717" t="str">
        <f t="shared" ca="1" si="156"/>
        <v></v>
      </c>
      <c r="M50" s="1786" t="str">
        <f t="shared" ca="1" si="157"/>
        <v>Unit</v>
      </c>
      <c r="N50" s="1039"/>
      <c r="O50" s="1039"/>
      <c r="P50" s="882">
        <f t="shared" ca="1" si="139"/>
        <v>4.5450637141094076E-2</v>
      </c>
      <c r="Q50" s="391">
        <f t="shared" si="158"/>
        <v>55</v>
      </c>
      <c r="R50" s="391">
        <f t="array" aca="1" ref="R50" ca="1">SUM(IF($AD$16:$AR$16="P_Pos",AD50:AR50))</f>
        <v>-55</v>
      </c>
      <c r="S50" s="1040"/>
      <c r="T50" s="1040"/>
      <c r="U50" s="366"/>
      <c r="V50" s="391">
        <f t="array" aca="1" ref="V50" ca="1">SUM(IF($AD$16:$AR$16="O_Pos",AD50:AR50))</f>
        <v>0</v>
      </c>
      <c r="W50" s="367" t="str">
        <f t="shared" ca="1" si="159"/>
        <v>EUR</v>
      </c>
      <c r="X50" s="887">
        <f ca="1">_xlfn.NUMBERVALUE(OFFSET(Origine,MATCH($F50,Descrizioni,0),MATCH(X$16,Intestazioni,0)-1,1,1))</f>
        <v>112.2</v>
      </c>
      <c r="Y50" s="1041">
        <f t="shared" ca="1" si="161"/>
        <v>0</v>
      </c>
      <c r="Z50" s="1042">
        <f t="shared" ca="1" si="162"/>
        <v>1</v>
      </c>
      <c r="AA50" s="197">
        <f>55</f>
        <v>55</v>
      </c>
      <c r="AB50" s="312">
        <f t="shared" ca="1" si="163"/>
        <v>6.9590085795996126E-2</v>
      </c>
      <c r="AC50" s="1008">
        <v>104.9</v>
      </c>
      <c r="AD50" s="199">
        <f t="shared" ca="1" si="164"/>
        <v>6171</v>
      </c>
      <c r="AE50" s="199">
        <f t="shared" ca="1" si="165"/>
        <v>6171</v>
      </c>
      <c r="AF50" s="216">
        <f t="shared" ca="1" si="166"/>
        <v>4.5450637141094076E-2</v>
      </c>
      <c r="AG50" s="202">
        <f t="shared" ca="1" si="167"/>
        <v>-55</v>
      </c>
      <c r="AH50" s="203">
        <f t="shared" ca="1" si="168"/>
        <v>-6171</v>
      </c>
      <c r="AI50" s="203">
        <f t="shared" ca="1" si="169"/>
        <v>-6171</v>
      </c>
      <c r="AJ50" s="204">
        <f t="shared" ca="1" si="170"/>
        <v>-4.5450637141094076E-2</v>
      </c>
      <c r="AK50" s="205"/>
      <c r="AL50" s="206">
        <f t="shared" ca="1" si="171"/>
        <v>0</v>
      </c>
      <c r="AM50" s="206">
        <f t="shared" ca="1" si="172"/>
        <v>0</v>
      </c>
      <c r="AN50" s="207">
        <f t="shared" ca="1" si="173"/>
        <v>0</v>
      </c>
      <c r="AO50" s="391">
        <f t="shared" si="174"/>
        <v>55</v>
      </c>
      <c r="AP50" s="391">
        <f t="shared" ca="1" si="49"/>
        <v>6171</v>
      </c>
      <c r="AQ50" s="391">
        <f t="shared" ca="1" si="175"/>
        <v>6171</v>
      </c>
      <c r="AR50" s="886">
        <f t="shared" ca="1" si="176"/>
        <v>4.5450637141094076E-2</v>
      </c>
      <c r="AS50" s="1007" t="str">
        <f t="shared" ca="1" si="9"/>
        <v>V</v>
      </c>
    </row>
    <row r="51" spans="1:45" hidden="1" outlineLevel="1" x14ac:dyDescent="0.2">
      <c r="A51" s="367"/>
      <c r="B51" s="367"/>
      <c r="C51" s="367" t="str">
        <f t="shared" ca="1" si="152"/>
        <v>DE000A0H08K7:EUR:STU</v>
      </c>
      <c r="D51" s="368" t="str">
        <f t="shared" ca="1" si="152"/>
        <v>DE000A0H08K7</v>
      </c>
      <c r="E51" s="369" t="str">
        <f t="shared" ca="1" si="152"/>
        <v>12980686</v>
      </c>
      <c r="F51" s="367" t="s">
        <v>438</v>
      </c>
      <c r="G51" s="414"/>
      <c r="H51" s="1683" t="str">
        <f t="shared" ca="1" si="153"/>
        <v></v>
      </c>
      <c r="I51" s="1683" t="str">
        <f t="shared" ca="1" si="154"/>
        <v>i</v>
      </c>
      <c r="J51" s="1713" t="str">
        <f t="shared" ca="1" si="155"/>
        <v></v>
      </c>
      <c r="K51" s="1716" t="str">
        <f t="shared" ca="1" si="155"/>
        <v></v>
      </c>
      <c r="L51" s="1717" t="str">
        <f t="shared" ca="1" si="156"/>
        <v></v>
      </c>
      <c r="M51" s="1786" t="str">
        <f t="shared" ca="1" si="157"/>
        <v>Unit</v>
      </c>
      <c r="N51" s="1039">
        <v>0.03</v>
      </c>
      <c r="O51" s="1039"/>
      <c r="P51" s="882">
        <f t="shared" ca="1" si="139"/>
        <v>3.1721539723680948E-2</v>
      </c>
      <c r="Q51" s="391">
        <f t="shared" ref="Q51" si="177">SUMIF($AA$16:$AR$16,"I_Pos",AA51:AR51)</f>
        <v>90</v>
      </c>
      <c r="R51" s="391">
        <f t="array" aca="1" ref="R51" ca="1">SUM(IF($AD$16:$AR$16="P_Pos",AD51:AR51))</f>
        <v>-4.8843333735032992</v>
      </c>
      <c r="S51" s="1040"/>
      <c r="T51" s="1040"/>
      <c r="U51" s="366"/>
      <c r="V51" s="391">
        <f t="array" aca="1" ref="V51" ca="1">SUM(IF($AD$16:$AR$16="O_Pos",AD51:AR51))</f>
        <v>0</v>
      </c>
      <c r="W51" s="367" t="str">
        <f t="shared" ca="1" si="159"/>
        <v>EUR</v>
      </c>
      <c r="X51" s="887">
        <f t="shared" ca="1" si="160"/>
        <v>47.854999999999997</v>
      </c>
      <c r="Y51" s="1041">
        <f t="shared" ca="1" si="161"/>
        <v>0</v>
      </c>
      <c r="Z51" s="1042">
        <f t="shared" ca="1" si="162"/>
        <v>1</v>
      </c>
      <c r="AA51" s="197">
        <f>90</f>
        <v>90</v>
      </c>
      <c r="AB51" s="312">
        <f t="shared" ca="1" si="163"/>
        <v>1.1626677941021013E-2</v>
      </c>
      <c r="AC51" s="1008">
        <v>47.305</v>
      </c>
      <c r="AD51" s="199">
        <f t="shared" ref="AD51" ca="1" si="178">AA51*$X51</f>
        <v>4306.95</v>
      </c>
      <c r="AE51" s="199">
        <f t="shared" ref="AE51" ca="1" si="179">AD51*$Z51</f>
        <v>4306.95</v>
      </c>
      <c r="AF51" s="216">
        <f t="shared" ref="AF51" ca="1" si="180">IFERROR(AE51/AA$4,0)</f>
        <v>3.1721539723680948E-2</v>
      </c>
      <c r="AG51" s="202">
        <f t="shared" ref="AG51" ca="1" si="181">AH51/$X51</f>
        <v>-4.8843333735032992</v>
      </c>
      <c r="AH51" s="203">
        <f t="shared" ref="AH51" ca="1" si="182">AI51/$Z51</f>
        <v>-233.73977358900035</v>
      </c>
      <c r="AI51" s="203">
        <f t="shared" ref="AI51" ca="1" si="183">AJ51*AA$4</f>
        <v>-233.73977358900035</v>
      </c>
      <c r="AJ51" s="204">
        <f t="shared" ref="AJ51" ca="1" si="184">$N51-AF51</f>
        <v>-1.7215397236809496E-3</v>
      </c>
      <c r="AK51" s="205"/>
      <c r="AL51" s="206">
        <f t="shared" ref="AL51" ca="1" si="185">AK51*$X51</f>
        <v>0</v>
      </c>
      <c r="AM51" s="206">
        <f t="shared" ref="AM51" ca="1" si="186">AL51*$Z51</f>
        <v>0</v>
      </c>
      <c r="AN51" s="207">
        <f t="shared" ref="AN51" ca="1" si="187">IFERROR(AM51/AA$4,0)</f>
        <v>0</v>
      </c>
      <c r="AO51" s="391">
        <f t="shared" ref="AO51" si="188">AA51+AK51</f>
        <v>90</v>
      </c>
      <c r="AP51" s="391">
        <f t="shared" ref="AP51" ca="1" si="189">AD51+IF($T51="",AL51)</f>
        <v>4306.95</v>
      </c>
      <c r="AQ51" s="391">
        <f t="shared" ref="AQ51" ca="1" si="190">AP51*$Z51</f>
        <v>4306.95</v>
      </c>
      <c r="AR51" s="886">
        <f t="shared" ref="AR51" ca="1" si="191">IFERROR(AQ51/AA$4,0)</f>
        <v>3.1721539723680948E-2</v>
      </c>
      <c r="AS51" s="1007" t="str">
        <f t="shared" ref="AS51" ca="1" si="192">IF(SUM(AF51,AN51,AR51)&lt;&gt;0,"V","")</f>
        <v>V</v>
      </c>
    </row>
    <row r="52" spans="1:45" hidden="1" outlineLevel="1" x14ac:dyDescent="0.2">
      <c r="A52" s="367"/>
      <c r="B52" s="367"/>
      <c r="C52" s="367" t="str">
        <f t="shared" ca="1" si="152"/>
        <v>DE000A0H08R2:EUR:STU</v>
      </c>
      <c r="D52" s="368" t="str">
        <f t="shared" ca="1" si="152"/>
        <v>DE000A0H08R2</v>
      </c>
      <c r="E52" s="369" t="str">
        <f t="shared" ca="1" si="152"/>
        <v>12980951</v>
      </c>
      <c r="F52" s="367" t="s">
        <v>824</v>
      </c>
      <c r="G52" s="414"/>
      <c r="H52" s="1683" t="str">
        <f t="shared" ca="1" si="153"/>
        <v></v>
      </c>
      <c r="I52" s="1683" t="str">
        <f t="shared" ref="I52" ca="1" si="193">HYPERLINK(OFFSET(Origine,MATCH($F52,Descrizioni,0),MATCH(I$16,Intestazioni,0)-1,1,1),"i")</f>
        <v>i</v>
      </c>
      <c r="J52" s="1713" t="str">
        <f t="shared" ref="J52:K52" ca="1" si="194">HYPERLINK(OFFSET(Origine,MATCH($F52,Descrizioni,0),MATCH(J$16,Intestazioni,0)-1,1,1),"")</f>
        <v></v>
      </c>
      <c r="K52" s="1716" t="str">
        <f t="shared" ca="1" si="194"/>
        <v></v>
      </c>
      <c r="L52" s="1717" t="str">
        <f t="shared" ca="1" si="156"/>
        <v></v>
      </c>
      <c r="M52" s="1786" t="str">
        <f t="shared" ca="1" si="157"/>
        <v>Unit</v>
      </c>
      <c r="N52" s="1039"/>
      <c r="O52" s="1039"/>
      <c r="P52" s="882">
        <f t="shared" ca="1" si="139"/>
        <v>0</v>
      </c>
      <c r="Q52" s="391">
        <f t="shared" ref="Q52:Q54" si="195">SUMIF($AA$16:$AR$16,"I_Pos",AA52:AR52)</f>
        <v>0</v>
      </c>
      <c r="R52" s="391">
        <f t="array" aca="1" ref="R52" ca="1">SUM(IF($AD$16:$AR$16="P_Pos",AD52:AR52))</f>
        <v>0</v>
      </c>
      <c r="S52" s="1040"/>
      <c r="T52" s="1040"/>
      <c r="U52" s="366"/>
      <c r="V52" s="391">
        <f t="array" aca="1" ref="V52" ca="1">SUM(IF($AD$16:$AR$16="O_Pos",AD52:AR52))</f>
        <v>0</v>
      </c>
      <c r="W52" s="367" t="str">
        <f t="shared" ref="W52" ca="1" si="196">OFFSET(Origine,MATCH($F52,Descrizioni,0),MATCH(W$16,Intestazioni,0)-1,1,1)</f>
        <v>EUR</v>
      </c>
      <c r="X52" s="887">
        <f t="shared" ca="1" si="160"/>
        <v>28.844999999999999</v>
      </c>
      <c r="Y52" s="1041">
        <f t="shared" ca="1" si="161"/>
        <v>0</v>
      </c>
      <c r="Z52" s="1042">
        <f t="shared" ca="1" si="162"/>
        <v>1</v>
      </c>
      <c r="AA52" s="197"/>
      <c r="AB52" s="312" t="str">
        <f t="shared" ca="1" si="163"/>
        <v/>
      </c>
      <c r="AC52" s="1008"/>
      <c r="AD52" s="199">
        <f t="shared" ref="AD52:AD54" ca="1" si="197">AA52*$X52</f>
        <v>0</v>
      </c>
      <c r="AE52" s="199">
        <f t="shared" ref="AE52:AE54" ca="1" si="198">AD52*$Z52</f>
        <v>0</v>
      </c>
      <c r="AF52" s="216">
        <f t="shared" ca="1" si="142"/>
        <v>0</v>
      </c>
      <c r="AG52" s="202">
        <f t="shared" ref="AG52:AG54" ca="1" si="199">AH52/$X52</f>
        <v>0</v>
      </c>
      <c r="AH52" s="203">
        <f t="shared" ref="AH52:AH54" ca="1" si="200">AI52/$Z52</f>
        <v>0</v>
      </c>
      <c r="AI52" s="203">
        <f t="shared" ref="AI52:AI54" ca="1" si="201">AJ52*AA$4</f>
        <v>0</v>
      </c>
      <c r="AJ52" s="204">
        <f t="shared" ref="AJ52:AJ54" ca="1" si="202">$N52-AF52</f>
        <v>0</v>
      </c>
      <c r="AK52" s="205"/>
      <c r="AL52" s="206">
        <f t="shared" ref="AL52:AL54" ca="1" si="203">AK52*$X52</f>
        <v>0</v>
      </c>
      <c r="AM52" s="206">
        <f t="shared" ref="AM52:AM54" ca="1" si="204">AL52*$Z52</f>
        <v>0</v>
      </c>
      <c r="AN52" s="207">
        <f t="shared" ca="1" si="143"/>
        <v>0</v>
      </c>
      <c r="AO52" s="391">
        <f>AA52+AK52</f>
        <v>0</v>
      </c>
      <c r="AP52" s="391">
        <f t="shared" ca="1" si="49"/>
        <v>0</v>
      </c>
      <c r="AQ52" s="391">
        <f t="shared" ref="AQ52:AQ54" ca="1" si="205">AP52*$Z52</f>
        <v>0</v>
      </c>
      <c r="AR52" s="886">
        <f t="shared" ca="1" si="84"/>
        <v>0</v>
      </c>
      <c r="AS52" s="1007" t="str">
        <f t="shared" ca="1" si="9"/>
        <v/>
      </c>
    </row>
    <row r="53" spans="1:45" hidden="1" outlineLevel="1" x14ac:dyDescent="0.2">
      <c r="A53" s="367"/>
      <c r="B53" s="367"/>
      <c r="C53" s="367" t="str">
        <f t="shared" ca="1" si="152"/>
        <v>DE000A0Q4R02:EUR:STU</v>
      </c>
      <c r="D53" s="368" t="str">
        <f t="shared" ca="1" si="152"/>
        <v>DE000A0Q4R02</v>
      </c>
      <c r="E53" s="369" t="str">
        <f t="shared" ca="1" si="152"/>
        <v>12981018</v>
      </c>
      <c r="F53" s="367" t="s">
        <v>416</v>
      </c>
      <c r="G53" s="414"/>
      <c r="H53" s="1683" t="str">
        <f t="shared" ca="1" si="153"/>
        <v></v>
      </c>
      <c r="I53" s="1683" t="str">
        <f t="shared" ref="I53:I54" ca="1" si="206">HYPERLINK(OFFSET(Origine,MATCH($F53,Descrizioni,0),MATCH(I$16,Intestazioni,0)-1,1,1),"i")</f>
        <v>i</v>
      </c>
      <c r="J53" s="1713" t="str">
        <f t="shared" ref="J53:K54" ca="1" si="207">HYPERLINK(OFFSET(Origine,MATCH($F53,Descrizioni,0),MATCH(J$16,Intestazioni,0)-1,1,1),"")</f>
        <v></v>
      </c>
      <c r="K53" s="1716" t="str">
        <f t="shared" ca="1" si="207"/>
        <v></v>
      </c>
      <c r="L53" s="1717" t="str">
        <f t="shared" ca="1" si="156"/>
        <v></v>
      </c>
      <c r="M53" s="1786" t="str">
        <f t="shared" ca="1" si="157"/>
        <v>Unit</v>
      </c>
      <c r="N53" s="1039">
        <v>0.03</v>
      </c>
      <c r="O53" s="1039"/>
      <c r="P53" s="882">
        <f t="shared" ca="1" si="139"/>
        <v>0</v>
      </c>
      <c r="Q53" s="391">
        <f t="shared" ref="Q53" si="208">SUMIF($AA$16:$AR$16,"I_Pos",AA53:AR53)</f>
        <v>0</v>
      </c>
      <c r="R53" s="391">
        <f t="array" aca="1" ref="R53" ca="1">SUM(IF($AD$16:$AR$16="P_Pos",AD53:AR53))</f>
        <v>72.361169415722159</v>
      </c>
      <c r="S53" s="1040"/>
      <c r="T53" s="1040"/>
      <c r="U53" s="366"/>
      <c r="V53" s="391">
        <f t="array" aca="1" ref="V53" ca="1">SUM(IF($AD$16:$AR$16="O_Pos",AD53:AR53))</f>
        <v>0</v>
      </c>
      <c r="W53" s="367" t="str">
        <f t="shared" ref="W53:W54" ca="1" si="209">OFFSET(Origine,MATCH($F53,Descrizioni,0),MATCH(W$16,Intestazioni,0)-1,1,1)</f>
        <v>EUR</v>
      </c>
      <c r="X53" s="887">
        <f t="shared" ca="1" si="160"/>
        <v>56.29</v>
      </c>
      <c r="Y53" s="1041">
        <f t="shared" ca="1" si="161"/>
        <v>0</v>
      </c>
      <c r="Z53" s="1042">
        <f t="shared" ca="1" si="162"/>
        <v>1</v>
      </c>
      <c r="AA53" s="197">
        <f>100+-100</f>
        <v>0</v>
      </c>
      <c r="AB53" s="312" t="str">
        <f t="shared" ca="1" si="163"/>
        <v/>
      </c>
      <c r="AC53" s="1008"/>
      <c r="AD53" s="199">
        <f t="shared" ref="AD53" ca="1" si="210">AA53*$X53</f>
        <v>0</v>
      </c>
      <c r="AE53" s="199">
        <f t="shared" ref="AE53" ca="1" si="211">AD53*$Z53</f>
        <v>0</v>
      </c>
      <c r="AF53" s="216">
        <f t="shared" ref="AF53" ca="1" si="212">IFERROR(AE53/AA$4,0)</f>
        <v>0</v>
      </c>
      <c r="AG53" s="202">
        <f t="shared" ref="AG53" ca="1" si="213">AH53/$X53</f>
        <v>72.361169415722159</v>
      </c>
      <c r="AH53" s="203">
        <f t="shared" ref="AH53" ca="1" si="214">AI53/$Z53</f>
        <v>4073.2102264109999</v>
      </c>
      <c r="AI53" s="203">
        <f t="shared" ref="AI53" ca="1" si="215">AJ53*AA$4</f>
        <v>4073.2102264109999</v>
      </c>
      <c r="AJ53" s="204">
        <f t="shared" ref="AJ53" ca="1" si="216">$N53-AF53</f>
        <v>0.03</v>
      </c>
      <c r="AK53" s="205"/>
      <c r="AL53" s="206">
        <f t="shared" ref="AL53" ca="1" si="217">AK53*$X53</f>
        <v>0</v>
      </c>
      <c r="AM53" s="206">
        <f t="shared" ref="AM53" ca="1" si="218">AL53*$Z53</f>
        <v>0</v>
      </c>
      <c r="AN53" s="207">
        <f t="shared" ref="AN53" ca="1" si="219">IFERROR(AM53/AA$4,0)</f>
        <v>0</v>
      </c>
      <c r="AO53" s="391">
        <f>AA53+AK53</f>
        <v>0</v>
      </c>
      <c r="AP53" s="391">
        <f t="shared" ref="AP53" ca="1" si="220">AD53+IF($T53="",AL53)</f>
        <v>0</v>
      </c>
      <c r="AQ53" s="391">
        <f t="shared" ref="AQ53" ca="1" si="221">AP53*$Z53</f>
        <v>0</v>
      </c>
      <c r="AR53" s="886">
        <f t="shared" ref="AR53" ca="1" si="222">IFERROR(AQ53/AA$4,0)</f>
        <v>0</v>
      </c>
      <c r="AS53" s="1007" t="str">
        <f t="shared" ref="AS53" ca="1" si="223">IF(SUM(AF53,AN53,AR53)&lt;&gt;0,"V","")</f>
        <v/>
      </c>
    </row>
    <row r="54" spans="1:45" hidden="1" outlineLevel="1" x14ac:dyDescent="0.2">
      <c r="A54" s="367"/>
      <c r="B54" s="367"/>
      <c r="C54" s="367" t="str">
        <f t="shared" ca="1" si="152"/>
        <v>IE00B60SWY32:EUR</v>
      </c>
      <c r="D54" s="368" t="str">
        <f t="shared" ca="1" si="152"/>
        <v>IE00B60SWY32</v>
      </c>
      <c r="E54" s="369" t="str">
        <f t="shared" ca="1" si="152"/>
        <v>10128187</v>
      </c>
      <c r="F54" s="367" t="s">
        <v>842</v>
      </c>
      <c r="G54" s="414"/>
      <c r="H54" s="1683" t="str">
        <f t="shared" ca="1" si="153"/>
        <v></v>
      </c>
      <c r="I54" s="1683" t="str">
        <f t="shared" ca="1" si="206"/>
        <v>i</v>
      </c>
      <c r="J54" s="1713" t="str">
        <f t="shared" ca="1" si="207"/>
        <v></v>
      </c>
      <c r="K54" s="1716" t="str">
        <f t="shared" ca="1" si="207"/>
        <v></v>
      </c>
      <c r="L54" s="1717" t="str">
        <f t="shared" ca="1" si="156"/>
        <v></v>
      </c>
      <c r="M54" s="1786" t="str">
        <f t="shared" ca="1" si="157"/>
        <v>Unit</v>
      </c>
      <c r="N54" s="1039"/>
      <c r="O54" s="1039"/>
      <c r="P54" s="882">
        <f t="shared" ca="1" si="139"/>
        <v>0</v>
      </c>
      <c r="Q54" s="391">
        <f t="shared" si="195"/>
        <v>0</v>
      </c>
      <c r="R54" s="391">
        <f t="array" aca="1" ref="R54" ca="1">SUM(IF($AD$16:$AR$16="P_Pos",AD54:AR54))</f>
        <v>0</v>
      </c>
      <c r="S54" s="1040"/>
      <c r="T54" s="1040"/>
      <c r="U54" s="366"/>
      <c r="V54" s="391">
        <f t="array" aca="1" ref="V54" ca="1">SUM(IF($AD$16:$AR$16="O_Pos",AD54:AR54))</f>
        <v>0</v>
      </c>
      <c r="W54" s="367" t="str">
        <f t="shared" ca="1" si="209"/>
        <v>EUR</v>
      </c>
      <c r="X54" s="887">
        <f t="shared" ref="X54" ca="1" si="224">_xlfn.NUMBERVALUE(OFFSET(Origine,MATCH($F54,Descrizioni,0),MATCH(X$16,Intestazioni,0)-1,1,1))</f>
        <v>423</v>
      </c>
      <c r="Y54" s="1041">
        <f t="shared" ca="1" si="161"/>
        <v>0</v>
      </c>
      <c r="Z54" s="1042">
        <f t="shared" ca="1" si="162"/>
        <v>1</v>
      </c>
      <c r="AA54" s="197"/>
      <c r="AB54" s="312" t="str">
        <f t="shared" ca="1" si="163"/>
        <v/>
      </c>
      <c r="AC54" s="1008"/>
      <c r="AD54" s="199">
        <f t="shared" ca="1" si="197"/>
        <v>0</v>
      </c>
      <c r="AE54" s="199">
        <f t="shared" ca="1" si="198"/>
        <v>0</v>
      </c>
      <c r="AF54" s="216">
        <f t="shared" ca="1" si="142"/>
        <v>0</v>
      </c>
      <c r="AG54" s="202">
        <f t="shared" ca="1" si="199"/>
        <v>0</v>
      </c>
      <c r="AH54" s="203">
        <f t="shared" ca="1" si="200"/>
        <v>0</v>
      </c>
      <c r="AI54" s="203">
        <f t="shared" ca="1" si="201"/>
        <v>0</v>
      </c>
      <c r="AJ54" s="204">
        <f t="shared" ca="1" si="202"/>
        <v>0</v>
      </c>
      <c r="AK54" s="205"/>
      <c r="AL54" s="206">
        <f t="shared" ca="1" si="203"/>
        <v>0</v>
      </c>
      <c r="AM54" s="206">
        <f t="shared" ca="1" si="204"/>
        <v>0</v>
      </c>
      <c r="AN54" s="207">
        <f t="shared" ca="1" si="143"/>
        <v>0</v>
      </c>
      <c r="AO54" s="391">
        <f>AA54+AK54</f>
        <v>0</v>
      </c>
      <c r="AP54" s="391">
        <f t="shared" ca="1" si="49"/>
        <v>0</v>
      </c>
      <c r="AQ54" s="391">
        <f t="shared" ca="1" si="205"/>
        <v>0</v>
      </c>
      <c r="AR54" s="886">
        <f t="shared" ca="1" si="84"/>
        <v>0</v>
      </c>
      <c r="AS54" s="1007" t="str">
        <f t="shared" ca="1" si="9"/>
        <v/>
      </c>
    </row>
    <row r="55" spans="1:45" collapsed="1" x14ac:dyDescent="0.2">
      <c r="A55" s="346"/>
      <c r="B55" s="346" t="s">
        <v>603</v>
      </c>
      <c r="C55" s="346"/>
      <c r="D55" s="347"/>
      <c r="E55" s="348"/>
      <c r="F55" s="346"/>
      <c r="G55" s="349"/>
      <c r="H55" s="1784"/>
      <c r="I55" s="1784"/>
      <c r="J55" s="1784"/>
      <c r="K55" s="1784"/>
      <c r="L55" s="1784"/>
      <c r="M55" s="1785"/>
      <c r="N55" s="1036">
        <f>SUM(N$56:N$57)</f>
        <v>0</v>
      </c>
      <c r="O55" s="1036"/>
      <c r="P55" s="352">
        <f t="shared" ca="1" si="139"/>
        <v>0</v>
      </c>
      <c r="Q55" s="421"/>
      <c r="R55" s="421"/>
      <c r="S55" s="1035"/>
      <c r="T55" s="1035"/>
      <c r="U55" s="345"/>
      <c r="V55" s="421">
        <f ca="1">COUNTIF(V56:V57,"&lt;&gt;0")</f>
        <v>0</v>
      </c>
      <c r="W55" s="346"/>
      <c r="X55" s="873"/>
      <c r="Y55" s="873"/>
      <c r="Z55" s="1037"/>
      <c r="AA55" s="357"/>
      <c r="AB55" s="359"/>
      <c r="AC55" s="1038"/>
      <c r="AD55" s="359"/>
      <c r="AE55" s="360">
        <f ca="1">SUM(AE$56:AE$57)</f>
        <v>0</v>
      </c>
      <c r="AF55" s="361">
        <f t="shared" ca="1" si="142"/>
        <v>0</v>
      </c>
      <c r="AG55" s="362"/>
      <c r="AH55" s="359"/>
      <c r="AI55" s="360">
        <f ca="1">SUM(AI$56:AI$57)</f>
        <v>0</v>
      </c>
      <c r="AJ55" s="363">
        <f ca="1">IFERROR(AI55/AA$4,0)</f>
        <v>0</v>
      </c>
      <c r="AK55" s="362"/>
      <c r="AL55" s="359"/>
      <c r="AM55" s="360">
        <f ca="1">SUM(AM$56:AM$57)</f>
        <v>0</v>
      </c>
      <c r="AN55" s="363">
        <f t="shared" ca="1" si="143"/>
        <v>0</v>
      </c>
      <c r="AO55" s="359"/>
      <c r="AP55" s="359"/>
      <c r="AQ55" s="360">
        <f ca="1">SUM(AQ$56:AQ$57)</f>
        <v>0</v>
      </c>
      <c r="AR55" s="876">
        <f t="shared" ca="1" si="84"/>
        <v>0</v>
      </c>
      <c r="AS55" s="1007" t="str">
        <f t="shared" ca="1" si="9"/>
        <v/>
      </c>
    </row>
    <row r="56" spans="1:45" hidden="1" outlineLevel="1" x14ac:dyDescent="0.2">
      <c r="A56" s="1043"/>
      <c r="B56" s="367"/>
      <c r="C56" s="367" t="str">
        <f t="shared" ref="C56:E57" ca="1" si="225">OFFSET(Origine,MATCH($F56,Descrizioni,0),MATCH(C$16,Intestazioni,0)-1,1,1)</f>
        <v>LU1681044647:EUR</v>
      </c>
      <c r="D56" s="368" t="str">
        <f t="shared" ca="1" si="225"/>
        <v>LU1681044647</v>
      </c>
      <c r="E56" s="369" t="str">
        <f t="shared" ca="1" si="225"/>
        <v>38784749</v>
      </c>
      <c r="F56" s="367" t="s">
        <v>759</v>
      </c>
      <c r="G56" s="414"/>
      <c r="H56" s="1683" t="str">
        <f ca="1">HYPERLINK(OFFSET(Origine,MATCH($F56,Descrizioni,0),MATCH(H$16,Intestazioni,0)-1,1,1),"")</f>
        <v></v>
      </c>
      <c r="I56" s="1683" t="str">
        <f ca="1">HYPERLINK(OFFSET(Origine,MATCH($F56,Descrizioni,0),MATCH(I$16,Intestazioni,0)-1,1,1),"i")</f>
        <v>i</v>
      </c>
      <c r="J56" s="1713" t="str">
        <f t="shared" ref="J56:K56" ca="1" si="226">HYPERLINK(OFFSET(Origine,MATCH($F56,Descrizioni,0),MATCH(J$16,Intestazioni,0)-1,1,1),"")</f>
        <v></v>
      </c>
      <c r="K56" s="1716" t="str">
        <f t="shared" ca="1" si="226"/>
        <v></v>
      </c>
      <c r="L56" s="1717" t="str">
        <f ca="1">IFERROR(HYPERLINK("https://www.marketscreener.com/mods_a/charts/TV/inc_dyna_graph.php?c="&amp;OFFSET(Origine,MATCH($F56,Descrizioni,0),MATCH(L$16,Intestazioni,0)-1,1,1)&amp;"&amp;style=TradingView.CANDLES&amp;showAT=1",""),"")</f>
        <v></v>
      </c>
      <c r="M56" s="1786" t="str">
        <f ca="1">(OFFSET(Origine,MATCH($F56,Descrizioni,0),MATCH(M$16,Intestazioni,0)-1,1,1))</f>
        <v>Unit</v>
      </c>
      <c r="N56" s="1039"/>
      <c r="O56" s="1039"/>
      <c r="P56" s="882">
        <f t="shared" ca="1" si="139"/>
        <v>0</v>
      </c>
      <c r="Q56" s="391">
        <f>SUMIF($AA$16:$AR$16,"I_Pos",AA56:AR56)</f>
        <v>0</v>
      </c>
      <c r="R56" s="391">
        <f t="array" aca="1" ref="R56" ca="1">SUM(IF($AD$16:$AR$16="P_Pos",AD56:AR56))</f>
        <v>0</v>
      </c>
      <c r="S56" s="1040"/>
      <c r="T56" s="1040"/>
      <c r="U56" s="366"/>
      <c r="V56" s="391">
        <f t="array" aca="1" ref="V56" ca="1">SUM(IF($AD$16:$AR$16="O_Pos",AD56:AR56))</f>
        <v>0</v>
      </c>
      <c r="W56" s="367" t="str">
        <f ca="1">OFFSET(Origine,MATCH($F56,Descrizioni,0),MATCH(W$16,Intestazioni,0)-1,1,1)</f>
        <v>EUR</v>
      </c>
      <c r="X56" s="887">
        <f ca="1">_xlfn.NUMBERVALUE(OFFSET(Origine,MATCH($F56,Descrizioni,0),MATCH(X$16,Intestazioni,0)-1,1,1))</f>
        <v>675.3</v>
      </c>
      <c r="Y56" s="1041">
        <f ca="1">_xlfn.NUMBERVALUE(OFFSET(Origine,MATCH($F56,Descrizioni,0),MATCH(Y$16,Intestazioni,0)-1,1,1))</f>
        <v>0</v>
      </c>
      <c r="Z56" s="1042">
        <f ca="1">_xlfn.NUMBERVALUE(OFFSET(Origine,MATCH(W56&amp;"/"&amp;MRif,LUKB_Name,0),MATCH("Price",Intestazioni,0)-1,1,1))</f>
        <v>1</v>
      </c>
      <c r="AA56" s="197"/>
      <c r="AB56" s="312" t="str">
        <f ca="1">IFERROR($X56/AC56-1,"")</f>
        <v/>
      </c>
      <c r="AC56" s="1008"/>
      <c r="AD56" s="199">
        <f ca="1">AA56*$X56</f>
        <v>0</v>
      </c>
      <c r="AE56" s="199">
        <f ca="1">AD56*$Z56</f>
        <v>0</v>
      </c>
      <c r="AF56" s="216">
        <f ca="1">IFERROR(AE56/AA$4,0)</f>
        <v>0</v>
      </c>
      <c r="AG56" s="202">
        <f ca="1">AH56/$X56</f>
        <v>0</v>
      </c>
      <c r="AH56" s="203">
        <f ca="1">AI56/$Z56</f>
        <v>0</v>
      </c>
      <c r="AI56" s="203">
        <f ca="1">AJ56*AA$4</f>
        <v>0</v>
      </c>
      <c r="AJ56" s="204">
        <f ca="1">$N56-AF56</f>
        <v>0</v>
      </c>
      <c r="AK56" s="205"/>
      <c r="AL56" s="206">
        <f ca="1">AK56*$X56</f>
        <v>0</v>
      </c>
      <c r="AM56" s="206">
        <f ca="1">AL56*$Z56</f>
        <v>0</v>
      </c>
      <c r="AN56" s="207">
        <f ca="1">IFERROR(AM56/AA$4,0)</f>
        <v>0</v>
      </c>
      <c r="AO56" s="391">
        <f t="shared" ref="AO56" si="227">AA56+AK56</f>
        <v>0</v>
      </c>
      <c r="AP56" s="391">
        <f t="shared" ca="1" si="49"/>
        <v>0</v>
      </c>
      <c r="AQ56" s="391">
        <f ca="1">AP56*$Z56</f>
        <v>0</v>
      </c>
      <c r="AR56" s="886">
        <f ca="1">IFERROR(AQ56/AA$4,0)</f>
        <v>0</v>
      </c>
      <c r="AS56" s="1007" t="str">
        <f t="shared" ca="1" si="9"/>
        <v/>
      </c>
    </row>
    <row r="57" spans="1:45" hidden="1" outlineLevel="1" x14ac:dyDescent="0.2">
      <c r="A57" s="1043"/>
      <c r="B57" s="367"/>
      <c r="C57" s="367" t="str">
        <f t="shared" ca="1" si="225"/>
        <v>LU0922334643:EUR</v>
      </c>
      <c r="D57" s="368" t="str">
        <f t="shared" ca="1" si="225"/>
        <v>LU0922334643</v>
      </c>
      <c r="E57" s="369" t="str">
        <f t="shared" ca="1" si="225"/>
        <v>21363489</v>
      </c>
      <c r="F57" s="367" t="s">
        <v>760</v>
      </c>
      <c r="G57" s="414"/>
      <c r="H57" s="1683" t="str">
        <f ca="1">HYPERLINK(OFFSET(Origine,MATCH($F57,Descrizioni,0),MATCH(H$16,Intestazioni,0)-1,1,1),"")</f>
        <v></v>
      </c>
      <c r="I57" s="1683" t="str">
        <f ca="1">HYPERLINK(OFFSET(Origine,MATCH($F57,Descrizioni,0),MATCH(I$16,Intestazioni,0)-1,1,1),"i")</f>
        <v>i</v>
      </c>
      <c r="J57" s="1713" t="str">
        <f t="shared" ref="J57:K57" ca="1" si="228">HYPERLINK(OFFSET(Origine,MATCH($F57,Descrizioni,0),MATCH(J$16,Intestazioni,0)-1,1,1),"")</f>
        <v></v>
      </c>
      <c r="K57" s="1716" t="str">
        <f t="shared" ca="1" si="228"/>
        <v></v>
      </c>
      <c r="L57" s="1717" t="str">
        <f ca="1">IFERROR(HYPERLINK("https://www.marketscreener.com/mods_a/charts/TV/inc_dyna_graph.php?c="&amp;OFFSET(Origine,MATCH($F57,Descrizioni,0),MATCH(L$16,Intestazioni,0)-1,1,1)&amp;"&amp;style=TradingView.CANDLES&amp;showAT=1",""),"")</f>
        <v></v>
      </c>
      <c r="M57" s="1786" t="str">
        <f ca="1">(OFFSET(Origine,MATCH($F57,Descrizioni,0),MATCH(M$16,Intestazioni,0)-1,1,1))</f>
        <v>Unit</v>
      </c>
      <c r="N57" s="1039"/>
      <c r="O57" s="1039"/>
      <c r="P57" s="882">
        <f t="shared" ca="1" si="139"/>
        <v>0</v>
      </c>
      <c r="Q57" s="391">
        <f>SUMIF($AA$16:$AR$16,"I_Pos",AA57:AR57)</f>
        <v>0</v>
      </c>
      <c r="R57" s="391">
        <f t="array" aca="1" ref="R57" ca="1">SUM(IF($AD$16:$AR$16="P_Pos",AD57:AR57))</f>
        <v>0</v>
      </c>
      <c r="S57" s="1040"/>
      <c r="T57" s="1040"/>
      <c r="U57" s="366"/>
      <c r="V57" s="391">
        <f t="array" aca="1" ref="V57" ca="1">SUM(IF($AD$16:$AR$16="O_Pos",AD57:AR57))</f>
        <v>0</v>
      </c>
      <c r="W57" s="367" t="str">
        <f ca="1">OFFSET(Origine,MATCH($F57,Descrizioni,0),MATCH(W$16,Intestazioni,0)-1,1,1)</f>
        <v>EUR</v>
      </c>
      <c r="X57" s="887">
        <f ca="1">_xlfn.NUMBERVALUE(OFFSET(Origine,MATCH($F57,Descrizioni,0),MATCH(X$16,Intestazioni,0)-1,1,1))</f>
        <v>38.08</v>
      </c>
      <c r="Y57" s="1041">
        <f ca="1">_xlfn.NUMBERVALUE(OFFSET(Origine,MATCH($F57,Descrizioni,0),MATCH(Y$16,Intestazioni,0)-1,1,1))</f>
        <v>0</v>
      </c>
      <c r="Z57" s="1042">
        <f ca="1">_xlfn.NUMBERVALUE(OFFSET(Origine,MATCH(W57&amp;"/"&amp;MRif,LUKB_Name,0),MATCH("Price",Intestazioni,0)-1,1,1))</f>
        <v>1</v>
      </c>
      <c r="AA57" s="197"/>
      <c r="AB57" s="312" t="str">
        <f ca="1">IFERROR($X57/AC57-1,"")</f>
        <v/>
      </c>
      <c r="AC57" s="1008"/>
      <c r="AD57" s="199">
        <f ca="1">AA57*$X57</f>
        <v>0</v>
      </c>
      <c r="AE57" s="199">
        <f ca="1">AD57*$Z57</f>
        <v>0</v>
      </c>
      <c r="AF57" s="216">
        <f t="shared" ref="AF57" ca="1" si="229">IFERROR(AE57/AA$4,0)</f>
        <v>0</v>
      </c>
      <c r="AG57" s="202">
        <f ca="1">AH57/$X57</f>
        <v>0</v>
      </c>
      <c r="AH57" s="203">
        <f ca="1">AI57/$Z57</f>
        <v>0</v>
      </c>
      <c r="AI57" s="203">
        <f ca="1">AJ57*AA$4</f>
        <v>0</v>
      </c>
      <c r="AJ57" s="204">
        <f ca="1">$N57-AF57</f>
        <v>0</v>
      </c>
      <c r="AK57" s="205"/>
      <c r="AL57" s="206">
        <f ca="1">AK57*$X57</f>
        <v>0</v>
      </c>
      <c r="AM57" s="206">
        <f ca="1">AL57*$Z57</f>
        <v>0</v>
      </c>
      <c r="AN57" s="207">
        <f t="shared" ref="AN57" ca="1" si="230">IFERROR(AM57/AA$4,0)</f>
        <v>0</v>
      </c>
      <c r="AO57" s="391">
        <f t="shared" ref="AO57" si="231">AA57+AK57</f>
        <v>0</v>
      </c>
      <c r="AP57" s="391">
        <f t="shared" ca="1" si="49"/>
        <v>0</v>
      </c>
      <c r="AQ57" s="391">
        <f ca="1">AP57*$Z57</f>
        <v>0</v>
      </c>
      <c r="AR57" s="886">
        <f t="shared" ref="AR57" ca="1" si="232">IFERROR(AQ57/AA$4,0)</f>
        <v>0</v>
      </c>
      <c r="AS57" s="1007" t="str">
        <f t="shared" ca="1" si="9"/>
        <v/>
      </c>
    </row>
    <row r="58" spans="1:45" collapsed="1" x14ac:dyDescent="0.2">
      <c r="A58" s="1044"/>
      <c r="B58" s="346" t="s">
        <v>762</v>
      </c>
      <c r="C58" s="346"/>
      <c r="D58" s="347"/>
      <c r="E58" s="348"/>
      <c r="F58" s="346"/>
      <c r="G58" s="349"/>
      <c r="H58" s="1784"/>
      <c r="I58" s="1784"/>
      <c r="J58" s="1784"/>
      <c r="K58" s="1784"/>
      <c r="L58" s="1784"/>
      <c r="M58" s="1785"/>
      <c r="N58" s="1036">
        <f>SUM(N$59:N$60)</f>
        <v>0</v>
      </c>
      <c r="O58" s="1036"/>
      <c r="P58" s="352">
        <f t="shared" ca="1" si="139"/>
        <v>0</v>
      </c>
      <c r="Q58" s="421"/>
      <c r="R58" s="421"/>
      <c r="S58" s="1035"/>
      <c r="T58" s="1035"/>
      <c r="U58" s="345"/>
      <c r="V58" s="421">
        <f ca="1">COUNTIF(V59:V60,"&lt;&gt;0")</f>
        <v>0</v>
      </c>
      <c r="W58" s="346"/>
      <c r="X58" s="873"/>
      <c r="Y58" s="873"/>
      <c r="Z58" s="1037"/>
      <c r="AA58" s="357"/>
      <c r="AB58" s="359"/>
      <c r="AC58" s="1038"/>
      <c r="AD58" s="359"/>
      <c r="AE58" s="360">
        <f ca="1">SUM(AE$59:AE$60)</f>
        <v>0</v>
      </c>
      <c r="AF58" s="361">
        <f t="shared" ref="AF58:AF65" ca="1" si="233">IFERROR(AE58/AA$4,0)</f>
        <v>0</v>
      </c>
      <c r="AG58" s="362"/>
      <c r="AH58" s="359"/>
      <c r="AI58" s="360">
        <f ca="1">SUM(AI$59:AI$60)</f>
        <v>0</v>
      </c>
      <c r="AJ58" s="363">
        <f ca="1">IFERROR(AI58/AA$4,0)</f>
        <v>0</v>
      </c>
      <c r="AK58" s="362"/>
      <c r="AL58" s="359"/>
      <c r="AM58" s="360">
        <f ca="1">SUM(AM$59:AM$60)</f>
        <v>0</v>
      </c>
      <c r="AN58" s="363">
        <f t="shared" ref="AN58:AN65" ca="1" si="234">IFERROR(AM58/AA$4,0)</f>
        <v>0</v>
      </c>
      <c r="AO58" s="359"/>
      <c r="AP58" s="359"/>
      <c r="AQ58" s="360">
        <f ca="1">SUM(AQ$59:AQ$60)</f>
        <v>0</v>
      </c>
      <c r="AR58" s="876">
        <f t="shared" ref="AR58:AR65" ca="1" si="235">IFERROR(AQ58/AA$4,0)</f>
        <v>0</v>
      </c>
      <c r="AS58" s="1007" t="str">
        <f t="shared" ca="1" si="9"/>
        <v/>
      </c>
    </row>
    <row r="59" spans="1:45" hidden="1" outlineLevel="1" x14ac:dyDescent="0.2">
      <c r="A59" s="1043"/>
      <c r="B59" s="367"/>
      <c r="C59" s="367" t="str">
        <f t="shared" ref="C59:E60" ca="1" si="236">OFFSET(Origine,MATCH($F59,Descrizioni,0),MATCH(C$16,Intestazioni,0)-1,1,1)</f>
        <v>LU0950670850:GBP</v>
      </c>
      <c r="D59" s="368" t="str">
        <f t="shared" ca="1" si="236"/>
        <v>LU0950670850</v>
      </c>
      <c r="E59" s="369" t="str">
        <f t="shared" ca="1" si="236"/>
        <v>21966875</v>
      </c>
      <c r="F59" s="367" t="s">
        <v>763</v>
      </c>
      <c r="G59" s="414"/>
      <c r="H59" s="1683" t="str">
        <f ca="1">HYPERLINK(OFFSET(Origine,MATCH($F59,Descrizioni,0),MATCH(H$16,Intestazioni,0)-1,1,1),"")</f>
        <v></v>
      </c>
      <c r="I59" s="1683" t="str">
        <f ca="1">HYPERLINK(OFFSET(Origine,MATCH($F59,Descrizioni,0),MATCH(I$16,Intestazioni,0)-1,1,1),"i")</f>
        <v>i</v>
      </c>
      <c r="J59" s="1713" t="str">
        <f ca="1">HYPERLINK(OFFSET(Origine,MATCH($F59,Descrizioni,0),MATCH(J$16,Intestazioni,0)-1,1,1),"")</f>
        <v></v>
      </c>
      <c r="K59" s="1716" t="str">
        <f ca="1">HYPERLINK(OFFSET(Origine,MATCH($F59,Descrizioni,0),MATCH(K$16,Intestazioni,0)-1,1,1),"")</f>
        <v></v>
      </c>
      <c r="L59" s="1717" t="str">
        <f ca="1">IFERROR(HYPERLINK("https://www.marketscreener.com/mods_a/charts/TV/inc_dyna_graph.php?c="&amp;OFFSET(Origine,MATCH($F59,Descrizioni,0),MATCH(L$16,Intestazioni,0)-1,1,1)&amp;"&amp;style=TradingView.CANDLES&amp;showAT=1",""),"")</f>
        <v></v>
      </c>
      <c r="M59" s="1786" t="str">
        <f ca="1">(OFFSET(Origine,MATCH($F59,Descrizioni,0),MATCH(M$16,Intestazioni,0)-1,1,1))</f>
        <v>Unit</v>
      </c>
      <c r="N59" s="1039"/>
      <c r="O59" s="1039"/>
      <c r="P59" s="882">
        <f t="shared" ca="1" si="139"/>
        <v>0</v>
      </c>
      <c r="Q59" s="391">
        <f>SUMIF($AA$16:$AR$16,"I_Pos",AA59:AR59)</f>
        <v>0</v>
      </c>
      <c r="R59" s="391">
        <f t="array" aca="1" ref="R59" ca="1">SUM(IF($AD$16:$AR$16="P_Pos",AD59:AR59))</f>
        <v>0</v>
      </c>
      <c r="S59" s="1040"/>
      <c r="T59" s="1040"/>
      <c r="U59" s="366"/>
      <c r="V59" s="391">
        <f t="array" aca="1" ref="V59" ca="1">SUM(IF($AD$16:$AR$16="O_Pos",AD59:AR59))</f>
        <v>0</v>
      </c>
      <c r="W59" s="367" t="str">
        <f ca="1">OFFSET(Origine,MATCH($F59,Descrizioni,0),MATCH(W$16,Intestazioni,0)-1,1,1)</f>
        <v>GBP</v>
      </c>
      <c r="X59" s="887">
        <f ca="1">_xlfn.NUMBERVALUE(OFFSET(Origine,MATCH($F59,Descrizioni,0),MATCH(X$16,Intestazioni,0)-1,1,1))</f>
        <v>42.405000000000001</v>
      </c>
      <c r="Y59" s="1041">
        <f ca="1">_xlfn.NUMBERVALUE(OFFSET(Origine,MATCH($F59,Descrizioni,0),MATCH(Y$16,Intestazioni,0)-1,1,1))</f>
        <v>0</v>
      </c>
      <c r="Z59" s="1042">
        <f ca="1">_xlfn.NUMBERVALUE(OFFSET(Origine,MATCH(W59&amp;"/"&amp;MRif,LUKB_Name,0),MATCH("Price",Intestazioni,0)-1,1,1))</f>
        <v>1.1492567300000001</v>
      </c>
      <c r="AA59" s="197"/>
      <c r="AB59" s="312" t="str">
        <f ca="1">IFERROR($X59/AC59-1,"")</f>
        <v/>
      </c>
      <c r="AC59" s="1008"/>
      <c r="AD59" s="199">
        <f ca="1">AA59*$X59</f>
        <v>0</v>
      </c>
      <c r="AE59" s="199">
        <f ca="1">AD59*$Z59</f>
        <v>0</v>
      </c>
      <c r="AF59" s="216">
        <f t="shared" ca="1" si="233"/>
        <v>0</v>
      </c>
      <c r="AG59" s="202">
        <f ca="1">AH59/$X59</f>
        <v>0</v>
      </c>
      <c r="AH59" s="203">
        <f ca="1">AI59/$Z59</f>
        <v>0</v>
      </c>
      <c r="AI59" s="203">
        <f ca="1">AJ59*AA$4</f>
        <v>0</v>
      </c>
      <c r="AJ59" s="204">
        <f ca="1">$N59-AF59</f>
        <v>0</v>
      </c>
      <c r="AK59" s="205"/>
      <c r="AL59" s="206">
        <f ca="1">AK59*$X59</f>
        <v>0</v>
      </c>
      <c r="AM59" s="206">
        <f ca="1">AL59*$Z59</f>
        <v>0</v>
      </c>
      <c r="AN59" s="207">
        <f t="shared" ca="1" si="234"/>
        <v>0</v>
      </c>
      <c r="AO59" s="391">
        <f>AA59+AK59</f>
        <v>0</v>
      </c>
      <c r="AP59" s="391">
        <f t="shared" ca="1" si="49"/>
        <v>0</v>
      </c>
      <c r="AQ59" s="391">
        <f ca="1">AP59*$Z59</f>
        <v>0</v>
      </c>
      <c r="AR59" s="886">
        <f t="shared" ca="1" si="235"/>
        <v>0</v>
      </c>
      <c r="AS59" s="1007" t="str">
        <f t="shared" ca="1" si="9"/>
        <v/>
      </c>
    </row>
    <row r="60" spans="1:45" hidden="1" outlineLevel="1" x14ac:dyDescent="0.2">
      <c r="A60" s="1043"/>
      <c r="B60" s="367"/>
      <c r="C60" s="367" t="str">
        <f t="shared" ca="1" si="236"/>
        <v>IE00BYNQMK61:EUR</v>
      </c>
      <c r="D60" s="368" t="str">
        <f t="shared" ca="1" si="236"/>
        <v>IE00BYNQMK61</v>
      </c>
      <c r="E60" s="369" t="str">
        <f t="shared" ca="1" si="236"/>
        <v>30186748</v>
      </c>
      <c r="F60" s="367" t="s">
        <v>843</v>
      </c>
      <c r="G60" s="414"/>
      <c r="H60" s="1683" t="str">
        <f ca="1">HYPERLINK(OFFSET(Origine,MATCH($F60,Descrizioni,0),MATCH(H$16,Intestazioni,0)-1,1,1),"")</f>
        <v></v>
      </c>
      <c r="I60" s="1683" t="str">
        <f ca="1">HYPERLINK(OFFSET(Origine,MATCH($F60,Descrizioni,0),MATCH(I$16,Intestazioni,0)-1,1,1),"i")</f>
        <v>i</v>
      </c>
      <c r="J60" s="1713" t="str">
        <f ca="1">HYPERLINK(OFFSET(Origine,MATCH($F60,Descrizioni,0),MATCH(J$16,Intestazioni,0)-1,1,1),"")</f>
        <v></v>
      </c>
      <c r="K60" s="1716" t="str">
        <f ca="1">HYPERLINK(OFFSET(Origine,MATCH($F60,Descrizioni,0),MATCH(K$16,Intestazioni,0)-1,1,1),"")</f>
        <v></v>
      </c>
      <c r="L60" s="1717" t="str">
        <f ca="1">IFERROR(HYPERLINK("https://www.marketscreener.com/mods_a/charts/TV/inc_dyna_graph.php?c="&amp;OFFSET(Origine,MATCH($F60,Descrizioni,0),MATCH(L$16,Intestazioni,0)-1,1,1)&amp;"&amp;style=TradingView.CANDLES&amp;showAT=1",""),"")</f>
        <v></v>
      </c>
      <c r="M60" s="1786" t="str">
        <f ca="1">(OFFSET(Origine,MATCH($F60,Descrizioni,0),MATCH(M$16,Intestazioni,0)-1,1,1))</f>
        <v>Unit</v>
      </c>
      <c r="N60" s="1039"/>
      <c r="O60" s="1039"/>
      <c r="P60" s="882">
        <f t="shared" ca="1" si="139"/>
        <v>0</v>
      </c>
      <c r="Q60" s="391">
        <f>SUMIF($AA$16:$AR$16,"I_Pos",AA60:AR60)</f>
        <v>0</v>
      </c>
      <c r="R60" s="391">
        <f t="array" aca="1" ref="R60" ca="1">SUM(IF($AD$16:$AR$16="P_Pos",AD60:AR60))</f>
        <v>0</v>
      </c>
      <c r="S60" s="1040"/>
      <c r="T60" s="1040"/>
      <c r="U60" s="366"/>
      <c r="V60" s="391">
        <f t="array" aca="1" ref="V60" ca="1">SUM(IF($AD$16:$AR$16="O_Pos",AD60:AR60))</f>
        <v>0</v>
      </c>
      <c r="W60" s="367" t="str">
        <f ca="1">OFFSET(Origine,MATCH($F60,Descrizioni,0),MATCH(W$16,Intestazioni,0)-1,1,1)</f>
        <v>EUR</v>
      </c>
      <c r="X60" s="887">
        <f ca="1">_xlfn.NUMBERVALUE(OFFSET(Origine,MATCH($F60,Descrizioni,0),MATCH(X$16,Intestazioni,0)-1,1,1))</f>
        <v>24.03</v>
      </c>
      <c r="Y60" s="1041">
        <f ca="1">_xlfn.NUMBERVALUE(OFFSET(Origine,MATCH($F60,Descrizioni,0),MATCH(Y$16,Intestazioni,0)-1,1,1))</f>
        <v>0</v>
      </c>
      <c r="Z60" s="1042">
        <f ca="1">_xlfn.NUMBERVALUE(OFFSET(Origine,MATCH(W60&amp;"/"&amp;MRif,LUKB_Name,0),MATCH("Price",Intestazioni,0)-1,1,1))</f>
        <v>1</v>
      </c>
      <c r="AA60" s="197"/>
      <c r="AB60" s="312" t="str">
        <f ca="1">IFERROR($X60/AC60-1,"")</f>
        <v/>
      </c>
      <c r="AC60" s="1008"/>
      <c r="AD60" s="199">
        <f ca="1">AA60*$X60</f>
        <v>0</v>
      </c>
      <c r="AE60" s="199">
        <f ca="1">AD60*$Z60</f>
        <v>0</v>
      </c>
      <c r="AF60" s="216">
        <f t="shared" ca="1" si="233"/>
        <v>0</v>
      </c>
      <c r="AG60" s="202">
        <f ca="1">AH60/$X60</f>
        <v>0</v>
      </c>
      <c r="AH60" s="203">
        <f ca="1">AI60/$Z60</f>
        <v>0</v>
      </c>
      <c r="AI60" s="203">
        <f ca="1">AJ60*AA$4</f>
        <v>0</v>
      </c>
      <c r="AJ60" s="204">
        <f ca="1">$N60-AF60</f>
        <v>0</v>
      </c>
      <c r="AK60" s="205"/>
      <c r="AL60" s="206">
        <f ca="1">AK60*$X60</f>
        <v>0</v>
      </c>
      <c r="AM60" s="206">
        <f ca="1">AL60*$Z60</f>
        <v>0</v>
      </c>
      <c r="AN60" s="207">
        <f t="shared" ca="1" si="234"/>
        <v>0</v>
      </c>
      <c r="AO60" s="391">
        <f>AA60+AK60</f>
        <v>0</v>
      </c>
      <c r="AP60" s="391">
        <f t="shared" ca="1" si="49"/>
        <v>0</v>
      </c>
      <c r="AQ60" s="391">
        <f ca="1">AP60*$Z60</f>
        <v>0</v>
      </c>
      <c r="AR60" s="886">
        <f t="shared" ca="1" si="235"/>
        <v>0</v>
      </c>
      <c r="AS60" s="1007" t="str">
        <f t="shared" ca="1" si="9"/>
        <v/>
      </c>
    </row>
    <row r="61" spans="1:45" collapsed="1" x14ac:dyDescent="0.2">
      <c r="A61" s="346"/>
      <c r="B61" s="346" t="s">
        <v>389</v>
      </c>
      <c r="C61" s="346"/>
      <c r="D61" s="347"/>
      <c r="E61" s="348"/>
      <c r="F61" s="346"/>
      <c r="G61" s="349"/>
      <c r="H61" s="1784"/>
      <c r="I61" s="1784"/>
      <c r="J61" s="1784"/>
      <c r="K61" s="1784"/>
      <c r="L61" s="1784"/>
      <c r="M61" s="1785"/>
      <c r="N61" s="1036">
        <f>SUM(N$62:N$66)</f>
        <v>0.1</v>
      </c>
      <c r="O61" s="1036"/>
      <c r="P61" s="352">
        <f t="shared" ca="1" si="139"/>
        <v>0.10786001104271742</v>
      </c>
      <c r="Q61" s="421"/>
      <c r="R61" s="421"/>
      <c r="S61" s="1035"/>
      <c r="T61" s="1035"/>
      <c r="U61" s="345"/>
      <c r="V61" s="421">
        <f ca="1">COUNTIF(V62:V66,"&lt;&gt;0")</f>
        <v>0</v>
      </c>
      <c r="W61" s="346"/>
      <c r="X61" s="873"/>
      <c r="Y61" s="873"/>
      <c r="Z61" s="1037"/>
      <c r="AA61" s="357"/>
      <c r="AB61" s="359"/>
      <c r="AC61" s="1038"/>
      <c r="AD61" s="359"/>
      <c r="AE61" s="360">
        <f ca="1">SUM(AE$62:AE$66)</f>
        <v>14644.55</v>
      </c>
      <c r="AF61" s="361">
        <f t="shared" ca="1" si="233"/>
        <v>0.10786001104271742</v>
      </c>
      <c r="AG61" s="362"/>
      <c r="AH61" s="359"/>
      <c r="AI61" s="360">
        <f ca="1">SUM(AI$62:AI$66)</f>
        <v>-1067.1825786300003</v>
      </c>
      <c r="AJ61" s="363">
        <f ca="1">IFERROR(AI61/AA$4,0)</f>
        <v>-7.8600110427174269E-3</v>
      </c>
      <c r="AK61" s="362"/>
      <c r="AL61" s="359"/>
      <c r="AM61" s="360">
        <f ca="1">SUM(AM$62:AM$66)</f>
        <v>0</v>
      </c>
      <c r="AN61" s="363">
        <f t="shared" ca="1" si="234"/>
        <v>0</v>
      </c>
      <c r="AO61" s="359"/>
      <c r="AP61" s="359"/>
      <c r="AQ61" s="360">
        <f ca="1">SUM(AQ$62:AQ$66)</f>
        <v>14644.55</v>
      </c>
      <c r="AR61" s="876">
        <f t="shared" ca="1" si="235"/>
        <v>0.10786001104271742</v>
      </c>
      <c r="AS61" s="1007" t="str">
        <f t="shared" ca="1" si="9"/>
        <v>V</v>
      </c>
    </row>
    <row r="62" spans="1:45" hidden="1" outlineLevel="1" x14ac:dyDescent="0.2">
      <c r="A62" s="367"/>
      <c r="B62" s="367"/>
      <c r="C62" s="367" t="str">
        <f t="shared" ref="C62:D66" ca="1" si="237">OFFSET(Origine,MATCH($F62,Descrizioni,0),MATCH(C$16,Intestazioni,0)-1,1,1)</f>
        <v>IE00B3ZW0K18:EUR</v>
      </c>
      <c r="D62" s="368" t="str">
        <f t="shared" ca="1" si="237"/>
        <v>IE00B3ZW0K18</v>
      </c>
      <c r="E62" s="369" t="s">
        <v>844</v>
      </c>
      <c r="F62" s="367" t="s">
        <v>439</v>
      </c>
      <c r="G62" s="414"/>
      <c r="H62" s="1683" t="str">
        <f ca="1">HYPERLINK(OFFSET(Origine,MATCH($F62,Descrizioni,0),MATCH(H$16,Intestazioni,0)-1,1,1),"")</f>
        <v></v>
      </c>
      <c r="I62" s="1683" t="str">
        <f t="shared" ref="I62" ca="1" si="238">HYPERLINK(OFFSET(Origine,MATCH($F62,Descrizioni,0),MATCH(I$16,Intestazioni,0)-1,1,1),"i")</f>
        <v>i</v>
      </c>
      <c r="J62" s="1713" t="str">
        <f t="shared" ref="J62:K62" ca="1" si="239">HYPERLINK(OFFSET(Origine,MATCH($F62,Descrizioni,0),MATCH(J$16,Intestazioni,0)-1,1,1),"")</f>
        <v></v>
      </c>
      <c r="K62" s="1716" t="str">
        <f t="shared" ca="1" si="239"/>
        <v></v>
      </c>
      <c r="L62" s="1717" t="str">
        <f t="shared" ref="L62:L66" ca="1" si="240">IFERROR(HYPERLINK("https://www.marketscreener.com/mods_a/charts/TV/inc_dyna_graph.php?c="&amp;OFFSET(Origine,MATCH($F62,Descrizioni,0),MATCH(L$16,Intestazioni,0)-1,1,1)&amp;"&amp;style=TradingView.CANDLES&amp;showAT=1",""),"")</f>
        <v></v>
      </c>
      <c r="M62" s="1786" t="str">
        <f ca="1">(OFFSET(Origine,MATCH($F62,Descrizioni,0),MATCH(M$16,Intestazioni,0)-1,1,1))</f>
        <v>Unit</v>
      </c>
      <c r="N62" s="1039">
        <v>0.05</v>
      </c>
      <c r="O62" s="1039"/>
      <c r="P62" s="882">
        <f t="shared" ca="1" si="139"/>
        <v>5.6748482683563896E-2</v>
      </c>
      <c r="Q62" s="391">
        <f t="shared" ref="Q62:Q65" si="241">SUMIF($AA$16:$AR$16,"I_Pos",AA62:AR62)</f>
        <v>55</v>
      </c>
      <c r="R62" s="391">
        <f t="array" aca="1" ref="R62" ca="1">SUM(IF($AD$16:$AR$16="P_Pos",AD62:AR62))</f>
        <v>-6.5405545671711032</v>
      </c>
      <c r="S62" s="1040"/>
      <c r="T62" s="1040" t="s">
        <v>845</v>
      </c>
      <c r="U62" s="366"/>
      <c r="V62" s="391">
        <f t="array" aca="1" ref="V62" ca="1">SUM(IF($AD$16:$AR$16="O_Pos",AD62:AR62))</f>
        <v>0</v>
      </c>
      <c r="W62" s="367" t="str">
        <f t="shared" ref="W62" ca="1" si="242">OFFSET(Origine,MATCH($F62,Descrizioni,0),MATCH(W$16,Intestazioni,0)-1,1,1)</f>
        <v>EUR</v>
      </c>
      <c r="X62" s="887">
        <f t="shared" ref="X62:X66" ca="1" si="243">_xlfn.NUMBERVALUE(OFFSET(Origine,MATCH($F62,Descrizioni,0),MATCH(X$16,Intestazioni,0)-1,1,1))</f>
        <v>140.09</v>
      </c>
      <c r="Y62" s="1041">
        <f t="shared" ref="Y62:Y66" ca="1" si="244">_xlfn.NUMBERVALUE(OFFSET(Origine,MATCH($F62,Descrizioni,0),MATCH(Y$16,Intestazioni,0)-1,1,1))</f>
        <v>0</v>
      </c>
      <c r="Z62" s="1042">
        <f ca="1">_xlfn.NUMBERVALUE(OFFSET(Origine,MATCH(W62&amp;"/"&amp;MRif,LUKB_Name,0),MATCH("Price",Intestazioni,0)-1,1,1))</f>
        <v>1</v>
      </c>
      <c r="AA62" s="197">
        <f>50+100+-60+-35</f>
        <v>55</v>
      </c>
      <c r="AB62" s="312">
        <f ca="1">IFERROR($X62/AC62-1,"")</f>
        <v>0.46104844227143027</v>
      </c>
      <c r="AC62" s="1008">
        <v>95.883200000000002</v>
      </c>
      <c r="AD62" s="199">
        <f t="shared" ref="AD62:AD65" ca="1" si="245">AA62*$X62</f>
        <v>7704.95</v>
      </c>
      <c r="AE62" s="199">
        <f t="shared" ref="AE62:AE65" ca="1" si="246">AD62*$Z62</f>
        <v>7704.95</v>
      </c>
      <c r="AF62" s="216">
        <f t="shared" ca="1" si="233"/>
        <v>5.6748482683563896E-2</v>
      </c>
      <c r="AG62" s="202">
        <f t="shared" ref="AG62:AG65" ca="1" si="247">AH62/$X62</f>
        <v>-6.5405545671711032</v>
      </c>
      <c r="AH62" s="203">
        <f t="shared" ref="AH62:AH65" ca="1" si="248">AI62/$Z62</f>
        <v>-916.26628931499988</v>
      </c>
      <c r="AI62" s="203">
        <f t="shared" ref="AI62:AI65" ca="1" si="249">AJ62*AA$4</f>
        <v>-916.26628931499988</v>
      </c>
      <c r="AJ62" s="204">
        <f t="shared" ref="AJ62:AJ65" ca="1" si="250">$N62-AF62</f>
        <v>-6.7484826835638931E-3</v>
      </c>
      <c r="AK62" s="205"/>
      <c r="AL62" s="206">
        <f t="shared" ref="AL62:AL65" ca="1" si="251">AK62*$X62</f>
        <v>0</v>
      </c>
      <c r="AM62" s="206">
        <f t="shared" ref="AM62:AM65" ca="1" si="252">AL62*$Z62</f>
        <v>0</v>
      </c>
      <c r="AN62" s="207">
        <f t="shared" ca="1" si="234"/>
        <v>0</v>
      </c>
      <c r="AO62" s="391">
        <f>AA62+AK62</f>
        <v>55</v>
      </c>
      <c r="AP62" s="391">
        <f t="shared" ca="1" si="49"/>
        <v>7704.95</v>
      </c>
      <c r="AQ62" s="391">
        <f t="shared" ref="AQ62:AQ65" ca="1" si="253">AP62*$Z62</f>
        <v>7704.95</v>
      </c>
      <c r="AR62" s="886">
        <f t="shared" ca="1" si="235"/>
        <v>5.6748482683563896E-2</v>
      </c>
      <c r="AS62" s="1007" t="str">
        <f t="shared" ca="1" si="9"/>
        <v>V</v>
      </c>
    </row>
    <row r="63" spans="1:45" hidden="1" outlineLevel="1" x14ac:dyDescent="0.2">
      <c r="A63" s="1043"/>
      <c r="B63" s="367"/>
      <c r="C63" s="367" t="str">
        <f t="shared" ca="1" si="237"/>
        <v>IE00B6SPMN59:USD</v>
      </c>
      <c r="D63" s="368" t="str">
        <f t="shared" ca="1" si="237"/>
        <v>IE00B6SPMN59</v>
      </c>
      <c r="E63" s="369" t="str">
        <f ca="1">OFFSET(Origine,MATCH($F63,Descrizioni,0),MATCH(E$16,Intestazioni,0)-1,1,1)</f>
        <v>20023273</v>
      </c>
      <c r="F63" s="367" t="s">
        <v>488</v>
      </c>
      <c r="G63" s="414"/>
      <c r="H63" s="1683" t="str">
        <f ca="1">HYPERLINK(OFFSET(Origine,MATCH($F63,Descrizioni,0),MATCH(H$16,Intestazioni,0)-1,1,1),"")</f>
        <v></v>
      </c>
      <c r="I63" s="1683" t="str">
        <f t="shared" ref="I63" ca="1" si="254">HYPERLINK(OFFSET(Origine,MATCH($F63,Descrizioni,0),MATCH(I$16,Intestazioni,0)-1,1,1),"i")</f>
        <v>i</v>
      </c>
      <c r="J63" s="1713" t="str">
        <f t="shared" ref="J63:K63" ca="1" si="255">HYPERLINK(OFFSET(Origine,MATCH($F63,Descrizioni,0),MATCH(J$16,Intestazioni,0)-1,1,1),"")</f>
        <v></v>
      </c>
      <c r="K63" s="1716" t="str">
        <f t="shared" ca="1" si="255"/>
        <v></v>
      </c>
      <c r="L63" s="1717" t="str">
        <f t="shared" ca="1" si="240"/>
        <v></v>
      </c>
      <c r="M63" s="1786" t="str">
        <f ca="1">(OFFSET(Origine,MATCH($F63,Descrizioni,0),MATCH(M$16,Intestazioni,0)-1,1,1))</f>
        <v>Unit</v>
      </c>
      <c r="N63" s="1039"/>
      <c r="O63" s="1039"/>
      <c r="P63" s="882">
        <f t="shared" ca="1" si="139"/>
        <v>0</v>
      </c>
      <c r="Q63" s="391">
        <f t="shared" si="241"/>
        <v>0</v>
      </c>
      <c r="R63" s="391">
        <f t="array" aca="1" ref="R63" ca="1">SUM(IF($AD$16:$AR$16="P_Pos",AD63:AR63))</f>
        <v>0</v>
      </c>
      <c r="S63" s="1045"/>
      <c r="T63" s="1045"/>
      <c r="U63" s="366"/>
      <c r="V63" s="391">
        <f t="array" aca="1" ref="V63" ca="1">SUM(IF($AD$16:$AR$16="O_Pos",AD63:AR63))</f>
        <v>0</v>
      </c>
      <c r="W63" s="367" t="str">
        <f t="shared" ref="W63" ca="1" si="256">OFFSET(Origine,MATCH($F63,Descrizioni,0),MATCH(W$16,Intestazioni,0)-1,1,1)</f>
        <v>USD</v>
      </c>
      <c r="X63" s="887">
        <f t="shared" ca="1" si="243"/>
        <v>108.97</v>
      </c>
      <c r="Y63" s="1041">
        <f t="shared" ca="1" si="244"/>
        <v>0</v>
      </c>
      <c r="Z63" s="1042">
        <f ca="1">_xlfn.NUMBERVALUE(OFFSET(Origine,MATCH(W63&amp;"/"&amp;MRif,LUKB_Name,0),MATCH("Price",Intestazioni,0)-1,1,1))</f>
        <v>0.86199999999999999</v>
      </c>
      <c r="AA63" s="197"/>
      <c r="AB63" s="312" t="str">
        <f ca="1">IFERROR($X63/AC63-1,"")</f>
        <v/>
      </c>
      <c r="AC63" s="1008"/>
      <c r="AD63" s="199">
        <f t="shared" ca="1" si="245"/>
        <v>0</v>
      </c>
      <c r="AE63" s="199">
        <f t="shared" ca="1" si="246"/>
        <v>0</v>
      </c>
      <c r="AF63" s="216">
        <f t="shared" ca="1" si="233"/>
        <v>0</v>
      </c>
      <c r="AG63" s="202">
        <f t="shared" ca="1" si="247"/>
        <v>0</v>
      </c>
      <c r="AH63" s="203">
        <f t="shared" ca="1" si="248"/>
        <v>0</v>
      </c>
      <c r="AI63" s="203">
        <f t="shared" ca="1" si="249"/>
        <v>0</v>
      </c>
      <c r="AJ63" s="204">
        <f t="shared" ca="1" si="250"/>
        <v>0</v>
      </c>
      <c r="AK63" s="205"/>
      <c r="AL63" s="206">
        <f t="shared" ca="1" si="251"/>
        <v>0</v>
      </c>
      <c r="AM63" s="206">
        <f t="shared" ca="1" si="252"/>
        <v>0</v>
      </c>
      <c r="AN63" s="207">
        <f t="shared" ca="1" si="234"/>
        <v>0</v>
      </c>
      <c r="AO63" s="391">
        <f>AA63+AK63</f>
        <v>0</v>
      </c>
      <c r="AP63" s="391">
        <f t="shared" ca="1" si="49"/>
        <v>0</v>
      </c>
      <c r="AQ63" s="391">
        <f t="shared" ca="1" si="253"/>
        <v>0</v>
      </c>
      <c r="AR63" s="886">
        <f t="shared" ca="1" si="235"/>
        <v>0</v>
      </c>
      <c r="AS63" s="1007" t="str">
        <f t="shared" ca="1" si="9"/>
        <v/>
      </c>
    </row>
    <row r="64" spans="1:45" hidden="1" outlineLevel="1" x14ac:dyDescent="0.2">
      <c r="A64" s="1043"/>
      <c r="B64" s="367"/>
      <c r="C64" s="367" t="str">
        <f t="shared" ca="1" si="237"/>
        <v>IE00BYVTMS52:EUR:TGT</v>
      </c>
      <c r="D64" s="368" t="str">
        <f t="shared" ca="1" si="237"/>
        <v>IE00BYVTMS52</v>
      </c>
      <c r="E64" s="369" t="str">
        <f ca="1">OFFSET(Origine,MATCH($F64,Descrizioni,0),MATCH(E$16,Intestazioni,0)-1,1,1)</f>
        <v>37407902</v>
      </c>
      <c r="F64" s="367" t="s">
        <v>390</v>
      </c>
      <c r="G64" s="414"/>
      <c r="H64" s="1683" t="str">
        <f ca="1">HYPERLINK(OFFSET(Origine,MATCH($F64,Descrizioni,0),MATCH(H$16,Intestazioni,0)-1,1,1),"")</f>
        <v></v>
      </c>
      <c r="I64" s="1683" t="str">
        <f t="shared" ref="I64:I66" ca="1" si="257">HYPERLINK(OFFSET(Origine,MATCH($F64,Descrizioni,0),MATCH(I$16,Intestazioni,0)-1,1,1),"i")</f>
        <v>i</v>
      </c>
      <c r="J64" s="1713" t="str">
        <f t="shared" ref="J64:K66" ca="1" si="258">HYPERLINK(OFFSET(Origine,MATCH($F64,Descrizioni,0),MATCH(J$16,Intestazioni,0)-1,1,1),"")</f>
        <v></v>
      </c>
      <c r="K64" s="1716" t="str">
        <f t="shared" ca="1" si="258"/>
        <v></v>
      </c>
      <c r="L64" s="1717" t="str">
        <f t="shared" ca="1" si="240"/>
        <v></v>
      </c>
      <c r="M64" s="1786" t="str">
        <f ca="1">(OFFSET(Origine,MATCH($F64,Descrizioni,0),MATCH(M$16,Intestazioni,0)-1,1,1))</f>
        <v>Unit</v>
      </c>
      <c r="N64" s="1039"/>
      <c r="O64" s="1039"/>
      <c r="P64" s="882">
        <f t="shared" ca="1" si="139"/>
        <v>0</v>
      </c>
      <c r="Q64" s="391">
        <f t="shared" si="241"/>
        <v>0</v>
      </c>
      <c r="R64" s="391">
        <f t="array" aca="1" ref="R64" ca="1">SUM(IF($AD$16:$AR$16="P_Pos",AD64:AR64))</f>
        <v>0</v>
      </c>
      <c r="S64" s="1040"/>
      <c r="T64" s="1040"/>
      <c r="U64" s="366"/>
      <c r="V64" s="391">
        <f t="array" aca="1" ref="V64" ca="1">SUM(IF($AD$16:$AR$16="O_Pos",AD64:AR64))</f>
        <v>0</v>
      </c>
      <c r="W64" s="367" t="str">
        <f t="shared" ref="W64:W66" ca="1" si="259">OFFSET(Origine,MATCH($F64,Descrizioni,0),MATCH(W$16,Intestazioni,0)-1,1,1)</f>
        <v>EUR</v>
      </c>
      <c r="X64" s="887">
        <f t="shared" ca="1" si="243"/>
        <v>422.85</v>
      </c>
      <c r="Y64" s="1041">
        <f t="shared" ca="1" si="244"/>
        <v>0</v>
      </c>
      <c r="Z64" s="1042">
        <f ca="1">_xlfn.NUMBERVALUE(OFFSET(Origine,MATCH(W64&amp;"/"&amp;MRif,LUKB_Name,0),MATCH("Price",Intestazioni,0)-1,1,1))</f>
        <v>1</v>
      </c>
      <c r="AA64" s="197">
        <f>15+-15</f>
        <v>0</v>
      </c>
      <c r="AB64" s="312" t="str">
        <f ca="1">IFERROR($X64/AC64-1,"")</f>
        <v/>
      </c>
      <c r="AC64" s="1008"/>
      <c r="AD64" s="199">
        <f t="shared" ca="1" si="245"/>
        <v>0</v>
      </c>
      <c r="AE64" s="199">
        <f t="shared" ca="1" si="246"/>
        <v>0</v>
      </c>
      <c r="AF64" s="216">
        <f t="shared" ca="1" si="233"/>
        <v>0</v>
      </c>
      <c r="AG64" s="202">
        <f t="shared" ca="1" si="247"/>
        <v>0</v>
      </c>
      <c r="AH64" s="203">
        <f t="shared" ca="1" si="248"/>
        <v>0</v>
      </c>
      <c r="AI64" s="203">
        <f t="shared" ca="1" si="249"/>
        <v>0</v>
      </c>
      <c r="AJ64" s="204">
        <f t="shared" ca="1" si="250"/>
        <v>0</v>
      </c>
      <c r="AK64" s="205"/>
      <c r="AL64" s="206">
        <f t="shared" ca="1" si="251"/>
        <v>0</v>
      </c>
      <c r="AM64" s="206">
        <f t="shared" ca="1" si="252"/>
        <v>0</v>
      </c>
      <c r="AN64" s="207">
        <f t="shared" ca="1" si="234"/>
        <v>0</v>
      </c>
      <c r="AO64" s="391">
        <f t="shared" ref="AO64:AO65" si="260">AA64+AK64</f>
        <v>0</v>
      </c>
      <c r="AP64" s="391">
        <f t="shared" ref="AP64:AP65" ca="1" si="261">AD64+IF($T64="",AL64)</f>
        <v>0</v>
      </c>
      <c r="AQ64" s="391">
        <f t="shared" ca="1" si="253"/>
        <v>0</v>
      </c>
      <c r="AR64" s="886">
        <f t="shared" ca="1" si="235"/>
        <v>0</v>
      </c>
      <c r="AS64" s="1007" t="str">
        <f t="shared" ref="AS64:AS65" ca="1" si="262">IF(SUM(AF64,AN64,AR64)&lt;&gt;0,"V","")</f>
        <v/>
      </c>
    </row>
    <row r="65" spans="1:45" hidden="1" outlineLevel="1" x14ac:dyDescent="0.2">
      <c r="A65" s="1043"/>
      <c r="B65" s="367"/>
      <c r="C65" s="367" t="str">
        <f t="shared" ca="1" si="237"/>
        <v>IE00B3ZW0K18:EUR</v>
      </c>
      <c r="D65" s="368" t="str">
        <f t="shared" ca="1" si="237"/>
        <v>IE00B3ZW0K18</v>
      </c>
      <c r="E65" s="369" t="str">
        <f ca="1">OFFSET(Origine,MATCH($F65,Descrizioni,0),MATCH(E$16,Intestazioni,0)-1,1,1)</f>
        <v>11834662</v>
      </c>
      <c r="F65" s="367" t="s">
        <v>439</v>
      </c>
      <c r="G65" s="414"/>
      <c r="H65" s="1683" t="str">
        <f ca="1">HYPERLINK(OFFSET(Origine,MATCH($F65,Descrizioni,0),MATCH(H$16,Intestazioni,0)-1,1,1),"")</f>
        <v></v>
      </c>
      <c r="I65" s="1683" t="str">
        <f t="shared" ca="1" si="257"/>
        <v>i</v>
      </c>
      <c r="J65" s="1713" t="str">
        <f t="shared" ca="1" si="258"/>
        <v></v>
      </c>
      <c r="K65" s="1716" t="str">
        <f t="shared" ca="1" si="258"/>
        <v></v>
      </c>
      <c r="L65" s="1717" t="str">
        <f t="shared" ca="1" si="240"/>
        <v></v>
      </c>
      <c r="M65" s="1786" t="str">
        <f ca="1">(OFFSET(Origine,MATCH($F65,Descrizioni,0),MATCH(M$16,Intestazioni,0)-1,1,1))</f>
        <v>Unit</v>
      </c>
      <c r="N65" s="1039"/>
      <c r="O65" s="1039"/>
      <c r="P65" s="882">
        <f t="shared" ca="1" si="139"/>
        <v>0</v>
      </c>
      <c r="Q65" s="391">
        <f t="shared" si="241"/>
        <v>0</v>
      </c>
      <c r="R65" s="391">
        <f t="array" aca="1" ref="R65" ca="1">SUM(IF($AD$16:$AR$16="P_Pos",AD65:AR65))</f>
        <v>0</v>
      </c>
      <c r="S65" s="1040"/>
      <c r="T65" s="1040"/>
      <c r="U65" s="366"/>
      <c r="V65" s="391">
        <f t="array" aca="1" ref="V65" ca="1">SUM(IF($AD$16:$AR$16="O_Pos",AD65:AR65))</f>
        <v>0</v>
      </c>
      <c r="W65" s="367" t="str">
        <f t="shared" ca="1" si="259"/>
        <v>EUR</v>
      </c>
      <c r="X65" s="887">
        <f t="shared" ca="1" si="243"/>
        <v>140.09</v>
      </c>
      <c r="Y65" s="1041">
        <f t="shared" ca="1" si="244"/>
        <v>0</v>
      </c>
      <c r="Z65" s="1042">
        <f ca="1">_xlfn.NUMBERVALUE(OFFSET(Origine,MATCH(W65&amp;"/"&amp;MRif,LUKB_Name,0),MATCH("Price",Intestazioni,0)-1,1,1))</f>
        <v>1</v>
      </c>
      <c r="AA65" s="197"/>
      <c r="AB65" s="312" t="str">
        <f ca="1">IFERROR($X65/AC65-1,"")</f>
        <v/>
      </c>
      <c r="AC65" s="1008"/>
      <c r="AD65" s="199">
        <f t="shared" ca="1" si="245"/>
        <v>0</v>
      </c>
      <c r="AE65" s="199">
        <f t="shared" ca="1" si="246"/>
        <v>0</v>
      </c>
      <c r="AF65" s="216">
        <f t="shared" ca="1" si="233"/>
        <v>0</v>
      </c>
      <c r="AG65" s="202">
        <f t="shared" ca="1" si="247"/>
        <v>0</v>
      </c>
      <c r="AH65" s="203">
        <f t="shared" ca="1" si="248"/>
        <v>0</v>
      </c>
      <c r="AI65" s="203">
        <f t="shared" ca="1" si="249"/>
        <v>0</v>
      </c>
      <c r="AJ65" s="204">
        <f t="shared" ca="1" si="250"/>
        <v>0</v>
      </c>
      <c r="AK65" s="205"/>
      <c r="AL65" s="206">
        <f t="shared" ca="1" si="251"/>
        <v>0</v>
      </c>
      <c r="AM65" s="206">
        <f t="shared" ca="1" si="252"/>
        <v>0</v>
      </c>
      <c r="AN65" s="207">
        <f t="shared" ca="1" si="234"/>
        <v>0</v>
      </c>
      <c r="AO65" s="391">
        <f t="shared" si="260"/>
        <v>0</v>
      </c>
      <c r="AP65" s="391">
        <f t="shared" ca="1" si="261"/>
        <v>0</v>
      </c>
      <c r="AQ65" s="391">
        <f t="shared" ca="1" si="253"/>
        <v>0</v>
      </c>
      <c r="AR65" s="886">
        <f t="shared" ca="1" si="235"/>
        <v>0</v>
      </c>
      <c r="AS65" s="1007" t="str">
        <f t="shared" ca="1" si="262"/>
        <v/>
      </c>
    </row>
    <row r="66" spans="1:45" hidden="1" outlineLevel="1" x14ac:dyDescent="0.2">
      <c r="A66" s="1043"/>
      <c r="B66" s="367"/>
      <c r="C66" s="367" t="str">
        <f t="shared" ca="1" si="237"/>
        <v>IE0002EI5AG0:EUR</v>
      </c>
      <c r="D66" s="368" t="str">
        <f t="shared" ca="1" si="237"/>
        <v>IE0002EI5AG0</v>
      </c>
      <c r="E66" s="369" t="str">
        <f ca="1">OFFSET(Origine,MATCH($F66,Descrizioni,0),MATCH(E$16,Intestazioni,0)-1,1,1)</f>
        <v>114399815</v>
      </c>
      <c r="F66" s="367" t="s">
        <v>4439</v>
      </c>
      <c r="G66" s="414"/>
      <c r="H66" s="1683" t="str">
        <f ca="1">HYPERLINK(OFFSET(Origine,MATCH($F66,Descrizioni,0),MATCH(H$16,Intestazioni,0)-1,1,1),"")</f>
        <v></v>
      </c>
      <c r="I66" s="1683" t="str">
        <f t="shared" ca="1" si="257"/>
        <v>i</v>
      </c>
      <c r="J66" s="1713" t="str">
        <f t="shared" ca="1" si="258"/>
        <v></v>
      </c>
      <c r="K66" s="1716" t="str">
        <f t="shared" ca="1" si="258"/>
        <v></v>
      </c>
      <c r="L66" s="1717" t="str">
        <f t="shared" ca="1" si="240"/>
        <v></v>
      </c>
      <c r="M66" s="1786" t="str">
        <f ca="1">(OFFSET(Origine,MATCH($F66,Descrizioni,0),MATCH(M$16,Intestazioni,0)-1,1,1))</f>
        <v>Unit</v>
      </c>
      <c r="N66" s="1039">
        <v>0.05</v>
      </c>
      <c r="O66" s="1039"/>
      <c r="P66" s="882">
        <f t="shared" ca="1" si="139"/>
        <v>5.1111528359153537E-2</v>
      </c>
      <c r="Q66" s="391">
        <f t="shared" ref="Q66" si="263">SUMIF($AA$16:$AR$16,"I_Pos",AA66:AR66)</f>
        <v>600</v>
      </c>
      <c r="R66" s="391">
        <f t="array" aca="1" ref="R66" ca="1">SUM(IF($AD$16:$AR$16="P_Pos",AD66:AR66))</f>
        <v>-13.048269869877263</v>
      </c>
      <c r="S66" s="1040"/>
      <c r="T66" s="1040"/>
      <c r="U66" s="366"/>
      <c r="V66" s="391">
        <f t="array" aca="1" ref="V66" ca="1">SUM(IF($AD$16:$AR$16="O_Pos",AD66:AR66))</f>
        <v>0</v>
      </c>
      <c r="W66" s="367" t="str">
        <f t="shared" ca="1" si="259"/>
        <v>EUR</v>
      </c>
      <c r="X66" s="887">
        <f t="shared" ca="1" si="243"/>
        <v>11.566000000000001</v>
      </c>
      <c r="Y66" s="1041">
        <f t="shared" ca="1" si="244"/>
        <v>0</v>
      </c>
      <c r="Z66" s="1042">
        <f ca="1">_xlfn.NUMBERVALUE(OFFSET(Origine,MATCH(W66&amp;"/"&amp;MRif,LUKB_Name,0),MATCH("Price",Intestazioni,0)-1,1,1))</f>
        <v>1</v>
      </c>
      <c r="AA66" s="197">
        <f>600</f>
        <v>600</v>
      </c>
      <c r="AB66" s="312">
        <f ca="1">IFERROR($X66/AC66-1,"")</f>
        <v>-2.1826714863734109E-3</v>
      </c>
      <c r="AC66" s="1008">
        <v>11.5913</v>
      </c>
      <c r="AD66" s="199">
        <f t="shared" ref="AD66" ca="1" si="264">AA66*$X66</f>
        <v>6939.6</v>
      </c>
      <c r="AE66" s="199">
        <f t="shared" ref="AE66" ca="1" si="265">AD66*$Z66</f>
        <v>6939.6</v>
      </c>
      <c r="AF66" s="216">
        <f t="shared" ref="AF66" ca="1" si="266">IFERROR(AE66/AA$4,0)</f>
        <v>5.1111528359153537E-2</v>
      </c>
      <c r="AG66" s="202">
        <f t="shared" ref="AG66" ca="1" si="267">AH66/$X66</f>
        <v>-13.048269869877263</v>
      </c>
      <c r="AH66" s="203">
        <f t="shared" ref="AH66" ca="1" si="268">AI66/$Z66</f>
        <v>-150.91628931500043</v>
      </c>
      <c r="AI66" s="203">
        <f t="shared" ref="AI66" ca="1" si="269">AJ66*AA$4</f>
        <v>-150.91628931500043</v>
      </c>
      <c r="AJ66" s="204">
        <f t="shared" ref="AJ66" ca="1" si="270">$N66-AF66</f>
        <v>-1.1115283591535338E-3</v>
      </c>
      <c r="AK66" s="205"/>
      <c r="AL66" s="206">
        <f t="shared" ref="AL66" ca="1" si="271">AK66*$X66</f>
        <v>0</v>
      </c>
      <c r="AM66" s="206">
        <f t="shared" ref="AM66" ca="1" si="272">AL66*$Z66</f>
        <v>0</v>
      </c>
      <c r="AN66" s="207">
        <f t="shared" ref="AN66" ca="1" si="273">IFERROR(AM66/AA$4,0)</f>
        <v>0</v>
      </c>
      <c r="AO66" s="391">
        <f t="shared" ref="AO66" si="274">AA66+AK66</f>
        <v>600</v>
      </c>
      <c r="AP66" s="391">
        <f t="shared" ca="1" si="49"/>
        <v>6939.6</v>
      </c>
      <c r="AQ66" s="391">
        <f t="shared" ref="AQ66" ca="1" si="275">AP66*$Z66</f>
        <v>6939.6</v>
      </c>
      <c r="AR66" s="886">
        <f t="shared" ref="AR66" ca="1" si="276">IFERROR(AQ66/AA$4,0)</f>
        <v>5.1111528359153537E-2</v>
      </c>
      <c r="AS66" s="1007" t="str">
        <f t="shared" ca="1" si="9"/>
        <v>V</v>
      </c>
    </row>
    <row r="67" spans="1:45" collapsed="1" x14ac:dyDescent="0.2">
      <c r="A67" s="346"/>
      <c r="B67" s="346" t="s">
        <v>463</v>
      </c>
      <c r="C67" s="346"/>
      <c r="D67" s="347"/>
      <c r="E67" s="348"/>
      <c r="F67" s="346"/>
      <c r="G67" s="349"/>
      <c r="H67" s="1784"/>
      <c r="I67" s="1784"/>
      <c r="J67" s="1784"/>
      <c r="K67" s="1784"/>
      <c r="L67" s="1784"/>
      <c r="M67" s="1785"/>
      <c r="N67" s="1036">
        <f>SUM(N$68:N$69)</f>
        <v>0</v>
      </c>
      <c r="O67" s="1036"/>
      <c r="P67" s="352">
        <f t="shared" ca="1" si="139"/>
        <v>0</v>
      </c>
      <c r="Q67" s="421"/>
      <c r="R67" s="421"/>
      <c r="S67" s="1035"/>
      <c r="T67" s="1035"/>
      <c r="U67" s="345"/>
      <c r="V67" s="421">
        <f ca="1">COUNTIF(V68:V69,"&lt;&gt;0")</f>
        <v>0</v>
      </c>
      <c r="W67" s="346"/>
      <c r="X67" s="873"/>
      <c r="Y67" s="873"/>
      <c r="Z67" s="1037"/>
      <c r="AA67" s="357"/>
      <c r="AB67" s="359"/>
      <c r="AC67" s="1038"/>
      <c r="AD67" s="359"/>
      <c r="AE67" s="360">
        <f ca="1">SUM(AE$68:AE$69)</f>
        <v>0</v>
      </c>
      <c r="AF67" s="361">
        <f t="shared" ref="AF67:AF77" ca="1" si="277">IFERROR(AE67/AA$4,0)</f>
        <v>0</v>
      </c>
      <c r="AG67" s="362"/>
      <c r="AH67" s="359"/>
      <c r="AI67" s="360">
        <f ca="1">SUM(AI$68:AI$69)</f>
        <v>0</v>
      </c>
      <c r="AJ67" s="363">
        <f ca="1">IFERROR(AI67/AA$4,0)</f>
        <v>0</v>
      </c>
      <c r="AK67" s="362"/>
      <c r="AL67" s="359"/>
      <c r="AM67" s="360">
        <f ca="1">SUM(AM$68:AM$69)</f>
        <v>0</v>
      </c>
      <c r="AN67" s="363">
        <f t="shared" ref="AN67:AN77" ca="1" si="278">IFERROR(AM67/AA$4,0)</f>
        <v>0</v>
      </c>
      <c r="AO67" s="359"/>
      <c r="AP67" s="359"/>
      <c r="AQ67" s="360">
        <f ca="1">SUM(AQ$68:AQ$69)</f>
        <v>0</v>
      </c>
      <c r="AR67" s="876">
        <f t="shared" ref="AR67:AR77" ca="1" si="279">IFERROR(AQ67/AA$4,0)</f>
        <v>0</v>
      </c>
      <c r="AS67" s="1007" t="str">
        <f t="shared" ca="1" si="9"/>
        <v/>
      </c>
    </row>
    <row r="68" spans="1:45" hidden="1" outlineLevel="1" x14ac:dyDescent="0.2">
      <c r="A68" s="367"/>
      <c r="B68" s="367"/>
      <c r="C68" s="367" t="str">
        <f ca="1">OFFSET(Origine,MATCH($F68,Descrizioni,0),MATCH(C$16,Intestazioni,0)-1,1,1)</f>
        <v>LU1900068328:EUR</v>
      </c>
      <c r="D68" s="368" t="str">
        <f ca="1">OFFSET(Origine,MATCH($F68,Descrizioni,0),MATCH(D$16,Intestazioni,0)-1,1,1)</f>
        <v>LU1900068328</v>
      </c>
      <c r="E68" s="369"/>
      <c r="F68" s="367" t="s">
        <v>846</v>
      </c>
      <c r="G68" s="414"/>
      <c r="H68" s="1683" t="str">
        <f ca="1">HYPERLINK(OFFSET(Origine,MATCH($F68,Descrizioni,0),MATCH(H$16,Intestazioni,0)-1,1,1),"")</f>
        <v></v>
      </c>
      <c r="I68" s="1683" t="str">
        <f ca="1">HYPERLINK(OFFSET(Origine,MATCH($F68,Descrizioni,0),MATCH(I$16,Intestazioni,0)-1,1,1),"i")</f>
        <v>i</v>
      </c>
      <c r="J68" s="1713" t="str">
        <f t="shared" ref="J68:K69" ca="1" si="280">HYPERLINK(OFFSET(Origine,MATCH($F68,Descrizioni,0),MATCH(J$16,Intestazioni,0)-1,1,1),"")</f>
        <v></v>
      </c>
      <c r="K68" s="1716" t="str">
        <f t="shared" ca="1" si="280"/>
        <v></v>
      </c>
      <c r="L68" s="1717" t="str">
        <f ca="1">IFERROR(HYPERLINK("https://www.marketscreener.com/mods_a/charts/TV/inc_dyna_graph.php?c="&amp;OFFSET(Origine,MATCH($F68,Descrizioni,0),MATCH(L$16,Intestazioni,0)-1,1,1)&amp;"&amp;style=TradingView.CANDLES&amp;showAT=1",""),"")</f>
        <v></v>
      </c>
      <c r="M68" s="1786" t="str">
        <f ca="1">(OFFSET(Origine,MATCH($F68,Descrizioni,0),MATCH(M$16,Intestazioni,0)-1,1,1))</f>
        <v>Unit</v>
      </c>
      <c r="N68" s="1039"/>
      <c r="O68" s="1039"/>
      <c r="P68" s="882">
        <f t="shared" ca="1" si="139"/>
        <v>0</v>
      </c>
      <c r="Q68" s="391">
        <f>SUMIF($AA$16:$AR$16,"I_Pos",AA68:AR68)</f>
        <v>0</v>
      </c>
      <c r="R68" s="391">
        <f t="array" aca="1" ref="R68" ca="1">SUM(IF($AD$16:$AR$16="P_Pos",AD68:AR68))</f>
        <v>0</v>
      </c>
      <c r="S68" s="1040"/>
      <c r="T68" s="1040"/>
      <c r="U68" s="366"/>
      <c r="V68" s="391">
        <f t="array" aca="1" ref="V68" ca="1">SUM(IF($AD$16:$AR$16="O_Pos",AD68:AR68))</f>
        <v>0</v>
      </c>
      <c r="W68" s="367" t="str">
        <f ca="1">OFFSET(Origine,MATCH($F68,Descrizioni,0),MATCH(W$16,Intestazioni,0)-1,1,1)</f>
        <v>EUR</v>
      </c>
      <c r="X68" s="887">
        <f t="shared" ref="X68:Y69" ca="1" si="281">_xlfn.NUMBERVALUE(OFFSET(Origine,MATCH($F68,Descrizioni,0),MATCH(X$16,Intestazioni,0)-1,1,1))</f>
        <v>89.09</v>
      </c>
      <c r="Y68" s="1041">
        <f t="shared" ca="1" si="281"/>
        <v>0</v>
      </c>
      <c r="Z68" s="1042">
        <f ca="1">_xlfn.NUMBERVALUE(OFFSET(Origine,MATCH(W68&amp;"/"&amp;MRif,LUKB_Name,0),MATCH("Price",Intestazioni,0)-1,1,1))</f>
        <v>1</v>
      </c>
      <c r="AA68" s="197"/>
      <c r="AB68" s="312" t="str">
        <f ca="1">IFERROR($X68/AC68-1,"")</f>
        <v/>
      </c>
      <c r="AC68" s="1008"/>
      <c r="AD68" s="199">
        <f ca="1">AA68*$X68</f>
        <v>0</v>
      </c>
      <c r="AE68" s="199">
        <f ca="1">AD68*$Z68</f>
        <v>0</v>
      </c>
      <c r="AF68" s="216">
        <f t="shared" ca="1" si="277"/>
        <v>0</v>
      </c>
      <c r="AG68" s="202">
        <f ca="1">AH68/$X68</f>
        <v>0</v>
      </c>
      <c r="AH68" s="203">
        <f ca="1">AI68/$Z68</f>
        <v>0</v>
      </c>
      <c r="AI68" s="203">
        <f ca="1">AJ68*AA$4</f>
        <v>0</v>
      </c>
      <c r="AJ68" s="204">
        <f ca="1">$N68-AF68</f>
        <v>0</v>
      </c>
      <c r="AK68" s="205"/>
      <c r="AL68" s="206">
        <f ca="1">AK68*$X68</f>
        <v>0</v>
      </c>
      <c r="AM68" s="206">
        <f ca="1">AL68*$Z68</f>
        <v>0</v>
      </c>
      <c r="AN68" s="207">
        <f t="shared" ca="1" si="278"/>
        <v>0</v>
      </c>
      <c r="AO68" s="391">
        <f>AA68+AK68</f>
        <v>0</v>
      </c>
      <c r="AP68" s="391">
        <f t="shared" ca="1" si="49"/>
        <v>0</v>
      </c>
      <c r="AQ68" s="391">
        <f ca="1">AP68*$Z68</f>
        <v>0</v>
      </c>
      <c r="AR68" s="886">
        <f t="shared" ca="1" si="279"/>
        <v>0</v>
      </c>
      <c r="AS68" s="1007" t="str">
        <f t="shared" ca="1" si="9"/>
        <v/>
      </c>
    </row>
    <row r="69" spans="1:45" hidden="1" outlineLevel="1" x14ac:dyDescent="0.2">
      <c r="A69" s="367"/>
      <c r="B69" s="367"/>
      <c r="C69" s="367" t="str">
        <f ca="1">OFFSET(Origine,MATCH($F69,Descrizioni,0),MATCH(C$16,Intestazioni,0)-1,1,1)</f>
        <v>LU1169822266:EUR</v>
      </c>
      <c r="D69" s="368" t="s">
        <v>847</v>
      </c>
      <c r="E69" s="369" t="str">
        <f ca="1">OFFSET(Origine,MATCH($F69,Descrizioni,0),MATCH(E$16,Intestazioni,0)-1,1,1)</f>
        <v>26751446</v>
      </c>
      <c r="F69" s="367" t="s">
        <v>487</v>
      </c>
      <c r="G69" s="414"/>
      <c r="H69" s="1683" t="str">
        <f ca="1">HYPERLINK(OFFSET(Origine,MATCH($F69,Descrizioni,0),MATCH(H$16,Intestazioni,0)-1,1,1),"")</f>
        <v></v>
      </c>
      <c r="I69" s="1683" t="str">
        <f ca="1">HYPERLINK(OFFSET(Origine,MATCH($F69,Descrizioni,0),MATCH(I$16,Intestazioni,0)-1,1,1),"i")</f>
        <v>i</v>
      </c>
      <c r="J69" s="1713" t="str">
        <f t="shared" ca="1" si="280"/>
        <v></v>
      </c>
      <c r="K69" s="1716" t="str">
        <f t="shared" ca="1" si="280"/>
        <v></v>
      </c>
      <c r="L69" s="1717" t="str">
        <f ca="1">IFERROR(HYPERLINK("https://www.marketscreener.com/mods_a/charts/TV/inc_dyna_graph.php?c="&amp;OFFSET(Origine,MATCH($F69,Descrizioni,0),MATCH(L$16,Intestazioni,0)-1,1,1)&amp;"&amp;style=TradingView.CANDLES&amp;showAT=1",""),"")</f>
        <v></v>
      </c>
      <c r="M69" s="1786" t="str">
        <f ca="1">(OFFSET(Origine,MATCH($F69,Descrizioni,0),MATCH(M$16,Intestazioni,0)-1,1,1))</f>
        <v>Unit</v>
      </c>
      <c r="N69" s="1046"/>
      <c r="O69" s="1046"/>
      <c r="P69" s="892">
        <f t="shared" ca="1" si="139"/>
        <v>0</v>
      </c>
      <c r="Q69" s="391">
        <f>SUMIF($AA$16:$AR$16,"I_Pos",AA69:AR69)</f>
        <v>0</v>
      </c>
      <c r="R69" s="391">
        <f t="array" aca="1" ref="R69" ca="1">SUM(IF($AD$16:$AR$16="P_Pos",AD69:AR69))</f>
        <v>0</v>
      </c>
      <c r="S69" s="1040"/>
      <c r="T69" s="1040"/>
      <c r="U69" s="366"/>
      <c r="V69" s="391">
        <f t="array" aca="1" ref="V69" ca="1">SUM(IF($AD$16:$AR$16="O_Pos",AD69:AR69))</f>
        <v>0</v>
      </c>
      <c r="W69" s="367" t="str">
        <f ca="1">OFFSET(Origine,MATCH($F69,Descrizioni,0),MATCH(W$16,Intestazioni,0)-1,1,1)</f>
        <v>EUR</v>
      </c>
      <c r="X69" s="887">
        <f t="shared" ca="1" si="281"/>
        <v>39.950000000000003</v>
      </c>
      <c r="Y69" s="1041">
        <f t="shared" ca="1" si="281"/>
        <v>0</v>
      </c>
      <c r="Z69" s="1042">
        <f ca="1">_xlfn.NUMBERVALUE(OFFSET(Origine,MATCH(W69&amp;"/"&amp;MRif,LUKB_Name,0),MATCH("Price",Intestazioni,0)-1,1,1))</f>
        <v>1</v>
      </c>
      <c r="AA69" s="197"/>
      <c r="AB69" s="312" t="str">
        <f ca="1">IFERROR($X69/AC69-1,"")</f>
        <v/>
      </c>
      <c r="AC69" s="1008"/>
      <c r="AD69" s="199">
        <f ca="1">AA69*$X69</f>
        <v>0</v>
      </c>
      <c r="AE69" s="199">
        <f ca="1">AD69*$Z69</f>
        <v>0</v>
      </c>
      <c r="AF69" s="216">
        <f t="shared" ca="1" si="277"/>
        <v>0</v>
      </c>
      <c r="AG69" s="202">
        <f ca="1">AH69/$X69</f>
        <v>0</v>
      </c>
      <c r="AH69" s="203">
        <f ca="1">AI69/$Z69</f>
        <v>0</v>
      </c>
      <c r="AI69" s="203">
        <f ca="1">AJ69*AA$4</f>
        <v>0</v>
      </c>
      <c r="AJ69" s="204">
        <f ca="1">$N69-AF69</f>
        <v>0</v>
      </c>
      <c r="AK69" s="205"/>
      <c r="AL69" s="206">
        <f ca="1">AK69*$X69</f>
        <v>0</v>
      </c>
      <c r="AM69" s="206">
        <f ca="1">AL69*$Z69</f>
        <v>0</v>
      </c>
      <c r="AN69" s="207">
        <f t="shared" ca="1" si="278"/>
        <v>0</v>
      </c>
      <c r="AO69" s="391">
        <f>AA69+AK69</f>
        <v>0</v>
      </c>
      <c r="AP69" s="391">
        <f t="shared" ca="1" si="49"/>
        <v>0</v>
      </c>
      <c r="AQ69" s="391">
        <f ca="1">AP69*$Z69</f>
        <v>0</v>
      </c>
      <c r="AR69" s="886">
        <f t="shared" ca="1" si="279"/>
        <v>0</v>
      </c>
      <c r="AS69" s="1007" t="str">
        <f t="shared" ca="1" si="9"/>
        <v/>
      </c>
    </row>
    <row r="70" spans="1:45" collapsed="1" x14ac:dyDescent="0.2">
      <c r="A70" s="346"/>
      <c r="B70" s="346" t="s">
        <v>420</v>
      </c>
      <c r="C70" s="346"/>
      <c r="D70" s="347"/>
      <c r="E70" s="348"/>
      <c r="F70" s="346"/>
      <c r="G70" s="349"/>
      <c r="H70" s="1784"/>
      <c r="I70" s="1784"/>
      <c r="J70" s="1784"/>
      <c r="K70" s="1784"/>
      <c r="L70" s="1784"/>
      <c r="M70" s="1785"/>
      <c r="N70" s="1036">
        <f>SUM(N$71:N$76)</f>
        <v>0</v>
      </c>
      <c r="O70" s="1036"/>
      <c r="P70" s="352">
        <f t="shared" ca="1" si="139"/>
        <v>0</v>
      </c>
      <c r="Q70" s="421"/>
      <c r="R70" s="421"/>
      <c r="S70" s="1035"/>
      <c r="T70" s="1035"/>
      <c r="U70" s="345"/>
      <c r="V70" s="421">
        <f ca="1">COUNTIF(V71:V76,"&lt;&gt;0")</f>
        <v>0</v>
      </c>
      <c r="W70" s="346"/>
      <c r="X70" s="873"/>
      <c r="Y70" s="873"/>
      <c r="Z70" s="1037"/>
      <c r="AA70" s="357"/>
      <c r="AB70" s="359"/>
      <c r="AC70" s="1038"/>
      <c r="AD70" s="359"/>
      <c r="AE70" s="360">
        <f ca="1">SUM(AE$71:AE$76)</f>
        <v>0</v>
      </c>
      <c r="AF70" s="361">
        <f t="shared" ca="1" si="277"/>
        <v>0</v>
      </c>
      <c r="AG70" s="362"/>
      <c r="AH70" s="359"/>
      <c r="AI70" s="360">
        <f ca="1">SUM(AI$71:AI$76)</f>
        <v>0</v>
      </c>
      <c r="AJ70" s="363">
        <f ca="1">IFERROR(AI70/AA$4,0)</f>
        <v>0</v>
      </c>
      <c r="AK70" s="362"/>
      <c r="AL70" s="359"/>
      <c r="AM70" s="360">
        <f ca="1">SUM(AM$71:AM$76)</f>
        <v>0</v>
      </c>
      <c r="AN70" s="363">
        <f t="shared" ca="1" si="278"/>
        <v>0</v>
      </c>
      <c r="AO70" s="359"/>
      <c r="AP70" s="359"/>
      <c r="AQ70" s="360">
        <f ca="1">SUM(AQ$71:AQ$76)</f>
        <v>0</v>
      </c>
      <c r="AR70" s="876">
        <f t="shared" ca="1" si="279"/>
        <v>0</v>
      </c>
      <c r="AS70" s="1007" t="str">
        <f t="shared" ca="1" si="9"/>
        <v/>
      </c>
    </row>
    <row r="71" spans="1:45" hidden="1" outlineLevel="1" x14ac:dyDescent="0.2">
      <c r="A71" s="367"/>
      <c r="B71" s="367"/>
      <c r="C71" s="367" t="str">
        <f t="shared" ref="C71:C75" ca="1" si="282">OFFSET(Origine,MATCH($F71,Descrizioni,0),MATCH(C$16,Intestazioni,0)-1,1,1)</f>
        <v>LU0407233740:EUR</v>
      </c>
      <c r="D71" s="368" t="str">
        <f t="shared" ref="D71:E76" ca="1" si="283">OFFSET(Origine,MATCH($F71,Descrizioni,0),MATCH(D$16,Intestazioni,0)-1,1,1)</f>
        <v>LU0407233740</v>
      </c>
      <c r="E71" s="369" t="str">
        <f t="shared" ca="1" si="283"/>
        <v>4937198</v>
      </c>
      <c r="F71" s="367" t="s">
        <v>848</v>
      </c>
      <c r="G71" s="414"/>
      <c r="H71" s="1683" t="str">
        <f t="shared" ref="H71:H76" ca="1" si="284">HYPERLINK(OFFSET(Origine,MATCH($F71,Descrizioni,0),MATCH(H$16,Intestazioni,0)-1,1,1),"")</f>
        <v></v>
      </c>
      <c r="I71" s="1683" t="str">
        <f t="shared" ref="I71" ca="1" si="285">HYPERLINK(OFFSET(Origine,MATCH($F71,Descrizioni,0),MATCH(I$16,Intestazioni,0)-1,1,1),"i")</f>
        <v>i</v>
      </c>
      <c r="J71" s="1713" t="str">
        <f t="shared" ref="J71:K71" ca="1" si="286">HYPERLINK(OFFSET(Origine,MATCH($F71,Descrizioni,0),MATCH(J$16,Intestazioni,0)-1,1,1),"")</f>
        <v></v>
      </c>
      <c r="K71" s="1716" t="str">
        <f t="shared" ca="1" si="286"/>
        <v></v>
      </c>
      <c r="L71" s="1717" t="str">
        <f t="shared" ref="L71:L76" ca="1" si="287">IFERROR(HYPERLINK("https://www.marketscreener.com/mods_a/charts/TV/inc_dyna_graph.php?c="&amp;OFFSET(Origine,MATCH($F71,Descrizioni,0),MATCH(L$16,Intestazioni,0)-1,1,1)&amp;"&amp;style=TradingView.CANDLES&amp;showAT=1",""),"")</f>
        <v></v>
      </c>
      <c r="M71" s="1786" t="str">
        <f t="shared" ref="M71:M76" ca="1" si="288">(OFFSET(Origine,MATCH($F71,Descrizioni,0),MATCH(M$16,Intestazioni,0)-1,1,1))</f>
        <v>Unit</v>
      </c>
      <c r="N71" s="1039"/>
      <c r="O71" s="1039"/>
      <c r="P71" s="882">
        <f t="shared" ca="1" si="139"/>
        <v>0</v>
      </c>
      <c r="Q71" s="391">
        <f t="shared" ref="Q71:Q76" si="289">SUMIF($AA$16:$AR$16,"I_Pos",AA71:AR71)</f>
        <v>0</v>
      </c>
      <c r="R71" s="391">
        <f t="array" aca="1" ref="R71" ca="1">SUM(IF($AD$16:$AR$16="P_Pos",AD71:AR71))</f>
        <v>0</v>
      </c>
      <c r="S71" s="1040"/>
      <c r="T71" s="1040"/>
      <c r="U71" s="366"/>
      <c r="V71" s="391">
        <f t="array" aca="1" ref="V71" ca="1">SUM(IF($AD$16:$AR$16="O_Pos",AD71:AR71))</f>
        <v>0</v>
      </c>
      <c r="W71" s="367" t="str">
        <f t="shared" ref="W71" ca="1" si="290">OFFSET(Origine,MATCH($F71,Descrizioni,0),MATCH(W$16,Intestazioni,0)-1,1,1)</f>
        <v>EUR</v>
      </c>
      <c r="X71" s="887">
        <f t="shared" ref="X71:Y76" ca="1" si="291">_xlfn.NUMBERVALUE(OFFSET(Origine,MATCH($F71,Descrizioni,0),MATCH(X$16,Intestazioni,0)-1,1,1))</f>
        <v>440.58</v>
      </c>
      <c r="Y71" s="1041">
        <f t="shared" ca="1" si="291"/>
        <v>0</v>
      </c>
      <c r="Z71" s="1042">
        <f t="shared" ref="Z71:Z76" ca="1" si="292">_xlfn.NUMBERVALUE(OFFSET(Origine,MATCH(W71&amp;"/"&amp;MRif,LUKB_Name,0),MATCH("Price",Intestazioni,0)-1,1,1))</f>
        <v>1</v>
      </c>
      <c r="AA71" s="197"/>
      <c r="AB71" s="312" t="str">
        <f t="shared" ref="AB71:AB76" ca="1" si="293">IFERROR($X71/AC71-1,"")</f>
        <v/>
      </c>
      <c r="AC71" s="1008"/>
      <c r="AD71" s="199">
        <f ca="1">AA71*$X71</f>
        <v>0</v>
      </c>
      <c r="AE71" s="199">
        <f ca="1">AD71*$Z71</f>
        <v>0</v>
      </c>
      <c r="AF71" s="216">
        <f t="shared" ca="1" si="277"/>
        <v>0</v>
      </c>
      <c r="AG71" s="202">
        <f ca="1">AH71/$X71</f>
        <v>0</v>
      </c>
      <c r="AH71" s="203">
        <f ca="1">AI71/$Z71</f>
        <v>0</v>
      </c>
      <c r="AI71" s="203">
        <f ca="1">AJ71*AA$4</f>
        <v>0</v>
      </c>
      <c r="AJ71" s="204">
        <f ca="1">$N71-AF71</f>
        <v>0</v>
      </c>
      <c r="AK71" s="205"/>
      <c r="AL71" s="206">
        <f ca="1">AK71*$X71</f>
        <v>0</v>
      </c>
      <c r="AM71" s="206">
        <f ca="1">AL71*$Z71</f>
        <v>0</v>
      </c>
      <c r="AN71" s="207">
        <f t="shared" ca="1" si="278"/>
        <v>0</v>
      </c>
      <c r="AO71" s="391">
        <f t="shared" ref="AO71:AO76" si="294">AA71+AK71</f>
        <v>0</v>
      </c>
      <c r="AP71" s="391">
        <f t="shared" ca="1" si="49"/>
        <v>0</v>
      </c>
      <c r="AQ71" s="391">
        <f ca="1">AP71*$Z71</f>
        <v>0</v>
      </c>
      <c r="AR71" s="886">
        <f t="shared" ca="1" si="279"/>
        <v>0</v>
      </c>
      <c r="AS71" s="1007" t="str">
        <f t="shared" ca="1" si="9"/>
        <v/>
      </c>
    </row>
    <row r="72" spans="1:45" hidden="1" outlineLevel="1" x14ac:dyDescent="0.2">
      <c r="A72" s="1043"/>
      <c r="B72" s="367"/>
      <c r="C72" s="367" t="str">
        <f t="shared" ca="1" si="282"/>
        <v>LU1900066462:EUR</v>
      </c>
      <c r="D72" s="368" t="str">
        <f t="shared" ca="1" si="283"/>
        <v>LU1900066462</v>
      </c>
      <c r="E72" s="369" t="str">
        <f t="shared" ca="1" si="283"/>
        <v>45209801</v>
      </c>
      <c r="F72" s="367" t="s">
        <v>773</v>
      </c>
      <c r="G72" s="414"/>
      <c r="H72" s="1683" t="str">
        <f t="shared" ca="1" si="284"/>
        <v></v>
      </c>
      <c r="I72" s="1683" t="str">
        <f t="shared" ref="I72" ca="1" si="295">HYPERLINK(OFFSET(Origine,MATCH($F72,Descrizioni,0),MATCH(I$16,Intestazioni,0)-1,1,1),"i")</f>
        <v>i</v>
      </c>
      <c r="J72" s="1713" t="str">
        <f t="shared" ref="J72:K72" ca="1" si="296">HYPERLINK(OFFSET(Origine,MATCH($F72,Descrizioni,0),MATCH(J$16,Intestazioni,0)-1,1,1),"")</f>
        <v></v>
      </c>
      <c r="K72" s="1716" t="str">
        <f t="shared" ca="1" si="296"/>
        <v></v>
      </c>
      <c r="L72" s="1717" t="str">
        <f t="shared" ca="1" si="287"/>
        <v></v>
      </c>
      <c r="M72" s="1786" t="str">
        <f t="shared" ca="1" si="288"/>
        <v>Unit</v>
      </c>
      <c r="N72" s="1039"/>
      <c r="O72" s="1039"/>
      <c r="P72" s="882">
        <f t="shared" ca="1" si="139"/>
        <v>0</v>
      </c>
      <c r="Q72" s="391">
        <f t="shared" si="289"/>
        <v>0</v>
      </c>
      <c r="R72" s="391">
        <f t="array" aca="1" ref="R72" ca="1">SUM(IF($AD$16:$AR$16="P_Pos",AD72:AR72))</f>
        <v>0</v>
      </c>
      <c r="S72" s="1040"/>
      <c r="T72" s="1040"/>
      <c r="U72" s="366"/>
      <c r="V72" s="391">
        <f t="array" aca="1" ref="V72" ca="1">SUM(IF($AD$16:$AR$16="O_Pos",AD72:AR72))</f>
        <v>0</v>
      </c>
      <c r="W72" s="367" t="str">
        <f t="shared" ref="W72" ca="1" si="297">OFFSET(Origine,MATCH($F72,Descrizioni,0),MATCH(W$16,Intestazioni,0)-1,1,1)</f>
        <v>EUR</v>
      </c>
      <c r="X72" s="887">
        <f t="shared" ref="X72" ca="1" si="298">_xlfn.NUMBERVALUE(OFFSET(Origine,MATCH($F72,Descrizioni,0),MATCH(X$16,Intestazioni,0)-1,1,1))</f>
        <v>39.22</v>
      </c>
      <c r="Y72" s="1041">
        <f t="shared" ca="1" si="291"/>
        <v>0</v>
      </c>
      <c r="Z72" s="1042">
        <f t="shared" ca="1" si="292"/>
        <v>1</v>
      </c>
      <c r="AA72" s="197"/>
      <c r="AB72" s="312" t="str">
        <f t="shared" ca="1" si="293"/>
        <v/>
      </c>
      <c r="AC72" s="1008"/>
      <c r="AD72" s="199">
        <f ca="1">AA72*$X72</f>
        <v>0</v>
      </c>
      <c r="AE72" s="199">
        <f ca="1">AD72*$Z72</f>
        <v>0</v>
      </c>
      <c r="AF72" s="216">
        <f t="shared" ca="1" si="277"/>
        <v>0</v>
      </c>
      <c r="AG72" s="202">
        <f ca="1">AH72/$X72</f>
        <v>0</v>
      </c>
      <c r="AH72" s="203">
        <f ca="1">AI72/$Z72</f>
        <v>0</v>
      </c>
      <c r="AI72" s="203">
        <f ca="1">AJ72*AA$4</f>
        <v>0</v>
      </c>
      <c r="AJ72" s="204">
        <f ca="1">$N72-AF72</f>
        <v>0</v>
      </c>
      <c r="AK72" s="205"/>
      <c r="AL72" s="206">
        <f ca="1">AK72*$X72</f>
        <v>0</v>
      </c>
      <c r="AM72" s="206">
        <f ca="1">AL72*$Z72</f>
        <v>0</v>
      </c>
      <c r="AN72" s="207">
        <f t="shared" ca="1" si="278"/>
        <v>0</v>
      </c>
      <c r="AO72" s="391">
        <f t="shared" si="294"/>
        <v>0</v>
      </c>
      <c r="AP72" s="391">
        <f t="shared" ca="1" si="49"/>
        <v>0</v>
      </c>
      <c r="AQ72" s="391">
        <f ca="1">AP72*$Z72</f>
        <v>0</v>
      </c>
      <c r="AR72" s="886">
        <f t="shared" ca="1" si="279"/>
        <v>0</v>
      </c>
      <c r="AS72" s="1007" t="str">
        <f t="shared" ca="1" si="9"/>
        <v/>
      </c>
    </row>
    <row r="73" spans="1:45" hidden="1" outlineLevel="1" x14ac:dyDescent="0.2">
      <c r="A73" s="1043"/>
      <c r="B73" s="367"/>
      <c r="C73" s="367" t="str">
        <f t="shared" ca="1" si="282"/>
        <v>LU0390135332:EUR</v>
      </c>
      <c r="D73" s="368" t="str">
        <f t="shared" ca="1" si="283"/>
        <v>LU0390135332</v>
      </c>
      <c r="E73" s="369" t="str">
        <f t="shared" ca="1" si="283"/>
        <v>4613240</v>
      </c>
      <c r="F73" s="367" t="s">
        <v>849</v>
      </c>
      <c r="G73" s="414"/>
      <c r="H73" s="1683" t="str">
        <f t="shared" ca="1" si="284"/>
        <v></v>
      </c>
      <c r="I73" s="1683" t="str">
        <f t="shared" ref="I73" ca="1" si="299">HYPERLINK(OFFSET(Origine,MATCH($F73,Descrizioni,0),MATCH(I$16,Intestazioni,0)-1,1,1),"i")</f>
        <v>i</v>
      </c>
      <c r="J73" s="1713" t="str">
        <f t="shared" ref="J73:K73" ca="1" si="300">HYPERLINK(OFFSET(Origine,MATCH($F73,Descrizioni,0),MATCH(J$16,Intestazioni,0)-1,1,1),"")</f>
        <v></v>
      </c>
      <c r="K73" s="1716" t="str">
        <f t="shared" ca="1" si="300"/>
        <v></v>
      </c>
      <c r="L73" s="1717" t="str">
        <f t="shared" ca="1" si="287"/>
        <v></v>
      </c>
      <c r="M73" s="1786" t="str">
        <f t="shared" ca="1" si="288"/>
        <v>Unit</v>
      </c>
      <c r="N73" s="1039"/>
      <c r="O73" s="1039"/>
      <c r="P73" s="882">
        <f t="shared" ca="1" si="139"/>
        <v>0</v>
      </c>
      <c r="Q73" s="391">
        <f t="shared" si="289"/>
        <v>0</v>
      </c>
      <c r="R73" s="391">
        <f t="array" aca="1" ref="R73" ca="1">SUM(IF($AD$16:$AR$16="P_Pos",AD73:AR73))</f>
        <v>0</v>
      </c>
      <c r="S73" s="1040"/>
      <c r="T73" s="1040"/>
      <c r="U73" s="366"/>
      <c r="V73" s="391">
        <f t="array" aca="1" ref="V73" ca="1">SUM(IF($AD$16:$AR$16="O_Pos",AD73:AR73))</f>
        <v>0</v>
      </c>
      <c r="W73" s="367" t="str">
        <f t="shared" ref="W73" ca="1" si="301">OFFSET(Origine,MATCH($F73,Descrizioni,0),MATCH(W$16,Intestazioni,0)-1,1,1)</f>
        <v>EUR</v>
      </c>
      <c r="X73" s="887">
        <f t="shared" ref="X73" ca="1" si="302">_xlfn.NUMBERVALUE(OFFSET(Origine,MATCH($F73,Descrizioni,0),MATCH(X$16,Intestazioni,0)-1,1,1))</f>
        <v>61.829000000000001</v>
      </c>
      <c r="Y73" s="1041">
        <f t="shared" ca="1" si="291"/>
        <v>0</v>
      </c>
      <c r="Z73" s="1042">
        <f t="shared" ca="1" si="292"/>
        <v>1</v>
      </c>
      <c r="AA73" s="197"/>
      <c r="AB73" s="312" t="str">
        <f t="shared" ca="1" si="293"/>
        <v/>
      </c>
      <c r="AC73" s="1008"/>
      <c r="AD73" s="199">
        <f ca="1">AA73*$X73</f>
        <v>0</v>
      </c>
      <c r="AE73" s="199">
        <f ca="1">AD73*$Z73</f>
        <v>0</v>
      </c>
      <c r="AF73" s="216">
        <f t="shared" ca="1" si="277"/>
        <v>0</v>
      </c>
      <c r="AG73" s="202">
        <f ca="1">AH73/$X73</f>
        <v>0</v>
      </c>
      <c r="AH73" s="203">
        <f ca="1">AI73/$Z73</f>
        <v>0</v>
      </c>
      <c r="AI73" s="203">
        <f ca="1">AJ73*AA$4</f>
        <v>0</v>
      </c>
      <c r="AJ73" s="204">
        <f ca="1">$N73-AF73</f>
        <v>0</v>
      </c>
      <c r="AK73" s="205"/>
      <c r="AL73" s="206">
        <f ca="1">AK73*$X73</f>
        <v>0</v>
      </c>
      <c r="AM73" s="206">
        <f ca="1">AL73*$Z73</f>
        <v>0</v>
      </c>
      <c r="AN73" s="207">
        <f t="shared" ca="1" si="278"/>
        <v>0</v>
      </c>
      <c r="AO73" s="391">
        <f t="shared" si="294"/>
        <v>0</v>
      </c>
      <c r="AP73" s="391">
        <f t="shared" ca="1" si="49"/>
        <v>0</v>
      </c>
      <c r="AQ73" s="391">
        <f ca="1">AP73*$Z73</f>
        <v>0</v>
      </c>
      <c r="AR73" s="886">
        <f t="shared" ca="1" si="279"/>
        <v>0</v>
      </c>
      <c r="AS73" s="1007" t="str">
        <f t="shared" ca="1" si="9"/>
        <v/>
      </c>
    </row>
    <row r="74" spans="1:45" hidden="1" outlineLevel="1" x14ac:dyDescent="0.2">
      <c r="A74" s="1043"/>
      <c r="B74" s="367"/>
      <c r="C74" s="367" t="str">
        <f t="shared" ca="1" si="282"/>
        <v>IE00B27YCK28:USD</v>
      </c>
      <c r="D74" s="368" t="str">
        <f t="shared" ca="1" si="283"/>
        <v>IE00B27YCK28</v>
      </c>
      <c r="E74" s="369" t="str">
        <f t="shared" ca="1" si="283"/>
        <v>3477137</v>
      </c>
      <c r="F74" s="367" t="s">
        <v>774</v>
      </c>
      <c r="G74" s="414"/>
      <c r="H74" s="1683" t="str">
        <f t="shared" ca="1" si="284"/>
        <v></v>
      </c>
      <c r="I74" s="1683" t="str">
        <f t="shared" ref="I74" ca="1" si="303">HYPERLINK(OFFSET(Origine,MATCH($F74,Descrizioni,0),MATCH(I$16,Intestazioni,0)-1,1,1),"i")</f>
        <v>i</v>
      </c>
      <c r="J74" s="1713" t="str">
        <f t="shared" ref="J74:K74" ca="1" si="304">HYPERLINK(OFFSET(Origine,MATCH($F74,Descrizioni,0),MATCH(J$16,Intestazioni,0)-1,1,1),"")</f>
        <v></v>
      </c>
      <c r="K74" s="1716" t="str">
        <f t="shared" ca="1" si="304"/>
        <v></v>
      </c>
      <c r="L74" s="1717" t="str">
        <f t="shared" ca="1" si="287"/>
        <v></v>
      </c>
      <c r="M74" s="1786" t="str">
        <f t="shared" ca="1" si="288"/>
        <v>Unit</v>
      </c>
      <c r="N74" s="1039"/>
      <c r="O74" s="1039"/>
      <c r="P74" s="882">
        <f t="shared" ca="1" si="139"/>
        <v>0</v>
      </c>
      <c r="Q74" s="391">
        <f t="shared" si="289"/>
        <v>0</v>
      </c>
      <c r="R74" s="391">
        <f t="array" aca="1" ref="R74" ca="1">SUM(IF($AD$16:$AR$16="P_Pos",AD74:AR74))</f>
        <v>0</v>
      </c>
      <c r="S74" s="1040"/>
      <c r="T74" s="1040"/>
      <c r="U74" s="366"/>
      <c r="V74" s="391">
        <f t="array" aca="1" ref="V74" ca="1">SUM(IF($AD$16:$AR$16="O_Pos",AD74:AR74))</f>
        <v>0</v>
      </c>
      <c r="W74" s="367" t="str">
        <f t="shared" ref="W74" ca="1" si="305">OFFSET(Origine,MATCH($F74,Descrizioni,0),MATCH(W$16,Intestazioni,0)-1,1,1)</f>
        <v>USD</v>
      </c>
      <c r="X74" s="887">
        <f t="shared" ref="X74" ca="1" si="306">_xlfn.NUMBERVALUE(OFFSET(Origine,MATCH($F74,Descrizioni,0),MATCH(X$16,Intestazioni,0)-1,1,1))</f>
        <v>21.02</v>
      </c>
      <c r="Y74" s="1041">
        <f t="shared" ca="1" si="291"/>
        <v>0</v>
      </c>
      <c r="Z74" s="1042">
        <f t="shared" ca="1" si="292"/>
        <v>0.86199999999999999</v>
      </c>
      <c r="AA74" s="197"/>
      <c r="AB74" s="312" t="str">
        <f t="shared" ca="1" si="293"/>
        <v/>
      </c>
      <c r="AC74" s="1008"/>
      <c r="AD74" s="199">
        <f ca="1">AA74*$X74</f>
        <v>0</v>
      </c>
      <c r="AE74" s="199">
        <f ca="1">AD74*$Z74</f>
        <v>0</v>
      </c>
      <c r="AF74" s="216">
        <f t="shared" ca="1" si="277"/>
        <v>0</v>
      </c>
      <c r="AG74" s="202">
        <f ca="1">AH74/$X74</f>
        <v>0</v>
      </c>
      <c r="AH74" s="203">
        <f ca="1">AI74/$Z74</f>
        <v>0</v>
      </c>
      <c r="AI74" s="203">
        <f ca="1">AJ74*AA$4</f>
        <v>0</v>
      </c>
      <c r="AJ74" s="204">
        <f ca="1">$N74-AF74</f>
        <v>0</v>
      </c>
      <c r="AK74" s="205"/>
      <c r="AL74" s="206">
        <f ca="1">AK74*$X74</f>
        <v>0</v>
      </c>
      <c r="AM74" s="206">
        <f ca="1">AL74*$Z74</f>
        <v>0</v>
      </c>
      <c r="AN74" s="207">
        <f t="shared" ca="1" si="278"/>
        <v>0</v>
      </c>
      <c r="AO74" s="391">
        <f t="shared" si="294"/>
        <v>0</v>
      </c>
      <c r="AP74" s="391">
        <f t="shared" ca="1" si="49"/>
        <v>0</v>
      </c>
      <c r="AQ74" s="391">
        <f ca="1">AP74*$Z74</f>
        <v>0</v>
      </c>
      <c r="AR74" s="886">
        <f t="shared" ca="1" si="279"/>
        <v>0</v>
      </c>
      <c r="AS74" s="1007" t="str">
        <f t="shared" ca="1" si="9"/>
        <v/>
      </c>
    </row>
    <row r="75" spans="1:45" hidden="1" outlineLevel="1" x14ac:dyDescent="0.2">
      <c r="A75" s="1043"/>
      <c r="B75" s="367"/>
      <c r="C75" s="367" t="str">
        <f t="shared" ca="1" si="282"/>
        <v>DE000A0Q4R85:USD</v>
      </c>
      <c r="D75" s="368" t="str">
        <f t="shared" ca="1" si="283"/>
        <v>DE000A0Q4R85</v>
      </c>
      <c r="E75" s="369" t="str">
        <f t="shared" ca="1" si="283"/>
        <v>43398616</v>
      </c>
      <c r="F75" s="367" t="s">
        <v>827</v>
      </c>
      <c r="G75" s="414"/>
      <c r="H75" s="1683" t="str">
        <f t="shared" ca="1" si="284"/>
        <v></v>
      </c>
      <c r="I75" s="1683" t="str">
        <f t="shared" ref="I75" ca="1" si="307">HYPERLINK(OFFSET(Origine,MATCH($F75,Descrizioni,0),MATCH(I$16,Intestazioni,0)-1,1,1),"i")</f>
        <v>i</v>
      </c>
      <c r="J75" s="1713" t="str">
        <f t="shared" ref="J75:K75" ca="1" si="308">HYPERLINK(OFFSET(Origine,MATCH($F75,Descrizioni,0),MATCH(J$16,Intestazioni,0)-1,1,1),"")</f>
        <v></v>
      </c>
      <c r="K75" s="1716" t="str">
        <f t="shared" ca="1" si="308"/>
        <v></v>
      </c>
      <c r="L75" s="1717" t="str">
        <f t="shared" ca="1" si="287"/>
        <v></v>
      </c>
      <c r="M75" s="1786" t="str">
        <f t="shared" ca="1" si="288"/>
        <v>Unit</v>
      </c>
      <c r="N75" s="1039"/>
      <c r="O75" s="1039"/>
      <c r="P75" s="882">
        <f t="shared" ca="1" si="139"/>
        <v>0</v>
      </c>
      <c r="Q75" s="391">
        <f t="shared" si="289"/>
        <v>0</v>
      </c>
      <c r="R75" s="391">
        <f t="array" aca="1" ref="R75" ca="1">SUM(IF($AD$16:$AR$16="P_Pos",AD75:AR75))</f>
        <v>0</v>
      </c>
      <c r="S75" s="1040"/>
      <c r="T75" s="1040"/>
      <c r="U75" s="366"/>
      <c r="V75" s="391">
        <f t="array" aca="1" ref="V75" ca="1">SUM(IF($AD$16:$AR$16="O_Pos",AD75:AR75))</f>
        <v>0</v>
      </c>
      <c r="W75" s="367" t="str">
        <f t="shared" ref="W75" ca="1" si="309">OFFSET(Origine,MATCH($F75,Descrizioni,0),MATCH(W$16,Intestazioni,0)-1,1,1)</f>
        <v>USD</v>
      </c>
      <c r="X75" s="887">
        <f t="shared" ref="X75" ca="1" si="310">_xlfn.NUMBERVALUE(OFFSET(Origine,MATCH($F75,Descrizioni,0),MATCH(X$16,Intestazioni,0)-1,1,1))</f>
        <v>53.44</v>
      </c>
      <c r="Y75" s="1041">
        <f t="shared" ca="1" si="291"/>
        <v>0</v>
      </c>
      <c r="Z75" s="1042">
        <f t="shared" ca="1" si="292"/>
        <v>0.86199999999999999</v>
      </c>
      <c r="AA75" s="197"/>
      <c r="AB75" s="312" t="str">
        <f t="shared" ca="1" si="293"/>
        <v/>
      </c>
      <c r="AC75" s="1008"/>
      <c r="AD75" s="199">
        <f t="shared" ref="AD75:AD76" ca="1" si="311">AA75*$X75</f>
        <v>0</v>
      </c>
      <c r="AE75" s="199">
        <f t="shared" ref="AE75:AE76" ca="1" si="312">AD75*$Z75</f>
        <v>0</v>
      </c>
      <c r="AF75" s="216">
        <f t="shared" ca="1" si="277"/>
        <v>0</v>
      </c>
      <c r="AG75" s="202">
        <f t="shared" ref="AG75:AG76" ca="1" si="313">AH75/$X75</f>
        <v>0</v>
      </c>
      <c r="AH75" s="203">
        <f t="shared" ref="AH75:AH76" ca="1" si="314">AI75/$Z75</f>
        <v>0</v>
      </c>
      <c r="AI75" s="203">
        <f t="shared" ref="AI75:AI76" ca="1" si="315">AJ75*AA$4</f>
        <v>0</v>
      </c>
      <c r="AJ75" s="204">
        <f t="shared" ref="AJ75:AJ76" ca="1" si="316">$N75-AF75</f>
        <v>0</v>
      </c>
      <c r="AK75" s="205"/>
      <c r="AL75" s="206">
        <f t="shared" ref="AL75:AL76" ca="1" si="317">AK75*$X75</f>
        <v>0</v>
      </c>
      <c r="AM75" s="206">
        <f t="shared" ref="AM75:AM76" ca="1" si="318">AL75*$Z75</f>
        <v>0</v>
      </c>
      <c r="AN75" s="207">
        <f t="shared" ca="1" si="278"/>
        <v>0</v>
      </c>
      <c r="AO75" s="391">
        <f t="shared" si="294"/>
        <v>0</v>
      </c>
      <c r="AP75" s="391">
        <f t="shared" ca="1" si="49"/>
        <v>0</v>
      </c>
      <c r="AQ75" s="391">
        <f t="shared" ref="AQ75:AQ76" ca="1" si="319">AP75*$Z75</f>
        <v>0</v>
      </c>
      <c r="AR75" s="886">
        <f t="shared" ca="1" si="279"/>
        <v>0</v>
      </c>
      <c r="AS75" s="1007" t="str">
        <f t="shared" ca="1" si="9"/>
        <v/>
      </c>
    </row>
    <row r="76" spans="1:45" hidden="1" outlineLevel="1" x14ac:dyDescent="0.2">
      <c r="A76" s="1043"/>
      <c r="B76" s="367"/>
      <c r="C76" s="367" t="s">
        <v>1220</v>
      </c>
      <c r="D76" s="368" t="str">
        <f t="shared" ca="1" si="283"/>
        <v>IE00BJ5JPG56</v>
      </c>
      <c r="E76" s="369" t="str">
        <f t="shared" ca="1" si="283"/>
        <v>47256616</v>
      </c>
      <c r="F76" s="367" t="s">
        <v>850</v>
      </c>
      <c r="G76" s="414"/>
      <c r="H76" s="1683" t="str">
        <f t="shared" ca="1" si="284"/>
        <v></v>
      </c>
      <c r="I76" s="1683" t="str">
        <f t="shared" ref="I76" ca="1" si="320">HYPERLINK(OFFSET(Origine,MATCH($F76,Descrizioni,0),MATCH(I$16,Intestazioni,0)-1,1,1),"i")</f>
        <v>i</v>
      </c>
      <c r="J76" s="1713" t="str">
        <f t="shared" ref="J76:K76" ca="1" si="321">HYPERLINK(OFFSET(Origine,MATCH($F76,Descrizioni,0),MATCH(J$16,Intestazioni,0)-1,1,1),"")</f>
        <v></v>
      </c>
      <c r="K76" s="1716" t="str">
        <f t="shared" ca="1" si="321"/>
        <v></v>
      </c>
      <c r="L76" s="1717" t="str">
        <f t="shared" ca="1" si="287"/>
        <v></v>
      </c>
      <c r="M76" s="1786" t="str">
        <f t="shared" ca="1" si="288"/>
        <v>Unit</v>
      </c>
      <c r="N76" s="1039"/>
      <c r="O76" s="1039"/>
      <c r="P76" s="882">
        <f t="shared" ca="1" si="139"/>
        <v>0</v>
      </c>
      <c r="Q76" s="391">
        <f t="shared" si="289"/>
        <v>0</v>
      </c>
      <c r="R76" s="391">
        <f t="array" aca="1" ref="R76" ca="1">SUM(IF($AD$16:$AR$16="P_Pos",AD76:AR76))</f>
        <v>0</v>
      </c>
      <c r="S76" s="1040"/>
      <c r="T76" s="1040"/>
      <c r="U76" s="366"/>
      <c r="V76" s="391">
        <f t="array" aca="1" ref="V76" ca="1">SUM(IF($AD$16:$AR$16="O_Pos",AD76:AR76))</f>
        <v>0</v>
      </c>
      <c r="W76" s="367" t="str">
        <f t="shared" ref="W76" ca="1" si="322">OFFSET(Origine,MATCH($F76,Descrizioni,0),MATCH(W$16,Intestazioni,0)-1,1,1)</f>
        <v>USD</v>
      </c>
      <c r="X76" s="887">
        <f t="shared" ref="X76" ca="1" si="323">_xlfn.NUMBERVALUE(OFFSET(Origine,MATCH($F76,Descrizioni,0),MATCH(X$16,Intestazioni,0)-1,1,1))</f>
        <v>5.7910000000000004</v>
      </c>
      <c r="Y76" s="1041">
        <f t="shared" ca="1" si="291"/>
        <v>0</v>
      </c>
      <c r="Z76" s="1042">
        <f t="shared" ca="1" si="292"/>
        <v>0.86199999999999999</v>
      </c>
      <c r="AA76" s="197"/>
      <c r="AB76" s="312" t="str">
        <f t="shared" ca="1" si="293"/>
        <v/>
      </c>
      <c r="AC76" s="1008"/>
      <c r="AD76" s="199">
        <f t="shared" ca="1" si="311"/>
        <v>0</v>
      </c>
      <c r="AE76" s="199">
        <f t="shared" ca="1" si="312"/>
        <v>0</v>
      </c>
      <c r="AF76" s="216">
        <f t="shared" ca="1" si="277"/>
        <v>0</v>
      </c>
      <c r="AG76" s="202">
        <f t="shared" ca="1" si="313"/>
        <v>0</v>
      </c>
      <c r="AH76" s="203">
        <f t="shared" ca="1" si="314"/>
        <v>0</v>
      </c>
      <c r="AI76" s="203">
        <f t="shared" ca="1" si="315"/>
        <v>0</v>
      </c>
      <c r="AJ76" s="204">
        <f t="shared" ca="1" si="316"/>
        <v>0</v>
      </c>
      <c r="AK76" s="205"/>
      <c r="AL76" s="206">
        <f t="shared" ca="1" si="317"/>
        <v>0</v>
      </c>
      <c r="AM76" s="206">
        <f t="shared" ca="1" si="318"/>
        <v>0</v>
      </c>
      <c r="AN76" s="207">
        <f t="shared" ca="1" si="278"/>
        <v>0</v>
      </c>
      <c r="AO76" s="391">
        <f t="shared" si="294"/>
        <v>0</v>
      </c>
      <c r="AP76" s="391">
        <f t="shared" ca="1" si="49"/>
        <v>0</v>
      </c>
      <c r="AQ76" s="391">
        <f t="shared" ca="1" si="319"/>
        <v>0</v>
      </c>
      <c r="AR76" s="886">
        <f t="shared" ca="1" si="279"/>
        <v>0</v>
      </c>
      <c r="AS76" s="1007" t="str">
        <f t="shared" ca="1" si="9"/>
        <v/>
      </c>
    </row>
    <row r="77" spans="1:45" collapsed="1" x14ac:dyDescent="0.2">
      <c r="A77" s="346"/>
      <c r="B77" s="346" t="s">
        <v>423</v>
      </c>
      <c r="C77" s="346"/>
      <c r="D77" s="347"/>
      <c r="E77" s="348"/>
      <c r="F77" s="346"/>
      <c r="G77" s="349"/>
      <c r="H77" s="1784"/>
      <c r="I77" s="1784"/>
      <c r="J77" s="1784"/>
      <c r="K77" s="1784"/>
      <c r="L77" s="1784"/>
      <c r="M77" s="1785"/>
      <c r="N77" s="1036">
        <f>SUM(N$78:N$79)</f>
        <v>0</v>
      </c>
      <c r="O77" s="1036"/>
      <c r="P77" s="352">
        <f t="shared" ca="1" si="139"/>
        <v>0</v>
      </c>
      <c r="Q77" s="421"/>
      <c r="R77" s="421"/>
      <c r="S77" s="1035"/>
      <c r="T77" s="1035"/>
      <c r="U77" s="345"/>
      <c r="V77" s="421">
        <f ca="1">COUNTIF(V78:V79,"&lt;&gt;0")</f>
        <v>0</v>
      </c>
      <c r="W77" s="346"/>
      <c r="X77" s="873"/>
      <c r="Y77" s="873"/>
      <c r="Z77" s="1037"/>
      <c r="AA77" s="357"/>
      <c r="AB77" s="359"/>
      <c r="AC77" s="1038"/>
      <c r="AD77" s="359"/>
      <c r="AE77" s="360">
        <f ca="1">SUM(AE$78:AE$79)</f>
        <v>0</v>
      </c>
      <c r="AF77" s="361">
        <f t="shared" ca="1" si="277"/>
        <v>0</v>
      </c>
      <c r="AG77" s="362"/>
      <c r="AH77" s="359"/>
      <c r="AI77" s="360">
        <f ca="1">SUM(AI$78:AI$79)</f>
        <v>0</v>
      </c>
      <c r="AJ77" s="363">
        <f ca="1">IFERROR(AI77/AA$4,0)</f>
        <v>0</v>
      </c>
      <c r="AK77" s="362"/>
      <c r="AL77" s="359"/>
      <c r="AM77" s="360">
        <f ca="1">SUM(AM$78:AM$79)</f>
        <v>0</v>
      </c>
      <c r="AN77" s="363">
        <f t="shared" ca="1" si="278"/>
        <v>0</v>
      </c>
      <c r="AO77" s="359"/>
      <c r="AP77" s="359"/>
      <c r="AQ77" s="360">
        <f ca="1">SUM(AQ$78:AQ$79)</f>
        <v>0</v>
      </c>
      <c r="AR77" s="876">
        <f t="shared" ca="1" si="279"/>
        <v>0</v>
      </c>
      <c r="AS77" s="1007" t="str">
        <f t="shared" ref="AS77:AS102" ca="1" si="324">IF(SUM(AF77,AN77,AR77)&lt;&gt;0,"V","")</f>
        <v/>
      </c>
    </row>
    <row r="78" spans="1:45" hidden="1" outlineLevel="1" x14ac:dyDescent="0.2">
      <c r="A78" s="367"/>
      <c r="B78" s="367"/>
      <c r="C78" s="367" t="str">
        <f ca="1">OFFSET(Origine,MATCH($F78,Descrizioni,0),MATCH(C$16,Intestazioni,0)-1,1,1)</f>
        <v>LU0390136736:USD</v>
      </c>
      <c r="D78" s="368" t="str">
        <f ca="1">OFFSET(Origine,MATCH($F78,Descrizioni,0),MATCH(D$16,Intestazioni,0)-1,1,1)</f>
        <v>LU0390136736</v>
      </c>
      <c r="E78" s="369" t="str">
        <f ca="1">OFFSET(Origine,MATCH($F78,Descrizioni,0),MATCH(E$16,Intestazioni,0)-1,1,1)</f>
        <v>4613685</v>
      </c>
      <c r="F78" s="367" t="s">
        <v>424</v>
      </c>
      <c r="G78" s="414"/>
      <c r="H78" s="1683" t="str">
        <f ca="1">HYPERLINK(OFFSET(Origine,MATCH($F78,Descrizioni,0),MATCH(H$16,Intestazioni,0)-1,1,1),"")</f>
        <v></v>
      </c>
      <c r="I78" s="1683" t="str">
        <f ca="1">HYPERLINK(OFFSET(Origine,MATCH($F78,Descrizioni,0),MATCH(I$16,Intestazioni,0)-1,1,1),"i")</f>
        <v>i</v>
      </c>
      <c r="J78" s="1713" t="str">
        <f ca="1">HYPERLINK(OFFSET(Origine,MATCH($F78,Descrizioni,0),MATCH(J$16,Intestazioni,0)-1,1,1),"")</f>
        <v></v>
      </c>
      <c r="K78" s="1716" t="str">
        <f ca="1">HYPERLINK(OFFSET(Origine,MATCH($F78,Descrizioni,0),MATCH(K$16,Intestazioni,0)-1,1,1),"")</f>
        <v></v>
      </c>
      <c r="L78" s="1717" t="str">
        <f ca="1">IFERROR(HYPERLINK("https://www.marketscreener.com/mods_a/charts/TV/inc_dyna_graph.php?c="&amp;OFFSET(Origine,MATCH($F78,Descrizioni,0),MATCH(L$16,Intestazioni,0)-1,1,1)&amp;"&amp;style=TradingView.CANDLES&amp;showAT=1",""),"")</f>
        <v></v>
      </c>
      <c r="M78" s="1786" t="str">
        <f ca="1">(OFFSET(Origine,MATCH($F78,Descrizioni,0),MATCH(M$16,Intestazioni,0)-1,1,1))</f>
        <v>Unit</v>
      </c>
      <c r="N78" s="1046"/>
      <c r="O78" s="1046"/>
      <c r="P78" s="882">
        <f t="shared" ref="P78:P102" ca="1" si="325">SUMIF($AA$16:$AR$16,"I_Ctrlv",$AA78:$AR78)/$Q$2</f>
        <v>0</v>
      </c>
      <c r="Q78" s="391">
        <f>SUMIF($AA$16:$AR$16,"I_Pos",AA78:AR78)</f>
        <v>0</v>
      </c>
      <c r="R78" s="391">
        <f t="array" aca="1" ref="R78" ca="1">SUM(IF($AD$16:$AR$16="P_Pos",AD78:AR78))</f>
        <v>0</v>
      </c>
      <c r="S78" s="1040"/>
      <c r="T78" s="1040"/>
      <c r="U78" s="366"/>
      <c r="V78" s="391">
        <f t="array" aca="1" ref="V78" ca="1">SUM(IF($AD$16:$AR$16="O_Pos",AD78:AR78))</f>
        <v>0</v>
      </c>
      <c r="W78" s="367" t="str">
        <f ca="1">OFFSET(Origine,MATCH($F78,Descrizioni,0),MATCH(W$16,Intestazioni,0)-1,1,1)</f>
        <v>USD</v>
      </c>
      <c r="X78" s="887">
        <f ca="1">_xlfn.NUMBERVALUE(OFFSET(Origine,MATCH($F78,Descrizioni,0),MATCH(X$16,Intestazioni,0)-1,1,1))</f>
        <v>31.73</v>
      </c>
      <c r="Y78" s="1041">
        <f ca="1">_xlfn.NUMBERVALUE(OFFSET(Origine,MATCH($F78,Descrizioni,0),MATCH(Y$16,Intestazioni,0)-1,1,1))</f>
        <v>0</v>
      </c>
      <c r="Z78" s="1042">
        <f ca="1">_xlfn.NUMBERVALUE(OFFSET(Origine,MATCH(W78&amp;"/"&amp;MRif,LUKB_Name,0),MATCH("Price",Intestazioni,0)-1,1,1))</f>
        <v>0.86199999999999999</v>
      </c>
      <c r="AA78" s="197">
        <f>745+-745</f>
        <v>0</v>
      </c>
      <c r="AB78" s="312" t="str">
        <f ca="1">IFERROR($X78/AC78-1,"")</f>
        <v/>
      </c>
      <c r="AC78" s="1008"/>
      <c r="AD78" s="199">
        <f ca="1">AA78*$X78</f>
        <v>0</v>
      </c>
      <c r="AE78" s="199">
        <f ca="1">AD78*$Z78</f>
        <v>0</v>
      </c>
      <c r="AF78" s="216">
        <f ca="1">IFERROR(AE78/AA$4,0)</f>
        <v>0</v>
      </c>
      <c r="AG78" s="202">
        <f ca="1">AH78/$X78</f>
        <v>0</v>
      </c>
      <c r="AH78" s="203">
        <f ca="1">AI78/$Z78</f>
        <v>0</v>
      </c>
      <c r="AI78" s="203">
        <f ca="1">AJ78*AA$4</f>
        <v>0</v>
      </c>
      <c r="AJ78" s="204">
        <f ca="1">$N78-AF78</f>
        <v>0</v>
      </c>
      <c r="AK78" s="205"/>
      <c r="AL78" s="206">
        <f ca="1">AK78*$X78</f>
        <v>0</v>
      </c>
      <c r="AM78" s="206">
        <f ca="1">AL78*$Z78</f>
        <v>0</v>
      </c>
      <c r="AN78" s="207">
        <f ca="1">IFERROR(AM78/AA$4,0)</f>
        <v>0</v>
      </c>
      <c r="AO78" s="391">
        <f>AA78+AK78</f>
        <v>0</v>
      </c>
      <c r="AP78" s="391">
        <f t="shared" ca="1" si="49"/>
        <v>0</v>
      </c>
      <c r="AQ78" s="391">
        <f ca="1">AP78*$Z78</f>
        <v>0</v>
      </c>
      <c r="AR78" s="886">
        <f ca="1">IFERROR(AQ78/AA$4,0)</f>
        <v>0</v>
      </c>
      <c r="AS78" s="1007" t="str">
        <f t="shared" ca="1" si="324"/>
        <v/>
      </c>
    </row>
    <row r="79" spans="1:45" hidden="1" outlineLevel="1" x14ac:dyDescent="0.2">
      <c r="A79" s="367"/>
      <c r="B79" s="367"/>
      <c r="C79" s="367" t="str">
        <f ca="1">OFFSET(Origine,MATCH($F79,Descrizioni,0),MATCH(C$16,Intestazioni,0)-1,1,1)</f>
        <v>LU2128486979:USD</v>
      </c>
      <c r="D79" s="368" t="str">
        <f ca="1">OFFSET(Origine,MATCH($F79,Descrizioni,0),MATCH(D$16,Intestazioni,0)-1,1,1)</f>
        <v>LU2128486979</v>
      </c>
      <c r="E79" s="369"/>
      <c r="F79" s="367" t="s">
        <v>777</v>
      </c>
      <c r="G79" s="414"/>
      <c r="H79" s="1683" t="str">
        <f ca="1">HYPERLINK(OFFSET(Origine,MATCH($F79,Descrizioni,0),MATCH(H$16,Intestazioni,0)-1,1,1),"")</f>
        <v></v>
      </c>
      <c r="I79" s="1683" t="str">
        <f ca="1">HYPERLINK(OFFSET(Origine,MATCH($F79,Descrizioni,0),MATCH(I$16,Intestazioni,0)-1,1,1),"i")</f>
        <v>i</v>
      </c>
      <c r="J79" s="1713" t="str">
        <f ca="1">HYPERLINK(OFFSET(Origine,MATCH($F79,Descrizioni,0),MATCH(J$16,Intestazioni,0)-1,1,1),"")</f>
        <v></v>
      </c>
      <c r="K79" s="1716" t="str">
        <f ca="1">HYPERLINK(OFFSET(Origine,MATCH($F79,Descrizioni,0),MATCH(K$16,Intestazioni,0)-1,1,1),"")</f>
        <v></v>
      </c>
      <c r="L79" s="1717" t="str">
        <f ca="1">IFERROR(HYPERLINK("https://www.marketscreener.com/mods_a/charts/TV/inc_dyna_graph.php?c="&amp;OFFSET(Origine,MATCH($F79,Descrizioni,0),MATCH(L$16,Intestazioni,0)-1,1,1)&amp;"&amp;style=TradingView.CANDLES&amp;showAT=1",""),"")</f>
        <v></v>
      </c>
      <c r="M79" s="1786" t="str">
        <f ca="1">(OFFSET(Origine,MATCH($F79,Descrizioni,0),MATCH(M$16,Intestazioni,0)-1,1,1))</f>
        <v>Unit</v>
      </c>
      <c r="N79" s="1039"/>
      <c r="O79" s="1039"/>
      <c r="P79" s="882">
        <f t="shared" ca="1" si="325"/>
        <v>0</v>
      </c>
      <c r="Q79" s="391">
        <f>SUMIF($AA$16:$AR$16,"I_Pos",AA79:AR79)</f>
        <v>0</v>
      </c>
      <c r="R79" s="391">
        <f t="array" aca="1" ref="R79" ca="1">SUM(IF($AD$16:$AR$16="P_Pos",AD79:AR79))</f>
        <v>0</v>
      </c>
      <c r="S79" s="1040"/>
      <c r="T79" s="1040"/>
      <c r="U79" s="366"/>
      <c r="V79" s="391">
        <f t="array" aca="1" ref="V79" ca="1">SUM(IF($AD$16:$AR$16="O_Pos",AD79:AR79))</f>
        <v>0</v>
      </c>
      <c r="W79" s="367" t="str">
        <f ca="1">OFFSET(Origine,MATCH($F79,Descrizioni,0),MATCH(W$16,Intestazioni,0)-1,1,1)</f>
        <v>USD</v>
      </c>
      <c r="X79" s="887">
        <f ca="1">_xlfn.NUMBERVALUE(OFFSET(Origine,MATCH($F79,Descrizioni,0),MATCH(X$16,Intestazioni,0)-1,1,1))</f>
        <v>408.06130000000002</v>
      </c>
      <c r="Y79" s="1041">
        <f ca="1">_xlfn.NUMBERVALUE(OFFSET(Origine,MATCH($F79,Descrizioni,0),MATCH(Y$16,Intestazioni,0)-1,1,1))</f>
        <v>0</v>
      </c>
      <c r="Z79" s="1042">
        <f ca="1">_xlfn.NUMBERVALUE(OFFSET(Origine,MATCH(W79&amp;"/"&amp;MRif,LUKB_Name,0),MATCH("Price",Intestazioni,0)-1,1,1))</f>
        <v>0.86199999999999999</v>
      </c>
      <c r="AA79" s="197"/>
      <c r="AB79" s="312" t="str">
        <f ca="1">IFERROR($X79/AC79-1,"")</f>
        <v/>
      </c>
      <c r="AC79" s="1008"/>
      <c r="AD79" s="199">
        <f ca="1">AA79*$X79</f>
        <v>0</v>
      </c>
      <c r="AE79" s="199">
        <f ca="1">AD79*$Z79</f>
        <v>0</v>
      </c>
      <c r="AF79" s="216">
        <f ca="1">IFERROR(AE79/AA$4,0)</f>
        <v>0</v>
      </c>
      <c r="AG79" s="202">
        <f ca="1">AH79/$X79</f>
        <v>0</v>
      </c>
      <c r="AH79" s="203">
        <f ca="1">AI79/$Z79</f>
        <v>0</v>
      </c>
      <c r="AI79" s="203">
        <f ca="1">AJ79*AA$4</f>
        <v>0</v>
      </c>
      <c r="AJ79" s="204">
        <f ca="1">$N79-AF79</f>
        <v>0</v>
      </c>
      <c r="AK79" s="205"/>
      <c r="AL79" s="206">
        <f ca="1">AK79*$X79</f>
        <v>0</v>
      </c>
      <c r="AM79" s="206">
        <f ca="1">AL79*$Z79</f>
        <v>0</v>
      </c>
      <c r="AN79" s="207">
        <f ca="1">IFERROR(AM79/AA$4,0)</f>
        <v>0</v>
      </c>
      <c r="AO79" s="391">
        <f>AA79+AK79</f>
        <v>0</v>
      </c>
      <c r="AP79" s="391">
        <f t="shared" ca="1" si="49"/>
        <v>0</v>
      </c>
      <c r="AQ79" s="391">
        <f ca="1">AP79*$Z79</f>
        <v>0</v>
      </c>
      <c r="AR79" s="886">
        <f ca="1">IFERROR(AQ79/AA$4,0)</f>
        <v>0</v>
      </c>
      <c r="AS79" s="1007" t="str">
        <f t="shared" ca="1" si="324"/>
        <v/>
      </c>
    </row>
    <row r="80" spans="1:45" collapsed="1" x14ac:dyDescent="0.2">
      <c r="A80" s="346"/>
      <c r="B80" s="346" t="s">
        <v>491</v>
      </c>
      <c r="C80" s="346"/>
      <c r="D80" s="347"/>
      <c r="E80" s="348"/>
      <c r="F80" s="346"/>
      <c r="G80" s="349"/>
      <c r="H80" s="1784"/>
      <c r="I80" s="1784"/>
      <c r="J80" s="1784"/>
      <c r="K80" s="1784"/>
      <c r="L80" s="1784"/>
      <c r="M80" s="1785"/>
      <c r="N80" s="1036">
        <f>SUM(N$81:N$82)</f>
        <v>0</v>
      </c>
      <c r="O80" s="1036"/>
      <c r="P80" s="352">
        <f t="shared" ca="1" si="325"/>
        <v>0</v>
      </c>
      <c r="Q80" s="421"/>
      <c r="R80" s="421"/>
      <c r="S80" s="1035"/>
      <c r="T80" s="1035"/>
      <c r="U80" s="345"/>
      <c r="V80" s="421">
        <f ca="1">COUNTIF(V81:V82,"&lt;&gt;0")</f>
        <v>0</v>
      </c>
      <c r="W80" s="346"/>
      <c r="X80" s="873"/>
      <c r="Y80" s="873"/>
      <c r="Z80" s="1037"/>
      <c r="AA80" s="357"/>
      <c r="AB80" s="359"/>
      <c r="AC80" s="1038"/>
      <c r="AD80" s="359"/>
      <c r="AE80" s="360">
        <f ca="1">SUM(AE$81:AE$82)</f>
        <v>0</v>
      </c>
      <c r="AF80" s="361">
        <f t="shared" ref="AF80:AF81" ca="1" si="326">IFERROR(AE80/AA$4,0)</f>
        <v>0</v>
      </c>
      <c r="AG80" s="362"/>
      <c r="AH80" s="359"/>
      <c r="AI80" s="360">
        <f ca="1">SUM(AI$81:AI$82)</f>
        <v>0</v>
      </c>
      <c r="AJ80" s="363">
        <f ca="1">IFERROR(AI80/AA$4,0)</f>
        <v>0</v>
      </c>
      <c r="AK80" s="362"/>
      <c r="AL80" s="359"/>
      <c r="AM80" s="360">
        <f ca="1">SUM(AM$81:AM$82)</f>
        <v>0</v>
      </c>
      <c r="AN80" s="363">
        <f t="shared" ref="AN80:AN81" ca="1" si="327">IFERROR(AM80/AA$4,0)</f>
        <v>0</v>
      </c>
      <c r="AO80" s="359"/>
      <c r="AP80" s="359"/>
      <c r="AQ80" s="360">
        <f ca="1">SUM(AQ$81:AQ$82)</f>
        <v>0</v>
      </c>
      <c r="AR80" s="876">
        <f t="shared" ref="AR80:AR81" ca="1" si="328">IFERROR(AQ80/AA$4,0)</f>
        <v>0</v>
      </c>
      <c r="AS80" s="1007" t="str">
        <f t="shared" ca="1" si="324"/>
        <v/>
      </c>
    </row>
    <row r="81" spans="1:45" hidden="1" outlineLevel="1" x14ac:dyDescent="0.2">
      <c r="A81" s="367"/>
      <c r="B81" s="367"/>
      <c r="C81" s="367" t="str">
        <f t="shared" ref="C81:E82" ca="1" si="329">OFFSET(Origine,MATCH($F81,Descrizioni,0),MATCH(C$16,Intestazioni,0)-1,1,1)</f>
        <v>IE00B1XNHC34:USD</v>
      </c>
      <c r="D81" s="368" t="str">
        <f t="shared" ca="1" si="329"/>
        <v>IE00B1XNHC34</v>
      </c>
      <c r="E81" s="369" t="str">
        <f t="shared" ca="1" si="329"/>
        <v>3246465</v>
      </c>
      <c r="F81" s="367" t="s">
        <v>781</v>
      </c>
      <c r="G81" s="414"/>
      <c r="H81" s="1683" t="str">
        <f ca="1">HYPERLINK(OFFSET(Origine,MATCH($F81,Descrizioni,0),MATCH(H$16,Intestazioni,0)-1,1,1),"")</f>
        <v></v>
      </c>
      <c r="I81" s="1683" t="str">
        <f ca="1">HYPERLINK(OFFSET(Origine,MATCH($F81,Descrizioni,0),MATCH(I$16,Intestazioni,0)-1,1,1),"i")</f>
        <v>i</v>
      </c>
      <c r="J81" s="1713" t="str">
        <f ca="1">HYPERLINK(OFFSET(Origine,MATCH($F81,Descrizioni,0),MATCH(J$16,Intestazioni,0)-1,1,1),"")</f>
        <v></v>
      </c>
      <c r="K81" s="1716" t="str">
        <f ca="1">HYPERLINK(OFFSET(Origine,MATCH($F81,Descrizioni,0),MATCH(K$16,Intestazioni,0)-1,1,1),"")</f>
        <v></v>
      </c>
      <c r="L81" s="1717" t="str">
        <f ca="1">IFERROR(HYPERLINK("https://www.marketscreener.com/mods_a/charts/TV/inc_dyna_graph.php?c="&amp;OFFSET(Origine,MATCH($F81,Descrizioni,0),MATCH(L$16,Intestazioni,0)-1,1,1)&amp;"&amp;style=TradingView.CANDLES&amp;showAT=1",""),"")</f>
        <v></v>
      </c>
      <c r="M81" s="1786" t="str">
        <f ca="1">(OFFSET(Origine,MATCH($F81,Descrizioni,0),MATCH(M$16,Intestazioni,0)-1,1,1))</f>
        <v>Unit</v>
      </c>
      <c r="N81" s="1039"/>
      <c r="O81" s="1039"/>
      <c r="P81" s="882">
        <f t="shared" ca="1" si="325"/>
        <v>0</v>
      </c>
      <c r="Q81" s="391">
        <f>SUMIF($AA$16:$AR$16,"I_Pos",AA81:AR81)</f>
        <v>0</v>
      </c>
      <c r="R81" s="391">
        <f t="array" aca="1" ref="R81" ca="1">SUM(IF($AD$16:$AR$16="P_Pos",AD81:AR81))</f>
        <v>0</v>
      </c>
      <c r="S81" s="1040"/>
      <c r="T81" s="1040"/>
      <c r="U81" s="366"/>
      <c r="V81" s="391">
        <f t="array" aca="1" ref="V81" ca="1">SUM(IF($AD$16:$AR$16="O_Pos",AD81:AR81))</f>
        <v>0</v>
      </c>
      <c r="W81" s="367" t="str">
        <f ca="1">OFFSET(Origine,MATCH($F81,Descrizioni,0),MATCH(W$16,Intestazioni,0)-1,1,1)</f>
        <v>USD</v>
      </c>
      <c r="X81" s="887">
        <f ca="1">_xlfn.NUMBERVALUE(OFFSET(Origine,MATCH($F81,Descrizioni,0),MATCH(X$16,Intestazioni,0)-1,1,1))</f>
        <v>10.093999999999999</v>
      </c>
      <c r="Y81" s="1041">
        <f ca="1">_xlfn.NUMBERVALUE(OFFSET(Origine,MATCH($F81,Descrizioni,0),MATCH(Y$16,Intestazioni,0)-1,1,1))</f>
        <v>0</v>
      </c>
      <c r="Z81" s="1042">
        <f ca="1">_xlfn.NUMBERVALUE(OFFSET(Origine,MATCH(W81&amp;"/"&amp;MRif,LUKB_Name,0),MATCH("Price",Intestazioni,0)-1,1,1))</f>
        <v>0.86199999999999999</v>
      </c>
      <c r="AA81" s="197"/>
      <c r="AB81" s="312" t="str">
        <f ca="1">IFERROR($X81/AC81-1,"")</f>
        <v/>
      </c>
      <c r="AC81" s="1008"/>
      <c r="AD81" s="199">
        <f ca="1">AA81*$X81</f>
        <v>0</v>
      </c>
      <c r="AE81" s="199">
        <f ca="1">AD81*$Z81</f>
        <v>0</v>
      </c>
      <c r="AF81" s="216">
        <f t="shared" ca="1" si="326"/>
        <v>0</v>
      </c>
      <c r="AG81" s="202">
        <f ca="1">AH81/$X81</f>
        <v>0</v>
      </c>
      <c r="AH81" s="203">
        <f ca="1">AI81/$Z81</f>
        <v>0</v>
      </c>
      <c r="AI81" s="203">
        <f ca="1">AJ81*AA$4</f>
        <v>0</v>
      </c>
      <c r="AJ81" s="204">
        <f ca="1">$N81-AF81</f>
        <v>0</v>
      </c>
      <c r="AK81" s="205"/>
      <c r="AL81" s="206">
        <f ca="1">AK81*$X81</f>
        <v>0</v>
      </c>
      <c r="AM81" s="206">
        <f ca="1">AL81*$Z81</f>
        <v>0</v>
      </c>
      <c r="AN81" s="207">
        <f t="shared" ca="1" si="327"/>
        <v>0</v>
      </c>
      <c r="AO81" s="391">
        <f>AA81+AK81</f>
        <v>0</v>
      </c>
      <c r="AP81" s="391">
        <f t="shared" ca="1" si="49"/>
        <v>0</v>
      </c>
      <c r="AQ81" s="391">
        <f ca="1">AP81*$Z81</f>
        <v>0</v>
      </c>
      <c r="AR81" s="886">
        <f t="shared" ca="1" si="328"/>
        <v>0</v>
      </c>
      <c r="AS81" s="1007" t="str">
        <f t="shared" ca="1" si="324"/>
        <v/>
      </c>
    </row>
    <row r="82" spans="1:45" hidden="1" outlineLevel="1" x14ac:dyDescent="0.2">
      <c r="A82" s="367"/>
      <c r="B82" s="367"/>
      <c r="C82" s="367" t="str">
        <f t="shared" ca="1" si="329"/>
        <v>IE00B1XNHC34:USD</v>
      </c>
      <c r="D82" s="368" t="str">
        <f t="shared" ca="1" si="329"/>
        <v>IE00B1XNHC34</v>
      </c>
      <c r="E82" s="369" t="str">
        <f t="shared" ca="1" si="329"/>
        <v>3246465</v>
      </c>
      <c r="F82" s="367" t="s">
        <v>781</v>
      </c>
      <c r="G82" s="414"/>
      <c r="H82" s="1683" t="str">
        <f ca="1">HYPERLINK(OFFSET(Origine,MATCH($F82,Descrizioni,0),MATCH(H$16,Intestazioni,0)-1,1,1),"")</f>
        <v></v>
      </c>
      <c r="I82" s="1683" t="str">
        <f ca="1">HYPERLINK(OFFSET(Origine,MATCH($F82,Descrizioni,0),MATCH(I$16,Intestazioni,0)-1,1,1),"i")</f>
        <v>i</v>
      </c>
      <c r="J82" s="1713" t="str">
        <f ca="1">HYPERLINK(OFFSET(Origine,MATCH($F82,Descrizioni,0),MATCH(J$16,Intestazioni,0)-1,1,1),"")</f>
        <v></v>
      </c>
      <c r="K82" s="1716" t="str">
        <f ca="1">HYPERLINK(OFFSET(Origine,MATCH($F82,Descrizioni,0),MATCH(K$16,Intestazioni,0)-1,1,1),"")</f>
        <v></v>
      </c>
      <c r="L82" s="1717" t="str">
        <f ca="1">IFERROR(HYPERLINK("https://www.marketscreener.com/mods_a/charts/TV/inc_dyna_graph.php?c="&amp;OFFSET(Origine,MATCH($F82,Descrizioni,0),MATCH(L$16,Intestazioni,0)-1,1,1)&amp;"&amp;style=TradingView.CANDLES&amp;showAT=1",""),"")</f>
        <v></v>
      </c>
      <c r="M82" s="1786" t="str">
        <f ca="1">(OFFSET(Origine,MATCH($F82,Descrizioni,0),MATCH(M$16,Intestazioni,0)-1,1,1))</f>
        <v>Unit</v>
      </c>
      <c r="N82" s="1039"/>
      <c r="O82" s="1039"/>
      <c r="P82" s="882">
        <f t="shared" ca="1" si="325"/>
        <v>0</v>
      </c>
      <c r="Q82" s="391">
        <f>SUMIF($AA$16:$AR$16,"I_Pos",AA82:AR82)</f>
        <v>0</v>
      </c>
      <c r="R82" s="391">
        <f t="array" aca="1" ref="R82" ca="1">SUM(IF($AD$16:$AR$16="P_Pos",AD82:AR82))</f>
        <v>0</v>
      </c>
      <c r="S82" s="1040"/>
      <c r="T82" s="1040"/>
      <c r="U82" s="366"/>
      <c r="V82" s="391">
        <f t="array" aca="1" ref="V82" ca="1">SUM(IF($AD$16:$AR$16="O_Pos",AD82:AR82))</f>
        <v>0</v>
      </c>
      <c r="W82" s="367" t="str">
        <f ca="1">OFFSET(Origine,MATCH($F82,Descrizioni,0),MATCH(W$16,Intestazioni,0)-1,1,1)</f>
        <v>USD</v>
      </c>
      <c r="X82" s="887">
        <f ca="1">_xlfn.NUMBERVALUE(OFFSET(Origine,MATCH($F82,Descrizioni,0),MATCH(X$16,Intestazioni,0)-1,1,1))</f>
        <v>10.093999999999999</v>
      </c>
      <c r="Y82" s="1041">
        <f ca="1">_xlfn.NUMBERVALUE(OFFSET(Origine,MATCH($F82,Descrizioni,0),MATCH(Y$16,Intestazioni,0)-1,1,1))</f>
        <v>0</v>
      </c>
      <c r="Z82" s="1042">
        <f ca="1">_xlfn.NUMBERVALUE(OFFSET(Origine,MATCH(W82&amp;"/"&amp;MRif,LUKB_Name,0),MATCH("Price",Intestazioni,0)-1,1,1))</f>
        <v>0.86199999999999999</v>
      </c>
      <c r="AA82" s="197"/>
      <c r="AB82" s="312" t="str">
        <f ca="1">IFERROR($X82/AC82-1,"")</f>
        <v/>
      </c>
      <c r="AC82" s="1008"/>
      <c r="AD82" s="199">
        <f ca="1">AA82*$X82</f>
        <v>0</v>
      </c>
      <c r="AE82" s="199">
        <f ca="1">AD82*$Z82</f>
        <v>0</v>
      </c>
      <c r="AF82" s="216">
        <f t="shared" ref="AF82" ca="1" si="330">IFERROR(AE82/AA$4,0)</f>
        <v>0</v>
      </c>
      <c r="AG82" s="202">
        <f ca="1">AH82/$X82</f>
        <v>0</v>
      </c>
      <c r="AH82" s="203">
        <f ca="1">AI82/$Z82</f>
        <v>0</v>
      </c>
      <c r="AI82" s="203">
        <f ca="1">AJ82*AA$4</f>
        <v>0</v>
      </c>
      <c r="AJ82" s="204">
        <f ca="1">$N82-AF82</f>
        <v>0</v>
      </c>
      <c r="AK82" s="205"/>
      <c r="AL82" s="206">
        <f ca="1">AK82*$X82</f>
        <v>0</v>
      </c>
      <c r="AM82" s="206">
        <f ca="1">AL82*$Z82</f>
        <v>0</v>
      </c>
      <c r="AN82" s="207">
        <f t="shared" ref="AN82" ca="1" si="331">IFERROR(AM82/AA$4,0)</f>
        <v>0</v>
      </c>
      <c r="AO82" s="391">
        <f>AA82+AK82</f>
        <v>0</v>
      </c>
      <c r="AP82" s="391">
        <f t="shared" ca="1" si="49"/>
        <v>0</v>
      </c>
      <c r="AQ82" s="391">
        <f ca="1">AP82*$Z82</f>
        <v>0</v>
      </c>
      <c r="AR82" s="886">
        <f t="shared" ref="AR82" ca="1" si="332">IFERROR(AQ82/AA$4,0)</f>
        <v>0</v>
      </c>
      <c r="AS82" s="1007" t="str">
        <f t="shared" ca="1" si="324"/>
        <v/>
      </c>
    </row>
    <row r="83" spans="1:45" collapsed="1" x14ac:dyDescent="0.2">
      <c r="A83" s="435" t="s">
        <v>577</v>
      </c>
      <c r="B83" s="435"/>
      <c r="C83" s="435"/>
      <c r="D83" s="436"/>
      <c r="E83" s="437"/>
      <c r="F83" s="435"/>
      <c r="G83" s="438"/>
      <c r="H83" s="1787"/>
      <c r="I83" s="1787"/>
      <c r="J83" s="1787"/>
      <c r="K83" s="1787"/>
      <c r="L83" s="1787"/>
      <c r="M83" s="1788"/>
      <c r="N83" s="1048">
        <f>SUM(N$84,N$86)</f>
        <v>0</v>
      </c>
      <c r="O83" s="1048"/>
      <c r="P83" s="894">
        <f t="shared" ca="1" si="325"/>
        <v>5.4004578151573196E-2</v>
      </c>
      <c r="Q83" s="441"/>
      <c r="R83" s="441"/>
      <c r="S83" s="1047"/>
      <c r="T83" s="1047"/>
      <c r="U83" s="434"/>
      <c r="V83" s="441">
        <f ca="1">SUM(V84,V86)</f>
        <v>0</v>
      </c>
      <c r="W83" s="435"/>
      <c r="X83" s="895"/>
      <c r="Y83" s="895"/>
      <c r="Z83" s="1049"/>
      <c r="AA83" s="453"/>
      <c r="AB83" s="897"/>
      <c r="AC83" s="1050"/>
      <c r="AD83" s="447"/>
      <c r="AE83" s="448" cm="1">
        <f t="array" aca="1" ref="AE83" ca="1">SUM(IF($B$84:$B$87="",AE$84:AE$87))</f>
        <v>7332.4</v>
      </c>
      <c r="AF83" s="449">
        <f ca="1">IFERROR(AE83/AA$4,0)</f>
        <v>5.4004578151573196E-2</v>
      </c>
      <c r="AG83" s="450"/>
      <c r="AH83" s="451"/>
      <c r="AI83" s="448" cm="1">
        <f t="array" aca="1" ref="AI83" ca="1">SUM(IF($B$84:$B$87="",AI$84:AI$87))</f>
        <v>-7332.4</v>
      </c>
      <c r="AJ83" s="452">
        <f ca="1">IFERROR(AI83/AA$4,0)</f>
        <v>-5.4004578151573196E-2</v>
      </c>
      <c r="AK83" s="450"/>
      <c r="AL83" s="451"/>
      <c r="AM83" s="448" cm="1">
        <f t="array" aca="1" ref="AM83" ca="1">SUM(IF($B$84:$B$87="",AM$84:AM$87))</f>
        <v>0</v>
      </c>
      <c r="AN83" s="452">
        <f ca="1">IFERROR(AM83/AA$4,0)</f>
        <v>0</v>
      </c>
      <c r="AO83" s="451"/>
      <c r="AP83" s="451"/>
      <c r="AQ83" s="448" cm="1">
        <f t="array" aca="1" ref="AQ83" ca="1">SUM(IF($B$84:$B$87="",AQ$84:AQ$87))</f>
        <v>7332.4</v>
      </c>
      <c r="AR83" s="903">
        <f ca="1">IFERROR(AQ83/AA$4,0)</f>
        <v>5.4004578151573196E-2</v>
      </c>
      <c r="AS83" s="1007" t="str">
        <f t="shared" ca="1" si="324"/>
        <v>V</v>
      </c>
    </row>
    <row r="84" spans="1:45" hidden="1" outlineLevel="1" x14ac:dyDescent="0.2">
      <c r="A84" s="467"/>
      <c r="B84" s="456" t="s">
        <v>397</v>
      </c>
      <c r="C84" s="456"/>
      <c r="D84" s="457"/>
      <c r="E84" s="458"/>
      <c r="F84" s="456"/>
      <c r="G84" s="459"/>
      <c r="H84" s="1756"/>
      <c r="I84" s="1756"/>
      <c r="J84" s="1756"/>
      <c r="K84" s="1756"/>
      <c r="L84" s="1756"/>
      <c r="M84" s="1789"/>
      <c r="N84" s="1051">
        <f>SUM(N$85)</f>
        <v>0</v>
      </c>
      <c r="O84" s="1051"/>
      <c r="P84" s="905">
        <f t="shared" ca="1" si="325"/>
        <v>0</v>
      </c>
      <c r="Q84" s="462"/>
      <c r="R84" s="462"/>
      <c r="S84" s="904"/>
      <c r="T84" s="904"/>
      <c r="U84" s="455"/>
      <c r="V84" s="462">
        <f ca="1">COUNTIF(V85,"&lt;&gt;0")</f>
        <v>0</v>
      </c>
      <c r="W84" s="456"/>
      <c r="X84" s="907"/>
      <c r="Y84" s="907"/>
      <c r="Z84" s="1052"/>
      <c r="AA84" s="475"/>
      <c r="AB84" s="909"/>
      <c r="AC84" s="1053"/>
      <c r="AD84" s="456"/>
      <c r="AE84" s="469">
        <f ca="1">SUM(AE$85)</f>
        <v>0</v>
      </c>
      <c r="AF84" s="470">
        <f ca="1">IFERROR(AE84/AA$4,0)</f>
        <v>0</v>
      </c>
      <c r="AG84" s="471"/>
      <c r="AH84" s="456"/>
      <c r="AI84" s="469">
        <f ca="1">SUM(AI$85)</f>
        <v>0</v>
      </c>
      <c r="AJ84" s="472">
        <f ca="1">IFERROR(AI84/AA$4,0)</f>
        <v>0</v>
      </c>
      <c r="AK84" s="471"/>
      <c r="AL84" s="456"/>
      <c r="AM84" s="469">
        <f ca="1">SUM(AM$85)</f>
        <v>0</v>
      </c>
      <c r="AN84" s="472">
        <f ca="1">IFERROR(AM84/AA$4,0)</f>
        <v>0</v>
      </c>
      <c r="AO84" s="456"/>
      <c r="AP84" s="456">
        <f t="shared" si="49"/>
        <v>0</v>
      </c>
      <c r="AQ84" s="469">
        <f ca="1">SUM(AQ$85)</f>
        <v>0</v>
      </c>
      <c r="AR84" s="914">
        <f ca="1">IFERROR(AQ84/AA$4,0)</f>
        <v>0</v>
      </c>
      <c r="AS84" s="1007" t="str">
        <f t="shared" ca="1" si="324"/>
        <v/>
      </c>
    </row>
    <row r="85" spans="1:45" hidden="1" outlineLevel="1" x14ac:dyDescent="0.2">
      <c r="A85" s="1054"/>
      <c r="B85" s="478"/>
      <c r="C85" s="478" t="str">
        <f ca="1">OFFSET(Origine,MATCH($F85,Descrizioni,0),MATCH(C$16,Intestazioni,0)-1,1,1)</f>
        <v>CH0014420829:CHF</v>
      </c>
      <c r="D85" s="479" t="str">
        <f ca="1">OFFSET(Origine,MATCH($F85,Descrizioni,0),MATCH(D$16,Intestazioni,0)-1,1,1)</f>
        <v>CH0014420829</v>
      </c>
      <c r="E85" s="480" t="str">
        <f ca="1">OFFSET(Origine,MATCH($F85,Descrizioni,0),MATCH(E$16,Intestazioni,0)-1,1,1)</f>
        <v>1442082</v>
      </c>
      <c r="F85" s="478" t="s">
        <v>578</v>
      </c>
      <c r="G85" s="481"/>
      <c r="H85" s="1790" t="str">
        <f ca="1">HYPERLINK(OFFSET(Origine,MATCH($F85,Descrizioni,0),MATCH(H$16,Intestazioni,0)-1,1,1),"")</f>
        <v></v>
      </c>
      <c r="I85" s="1790" t="str">
        <f ca="1">HYPERLINK(OFFSET(Origine,MATCH($F85,Descrizioni,0),MATCH(I$16,Intestazioni,0)-1,1,1),"i")</f>
        <v>i</v>
      </c>
      <c r="J85" s="1791" t="str">
        <f ca="1">HYPERLINK(OFFSET(Origine,MATCH($F85,Descrizioni,0),MATCH(J$16,Intestazioni,0)-1,1,1),"")</f>
        <v></v>
      </c>
      <c r="K85" s="1726" t="str">
        <f ca="1">HYPERLINK(OFFSET(Origine,MATCH($F85,Descrizioni,0),MATCH(K$16,Intestazioni,0)-1,1,1),"")</f>
        <v></v>
      </c>
      <c r="L85" s="1725" t="str">
        <f ca="1">IFERROR(HYPERLINK("https://www.marketscreener.com/mods_a/charts/TV/inc_dyna_graph.php?c="&amp;OFFSET(Origine,MATCH($F85,Descrizioni,0),MATCH(L$16,Intestazioni,0)-1,1,1)&amp;"&amp;style=TradingView.CANDLES&amp;showAT=1",""),"")</f>
        <v></v>
      </c>
      <c r="M85" s="1792" t="str">
        <f ca="1">(OFFSET(Origine,MATCH($F85,Descrizioni,0),MATCH(M$16,Intestazioni,0)-1,1,1))</f>
        <v>Unit</v>
      </c>
      <c r="N85" s="1055"/>
      <c r="O85" s="1055"/>
      <c r="P85" s="664">
        <f t="shared" ca="1" si="325"/>
        <v>0</v>
      </c>
      <c r="Q85" s="484">
        <f>SUMIF($AA$16:$AR$16,"I_Pos",AA85:AR85)</f>
        <v>0</v>
      </c>
      <c r="R85" s="484">
        <f t="array" aca="1" ref="R85" ca="1">SUM(IF($AD$16:$AR$16="P_Pos",AD85:AR85))</f>
        <v>0</v>
      </c>
      <c r="S85" s="1056"/>
      <c r="T85" s="1056"/>
      <c r="U85" s="477"/>
      <c r="V85" s="484">
        <f t="array" aca="1" ref="V85" ca="1">SUM(IF($AD$16:$AR$16="O_Pos",AD85:AR85))</f>
        <v>0</v>
      </c>
      <c r="W85" s="478" t="str">
        <f ca="1">OFFSET(Origine,MATCH($F85,Descrizioni,0),MATCH(W$16,Intestazioni,0)-1,1,1)</f>
        <v>CHF</v>
      </c>
      <c r="X85" s="916">
        <f ca="1">_xlfn.NUMBERVALUE(OFFSET(Origine,MATCH($F85,Descrizioni,0),MATCH(X$16,Intestazioni,0)-1,1,1))</f>
        <v>103.8</v>
      </c>
      <c r="Y85" s="1057">
        <f ca="1">_xlfn.NUMBERVALUE(OFFSET(Origine,MATCH($F85,Descrizioni,0),MATCH(Y$16,Intestazioni,0)-1,1,1))</f>
        <v>0</v>
      </c>
      <c r="Z85" s="1058">
        <f ca="1">_xlfn.NUMBERVALUE(OFFSET(Origine,MATCH(W85&amp;"/"&amp;MRif,LUKB_Name,0),MATCH("Price",Intestazioni,0)-1,1,1))</f>
        <v>1.10173835</v>
      </c>
      <c r="AA85" s="197"/>
      <c r="AB85" s="312" t="str">
        <f ca="1">IFERROR($X85/AC85-1,"")</f>
        <v/>
      </c>
      <c r="AC85" s="1008"/>
      <c r="AD85" s="199">
        <f ca="1">AA85*$X85</f>
        <v>0</v>
      </c>
      <c r="AE85" s="199">
        <f ca="1">AD85*$Z85</f>
        <v>0</v>
      </c>
      <c r="AF85" s="216">
        <f ca="1">IFERROR(AE85/AA$4,0)</f>
        <v>0</v>
      </c>
      <c r="AG85" s="202">
        <f ca="1">AH85/$X85</f>
        <v>0</v>
      </c>
      <c r="AH85" s="203">
        <f ca="1">AI85/$Z85</f>
        <v>0</v>
      </c>
      <c r="AI85" s="203">
        <f ca="1">AJ85*AA$4</f>
        <v>0</v>
      </c>
      <c r="AJ85" s="204">
        <f ca="1">$N85-AF85</f>
        <v>0</v>
      </c>
      <c r="AK85" s="205"/>
      <c r="AL85" s="206">
        <f ca="1">AK85*$X85</f>
        <v>0</v>
      </c>
      <c r="AM85" s="206">
        <f ca="1">AL85*$Z85</f>
        <v>0</v>
      </c>
      <c r="AN85" s="207">
        <f ca="1">IFERROR(AM85/AA$4,0)</f>
        <v>0</v>
      </c>
      <c r="AO85" s="541">
        <f>AA85+AK85</f>
        <v>0</v>
      </c>
      <c r="AP85" s="541">
        <f t="shared" ref="AP85:AP102" ca="1" si="333">AD85+IF($T85="",AL85)</f>
        <v>0</v>
      </c>
      <c r="AQ85" s="541">
        <f ca="1">AP85*$Z85</f>
        <v>0</v>
      </c>
      <c r="AR85" s="918">
        <f ca="1">IFERROR(AQ85/AA$4,0)</f>
        <v>0</v>
      </c>
      <c r="AS85" s="1007" t="str">
        <f t="shared" ca="1" si="324"/>
        <v/>
      </c>
    </row>
    <row r="86" spans="1:45" hidden="1" outlineLevel="1" x14ac:dyDescent="0.2">
      <c r="A86" s="456"/>
      <c r="B86" s="456" t="s">
        <v>782</v>
      </c>
      <c r="C86" s="456"/>
      <c r="D86" s="457"/>
      <c r="E86" s="458"/>
      <c r="F86" s="456"/>
      <c r="G86" s="459"/>
      <c r="H86" s="1756"/>
      <c r="I86" s="1756"/>
      <c r="J86" s="1756"/>
      <c r="K86" s="1756"/>
      <c r="L86" s="1756"/>
      <c r="M86" s="1789"/>
      <c r="N86" s="1051">
        <f>SUM(N$87)</f>
        <v>0</v>
      </c>
      <c r="O86" s="1051"/>
      <c r="P86" s="905">
        <f t="shared" ca="1" si="325"/>
        <v>5.4004578151573196E-2</v>
      </c>
      <c r="Q86" s="462"/>
      <c r="R86" s="462"/>
      <c r="S86" s="904"/>
      <c r="T86" s="904"/>
      <c r="U86" s="455"/>
      <c r="V86" s="462">
        <f ca="1">COUNTIF(V87,"&lt;&gt;0")</f>
        <v>0</v>
      </c>
      <c r="W86" s="456"/>
      <c r="X86" s="907"/>
      <c r="Y86" s="907"/>
      <c r="Z86" s="1052"/>
      <c r="AA86" s="475"/>
      <c r="AB86" s="909"/>
      <c r="AC86" s="1053"/>
      <c r="AD86" s="456"/>
      <c r="AE86" s="469">
        <f ca="1">SUM(AE$87)</f>
        <v>7332.4</v>
      </c>
      <c r="AF86" s="470">
        <f ca="1">IFERROR(AE86/AA$4,0)</f>
        <v>5.4004578151573196E-2</v>
      </c>
      <c r="AG86" s="471"/>
      <c r="AH86" s="456"/>
      <c r="AI86" s="469">
        <f ca="1">SUM(AI$87)</f>
        <v>-7332.4</v>
      </c>
      <c r="AJ86" s="472">
        <f ca="1">IFERROR(AI86/AA$4,0)</f>
        <v>-5.4004578151573196E-2</v>
      </c>
      <c r="AK86" s="471"/>
      <c r="AL86" s="456"/>
      <c r="AM86" s="469">
        <f ca="1">SUM(AM$87)</f>
        <v>0</v>
      </c>
      <c r="AN86" s="472">
        <f ca="1">IFERROR(AM86/AA$4,0)</f>
        <v>0</v>
      </c>
      <c r="AO86" s="456"/>
      <c r="AP86" s="456">
        <f t="shared" si="333"/>
        <v>0</v>
      </c>
      <c r="AQ86" s="469">
        <f ca="1">SUM(AQ$87)</f>
        <v>7332.4</v>
      </c>
      <c r="AR86" s="914">
        <f ca="1">IFERROR(AQ86/AA$4,0)</f>
        <v>5.4004578151573196E-2</v>
      </c>
      <c r="AS86" s="1007" t="str">
        <f t="shared" ca="1" si="324"/>
        <v>V</v>
      </c>
    </row>
    <row r="87" spans="1:45" hidden="1" outlineLevel="1" x14ac:dyDescent="0.2">
      <c r="A87" s="478"/>
      <c r="B87" s="478"/>
      <c r="C87" s="478" t="str">
        <f ca="1">OFFSET(Origine,MATCH($F87,Descrizioni,0),MATCH(C$16,Intestazioni,0)-1,1,1)</f>
        <v>IE00BSJCQV56:EUR</v>
      </c>
      <c r="D87" s="479" t="str">
        <f ca="1">OFFSET(Origine,MATCH($F87,Descrizioni,0),MATCH(D$16,Intestazioni,0)-1,1,1)</f>
        <v>IE00BSJCQV56</v>
      </c>
      <c r="E87" s="480" t="str">
        <f ca="1">OFFSET(Origine,MATCH($F87,Descrizioni,0),MATCH(E$16,Intestazioni,0)-1,1,1)</f>
        <v>29091268</v>
      </c>
      <c r="F87" s="478" t="s">
        <v>783</v>
      </c>
      <c r="G87" s="481"/>
      <c r="H87" s="1790" t="str">
        <f ca="1">HYPERLINK(OFFSET(Origine,MATCH($F87,Descrizioni,0),MATCH(H$16,Intestazioni,0)-1,1,1),"")</f>
        <v></v>
      </c>
      <c r="I87" s="1790" t="str">
        <f ca="1">HYPERLINK(OFFSET(Origine,MATCH($F87,Descrizioni,0),MATCH(I$16,Intestazioni,0)-1,1,1),"i")</f>
        <v>i</v>
      </c>
      <c r="J87" s="1791" t="str">
        <f ca="1">HYPERLINK(OFFSET(Origine,MATCH($F87,Descrizioni,0),MATCH(J$16,Intestazioni,0)-1,1,1),"")</f>
        <v></v>
      </c>
      <c r="K87" s="1726" t="str">
        <f ca="1">HYPERLINK(OFFSET(Origine,MATCH($F87,Descrizioni,0),MATCH(K$16,Intestazioni,0)-1,1,1),"")</f>
        <v></v>
      </c>
      <c r="L87" s="1725" t="str">
        <f ca="1">IFERROR(HYPERLINK("https://www.marketscreener.com/mods_a/charts/TV/inc_dyna_graph.php?c="&amp;OFFSET(Origine,MATCH($F87,Descrizioni,0),MATCH(L$16,Intestazioni,0)-1,1,1)&amp;"&amp;style=TradingView.CANDLES&amp;showAT=1",""),"")</f>
        <v></v>
      </c>
      <c r="M87" s="1792" t="str">
        <f ca="1">(OFFSET(Origine,MATCH($F87,Descrizioni,0),MATCH(M$16,Intestazioni,0)-1,1,1))</f>
        <v>Unit</v>
      </c>
      <c r="N87" s="1055"/>
      <c r="O87" s="1055"/>
      <c r="P87" s="664">
        <f t="shared" ca="1" si="325"/>
        <v>5.4004578151573196E-2</v>
      </c>
      <c r="Q87" s="484">
        <f>SUMIF($AA$16:$AR$16,"I_Pos",AA87:AR87)</f>
        <v>230</v>
      </c>
      <c r="R87" s="484">
        <f t="array" aca="1" ref="R87" ca="1">SUM(IF($AD$16:$AR$16="P_Pos",AD87:AR87))</f>
        <v>-230</v>
      </c>
      <c r="S87" s="1056"/>
      <c r="T87" s="1056"/>
      <c r="U87" s="477"/>
      <c r="V87" s="484">
        <f t="array" aca="1" ref="V87" ca="1">SUM(IF($AD$16:$AR$16="O_Pos",AD87:AR87))</f>
        <v>0</v>
      </c>
      <c r="W87" s="478" t="str">
        <f ca="1">OFFSET(Origine,MATCH($F87,Descrizioni,0),MATCH(W$16,Intestazioni,0)-1,1,1)</f>
        <v>EUR</v>
      </c>
      <c r="X87" s="916">
        <f ca="1">_xlfn.NUMBERVALUE(OFFSET(Origine,MATCH($F87,Descrizioni,0),MATCH(X$16,Intestazioni,0)-1,1,1))</f>
        <v>31.88</v>
      </c>
      <c r="Y87" s="1057">
        <f ca="1">_xlfn.NUMBERVALUE(OFFSET(Origine,MATCH($F87,Descrizioni,0),MATCH(Y$16,Intestazioni,0)-1,1,1))</f>
        <v>0</v>
      </c>
      <c r="Z87" s="1058">
        <f ca="1">_xlfn.NUMBERVALUE(OFFSET(Origine,MATCH(W87&amp;"/"&amp;MRif,LUKB_Name,0),MATCH("Price",Intestazioni,0)-1,1,1))</f>
        <v>1</v>
      </c>
      <c r="AA87" s="197">
        <f>230</f>
        <v>230</v>
      </c>
      <c r="AB87" s="312">
        <f ca="1">IFERROR($X87/AC87-1,"")</f>
        <v>0.17012295834098001</v>
      </c>
      <c r="AC87" s="1008">
        <v>27.245000000000001</v>
      </c>
      <c r="AD87" s="199">
        <f ca="1">AA87*$X87</f>
        <v>7332.4</v>
      </c>
      <c r="AE87" s="199">
        <f ca="1">AD87*$Z87</f>
        <v>7332.4</v>
      </c>
      <c r="AF87" s="216">
        <f ca="1">IFERROR(AE87/AA$4,0)</f>
        <v>5.4004578151573196E-2</v>
      </c>
      <c r="AG87" s="202">
        <f ca="1">AH87/$X87</f>
        <v>-230</v>
      </c>
      <c r="AH87" s="203">
        <f ca="1">AI87/$Z87</f>
        <v>-7332.4</v>
      </c>
      <c r="AI87" s="203">
        <f ca="1">AJ87*AA$4</f>
        <v>-7332.4</v>
      </c>
      <c r="AJ87" s="204">
        <f ca="1">$N87-AF87</f>
        <v>-5.4004578151573196E-2</v>
      </c>
      <c r="AK87" s="205"/>
      <c r="AL87" s="206">
        <f ca="1">AK87*$X87</f>
        <v>0</v>
      </c>
      <c r="AM87" s="206">
        <f ca="1">AL87*$Z87</f>
        <v>0</v>
      </c>
      <c r="AN87" s="207">
        <f ca="1">IFERROR(AM87/AA$4,0)</f>
        <v>0</v>
      </c>
      <c r="AO87" s="541">
        <f>AA87+AK87</f>
        <v>230</v>
      </c>
      <c r="AP87" s="541">
        <f t="shared" ca="1" si="333"/>
        <v>7332.4</v>
      </c>
      <c r="AQ87" s="541">
        <f ca="1">AP87*$Z87</f>
        <v>7332.4</v>
      </c>
      <c r="AR87" s="918">
        <f ca="1">IFERROR(AQ87/AA$4,0)</f>
        <v>5.4004578151573196E-2</v>
      </c>
      <c r="AS87" s="1007" t="str">
        <f t="shared" ca="1" si="324"/>
        <v>V</v>
      </c>
    </row>
    <row r="88" spans="1:45" x14ac:dyDescent="0.2">
      <c r="A88" s="492" t="s">
        <v>393</v>
      </c>
      <c r="B88" s="492"/>
      <c r="C88" s="492"/>
      <c r="D88" s="493"/>
      <c r="E88" s="494"/>
      <c r="F88" s="492"/>
      <c r="G88" s="495"/>
      <c r="H88" s="1793"/>
      <c r="I88" s="1793"/>
      <c r="J88" s="1793"/>
      <c r="K88" s="1793"/>
      <c r="L88" s="1793"/>
      <c r="M88" s="1794"/>
      <c r="N88" s="1060">
        <f>SUMIF($B$89:$B$102,"&gt;A",N$89:N$102)</f>
        <v>0.13500000000000001</v>
      </c>
      <c r="O88" s="1060"/>
      <c r="P88" s="921">
        <f t="shared" ca="1" si="325"/>
        <v>0.13615010499682526</v>
      </c>
      <c r="Q88" s="499"/>
      <c r="R88" s="499"/>
      <c r="S88" s="1059"/>
      <c r="T88" s="1059"/>
      <c r="U88" s="491"/>
      <c r="V88" s="499">
        <f ca="1">SUMIF($B$89:$B$102,"&gt;A",V$89:V$102)</f>
        <v>0</v>
      </c>
      <c r="W88" s="492"/>
      <c r="X88" s="922"/>
      <c r="Y88" s="922"/>
      <c r="Z88" s="1061"/>
      <c r="AA88" s="509"/>
      <c r="AB88" s="924"/>
      <c r="AC88" s="1062"/>
      <c r="AD88" s="492"/>
      <c r="AE88" s="511">
        <f ca="1">SUMIF($B$89:$B$102,"&gt;A",AE$89:AE$102)</f>
        <v>18485.599999999999</v>
      </c>
      <c r="AF88" s="505">
        <f t="shared" ref="AF88:AF102" ca="1" si="334">IFERROR(AE88/AA$4,0)</f>
        <v>0.13615010499682526</v>
      </c>
      <c r="AG88" s="506"/>
      <c r="AH88" s="492"/>
      <c r="AI88" s="511">
        <f ca="1">SUMIF($B$89:$B$102,"&gt;A",AI$89:AI$102)</f>
        <v>-156.15398115049993</v>
      </c>
      <c r="AJ88" s="507">
        <f ca="1">IFERROR(AI88/AA$4,0)</f>
        <v>-1.1501049968252498E-3</v>
      </c>
      <c r="AK88" s="508"/>
      <c r="AL88" s="496"/>
      <c r="AM88" s="511">
        <f ca="1">SUMIF($B$89:$B$102,"&gt;A",AM$89:AM$102)</f>
        <v>0</v>
      </c>
      <c r="AN88" s="507">
        <f t="shared" ref="AN88:AN102" ca="1" si="335">IFERROR(AM88/AA$4,0)</f>
        <v>0</v>
      </c>
      <c r="AO88" s="496"/>
      <c r="AP88" s="496"/>
      <c r="AQ88" s="511">
        <f ca="1">SUMIF($B$89:$B$102,"&gt;A",AQ$89:AQ$102)</f>
        <v>18485.599999999999</v>
      </c>
      <c r="AR88" s="926">
        <f t="shared" ref="AR88:AR102" ca="1" si="336">IFERROR(AQ88/AA$4,0)</f>
        <v>0.13615010499682526</v>
      </c>
      <c r="AS88" s="1007" t="str">
        <f t="shared" ca="1" si="324"/>
        <v>V</v>
      </c>
    </row>
    <row r="89" spans="1:45" collapsed="1" x14ac:dyDescent="0.2">
      <c r="A89" s="514"/>
      <c r="B89" s="514" t="s">
        <v>851</v>
      </c>
      <c r="C89" s="514"/>
      <c r="D89" s="515"/>
      <c r="E89" s="516"/>
      <c r="F89" s="514"/>
      <c r="G89" s="517"/>
      <c r="H89" s="1760"/>
      <c r="I89" s="1760"/>
      <c r="J89" s="1760"/>
      <c r="K89" s="1760"/>
      <c r="L89" s="1760"/>
      <c r="M89" s="1795"/>
      <c r="N89" s="1063">
        <f>SUM(N$90:N$92)</f>
        <v>0.05</v>
      </c>
      <c r="O89" s="1063"/>
      <c r="P89" s="928">
        <f t="shared" ca="1" si="325"/>
        <v>0</v>
      </c>
      <c r="Q89" s="520"/>
      <c r="R89" s="520"/>
      <c r="S89" s="927"/>
      <c r="T89" s="927"/>
      <c r="U89" s="513"/>
      <c r="V89" s="520">
        <f ca="1">COUNTIF(V90:V92,"&lt;&gt;0")</f>
        <v>0</v>
      </c>
      <c r="W89" s="514"/>
      <c r="X89" s="930"/>
      <c r="Y89" s="930"/>
      <c r="Z89" s="1064"/>
      <c r="AA89" s="531"/>
      <c r="AB89" s="932"/>
      <c r="AC89" s="1065"/>
      <c r="AD89" s="514"/>
      <c r="AE89" s="527">
        <f ca="1">SUM(AE$90:AE$92)</f>
        <v>0</v>
      </c>
      <c r="AF89" s="528">
        <f t="shared" ca="1" si="334"/>
        <v>0</v>
      </c>
      <c r="AG89" s="529"/>
      <c r="AH89" s="514"/>
      <c r="AI89" s="527">
        <f ca="1">SUM(AI$90:AI$92)</f>
        <v>6788.6837106849998</v>
      </c>
      <c r="AJ89" s="530">
        <f ca="1">IFERROR(AI89/AA$4,0)</f>
        <v>0.05</v>
      </c>
      <c r="AK89" s="529"/>
      <c r="AL89" s="514"/>
      <c r="AM89" s="527">
        <f ca="1">SUM(AM$90:AM$92)</f>
        <v>0</v>
      </c>
      <c r="AN89" s="530">
        <f t="shared" ca="1" si="335"/>
        <v>0</v>
      </c>
      <c r="AO89" s="514"/>
      <c r="AP89" s="514"/>
      <c r="AQ89" s="527">
        <f ca="1">SUM(AQ$90:AQ$92)</f>
        <v>0</v>
      </c>
      <c r="AR89" s="937">
        <f t="shared" ca="1" si="336"/>
        <v>0</v>
      </c>
      <c r="AS89" s="1007" t="str">
        <f t="shared" ca="1" si="324"/>
        <v/>
      </c>
    </row>
    <row r="90" spans="1:45" hidden="1" outlineLevel="1" x14ac:dyDescent="0.2">
      <c r="A90" s="535"/>
      <c r="B90" s="535"/>
      <c r="C90" s="535" t="str">
        <f t="shared" ref="C90:E92" ca="1" si="337">OFFSET(Origine,MATCH($F90,Descrizioni,0),MATCH(C$16,Intestazioni,0)-1,1,1)</f>
        <v>IE00BDFL4P12:USD</v>
      </c>
      <c r="D90" s="536" t="str">
        <f t="shared" ca="1" si="337"/>
        <v>IE00BDFL4P12</v>
      </c>
      <c r="E90" s="537" t="str">
        <f t="shared" ca="1" si="337"/>
        <v>36082553</v>
      </c>
      <c r="F90" s="535" t="s">
        <v>540</v>
      </c>
      <c r="G90" s="538"/>
      <c r="H90" s="1690" t="str">
        <f ca="1">HYPERLINK(OFFSET(Origine,MATCH($F90,Descrizioni,0),MATCH(H$16,Intestazioni,0)-1,1,1),"")</f>
        <v></v>
      </c>
      <c r="I90" s="1690" t="str">
        <f ca="1">HYPERLINK(OFFSET(Origine,MATCH($F90,Descrizioni,0),MATCH(I$16,Intestazioni,0)-1,1,1),"i")</f>
        <v>i</v>
      </c>
      <c r="J90" s="1729" t="str">
        <f t="shared" ref="J90:K90" ca="1" si="338">HYPERLINK(OFFSET(Origine,MATCH($F90,Descrizioni,0),MATCH(J$16,Intestazioni,0)-1,1,1),"")</f>
        <v></v>
      </c>
      <c r="K90" s="1730" t="str">
        <f t="shared" ca="1" si="338"/>
        <v></v>
      </c>
      <c r="L90" s="1731" t="str">
        <f ca="1">IFERROR(HYPERLINK("https://www.marketscreener.com/mods_a/charts/TV/inc_dyna_graph.php?c="&amp;OFFSET(Origine,MATCH($F90,Descrizioni,0),MATCH(L$16,Intestazioni,0)-1,1,1)&amp;"&amp;style=TradingView.CANDLES&amp;showAT=1",""),"")</f>
        <v></v>
      </c>
      <c r="M90" s="1796" t="str">
        <f ca="1">(OFFSET(Origine,MATCH($F90,Descrizioni,0),MATCH(M$16,Intestazioni,0)-1,1,1))</f>
        <v>Unit</v>
      </c>
      <c r="N90" s="1066">
        <v>0.05</v>
      </c>
      <c r="O90" s="1066"/>
      <c r="P90" s="938">
        <f t="shared" ca="1" si="325"/>
        <v>0</v>
      </c>
      <c r="Q90" s="541">
        <f>SUMIF($AA$16:$AR$16,"I_Pos",AA90:AR90)</f>
        <v>0</v>
      </c>
      <c r="R90" s="541">
        <f t="array" aca="1" ref="R90" ca="1">SUM(IF($AD$16:$AR$16="P_Pos",AD90:AR90))</f>
        <v>858.59941615112257</v>
      </c>
      <c r="S90" s="1067"/>
      <c r="T90" s="1067"/>
      <c r="U90" s="534"/>
      <c r="V90" s="541">
        <f t="array" aca="1" ref="V90" ca="1">SUM(IF($AD$16:$AR$16="O_Pos",AD90:AR90))</f>
        <v>0</v>
      </c>
      <c r="W90" s="535" t="str">
        <f ca="1">OFFSET(Origine,MATCH($F90,Descrizioni,0),MATCH(W$16,Intestazioni,0)-1,1,1)</f>
        <v>USD</v>
      </c>
      <c r="X90" s="940">
        <f t="shared" ref="X90:Y92" ca="1" si="339">_xlfn.NUMBERVALUE(OFFSET(Origine,MATCH($F90,Descrizioni,0),MATCH(X$16,Intestazioni,0)-1,1,1))</f>
        <v>9.1724999999999994</v>
      </c>
      <c r="Y90" s="1068">
        <f t="shared" ca="1" si="339"/>
        <v>0</v>
      </c>
      <c r="Z90" s="1069">
        <f ca="1">_xlfn.NUMBERVALUE(OFFSET(Origine,MATCH(W90&amp;"/"&amp;MRif,LUKB_Name,0),MATCH("Price",Intestazioni,0)-1,1,1))</f>
        <v>0.86199999999999999</v>
      </c>
      <c r="AA90" s="197"/>
      <c r="AB90" s="312" t="str">
        <f ca="1">IFERROR($X90/AC90-1,"")</f>
        <v/>
      </c>
      <c r="AC90" s="1008"/>
      <c r="AD90" s="199">
        <f ca="1">AA90*$X90</f>
        <v>0</v>
      </c>
      <c r="AE90" s="199">
        <f ca="1">AD90*$Z90</f>
        <v>0</v>
      </c>
      <c r="AF90" s="216">
        <f t="shared" ca="1" si="334"/>
        <v>0</v>
      </c>
      <c r="AG90" s="202">
        <f ca="1">AH90/$X90</f>
        <v>858.59941615112257</v>
      </c>
      <c r="AH90" s="203">
        <f ca="1">AI90/$Z90</f>
        <v>7875.5031446461717</v>
      </c>
      <c r="AI90" s="203">
        <f ca="1">AJ90*AA$4</f>
        <v>6788.6837106849998</v>
      </c>
      <c r="AJ90" s="204">
        <f ca="1">$N90-AF90</f>
        <v>0.05</v>
      </c>
      <c r="AK90" s="205"/>
      <c r="AL90" s="206">
        <f ca="1">AK90*$X90</f>
        <v>0</v>
      </c>
      <c r="AM90" s="206">
        <f ca="1">AL90*$Z90</f>
        <v>0</v>
      </c>
      <c r="AN90" s="207">
        <f t="shared" ca="1" si="335"/>
        <v>0</v>
      </c>
      <c r="AO90" s="541">
        <f>AA90+AK90</f>
        <v>0</v>
      </c>
      <c r="AP90" s="541">
        <f t="shared" ca="1" si="333"/>
        <v>0</v>
      </c>
      <c r="AQ90" s="541">
        <f ca="1">AP90*$Z90</f>
        <v>0</v>
      </c>
      <c r="AR90" s="918">
        <f t="shared" ca="1" si="336"/>
        <v>0</v>
      </c>
      <c r="AS90" s="1007" t="str">
        <f t="shared" ca="1" si="324"/>
        <v/>
      </c>
    </row>
    <row r="91" spans="1:45" hidden="1" outlineLevel="1" x14ac:dyDescent="0.2">
      <c r="A91" s="1070"/>
      <c r="B91" s="535"/>
      <c r="C91" s="535" t="str">
        <f t="shared" ca="1" si="337"/>
        <v>IE00B53H0131:USD</v>
      </c>
      <c r="D91" s="536" t="str">
        <f t="shared" ca="1" si="337"/>
        <v>IE00B53H0131</v>
      </c>
      <c r="E91" s="537" t="str">
        <f t="shared" ca="1" si="337"/>
        <v>11926603</v>
      </c>
      <c r="F91" s="535" t="s">
        <v>786</v>
      </c>
      <c r="G91" s="538"/>
      <c r="H91" s="1690" t="str">
        <f ca="1">HYPERLINK(OFFSET(Origine,MATCH($F91,Descrizioni,0),MATCH(H$16,Intestazioni,0)-1,1,1),"")</f>
        <v></v>
      </c>
      <c r="I91" s="1690" t="str">
        <f ca="1">HYPERLINK(OFFSET(Origine,MATCH($F91,Descrizioni,0),MATCH(I$16,Intestazioni,0)-1,1,1),"i")</f>
        <v>i</v>
      </c>
      <c r="J91" s="1729" t="str">
        <f t="shared" ref="J91:K91" ca="1" si="340">HYPERLINK(OFFSET(Origine,MATCH($F91,Descrizioni,0),MATCH(J$16,Intestazioni,0)-1,1,1),"")</f>
        <v></v>
      </c>
      <c r="K91" s="1730" t="str">
        <f t="shared" ca="1" si="340"/>
        <v></v>
      </c>
      <c r="L91" s="1731" t="str">
        <f ca="1">IFERROR(HYPERLINK("https://www.marketscreener.com/mods_a/charts/TV/inc_dyna_graph.php?c="&amp;OFFSET(Origine,MATCH($F91,Descrizioni,0),MATCH(L$16,Intestazioni,0)-1,1,1)&amp;"&amp;style=TradingView.CANDLES&amp;showAT=1",""),"")</f>
        <v></v>
      </c>
      <c r="M91" s="1796" t="str">
        <f ca="1">(OFFSET(Origine,MATCH($F91,Descrizioni,0),MATCH(M$16,Intestazioni,0)-1,1,1))</f>
        <v>Unit</v>
      </c>
      <c r="N91" s="1066"/>
      <c r="O91" s="1066"/>
      <c r="P91" s="938">
        <f t="shared" ca="1" si="325"/>
        <v>0</v>
      </c>
      <c r="Q91" s="541">
        <f>SUMIF($AA$16:$AR$16,"I_Pos",AA91:AR91)</f>
        <v>0</v>
      </c>
      <c r="R91" s="541">
        <f t="array" aca="1" ref="R91" ca="1">SUM(IF($AD$16:$AR$16="P_Pos",AD91:AR91))</f>
        <v>0</v>
      </c>
      <c r="S91" s="1067"/>
      <c r="T91" s="1067"/>
      <c r="U91" s="534"/>
      <c r="V91" s="541">
        <f t="array" aca="1" ref="V91" ca="1">SUM(IF($AD$16:$AR$16="O_Pos",AD91:AR91))</f>
        <v>0</v>
      </c>
      <c r="W91" s="535" t="str">
        <f ca="1">OFFSET(Origine,MATCH($F91,Descrizioni,0),MATCH(W$16,Intestazioni,0)-1,1,1)</f>
        <v>USD</v>
      </c>
      <c r="X91" s="940">
        <f t="shared" ca="1" si="339"/>
        <v>126.5</v>
      </c>
      <c r="Y91" s="1068">
        <f t="shared" ca="1" si="339"/>
        <v>0</v>
      </c>
      <c r="Z91" s="1069">
        <f ca="1">_xlfn.NUMBERVALUE(OFFSET(Origine,MATCH(W91&amp;"/"&amp;MRif,LUKB_Name,0),MATCH("Price",Intestazioni,0)-1,1,1))</f>
        <v>0.86199999999999999</v>
      </c>
      <c r="AA91" s="197"/>
      <c r="AB91" s="312" t="str">
        <f ca="1">IFERROR($X91/AC91-1,"")</f>
        <v/>
      </c>
      <c r="AC91" s="1008"/>
      <c r="AD91" s="199">
        <f ca="1">AA91*$X91</f>
        <v>0</v>
      </c>
      <c r="AE91" s="199">
        <f ca="1">AD91*$Z91</f>
        <v>0</v>
      </c>
      <c r="AF91" s="216">
        <f t="shared" ca="1" si="334"/>
        <v>0</v>
      </c>
      <c r="AG91" s="202">
        <f ca="1">AH91/$X91</f>
        <v>0</v>
      </c>
      <c r="AH91" s="203">
        <f ca="1">AI91/$Z91</f>
        <v>0</v>
      </c>
      <c r="AI91" s="203">
        <f ca="1">AJ91*AA$4</f>
        <v>0</v>
      </c>
      <c r="AJ91" s="204">
        <f ca="1">$N91-AF91</f>
        <v>0</v>
      </c>
      <c r="AK91" s="205"/>
      <c r="AL91" s="206">
        <f ca="1">AK91*$X91</f>
        <v>0</v>
      </c>
      <c r="AM91" s="206">
        <f ca="1">AL91*$Z91</f>
        <v>0</v>
      </c>
      <c r="AN91" s="207">
        <f t="shared" ca="1" si="335"/>
        <v>0</v>
      </c>
      <c r="AO91" s="541">
        <f>AA91+AK91</f>
        <v>0</v>
      </c>
      <c r="AP91" s="541">
        <f t="shared" ca="1" si="333"/>
        <v>0</v>
      </c>
      <c r="AQ91" s="541">
        <f ca="1">AP91*$Z91</f>
        <v>0</v>
      </c>
      <c r="AR91" s="918">
        <f t="shared" ca="1" si="336"/>
        <v>0</v>
      </c>
      <c r="AS91" s="1007" t="str">
        <f t="shared" ca="1" si="324"/>
        <v/>
      </c>
    </row>
    <row r="92" spans="1:45" hidden="1" outlineLevel="1" x14ac:dyDescent="0.2">
      <c r="A92" s="1070"/>
      <c r="B92" s="535"/>
      <c r="C92" s="535" t="str">
        <f t="shared" ca="1" si="337"/>
        <v>IE00BFXR6159:USD</v>
      </c>
      <c r="D92" s="536" t="str">
        <f t="shared" ca="1" si="337"/>
        <v>IE00BFXR6159</v>
      </c>
      <c r="E92" s="537" t="str">
        <f t="shared" ca="1" si="337"/>
        <v>112547249</v>
      </c>
      <c r="F92" s="535" t="s">
        <v>787</v>
      </c>
      <c r="G92" s="538"/>
      <c r="H92" s="1690" t="str">
        <f ca="1">HYPERLINK(OFFSET(Origine,MATCH($F92,Descrizioni,0),MATCH(H$16,Intestazioni,0)-1,1,1),"")</f>
        <v></v>
      </c>
      <c r="I92" s="1690" t="str">
        <f ca="1">HYPERLINK(OFFSET(Origine,MATCH($F92,Descrizioni,0),MATCH(I$16,Intestazioni,0)-1,1,1),"i")</f>
        <v>i</v>
      </c>
      <c r="J92" s="1729" t="str">
        <f t="shared" ref="J92:K92" ca="1" si="341">HYPERLINK(OFFSET(Origine,MATCH($F92,Descrizioni,0),MATCH(J$16,Intestazioni,0)-1,1,1),"")</f>
        <v></v>
      </c>
      <c r="K92" s="1730" t="str">
        <f t="shared" ca="1" si="341"/>
        <v></v>
      </c>
      <c r="L92" s="1731" t="str">
        <f ca="1">IFERROR(HYPERLINK("https://www.marketscreener.com/mods_a/charts/TV/inc_dyna_graph.php?c="&amp;OFFSET(Origine,MATCH($F92,Descrizioni,0),MATCH(L$16,Intestazioni,0)-1,1,1)&amp;"&amp;style=TradingView.CANDLES&amp;showAT=1",""),"")</f>
        <v></v>
      </c>
      <c r="M92" s="1796" t="str">
        <f ca="1">(OFFSET(Origine,MATCH($F92,Descrizioni,0),MATCH(M$16,Intestazioni,0)-1,1,1))</f>
        <v>Unit</v>
      </c>
      <c r="N92" s="1066"/>
      <c r="O92" s="1066"/>
      <c r="P92" s="938">
        <f t="shared" ca="1" si="325"/>
        <v>0</v>
      </c>
      <c r="Q92" s="541">
        <f>SUMIF($AA$16:$AR$16,"I_Pos",AA92:AR92)</f>
        <v>0</v>
      </c>
      <c r="R92" s="541">
        <f t="array" aca="1" ref="R92" ca="1">SUM(IF($AD$16:$AR$16="P_Pos",AD92:AR92))</f>
        <v>0</v>
      </c>
      <c r="S92" s="1067"/>
      <c r="T92" s="1067"/>
      <c r="U92" s="534"/>
      <c r="V92" s="541">
        <f t="array" aca="1" ref="V92" ca="1">SUM(IF($AD$16:$AR$16="O_Pos",AD92:AR92))</f>
        <v>0</v>
      </c>
      <c r="W92" s="535" t="str">
        <f ca="1">OFFSET(Origine,MATCH($F92,Descrizioni,0),MATCH(W$16,Intestazioni,0)-1,1,1)</f>
        <v>USD</v>
      </c>
      <c r="X92" s="940">
        <f t="shared" ca="1" si="339"/>
        <v>16.881</v>
      </c>
      <c r="Y92" s="1068">
        <f t="shared" ca="1" si="339"/>
        <v>0</v>
      </c>
      <c r="Z92" s="1069">
        <f ca="1">_xlfn.NUMBERVALUE(OFFSET(Origine,MATCH(W92&amp;"/"&amp;MRif,LUKB_Name,0),MATCH("Price",Intestazioni,0)-1,1,1))</f>
        <v>0.86199999999999999</v>
      </c>
      <c r="AA92" s="197"/>
      <c r="AB92" s="312" t="str">
        <f ca="1">IFERROR($X92/AC92-1,"")</f>
        <v/>
      </c>
      <c r="AC92" s="1008"/>
      <c r="AD92" s="199">
        <f ca="1">AA92*$X92</f>
        <v>0</v>
      </c>
      <c r="AE92" s="199">
        <f ca="1">AD92*$Z92</f>
        <v>0</v>
      </c>
      <c r="AF92" s="216">
        <f t="shared" ca="1" si="334"/>
        <v>0</v>
      </c>
      <c r="AG92" s="202">
        <f ca="1">AH92/$X92</f>
        <v>0</v>
      </c>
      <c r="AH92" s="203">
        <f ca="1">AI92/$Z92</f>
        <v>0</v>
      </c>
      <c r="AI92" s="203">
        <f ca="1">AJ92*AA$4</f>
        <v>0</v>
      </c>
      <c r="AJ92" s="204">
        <f ca="1">$N92-AF92</f>
        <v>0</v>
      </c>
      <c r="AK92" s="205"/>
      <c r="AL92" s="206">
        <f ca="1">AK92*$X92</f>
        <v>0</v>
      </c>
      <c r="AM92" s="206">
        <f ca="1">AL92*$Z92</f>
        <v>0</v>
      </c>
      <c r="AN92" s="207">
        <f t="shared" ca="1" si="335"/>
        <v>0</v>
      </c>
      <c r="AO92" s="541">
        <f>AA92+AK92</f>
        <v>0</v>
      </c>
      <c r="AP92" s="541">
        <f t="shared" ca="1" si="333"/>
        <v>0</v>
      </c>
      <c r="AQ92" s="541">
        <f ca="1">AP92*$Z92</f>
        <v>0</v>
      </c>
      <c r="AR92" s="918">
        <f t="shared" ca="1" si="336"/>
        <v>0</v>
      </c>
      <c r="AS92" s="1007" t="str">
        <f t="shared" ca="1" si="324"/>
        <v/>
      </c>
    </row>
    <row r="93" spans="1:45" collapsed="1" x14ac:dyDescent="0.2">
      <c r="A93" s="514"/>
      <c r="B93" s="514" t="s">
        <v>394</v>
      </c>
      <c r="C93" s="514"/>
      <c r="D93" s="515"/>
      <c r="E93" s="516"/>
      <c r="F93" s="514"/>
      <c r="G93" s="517"/>
      <c r="H93" s="1760"/>
      <c r="I93" s="1760"/>
      <c r="J93" s="1760"/>
      <c r="K93" s="1760"/>
      <c r="L93" s="1760"/>
      <c r="M93" s="1795"/>
      <c r="N93" s="1063">
        <f>SUM(N$94:N$95)</f>
        <v>8.5000000000000006E-2</v>
      </c>
      <c r="O93" s="1063"/>
      <c r="P93" s="928">
        <f t="shared" ca="1" si="325"/>
        <v>0.13615010499682526</v>
      </c>
      <c r="Q93" s="520"/>
      <c r="R93" s="520"/>
      <c r="S93" s="927"/>
      <c r="T93" s="927"/>
      <c r="U93" s="513"/>
      <c r="V93" s="520">
        <f ca="1">COUNTIF(V94:V95,"&lt;&gt;0")</f>
        <v>0</v>
      </c>
      <c r="W93" s="514"/>
      <c r="X93" s="930"/>
      <c r="Y93" s="930"/>
      <c r="Z93" s="1064"/>
      <c r="AA93" s="531"/>
      <c r="AB93" s="932"/>
      <c r="AC93" s="1065"/>
      <c r="AD93" s="514"/>
      <c r="AE93" s="527">
        <f ca="1">SUM(AE$94:AE$95)</f>
        <v>18485.599999999999</v>
      </c>
      <c r="AF93" s="528">
        <f t="shared" ca="1" si="334"/>
        <v>0.13615010499682526</v>
      </c>
      <c r="AG93" s="529"/>
      <c r="AH93" s="514"/>
      <c r="AI93" s="527">
        <f ca="1">SUM(AI$94:AI$95)</f>
        <v>-6944.8376918354998</v>
      </c>
      <c r="AJ93" s="530">
        <f ca="1">IFERROR(AI93/AA$4,0)</f>
        <v>-5.1150104996825249E-2</v>
      </c>
      <c r="AK93" s="529"/>
      <c r="AL93" s="514"/>
      <c r="AM93" s="527">
        <f ca="1">SUM(AM$94:AM$95)</f>
        <v>0</v>
      </c>
      <c r="AN93" s="530">
        <f t="shared" ca="1" si="335"/>
        <v>0</v>
      </c>
      <c r="AO93" s="514"/>
      <c r="AP93" s="514"/>
      <c r="AQ93" s="527">
        <f ca="1">SUM(AQ$94:AQ$95)</f>
        <v>18485.599999999999</v>
      </c>
      <c r="AR93" s="937">
        <f t="shared" ca="1" si="336"/>
        <v>0.13615010499682526</v>
      </c>
      <c r="AS93" s="1007" t="str">
        <f t="shared" ca="1" si="324"/>
        <v>V</v>
      </c>
    </row>
    <row r="94" spans="1:45" hidden="1" outlineLevel="1" x14ac:dyDescent="0.2">
      <c r="A94" s="535"/>
      <c r="B94" s="535"/>
      <c r="C94" s="535" t="str">
        <f t="shared" ref="C94:E95" ca="1" si="342">OFFSET(Origine,MATCH($F94,Descrizioni,0),MATCH(C$16,Intestazioni,0)-1,1,1)</f>
        <v>CH0106027144:EUR</v>
      </c>
      <c r="D94" s="536" t="str">
        <f t="shared" ca="1" si="342"/>
        <v>CH0106027144</v>
      </c>
      <c r="E94" s="537" t="str">
        <f t="shared" ca="1" si="342"/>
        <v>10602714</v>
      </c>
      <c r="F94" s="535" t="s">
        <v>582</v>
      </c>
      <c r="G94" s="538"/>
      <c r="H94" s="1690" t="str">
        <f ca="1">HYPERLINK(OFFSET(Origine,MATCH($F94,Descrizioni,0),MATCH(H$16,Intestazioni,0)-1,1,1),"")</f>
        <v></v>
      </c>
      <c r="I94" s="1690" t="str">
        <f ca="1">HYPERLINK(OFFSET(Origine,MATCH($F94,Descrizioni,0),MATCH(I$16,Intestazioni,0)-1,1,1),"i")</f>
        <v>i</v>
      </c>
      <c r="J94" s="1729" t="str">
        <f ca="1">HYPERLINK(OFFSET(Origine,MATCH($F94,Descrizioni,0),MATCH(J$16,Intestazioni,0)-1,1,1),"")</f>
        <v></v>
      </c>
      <c r="K94" s="1730" t="str">
        <f ca="1">HYPERLINK(OFFSET(Origine,MATCH($F94,Descrizioni,0),MATCH(K$16,Intestazioni,0)-1,1,1),"")</f>
        <v></v>
      </c>
      <c r="L94" s="1731" t="str">
        <f ca="1">IFERROR(HYPERLINK("https://www.marketscreener.com/mods_a/charts/TV/inc_dyna_graph.php?c="&amp;OFFSET(Origine,MATCH($F94,Descrizioni,0),MATCH(L$16,Intestazioni,0)-1,1,1)&amp;"&amp;style=TradingView.CANDLES&amp;showAT=1",""),"")</f>
        <v></v>
      </c>
      <c r="M94" s="1796" t="str">
        <f ca="1">(OFFSET(Origine,MATCH($F94,Descrizioni,0),MATCH(M$16,Intestazioni,0)-1,1,1))</f>
        <v>Unit</v>
      </c>
      <c r="N94" s="1066">
        <v>8.5000000000000006E-2</v>
      </c>
      <c r="O94" s="1066"/>
      <c r="P94" s="938">
        <f t="shared" ca="1" si="325"/>
        <v>0.13615010499682526</v>
      </c>
      <c r="Q94" s="541">
        <f>SUMIF($AA$16:$AR$16,"I_Pos",AA94:AR94)</f>
        <v>140</v>
      </c>
      <c r="R94" s="541">
        <f t="array" aca="1" ref="R94" ca="1">SUM(IF($AD$16:$AR$16="P_Pos",AD94:AR94))</f>
        <v>-52.596468432562105</v>
      </c>
      <c r="S94" s="1067"/>
      <c r="T94" s="1067"/>
      <c r="U94" s="534"/>
      <c r="V94" s="541">
        <f t="array" aca="1" ref="V94" ca="1">SUM(IF($AD$16:$AR$16="O_Pos",AD94:AR94))</f>
        <v>0</v>
      </c>
      <c r="W94" s="535" t="str">
        <f ca="1">OFFSET(Origine,MATCH($F94,Descrizioni,0),MATCH(W$16,Intestazioni,0)-1,1,1)</f>
        <v>EUR</v>
      </c>
      <c r="X94" s="940">
        <f ca="1">_xlfn.NUMBERVALUE(OFFSET(Origine,MATCH($F94,Descrizioni,0),MATCH(X$16,Intestazioni,0)-1,1,1))</f>
        <v>132.04</v>
      </c>
      <c r="Y94" s="1068">
        <f ca="1">_xlfn.NUMBERVALUE(OFFSET(Origine,MATCH($F94,Descrizioni,0),MATCH(Y$16,Intestazioni,0)-1,1,1))</f>
        <v>0</v>
      </c>
      <c r="Z94" s="1069">
        <f ca="1">_xlfn.NUMBERVALUE(OFFSET(Origine,MATCH(W94&amp;"/"&amp;MRif,LUKB_Name,0),MATCH("Price",Intestazioni,0)-1,1,1))</f>
        <v>1</v>
      </c>
      <c r="AA94" s="197">
        <f>140</f>
        <v>140</v>
      </c>
      <c r="AB94" s="312">
        <f ca="1">IFERROR($X94/AC94-1,"")</f>
        <v>1.4791634982416411</v>
      </c>
      <c r="AC94" s="1008">
        <v>53.259900000000002</v>
      </c>
      <c r="AD94" s="199">
        <f ca="1">AA94*$X94</f>
        <v>18485.599999999999</v>
      </c>
      <c r="AE94" s="199">
        <f ca="1">AD94*$Z94</f>
        <v>18485.599999999999</v>
      </c>
      <c r="AF94" s="216">
        <f t="shared" ca="1" si="334"/>
        <v>0.13615010499682526</v>
      </c>
      <c r="AG94" s="202">
        <f ca="1">AH94/$X94</f>
        <v>-52.596468432562105</v>
      </c>
      <c r="AH94" s="203">
        <f ca="1">AI94/$Z94</f>
        <v>-6944.8376918354998</v>
      </c>
      <c r="AI94" s="203">
        <f ca="1">AJ94*AA$4</f>
        <v>-6944.8376918354998</v>
      </c>
      <c r="AJ94" s="204">
        <f ca="1">$N94-AF94</f>
        <v>-5.1150104996825249E-2</v>
      </c>
      <c r="AK94" s="205"/>
      <c r="AL94" s="206">
        <f ca="1">AK94*$X94</f>
        <v>0</v>
      </c>
      <c r="AM94" s="206">
        <f ca="1">AL94*$Z94</f>
        <v>0</v>
      </c>
      <c r="AN94" s="207">
        <f t="shared" ca="1" si="335"/>
        <v>0</v>
      </c>
      <c r="AO94" s="541">
        <f>AA94+AK94</f>
        <v>140</v>
      </c>
      <c r="AP94" s="541">
        <f t="shared" ca="1" si="333"/>
        <v>18485.599999999999</v>
      </c>
      <c r="AQ94" s="541">
        <f ca="1">AP94*$Z94</f>
        <v>18485.599999999999</v>
      </c>
      <c r="AR94" s="918">
        <f t="shared" ca="1" si="336"/>
        <v>0.13615010499682526</v>
      </c>
      <c r="AS94" s="1007" t="str">
        <f t="shared" ca="1" si="324"/>
        <v>V</v>
      </c>
    </row>
    <row r="95" spans="1:45" hidden="1" outlineLevel="1" x14ac:dyDescent="0.2">
      <c r="A95" s="535"/>
      <c r="B95" s="535"/>
      <c r="C95" s="535" t="str">
        <f t="shared" ca="1" si="342"/>
        <v>CH0106027193:USD</v>
      </c>
      <c r="D95" s="536" t="str">
        <f t="shared" ca="1" si="342"/>
        <v>CH0106027193</v>
      </c>
      <c r="E95" s="537" t="str">
        <f t="shared" ca="1" si="342"/>
        <v>10602719</v>
      </c>
      <c r="F95" s="535" t="s">
        <v>650</v>
      </c>
      <c r="G95" s="538"/>
      <c r="H95" s="1690" t="str">
        <f ca="1">HYPERLINK(OFFSET(Origine,MATCH($F95,Descrizioni,0),MATCH(H$16,Intestazioni,0)-1,1,1),"")</f>
        <v></v>
      </c>
      <c r="I95" s="1690" t="str">
        <f ca="1">HYPERLINK(OFFSET(Origine,MATCH($F95,Descrizioni,0),MATCH(I$16,Intestazioni,0)-1,1,1),"i")</f>
        <v>i</v>
      </c>
      <c r="J95" s="1729" t="str">
        <f ca="1">HYPERLINK(OFFSET(Origine,MATCH($F95,Descrizioni,0),MATCH(J$16,Intestazioni,0)-1,1,1),"")</f>
        <v></v>
      </c>
      <c r="K95" s="1730" t="str">
        <f ca="1">HYPERLINK(OFFSET(Origine,MATCH($F95,Descrizioni,0),MATCH(K$16,Intestazioni,0)-1,1,1),"")</f>
        <v></v>
      </c>
      <c r="L95" s="1731" t="str">
        <f ca="1">IFERROR(HYPERLINK("https://www.marketscreener.com/mods_a/charts/TV/inc_dyna_graph.php?c="&amp;OFFSET(Origine,MATCH($F95,Descrizioni,0),MATCH(L$16,Intestazioni,0)-1,1,1)&amp;"&amp;style=TradingView.CANDLES&amp;showAT=1",""),"")</f>
        <v></v>
      </c>
      <c r="M95" s="1796" t="str">
        <f ca="1">(OFFSET(Origine,MATCH($F95,Descrizioni,0),MATCH(M$16,Intestazioni,0)-1,1,1))</f>
        <v>Unit</v>
      </c>
      <c r="N95" s="1066"/>
      <c r="O95" s="1066"/>
      <c r="P95" s="938">
        <f t="shared" ca="1" si="325"/>
        <v>0</v>
      </c>
      <c r="Q95" s="541">
        <f>SUMIF($AA$16:$AR$16,"I_Pos",AA95:AR95)</f>
        <v>0</v>
      </c>
      <c r="R95" s="541">
        <f t="array" aca="1" ref="R95" ca="1">SUM(IF($AD$16:$AR$16="P_Pos",AD95:AR95))</f>
        <v>0</v>
      </c>
      <c r="S95" s="1067"/>
      <c r="T95" s="1067"/>
      <c r="U95" s="534"/>
      <c r="V95" s="541">
        <f t="array" aca="1" ref="V95" ca="1">SUM(IF($AD$16:$AR$16="O_Pos",AD95:AR95))</f>
        <v>0</v>
      </c>
      <c r="W95" s="535" t="str">
        <f ca="1">OFFSET(Origine,MATCH($F95,Descrizioni,0),MATCH(W$16,Intestazioni,0)-1,1,1)</f>
        <v>USD</v>
      </c>
      <c r="X95" s="940">
        <f ca="1">_xlfn.NUMBERVALUE(OFFSET(Origine,MATCH($F95,Descrizioni,0),MATCH(X$16,Intestazioni,0)-1,1,1))</f>
        <v>163.58000000000001</v>
      </c>
      <c r="Y95" s="1068">
        <f ca="1">_xlfn.NUMBERVALUE(OFFSET(Origine,MATCH($F95,Descrizioni,0),MATCH(Y$16,Intestazioni,0)-1,1,1))</f>
        <v>0</v>
      </c>
      <c r="Z95" s="1069">
        <f ca="1">_xlfn.NUMBERVALUE(OFFSET(Origine,MATCH(W95&amp;"/"&amp;MRif,LUKB_Name,0),MATCH("Price",Intestazioni,0)-1,1,1))</f>
        <v>0.86199999999999999</v>
      </c>
      <c r="AA95" s="197">
        <f>260+-260</f>
        <v>0</v>
      </c>
      <c r="AB95" s="312" t="str">
        <f ca="1">IFERROR($X95/AC95-1,"")</f>
        <v/>
      </c>
      <c r="AC95" s="1008"/>
      <c r="AD95" s="199">
        <f ca="1">AA95*$X95</f>
        <v>0</v>
      </c>
      <c r="AE95" s="199">
        <f ca="1">AD95*$Z95</f>
        <v>0</v>
      </c>
      <c r="AF95" s="216">
        <f t="shared" ca="1" si="334"/>
        <v>0</v>
      </c>
      <c r="AG95" s="202">
        <f ca="1">AH95/$X95</f>
        <v>0</v>
      </c>
      <c r="AH95" s="203">
        <f ca="1">AI95/$Z95</f>
        <v>0</v>
      </c>
      <c r="AI95" s="203">
        <f ca="1">AJ95*AA$4</f>
        <v>0</v>
      </c>
      <c r="AJ95" s="204">
        <f ca="1">$N95-AF95</f>
        <v>0</v>
      </c>
      <c r="AK95" s="205"/>
      <c r="AL95" s="206">
        <f ca="1">AK95*$X95</f>
        <v>0</v>
      </c>
      <c r="AM95" s="206">
        <f ca="1">AL95*$Z95</f>
        <v>0</v>
      </c>
      <c r="AN95" s="207">
        <f t="shared" ca="1" si="335"/>
        <v>0</v>
      </c>
      <c r="AO95" s="541">
        <f>AA95+AK95</f>
        <v>0</v>
      </c>
      <c r="AP95" s="541">
        <f t="shared" ca="1" si="333"/>
        <v>0</v>
      </c>
      <c r="AQ95" s="541">
        <f ca="1">AP95*$Z95</f>
        <v>0</v>
      </c>
      <c r="AR95" s="918">
        <f t="shared" ca="1" si="336"/>
        <v>0</v>
      </c>
      <c r="AS95" s="1007" t="str">
        <f t="shared" ca="1" si="324"/>
        <v/>
      </c>
    </row>
    <row r="96" spans="1:45" collapsed="1" x14ac:dyDescent="0.2">
      <c r="A96" s="514"/>
      <c r="B96" s="514" t="s">
        <v>514</v>
      </c>
      <c r="C96" s="514"/>
      <c r="D96" s="515"/>
      <c r="E96" s="516"/>
      <c r="F96" s="514"/>
      <c r="G96" s="517"/>
      <c r="H96" s="1760"/>
      <c r="I96" s="1760"/>
      <c r="J96" s="1760"/>
      <c r="K96" s="1760"/>
      <c r="L96" s="1760"/>
      <c r="M96" s="1795"/>
      <c r="N96" s="1063">
        <f>SUM(N$97)</f>
        <v>0</v>
      </c>
      <c r="O96" s="1063"/>
      <c r="P96" s="928">
        <f t="shared" ca="1" si="325"/>
        <v>0</v>
      </c>
      <c r="Q96" s="520"/>
      <c r="R96" s="520"/>
      <c r="S96" s="927"/>
      <c r="T96" s="927"/>
      <c r="U96" s="513"/>
      <c r="V96" s="520">
        <f ca="1">COUNTIF(V97,"&lt;&gt;0")</f>
        <v>0</v>
      </c>
      <c r="W96" s="514"/>
      <c r="X96" s="930"/>
      <c r="Y96" s="930"/>
      <c r="Z96" s="1064"/>
      <c r="AA96" s="531"/>
      <c r="AB96" s="932"/>
      <c r="AC96" s="1065"/>
      <c r="AD96" s="514"/>
      <c r="AE96" s="527">
        <f ca="1">SUM(AE$97)</f>
        <v>0</v>
      </c>
      <c r="AF96" s="528">
        <f t="shared" ca="1" si="334"/>
        <v>0</v>
      </c>
      <c r="AG96" s="529"/>
      <c r="AH96" s="514"/>
      <c r="AI96" s="527">
        <f ca="1">SUM(AI$97)</f>
        <v>0</v>
      </c>
      <c r="AJ96" s="530">
        <f ca="1">IFERROR(AI96/AA$4,0)</f>
        <v>0</v>
      </c>
      <c r="AK96" s="529"/>
      <c r="AL96" s="514"/>
      <c r="AM96" s="527">
        <f ca="1">SUM(AM$97)</f>
        <v>0</v>
      </c>
      <c r="AN96" s="530">
        <f t="shared" ca="1" si="335"/>
        <v>0</v>
      </c>
      <c r="AO96" s="514"/>
      <c r="AP96" s="514"/>
      <c r="AQ96" s="527">
        <f ca="1">SUM(AQ$97)</f>
        <v>0</v>
      </c>
      <c r="AR96" s="937">
        <f t="shared" ca="1" si="336"/>
        <v>0</v>
      </c>
      <c r="AS96" s="1007" t="str">
        <f t="shared" ca="1" si="324"/>
        <v/>
      </c>
    </row>
    <row r="97" spans="1:45" hidden="1" outlineLevel="1" x14ac:dyDescent="0.2">
      <c r="A97" s="535"/>
      <c r="B97" s="535"/>
      <c r="C97" s="535" t="str">
        <f ca="1">OFFSET(Origine,MATCH($F97,Descrizioni,0),MATCH(C$16,Intestazioni,0)-1,1,1)</f>
        <v>GB00B15KYH63:USD:LSS</v>
      </c>
      <c r="D97" s="536" t="str">
        <f ca="1">OFFSET(Origine,MATCH($F97,Descrizioni,0),MATCH(D$16,Intestazioni,0)-1,1,1)</f>
        <v>GB00B15KYH63</v>
      </c>
      <c r="E97" s="537" t="str">
        <f ca="1">OFFSET(Origine,MATCH($F97,Descrizioni,0),MATCH(E$16,Intestazioni,0)-1,1,1)</f>
        <v>2726117</v>
      </c>
      <c r="F97" s="535" t="s">
        <v>515</v>
      </c>
      <c r="G97" s="538"/>
      <c r="H97" s="1690" t="str">
        <f ca="1">HYPERLINK(OFFSET(Origine,MATCH($F97,Descrizioni,0),MATCH(H$16,Intestazioni,0)-1,1,1),"")</f>
        <v></v>
      </c>
      <c r="I97" s="1690" t="str">
        <f ca="1">HYPERLINK(OFFSET(Origine,MATCH($F97,Descrizioni,0),MATCH(I$16,Intestazioni,0)-1,1,1),"i")</f>
        <v>i</v>
      </c>
      <c r="J97" s="1729" t="str">
        <f ca="1">HYPERLINK(OFFSET(Origine,MATCH($F97,Descrizioni,0),MATCH(J$16,Intestazioni,0)-1,1,1),"")</f>
        <v></v>
      </c>
      <c r="K97" s="1730" t="str">
        <f ca="1">HYPERLINK(OFFSET(Origine,MATCH($F97,Descrizioni,0),MATCH(K$16,Intestazioni,0)-1,1,1),"")</f>
        <v></v>
      </c>
      <c r="L97" s="1731" t="str">
        <f ca="1">IFERROR(HYPERLINK("https://www.marketscreener.com/mods_a/charts/TV/inc_dyna_graph.php?c="&amp;OFFSET(Origine,MATCH($F97,Descrizioni,0),MATCH(L$16,Intestazioni,0)-1,1,1)&amp;"&amp;style=TradingView.CANDLES&amp;showAT=1",""),"")</f>
        <v></v>
      </c>
      <c r="M97" s="1796" t="str">
        <f ca="1">(OFFSET(Origine,MATCH($F97,Descrizioni,0),MATCH(M$16,Intestazioni,0)-1,1,1))</f>
        <v>Unit</v>
      </c>
      <c r="N97" s="1066"/>
      <c r="O97" s="1066"/>
      <c r="P97" s="938">
        <f t="shared" ca="1" si="325"/>
        <v>0</v>
      </c>
      <c r="Q97" s="541">
        <f>SUMIF($AA$16:$AR$16,"I_Pos",AA97:AR97)</f>
        <v>0</v>
      </c>
      <c r="R97" s="541">
        <f t="array" aca="1" ref="R97" ca="1">SUM(IF($AD$16:$AR$16="P_Pos",AD97:AR97))</f>
        <v>0</v>
      </c>
      <c r="S97" s="1067"/>
      <c r="T97" s="1067"/>
      <c r="U97" s="534"/>
      <c r="V97" s="541">
        <f t="array" aca="1" ref="V97" ca="1">SUM(IF($AD$16:$AR$16="O_Pos",AD97:AR97))</f>
        <v>0</v>
      </c>
      <c r="W97" s="535" t="str">
        <f ca="1">OFFSET(Origine,MATCH($F97,Descrizioni,0),MATCH(W$16,Intestazioni,0)-1,1,1)</f>
        <v>USD</v>
      </c>
      <c r="X97" s="940">
        <f ca="1">_xlfn.NUMBERVALUE(OFFSET(Origine,MATCH($F97,Descrizioni,0),MATCH(X$16,Intestazioni,0)-1,1,1))</f>
        <v>5.9637500000000001</v>
      </c>
      <c r="Y97" s="1068">
        <f ca="1">_xlfn.NUMBERVALUE(OFFSET(Origine,MATCH($F97,Descrizioni,0),MATCH(Y$16,Intestazioni,0)-1,1,1))</f>
        <v>0</v>
      </c>
      <c r="Z97" s="1069">
        <f ca="1">_xlfn.NUMBERVALUE(OFFSET(Origine,MATCH(W97&amp;"/"&amp;MRif,LUKB_Name,0),MATCH("Price",Intestazioni,0)-1,1,1))</f>
        <v>0.86199999999999999</v>
      </c>
      <c r="AA97" s="197">
        <f>1450+-1450</f>
        <v>0</v>
      </c>
      <c r="AB97" s="312" t="str">
        <f ca="1">IFERROR($X97/AC97-1,"")</f>
        <v/>
      </c>
      <c r="AC97" s="1008"/>
      <c r="AD97" s="199">
        <f ca="1">AA97*$X97</f>
        <v>0</v>
      </c>
      <c r="AE97" s="199">
        <f ca="1">AD97*$Z97</f>
        <v>0</v>
      </c>
      <c r="AF97" s="216">
        <f t="shared" ca="1" si="334"/>
        <v>0</v>
      </c>
      <c r="AG97" s="202">
        <f ca="1">AH97/$X97</f>
        <v>0</v>
      </c>
      <c r="AH97" s="203">
        <f ca="1">AI97/$Z97</f>
        <v>0</v>
      </c>
      <c r="AI97" s="203">
        <f ca="1">AJ97*AA$4</f>
        <v>0</v>
      </c>
      <c r="AJ97" s="204">
        <f ca="1">$N97-AF97</f>
        <v>0</v>
      </c>
      <c r="AK97" s="205"/>
      <c r="AL97" s="206">
        <f ca="1">AK97*$X97</f>
        <v>0</v>
      </c>
      <c r="AM97" s="206">
        <f ca="1">AL97*$Z97</f>
        <v>0</v>
      </c>
      <c r="AN97" s="207">
        <f t="shared" ca="1" si="335"/>
        <v>0</v>
      </c>
      <c r="AO97" s="541">
        <f>AA97+AK97</f>
        <v>0</v>
      </c>
      <c r="AP97" s="541">
        <f t="shared" ca="1" si="333"/>
        <v>0</v>
      </c>
      <c r="AQ97" s="541">
        <f ca="1">AP97*$Z97</f>
        <v>0</v>
      </c>
      <c r="AR97" s="918">
        <f t="shared" ca="1" si="336"/>
        <v>0</v>
      </c>
      <c r="AS97" s="1007" t="str">
        <f t="shared" ca="1" si="324"/>
        <v/>
      </c>
    </row>
    <row r="98" spans="1:45" collapsed="1" x14ac:dyDescent="0.2">
      <c r="A98" s="514"/>
      <c r="B98" s="514" t="s">
        <v>481</v>
      </c>
      <c r="C98" s="514"/>
      <c r="D98" s="515"/>
      <c r="E98" s="516"/>
      <c r="F98" s="514"/>
      <c r="G98" s="517"/>
      <c r="H98" s="1760"/>
      <c r="I98" s="1760"/>
      <c r="J98" s="1760"/>
      <c r="K98" s="1760"/>
      <c r="L98" s="1760"/>
      <c r="M98" s="1795"/>
      <c r="N98" s="1063">
        <f>SUM(N$100)</f>
        <v>0</v>
      </c>
      <c r="O98" s="1063"/>
      <c r="P98" s="928">
        <f t="shared" ca="1" si="325"/>
        <v>0</v>
      </c>
      <c r="Q98" s="520"/>
      <c r="R98" s="520"/>
      <c r="S98" s="927"/>
      <c r="T98" s="927"/>
      <c r="U98" s="513"/>
      <c r="V98" s="520">
        <f ca="1">COUNTIF(V99,"&lt;&gt;0")</f>
        <v>0</v>
      </c>
      <c r="W98" s="514"/>
      <c r="X98" s="930"/>
      <c r="Y98" s="930"/>
      <c r="Z98" s="1064"/>
      <c r="AA98" s="1071"/>
      <c r="AB98" s="1072"/>
      <c r="AC98" s="1073"/>
      <c r="AD98" s="1074"/>
      <c r="AE98" s="1075">
        <f ca="1">SUM(AE$99:AE$100)</f>
        <v>0</v>
      </c>
      <c r="AF98" s="1076">
        <f t="shared" ca="1" si="334"/>
        <v>0</v>
      </c>
      <c r="AG98" s="529"/>
      <c r="AH98" s="514"/>
      <c r="AI98" s="527">
        <f ca="1">SUM(AI$99:AI$100)</f>
        <v>0</v>
      </c>
      <c r="AJ98" s="530">
        <f ca="1">IFERROR(AI98/AA$4,0)</f>
        <v>0</v>
      </c>
      <c r="AK98" s="529"/>
      <c r="AL98" s="514"/>
      <c r="AM98" s="527">
        <f ca="1">SUM(AM$99:AM$100)</f>
        <v>0</v>
      </c>
      <c r="AN98" s="530">
        <f t="shared" ca="1" si="335"/>
        <v>0</v>
      </c>
      <c r="AO98" s="514"/>
      <c r="AP98" s="514"/>
      <c r="AQ98" s="527">
        <f ca="1">SUM(AQ$99:AQ$100)</f>
        <v>0</v>
      </c>
      <c r="AR98" s="937">
        <f t="shared" ca="1" si="336"/>
        <v>0</v>
      </c>
      <c r="AS98" s="1007" t="str">
        <f t="shared" ca="1" si="324"/>
        <v/>
      </c>
    </row>
    <row r="99" spans="1:45" hidden="1" outlineLevel="1" x14ac:dyDescent="0.2">
      <c r="A99" s="535"/>
      <c r="B99" s="535"/>
      <c r="C99" s="535" t="str">
        <f t="shared" ref="C99:E100" ca="1" si="343">OFFSET(Origine,MATCH($F99,Descrizioni,0),MATCH(C$16,Intestazioni,0)-1,1,1)</f>
        <v>GB00B15KYB02:USD:LSS</v>
      </c>
      <c r="D99" s="536" t="str">
        <f t="shared" ca="1" si="343"/>
        <v>GB00B15KYB02</v>
      </c>
      <c r="E99" s="537" t="str">
        <f t="shared" ca="1" si="343"/>
        <v>2726105</v>
      </c>
      <c r="F99" s="535" t="s">
        <v>541</v>
      </c>
      <c r="G99" s="538"/>
      <c r="H99" s="1690" t="str">
        <f ca="1">HYPERLINK(OFFSET(Origine,MATCH($F99,Descrizioni,0),MATCH(H$16,Intestazioni,0)-1,1,1),"")</f>
        <v></v>
      </c>
      <c r="I99" s="1690" t="str">
        <f ca="1">HYPERLINK(OFFSET(Origine,MATCH($F99,Descrizioni,0),MATCH(I$16,Intestazioni,0)-1,1,1),"i")</f>
        <v>i</v>
      </c>
      <c r="J99" s="1729" t="str">
        <f ca="1">HYPERLINK(OFFSET(Origine,MATCH($F99,Descrizioni,0),MATCH(J$16,Intestazioni,0)-1,1,1),"")</f>
        <v></v>
      </c>
      <c r="K99" s="1730" t="str">
        <f ca="1">HYPERLINK(OFFSET(Origine,MATCH($F99,Descrizioni,0),MATCH(K$16,Intestazioni,0)-1,1,1),"")</f>
        <v></v>
      </c>
      <c r="L99" s="1731" t="str">
        <f ca="1">IFERROR(HYPERLINK("https://www.marketscreener.com/mods_a/charts/TV/inc_dyna_graph.php?c="&amp;OFFSET(Origine,MATCH($F99,Descrizioni,0),MATCH(L$16,Intestazioni,0)-1,1,1)&amp;"&amp;style=TradingView.CANDLES&amp;showAT=1",""),"")</f>
        <v></v>
      </c>
      <c r="M99" s="1796" t="str">
        <f ca="1">(OFFSET(Origine,MATCH($F99,Descrizioni,0),MATCH(M$16,Intestazioni,0)-1,1,1))</f>
        <v>Unit</v>
      </c>
      <c r="N99" s="1066"/>
      <c r="O99" s="1066"/>
      <c r="P99" s="938">
        <f t="shared" ca="1" si="325"/>
        <v>0</v>
      </c>
      <c r="Q99" s="541">
        <f>SUMIF($AA$16:$AR$16,"I_Pos",AA99:AR99)</f>
        <v>0</v>
      </c>
      <c r="R99" s="541">
        <f t="array" aca="1" ref="R99" ca="1">SUM(IF($AD$16:$AR$16="P_Pos",AD99:AR99))</f>
        <v>0</v>
      </c>
      <c r="S99" s="1067"/>
      <c r="T99" s="1067"/>
      <c r="U99" s="534"/>
      <c r="V99" s="541">
        <f t="array" aca="1" ref="V99" ca="1">SUM(IF($AD$16:$AR$16="O_Pos",AD99:AR99))</f>
        <v>0</v>
      </c>
      <c r="W99" s="535" t="str">
        <f ca="1">OFFSET(Origine,MATCH($F99,Descrizioni,0),MATCH(W$16,Intestazioni,0)-1,1,1)</f>
        <v>USD</v>
      </c>
      <c r="X99" s="940">
        <f ca="1">_xlfn.NUMBERVALUE(OFFSET(Origine,MATCH($F99,Descrizioni,0),MATCH(X$16,Intestazioni,0)-1,1,1))</f>
        <v>4.1529999999999996</v>
      </c>
      <c r="Y99" s="1068">
        <f ca="1">_xlfn.NUMBERVALUE(OFFSET(Origine,MATCH($F99,Descrizioni,0),MATCH(Y$16,Intestazioni,0)-1,1,1))</f>
        <v>0</v>
      </c>
      <c r="Z99" s="1069">
        <f ca="1">_xlfn.NUMBERVALUE(OFFSET(Origine,MATCH(W99&amp;"/"&amp;MRif,LUKB_Name,0),MATCH("Price",Intestazioni,0)-1,1,1))</f>
        <v>0.86199999999999999</v>
      </c>
      <c r="AA99" s="197">
        <f>2800+-2800</f>
        <v>0</v>
      </c>
      <c r="AB99" s="312" t="str">
        <f ca="1">IFERROR($X99/AC99-1,"")</f>
        <v/>
      </c>
      <c r="AC99" s="1008"/>
      <c r="AD99" s="199">
        <f ca="1">AA99*$X99</f>
        <v>0</v>
      </c>
      <c r="AE99" s="199">
        <f ca="1">AD99*$Z99</f>
        <v>0</v>
      </c>
      <c r="AF99" s="216">
        <f t="shared" ca="1" si="334"/>
        <v>0</v>
      </c>
      <c r="AG99" s="202">
        <f ca="1">AH99/$X99</f>
        <v>0</v>
      </c>
      <c r="AH99" s="203">
        <f ca="1">AI99/$Z99</f>
        <v>0</v>
      </c>
      <c r="AI99" s="203">
        <f ca="1">AJ99*AA$4</f>
        <v>0</v>
      </c>
      <c r="AJ99" s="204">
        <f ca="1">$N99-AF99</f>
        <v>0</v>
      </c>
      <c r="AK99" s="205"/>
      <c r="AL99" s="206">
        <f ca="1">AK99*$X99</f>
        <v>0</v>
      </c>
      <c r="AM99" s="206">
        <f ca="1">AL99*$Z99</f>
        <v>0</v>
      </c>
      <c r="AN99" s="207">
        <f t="shared" ca="1" si="335"/>
        <v>0</v>
      </c>
      <c r="AO99" s="541">
        <f>AA99+AK99</f>
        <v>0</v>
      </c>
      <c r="AP99" s="541">
        <f t="shared" ca="1" si="333"/>
        <v>0</v>
      </c>
      <c r="AQ99" s="541">
        <f ca="1">AP99*$Z99</f>
        <v>0</v>
      </c>
      <c r="AR99" s="918">
        <f t="shared" ca="1" si="336"/>
        <v>0</v>
      </c>
      <c r="AS99" s="1007" t="str">
        <f t="shared" ca="1" si="324"/>
        <v/>
      </c>
    </row>
    <row r="100" spans="1:45" hidden="1" outlineLevel="1" x14ac:dyDescent="0.2">
      <c r="A100" s="535"/>
      <c r="B100" s="535"/>
      <c r="C100" s="535" t="str">
        <f t="shared" ca="1" si="343"/>
        <v>US5007676787:USD</v>
      </c>
      <c r="D100" s="536" t="str">
        <f t="shared" ca="1" si="343"/>
        <v>US5007676787</v>
      </c>
      <c r="E100" s="537" t="str">
        <f t="shared" ca="1" si="343"/>
        <v>55988416</v>
      </c>
      <c r="F100" s="535" t="s">
        <v>482</v>
      </c>
      <c r="G100" s="538"/>
      <c r="H100" s="1690" t="str">
        <f ca="1">HYPERLINK(OFFSET(Origine,MATCH($F100,Descrizioni,0),MATCH(H$16,Intestazioni,0)-1,1,1),"")</f>
        <v></v>
      </c>
      <c r="I100" s="1690" t="str">
        <f ca="1">HYPERLINK(OFFSET(Origine,MATCH($F100,Descrizioni,0),MATCH(I$16,Intestazioni,0)-1,1,1),"i")</f>
        <v>i</v>
      </c>
      <c r="J100" s="1729" t="str">
        <f ca="1">HYPERLINK(OFFSET(Origine,MATCH($F100,Descrizioni,0),MATCH(J$16,Intestazioni,0)-1,1,1),"")</f>
        <v></v>
      </c>
      <c r="K100" s="1730" t="str">
        <f ca="1">HYPERLINK(OFFSET(Origine,MATCH($F100,Descrizioni,0),MATCH(K$16,Intestazioni,0)-1,1,1),"")</f>
        <v></v>
      </c>
      <c r="L100" s="1731" t="str">
        <f ca="1">IFERROR(HYPERLINK("https://www.marketscreener.com/mods_a/charts/TV/inc_dyna_graph.php?c="&amp;OFFSET(Origine,MATCH($F100,Descrizioni,0),MATCH(L$16,Intestazioni,0)-1,1,1)&amp;"&amp;style=TradingView.CANDLES&amp;showAT=1",""),"")</f>
        <v></v>
      </c>
      <c r="M100" s="1796" t="str">
        <f ca="1">(OFFSET(Origine,MATCH($F100,Descrizioni,0),MATCH(M$16,Intestazioni,0)-1,1,1))</f>
        <v>Unit</v>
      </c>
      <c r="N100" s="1066"/>
      <c r="O100" s="1066"/>
      <c r="P100" s="938">
        <f t="shared" ca="1" si="325"/>
        <v>0</v>
      </c>
      <c r="Q100" s="541">
        <f>SUMIF($AA$16:$AR$16,"I_Pos",AA100:AR100)</f>
        <v>0</v>
      </c>
      <c r="R100" s="541">
        <f t="array" aca="1" ref="R100" ca="1">SUM(IF($AD$16:$AR$16="P_Pos",AD100:AR100))</f>
        <v>0</v>
      </c>
      <c r="S100" s="1067"/>
      <c r="T100" s="1067"/>
      <c r="U100" s="534"/>
      <c r="V100" s="541">
        <f t="array" aca="1" ref="V100" ca="1">SUM(IF($AD$16:$AR$16="O_Pos",AD100:AR100))</f>
        <v>0</v>
      </c>
      <c r="W100" s="535" t="str">
        <f ca="1">OFFSET(Origine,MATCH($F100,Descrizioni,0),MATCH(W$16,Intestazioni,0)-1,1,1)</f>
        <v>USD</v>
      </c>
      <c r="X100" s="940">
        <f ca="1">_xlfn.NUMBERVALUE(OFFSET(Origine,MATCH($F100,Descrizioni,0),MATCH(X$16,Intestazioni,0)-1,1,1))</f>
        <v>29.860099999999999</v>
      </c>
      <c r="Y100" s="1068">
        <f ca="1">_xlfn.NUMBERVALUE(OFFSET(Origine,MATCH($F100,Descrizioni,0),MATCH(Y$16,Intestazioni,0)-1,1,1))</f>
        <v>0</v>
      </c>
      <c r="Z100" s="1069">
        <f ca="1">_xlfn.NUMBERVALUE(OFFSET(Origine,MATCH(W100&amp;"/"&amp;MRif,LUKB_Name,0),MATCH("Price",Intestazioni,0)-1,1,1))</f>
        <v>0.86199999999999999</v>
      </c>
      <c r="AA100" s="197"/>
      <c r="AB100" s="312" t="str">
        <f ca="1">IFERROR($X100/AC100-1,"")</f>
        <v/>
      </c>
      <c r="AC100" s="1008"/>
      <c r="AD100" s="199">
        <f ca="1">AA100*$X100</f>
        <v>0</v>
      </c>
      <c r="AE100" s="199">
        <f ca="1">AD100*$Z100</f>
        <v>0</v>
      </c>
      <c r="AF100" s="216">
        <f t="shared" ca="1" si="334"/>
        <v>0</v>
      </c>
      <c r="AG100" s="202">
        <f ca="1">AH100/$X100</f>
        <v>0</v>
      </c>
      <c r="AH100" s="203">
        <f ca="1">AI100/$Z100</f>
        <v>0</v>
      </c>
      <c r="AI100" s="203">
        <f ca="1">AJ100*AA$4</f>
        <v>0</v>
      </c>
      <c r="AJ100" s="204">
        <f ca="1">$N100-AF100</f>
        <v>0</v>
      </c>
      <c r="AK100" s="205"/>
      <c r="AL100" s="206">
        <f ca="1">AK100*$X100</f>
        <v>0</v>
      </c>
      <c r="AM100" s="206">
        <f ca="1">AL100*$Z100</f>
        <v>0</v>
      </c>
      <c r="AN100" s="207">
        <f t="shared" ca="1" si="335"/>
        <v>0</v>
      </c>
      <c r="AO100" s="541">
        <f>AA100+AK100</f>
        <v>0</v>
      </c>
      <c r="AP100" s="541">
        <f t="shared" ca="1" si="333"/>
        <v>0</v>
      </c>
      <c r="AQ100" s="541">
        <f ca="1">AP100*$Z100</f>
        <v>0</v>
      </c>
      <c r="AR100" s="918">
        <f t="shared" ca="1" si="336"/>
        <v>0</v>
      </c>
      <c r="AS100" s="1007" t="str">
        <f t="shared" ca="1" si="324"/>
        <v/>
      </c>
    </row>
    <row r="101" spans="1:45" collapsed="1" x14ac:dyDescent="0.2">
      <c r="A101" s="514"/>
      <c r="B101" s="514" t="s">
        <v>542</v>
      </c>
      <c r="C101" s="514"/>
      <c r="D101" s="515"/>
      <c r="E101" s="516"/>
      <c r="F101" s="514"/>
      <c r="G101" s="517"/>
      <c r="H101" s="1760"/>
      <c r="I101" s="1760"/>
      <c r="J101" s="1760"/>
      <c r="K101" s="1760"/>
      <c r="L101" s="1760"/>
      <c r="M101" s="1795"/>
      <c r="N101" s="1063">
        <f>SUM(N$102)</f>
        <v>0</v>
      </c>
      <c r="O101" s="1063"/>
      <c r="P101" s="928">
        <f t="shared" ca="1" si="325"/>
        <v>0</v>
      </c>
      <c r="Q101" s="520"/>
      <c r="R101" s="520"/>
      <c r="S101" s="927"/>
      <c r="T101" s="927"/>
      <c r="U101" s="513"/>
      <c r="V101" s="520">
        <f ca="1">COUNTIF(V102,"&lt;&gt;0")</f>
        <v>0</v>
      </c>
      <c r="W101" s="514"/>
      <c r="X101" s="930"/>
      <c r="Y101" s="930"/>
      <c r="Z101" s="1064"/>
      <c r="AA101" s="531"/>
      <c r="AB101" s="932"/>
      <c r="AC101" s="1065"/>
      <c r="AD101" s="514"/>
      <c r="AE101" s="527">
        <f ca="1">SUM(AE$102)</f>
        <v>0</v>
      </c>
      <c r="AF101" s="528">
        <f t="shared" ca="1" si="334"/>
        <v>0</v>
      </c>
      <c r="AG101" s="529"/>
      <c r="AH101" s="514"/>
      <c r="AI101" s="527">
        <f ca="1">SUM(AI$102)</f>
        <v>0</v>
      </c>
      <c r="AJ101" s="530">
        <f ca="1">IFERROR(AI101/AA$4,0)</f>
        <v>0</v>
      </c>
      <c r="AK101" s="529"/>
      <c r="AL101" s="514"/>
      <c r="AM101" s="527">
        <f ca="1">SUM(AM$102)</f>
        <v>0</v>
      </c>
      <c r="AN101" s="530">
        <f t="shared" ca="1" si="335"/>
        <v>0</v>
      </c>
      <c r="AO101" s="514"/>
      <c r="AP101" s="514"/>
      <c r="AQ101" s="527">
        <f ca="1">SUM(AQ$102)</f>
        <v>0</v>
      </c>
      <c r="AR101" s="937">
        <f t="shared" ca="1" si="336"/>
        <v>0</v>
      </c>
      <c r="AS101" s="1007" t="str">
        <f t="shared" ca="1" si="324"/>
        <v/>
      </c>
    </row>
    <row r="102" spans="1:45" hidden="1" outlineLevel="1" x14ac:dyDescent="0.2">
      <c r="A102" s="535"/>
      <c r="B102" s="535"/>
      <c r="C102" s="535" t="str">
        <f ca="1">OFFSET(Origine,MATCH($F102,Descrizioni,0),MATCH(C$16,Intestazioni,0)-1,1,1)</f>
        <v>GB00B15KYG56:USD:LSS</v>
      </c>
      <c r="D102" s="536" t="str">
        <f ca="1">OFFSET(Origine,MATCH($F102,Descrizioni,0),MATCH(D$16,Intestazioni,0)-1,1,1)</f>
        <v>GB00B15KYG56</v>
      </c>
      <c r="E102" s="537" t="str">
        <f ca="1">OFFSET(Origine,MATCH($F102,Descrizioni,0),MATCH(E$16,Intestazioni,0)-1,1,1)</f>
        <v>2726111</v>
      </c>
      <c r="F102" s="535" t="s">
        <v>543</v>
      </c>
      <c r="G102" s="538"/>
      <c r="H102" s="1690" t="str">
        <f ca="1">HYPERLINK(OFFSET(Origine,MATCH($F102,Descrizioni,0),MATCH(H$16,Intestazioni,0)-1,1,1),"")</f>
        <v></v>
      </c>
      <c r="I102" s="1690" t="str">
        <f ca="1">HYPERLINK(OFFSET(Origine,MATCH($F102,Descrizioni,0),MATCH(I$16,Intestazioni,0)-1,1,1),"i")</f>
        <v>i</v>
      </c>
      <c r="J102" s="1729" t="str">
        <f ca="1">HYPERLINK(OFFSET(Origine,MATCH($F102,Descrizioni,0),MATCH(J$16,Intestazioni,0)-1,1,1),"")</f>
        <v></v>
      </c>
      <c r="K102" s="1730" t="str">
        <f ca="1">HYPERLINK(OFFSET(Origine,MATCH($F102,Descrizioni,0),MATCH(K$16,Intestazioni,0)-1,1,1),"")</f>
        <v></v>
      </c>
      <c r="L102" s="1731" t="str">
        <f ca="1">IFERROR(HYPERLINK("https://www.marketscreener.com/mods_a/charts/TV/inc_dyna_graph.php?c="&amp;OFFSET(Origine,MATCH($F102,Descrizioni,0),MATCH(L$16,Intestazioni,0)-1,1,1)&amp;"&amp;style=TradingView.CANDLES&amp;showAT=1",""),"")</f>
        <v></v>
      </c>
      <c r="M102" s="1796" t="str">
        <f ca="1">(OFFSET(Origine,MATCH($F102,Descrizioni,0),MATCH(M$16,Intestazioni,0)-1,1,1))</f>
        <v>Unit</v>
      </c>
      <c r="N102" s="1066"/>
      <c r="O102" s="1066"/>
      <c r="P102" s="938">
        <f t="shared" ca="1" si="325"/>
        <v>0</v>
      </c>
      <c r="Q102" s="541">
        <f>SUMIF($AA$16:$AR$16,"I_Pos",AA102:AR102)</f>
        <v>0</v>
      </c>
      <c r="R102" s="541">
        <f t="array" aca="1" ref="R102" ca="1">SUM(IF($AD$16:$AR$16="P_Pos",AD102:AR102))</f>
        <v>0</v>
      </c>
      <c r="S102" s="1067"/>
      <c r="T102" s="1067"/>
      <c r="U102" s="534"/>
      <c r="V102" s="541">
        <f t="array" aca="1" ref="V102" ca="1">SUM(IF($AD$16:$AR$16="O_Pos",AD102:AR102))</f>
        <v>0</v>
      </c>
      <c r="W102" s="535" t="str">
        <f ca="1">OFFSET(Origine,MATCH($F102,Descrizioni,0),MATCH(W$16,Intestazioni,0)-1,1,1)</f>
        <v>USD</v>
      </c>
      <c r="X102" s="940">
        <f ca="1">_xlfn.NUMBERVALUE(OFFSET(Origine,MATCH($F102,Descrizioni,0),MATCH(X$16,Intestazioni,0)-1,1,1))</f>
        <v>18.46</v>
      </c>
      <c r="Y102" s="1068">
        <f ca="1">_xlfn.NUMBERVALUE(OFFSET(Origine,MATCH($F102,Descrizioni,0),MATCH(Y$16,Intestazioni,0)-1,1,1))</f>
        <v>0</v>
      </c>
      <c r="Z102" s="1069">
        <f ca="1">_xlfn.NUMBERVALUE(OFFSET(Origine,MATCH(W102&amp;"/"&amp;MRif,LUKB_Name,0),MATCH("Price",Intestazioni,0)-1,1,1))</f>
        <v>0.86199999999999999</v>
      </c>
      <c r="AA102" s="197">
        <f>675+-675</f>
        <v>0</v>
      </c>
      <c r="AB102" s="312" t="str">
        <f ca="1">IFERROR($X102/AC102-1,"")</f>
        <v/>
      </c>
      <c r="AC102" s="1008"/>
      <c r="AD102" s="199">
        <f ca="1">AA102*$X102</f>
        <v>0</v>
      </c>
      <c r="AE102" s="199">
        <f ca="1">AD102*$Z102</f>
        <v>0</v>
      </c>
      <c r="AF102" s="216">
        <f t="shared" ca="1" si="334"/>
        <v>0</v>
      </c>
      <c r="AG102" s="202">
        <f ca="1">AH102/$X102</f>
        <v>0</v>
      </c>
      <c r="AH102" s="203">
        <f ca="1">AI102/$Z102</f>
        <v>0</v>
      </c>
      <c r="AI102" s="203">
        <f ca="1">AJ102*AA$4</f>
        <v>0</v>
      </c>
      <c r="AJ102" s="204">
        <f ca="1">$N102-AF102</f>
        <v>0</v>
      </c>
      <c r="AK102" s="205"/>
      <c r="AL102" s="206">
        <f ca="1">AK102*$X102</f>
        <v>0</v>
      </c>
      <c r="AM102" s="206">
        <f ca="1">AL102*$Z102</f>
        <v>0</v>
      </c>
      <c r="AN102" s="207">
        <f t="shared" ca="1" si="335"/>
        <v>0</v>
      </c>
      <c r="AO102" s="541">
        <f>AA102+AK102</f>
        <v>0</v>
      </c>
      <c r="AP102" s="541">
        <f t="shared" ca="1" si="333"/>
        <v>0</v>
      </c>
      <c r="AQ102" s="541">
        <f ca="1">AP102*$Z102</f>
        <v>0</v>
      </c>
      <c r="AR102" s="918">
        <f t="shared" ca="1" si="336"/>
        <v>0</v>
      </c>
      <c r="AS102" s="1007" t="str">
        <f t="shared" ca="1" si="324"/>
        <v/>
      </c>
    </row>
    <row r="103" spans="1:45" x14ac:dyDescent="0.2">
      <c r="AA103" s="622"/>
      <c r="AB103" s="622"/>
      <c r="AC103" s="1077"/>
      <c r="AD103" s="619"/>
      <c r="AE103" s="619"/>
      <c r="AF103" s="621"/>
      <c r="AG103" s="619"/>
      <c r="AH103" s="619"/>
      <c r="AI103" s="619"/>
      <c r="AJ103" s="621"/>
      <c r="AK103" s="619"/>
      <c r="AL103" s="619"/>
      <c r="AM103" s="619"/>
      <c r="AN103" s="621"/>
      <c r="AO103" s="619"/>
      <c r="AP103" s="619"/>
      <c r="AQ103" s="619"/>
      <c r="AR103" s="621"/>
      <c r="AS103" s="1078" t="s">
        <v>718</v>
      </c>
    </row>
    <row r="104" spans="1:45" s="612" customFormat="1" x14ac:dyDescent="0.2">
      <c r="A104" s="1079" t="s">
        <v>805</v>
      </c>
      <c r="B104" s="630"/>
      <c r="C104" s="630"/>
      <c r="D104" s="627"/>
      <c r="E104" s="628"/>
      <c r="F104" s="630"/>
      <c r="G104" s="1080"/>
      <c r="H104" s="1737"/>
      <c r="I104" s="1737"/>
      <c r="J104" s="1737"/>
      <c r="K104" s="1737"/>
      <c r="L104" s="1737"/>
      <c r="M104" s="1798"/>
      <c r="N104" s="626"/>
      <c r="O104" s="626"/>
      <c r="P104" s="626"/>
      <c r="Q104" s="626"/>
      <c r="R104" s="626"/>
      <c r="S104" s="630"/>
      <c r="T104" s="630"/>
      <c r="U104" s="628"/>
      <c r="V104" s="632"/>
      <c r="W104" s="630" t="s">
        <v>381</v>
      </c>
      <c r="X104" s="630" t="s">
        <v>366</v>
      </c>
      <c r="Y104" s="630"/>
      <c r="Z104" s="1081" t="s">
        <v>806</v>
      </c>
      <c r="AA104" s="635" t="s">
        <v>369</v>
      </c>
      <c r="AB104" s="636"/>
      <c r="AC104" s="1082"/>
      <c r="AD104" s="630" t="s">
        <v>381</v>
      </c>
      <c r="AE104" s="630" t="s">
        <v>366</v>
      </c>
      <c r="AF104" s="1083" t="s">
        <v>806</v>
      </c>
      <c r="AG104" s="639" t="s">
        <v>369</v>
      </c>
      <c r="AH104" s="637" t="s">
        <v>381</v>
      </c>
      <c r="AI104" s="637" t="s">
        <v>366</v>
      </c>
      <c r="AJ104" s="640" t="s">
        <v>806</v>
      </c>
      <c r="AK104" s="1084" t="s">
        <v>369</v>
      </c>
      <c r="AL104" s="630" t="s">
        <v>381</v>
      </c>
      <c r="AM104" s="630" t="s">
        <v>366</v>
      </c>
      <c r="AN104" s="1085" t="s">
        <v>806</v>
      </c>
      <c r="AO104" s="641" t="s">
        <v>369</v>
      </c>
      <c r="AP104" s="637" t="s">
        <v>381</v>
      </c>
      <c r="AQ104" s="637" t="s">
        <v>366</v>
      </c>
      <c r="AR104" s="953" t="s">
        <v>806</v>
      </c>
      <c r="AS104" s="1086" t="s">
        <v>718</v>
      </c>
    </row>
    <row r="105" spans="1:45" x14ac:dyDescent="0.2">
      <c r="B105" s="142" t="s">
        <v>807</v>
      </c>
      <c r="M105" s="1799"/>
      <c r="U105" s="97"/>
      <c r="W105" s="1087">
        <f t="array" aca="1" ref="W105" ca="1">SUM(IF($W$17:$W$102=W$104,N$17:N$102))</f>
        <v>0.29500000000000004</v>
      </c>
      <c r="X105" s="962">
        <f t="array" aca="1" ref="X105" ca="1">SUM(IF($W$17:$W$102=X$104,N$17:N$102))</f>
        <v>0.05</v>
      </c>
      <c r="Y105" s="962"/>
      <c r="Z105" s="962">
        <f t="array" aca="1" ref="Z105" ca="1">SUM(IF($W$17:$W$102=Z$104,N$17:N$102))</f>
        <v>0</v>
      </c>
      <c r="AA105" s="956">
        <f t="array" aca="1" ref="AA105" ca="1">SUM(IF($W$17:$W$102=AA$104,AF$17:AF$102))</f>
        <v>3.9761153598178696E-3</v>
      </c>
      <c r="AB105" s="957"/>
      <c r="AC105" s="1088"/>
      <c r="AD105" s="959">
        <f t="array" aca="1" ref="AD105" ca="1">SUM(IF($W$17:$W$102=AD$104,AF$17:AF$102))</f>
        <v>0.99493125603703703</v>
      </c>
      <c r="AE105" s="959">
        <f t="array" aca="1" ref="AE105" ca="1">SUM(IF($W$17:$W$102=AE$104,AF$17:AF$102))</f>
        <v>1.0926286031451523E-3</v>
      </c>
      <c r="AF105" s="960">
        <f t="array" aca="1" ref="AF105" ca="1">SUM(IF($W$17:$W$102=AF$104,AF$17:AF$102))</f>
        <v>0</v>
      </c>
      <c r="AG105" s="1089">
        <f t="array" aca="1" ref="AG105" ca="1">SUM(IF($W$17:$W$102=AG$104,AJ$17:AJ$102))</f>
        <v>0.9960238846401821</v>
      </c>
      <c r="AH105" s="959">
        <f t="array" aca="1" ref="AH105" ca="1">SUM(IF($W$17:$W$102=AH$104,AJ$17:AJ$102))</f>
        <v>-0.69993125603703688</v>
      </c>
      <c r="AI105" s="959">
        <f t="array" aca="1" ref="AI105" ca="1">SUM(IF($W$17:$W$102=AI$104,AJ$17:AJ$102))</f>
        <v>4.8907371396854853E-2</v>
      </c>
      <c r="AJ105" s="960">
        <f t="array" aca="1" ref="AJ105" ca="1">SUM(IF($W$17:$W$102=AJ$104,AJ$17:AJ$102))</f>
        <v>0</v>
      </c>
      <c r="AK105" s="1089">
        <f t="array" aca="1" ref="AK105" ca="1">SUM(IF($W$17:$W$102=AK$104,AN$17:AN$102))</f>
        <v>0</v>
      </c>
      <c r="AL105" s="959">
        <f t="array" aca="1" ref="AL105" ca="1">SUM(IF($W$17:$W$102=AL$104,AN$17:AN$102))</f>
        <v>0</v>
      </c>
      <c r="AM105" s="959">
        <f t="array" aca="1" ref="AM105" ca="1">SUM(IF($W$17:$W$102=AM$104,AN$17:AN$102))</f>
        <v>0</v>
      </c>
      <c r="AN105" s="960">
        <f t="array" aca="1" ref="AN105" ca="1">SUM(IF($W$17:$W$102=AN$104,AN$17:AN$102))</f>
        <v>0</v>
      </c>
      <c r="AO105" s="1089">
        <f t="array" aca="1" ref="AO105" ca="1">SUM(IF($W$17:$W$102=AO$104,AR$17:AR$102))</f>
        <v>3.9761153598178696E-3</v>
      </c>
      <c r="AP105" s="959">
        <f t="array" aca="1" ref="AP105" ca="1">SUM(IF($W$17:$W$102=AP$104,AR$17:AR$102))</f>
        <v>0.99493125603703703</v>
      </c>
      <c r="AQ105" s="959">
        <f t="array" aca="1" ref="AQ105" ca="1">SUM(IF($W$17:$W$102=AQ$104,AR$17:AR$102))</f>
        <v>1.0926286031451523E-3</v>
      </c>
      <c r="AR105" s="960">
        <f t="array" aca="1" ref="AR105" ca="1">SUM(IF($W$17:$W$102=AR$104,AR$17:AR$102))</f>
        <v>0</v>
      </c>
      <c r="AS105" s="1090" t="s">
        <v>718</v>
      </c>
    </row>
    <row r="106" spans="1:45" x14ac:dyDescent="0.2">
      <c r="A106" s="478"/>
      <c r="B106" s="478" t="s">
        <v>808</v>
      </c>
      <c r="C106" s="478"/>
      <c r="D106" s="479"/>
      <c r="E106" s="480"/>
      <c r="F106" s="478"/>
      <c r="G106" s="481"/>
      <c r="H106" s="1697"/>
      <c r="I106" s="1697"/>
      <c r="J106" s="1697"/>
      <c r="K106" s="1697"/>
      <c r="L106" s="1697"/>
      <c r="M106" s="1792"/>
      <c r="N106" s="664"/>
      <c r="O106" s="664"/>
      <c r="P106" s="664"/>
      <c r="Q106" s="664"/>
      <c r="R106" s="664"/>
      <c r="S106" s="661"/>
      <c r="T106" s="661"/>
      <c r="U106" s="477"/>
      <c r="V106" s="665"/>
      <c r="W106" s="478"/>
      <c r="X106" s="478"/>
      <c r="Y106" s="478"/>
      <c r="Z106" s="1091"/>
      <c r="AA106" s="967">
        <f t="array" aca="1" ref="AA106" ca="1">SUM(IF($W$17:$W$102=AA$104,AE$17:AE$102))</f>
        <v>539.85179149999999</v>
      </c>
      <c r="AB106" s="968"/>
      <c r="AC106" s="1092"/>
      <c r="AD106" s="484">
        <f t="array" aca="1" ref="AD106" ca="1">SUM(IF($W$17:$W$102=AD$104,AE$17:AE$102))</f>
        <v>135085.47222219998</v>
      </c>
      <c r="AE106" s="484">
        <f t="array" aca="1" ref="AE106" ca="1">SUM(IF($W$17:$W$102=AE$104,AE$17:AE$102))</f>
        <v>148.3502</v>
      </c>
      <c r="AF106" s="662">
        <f t="array" aca="1" ref="AF106" ca="1">SUM(IF($W$17:$W$102=AF$104,AE$17:AE$102))</f>
        <v>0</v>
      </c>
      <c r="AG106" s="675">
        <f t="array" aca="1" ref="AG106" ca="1">SUM(IF($W$17:$W$102=AG$104,AI$17:AI$102))</f>
        <v>135233.8224222</v>
      </c>
      <c r="AH106" s="484">
        <f t="array" aca="1" ref="AH106" ca="1">SUM(IF($W$17:$W$102=AH$104,AI$17:AI$102))</f>
        <v>-95032.238329158499</v>
      </c>
      <c r="AI106" s="484">
        <f t="array" aca="1" ref="AI106" ca="1">SUM(IF($W$17:$W$102=AI$104,AI$17:AI$102))</f>
        <v>6640.333510685</v>
      </c>
      <c r="AJ106" s="972">
        <f t="array" aca="1" ref="AJ106" ca="1">SUM(IF($W$17:$W$102=AJ$104,AI$17:AI$102))</f>
        <v>0</v>
      </c>
      <c r="AK106" s="675">
        <f t="array" aca="1" ref="AK106" ca="1">SUM(IF($W$17:$W$102=AK$104,AM$17:AM$102))</f>
        <v>0</v>
      </c>
      <c r="AL106" s="484">
        <f t="array" aca="1" ref="AL106" ca="1">SUM(IF($W$17:$W$102=AL$104,AM$17:AM$102))</f>
        <v>0</v>
      </c>
      <c r="AM106" s="484">
        <f t="array" aca="1" ref="AM106" ca="1">SUM(IF($W$17:$W$102=AM$104,AM$17:AM$102))</f>
        <v>0</v>
      </c>
      <c r="AN106" s="972">
        <f t="array" aca="1" ref="AN106" ca="1">SUM(IF($W$17:$W$102=AN$104,AM$17:AM$102))</f>
        <v>0</v>
      </c>
      <c r="AO106" s="484">
        <f t="array" aca="1" ref="AO106" ca="1">SUM(IF($W$17:$W$102=AO$104,AQ$17:AQ$102))</f>
        <v>539.85179149999999</v>
      </c>
      <c r="AP106" s="484">
        <f t="array" aca="1" ref="AP106" ca="1">SUM(IF($W$17:$W$102=AP$104,AQ$17:AQ$102))</f>
        <v>135085.47222219998</v>
      </c>
      <c r="AQ106" s="484">
        <f t="array" aca="1" ref="AQ106" ca="1">SUM(IF($W$17:$W$102=AQ$104,AQ$17:AQ$102))</f>
        <v>148.3502</v>
      </c>
      <c r="AR106" s="973">
        <f t="array" aca="1" ref="AR106" ca="1">SUM(IF($W$17:$W$102=AR$104,AQ$17:AQ$102))</f>
        <v>0</v>
      </c>
      <c r="AS106" s="1093" t="s">
        <v>718</v>
      </c>
    </row>
    <row r="107" spans="1:45" x14ac:dyDescent="0.2">
      <c r="A107" s="679"/>
      <c r="B107" s="679" t="s">
        <v>809</v>
      </c>
      <c r="C107" s="679"/>
      <c r="D107" s="974"/>
      <c r="E107" s="681"/>
      <c r="F107" s="679"/>
      <c r="G107" s="682"/>
      <c r="H107" s="1740"/>
      <c r="I107" s="1740"/>
      <c r="J107" s="1740"/>
      <c r="K107" s="1740"/>
      <c r="L107" s="1740"/>
      <c r="M107" s="1800"/>
      <c r="N107" s="975"/>
      <c r="O107" s="975"/>
      <c r="P107" s="975"/>
      <c r="Q107" s="975"/>
      <c r="R107" s="975"/>
      <c r="S107" s="683"/>
      <c r="T107" s="683"/>
      <c r="U107" s="678"/>
      <c r="V107" s="976"/>
      <c r="W107" s="679"/>
      <c r="X107" s="679"/>
      <c r="Y107" s="679"/>
      <c r="Z107" s="1094"/>
      <c r="AA107" s="978">
        <f t="array" aca="1" ref="AA107" ca="1">SUM(IF($W$17:$W$102=AA$104,AD$17:AD$102))</f>
        <v>490</v>
      </c>
      <c r="AB107" s="979"/>
      <c r="AC107" s="1095"/>
      <c r="AD107" s="686">
        <f t="array" aca="1" ref="AD107" ca="1">SUM(IF($W$17:$W$102=AD$104,AD$17:AD$102))</f>
        <v>135085.47222219998</v>
      </c>
      <c r="AE107" s="686">
        <f t="array" aca="1" ref="AE107" ca="1">SUM(IF($W$17:$W$102=AE$104,AD$17:AD$102))</f>
        <v>172.1</v>
      </c>
      <c r="AF107" s="684">
        <f t="array" aca="1" ref="AF107" ca="1">SUM(IF($W$17:$W$102=AF$104,AD$17:AD$102))</f>
        <v>0</v>
      </c>
      <c r="AG107" s="698">
        <f t="array" aca="1" ref="AG107" ca="1">SUM(IF($W$17:$W$102=AG$104,AH$17:AH$102))</f>
        <v>122745.86104967663</v>
      </c>
      <c r="AH107" s="686">
        <f t="array" aca="1" ref="AH107" ca="1">SUM(IF($W$17:$W$102=AH$104,AH$17:AH$102))</f>
        <v>-95032.238329158499</v>
      </c>
      <c r="AI107" s="686">
        <f t="array" aca="1" ref="AI107" ca="1">SUM(IF($W$17:$W$102=AI$104,AH$17:AH$102))</f>
        <v>7703.4031446461713</v>
      </c>
      <c r="AJ107" s="983">
        <f t="array" aca="1" ref="AJ107" ca="1">SUM(IF($W$17:$W$102=AJ$104,AH$17:AH$102))</f>
        <v>0</v>
      </c>
      <c r="AK107" s="698">
        <f t="array" aca="1" ref="AK107" ca="1">SUM(IF($W$17:$W$102=AK$104,AL$17:AL$102))</f>
        <v>0</v>
      </c>
      <c r="AL107" s="686">
        <f t="array" aca="1" ref="AL107" ca="1">SUM(IF($W$17:$W$102=AL$104,AL$17:AL$102))</f>
        <v>0</v>
      </c>
      <c r="AM107" s="686">
        <f t="array" aca="1" ref="AM107" ca="1">SUM(IF($W$17:$W$102=AM$104,AL$17:AL$102))</f>
        <v>0</v>
      </c>
      <c r="AN107" s="983">
        <f t="array" aca="1" ref="AN107" ca="1">SUM(IF($W$17:$W$102=AN$104,AL$17:AL$102))</f>
        <v>0</v>
      </c>
      <c r="AO107" s="686">
        <f t="array" aca="1" ref="AO107" ca="1">SUM(IF($W$17:$W$102=AO$104,AP$17:AP$102))</f>
        <v>490</v>
      </c>
      <c r="AP107" s="686">
        <f t="array" aca="1" ref="AP107" ca="1">SUM(IF($W$17:$W$102=AP$104,AP$17:AP$102))</f>
        <v>135085.47222219998</v>
      </c>
      <c r="AQ107" s="686">
        <f t="array" aca="1" ref="AQ107" ca="1">SUM(IF($W$17:$W$102=AQ$104,AP$17:AP$102))</f>
        <v>172.1</v>
      </c>
      <c r="AR107" s="984">
        <f t="array" aca="1" ref="AR107" ca="1">SUM(IF($W$17:$W$102=AR$104,AP$17:AP$102))</f>
        <v>0</v>
      </c>
      <c r="AS107" s="1093" t="s">
        <v>718</v>
      </c>
    </row>
  </sheetData>
  <autoFilter ref="AA16:AS16" xr:uid="{12B1AF7C-857A-4D06-8BF2-72AD6F865296}"/>
  <dataConsolidate/>
  <mergeCells count="13">
    <mergeCell ref="Q5:R5"/>
    <mergeCell ref="AA5:AR5"/>
    <mergeCell ref="AA8:AR8"/>
    <mergeCell ref="AA1:AR1"/>
    <mergeCell ref="AA2:AR2"/>
    <mergeCell ref="AA3:AR3"/>
    <mergeCell ref="AA4:AR4"/>
    <mergeCell ref="AA11:AR11"/>
    <mergeCell ref="AA12:AR12"/>
    <mergeCell ref="AA15:AF15"/>
    <mergeCell ref="AG15:AJ15"/>
    <mergeCell ref="AK15:AN15"/>
    <mergeCell ref="AO15:AR15"/>
  </mergeCells>
  <conditionalFormatting sqref="AG101:AJ102 AG88:AH88 AJ88 AG89:AJ97 AG67:AJ87 AG35:AJ40 AG57:AJ63 AG42:AJ55 AG17:AJ33">
    <cfRule type="expression" dxfId="219" priority="25">
      <formula>ABS($AJ17)&lt;0.01</formula>
    </cfRule>
  </conditionalFormatting>
  <conditionalFormatting sqref="AG99:AJ100">
    <cfRule type="expression" dxfId="218" priority="24">
      <formula>ABS($AJ99)&lt;0.01</formula>
    </cfRule>
  </conditionalFormatting>
  <conditionalFormatting sqref="AG98:AJ98">
    <cfRule type="expression" dxfId="217" priority="23">
      <formula>ABS(#REF!)&lt;0.01</formula>
    </cfRule>
  </conditionalFormatting>
  <conditionalFormatting sqref="AG34:AJ34">
    <cfRule type="expression" dxfId="216" priority="22">
      <formula>ABS($AJ34)&lt;0.01</formula>
    </cfRule>
  </conditionalFormatting>
  <conditionalFormatting sqref="AG41:AJ41">
    <cfRule type="expression" dxfId="215" priority="21">
      <formula>ABS($AJ41)&lt;0.01</formula>
    </cfRule>
  </conditionalFormatting>
  <conditionalFormatting sqref="AG56:AJ56">
    <cfRule type="expression" dxfId="214" priority="14">
      <formula>ABS($AJ56)&lt;0.01</formula>
    </cfRule>
  </conditionalFormatting>
  <conditionalFormatting sqref="AG66:AJ66">
    <cfRule type="expression" dxfId="213" priority="13">
      <formula>ABS($AJ66)&lt;0.01</formula>
    </cfRule>
  </conditionalFormatting>
  <conditionalFormatting sqref="AB102 AB99:AB100 AB97 AB94:AB95 AB90:AB92 AB87 AB85 AB81:AB82 AB78:AB79 AB71:AB76 AB68:AB69 AB59:AB60 AB56:AB57 AB62:AB66 AB44:AB47 AB49:AB54 AB23:AB41">
    <cfRule type="expression" dxfId="212" priority="11">
      <formula>$W:$W="Pct"</formula>
    </cfRule>
  </conditionalFormatting>
  <conditionalFormatting sqref="AB99:AB100 AB102 AB94:AB95 AB97 AB90:AB92 AB81:AB82 AB87 AB85 AB78:AB79 AB71:AB76 AB68:AB69 AB59:AB60 AB56:AB57 AB44:AB47 AB62:AB66 AB49:AB54 AB23:AB41">
    <cfRule type="dataBar" priority="12">
      <dataBar>
        <cfvo type="min"/>
        <cfvo type="max"/>
        <color rgb="FF63C384"/>
      </dataBar>
      <extLst>
        <ext xmlns:x14="http://schemas.microsoft.com/office/spreadsheetml/2009/9/main" uri="{B025F937-C7B1-47D3-B67F-A62EFF666E3E}">
          <x14:id>{EDC2F145-1A67-4A7F-BE1F-B6A1EF08EA80}</x14:id>
        </ext>
      </extLst>
    </cfRule>
  </conditionalFormatting>
  <conditionalFormatting sqref="X18:Y18 X19:X21">
    <cfRule type="expression" dxfId="211" priority="10">
      <formula>$M18="Pct"</formula>
    </cfRule>
  </conditionalFormatting>
  <conditionalFormatting sqref="Y19">
    <cfRule type="expression" dxfId="210" priority="9">
      <formula>$M19="Pct"</formula>
    </cfRule>
  </conditionalFormatting>
  <conditionalFormatting sqref="Y20:Y21">
    <cfRule type="expression" dxfId="209" priority="8">
      <formula>$M20="Pct"</formula>
    </cfRule>
  </conditionalFormatting>
  <conditionalFormatting sqref="A23:AR41">
    <cfRule type="expression" dxfId="208" priority="7">
      <formula>IFERROR(AND($G23&gt;0,$G23-TODAY()&lt;30),FALSE)</formula>
    </cfRule>
  </conditionalFormatting>
  <conditionalFormatting sqref="AG64:AJ64">
    <cfRule type="expression" dxfId="207" priority="5">
      <formula>ABS($AJ64)&lt;0.01</formula>
    </cfRule>
  </conditionalFormatting>
  <conditionalFormatting sqref="AG65:AJ65">
    <cfRule type="expression" dxfId="206" priority="3">
      <formula>ABS($AJ65)&lt;0.01</formula>
    </cfRule>
  </conditionalFormatting>
  <conditionalFormatting sqref="X22:X102">
    <cfRule type="expression" dxfId="205" priority="2">
      <formula>NOT(_xlfn.ISFORMULA($X22))</formula>
    </cfRule>
  </conditionalFormatting>
  <conditionalFormatting sqref="Z18:Z21">
    <cfRule type="expression" dxfId="204" priority="1">
      <formula>NOT(_xlfn.ISFORMULA($Z18))</formula>
    </cfRule>
  </conditionalFormatting>
  <dataValidations count="1">
    <dataValidation type="list" allowBlank="1" showInputMessage="1" showErrorMessage="1" sqref="F97:G97 F102:G102 F59:G60 F94:G95 F81:G87 F90:G92 F56:G57 F99:G100 F78:G79 F68:G69 S18:S21 F18:G21 F71:G76 F44:G47 F49:G54 F62:G66 F23:F41" xr:uid="{73CEE1CD-8FF1-4175-8123-70F560932F56}">
      <formula1>Descrizioni</formula1>
    </dataValidation>
  </dataValidations>
  <printOptions horizontalCentered="1"/>
  <pageMargins left="0.23622047244094491" right="0.23622047244094491" top="0.74803149606299213" bottom="0.74803149606299213" header="0.31496062992125984" footer="0.31496062992125984"/>
  <pageSetup paperSize="9" fitToHeight="0" orientation="portrait" r:id="rId1"/>
  <headerFooter>
    <oddFooter>&amp;L&amp;"-,Grassetto" Riservato&amp;C&amp;D&amp;RPagina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EDC2F145-1A67-4A7F-BE1F-B6A1EF08EA80}">
            <x14:dataBar minLength="0" maxLength="100" border="1" negativeBarBorderColorSameAsPositive="0">
              <x14:cfvo type="autoMin"/>
              <x14:cfvo type="autoMax"/>
              <x14:borderColor rgb="FF63C384"/>
              <x14:negativeFillColor rgb="FFFF0000"/>
              <x14:negativeBorderColor rgb="FFFF0000"/>
              <x14:axisColor rgb="FF000000"/>
            </x14:dataBar>
          </x14:cfRule>
          <xm:sqref>AB99:AB100 AB102 AB94:AB95 AB97 AB90:AB92 AB81:AB82 AB87 AB85 AB78:AB79 AB71:AB76 AB68:AB69 AB59:AB60 AB56:AB57 AB44:AB47 AB62:AB66 AB49:AB54 AB23:AB41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AD54-A56F-4C55-8AD6-974AFA8A35E6}">
  <sheetPr codeName="EURM">
    <tabColor theme="5" tint="0.79998168889431442"/>
    <outlinePr summaryBelow="0" summaryRight="0"/>
    <pageSetUpPr fitToPage="1"/>
  </sheetPr>
  <dimension ref="A1:XFC123"/>
  <sheetViews>
    <sheetView showGridLines="0" workbookViewId="0">
      <pane xSplit="26" ySplit="21" topLeftCell="BP22" activePane="bottomRight" state="frozen"/>
      <selection activeCell="CJ19" sqref="CJ19"/>
      <selection pane="topRight" activeCell="CJ19" sqref="CJ19"/>
      <selection pane="bottomLeft" activeCell="CJ19" sqref="CJ19"/>
      <selection pane="bottomRight" activeCell="CF4" sqref="CF4:CW4"/>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10" hidden="1" customWidth="1" outlineLevel="1"/>
    <col min="6" max="6" width="52.28515625" style="142" customWidth="1" collapsed="1"/>
    <col min="7" max="7" width="8.85546875" style="611" hidden="1" customWidth="1" outlineLevel="1"/>
    <col min="8" max="12" width="2.7109375" style="1761" hidden="1" customWidth="1" outlineLevel="1"/>
    <col min="13" max="13" width="3.7109375" style="1797" hidden="1" customWidth="1" outlineLevel="1"/>
    <col min="14" max="14" width="6.5703125" style="615" hidden="1" customWidth="1" outlineLevel="1"/>
    <col min="15" max="15" width="6.85546875" style="615" hidden="1" customWidth="1" outlineLevel="1"/>
    <col min="16" max="16" width="6.5703125" style="615" hidden="1" customWidth="1" outlineLevel="1"/>
    <col min="17" max="17" width="8.85546875" style="615" hidden="1" customWidth="1" outlineLevel="1"/>
    <col min="18" max="18" width="8.28515625" style="615" hidden="1" customWidth="1" outlineLevel="1"/>
    <col min="19" max="19" width="2.7109375" style="612" customWidth="1" collapsed="1"/>
    <col min="20" max="20" width="8.7109375" style="612" hidden="1" customWidth="1" outlineLevel="1"/>
    <col min="21" max="21" width="6.5703125" style="35" hidden="1" customWidth="1" outlineLevel="1"/>
    <col min="22" max="22" width="8.5703125" style="617" hidden="1" customWidth="1" outlineLevel="1"/>
    <col min="23" max="23" width="4.140625" style="142" customWidth="1"/>
    <col min="24" max="24" width="8.42578125" style="142" customWidth="1"/>
    <col min="25" max="25" width="6.140625" style="142" customWidth="1"/>
    <col min="26" max="26" width="5.85546875" style="943" customWidth="1"/>
    <col min="27" max="27" width="8.85546875" style="413" customWidth="1" collapsed="1"/>
    <col min="28" max="28" width="6.85546875" style="413" hidden="1" customWidth="1" outlineLevel="1"/>
    <col min="29" max="29" width="8.85546875" style="413" hidden="1" customWidth="1" outlineLevel="1"/>
    <col min="30" max="31" width="8.85546875" style="142" customWidth="1"/>
    <col min="32" max="32" width="6.85546875" style="613" customWidth="1" collapsed="1"/>
    <col min="33" max="35" width="8.85546875" style="142" hidden="1" customWidth="1"/>
    <col min="36" max="36" width="6.85546875" style="613" hidden="1" customWidth="1"/>
    <col min="37" max="39" width="8.85546875" style="142" customWidth="1"/>
    <col min="40" max="40" width="6.85546875" style="613" customWidth="1"/>
    <col min="41" max="43" width="8.85546875" style="142" hidden="1" customWidth="1"/>
    <col min="44" max="44" width="6.85546875" style="613" hidden="1" customWidth="1"/>
    <col min="45" max="45" width="2.42578125" style="38" hidden="1" customWidth="1"/>
    <col min="46" max="46" width="8.85546875" style="413" customWidth="1" collapsed="1"/>
    <col min="47" max="47" width="6.85546875" style="413" hidden="1" customWidth="1" outlineLevel="1"/>
    <col min="48" max="48" width="8.85546875" style="413" hidden="1" customWidth="1" outlineLevel="1"/>
    <col min="49" max="50" width="8.85546875" style="142" customWidth="1"/>
    <col min="51" max="51" width="6.85546875" style="613" customWidth="1" collapsed="1"/>
    <col min="52" max="54" width="8.85546875" style="142" hidden="1" customWidth="1"/>
    <col min="55" max="55" width="6.85546875" style="613" hidden="1" customWidth="1"/>
    <col min="56" max="58" width="8.85546875" style="142" customWidth="1"/>
    <col min="59" max="59" width="6.85546875" style="613" customWidth="1"/>
    <col min="60" max="62" width="8.85546875" style="142" hidden="1" customWidth="1"/>
    <col min="63" max="63" width="6.85546875" style="613" hidden="1" customWidth="1"/>
    <col min="64" max="64" width="2.42578125" style="38" hidden="1" customWidth="1"/>
    <col min="65" max="65" width="8.85546875" style="413" customWidth="1" collapsed="1"/>
    <col min="66" max="66" width="6.85546875" style="413" hidden="1" customWidth="1" outlineLevel="1"/>
    <col min="67" max="67" width="8.85546875" style="413" hidden="1" customWidth="1" outlineLevel="1"/>
    <col min="68" max="69" width="8.85546875" style="142" customWidth="1"/>
    <col min="70" max="70" width="6.85546875" style="613" customWidth="1" collapsed="1"/>
    <col min="71" max="73" width="8.85546875" style="142" hidden="1" customWidth="1"/>
    <col min="74" max="74" width="6.85546875" style="613" hidden="1" customWidth="1"/>
    <col min="75" max="77" width="8.85546875" style="142" customWidth="1"/>
    <col min="78" max="78" width="6.85546875" style="613" customWidth="1"/>
    <col min="79" max="81" width="8.85546875" style="142" hidden="1" customWidth="1"/>
    <col min="82" max="82" width="6.85546875" style="613" hidden="1" customWidth="1"/>
    <col min="83" max="83" width="2.42578125" style="38" hidden="1" customWidth="1"/>
    <col min="84" max="84" width="8.85546875" style="413" customWidth="1" collapsed="1"/>
    <col min="85" max="85" width="6.85546875" style="413" hidden="1" customWidth="1" outlineLevel="1"/>
    <col min="86" max="86" width="8.85546875" style="413" hidden="1" customWidth="1" outlineLevel="1"/>
    <col min="87" max="88" width="8.85546875" style="142" customWidth="1"/>
    <col min="89" max="89" width="6.85546875" style="613" customWidth="1" collapsed="1"/>
    <col min="90" max="92" width="8.85546875" style="142" hidden="1" customWidth="1"/>
    <col min="93" max="93" width="6.85546875" style="613" hidden="1" customWidth="1"/>
    <col min="94" max="96" width="8.85546875" style="142" customWidth="1"/>
    <col min="97" max="97" width="6.85546875" style="613" customWidth="1"/>
    <col min="98" max="100" width="8.85546875" style="142" hidden="1" customWidth="1"/>
    <col min="101" max="101" width="6.85546875" style="613" hidden="1" customWidth="1"/>
    <col min="102" max="102" width="2.42578125" style="38" hidden="1" customWidth="1"/>
    <col min="103" max="16384" width="9.28515625" style="142"/>
  </cols>
  <sheetData>
    <row r="1" spans="1:1023 1029:2043 2049:3069 3075:4095 4101:5115 5121:6141 6147:7167 7173:8187 8193:9213 9219:10239 10245:11259 11265:12285 12291:13311 13317:14331 14337:15357 15363:16383" s="755" customFormat="1" x14ac:dyDescent="0.2">
      <c r="A1" s="21" t="s">
        <v>651</v>
      </c>
      <c r="B1" s="21"/>
      <c r="C1" s="21"/>
      <c r="D1" s="21"/>
      <c r="E1" s="752"/>
      <c r="F1" s="21"/>
      <c r="G1" s="23"/>
      <c r="H1" s="1741"/>
      <c r="I1" s="1741"/>
      <c r="J1" s="1741"/>
      <c r="K1" s="1741"/>
      <c r="L1" s="1741"/>
      <c r="M1" s="1741"/>
      <c r="O1" s="95"/>
      <c r="R1" s="755" t="s">
        <v>381</v>
      </c>
      <c r="U1" s="95"/>
      <c r="V1" s="755" t="s">
        <v>652</v>
      </c>
      <c r="AA1" s="1995" t="s">
        <v>383</v>
      </c>
      <c r="AB1" s="1995"/>
      <c r="AC1" s="1995"/>
      <c r="AD1" s="1995"/>
      <c r="AE1" s="1995"/>
      <c r="AF1" s="1995"/>
      <c r="AG1" s="1995"/>
      <c r="AH1" s="1995"/>
      <c r="AI1" s="1995"/>
      <c r="AJ1" s="1995"/>
      <c r="AK1" s="1995"/>
      <c r="AL1" s="1995"/>
      <c r="AM1" s="1995"/>
      <c r="AN1" s="1995"/>
      <c r="AO1" s="1995"/>
      <c r="AP1" s="1995"/>
      <c r="AQ1" s="1995"/>
      <c r="AR1" s="1995"/>
      <c r="AS1" s="95"/>
      <c r="AT1" s="1995" t="s">
        <v>382</v>
      </c>
      <c r="AU1" s="1995"/>
      <c r="AV1" s="1995"/>
      <c r="AW1" s="1995"/>
      <c r="AX1" s="1995"/>
      <c r="AY1" s="1995"/>
      <c r="AZ1" s="1995"/>
      <c r="BA1" s="1995"/>
      <c r="BB1" s="1995"/>
      <c r="BC1" s="1995"/>
      <c r="BD1" s="1995"/>
      <c r="BE1" s="1995"/>
      <c r="BF1" s="1995"/>
      <c r="BG1" s="1995"/>
      <c r="BH1" s="1995"/>
      <c r="BI1" s="1995"/>
      <c r="BJ1" s="1995"/>
      <c r="BK1" s="1995"/>
      <c r="BM1" s="1995" t="s">
        <v>379</v>
      </c>
      <c r="BN1" s="1995"/>
      <c r="BO1" s="1995"/>
      <c r="BP1" s="1995"/>
      <c r="BQ1" s="1995"/>
      <c r="BR1" s="1995"/>
      <c r="BS1" s="1995"/>
      <c r="BT1" s="1995"/>
      <c r="BU1" s="1995"/>
      <c r="BV1" s="1995"/>
      <c r="BW1" s="1995"/>
      <c r="BX1" s="1995"/>
      <c r="BY1" s="1995"/>
      <c r="BZ1" s="1995"/>
      <c r="CA1" s="1995"/>
      <c r="CB1" s="1995"/>
      <c r="CC1" s="1995"/>
      <c r="CD1" s="1995"/>
      <c r="CF1" s="1995" t="s">
        <v>106</v>
      </c>
      <c r="CG1" s="1995"/>
      <c r="CH1" s="1995"/>
      <c r="CI1" s="1995"/>
      <c r="CJ1" s="1995"/>
      <c r="CK1" s="1995"/>
      <c r="CL1" s="1995"/>
      <c r="CM1" s="1995"/>
      <c r="CN1" s="1995"/>
      <c r="CO1" s="1995"/>
      <c r="CP1" s="1995"/>
      <c r="CQ1" s="1995"/>
      <c r="CR1" s="1995"/>
      <c r="CS1" s="1995"/>
      <c r="CT1" s="1995"/>
      <c r="CU1" s="1995"/>
      <c r="CV1" s="1995"/>
      <c r="CW1" s="1995"/>
      <c r="DA1" s="95"/>
      <c r="DG1" s="95"/>
      <c r="DM1" s="95"/>
      <c r="DS1" s="95"/>
      <c r="DY1" s="95"/>
      <c r="EE1" s="95"/>
      <c r="EK1" s="95"/>
      <c r="EQ1" s="95"/>
      <c r="EW1" s="95"/>
      <c r="FC1" s="95"/>
      <c r="FI1" s="95"/>
      <c r="FO1" s="95"/>
      <c r="FU1" s="95"/>
      <c r="GA1" s="95"/>
      <c r="GG1" s="95"/>
      <c r="GM1" s="95"/>
      <c r="GS1" s="95"/>
      <c r="GY1" s="95"/>
      <c r="HE1" s="95"/>
      <c r="HK1" s="95"/>
      <c r="HQ1" s="95"/>
      <c r="HW1" s="95"/>
      <c r="IC1" s="95"/>
      <c r="II1" s="95"/>
      <c r="IO1" s="95"/>
      <c r="IU1" s="95"/>
      <c r="JA1" s="95"/>
      <c r="JG1" s="95"/>
      <c r="JM1" s="95"/>
      <c r="JS1" s="95"/>
      <c r="JY1" s="95"/>
      <c r="KE1" s="95"/>
      <c r="KK1" s="95"/>
      <c r="KQ1" s="95"/>
      <c r="KW1" s="95"/>
      <c r="LC1" s="95"/>
      <c r="LI1" s="95"/>
      <c r="LO1" s="95"/>
      <c r="LU1" s="95"/>
      <c r="MA1" s="95"/>
      <c r="MG1" s="95"/>
      <c r="MM1" s="95"/>
      <c r="MS1" s="95"/>
      <c r="MY1" s="95"/>
      <c r="NE1" s="95"/>
      <c r="NK1" s="95"/>
      <c r="NQ1" s="95"/>
      <c r="NW1" s="95"/>
      <c r="OC1" s="95"/>
      <c r="OI1" s="95"/>
      <c r="OO1" s="95"/>
      <c r="OU1" s="95"/>
      <c r="PA1" s="95"/>
      <c r="PG1" s="95"/>
      <c r="PM1" s="95"/>
      <c r="PS1" s="95"/>
      <c r="PY1" s="95"/>
      <c r="QE1" s="95"/>
      <c r="QK1" s="95"/>
      <c r="QQ1" s="95"/>
      <c r="QW1" s="95"/>
      <c r="RC1" s="95"/>
      <c r="RI1" s="95"/>
      <c r="RO1" s="95"/>
      <c r="RU1" s="95"/>
      <c r="SA1" s="95"/>
      <c r="SG1" s="95"/>
      <c r="SM1" s="95"/>
      <c r="SS1" s="95"/>
      <c r="SY1" s="95"/>
      <c r="TE1" s="95"/>
      <c r="TK1" s="95"/>
      <c r="TQ1" s="95"/>
      <c r="TW1" s="95"/>
      <c r="UC1" s="95"/>
      <c r="UI1" s="95"/>
      <c r="UO1" s="95"/>
      <c r="UU1" s="95"/>
      <c r="VA1" s="95"/>
      <c r="VG1" s="95"/>
      <c r="VM1" s="95"/>
      <c r="VS1" s="95"/>
      <c r="VY1" s="95"/>
      <c r="WE1" s="95"/>
      <c r="WK1" s="95"/>
      <c r="WQ1" s="95"/>
      <c r="WW1" s="95"/>
      <c r="XC1" s="95"/>
      <c r="XI1" s="95"/>
      <c r="XO1" s="95"/>
      <c r="XU1" s="95"/>
      <c r="YA1" s="95"/>
      <c r="YG1" s="95"/>
      <c r="YM1" s="95"/>
      <c r="YS1" s="95"/>
      <c r="YY1" s="95"/>
      <c r="ZE1" s="95"/>
      <c r="ZK1" s="95"/>
      <c r="ZQ1" s="95"/>
      <c r="ZW1" s="95"/>
      <c r="AAC1" s="95"/>
      <c r="AAI1" s="95"/>
      <c r="AAO1" s="95"/>
      <c r="AAU1" s="95"/>
      <c r="ABA1" s="95"/>
      <c r="ABG1" s="95"/>
      <c r="ABM1" s="95"/>
      <c r="ABS1" s="95"/>
      <c r="ABY1" s="95"/>
      <c r="ACE1" s="95"/>
      <c r="ACK1" s="95"/>
      <c r="ACQ1" s="95"/>
      <c r="ACW1" s="95"/>
      <c r="ADC1" s="95"/>
      <c r="ADI1" s="95"/>
      <c r="ADO1" s="95"/>
      <c r="ADU1" s="95"/>
      <c r="AEA1" s="95"/>
      <c r="AEG1" s="95"/>
      <c r="AEM1" s="95"/>
      <c r="AES1" s="95"/>
      <c r="AEY1" s="95"/>
      <c r="AFE1" s="95"/>
      <c r="AFK1" s="95"/>
      <c r="AFQ1" s="95"/>
      <c r="AFW1" s="95"/>
      <c r="AGC1" s="95"/>
      <c r="AGI1" s="95"/>
      <c r="AGO1" s="95"/>
      <c r="AGU1" s="95"/>
      <c r="AHA1" s="95"/>
      <c r="AHG1" s="95"/>
      <c r="AHM1" s="95"/>
      <c r="AHS1" s="95"/>
      <c r="AHY1" s="95"/>
      <c r="AIE1" s="95"/>
      <c r="AIK1" s="95"/>
      <c r="AIQ1" s="95"/>
      <c r="AIW1" s="95"/>
      <c r="AJC1" s="95"/>
      <c r="AJI1" s="95"/>
      <c r="AJO1" s="95"/>
      <c r="AJU1" s="95"/>
      <c r="AKA1" s="95"/>
      <c r="AKG1" s="95"/>
      <c r="AKM1" s="95"/>
      <c r="AKS1" s="95"/>
      <c r="AKY1" s="95"/>
      <c r="ALE1" s="95"/>
      <c r="ALK1" s="95"/>
      <c r="ALQ1" s="95"/>
      <c r="ALW1" s="95"/>
      <c r="AMC1" s="95"/>
      <c r="AMI1" s="95"/>
      <c r="AMO1" s="95"/>
      <c r="AMU1" s="95"/>
      <c r="ANA1" s="95"/>
      <c r="ANG1" s="95"/>
      <c r="ANM1" s="95"/>
      <c r="ANS1" s="95"/>
      <c r="ANY1" s="95"/>
      <c r="AOE1" s="95"/>
      <c r="AOK1" s="95"/>
      <c r="AOQ1" s="95"/>
      <c r="AOW1" s="95"/>
      <c r="APC1" s="95"/>
      <c r="API1" s="95"/>
      <c r="APO1" s="95"/>
      <c r="APU1" s="95"/>
      <c r="AQA1" s="95"/>
      <c r="AQG1" s="95"/>
      <c r="AQM1" s="95"/>
      <c r="AQS1" s="95"/>
      <c r="AQY1" s="95"/>
      <c r="ARE1" s="95"/>
      <c r="ARK1" s="95"/>
      <c r="ARQ1" s="95"/>
      <c r="ARW1" s="95"/>
      <c r="ASC1" s="95"/>
      <c r="ASI1" s="95"/>
      <c r="ASO1" s="95"/>
      <c r="ASU1" s="95"/>
      <c r="ATA1" s="95"/>
      <c r="ATG1" s="95"/>
      <c r="ATM1" s="95"/>
      <c r="ATS1" s="95"/>
      <c r="ATY1" s="95"/>
      <c r="AUE1" s="95"/>
      <c r="AUK1" s="95"/>
      <c r="AUQ1" s="95"/>
      <c r="AUW1" s="95"/>
      <c r="AVC1" s="95"/>
      <c r="AVI1" s="95"/>
      <c r="AVO1" s="95"/>
      <c r="AVU1" s="95"/>
      <c r="AWA1" s="95"/>
      <c r="AWG1" s="95"/>
      <c r="AWM1" s="95"/>
      <c r="AWS1" s="95"/>
      <c r="AWY1" s="95"/>
      <c r="AXE1" s="95"/>
      <c r="AXK1" s="95"/>
      <c r="AXQ1" s="95"/>
      <c r="AXW1" s="95"/>
      <c r="AYC1" s="95"/>
      <c r="AYI1" s="95"/>
      <c r="AYO1" s="95"/>
      <c r="AYU1" s="95"/>
      <c r="AZA1" s="95"/>
      <c r="AZG1" s="95"/>
      <c r="AZM1" s="95"/>
      <c r="AZS1" s="95"/>
      <c r="AZY1" s="95"/>
      <c r="BAE1" s="95"/>
      <c r="BAK1" s="95"/>
      <c r="BAQ1" s="95"/>
      <c r="BAW1" s="95"/>
      <c r="BBC1" s="95"/>
      <c r="BBI1" s="95"/>
      <c r="BBO1" s="95"/>
      <c r="BBU1" s="95"/>
      <c r="BCA1" s="95"/>
      <c r="BCG1" s="95"/>
      <c r="BCM1" s="95"/>
      <c r="BCS1" s="95"/>
      <c r="BCY1" s="95"/>
      <c r="BDE1" s="95"/>
      <c r="BDK1" s="95"/>
      <c r="BDQ1" s="95"/>
      <c r="BDW1" s="95"/>
      <c r="BEC1" s="95"/>
      <c r="BEI1" s="95"/>
      <c r="BEO1" s="95"/>
      <c r="BEU1" s="95"/>
      <c r="BFA1" s="95"/>
      <c r="BFG1" s="95"/>
      <c r="BFM1" s="95"/>
      <c r="BFS1" s="95"/>
      <c r="BFY1" s="95"/>
      <c r="BGE1" s="95"/>
      <c r="BGK1" s="95"/>
      <c r="BGQ1" s="95"/>
      <c r="BGW1" s="95"/>
      <c r="BHC1" s="95"/>
      <c r="BHI1" s="95"/>
      <c r="BHO1" s="95"/>
      <c r="BHU1" s="95"/>
      <c r="BIA1" s="95"/>
      <c r="BIG1" s="95"/>
      <c r="BIM1" s="95"/>
      <c r="BIS1" s="95"/>
      <c r="BIY1" s="95"/>
      <c r="BJE1" s="95"/>
      <c r="BJK1" s="95"/>
      <c r="BJQ1" s="95"/>
      <c r="BJW1" s="95"/>
      <c r="BKC1" s="95"/>
      <c r="BKI1" s="95"/>
      <c r="BKO1" s="95"/>
      <c r="BKU1" s="95"/>
      <c r="BLA1" s="95"/>
      <c r="BLG1" s="95"/>
      <c r="BLM1" s="95"/>
      <c r="BLS1" s="95"/>
      <c r="BLY1" s="95"/>
      <c r="BME1" s="95"/>
      <c r="BMK1" s="95"/>
      <c r="BMQ1" s="95"/>
      <c r="BMW1" s="95"/>
      <c r="BNC1" s="95"/>
      <c r="BNI1" s="95"/>
      <c r="BNO1" s="95"/>
      <c r="BNU1" s="95"/>
      <c r="BOA1" s="95"/>
      <c r="BOG1" s="95"/>
      <c r="BOM1" s="95"/>
      <c r="BOS1" s="95"/>
      <c r="BOY1" s="95"/>
      <c r="BPE1" s="95"/>
      <c r="BPK1" s="95"/>
      <c r="BPQ1" s="95"/>
      <c r="BPW1" s="95"/>
      <c r="BQC1" s="95"/>
      <c r="BQI1" s="95"/>
      <c r="BQO1" s="95"/>
      <c r="BQU1" s="95"/>
      <c r="BRA1" s="95"/>
      <c r="BRG1" s="95"/>
      <c r="BRM1" s="95"/>
      <c r="BRS1" s="95"/>
      <c r="BRY1" s="95"/>
      <c r="BSE1" s="95"/>
      <c r="BSK1" s="95"/>
      <c r="BSQ1" s="95"/>
      <c r="BSW1" s="95"/>
      <c r="BTC1" s="95"/>
      <c r="BTI1" s="95"/>
      <c r="BTO1" s="95"/>
      <c r="BTU1" s="95"/>
      <c r="BUA1" s="95"/>
      <c r="BUG1" s="95"/>
      <c r="BUM1" s="95"/>
      <c r="BUS1" s="95"/>
      <c r="BUY1" s="95"/>
      <c r="BVE1" s="95"/>
      <c r="BVK1" s="95"/>
      <c r="BVQ1" s="95"/>
      <c r="BVW1" s="95"/>
      <c r="BWC1" s="95"/>
      <c r="BWI1" s="95"/>
      <c r="BWO1" s="95"/>
      <c r="BWU1" s="95"/>
      <c r="BXA1" s="95"/>
      <c r="BXG1" s="95"/>
      <c r="BXM1" s="95"/>
      <c r="BXS1" s="95"/>
      <c r="BXY1" s="95"/>
      <c r="BYE1" s="95"/>
      <c r="BYK1" s="95"/>
      <c r="BYQ1" s="95"/>
      <c r="BYW1" s="95"/>
      <c r="BZC1" s="95"/>
      <c r="BZI1" s="95"/>
      <c r="BZO1" s="95"/>
      <c r="BZU1" s="95"/>
      <c r="CAA1" s="95"/>
      <c r="CAG1" s="95"/>
      <c r="CAM1" s="95"/>
      <c r="CAS1" s="95"/>
      <c r="CAY1" s="95"/>
      <c r="CBE1" s="95"/>
      <c r="CBK1" s="95"/>
      <c r="CBQ1" s="95"/>
      <c r="CBW1" s="95"/>
      <c r="CCC1" s="95"/>
      <c r="CCI1" s="95"/>
      <c r="CCO1" s="95"/>
      <c r="CCU1" s="95"/>
      <c r="CDA1" s="95"/>
      <c r="CDG1" s="95"/>
      <c r="CDM1" s="95"/>
      <c r="CDS1" s="95"/>
      <c r="CDY1" s="95"/>
      <c r="CEE1" s="95"/>
      <c r="CEK1" s="95"/>
      <c r="CEQ1" s="95"/>
      <c r="CEW1" s="95"/>
      <c r="CFC1" s="95"/>
      <c r="CFI1" s="95"/>
      <c r="CFO1" s="95"/>
      <c r="CFU1" s="95"/>
      <c r="CGA1" s="95"/>
      <c r="CGG1" s="95"/>
      <c r="CGM1" s="95"/>
      <c r="CGS1" s="95"/>
      <c r="CGY1" s="95"/>
      <c r="CHE1" s="95"/>
      <c r="CHK1" s="95"/>
      <c r="CHQ1" s="95"/>
      <c r="CHW1" s="95"/>
      <c r="CIC1" s="95"/>
      <c r="CII1" s="95"/>
      <c r="CIO1" s="95"/>
      <c r="CIU1" s="95"/>
      <c r="CJA1" s="95"/>
      <c r="CJG1" s="95"/>
      <c r="CJM1" s="95"/>
      <c r="CJS1" s="95"/>
      <c r="CJY1" s="95"/>
      <c r="CKE1" s="95"/>
      <c r="CKK1" s="95"/>
      <c r="CKQ1" s="95"/>
      <c r="CKW1" s="95"/>
      <c r="CLC1" s="95"/>
      <c r="CLI1" s="95"/>
      <c r="CLO1" s="95"/>
      <c r="CLU1" s="95"/>
      <c r="CMA1" s="95"/>
      <c r="CMG1" s="95"/>
      <c r="CMM1" s="95"/>
      <c r="CMS1" s="95"/>
      <c r="CMY1" s="95"/>
      <c r="CNE1" s="95"/>
      <c r="CNK1" s="95"/>
      <c r="CNQ1" s="95"/>
      <c r="CNW1" s="95"/>
      <c r="COC1" s="95"/>
      <c r="COI1" s="95"/>
      <c r="COO1" s="95"/>
      <c r="COU1" s="95"/>
      <c r="CPA1" s="95"/>
      <c r="CPG1" s="95"/>
      <c r="CPM1" s="95"/>
      <c r="CPS1" s="95"/>
      <c r="CPY1" s="95"/>
      <c r="CQE1" s="95"/>
      <c r="CQK1" s="95"/>
      <c r="CQQ1" s="95"/>
      <c r="CQW1" s="95"/>
      <c r="CRC1" s="95"/>
      <c r="CRI1" s="95"/>
      <c r="CRO1" s="95"/>
      <c r="CRU1" s="95"/>
      <c r="CSA1" s="95"/>
      <c r="CSG1" s="95"/>
      <c r="CSM1" s="95"/>
      <c r="CSS1" s="95"/>
      <c r="CSY1" s="95"/>
      <c r="CTE1" s="95"/>
      <c r="CTK1" s="95"/>
      <c r="CTQ1" s="95"/>
      <c r="CTW1" s="95"/>
      <c r="CUC1" s="95"/>
      <c r="CUI1" s="95"/>
      <c r="CUO1" s="95"/>
      <c r="CUU1" s="95"/>
      <c r="CVA1" s="95"/>
      <c r="CVG1" s="95"/>
      <c r="CVM1" s="95"/>
      <c r="CVS1" s="95"/>
      <c r="CVY1" s="95"/>
      <c r="CWE1" s="95"/>
      <c r="CWK1" s="95"/>
      <c r="CWQ1" s="95"/>
      <c r="CWW1" s="95"/>
      <c r="CXC1" s="95"/>
      <c r="CXI1" s="95"/>
      <c r="CXO1" s="95"/>
      <c r="CXU1" s="95"/>
      <c r="CYA1" s="95"/>
      <c r="CYG1" s="95"/>
      <c r="CYM1" s="95"/>
      <c r="CYS1" s="95"/>
      <c r="CYY1" s="95"/>
      <c r="CZE1" s="95"/>
      <c r="CZK1" s="95"/>
      <c r="CZQ1" s="95"/>
      <c r="CZW1" s="95"/>
      <c r="DAC1" s="95"/>
      <c r="DAI1" s="95"/>
      <c r="DAO1" s="95"/>
      <c r="DAU1" s="95"/>
      <c r="DBA1" s="95"/>
      <c r="DBG1" s="95"/>
      <c r="DBM1" s="95"/>
      <c r="DBS1" s="95"/>
      <c r="DBY1" s="95"/>
      <c r="DCE1" s="95"/>
      <c r="DCK1" s="95"/>
      <c r="DCQ1" s="95"/>
      <c r="DCW1" s="95"/>
      <c r="DDC1" s="95"/>
      <c r="DDI1" s="95"/>
      <c r="DDO1" s="95"/>
      <c r="DDU1" s="95"/>
      <c r="DEA1" s="95"/>
      <c r="DEG1" s="95"/>
      <c r="DEM1" s="95"/>
      <c r="DES1" s="95"/>
      <c r="DEY1" s="95"/>
      <c r="DFE1" s="95"/>
      <c r="DFK1" s="95"/>
      <c r="DFQ1" s="95"/>
      <c r="DFW1" s="95"/>
      <c r="DGC1" s="95"/>
      <c r="DGI1" s="95"/>
      <c r="DGO1" s="95"/>
      <c r="DGU1" s="95"/>
      <c r="DHA1" s="95"/>
      <c r="DHG1" s="95"/>
      <c r="DHM1" s="95"/>
      <c r="DHS1" s="95"/>
      <c r="DHY1" s="95"/>
      <c r="DIE1" s="95"/>
      <c r="DIK1" s="95"/>
      <c r="DIQ1" s="95"/>
      <c r="DIW1" s="95"/>
      <c r="DJC1" s="95"/>
      <c r="DJI1" s="95"/>
      <c r="DJO1" s="95"/>
      <c r="DJU1" s="95"/>
      <c r="DKA1" s="95"/>
      <c r="DKG1" s="95"/>
      <c r="DKM1" s="95"/>
      <c r="DKS1" s="95"/>
      <c r="DKY1" s="95"/>
      <c r="DLE1" s="95"/>
      <c r="DLK1" s="95"/>
      <c r="DLQ1" s="95"/>
      <c r="DLW1" s="95"/>
      <c r="DMC1" s="95"/>
      <c r="DMI1" s="95"/>
      <c r="DMO1" s="95"/>
      <c r="DMU1" s="95"/>
      <c r="DNA1" s="95"/>
      <c r="DNG1" s="95"/>
      <c r="DNM1" s="95"/>
      <c r="DNS1" s="95"/>
      <c r="DNY1" s="95"/>
      <c r="DOE1" s="95"/>
      <c r="DOK1" s="95"/>
      <c r="DOQ1" s="95"/>
      <c r="DOW1" s="95"/>
      <c r="DPC1" s="95"/>
      <c r="DPI1" s="95"/>
      <c r="DPO1" s="95"/>
      <c r="DPU1" s="95"/>
      <c r="DQA1" s="95"/>
      <c r="DQG1" s="95"/>
      <c r="DQM1" s="95"/>
      <c r="DQS1" s="95"/>
      <c r="DQY1" s="95"/>
      <c r="DRE1" s="95"/>
      <c r="DRK1" s="95"/>
      <c r="DRQ1" s="95"/>
      <c r="DRW1" s="95"/>
      <c r="DSC1" s="95"/>
      <c r="DSI1" s="95"/>
      <c r="DSO1" s="95"/>
      <c r="DSU1" s="95"/>
      <c r="DTA1" s="95"/>
      <c r="DTG1" s="95"/>
      <c r="DTM1" s="95"/>
      <c r="DTS1" s="95"/>
      <c r="DTY1" s="95"/>
      <c r="DUE1" s="95"/>
      <c r="DUK1" s="95"/>
      <c r="DUQ1" s="95"/>
      <c r="DUW1" s="95"/>
      <c r="DVC1" s="95"/>
      <c r="DVI1" s="95"/>
      <c r="DVO1" s="95"/>
      <c r="DVU1" s="95"/>
      <c r="DWA1" s="95"/>
      <c r="DWG1" s="95"/>
      <c r="DWM1" s="95"/>
      <c r="DWS1" s="95"/>
      <c r="DWY1" s="95"/>
      <c r="DXE1" s="95"/>
      <c r="DXK1" s="95"/>
      <c r="DXQ1" s="95"/>
      <c r="DXW1" s="95"/>
      <c r="DYC1" s="95"/>
      <c r="DYI1" s="95"/>
      <c r="DYO1" s="95"/>
      <c r="DYU1" s="95"/>
      <c r="DZA1" s="95"/>
      <c r="DZG1" s="95"/>
      <c r="DZM1" s="95"/>
      <c r="DZS1" s="95"/>
      <c r="DZY1" s="95"/>
      <c r="EAE1" s="95"/>
      <c r="EAK1" s="95"/>
      <c r="EAQ1" s="95"/>
      <c r="EAW1" s="95"/>
      <c r="EBC1" s="95"/>
      <c r="EBI1" s="95"/>
      <c r="EBO1" s="95"/>
      <c r="EBU1" s="95"/>
      <c r="ECA1" s="95"/>
      <c r="ECG1" s="95"/>
      <c r="ECM1" s="95"/>
      <c r="ECS1" s="95"/>
      <c r="ECY1" s="95"/>
      <c r="EDE1" s="95"/>
      <c r="EDK1" s="95"/>
      <c r="EDQ1" s="95"/>
      <c r="EDW1" s="95"/>
      <c r="EEC1" s="95"/>
      <c r="EEI1" s="95"/>
      <c r="EEO1" s="95"/>
      <c r="EEU1" s="95"/>
      <c r="EFA1" s="95"/>
      <c r="EFG1" s="95"/>
      <c r="EFM1" s="95"/>
      <c r="EFS1" s="95"/>
      <c r="EFY1" s="95"/>
      <c r="EGE1" s="95"/>
      <c r="EGK1" s="95"/>
      <c r="EGQ1" s="95"/>
      <c r="EGW1" s="95"/>
      <c r="EHC1" s="95"/>
      <c r="EHI1" s="95"/>
      <c r="EHO1" s="95"/>
      <c r="EHU1" s="95"/>
      <c r="EIA1" s="95"/>
      <c r="EIG1" s="95"/>
      <c r="EIM1" s="95"/>
      <c r="EIS1" s="95"/>
      <c r="EIY1" s="95"/>
      <c r="EJE1" s="95"/>
      <c r="EJK1" s="95"/>
      <c r="EJQ1" s="95"/>
      <c r="EJW1" s="95"/>
      <c r="EKC1" s="95"/>
      <c r="EKI1" s="95"/>
      <c r="EKO1" s="95"/>
      <c r="EKU1" s="95"/>
      <c r="ELA1" s="95"/>
      <c r="ELG1" s="95"/>
      <c r="ELM1" s="95"/>
      <c r="ELS1" s="95"/>
      <c r="ELY1" s="95"/>
      <c r="EME1" s="95"/>
      <c r="EMK1" s="95"/>
      <c r="EMQ1" s="95"/>
      <c r="EMW1" s="95"/>
      <c r="ENC1" s="95"/>
      <c r="ENI1" s="95"/>
      <c r="ENO1" s="95"/>
      <c r="ENU1" s="95"/>
      <c r="EOA1" s="95"/>
      <c r="EOG1" s="95"/>
      <c r="EOM1" s="95"/>
      <c r="EOS1" s="95"/>
      <c r="EOY1" s="95"/>
      <c r="EPE1" s="95"/>
      <c r="EPK1" s="95"/>
      <c r="EPQ1" s="95"/>
      <c r="EPW1" s="95"/>
      <c r="EQC1" s="95"/>
      <c r="EQI1" s="95"/>
      <c r="EQO1" s="95"/>
      <c r="EQU1" s="95"/>
      <c r="ERA1" s="95"/>
      <c r="ERG1" s="95"/>
      <c r="ERM1" s="95"/>
      <c r="ERS1" s="95"/>
      <c r="ERY1" s="95"/>
      <c r="ESE1" s="95"/>
      <c r="ESK1" s="95"/>
      <c r="ESQ1" s="95"/>
      <c r="ESW1" s="95"/>
      <c r="ETC1" s="95"/>
      <c r="ETI1" s="95"/>
      <c r="ETO1" s="95"/>
      <c r="ETU1" s="95"/>
      <c r="EUA1" s="95"/>
      <c r="EUG1" s="95"/>
      <c r="EUM1" s="95"/>
      <c r="EUS1" s="95"/>
      <c r="EUY1" s="95"/>
      <c r="EVE1" s="95"/>
      <c r="EVK1" s="95"/>
      <c r="EVQ1" s="95"/>
      <c r="EVW1" s="95"/>
      <c r="EWC1" s="95"/>
      <c r="EWI1" s="95"/>
      <c r="EWO1" s="95"/>
      <c r="EWU1" s="95"/>
      <c r="EXA1" s="95"/>
      <c r="EXG1" s="95"/>
      <c r="EXM1" s="95"/>
      <c r="EXS1" s="95"/>
      <c r="EXY1" s="95"/>
      <c r="EYE1" s="95"/>
      <c r="EYK1" s="95"/>
      <c r="EYQ1" s="95"/>
      <c r="EYW1" s="95"/>
      <c r="EZC1" s="95"/>
      <c r="EZI1" s="95"/>
      <c r="EZO1" s="95"/>
      <c r="EZU1" s="95"/>
      <c r="FAA1" s="95"/>
      <c r="FAG1" s="95"/>
      <c r="FAM1" s="95"/>
      <c r="FAS1" s="95"/>
      <c r="FAY1" s="95"/>
      <c r="FBE1" s="95"/>
      <c r="FBK1" s="95"/>
      <c r="FBQ1" s="95"/>
      <c r="FBW1" s="95"/>
      <c r="FCC1" s="95"/>
      <c r="FCI1" s="95"/>
      <c r="FCO1" s="95"/>
      <c r="FCU1" s="95"/>
      <c r="FDA1" s="95"/>
      <c r="FDG1" s="95"/>
      <c r="FDM1" s="95"/>
      <c r="FDS1" s="95"/>
      <c r="FDY1" s="95"/>
      <c r="FEE1" s="95"/>
      <c r="FEK1" s="95"/>
      <c r="FEQ1" s="95"/>
      <c r="FEW1" s="95"/>
      <c r="FFC1" s="95"/>
      <c r="FFI1" s="95"/>
      <c r="FFO1" s="95"/>
      <c r="FFU1" s="95"/>
      <c r="FGA1" s="95"/>
      <c r="FGG1" s="95"/>
      <c r="FGM1" s="95"/>
      <c r="FGS1" s="95"/>
      <c r="FGY1" s="95"/>
      <c r="FHE1" s="95"/>
      <c r="FHK1" s="95"/>
      <c r="FHQ1" s="95"/>
      <c r="FHW1" s="95"/>
      <c r="FIC1" s="95"/>
      <c r="FII1" s="95"/>
      <c r="FIO1" s="95"/>
      <c r="FIU1" s="95"/>
      <c r="FJA1" s="95"/>
      <c r="FJG1" s="95"/>
      <c r="FJM1" s="95"/>
      <c r="FJS1" s="95"/>
      <c r="FJY1" s="95"/>
      <c r="FKE1" s="95"/>
      <c r="FKK1" s="95"/>
      <c r="FKQ1" s="95"/>
      <c r="FKW1" s="95"/>
      <c r="FLC1" s="95"/>
      <c r="FLI1" s="95"/>
      <c r="FLO1" s="95"/>
      <c r="FLU1" s="95"/>
      <c r="FMA1" s="95"/>
      <c r="FMG1" s="95"/>
      <c r="FMM1" s="95"/>
      <c r="FMS1" s="95"/>
      <c r="FMY1" s="95"/>
      <c r="FNE1" s="95"/>
      <c r="FNK1" s="95"/>
      <c r="FNQ1" s="95"/>
      <c r="FNW1" s="95"/>
      <c r="FOC1" s="95"/>
      <c r="FOI1" s="95"/>
      <c r="FOO1" s="95"/>
      <c r="FOU1" s="95"/>
      <c r="FPA1" s="95"/>
      <c r="FPG1" s="95"/>
      <c r="FPM1" s="95"/>
      <c r="FPS1" s="95"/>
      <c r="FPY1" s="95"/>
      <c r="FQE1" s="95"/>
      <c r="FQK1" s="95"/>
      <c r="FQQ1" s="95"/>
      <c r="FQW1" s="95"/>
      <c r="FRC1" s="95"/>
      <c r="FRI1" s="95"/>
      <c r="FRO1" s="95"/>
      <c r="FRU1" s="95"/>
      <c r="FSA1" s="95"/>
      <c r="FSG1" s="95"/>
      <c r="FSM1" s="95"/>
      <c r="FSS1" s="95"/>
      <c r="FSY1" s="95"/>
      <c r="FTE1" s="95"/>
      <c r="FTK1" s="95"/>
      <c r="FTQ1" s="95"/>
      <c r="FTW1" s="95"/>
      <c r="FUC1" s="95"/>
      <c r="FUI1" s="95"/>
      <c r="FUO1" s="95"/>
      <c r="FUU1" s="95"/>
      <c r="FVA1" s="95"/>
      <c r="FVG1" s="95"/>
      <c r="FVM1" s="95"/>
      <c r="FVS1" s="95"/>
      <c r="FVY1" s="95"/>
      <c r="FWE1" s="95"/>
      <c r="FWK1" s="95"/>
      <c r="FWQ1" s="95"/>
      <c r="FWW1" s="95"/>
      <c r="FXC1" s="95"/>
      <c r="FXI1" s="95"/>
      <c r="FXO1" s="95"/>
      <c r="FXU1" s="95"/>
      <c r="FYA1" s="95"/>
      <c r="FYG1" s="95"/>
      <c r="FYM1" s="95"/>
      <c r="FYS1" s="95"/>
      <c r="FYY1" s="95"/>
      <c r="FZE1" s="95"/>
      <c r="FZK1" s="95"/>
      <c r="FZQ1" s="95"/>
      <c r="FZW1" s="95"/>
      <c r="GAC1" s="95"/>
      <c r="GAI1" s="95"/>
      <c r="GAO1" s="95"/>
      <c r="GAU1" s="95"/>
      <c r="GBA1" s="95"/>
      <c r="GBG1" s="95"/>
      <c r="GBM1" s="95"/>
      <c r="GBS1" s="95"/>
      <c r="GBY1" s="95"/>
      <c r="GCE1" s="95"/>
      <c r="GCK1" s="95"/>
      <c r="GCQ1" s="95"/>
      <c r="GCW1" s="95"/>
      <c r="GDC1" s="95"/>
      <c r="GDI1" s="95"/>
      <c r="GDO1" s="95"/>
      <c r="GDU1" s="95"/>
      <c r="GEA1" s="95"/>
      <c r="GEG1" s="95"/>
      <c r="GEM1" s="95"/>
      <c r="GES1" s="95"/>
      <c r="GEY1" s="95"/>
      <c r="GFE1" s="95"/>
      <c r="GFK1" s="95"/>
      <c r="GFQ1" s="95"/>
      <c r="GFW1" s="95"/>
      <c r="GGC1" s="95"/>
      <c r="GGI1" s="95"/>
      <c r="GGO1" s="95"/>
      <c r="GGU1" s="95"/>
      <c r="GHA1" s="95"/>
      <c r="GHG1" s="95"/>
      <c r="GHM1" s="95"/>
      <c r="GHS1" s="95"/>
      <c r="GHY1" s="95"/>
      <c r="GIE1" s="95"/>
      <c r="GIK1" s="95"/>
      <c r="GIQ1" s="95"/>
      <c r="GIW1" s="95"/>
      <c r="GJC1" s="95"/>
      <c r="GJI1" s="95"/>
      <c r="GJO1" s="95"/>
      <c r="GJU1" s="95"/>
      <c r="GKA1" s="95"/>
      <c r="GKG1" s="95"/>
      <c r="GKM1" s="95"/>
      <c r="GKS1" s="95"/>
      <c r="GKY1" s="95"/>
      <c r="GLE1" s="95"/>
      <c r="GLK1" s="95"/>
      <c r="GLQ1" s="95"/>
      <c r="GLW1" s="95"/>
      <c r="GMC1" s="95"/>
      <c r="GMI1" s="95"/>
      <c r="GMO1" s="95"/>
      <c r="GMU1" s="95"/>
      <c r="GNA1" s="95"/>
      <c r="GNG1" s="95"/>
      <c r="GNM1" s="95"/>
      <c r="GNS1" s="95"/>
      <c r="GNY1" s="95"/>
      <c r="GOE1" s="95"/>
      <c r="GOK1" s="95"/>
      <c r="GOQ1" s="95"/>
      <c r="GOW1" s="95"/>
      <c r="GPC1" s="95"/>
      <c r="GPI1" s="95"/>
      <c r="GPO1" s="95"/>
      <c r="GPU1" s="95"/>
      <c r="GQA1" s="95"/>
      <c r="GQG1" s="95"/>
      <c r="GQM1" s="95"/>
      <c r="GQS1" s="95"/>
      <c r="GQY1" s="95"/>
      <c r="GRE1" s="95"/>
      <c r="GRK1" s="95"/>
      <c r="GRQ1" s="95"/>
      <c r="GRW1" s="95"/>
      <c r="GSC1" s="95"/>
      <c r="GSI1" s="95"/>
      <c r="GSO1" s="95"/>
      <c r="GSU1" s="95"/>
      <c r="GTA1" s="95"/>
      <c r="GTG1" s="95"/>
      <c r="GTM1" s="95"/>
      <c r="GTS1" s="95"/>
      <c r="GTY1" s="95"/>
      <c r="GUE1" s="95"/>
      <c r="GUK1" s="95"/>
      <c r="GUQ1" s="95"/>
      <c r="GUW1" s="95"/>
      <c r="GVC1" s="95"/>
      <c r="GVI1" s="95"/>
      <c r="GVO1" s="95"/>
      <c r="GVU1" s="95"/>
      <c r="GWA1" s="95"/>
      <c r="GWG1" s="95"/>
      <c r="GWM1" s="95"/>
      <c r="GWS1" s="95"/>
      <c r="GWY1" s="95"/>
      <c r="GXE1" s="95"/>
      <c r="GXK1" s="95"/>
      <c r="GXQ1" s="95"/>
      <c r="GXW1" s="95"/>
      <c r="GYC1" s="95"/>
      <c r="GYI1" s="95"/>
      <c r="GYO1" s="95"/>
      <c r="GYU1" s="95"/>
      <c r="GZA1" s="95"/>
      <c r="GZG1" s="95"/>
      <c r="GZM1" s="95"/>
      <c r="GZS1" s="95"/>
      <c r="GZY1" s="95"/>
      <c r="HAE1" s="95"/>
      <c r="HAK1" s="95"/>
      <c r="HAQ1" s="95"/>
      <c r="HAW1" s="95"/>
      <c r="HBC1" s="95"/>
      <c r="HBI1" s="95"/>
      <c r="HBO1" s="95"/>
      <c r="HBU1" s="95"/>
      <c r="HCA1" s="95"/>
      <c r="HCG1" s="95"/>
      <c r="HCM1" s="95"/>
      <c r="HCS1" s="95"/>
      <c r="HCY1" s="95"/>
      <c r="HDE1" s="95"/>
      <c r="HDK1" s="95"/>
      <c r="HDQ1" s="95"/>
      <c r="HDW1" s="95"/>
      <c r="HEC1" s="95"/>
      <c r="HEI1" s="95"/>
      <c r="HEO1" s="95"/>
      <c r="HEU1" s="95"/>
      <c r="HFA1" s="95"/>
      <c r="HFG1" s="95"/>
      <c r="HFM1" s="95"/>
      <c r="HFS1" s="95"/>
      <c r="HFY1" s="95"/>
      <c r="HGE1" s="95"/>
      <c r="HGK1" s="95"/>
      <c r="HGQ1" s="95"/>
      <c r="HGW1" s="95"/>
      <c r="HHC1" s="95"/>
      <c r="HHI1" s="95"/>
      <c r="HHO1" s="95"/>
      <c r="HHU1" s="95"/>
      <c r="HIA1" s="95"/>
      <c r="HIG1" s="95"/>
      <c r="HIM1" s="95"/>
      <c r="HIS1" s="95"/>
      <c r="HIY1" s="95"/>
      <c r="HJE1" s="95"/>
      <c r="HJK1" s="95"/>
      <c r="HJQ1" s="95"/>
      <c r="HJW1" s="95"/>
      <c r="HKC1" s="95"/>
      <c r="HKI1" s="95"/>
      <c r="HKO1" s="95"/>
      <c r="HKU1" s="95"/>
      <c r="HLA1" s="95"/>
      <c r="HLG1" s="95"/>
      <c r="HLM1" s="95"/>
      <c r="HLS1" s="95"/>
      <c r="HLY1" s="95"/>
      <c r="HME1" s="95"/>
      <c r="HMK1" s="95"/>
      <c r="HMQ1" s="95"/>
      <c r="HMW1" s="95"/>
      <c r="HNC1" s="95"/>
      <c r="HNI1" s="95"/>
      <c r="HNO1" s="95"/>
      <c r="HNU1" s="95"/>
      <c r="HOA1" s="95"/>
      <c r="HOG1" s="95"/>
      <c r="HOM1" s="95"/>
      <c r="HOS1" s="95"/>
      <c r="HOY1" s="95"/>
      <c r="HPE1" s="95"/>
      <c r="HPK1" s="95"/>
      <c r="HPQ1" s="95"/>
      <c r="HPW1" s="95"/>
      <c r="HQC1" s="95"/>
      <c r="HQI1" s="95"/>
      <c r="HQO1" s="95"/>
      <c r="HQU1" s="95"/>
      <c r="HRA1" s="95"/>
      <c r="HRG1" s="95"/>
      <c r="HRM1" s="95"/>
      <c r="HRS1" s="95"/>
      <c r="HRY1" s="95"/>
      <c r="HSE1" s="95"/>
      <c r="HSK1" s="95"/>
      <c r="HSQ1" s="95"/>
      <c r="HSW1" s="95"/>
      <c r="HTC1" s="95"/>
      <c r="HTI1" s="95"/>
      <c r="HTO1" s="95"/>
      <c r="HTU1" s="95"/>
      <c r="HUA1" s="95"/>
      <c r="HUG1" s="95"/>
      <c r="HUM1" s="95"/>
      <c r="HUS1" s="95"/>
      <c r="HUY1" s="95"/>
      <c r="HVE1" s="95"/>
      <c r="HVK1" s="95"/>
      <c r="HVQ1" s="95"/>
      <c r="HVW1" s="95"/>
      <c r="HWC1" s="95"/>
      <c r="HWI1" s="95"/>
      <c r="HWO1" s="95"/>
      <c r="HWU1" s="95"/>
      <c r="HXA1" s="95"/>
      <c r="HXG1" s="95"/>
      <c r="HXM1" s="95"/>
      <c r="HXS1" s="95"/>
      <c r="HXY1" s="95"/>
      <c r="HYE1" s="95"/>
      <c r="HYK1" s="95"/>
      <c r="HYQ1" s="95"/>
      <c r="HYW1" s="95"/>
      <c r="HZC1" s="95"/>
      <c r="HZI1" s="95"/>
      <c r="HZO1" s="95"/>
      <c r="HZU1" s="95"/>
      <c r="IAA1" s="95"/>
      <c r="IAG1" s="95"/>
      <c r="IAM1" s="95"/>
      <c r="IAS1" s="95"/>
      <c r="IAY1" s="95"/>
      <c r="IBE1" s="95"/>
      <c r="IBK1" s="95"/>
      <c r="IBQ1" s="95"/>
      <c r="IBW1" s="95"/>
      <c r="ICC1" s="95"/>
      <c r="ICI1" s="95"/>
      <c r="ICO1" s="95"/>
      <c r="ICU1" s="95"/>
      <c r="IDA1" s="95"/>
      <c r="IDG1" s="95"/>
      <c r="IDM1" s="95"/>
      <c r="IDS1" s="95"/>
      <c r="IDY1" s="95"/>
      <c r="IEE1" s="95"/>
      <c r="IEK1" s="95"/>
      <c r="IEQ1" s="95"/>
      <c r="IEW1" s="95"/>
      <c r="IFC1" s="95"/>
      <c r="IFI1" s="95"/>
      <c r="IFO1" s="95"/>
      <c r="IFU1" s="95"/>
      <c r="IGA1" s="95"/>
      <c r="IGG1" s="95"/>
      <c r="IGM1" s="95"/>
      <c r="IGS1" s="95"/>
      <c r="IGY1" s="95"/>
      <c r="IHE1" s="95"/>
      <c r="IHK1" s="95"/>
      <c r="IHQ1" s="95"/>
      <c r="IHW1" s="95"/>
      <c r="IIC1" s="95"/>
      <c r="III1" s="95"/>
      <c r="IIO1" s="95"/>
      <c r="IIU1" s="95"/>
      <c r="IJA1" s="95"/>
      <c r="IJG1" s="95"/>
      <c r="IJM1" s="95"/>
      <c r="IJS1" s="95"/>
      <c r="IJY1" s="95"/>
      <c r="IKE1" s="95"/>
      <c r="IKK1" s="95"/>
      <c r="IKQ1" s="95"/>
      <c r="IKW1" s="95"/>
      <c r="ILC1" s="95"/>
      <c r="ILI1" s="95"/>
      <c r="ILO1" s="95"/>
      <c r="ILU1" s="95"/>
      <c r="IMA1" s="95"/>
      <c r="IMG1" s="95"/>
      <c r="IMM1" s="95"/>
      <c r="IMS1" s="95"/>
      <c r="IMY1" s="95"/>
      <c r="INE1" s="95"/>
      <c r="INK1" s="95"/>
      <c r="INQ1" s="95"/>
      <c r="INW1" s="95"/>
      <c r="IOC1" s="95"/>
      <c r="IOI1" s="95"/>
      <c r="IOO1" s="95"/>
      <c r="IOU1" s="95"/>
      <c r="IPA1" s="95"/>
      <c r="IPG1" s="95"/>
      <c r="IPM1" s="95"/>
      <c r="IPS1" s="95"/>
      <c r="IPY1" s="95"/>
      <c r="IQE1" s="95"/>
      <c r="IQK1" s="95"/>
      <c r="IQQ1" s="95"/>
      <c r="IQW1" s="95"/>
      <c r="IRC1" s="95"/>
      <c r="IRI1" s="95"/>
      <c r="IRO1" s="95"/>
      <c r="IRU1" s="95"/>
      <c r="ISA1" s="95"/>
      <c r="ISG1" s="95"/>
      <c r="ISM1" s="95"/>
      <c r="ISS1" s="95"/>
      <c r="ISY1" s="95"/>
      <c r="ITE1" s="95"/>
      <c r="ITK1" s="95"/>
      <c r="ITQ1" s="95"/>
      <c r="ITW1" s="95"/>
      <c r="IUC1" s="95"/>
      <c r="IUI1" s="95"/>
      <c r="IUO1" s="95"/>
      <c r="IUU1" s="95"/>
      <c r="IVA1" s="95"/>
      <c r="IVG1" s="95"/>
      <c r="IVM1" s="95"/>
      <c r="IVS1" s="95"/>
      <c r="IVY1" s="95"/>
      <c r="IWE1" s="95"/>
      <c r="IWK1" s="95"/>
      <c r="IWQ1" s="95"/>
      <c r="IWW1" s="95"/>
      <c r="IXC1" s="95"/>
      <c r="IXI1" s="95"/>
      <c r="IXO1" s="95"/>
      <c r="IXU1" s="95"/>
      <c r="IYA1" s="95"/>
      <c r="IYG1" s="95"/>
      <c r="IYM1" s="95"/>
      <c r="IYS1" s="95"/>
      <c r="IYY1" s="95"/>
      <c r="IZE1" s="95"/>
      <c r="IZK1" s="95"/>
      <c r="IZQ1" s="95"/>
      <c r="IZW1" s="95"/>
      <c r="JAC1" s="95"/>
      <c r="JAI1" s="95"/>
      <c r="JAO1" s="95"/>
      <c r="JAU1" s="95"/>
      <c r="JBA1" s="95"/>
      <c r="JBG1" s="95"/>
      <c r="JBM1" s="95"/>
      <c r="JBS1" s="95"/>
      <c r="JBY1" s="95"/>
      <c r="JCE1" s="95"/>
      <c r="JCK1" s="95"/>
      <c r="JCQ1" s="95"/>
      <c r="JCW1" s="95"/>
      <c r="JDC1" s="95"/>
      <c r="JDI1" s="95"/>
      <c r="JDO1" s="95"/>
      <c r="JDU1" s="95"/>
      <c r="JEA1" s="95"/>
      <c r="JEG1" s="95"/>
      <c r="JEM1" s="95"/>
      <c r="JES1" s="95"/>
      <c r="JEY1" s="95"/>
      <c r="JFE1" s="95"/>
      <c r="JFK1" s="95"/>
      <c r="JFQ1" s="95"/>
      <c r="JFW1" s="95"/>
      <c r="JGC1" s="95"/>
      <c r="JGI1" s="95"/>
      <c r="JGO1" s="95"/>
      <c r="JGU1" s="95"/>
      <c r="JHA1" s="95"/>
      <c r="JHG1" s="95"/>
      <c r="JHM1" s="95"/>
      <c r="JHS1" s="95"/>
      <c r="JHY1" s="95"/>
      <c r="JIE1" s="95"/>
      <c r="JIK1" s="95"/>
      <c r="JIQ1" s="95"/>
      <c r="JIW1" s="95"/>
      <c r="JJC1" s="95"/>
      <c r="JJI1" s="95"/>
      <c r="JJO1" s="95"/>
      <c r="JJU1" s="95"/>
      <c r="JKA1" s="95"/>
      <c r="JKG1" s="95"/>
      <c r="JKM1" s="95"/>
      <c r="JKS1" s="95"/>
      <c r="JKY1" s="95"/>
      <c r="JLE1" s="95"/>
      <c r="JLK1" s="95"/>
      <c r="JLQ1" s="95"/>
      <c r="JLW1" s="95"/>
      <c r="JMC1" s="95"/>
      <c r="JMI1" s="95"/>
      <c r="JMO1" s="95"/>
      <c r="JMU1" s="95"/>
      <c r="JNA1" s="95"/>
      <c r="JNG1" s="95"/>
      <c r="JNM1" s="95"/>
      <c r="JNS1" s="95"/>
      <c r="JNY1" s="95"/>
      <c r="JOE1" s="95"/>
      <c r="JOK1" s="95"/>
      <c r="JOQ1" s="95"/>
      <c r="JOW1" s="95"/>
      <c r="JPC1" s="95"/>
      <c r="JPI1" s="95"/>
      <c r="JPO1" s="95"/>
      <c r="JPU1" s="95"/>
      <c r="JQA1" s="95"/>
      <c r="JQG1" s="95"/>
      <c r="JQM1" s="95"/>
      <c r="JQS1" s="95"/>
      <c r="JQY1" s="95"/>
      <c r="JRE1" s="95"/>
      <c r="JRK1" s="95"/>
      <c r="JRQ1" s="95"/>
      <c r="JRW1" s="95"/>
      <c r="JSC1" s="95"/>
      <c r="JSI1" s="95"/>
      <c r="JSO1" s="95"/>
      <c r="JSU1" s="95"/>
      <c r="JTA1" s="95"/>
      <c r="JTG1" s="95"/>
      <c r="JTM1" s="95"/>
      <c r="JTS1" s="95"/>
      <c r="JTY1" s="95"/>
      <c r="JUE1" s="95"/>
      <c r="JUK1" s="95"/>
      <c r="JUQ1" s="95"/>
      <c r="JUW1" s="95"/>
      <c r="JVC1" s="95"/>
      <c r="JVI1" s="95"/>
      <c r="JVO1" s="95"/>
      <c r="JVU1" s="95"/>
      <c r="JWA1" s="95"/>
      <c r="JWG1" s="95"/>
      <c r="JWM1" s="95"/>
      <c r="JWS1" s="95"/>
      <c r="JWY1" s="95"/>
      <c r="JXE1" s="95"/>
      <c r="JXK1" s="95"/>
      <c r="JXQ1" s="95"/>
      <c r="JXW1" s="95"/>
      <c r="JYC1" s="95"/>
      <c r="JYI1" s="95"/>
      <c r="JYO1" s="95"/>
      <c r="JYU1" s="95"/>
      <c r="JZA1" s="95"/>
      <c r="JZG1" s="95"/>
      <c r="JZM1" s="95"/>
      <c r="JZS1" s="95"/>
      <c r="JZY1" s="95"/>
      <c r="KAE1" s="95"/>
      <c r="KAK1" s="95"/>
      <c r="KAQ1" s="95"/>
      <c r="KAW1" s="95"/>
      <c r="KBC1" s="95"/>
      <c r="KBI1" s="95"/>
      <c r="KBO1" s="95"/>
      <c r="KBU1" s="95"/>
      <c r="KCA1" s="95"/>
      <c r="KCG1" s="95"/>
      <c r="KCM1" s="95"/>
      <c r="KCS1" s="95"/>
      <c r="KCY1" s="95"/>
      <c r="KDE1" s="95"/>
      <c r="KDK1" s="95"/>
      <c r="KDQ1" s="95"/>
      <c r="KDW1" s="95"/>
      <c r="KEC1" s="95"/>
      <c r="KEI1" s="95"/>
      <c r="KEO1" s="95"/>
      <c r="KEU1" s="95"/>
      <c r="KFA1" s="95"/>
      <c r="KFG1" s="95"/>
      <c r="KFM1" s="95"/>
      <c r="KFS1" s="95"/>
      <c r="KFY1" s="95"/>
      <c r="KGE1" s="95"/>
      <c r="KGK1" s="95"/>
      <c r="KGQ1" s="95"/>
      <c r="KGW1" s="95"/>
      <c r="KHC1" s="95"/>
      <c r="KHI1" s="95"/>
      <c r="KHO1" s="95"/>
      <c r="KHU1" s="95"/>
      <c r="KIA1" s="95"/>
      <c r="KIG1" s="95"/>
      <c r="KIM1" s="95"/>
      <c r="KIS1" s="95"/>
      <c r="KIY1" s="95"/>
      <c r="KJE1" s="95"/>
      <c r="KJK1" s="95"/>
      <c r="KJQ1" s="95"/>
      <c r="KJW1" s="95"/>
      <c r="KKC1" s="95"/>
      <c r="KKI1" s="95"/>
      <c r="KKO1" s="95"/>
      <c r="KKU1" s="95"/>
      <c r="KLA1" s="95"/>
      <c r="KLG1" s="95"/>
      <c r="KLM1" s="95"/>
      <c r="KLS1" s="95"/>
      <c r="KLY1" s="95"/>
      <c r="KME1" s="95"/>
      <c r="KMK1" s="95"/>
      <c r="KMQ1" s="95"/>
      <c r="KMW1" s="95"/>
      <c r="KNC1" s="95"/>
      <c r="KNI1" s="95"/>
      <c r="KNO1" s="95"/>
      <c r="KNU1" s="95"/>
      <c r="KOA1" s="95"/>
      <c r="KOG1" s="95"/>
      <c r="KOM1" s="95"/>
      <c r="KOS1" s="95"/>
      <c r="KOY1" s="95"/>
      <c r="KPE1" s="95"/>
      <c r="KPK1" s="95"/>
      <c r="KPQ1" s="95"/>
      <c r="KPW1" s="95"/>
      <c r="KQC1" s="95"/>
      <c r="KQI1" s="95"/>
      <c r="KQO1" s="95"/>
      <c r="KQU1" s="95"/>
      <c r="KRA1" s="95"/>
      <c r="KRG1" s="95"/>
      <c r="KRM1" s="95"/>
      <c r="KRS1" s="95"/>
      <c r="KRY1" s="95"/>
      <c r="KSE1" s="95"/>
      <c r="KSK1" s="95"/>
      <c r="KSQ1" s="95"/>
      <c r="KSW1" s="95"/>
      <c r="KTC1" s="95"/>
      <c r="KTI1" s="95"/>
      <c r="KTO1" s="95"/>
      <c r="KTU1" s="95"/>
      <c r="KUA1" s="95"/>
      <c r="KUG1" s="95"/>
      <c r="KUM1" s="95"/>
      <c r="KUS1" s="95"/>
      <c r="KUY1" s="95"/>
      <c r="KVE1" s="95"/>
      <c r="KVK1" s="95"/>
      <c r="KVQ1" s="95"/>
      <c r="KVW1" s="95"/>
      <c r="KWC1" s="95"/>
      <c r="KWI1" s="95"/>
      <c r="KWO1" s="95"/>
      <c r="KWU1" s="95"/>
      <c r="KXA1" s="95"/>
      <c r="KXG1" s="95"/>
      <c r="KXM1" s="95"/>
      <c r="KXS1" s="95"/>
      <c r="KXY1" s="95"/>
      <c r="KYE1" s="95"/>
      <c r="KYK1" s="95"/>
      <c r="KYQ1" s="95"/>
      <c r="KYW1" s="95"/>
      <c r="KZC1" s="95"/>
      <c r="KZI1" s="95"/>
      <c r="KZO1" s="95"/>
      <c r="KZU1" s="95"/>
      <c r="LAA1" s="95"/>
      <c r="LAG1" s="95"/>
      <c r="LAM1" s="95"/>
      <c r="LAS1" s="95"/>
      <c r="LAY1" s="95"/>
      <c r="LBE1" s="95"/>
      <c r="LBK1" s="95"/>
      <c r="LBQ1" s="95"/>
      <c r="LBW1" s="95"/>
      <c r="LCC1" s="95"/>
      <c r="LCI1" s="95"/>
      <c r="LCO1" s="95"/>
      <c r="LCU1" s="95"/>
      <c r="LDA1" s="95"/>
      <c r="LDG1" s="95"/>
      <c r="LDM1" s="95"/>
      <c r="LDS1" s="95"/>
      <c r="LDY1" s="95"/>
      <c r="LEE1" s="95"/>
      <c r="LEK1" s="95"/>
      <c r="LEQ1" s="95"/>
      <c r="LEW1" s="95"/>
      <c r="LFC1" s="95"/>
      <c r="LFI1" s="95"/>
      <c r="LFO1" s="95"/>
      <c r="LFU1" s="95"/>
      <c r="LGA1" s="95"/>
      <c r="LGG1" s="95"/>
      <c r="LGM1" s="95"/>
      <c r="LGS1" s="95"/>
      <c r="LGY1" s="95"/>
      <c r="LHE1" s="95"/>
      <c r="LHK1" s="95"/>
      <c r="LHQ1" s="95"/>
      <c r="LHW1" s="95"/>
      <c r="LIC1" s="95"/>
      <c r="LII1" s="95"/>
      <c r="LIO1" s="95"/>
      <c r="LIU1" s="95"/>
      <c r="LJA1" s="95"/>
      <c r="LJG1" s="95"/>
      <c r="LJM1" s="95"/>
      <c r="LJS1" s="95"/>
      <c r="LJY1" s="95"/>
      <c r="LKE1" s="95"/>
      <c r="LKK1" s="95"/>
      <c r="LKQ1" s="95"/>
      <c r="LKW1" s="95"/>
      <c r="LLC1" s="95"/>
      <c r="LLI1" s="95"/>
      <c r="LLO1" s="95"/>
      <c r="LLU1" s="95"/>
      <c r="LMA1" s="95"/>
      <c r="LMG1" s="95"/>
      <c r="LMM1" s="95"/>
      <c r="LMS1" s="95"/>
      <c r="LMY1" s="95"/>
      <c r="LNE1" s="95"/>
      <c r="LNK1" s="95"/>
      <c r="LNQ1" s="95"/>
      <c r="LNW1" s="95"/>
      <c r="LOC1" s="95"/>
      <c r="LOI1" s="95"/>
      <c r="LOO1" s="95"/>
      <c r="LOU1" s="95"/>
      <c r="LPA1" s="95"/>
      <c r="LPG1" s="95"/>
      <c r="LPM1" s="95"/>
      <c r="LPS1" s="95"/>
      <c r="LPY1" s="95"/>
      <c r="LQE1" s="95"/>
      <c r="LQK1" s="95"/>
      <c r="LQQ1" s="95"/>
      <c r="LQW1" s="95"/>
      <c r="LRC1" s="95"/>
      <c r="LRI1" s="95"/>
      <c r="LRO1" s="95"/>
      <c r="LRU1" s="95"/>
      <c r="LSA1" s="95"/>
      <c r="LSG1" s="95"/>
      <c r="LSM1" s="95"/>
      <c r="LSS1" s="95"/>
      <c r="LSY1" s="95"/>
      <c r="LTE1" s="95"/>
      <c r="LTK1" s="95"/>
      <c r="LTQ1" s="95"/>
      <c r="LTW1" s="95"/>
      <c r="LUC1" s="95"/>
      <c r="LUI1" s="95"/>
      <c r="LUO1" s="95"/>
      <c r="LUU1" s="95"/>
      <c r="LVA1" s="95"/>
      <c r="LVG1" s="95"/>
      <c r="LVM1" s="95"/>
      <c r="LVS1" s="95"/>
      <c r="LVY1" s="95"/>
      <c r="LWE1" s="95"/>
      <c r="LWK1" s="95"/>
      <c r="LWQ1" s="95"/>
      <c r="LWW1" s="95"/>
      <c r="LXC1" s="95"/>
      <c r="LXI1" s="95"/>
      <c r="LXO1" s="95"/>
      <c r="LXU1" s="95"/>
      <c r="LYA1" s="95"/>
      <c r="LYG1" s="95"/>
      <c r="LYM1" s="95"/>
      <c r="LYS1" s="95"/>
      <c r="LYY1" s="95"/>
      <c r="LZE1" s="95"/>
      <c r="LZK1" s="95"/>
      <c r="LZQ1" s="95"/>
      <c r="LZW1" s="95"/>
      <c r="MAC1" s="95"/>
      <c r="MAI1" s="95"/>
      <c r="MAO1" s="95"/>
      <c r="MAU1" s="95"/>
      <c r="MBA1" s="95"/>
      <c r="MBG1" s="95"/>
      <c r="MBM1" s="95"/>
      <c r="MBS1" s="95"/>
      <c r="MBY1" s="95"/>
      <c r="MCE1" s="95"/>
      <c r="MCK1" s="95"/>
      <c r="MCQ1" s="95"/>
      <c r="MCW1" s="95"/>
      <c r="MDC1" s="95"/>
      <c r="MDI1" s="95"/>
      <c r="MDO1" s="95"/>
      <c r="MDU1" s="95"/>
      <c r="MEA1" s="95"/>
      <c r="MEG1" s="95"/>
      <c r="MEM1" s="95"/>
      <c r="MES1" s="95"/>
      <c r="MEY1" s="95"/>
      <c r="MFE1" s="95"/>
      <c r="MFK1" s="95"/>
      <c r="MFQ1" s="95"/>
      <c r="MFW1" s="95"/>
      <c r="MGC1" s="95"/>
      <c r="MGI1" s="95"/>
      <c r="MGO1" s="95"/>
      <c r="MGU1" s="95"/>
      <c r="MHA1" s="95"/>
      <c r="MHG1" s="95"/>
      <c r="MHM1" s="95"/>
      <c r="MHS1" s="95"/>
      <c r="MHY1" s="95"/>
      <c r="MIE1" s="95"/>
      <c r="MIK1" s="95"/>
      <c r="MIQ1" s="95"/>
      <c r="MIW1" s="95"/>
      <c r="MJC1" s="95"/>
      <c r="MJI1" s="95"/>
      <c r="MJO1" s="95"/>
      <c r="MJU1" s="95"/>
      <c r="MKA1" s="95"/>
      <c r="MKG1" s="95"/>
      <c r="MKM1" s="95"/>
      <c r="MKS1" s="95"/>
      <c r="MKY1" s="95"/>
      <c r="MLE1" s="95"/>
      <c r="MLK1" s="95"/>
      <c r="MLQ1" s="95"/>
      <c r="MLW1" s="95"/>
      <c r="MMC1" s="95"/>
      <c r="MMI1" s="95"/>
      <c r="MMO1" s="95"/>
      <c r="MMU1" s="95"/>
      <c r="MNA1" s="95"/>
      <c r="MNG1" s="95"/>
      <c r="MNM1" s="95"/>
      <c r="MNS1" s="95"/>
      <c r="MNY1" s="95"/>
      <c r="MOE1" s="95"/>
      <c r="MOK1" s="95"/>
      <c r="MOQ1" s="95"/>
      <c r="MOW1" s="95"/>
      <c r="MPC1" s="95"/>
      <c r="MPI1" s="95"/>
      <c r="MPO1" s="95"/>
      <c r="MPU1" s="95"/>
      <c r="MQA1" s="95"/>
      <c r="MQG1" s="95"/>
      <c r="MQM1" s="95"/>
      <c r="MQS1" s="95"/>
      <c r="MQY1" s="95"/>
      <c r="MRE1" s="95"/>
      <c r="MRK1" s="95"/>
      <c r="MRQ1" s="95"/>
      <c r="MRW1" s="95"/>
      <c r="MSC1" s="95"/>
      <c r="MSI1" s="95"/>
      <c r="MSO1" s="95"/>
      <c r="MSU1" s="95"/>
      <c r="MTA1" s="95"/>
      <c r="MTG1" s="95"/>
      <c r="MTM1" s="95"/>
      <c r="MTS1" s="95"/>
      <c r="MTY1" s="95"/>
      <c r="MUE1" s="95"/>
      <c r="MUK1" s="95"/>
      <c r="MUQ1" s="95"/>
      <c r="MUW1" s="95"/>
      <c r="MVC1" s="95"/>
      <c r="MVI1" s="95"/>
      <c r="MVO1" s="95"/>
      <c r="MVU1" s="95"/>
      <c r="MWA1" s="95"/>
      <c r="MWG1" s="95"/>
      <c r="MWM1" s="95"/>
      <c r="MWS1" s="95"/>
      <c r="MWY1" s="95"/>
      <c r="MXE1" s="95"/>
      <c r="MXK1" s="95"/>
      <c r="MXQ1" s="95"/>
      <c r="MXW1" s="95"/>
      <c r="MYC1" s="95"/>
      <c r="MYI1" s="95"/>
      <c r="MYO1" s="95"/>
      <c r="MYU1" s="95"/>
      <c r="MZA1" s="95"/>
      <c r="MZG1" s="95"/>
      <c r="MZM1" s="95"/>
      <c r="MZS1" s="95"/>
      <c r="MZY1" s="95"/>
      <c r="NAE1" s="95"/>
      <c r="NAK1" s="95"/>
      <c r="NAQ1" s="95"/>
      <c r="NAW1" s="95"/>
      <c r="NBC1" s="95"/>
      <c r="NBI1" s="95"/>
      <c r="NBO1" s="95"/>
      <c r="NBU1" s="95"/>
      <c r="NCA1" s="95"/>
      <c r="NCG1" s="95"/>
      <c r="NCM1" s="95"/>
      <c r="NCS1" s="95"/>
      <c r="NCY1" s="95"/>
      <c r="NDE1" s="95"/>
      <c r="NDK1" s="95"/>
      <c r="NDQ1" s="95"/>
      <c r="NDW1" s="95"/>
      <c r="NEC1" s="95"/>
      <c r="NEI1" s="95"/>
      <c r="NEO1" s="95"/>
      <c r="NEU1" s="95"/>
      <c r="NFA1" s="95"/>
      <c r="NFG1" s="95"/>
      <c r="NFM1" s="95"/>
      <c r="NFS1" s="95"/>
      <c r="NFY1" s="95"/>
      <c r="NGE1" s="95"/>
      <c r="NGK1" s="95"/>
      <c r="NGQ1" s="95"/>
      <c r="NGW1" s="95"/>
      <c r="NHC1" s="95"/>
      <c r="NHI1" s="95"/>
      <c r="NHO1" s="95"/>
      <c r="NHU1" s="95"/>
      <c r="NIA1" s="95"/>
      <c r="NIG1" s="95"/>
      <c r="NIM1" s="95"/>
      <c r="NIS1" s="95"/>
      <c r="NIY1" s="95"/>
      <c r="NJE1" s="95"/>
      <c r="NJK1" s="95"/>
      <c r="NJQ1" s="95"/>
      <c r="NJW1" s="95"/>
      <c r="NKC1" s="95"/>
      <c r="NKI1" s="95"/>
      <c r="NKO1" s="95"/>
      <c r="NKU1" s="95"/>
      <c r="NLA1" s="95"/>
      <c r="NLG1" s="95"/>
      <c r="NLM1" s="95"/>
      <c r="NLS1" s="95"/>
      <c r="NLY1" s="95"/>
      <c r="NME1" s="95"/>
      <c r="NMK1" s="95"/>
      <c r="NMQ1" s="95"/>
      <c r="NMW1" s="95"/>
      <c r="NNC1" s="95"/>
      <c r="NNI1" s="95"/>
      <c r="NNO1" s="95"/>
      <c r="NNU1" s="95"/>
      <c r="NOA1" s="95"/>
      <c r="NOG1" s="95"/>
      <c r="NOM1" s="95"/>
      <c r="NOS1" s="95"/>
      <c r="NOY1" s="95"/>
      <c r="NPE1" s="95"/>
      <c r="NPK1" s="95"/>
      <c r="NPQ1" s="95"/>
      <c r="NPW1" s="95"/>
      <c r="NQC1" s="95"/>
      <c r="NQI1" s="95"/>
      <c r="NQO1" s="95"/>
      <c r="NQU1" s="95"/>
      <c r="NRA1" s="95"/>
      <c r="NRG1" s="95"/>
      <c r="NRM1" s="95"/>
      <c r="NRS1" s="95"/>
      <c r="NRY1" s="95"/>
      <c r="NSE1" s="95"/>
      <c r="NSK1" s="95"/>
      <c r="NSQ1" s="95"/>
      <c r="NSW1" s="95"/>
      <c r="NTC1" s="95"/>
      <c r="NTI1" s="95"/>
      <c r="NTO1" s="95"/>
      <c r="NTU1" s="95"/>
      <c r="NUA1" s="95"/>
      <c r="NUG1" s="95"/>
      <c r="NUM1" s="95"/>
      <c r="NUS1" s="95"/>
      <c r="NUY1" s="95"/>
      <c r="NVE1" s="95"/>
      <c r="NVK1" s="95"/>
      <c r="NVQ1" s="95"/>
      <c r="NVW1" s="95"/>
      <c r="NWC1" s="95"/>
      <c r="NWI1" s="95"/>
      <c r="NWO1" s="95"/>
      <c r="NWU1" s="95"/>
      <c r="NXA1" s="95"/>
      <c r="NXG1" s="95"/>
      <c r="NXM1" s="95"/>
      <c r="NXS1" s="95"/>
      <c r="NXY1" s="95"/>
      <c r="NYE1" s="95"/>
      <c r="NYK1" s="95"/>
      <c r="NYQ1" s="95"/>
      <c r="NYW1" s="95"/>
      <c r="NZC1" s="95"/>
      <c r="NZI1" s="95"/>
      <c r="NZO1" s="95"/>
      <c r="NZU1" s="95"/>
      <c r="OAA1" s="95"/>
      <c r="OAG1" s="95"/>
      <c r="OAM1" s="95"/>
      <c r="OAS1" s="95"/>
      <c r="OAY1" s="95"/>
      <c r="OBE1" s="95"/>
      <c r="OBK1" s="95"/>
      <c r="OBQ1" s="95"/>
      <c r="OBW1" s="95"/>
      <c r="OCC1" s="95"/>
      <c r="OCI1" s="95"/>
      <c r="OCO1" s="95"/>
      <c r="OCU1" s="95"/>
      <c r="ODA1" s="95"/>
      <c r="ODG1" s="95"/>
      <c r="ODM1" s="95"/>
      <c r="ODS1" s="95"/>
      <c r="ODY1" s="95"/>
      <c r="OEE1" s="95"/>
      <c r="OEK1" s="95"/>
      <c r="OEQ1" s="95"/>
      <c r="OEW1" s="95"/>
      <c r="OFC1" s="95"/>
      <c r="OFI1" s="95"/>
      <c r="OFO1" s="95"/>
      <c r="OFU1" s="95"/>
      <c r="OGA1" s="95"/>
      <c r="OGG1" s="95"/>
      <c r="OGM1" s="95"/>
      <c r="OGS1" s="95"/>
      <c r="OGY1" s="95"/>
      <c r="OHE1" s="95"/>
      <c r="OHK1" s="95"/>
      <c r="OHQ1" s="95"/>
      <c r="OHW1" s="95"/>
      <c r="OIC1" s="95"/>
      <c r="OII1" s="95"/>
      <c r="OIO1" s="95"/>
      <c r="OIU1" s="95"/>
      <c r="OJA1" s="95"/>
      <c r="OJG1" s="95"/>
      <c r="OJM1" s="95"/>
      <c r="OJS1" s="95"/>
      <c r="OJY1" s="95"/>
      <c r="OKE1" s="95"/>
      <c r="OKK1" s="95"/>
      <c r="OKQ1" s="95"/>
      <c r="OKW1" s="95"/>
      <c r="OLC1" s="95"/>
      <c r="OLI1" s="95"/>
      <c r="OLO1" s="95"/>
      <c r="OLU1" s="95"/>
      <c r="OMA1" s="95"/>
      <c r="OMG1" s="95"/>
      <c r="OMM1" s="95"/>
      <c r="OMS1" s="95"/>
      <c r="OMY1" s="95"/>
      <c r="ONE1" s="95"/>
      <c r="ONK1" s="95"/>
      <c r="ONQ1" s="95"/>
      <c r="ONW1" s="95"/>
      <c r="OOC1" s="95"/>
      <c r="OOI1" s="95"/>
      <c r="OOO1" s="95"/>
      <c r="OOU1" s="95"/>
      <c r="OPA1" s="95"/>
      <c r="OPG1" s="95"/>
      <c r="OPM1" s="95"/>
      <c r="OPS1" s="95"/>
      <c r="OPY1" s="95"/>
      <c r="OQE1" s="95"/>
      <c r="OQK1" s="95"/>
      <c r="OQQ1" s="95"/>
      <c r="OQW1" s="95"/>
      <c r="ORC1" s="95"/>
      <c r="ORI1" s="95"/>
      <c r="ORO1" s="95"/>
      <c r="ORU1" s="95"/>
      <c r="OSA1" s="95"/>
      <c r="OSG1" s="95"/>
      <c r="OSM1" s="95"/>
      <c r="OSS1" s="95"/>
      <c r="OSY1" s="95"/>
      <c r="OTE1" s="95"/>
      <c r="OTK1" s="95"/>
      <c r="OTQ1" s="95"/>
      <c r="OTW1" s="95"/>
      <c r="OUC1" s="95"/>
      <c r="OUI1" s="95"/>
      <c r="OUO1" s="95"/>
      <c r="OUU1" s="95"/>
      <c r="OVA1" s="95"/>
      <c r="OVG1" s="95"/>
      <c r="OVM1" s="95"/>
      <c r="OVS1" s="95"/>
      <c r="OVY1" s="95"/>
      <c r="OWE1" s="95"/>
      <c r="OWK1" s="95"/>
      <c r="OWQ1" s="95"/>
      <c r="OWW1" s="95"/>
      <c r="OXC1" s="95"/>
      <c r="OXI1" s="95"/>
      <c r="OXO1" s="95"/>
      <c r="OXU1" s="95"/>
      <c r="OYA1" s="95"/>
      <c r="OYG1" s="95"/>
      <c r="OYM1" s="95"/>
      <c r="OYS1" s="95"/>
      <c r="OYY1" s="95"/>
      <c r="OZE1" s="95"/>
      <c r="OZK1" s="95"/>
      <c r="OZQ1" s="95"/>
      <c r="OZW1" s="95"/>
      <c r="PAC1" s="95"/>
      <c r="PAI1" s="95"/>
      <c r="PAO1" s="95"/>
      <c r="PAU1" s="95"/>
      <c r="PBA1" s="95"/>
      <c r="PBG1" s="95"/>
      <c r="PBM1" s="95"/>
      <c r="PBS1" s="95"/>
      <c r="PBY1" s="95"/>
      <c r="PCE1" s="95"/>
      <c r="PCK1" s="95"/>
      <c r="PCQ1" s="95"/>
      <c r="PCW1" s="95"/>
      <c r="PDC1" s="95"/>
      <c r="PDI1" s="95"/>
      <c r="PDO1" s="95"/>
      <c r="PDU1" s="95"/>
      <c r="PEA1" s="95"/>
      <c r="PEG1" s="95"/>
      <c r="PEM1" s="95"/>
      <c r="PES1" s="95"/>
      <c r="PEY1" s="95"/>
      <c r="PFE1" s="95"/>
      <c r="PFK1" s="95"/>
      <c r="PFQ1" s="95"/>
      <c r="PFW1" s="95"/>
      <c r="PGC1" s="95"/>
      <c r="PGI1" s="95"/>
      <c r="PGO1" s="95"/>
      <c r="PGU1" s="95"/>
      <c r="PHA1" s="95"/>
      <c r="PHG1" s="95"/>
      <c r="PHM1" s="95"/>
      <c r="PHS1" s="95"/>
      <c r="PHY1" s="95"/>
      <c r="PIE1" s="95"/>
      <c r="PIK1" s="95"/>
      <c r="PIQ1" s="95"/>
      <c r="PIW1" s="95"/>
      <c r="PJC1" s="95"/>
      <c r="PJI1" s="95"/>
      <c r="PJO1" s="95"/>
      <c r="PJU1" s="95"/>
      <c r="PKA1" s="95"/>
      <c r="PKG1" s="95"/>
      <c r="PKM1" s="95"/>
      <c r="PKS1" s="95"/>
      <c r="PKY1" s="95"/>
      <c r="PLE1" s="95"/>
      <c r="PLK1" s="95"/>
      <c r="PLQ1" s="95"/>
      <c r="PLW1" s="95"/>
      <c r="PMC1" s="95"/>
      <c r="PMI1" s="95"/>
      <c r="PMO1" s="95"/>
      <c r="PMU1" s="95"/>
      <c r="PNA1" s="95"/>
      <c r="PNG1" s="95"/>
      <c r="PNM1" s="95"/>
      <c r="PNS1" s="95"/>
      <c r="PNY1" s="95"/>
      <c r="POE1" s="95"/>
      <c r="POK1" s="95"/>
      <c r="POQ1" s="95"/>
      <c r="POW1" s="95"/>
      <c r="PPC1" s="95"/>
      <c r="PPI1" s="95"/>
      <c r="PPO1" s="95"/>
      <c r="PPU1" s="95"/>
      <c r="PQA1" s="95"/>
      <c r="PQG1" s="95"/>
      <c r="PQM1" s="95"/>
      <c r="PQS1" s="95"/>
      <c r="PQY1" s="95"/>
      <c r="PRE1" s="95"/>
      <c r="PRK1" s="95"/>
      <c r="PRQ1" s="95"/>
      <c r="PRW1" s="95"/>
      <c r="PSC1" s="95"/>
      <c r="PSI1" s="95"/>
      <c r="PSO1" s="95"/>
      <c r="PSU1" s="95"/>
      <c r="PTA1" s="95"/>
      <c r="PTG1" s="95"/>
      <c r="PTM1" s="95"/>
      <c r="PTS1" s="95"/>
      <c r="PTY1" s="95"/>
      <c r="PUE1" s="95"/>
      <c r="PUK1" s="95"/>
      <c r="PUQ1" s="95"/>
      <c r="PUW1" s="95"/>
      <c r="PVC1" s="95"/>
      <c r="PVI1" s="95"/>
      <c r="PVO1" s="95"/>
      <c r="PVU1" s="95"/>
      <c r="PWA1" s="95"/>
      <c r="PWG1" s="95"/>
      <c r="PWM1" s="95"/>
      <c r="PWS1" s="95"/>
      <c r="PWY1" s="95"/>
      <c r="PXE1" s="95"/>
      <c r="PXK1" s="95"/>
      <c r="PXQ1" s="95"/>
      <c r="PXW1" s="95"/>
      <c r="PYC1" s="95"/>
      <c r="PYI1" s="95"/>
      <c r="PYO1" s="95"/>
      <c r="PYU1" s="95"/>
      <c r="PZA1" s="95"/>
      <c r="PZG1" s="95"/>
      <c r="PZM1" s="95"/>
      <c r="PZS1" s="95"/>
      <c r="PZY1" s="95"/>
      <c r="QAE1" s="95"/>
      <c r="QAK1" s="95"/>
      <c r="QAQ1" s="95"/>
      <c r="QAW1" s="95"/>
      <c r="QBC1" s="95"/>
      <c r="QBI1" s="95"/>
      <c r="QBO1" s="95"/>
      <c r="QBU1" s="95"/>
      <c r="QCA1" s="95"/>
      <c r="QCG1" s="95"/>
      <c r="QCM1" s="95"/>
      <c r="QCS1" s="95"/>
      <c r="QCY1" s="95"/>
      <c r="QDE1" s="95"/>
      <c r="QDK1" s="95"/>
      <c r="QDQ1" s="95"/>
      <c r="QDW1" s="95"/>
      <c r="QEC1" s="95"/>
      <c r="QEI1" s="95"/>
      <c r="QEO1" s="95"/>
      <c r="QEU1" s="95"/>
      <c r="QFA1" s="95"/>
      <c r="QFG1" s="95"/>
      <c r="QFM1" s="95"/>
      <c r="QFS1" s="95"/>
      <c r="QFY1" s="95"/>
      <c r="QGE1" s="95"/>
      <c r="QGK1" s="95"/>
      <c r="QGQ1" s="95"/>
      <c r="QGW1" s="95"/>
      <c r="QHC1" s="95"/>
      <c r="QHI1" s="95"/>
      <c r="QHO1" s="95"/>
      <c r="QHU1" s="95"/>
      <c r="QIA1" s="95"/>
      <c r="QIG1" s="95"/>
      <c r="QIM1" s="95"/>
      <c r="QIS1" s="95"/>
      <c r="QIY1" s="95"/>
      <c r="QJE1" s="95"/>
      <c r="QJK1" s="95"/>
      <c r="QJQ1" s="95"/>
      <c r="QJW1" s="95"/>
      <c r="QKC1" s="95"/>
      <c r="QKI1" s="95"/>
      <c r="QKO1" s="95"/>
      <c r="QKU1" s="95"/>
      <c r="QLA1" s="95"/>
      <c r="QLG1" s="95"/>
      <c r="QLM1" s="95"/>
      <c r="QLS1" s="95"/>
      <c r="QLY1" s="95"/>
      <c r="QME1" s="95"/>
      <c r="QMK1" s="95"/>
      <c r="QMQ1" s="95"/>
      <c r="QMW1" s="95"/>
      <c r="QNC1" s="95"/>
      <c r="QNI1" s="95"/>
      <c r="QNO1" s="95"/>
      <c r="QNU1" s="95"/>
      <c r="QOA1" s="95"/>
      <c r="QOG1" s="95"/>
      <c r="QOM1" s="95"/>
      <c r="QOS1" s="95"/>
      <c r="QOY1" s="95"/>
      <c r="QPE1" s="95"/>
      <c r="QPK1" s="95"/>
      <c r="QPQ1" s="95"/>
      <c r="QPW1" s="95"/>
      <c r="QQC1" s="95"/>
      <c r="QQI1" s="95"/>
      <c r="QQO1" s="95"/>
      <c r="QQU1" s="95"/>
      <c r="QRA1" s="95"/>
      <c r="QRG1" s="95"/>
      <c r="QRM1" s="95"/>
      <c r="QRS1" s="95"/>
      <c r="QRY1" s="95"/>
      <c r="QSE1" s="95"/>
      <c r="QSK1" s="95"/>
      <c r="QSQ1" s="95"/>
      <c r="QSW1" s="95"/>
      <c r="QTC1" s="95"/>
      <c r="QTI1" s="95"/>
      <c r="QTO1" s="95"/>
      <c r="QTU1" s="95"/>
      <c r="QUA1" s="95"/>
      <c r="QUG1" s="95"/>
      <c r="QUM1" s="95"/>
      <c r="QUS1" s="95"/>
      <c r="QUY1" s="95"/>
      <c r="QVE1" s="95"/>
      <c r="QVK1" s="95"/>
      <c r="QVQ1" s="95"/>
      <c r="QVW1" s="95"/>
      <c r="QWC1" s="95"/>
      <c r="QWI1" s="95"/>
      <c r="QWO1" s="95"/>
      <c r="QWU1" s="95"/>
      <c r="QXA1" s="95"/>
      <c r="QXG1" s="95"/>
      <c r="QXM1" s="95"/>
      <c r="QXS1" s="95"/>
      <c r="QXY1" s="95"/>
      <c r="QYE1" s="95"/>
      <c r="QYK1" s="95"/>
      <c r="QYQ1" s="95"/>
      <c r="QYW1" s="95"/>
      <c r="QZC1" s="95"/>
      <c r="QZI1" s="95"/>
      <c r="QZO1" s="95"/>
      <c r="QZU1" s="95"/>
      <c r="RAA1" s="95"/>
      <c r="RAG1" s="95"/>
      <c r="RAM1" s="95"/>
      <c r="RAS1" s="95"/>
      <c r="RAY1" s="95"/>
      <c r="RBE1" s="95"/>
      <c r="RBK1" s="95"/>
      <c r="RBQ1" s="95"/>
      <c r="RBW1" s="95"/>
      <c r="RCC1" s="95"/>
      <c r="RCI1" s="95"/>
      <c r="RCO1" s="95"/>
      <c r="RCU1" s="95"/>
      <c r="RDA1" s="95"/>
      <c r="RDG1" s="95"/>
      <c r="RDM1" s="95"/>
      <c r="RDS1" s="95"/>
      <c r="RDY1" s="95"/>
      <c r="REE1" s="95"/>
      <c r="REK1" s="95"/>
      <c r="REQ1" s="95"/>
      <c r="REW1" s="95"/>
      <c r="RFC1" s="95"/>
      <c r="RFI1" s="95"/>
      <c r="RFO1" s="95"/>
      <c r="RFU1" s="95"/>
      <c r="RGA1" s="95"/>
      <c r="RGG1" s="95"/>
      <c r="RGM1" s="95"/>
      <c r="RGS1" s="95"/>
      <c r="RGY1" s="95"/>
      <c r="RHE1" s="95"/>
      <c r="RHK1" s="95"/>
      <c r="RHQ1" s="95"/>
      <c r="RHW1" s="95"/>
      <c r="RIC1" s="95"/>
      <c r="RII1" s="95"/>
      <c r="RIO1" s="95"/>
      <c r="RIU1" s="95"/>
      <c r="RJA1" s="95"/>
      <c r="RJG1" s="95"/>
      <c r="RJM1" s="95"/>
      <c r="RJS1" s="95"/>
      <c r="RJY1" s="95"/>
      <c r="RKE1" s="95"/>
      <c r="RKK1" s="95"/>
      <c r="RKQ1" s="95"/>
      <c r="RKW1" s="95"/>
      <c r="RLC1" s="95"/>
      <c r="RLI1" s="95"/>
      <c r="RLO1" s="95"/>
      <c r="RLU1" s="95"/>
      <c r="RMA1" s="95"/>
      <c r="RMG1" s="95"/>
      <c r="RMM1" s="95"/>
      <c r="RMS1" s="95"/>
      <c r="RMY1" s="95"/>
      <c r="RNE1" s="95"/>
      <c r="RNK1" s="95"/>
      <c r="RNQ1" s="95"/>
      <c r="RNW1" s="95"/>
      <c r="ROC1" s="95"/>
      <c r="ROI1" s="95"/>
      <c r="ROO1" s="95"/>
      <c r="ROU1" s="95"/>
      <c r="RPA1" s="95"/>
      <c r="RPG1" s="95"/>
      <c r="RPM1" s="95"/>
      <c r="RPS1" s="95"/>
      <c r="RPY1" s="95"/>
      <c r="RQE1" s="95"/>
      <c r="RQK1" s="95"/>
      <c r="RQQ1" s="95"/>
      <c r="RQW1" s="95"/>
      <c r="RRC1" s="95"/>
      <c r="RRI1" s="95"/>
      <c r="RRO1" s="95"/>
      <c r="RRU1" s="95"/>
      <c r="RSA1" s="95"/>
      <c r="RSG1" s="95"/>
      <c r="RSM1" s="95"/>
      <c r="RSS1" s="95"/>
      <c r="RSY1" s="95"/>
      <c r="RTE1" s="95"/>
      <c r="RTK1" s="95"/>
      <c r="RTQ1" s="95"/>
      <c r="RTW1" s="95"/>
      <c r="RUC1" s="95"/>
      <c r="RUI1" s="95"/>
      <c r="RUO1" s="95"/>
      <c r="RUU1" s="95"/>
      <c r="RVA1" s="95"/>
      <c r="RVG1" s="95"/>
      <c r="RVM1" s="95"/>
      <c r="RVS1" s="95"/>
      <c r="RVY1" s="95"/>
      <c r="RWE1" s="95"/>
      <c r="RWK1" s="95"/>
      <c r="RWQ1" s="95"/>
      <c r="RWW1" s="95"/>
      <c r="RXC1" s="95"/>
      <c r="RXI1" s="95"/>
      <c r="RXO1" s="95"/>
      <c r="RXU1" s="95"/>
      <c r="RYA1" s="95"/>
      <c r="RYG1" s="95"/>
      <c r="RYM1" s="95"/>
      <c r="RYS1" s="95"/>
      <c r="RYY1" s="95"/>
      <c r="RZE1" s="95"/>
      <c r="RZK1" s="95"/>
      <c r="RZQ1" s="95"/>
      <c r="RZW1" s="95"/>
      <c r="SAC1" s="95"/>
      <c r="SAI1" s="95"/>
      <c r="SAO1" s="95"/>
      <c r="SAU1" s="95"/>
      <c r="SBA1" s="95"/>
      <c r="SBG1" s="95"/>
      <c r="SBM1" s="95"/>
      <c r="SBS1" s="95"/>
      <c r="SBY1" s="95"/>
      <c r="SCE1" s="95"/>
      <c r="SCK1" s="95"/>
      <c r="SCQ1" s="95"/>
      <c r="SCW1" s="95"/>
      <c r="SDC1" s="95"/>
      <c r="SDI1" s="95"/>
      <c r="SDO1" s="95"/>
      <c r="SDU1" s="95"/>
      <c r="SEA1" s="95"/>
      <c r="SEG1" s="95"/>
      <c r="SEM1" s="95"/>
      <c r="SES1" s="95"/>
      <c r="SEY1" s="95"/>
      <c r="SFE1" s="95"/>
      <c r="SFK1" s="95"/>
      <c r="SFQ1" s="95"/>
      <c r="SFW1" s="95"/>
      <c r="SGC1" s="95"/>
      <c r="SGI1" s="95"/>
      <c r="SGO1" s="95"/>
      <c r="SGU1" s="95"/>
      <c r="SHA1" s="95"/>
      <c r="SHG1" s="95"/>
      <c r="SHM1" s="95"/>
      <c r="SHS1" s="95"/>
      <c r="SHY1" s="95"/>
      <c r="SIE1" s="95"/>
      <c r="SIK1" s="95"/>
      <c r="SIQ1" s="95"/>
      <c r="SIW1" s="95"/>
      <c r="SJC1" s="95"/>
      <c r="SJI1" s="95"/>
      <c r="SJO1" s="95"/>
      <c r="SJU1" s="95"/>
      <c r="SKA1" s="95"/>
      <c r="SKG1" s="95"/>
      <c r="SKM1" s="95"/>
      <c r="SKS1" s="95"/>
      <c r="SKY1" s="95"/>
      <c r="SLE1" s="95"/>
      <c r="SLK1" s="95"/>
      <c r="SLQ1" s="95"/>
      <c r="SLW1" s="95"/>
      <c r="SMC1" s="95"/>
      <c r="SMI1" s="95"/>
      <c r="SMO1" s="95"/>
      <c r="SMU1" s="95"/>
      <c r="SNA1" s="95"/>
      <c r="SNG1" s="95"/>
      <c r="SNM1" s="95"/>
      <c r="SNS1" s="95"/>
      <c r="SNY1" s="95"/>
      <c r="SOE1" s="95"/>
      <c r="SOK1" s="95"/>
      <c r="SOQ1" s="95"/>
      <c r="SOW1" s="95"/>
      <c r="SPC1" s="95"/>
      <c r="SPI1" s="95"/>
      <c r="SPO1" s="95"/>
      <c r="SPU1" s="95"/>
      <c r="SQA1" s="95"/>
      <c r="SQG1" s="95"/>
      <c r="SQM1" s="95"/>
      <c r="SQS1" s="95"/>
      <c r="SQY1" s="95"/>
      <c r="SRE1" s="95"/>
      <c r="SRK1" s="95"/>
      <c r="SRQ1" s="95"/>
      <c r="SRW1" s="95"/>
      <c r="SSC1" s="95"/>
      <c r="SSI1" s="95"/>
      <c r="SSO1" s="95"/>
      <c r="SSU1" s="95"/>
      <c r="STA1" s="95"/>
      <c r="STG1" s="95"/>
      <c r="STM1" s="95"/>
      <c r="STS1" s="95"/>
      <c r="STY1" s="95"/>
      <c r="SUE1" s="95"/>
      <c r="SUK1" s="95"/>
      <c r="SUQ1" s="95"/>
      <c r="SUW1" s="95"/>
      <c r="SVC1" s="95"/>
      <c r="SVI1" s="95"/>
      <c r="SVO1" s="95"/>
      <c r="SVU1" s="95"/>
      <c r="SWA1" s="95"/>
      <c r="SWG1" s="95"/>
      <c r="SWM1" s="95"/>
      <c r="SWS1" s="95"/>
      <c r="SWY1" s="95"/>
      <c r="SXE1" s="95"/>
      <c r="SXK1" s="95"/>
      <c r="SXQ1" s="95"/>
      <c r="SXW1" s="95"/>
      <c r="SYC1" s="95"/>
      <c r="SYI1" s="95"/>
      <c r="SYO1" s="95"/>
      <c r="SYU1" s="95"/>
      <c r="SZA1" s="95"/>
      <c r="SZG1" s="95"/>
      <c r="SZM1" s="95"/>
      <c r="SZS1" s="95"/>
      <c r="SZY1" s="95"/>
      <c r="TAE1" s="95"/>
      <c r="TAK1" s="95"/>
      <c r="TAQ1" s="95"/>
      <c r="TAW1" s="95"/>
      <c r="TBC1" s="95"/>
      <c r="TBI1" s="95"/>
      <c r="TBO1" s="95"/>
      <c r="TBU1" s="95"/>
      <c r="TCA1" s="95"/>
      <c r="TCG1" s="95"/>
      <c r="TCM1" s="95"/>
      <c r="TCS1" s="95"/>
      <c r="TCY1" s="95"/>
      <c r="TDE1" s="95"/>
      <c r="TDK1" s="95"/>
      <c r="TDQ1" s="95"/>
      <c r="TDW1" s="95"/>
      <c r="TEC1" s="95"/>
      <c r="TEI1" s="95"/>
      <c r="TEO1" s="95"/>
      <c r="TEU1" s="95"/>
      <c r="TFA1" s="95"/>
      <c r="TFG1" s="95"/>
      <c r="TFM1" s="95"/>
      <c r="TFS1" s="95"/>
      <c r="TFY1" s="95"/>
      <c r="TGE1" s="95"/>
      <c r="TGK1" s="95"/>
      <c r="TGQ1" s="95"/>
      <c r="TGW1" s="95"/>
      <c r="THC1" s="95"/>
      <c r="THI1" s="95"/>
      <c r="THO1" s="95"/>
      <c r="THU1" s="95"/>
      <c r="TIA1" s="95"/>
      <c r="TIG1" s="95"/>
      <c r="TIM1" s="95"/>
      <c r="TIS1" s="95"/>
      <c r="TIY1" s="95"/>
      <c r="TJE1" s="95"/>
      <c r="TJK1" s="95"/>
      <c r="TJQ1" s="95"/>
      <c r="TJW1" s="95"/>
      <c r="TKC1" s="95"/>
      <c r="TKI1" s="95"/>
      <c r="TKO1" s="95"/>
      <c r="TKU1" s="95"/>
      <c r="TLA1" s="95"/>
      <c r="TLG1" s="95"/>
      <c r="TLM1" s="95"/>
      <c r="TLS1" s="95"/>
      <c r="TLY1" s="95"/>
      <c r="TME1" s="95"/>
      <c r="TMK1" s="95"/>
      <c r="TMQ1" s="95"/>
      <c r="TMW1" s="95"/>
      <c r="TNC1" s="95"/>
      <c r="TNI1" s="95"/>
      <c r="TNO1" s="95"/>
      <c r="TNU1" s="95"/>
      <c r="TOA1" s="95"/>
      <c r="TOG1" s="95"/>
      <c r="TOM1" s="95"/>
      <c r="TOS1" s="95"/>
      <c r="TOY1" s="95"/>
      <c r="TPE1" s="95"/>
      <c r="TPK1" s="95"/>
      <c r="TPQ1" s="95"/>
      <c r="TPW1" s="95"/>
      <c r="TQC1" s="95"/>
      <c r="TQI1" s="95"/>
      <c r="TQO1" s="95"/>
      <c r="TQU1" s="95"/>
      <c r="TRA1" s="95"/>
      <c r="TRG1" s="95"/>
      <c r="TRM1" s="95"/>
      <c r="TRS1" s="95"/>
      <c r="TRY1" s="95"/>
      <c r="TSE1" s="95"/>
      <c r="TSK1" s="95"/>
      <c r="TSQ1" s="95"/>
      <c r="TSW1" s="95"/>
      <c r="TTC1" s="95"/>
      <c r="TTI1" s="95"/>
      <c r="TTO1" s="95"/>
      <c r="TTU1" s="95"/>
      <c r="TUA1" s="95"/>
      <c r="TUG1" s="95"/>
      <c r="TUM1" s="95"/>
      <c r="TUS1" s="95"/>
      <c r="TUY1" s="95"/>
      <c r="TVE1" s="95"/>
      <c r="TVK1" s="95"/>
      <c r="TVQ1" s="95"/>
      <c r="TVW1" s="95"/>
      <c r="TWC1" s="95"/>
      <c r="TWI1" s="95"/>
      <c r="TWO1" s="95"/>
      <c r="TWU1" s="95"/>
      <c r="TXA1" s="95"/>
      <c r="TXG1" s="95"/>
      <c r="TXM1" s="95"/>
      <c r="TXS1" s="95"/>
      <c r="TXY1" s="95"/>
      <c r="TYE1" s="95"/>
      <c r="TYK1" s="95"/>
      <c r="TYQ1" s="95"/>
      <c r="TYW1" s="95"/>
      <c r="TZC1" s="95"/>
      <c r="TZI1" s="95"/>
      <c r="TZO1" s="95"/>
      <c r="TZU1" s="95"/>
      <c r="UAA1" s="95"/>
      <c r="UAG1" s="95"/>
      <c r="UAM1" s="95"/>
      <c r="UAS1" s="95"/>
      <c r="UAY1" s="95"/>
      <c r="UBE1" s="95"/>
      <c r="UBK1" s="95"/>
      <c r="UBQ1" s="95"/>
      <c r="UBW1" s="95"/>
      <c r="UCC1" s="95"/>
      <c r="UCI1" s="95"/>
      <c r="UCO1" s="95"/>
      <c r="UCU1" s="95"/>
      <c r="UDA1" s="95"/>
      <c r="UDG1" s="95"/>
      <c r="UDM1" s="95"/>
      <c r="UDS1" s="95"/>
      <c r="UDY1" s="95"/>
      <c r="UEE1" s="95"/>
      <c r="UEK1" s="95"/>
      <c r="UEQ1" s="95"/>
      <c r="UEW1" s="95"/>
      <c r="UFC1" s="95"/>
      <c r="UFI1" s="95"/>
      <c r="UFO1" s="95"/>
      <c r="UFU1" s="95"/>
      <c r="UGA1" s="95"/>
      <c r="UGG1" s="95"/>
      <c r="UGM1" s="95"/>
      <c r="UGS1" s="95"/>
      <c r="UGY1" s="95"/>
      <c r="UHE1" s="95"/>
      <c r="UHK1" s="95"/>
      <c r="UHQ1" s="95"/>
      <c r="UHW1" s="95"/>
      <c r="UIC1" s="95"/>
      <c r="UII1" s="95"/>
      <c r="UIO1" s="95"/>
      <c r="UIU1" s="95"/>
      <c r="UJA1" s="95"/>
      <c r="UJG1" s="95"/>
      <c r="UJM1" s="95"/>
      <c r="UJS1" s="95"/>
      <c r="UJY1" s="95"/>
      <c r="UKE1" s="95"/>
      <c r="UKK1" s="95"/>
      <c r="UKQ1" s="95"/>
      <c r="UKW1" s="95"/>
      <c r="ULC1" s="95"/>
      <c r="ULI1" s="95"/>
      <c r="ULO1" s="95"/>
      <c r="ULU1" s="95"/>
      <c r="UMA1" s="95"/>
      <c r="UMG1" s="95"/>
      <c r="UMM1" s="95"/>
      <c r="UMS1" s="95"/>
      <c r="UMY1" s="95"/>
      <c r="UNE1" s="95"/>
      <c r="UNK1" s="95"/>
      <c r="UNQ1" s="95"/>
      <c r="UNW1" s="95"/>
      <c r="UOC1" s="95"/>
      <c r="UOI1" s="95"/>
      <c r="UOO1" s="95"/>
      <c r="UOU1" s="95"/>
      <c r="UPA1" s="95"/>
      <c r="UPG1" s="95"/>
      <c r="UPM1" s="95"/>
      <c r="UPS1" s="95"/>
      <c r="UPY1" s="95"/>
      <c r="UQE1" s="95"/>
      <c r="UQK1" s="95"/>
      <c r="UQQ1" s="95"/>
      <c r="UQW1" s="95"/>
      <c r="URC1" s="95"/>
      <c r="URI1" s="95"/>
      <c r="URO1" s="95"/>
      <c r="URU1" s="95"/>
      <c r="USA1" s="95"/>
      <c r="USG1" s="95"/>
      <c r="USM1" s="95"/>
      <c r="USS1" s="95"/>
      <c r="USY1" s="95"/>
      <c r="UTE1" s="95"/>
      <c r="UTK1" s="95"/>
      <c r="UTQ1" s="95"/>
      <c r="UTW1" s="95"/>
      <c r="UUC1" s="95"/>
      <c r="UUI1" s="95"/>
      <c r="UUO1" s="95"/>
      <c r="UUU1" s="95"/>
      <c r="UVA1" s="95"/>
      <c r="UVG1" s="95"/>
      <c r="UVM1" s="95"/>
      <c r="UVS1" s="95"/>
      <c r="UVY1" s="95"/>
      <c r="UWE1" s="95"/>
      <c r="UWK1" s="95"/>
      <c r="UWQ1" s="95"/>
      <c r="UWW1" s="95"/>
      <c r="UXC1" s="95"/>
      <c r="UXI1" s="95"/>
      <c r="UXO1" s="95"/>
      <c r="UXU1" s="95"/>
      <c r="UYA1" s="95"/>
      <c r="UYG1" s="95"/>
      <c r="UYM1" s="95"/>
      <c r="UYS1" s="95"/>
      <c r="UYY1" s="95"/>
      <c r="UZE1" s="95"/>
      <c r="UZK1" s="95"/>
      <c r="UZQ1" s="95"/>
      <c r="UZW1" s="95"/>
      <c r="VAC1" s="95"/>
      <c r="VAI1" s="95"/>
      <c r="VAO1" s="95"/>
      <c r="VAU1" s="95"/>
      <c r="VBA1" s="95"/>
      <c r="VBG1" s="95"/>
      <c r="VBM1" s="95"/>
      <c r="VBS1" s="95"/>
      <c r="VBY1" s="95"/>
      <c r="VCE1" s="95"/>
      <c r="VCK1" s="95"/>
      <c r="VCQ1" s="95"/>
      <c r="VCW1" s="95"/>
      <c r="VDC1" s="95"/>
      <c r="VDI1" s="95"/>
      <c r="VDO1" s="95"/>
      <c r="VDU1" s="95"/>
      <c r="VEA1" s="95"/>
      <c r="VEG1" s="95"/>
      <c r="VEM1" s="95"/>
      <c r="VES1" s="95"/>
      <c r="VEY1" s="95"/>
      <c r="VFE1" s="95"/>
      <c r="VFK1" s="95"/>
      <c r="VFQ1" s="95"/>
      <c r="VFW1" s="95"/>
      <c r="VGC1" s="95"/>
      <c r="VGI1" s="95"/>
      <c r="VGO1" s="95"/>
      <c r="VGU1" s="95"/>
      <c r="VHA1" s="95"/>
      <c r="VHG1" s="95"/>
      <c r="VHM1" s="95"/>
      <c r="VHS1" s="95"/>
      <c r="VHY1" s="95"/>
      <c r="VIE1" s="95"/>
      <c r="VIK1" s="95"/>
      <c r="VIQ1" s="95"/>
      <c r="VIW1" s="95"/>
      <c r="VJC1" s="95"/>
      <c r="VJI1" s="95"/>
      <c r="VJO1" s="95"/>
      <c r="VJU1" s="95"/>
      <c r="VKA1" s="95"/>
      <c r="VKG1" s="95"/>
      <c r="VKM1" s="95"/>
      <c r="VKS1" s="95"/>
      <c r="VKY1" s="95"/>
      <c r="VLE1" s="95"/>
      <c r="VLK1" s="95"/>
      <c r="VLQ1" s="95"/>
      <c r="VLW1" s="95"/>
      <c r="VMC1" s="95"/>
      <c r="VMI1" s="95"/>
      <c r="VMO1" s="95"/>
      <c r="VMU1" s="95"/>
      <c r="VNA1" s="95"/>
      <c r="VNG1" s="95"/>
      <c r="VNM1" s="95"/>
      <c r="VNS1" s="95"/>
      <c r="VNY1" s="95"/>
      <c r="VOE1" s="95"/>
      <c r="VOK1" s="95"/>
      <c r="VOQ1" s="95"/>
      <c r="VOW1" s="95"/>
      <c r="VPC1" s="95"/>
      <c r="VPI1" s="95"/>
      <c r="VPO1" s="95"/>
      <c r="VPU1" s="95"/>
      <c r="VQA1" s="95"/>
      <c r="VQG1" s="95"/>
      <c r="VQM1" s="95"/>
      <c r="VQS1" s="95"/>
      <c r="VQY1" s="95"/>
      <c r="VRE1" s="95"/>
      <c r="VRK1" s="95"/>
      <c r="VRQ1" s="95"/>
      <c r="VRW1" s="95"/>
      <c r="VSC1" s="95"/>
      <c r="VSI1" s="95"/>
      <c r="VSO1" s="95"/>
      <c r="VSU1" s="95"/>
      <c r="VTA1" s="95"/>
      <c r="VTG1" s="95"/>
      <c r="VTM1" s="95"/>
      <c r="VTS1" s="95"/>
      <c r="VTY1" s="95"/>
      <c r="VUE1" s="95"/>
      <c r="VUK1" s="95"/>
      <c r="VUQ1" s="95"/>
      <c r="VUW1" s="95"/>
      <c r="VVC1" s="95"/>
      <c r="VVI1" s="95"/>
      <c r="VVO1" s="95"/>
      <c r="VVU1" s="95"/>
      <c r="VWA1" s="95"/>
      <c r="VWG1" s="95"/>
      <c r="VWM1" s="95"/>
      <c r="VWS1" s="95"/>
      <c r="VWY1" s="95"/>
      <c r="VXE1" s="95"/>
      <c r="VXK1" s="95"/>
      <c r="VXQ1" s="95"/>
      <c r="VXW1" s="95"/>
      <c r="VYC1" s="95"/>
      <c r="VYI1" s="95"/>
      <c r="VYO1" s="95"/>
      <c r="VYU1" s="95"/>
      <c r="VZA1" s="95"/>
      <c r="VZG1" s="95"/>
      <c r="VZM1" s="95"/>
      <c r="VZS1" s="95"/>
      <c r="VZY1" s="95"/>
      <c r="WAE1" s="95"/>
      <c r="WAK1" s="95"/>
      <c r="WAQ1" s="95"/>
      <c r="WAW1" s="95"/>
      <c r="WBC1" s="95"/>
      <c r="WBI1" s="95"/>
      <c r="WBO1" s="95"/>
      <c r="WBU1" s="95"/>
      <c r="WCA1" s="95"/>
      <c r="WCG1" s="95"/>
      <c r="WCM1" s="95"/>
      <c r="WCS1" s="95"/>
      <c r="WCY1" s="95"/>
      <c r="WDE1" s="95"/>
      <c r="WDK1" s="95"/>
      <c r="WDQ1" s="95"/>
      <c r="WDW1" s="95"/>
      <c r="WEC1" s="95"/>
      <c r="WEI1" s="95"/>
      <c r="WEO1" s="95"/>
      <c r="WEU1" s="95"/>
      <c r="WFA1" s="95"/>
      <c r="WFG1" s="95"/>
      <c r="WFM1" s="95"/>
      <c r="WFS1" s="95"/>
      <c r="WFY1" s="95"/>
      <c r="WGE1" s="95"/>
      <c r="WGK1" s="95"/>
      <c r="WGQ1" s="95"/>
      <c r="WGW1" s="95"/>
      <c r="WHC1" s="95"/>
      <c r="WHI1" s="95"/>
      <c r="WHO1" s="95"/>
      <c r="WHU1" s="95"/>
      <c r="WIA1" s="95"/>
      <c r="WIG1" s="95"/>
      <c r="WIM1" s="95"/>
      <c r="WIS1" s="95"/>
      <c r="WIY1" s="95"/>
      <c r="WJE1" s="95"/>
      <c r="WJK1" s="95"/>
      <c r="WJQ1" s="95"/>
      <c r="WJW1" s="95"/>
      <c r="WKC1" s="95"/>
      <c r="WKI1" s="95"/>
      <c r="WKO1" s="95"/>
      <c r="WKU1" s="95"/>
      <c r="WLA1" s="95"/>
      <c r="WLG1" s="95"/>
      <c r="WLM1" s="95"/>
      <c r="WLS1" s="95"/>
      <c r="WLY1" s="95"/>
      <c r="WME1" s="95"/>
      <c r="WMK1" s="95"/>
      <c r="WMQ1" s="95"/>
      <c r="WMW1" s="95"/>
      <c r="WNC1" s="95"/>
      <c r="WNI1" s="95"/>
      <c r="WNO1" s="95"/>
      <c r="WNU1" s="95"/>
      <c r="WOA1" s="95"/>
      <c r="WOG1" s="95"/>
      <c r="WOM1" s="95"/>
      <c r="WOS1" s="95"/>
      <c r="WOY1" s="95"/>
      <c r="WPE1" s="95"/>
      <c r="WPK1" s="95"/>
      <c r="WPQ1" s="95"/>
      <c r="WPW1" s="95"/>
      <c r="WQC1" s="95"/>
      <c r="WQI1" s="95"/>
      <c r="WQO1" s="95"/>
      <c r="WQU1" s="95"/>
      <c r="WRA1" s="95"/>
      <c r="WRG1" s="95"/>
      <c r="WRM1" s="95"/>
      <c r="WRS1" s="95"/>
      <c r="WRY1" s="95"/>
      <c r="WSE1" s="95"/>
      <c r="WSK1" s="95"/>
      <c r="WSQ1" s="95"/>
      <c r="WSW1" s="95"/>
      <c r="WTC1" s="95"/>
      <c r="WTI1" s="95"/>
      <c r="WTO1" s="95"/>
      <c r="WTU1" s="95"/>
      <c r="WUA1" s="95"/>
      <c r="WUG1" s="95"/>
      <c r="WUM1" s="95"/>
      <c r="WUS1" s="95"/>
      <c r="WUY1" s="95"/>
      <c r="WVE1" s="95"/>
      <c r="WVK1" s="95"/>
      <c r="WVQ1" s="95"/>
      <c r="WVW1" s="95"/>
      <c r="WWC1" s="95"/>
      <c r="WWI1" s="95"/>
      <c r="WWO1" s="95"/>
      <c r="WWU1" s="95"/>
      <c r="WXA1" s="95"/>
      <c r="WXG1" s="95"/>
      <c r="WXM1" s="95"/>
      <c r="WXS1" s="95"/>
      <c r="WXY1" s="95"/>
      <c r="WYE1" s="95"/>
      <c r="WYK1" s="95"/>
      <c r="WYQ1" s="95"/>
      <c r="WYW1" s="95"/>
      <c r="WZC1" s="95"/>
      <c r="WZI1" s="95"/>
      <c r="WZO1" s="95"/>
      <c r="WZU1" s="95"/>
      <c r="XAA1" s="95"/>
      <c r="XAG1" s="95"/>
      <c r="XAM1" s="95"/>
      <c r="XAS1" s="95"/>
      <c r="XAY1" s="95"/>
      <c r="XBE1" s="95"/>
      <c r="XBK1" s="95"/>
      <c r="XBQ1" s="95"/>
      <c r="XBW1" s="95"/>
      <c r="XCC1" s="95"/>
      <c r="XCI1" s="95"/>
      <c r="XCO1" s="95"/>
      <c r="XCU1" s="95"/>
      <c r="XDA1" s="95"/>
      <c r="XDG1" s="95"/>
      <c r="XDM1" s="95"/>
      <c r="XDS1" s="95"/>
      <c r="XDY1" s="95"/>
      <c r="XEE1" s="95"/>
      <c r="XEK1" s="95"/>
      <c r="XEQ1" s="95"/>
      <c r="XEW1" s="95"/>
      <c r="XFC1" s="95"/>
    </row>
    <row r="2" spans="1:1023 1029:2043 2049:3069 3075:4095 4101:5115 5121:6141 6147:7167 7173:8187 8193:9213 9219:10239 10245:11259 11265:12285 12291:13311 13317:14331 14337:15357 15363:16383" s="755" customFormat="1" x14ac:dyDescent="0.2">
      <c r="A2" s="21" t="s">
        <v>653</v>
      </c>
      <c r="B2" s="21"/>
      <c r="C2" s="21"/>
      <c r="D2" s="21"/>
      <c r="E2" s="752"/>
      <c r="F2" s="21"/>
      <c r="G2" s="23"/>
      <c r="H2" s="1741"/>
      <c r="I2" s="1741"/>
      <c r="J2" s="1741"/>
      <c r="K2" s="1741"/>
      <c r="L2" s="1741"/>
      <c r="M2" s="1741"/>
      <c r="N2" s="755" t="s">
        <v>654</v>
      </c>
      <c r="O2" s="95"/>
      <c r="Q2" s="755">
        <f ca="1">SUM($AA$4:$CD$4)</f>
        <v>2496575.5919912709</v>
      </c>
      <c r="U2" s="95"/>
      <c r="V2" s="755">
        <f ca="1">Q2/$Q$5</f>
        <v>0.93996443556318476</v>
      </c>
      <c r="AA2" s="1995" t="s">
        <v>852</v>
      </c>
      <c r="AB2" s="1995"/>
      <c r="AC2" s="1995"/>
      <c r="AD2" s="1995"/>
      <c r="AE2" s="1995"/>
      <c r="AF2" s="1995"/>
      <c r="AG2" s="1995"/>
      <c r="AH2" s="1995"/>
      <c r="AI2" s="1995"/>
      <c r="AJ2" s="1995"/>
      <c r="AK2" s="1995"/>
      <c r="AL2" s="1995"/>
      <c r="AM2" s="1995"/>
      <c r="AN2" s="1995"/>
      <c r="AO2" s="1995"/>
      <c r="AP2" s="1995"/>
      <c r="AQ2" s="1995"/>
      <c r="AR2" s="1995"/>
      <c r="AS2" s="95"/>
      <c r="AT2" s="1995" t="s">
        <v>853</v>
      </c>
      <c r="AU2" s="1995"/>
      <c r="AV2" s="1995"/>
      <c r="AW2" s="1995"/>
      <c r="AX2" s="1995"/>
      <c r="AY2" s="1995"/>
      <c r="AZ2" s="1995"/>
      <c r="BA2" s="1995"/>
      <c r="BB2" s="1995"/>
      <c r="BC2" s="1995"/>
      <c r="BD2" s="1995"/>
      <c r="BE2" s="1995"/>
      <c r="BF2" s="1995"/>
      <c r="BG2" s="1995"/>
      <c r="BH2" s="1995"/>
      <c r="BI2" s="1995"/>
      <c r="BJ2" s="1995"/>
      <c r="BK2" s="1995"/>
      <c r="BM2" s="1995" t="s">
        <v>854</v>
      </c>
      <c r="BN2" s="1995"/>
      <c r="BO2" s="1995"/>
      <c r="BP2" s="1995"/>
      <c r="BQ2" s="1995"/>
      <c r="BR2" s="1995"/>
      <c r="BS2" s="1995"/>
      <c r="BT2" s="1995"/>
      <c r="BU2" s="1995"/>
      <c r="BV2" s="1995"/>
      <c r="BW2" s="1995"/>
      <c r="BX2" s="1995"/>
      <c r="BY2" s="1995"/>
      <c r="BZ2" s="1995"/>
      <c r="CA2" s="1995"/>
      <c r="CB2" s="1995"/>
      <c r="CC2" s="1995"/>
      <c r="CD2" s="1995"/>
      <c r="CF2" s="1995" t="s">
        <v>855</v>
      </c>
      <c r="CG2" s="1995"/>
      <c r="CH2" s="1995"/>
      <c r="CI2" s="1995"/>
      <c r="CJ2" s="1995"/>
      <c r="CK2" s="1995"/>
      <c r="CL2" s="1995"/>
      <c r="CM2" s="1995"/>
      <c r="CN2" s="1995"/>
      <c r="CO2" s="1995"/>
      <c r="CP2" s="1995"/>
      <c r="CQ2" s="1995"/>
      <c r="CR2" s="1995"/>
      <c r="CS2" s="1995"/>
      <c r="CT2" s="1995"/>
      <c r="CU2" s="1995"/>
      <c r="CV2" s="1995"/>
      <c r="CW2" s="1995"/>
      <c r="DA2" s="95"/>
      <c r="DG2" s="95"/>
      <c r="DM2" s="95"/>
      <c r="DS2" s="95"/>
      <c r="DY2" s="95"/>
      <c r="EE2" s="95"/>
      <c r="EK2" s="95"/>
      <c r="EQ2" s="95"/>
      <c r="EW2" s="95"/>
      <c r="FC2" s="95"/>
      <c r="FI2" s="95"/>
      <c r="FO2" s="95"/>
      <c r="FU2" s="95"/>
      <c r="GA2" s="95"/>
      <c r="GG2" s="95"/>
      <c r="GM2" s="95"/>
      <c r="GS2" s="95"/>
      <c r="GY2" s="95"/>
      <c r="HE2" s="95"/>
      <c r="HK2" s="95"/>
      <c r="HQ2" s="95"/>
      <c r="HW2" s="95"/>
      <c r="IC2" s="95"/>
      <c r="II2" s="95"/>
      <c r="IO2" s="95"/>
      <c r="IU2" s="95"/>
      <c r="JA2" s="95"/>
      <c r="JG2" s="95"/>
      <c r="JM2" s="95"/>
      <c r="JS2" s="95"/>
      <c r="JY2" s="95"/>
      <c r="KE2" s="95"/>
      <c r="KK2" s="95"/>
      <c r="KQ2" s="95"/>
      <c r="KW2" s="95"/>
      <c r="LC2" s="95"/>
      <c r="LI2" s="95"/>
      <c r="LO2" s="95"/>
      <c r="LU2" s="95"/>
      <c r="MA2" s="95"/>
      <c r="MG2" s="95"/>
      <c r="MM2" s="95"/>
      <c r="MS2" s="95"/>
      <c r="MY2" s="95"/>
      <c r="NE2" s="95"/>
      <c r="NK2" s="95"/>
      <c r="NQ2" s="95"/>
      <c r="NW2" s="95"/>
      <c r="OC2" s="95"/>
      <c r="OI2" s="95"/>
      <c r="OO2" s="95"/>
      <c r="OU2" s="95"/>
      <c r="PA2" s="95"/>
      <c r="PG2" s="95"/>
      <c r="PM2" s="95"/>
      <c r="PS2" s="95"/>
      <c r="PY2" s="95"/>
      <c r="QE2" s="95"/>
      <c r="QK2" s="95"/>
      <c r="QQ2" s="95"/>
      <c r="QW2" s="95"/>
      <c r="RC2" s="95"/>
      <c r="RI2" s="95"/>
      <c r="RO2" s="95"/>
      <c r="RU2" s="95"/>
      <c r="SA2" s="95"/>
      <c r="SG2" s="95"/>
      <c r="SM2" s="95"/>
      <c r="SS2" s="95"/>
      <c r="SY2" s="95"/>
      <c r="TE2" s="95"/>
      <c r="TK2" s="95"/>
      <c r="TQ2" s="95"/>
      <c r="TW2" s="95"/>
      <c r="UC2" s="95"/>
      <c r="UI2" s="95"/>
      <c r="UO2" s="95"/>
      <c r="UU2" s="95"/>
      <c r="VA2" s="95"/>
      <c r="VG2" s="95"/>
      <c r="VM2" s="95"/>
      <c r="VS2" s="95"/>
      <c r="VY2" s="95"/>
      <c r="WE2" s="95"/>
      <c r="WK2" s="95"/>
      <c r="WQ2" s="95"/>
      <c r="WW2" s="95"/>
      <c r="XC2" s="95"/>
      <c r="XI2" s="95"/>
      <c r="XO2" s="95"/>
      <c r="XU2" s="95"/>
      <c r="YA2" s="95"/>
      <c r="YG2" s="95"/>
      <c r="YM2" s="95"/>
      <c r="YS2" s="95"/>
      <c r="YY2" s="95"/>
      <c r="ZE2" s="95"/>
      <c r="ZK2" s="95"/>
      <c r="ZQ2" s="95"/>
      <c r="ZW2" s="95"/>
      <c r="AAC2" s="95"/>
      <c r="AAI2" s="95"/>
      <c r="AAO2" s="95"/>
      <c r="AAU2" s="95"/>
      <c r="ABA2" s="95"/>
      <c r="ABG2" s="95"/>
      <c r="ABM2" s="95"/>
      <c r="ABS2" s="95"/>
      <c r="ABY2" s="95"/>
      <c r="ACE2" s="95"/>
      <c r="ACK2" s="95"/>
      <c r="ACQ2" s="95"/>
      <c r="ACW2" s="95"/>
      <c r="ADC2" s="95"/>
      <c r="ADI2" s="95"/>
      <c r="ADO2" s="95"/>
      <c r="ADU2" s="95"/>
      <c r="AEA2" s="95"/>
      <c r="AEG2" s="95"/>
      <c r="AEM2" s="95"/>
      <c r="AES2" s="95"/>
      <c r="AEY2" s="95"/>
      <c r="AFE2" s="95"/>
      <c r="AFK2" s="95"/>
      <c r="AFQ2" s="95"/>
      <c r="AFW2" s="95"/>
      <c r="AGC2" s="95"/>
      <c r="AGI2" s="95"/>
      <c r="AGO2" s="95"/>
      <c r="AGU2" s="95"/>
      <c r="AHA2" s="95"/>
      <c r="AHG2" s="95"/>
      <c r="AHM2" s="95"/>
      <c r="AHS2" s="95"/>
      <c r="AHY2" s="95"/>
      <c r="AIE2" s="95"/>
      <c r="AIK2" s="95"/>
      <c r="AIQ2" s="95"/>
      <c r="AIW2" s="95"/>
      <c r="AJC2" s="95"/>
      <c r="AJI2" s="95"/>
      <c r="AJO2" s="95"/>
      <c r="AJU2" s="95"/>
      <c r="AKA2" s="95"/>
      <c r="AKG2" s="95"/>
      <c r="AKM2" s="95"/>
      <c r="AKS2" s="95"/>
      <c r="AKY2" s="95"/>
      <c r="ALE2" s="95"/>
      <c r="ALK2" s="95"/>
      <c r="ALQ2" s="95"/>
      <c r="ALW2" s="95"/>
      <c r="AMC2" s="95"/>
      <c r="AMI2" s="95"/>
      <c r="AMO2" s="95"/>
      <c r="AMU2" s="95"/>
      <c r="ANA2" s="95"/>
      <c r="ANG2" s="95"/>
      <c r="ANM2" s="95"/>
      <c r="ANS2" s="95"/>
      <c r="ANY2" s="95"/>
      <c r="AOE2" s="95"/>
      <c r="AOK2" s="95"/>
      <c r="AOQ2" s="95"/>
      <c r="AOW2" s="95"/>
      <c r="APC2" s="95"/>
      <c r="API2" s="95"/>
      <c r="APO2" s="95"/>
      <c r="APU2" s="95"/>
      <c r="AQA2" s="95"/>
      <c r="AQG2" s="95"/>
      <c r="AQM2" s="95"/>
      <c r="AQS2" s="95"/>
      <c r="AQY2" s="95"/>
      <c r="ARE2" s="95"/>
      <c r="ARK2" s="95"/>
      <c r="ARQ2" s="95"/>
      <c r="ARW2" s="95"/>
      <c r="ASC2" s="95"/>
      <c r="ASI2" s="95"/>
      <c r="ASO2" s="95"/>
      <c r="ASU2" s="95"/>
      <c r="ATA2" s="95"/>
      <c r="ATG2" s="95"/>
      <c r="ATM2" s="95"/>
      <c r="ATS2" s="95"/>
      <c r="ATY2" s="95"/>
      <c r="AUE2" s="95"/>
      <c r="AUK2" s="95"/>
      <c r="AUQ2" s="95"/>
      <c r="AUW2" s="95"/>
      <c r="AVC2" s="95"/>
      <c r="AVI2" s="95"/>
      <c r="AVO2" s="95"/>
      <c r="AVU2" s="95"/>
      <c r="AWA2" s="95"/>
      <c r="AWG2" s="95"/>
      <c r="AWM2" s="95"/>
      <c r="AWS2" s="95"/>
      <c r="AWY2" s="95"/>
      <c r="AXE2" s="95"/>
      <c r="AXK2" s="95"/>
      <c r="AXQ2" s="95"/>
      <c r="AXW2" s="95"/>
      <c r="AYC2" s="95"/>
      <c r="AYI2" s="95"/>
      <c r="AYO2" s="95"/>
      <c r="AYU2" s="95"/>
      <c r="AZA2" s="95"/>
      <c r="AZG2" s="95"/>
      <c r="AZM2" s="95"/>
      <c r="AZS2" s="95"/>
      <c r="AZY2" s="95"/>
      <c r="BAE2" s="95"/>
      <c r="BAK2" s="95"/>
      <c r="BAQ2" s="95"/>
      <c r="BAW2" s="95"/>
      <c r="BBC2" s="95"/>
      <c r="BBI2" s="95"/>
      <c r="BBO2" s="95"/>
      <c r="BBU2" s="95"/>
      <c r="BCA2" s="95"/>
      <c r="BCG2" s="95"/>
      <c r="BCM2" s="95"/>
      <c r="BCS2" s="95"/>
      <c r="BCY2" s="95"/>
      <c r="BDE2" s="95"/>
      <c r="BDK2" s="95"/>
      <c r="BDQ2" s="95"/>
      <c r="BDW2" s="95"/>
      <c r="BEC2" s="95"/>
      <c r="BEI2" s="95"/>
      <c r="BEO2" s="95"/>
      <c r="BEU2" s="95"/>
      <c r="BFA2" s="95"/>
      <c r="BFG2" s="95"/>
      <c r="BFM2" s="95"/>
      <c r="BFS2" s="95"/>
      <c r="BFY2" s="95"/>
      <c r="BGE2" s="95"/>
      <c r="BGK2" s="95"/>
      <c r="BGQ2" s="95"/>
      <c r="BGW2" s="95"/>
      <c r="BHC2" s="95"/>
      <c r="BHI2" s="95"/>
      <c r="BHO2" s="95"/>
      <c r="BHU2" s="95"/>
      <c r="BIA2" s="95"/>
      <c r="BIG2" s="95"/>
      <c r="BIM2" s="95"/>
      <c r="BIS2" s="95"/>
      <c r="BIY2" s="95"/>
      <c r="BJE2" s="95"/>
      <c r="BJK2" s="95"/>
      <c r="BJQ2" s="95"/>
      <c r="BJW2" s="95"/>
      <c r="BKC2" s="95"/>
      <c r="BKI2" s="95"/>
      <c r="BKO2" s="95"/>
      <c r="BKU2" s="95"/>
      <c r="BLA2" s="95"/>
      <c r="BLG2" s="95"/>
      <c r="BLM2" s="95"/>
      <c r="BLS2" s="95"/>
      <c r="BLY2" s="95"/>
      <c r="BME2" s="95"/>
      <c r="BMK2" s="95"/>
      <c r="BMQ2" s="95"/>
      <c r="BMW2" s="95"/>
      <c r="BNC2" s="95"/>
      <c r="BNI2" s="95"/>
      <c r="BNO2" s="95"/>
      <c r="BNU2" s="95"/>
      <c r="BOA2" s="95"/>
      <c r="BOG2" s="95"/>
      <c r="BOM2" s="95"/>
      <c r="BOS2" s="95"/>
      <c r="BOY2" s="95"/>
      <c r="BPE2" s="95"/>
      <c r="BPK2" s="95"/>
      <c r="BPQ2" s="95"/>
      <c r="BPW2" s="95"/>
      <c r="BQC2" s="95"/>
      <c r="BQI2" s="95"/>
      <c r="BQO2" s="95"/>
      <c r="BQU2" s="95"/>
      <c r="BRA2" s="95"/>
      <c r="BRG2" s="95"/>
      <c r="BRM2" s="95"/>
      <c r="BRS2" s="95"/>
      <c r="BRY2" s="95"/>
      <c r="BSE2" s="95"/>
      <c r="BSK2" s="95"/>
      <c r="BSQ2" s="95"/>
      <c r="BSW2" s="95"/>
      <c r="BTC2" s="95"/>
      <c r="BTI2" s="95"/>
      <c r="BTO2" s="95"/>
      <c r="BTU2" s="95"/>
      <c r="BUA2" s="95"/>
      <c r="BUG2" s="95"/>
      <c r="BUM2" s="95"/>
      <c r="BUS2" s="95"/>
      <c r="BUY2" s="95"/>
      <c r="BVE2" s="95"/>
      <c r="BVK2" s="95"/>
      <c r="BVQ2" s="95"/>
      <c r="BVW2" s="95"/>
      <c r="BWC2" s="95"/>
      <c r="BWI2" s="95"/>
      <c r="BWO2" s="95"/>
      <c r="BWU2" s="95"/>
      <c r="BXA2" s="95"/>
      <c r="BXG2" s="95"/>
      <c r="BXM2" s="95"/>
      <c r="BXS2" s="95"/>
      <c r="BXY2" s="95"/>
      <c r="BYE2" s="95"/>
      <c r="BYK2" s="95"/>
      <c r="BYQ2" s="95"/>
      <c r="BYW2" s="95"/>
      <c r="BZC2" s="95"/>
      <c r="BZI2" s="95"/>
      <c r="BZO2" s="95"/>
      <c r="BZU2" s="95"/>
      <c r="CAA2" s="95"/>
      <c r="CAG2" s="95"/>
      <c r="CAM2" s="95"/>
      <c r="CAS2" s="95"/>
      <c r="CAY2" s="95"/>
      <c r="CBE2" s="95"/>
      <c r="CBK2" s="95"/>
      <c r="CBQ2" s="95"/>
      <c r="CBW2" s="95"/>
      <c r="CCC2" s="95"/>
      <c r="CCI2" s="95"/>
      <c r="CCO2" s="95"/>
      <c r="CCU2" s="95"/>
      <c r="CDA2" s="95"/>
      <c r="CDG2" s="95"/>
      <c r="CDM2" s="95"/>
      <c r="CDS2" s="95"/>
      <c r="CDY2" s="95"/>
      <c r="CEE2" s="95"/>
      <c r="CEK2" s="95"/>
      <c r="CEQ2" s="95"/>
      <c r="CEW2" s="95"/>
      <c r="CFC2" s="95"/>
      <c r="CFI2" s="95"/>
      <c r="CFO2" s="95"/>
      <c r="CFU2" s="95"/>
      <c r="CGA2" s="95"/>
      <c r="CGG2" s="95"/>
      <c r="CGM2" s="95"/>
      <c r="CGS2" s="95"/>
      <c r="CGY2" s="95"/>
      <c r="CHE2" s="95"/>
      <c r="CHK2" s="95"/>
      <c r="CHQ2" s="95"/>
      <c r="CHW2" s="95"/>
      <c r="CIC2" s="95"/>
      <c r="CII2" s="95"/>
      <c r="CIO2" s="95"/>
      <c r="CIU2" s="95"/>
      <c r="CJA2" s="95"/>
      <c r="CJG2" s="95"/>
      <c r="CJM2" s="95"/>
      <c r="CJS2" s="95"/>
      <c r="CJY2" s="95"/>
      <c r="CKE2" s="95"/>
      <c r="CKK2" s="95"/>
      <c r="CKQ2" s="95"/>
      <c r="CKW2" s="95"/>
      <c r="CLC2" s="95"/>
      <c r="CLI2" s="95"/>
      <c r="CLO2" s="95"/>
      <c r="CLU2" s="95"/>
      <c r="CMA2" s="95"/>
      <c r="CMG2" s="95"/>
      <c r="CMM2" s="95"/>
      <c r="CMS2" s="95"/>
      <c r="CMY2" s="95"/>
      <c r="CNE2" s="95"/>
      <c r="CNK2" s="95"/>
      <c r="CNQ2" s="95"/>
      <c r="CNW2" s="95"/>
      <c r="COC2" s="95"/>
      <c r="COI2" s="95"/>
      <c r="COO2" s="95"/>
      <c r="COU2" s="95"/>
      <c r="CPA2" s="95"/>
      <c r="CPG2" s="95"/>
      <c r="CPM2" s="95"/>
      <c r="CPS2" s="95"/>
      <c r="CPY2" s="95"/>
      <c r="CQE2" s="95"/>
      <c r="CQK2" s="95"/>
      <c r="CQQ2" s="95"/>
      <c r="CQW2" s="95"/>
      <c r="CRC2" s="95"/>
      <c r="CRI2" s="95"/>
      <c r="CRO2" s="95"/>
      <c r="CRU2" s="95"/>
      <c r="CSA2" s="95"/>
      <c r="CSG2" s="95"/>
      <c r="CSM2" s="95"/>
      <c r="CSS2" s="95"/>
      <c r="CSY2" s="95"/>
      <c r="CTE2" s="95"/>
      <c r="CTK2" s="95"/>
      <c r="CTQ2" s="95"/>
      <c r="CTW2" s="95"/>
      <c r="CUC2" s="95"/>
      <c r="CUI2" s="95"/>
      <c r="CUO2" s="95"/>
      <c r="CUU2" s="95"/>
      <c r="CVA2" s="95"/>
      <c r="CVG2" s="95"/>
      <c r="CVM2" s="95"/>
      <c r="CVS2" s="95"/>
      <c r="CVY2" s="95"/>
      <c r="CWE2" s="95"/>
      <c r="CWK2" s="95"/>
      <c r="CWQ2" s="95"/>
      <c r="CWW2" s="95"/>
      <c r="CXC2" s="95"/>
      <c r="CXI2" s="95"/>
      <c r="CXO2" s="95"/>
      <c r="CXU2" s="95"/>
      <c r="CYA2" s="95"/>
      <c r="CYG2" s="95"/>
      <c r="CYM2" s="95"/>
      <c r="CYS2" s="95"/>
      <c r="CYY2" s="95"/>
      <c r="CZE2" s="95"/>
      <c r="CZK2" s="95"/>
      <c r="CZQ2" s="95"/>
      <c r="CZW2" s="95"/>
      <c r="DAC2" s="95"/>
      <c r="DAI2" s="95"/>
      <c r="DAO2" s="95"/>
      <c r="DAU2" s="95"/>
      <c r="DBA2" s="95"/>
      <c r="DBG2" s="95"/>
      <c r="DBM2" s="95"/>
      <c r="DBS2" s="95"/>
      <c r="DBY2" s="95"/>
      <c r="DCE2" s="95"/>
      <c r="DCK2" s="95"/>
      <c r="DCQ2" s="95"/>
      <c r="DCW2" s="95"/>
      <c r="DDC2" s="95"/>
      <c r="DDI2" s="95"/>
      <c r="DDO2" s="95"/>
      <c r="DDU2" s="95"/>
      <c r="DEA2" s="95"/>
      <c r="DEG2" s="95"/>
      <c r="DEM2" s="95"/>
      <c r="DES2" s="95"/>
      <c r="DEY2" s="95"/>
      <c r="DFE2" s="95"/>
      <c r="DFK2" s="95"/>
      <c r="DFQ2" s="95"/>
      <c r="DFW2" s="95"/>
      <c r="DGC2" s="95"/>
      <c r="DGI2" s="95"/>
      <c r="DGO2" s="95"/>
      <c r="DGU2" s="95"/>
      <c r="DHA2" s="95"/>
      <c r="DHG2" s="95"/>
      <c r="DHM2" s="95"/>
      <c r="DHS2" s="95"/>
      <c r="DHY2" s="95"/>
      <c r="DIE2" s="95"/>
      <c r="DIK2" s="95"/>
      <c r="DIQ2" s="95"/>
      <c r="DIW2" s="95"/>
      <c r="DJC2" s="95"/>
      <c r="DJI2" s="95"/>
      <c r="DJO2" s="95"/>
      <c r="DJU2" s="95"/>
      <c r="DKA2" s="95"/>
      <c r="DKG2" s="95"/>
      <c r="DKM2" s="95"/>
      <c r="DKS2" s="95"/>
      <c r="DKY2" s="95"/>
      <c r="DLE2" s="95"/>
      <c r="DLK2" s="95"/>
      <c r="DLQ2" s="95"/>
      <c r="DLW2" s="95"/>
      <c r="DMC2" s="95"/>
      <c r="DMI2" s="95"/>
      <c r="DMO2" s="95"/>
      <c r="DMU2" s="95"/>
      <c r="DNA2" s="95"/>
      <c r="DNG2" s="95"/>
      <c r="DNM2" s="95"/>
      <c r="DNS2" s="95"/>
      <c r="DNY2" s="95"/>
      <c r="DOE2" s="95"/>
      <c r="DOK2" s="95"/>
      <c r="DOQ2" s="95"/>
      <c r="DOW2" s="95"/>
      <c r="DPC2" s="95"/>
      <c r="DPI2" s="95"/>
      <c r="DPO2" s="95"/>
      <c r="DPU2" s="95"/>
      <c r="DQA2" s="95"/>
      <c r="DQG2" s="95"/>
      <c r="DQM2" s="95"/>
      <c r="DQS2" s="95"/>
      <c r="DQY2" s="95"/>
      <c r="DRE2" s="95"/>
      <c r="DRK2" s="95"/>
      <c r="DRQ2" s="95"/>
      <c r="DRW2" s="95"/>
      <c r="DSC2" s="95"/>
      <c r="DSI2" s="95"/>
      <c r="DSO2" s="95"/>
      <c r="DSU2" s="95"/>
      <c r="DTA2" s="95"/>
      <c r="DTG2" s="95"/>
      <c r="DTM2" s="95"/>
      <c r="DTS2" s="95"/>
      <c r="DTY2" s="95"/>
      <c r="DUE2" s="95"/>
      <c r="DUK2" s="95"/>
      <c r="DUQ2" s="95"/>
      <c r="DUW2" s="95"/>
      <c r="DVC2" s="95"/>
      <c r="DVI2" s="95"/>
      <c r="DVO2" s="95"/>
      <c r="DVU2" s="95"/>
      <c r="DWA2" s="95"/>
      <c r="DWG2" s="95"/>
      <c r="DWM2" s="95"/>
      <c r="DWS2" s="95"/>
      <c r="DWY2" s="95"/>
      <c r="DXE2" s="95"/>
      <c r="DXK2" s="95"/>
      <c r="DXQ2" s="95"/>
      <c r="DXW2" s="95"/>
      <c r="DYC2" s="95"/>
      <c r="DYI2" s="95"/>
      <c r="DYO2" s="95"/>
      <c r="DYU2" s="95"/>
      <c r="DZA2" s="95"/>
      <c r="DZG2" s="95"/>
      <c r="DZM2" s="95"/>
      <c r="DZS2" s="95"/>
      <c r="DZY2" s="95"/>
      <c r="EAE2" s="95"/>
      <c r="EAK2" s="95"/>
      <c r="EAQ2" s="95"/>
      <c r="EAW2" s="95"/>
      <c r="EBC2" s="95"/>
      <c r="EBI2" s="95"/>
      <c r="EBO2" s="95"/>
      <c r="EBU2" s="95"/>
      <c r="ECA2" s="95"/>
      <c r="ECG2" s="95"/>
      <c r="ECM2" s="95"/>
      <c r="ECS2" s="95"/>
      <c r="ECY2" s="95"/>
      <c r="EDE2" s="95"/>
      <c r="EDK2" s="95"/>
      <c r="EDQ2" s="95"/>
      <c r="EDW2" s="95"/>
      <c r="EEC2" s="95"/>
      <c r="EEI2" s="95"/>
      <c r="EEO2" s="95"/>
      <c r="EEU2" s="95"/>
      <c r="EFA2" s="95"/>
      <c r="EFG2" s="95"/>
      <c r="EFM2" s="95"/>
      <c r="EFS2" s="95"/>
      <c r="EFY2" s="95"/>
      <c r="EGE2" s="95"/>
      <c r="EGK2" s="95"/>
      <c r="EGQ2" s="95"/>
      <c r="EGW2" s="95"/>
      <c r="EHC2" s="95"/>
      <c r="EHI2" s="95"/>
      <c r="EHO2" s="95"/>
      <c r="EHU2" s="95"/>
      <c r="EIA2" s="95"/>
      <c r="EIG2" s="95"/>
      <c r="EIM2" s="95"/>
      <c r="EIS2" s="95"/>
      <c r="EIY2" s="95"/>
      <c r="EJE2" s="95"/>
      <c r="EJK2" s="95"/>
      <c r="EJQ2" s="95"/>
      <c r="EJW2" s="95"/>
      <c r="EKC2" s="95"/>
      <c r="EKI2" s="95"/>
      <c r="EKO2" s="95"/>
      <c r="EKU2" s="95"/>
      <c r="ELA2" s="95"/>
      <c r="ELG2" s="95"/>
      <c r="ELM2" s="95"/>
      <c r="ELS2" s="95"/>
      <c r="ELY2" s="95"/>
      <c r="EME2" s="95"/>
      <c r="EMK2" s="95"/>
      <c r="EMQ2" s="95"/>
      <c r="EMW2" s="95"/>
      <c r="ENC2" s="95"/>
      <c r="ENI2" s="95"/>
      <c r="ENO2" s="95"/>
      <c r="ENU2" s="95"/>
      <c r="EOA2" s="95"/>
      <c r="EOG2" s="95"/>
      <c r="EOM2" s="95"/>
      <c r="EOS2" s="95"/>
      <c r="EOY2" s="95"/>
      <c r="EPE2" s="95"/>
      <c r="EPK2" s="95"/>
      <c r="EPQ2" s="95"/>
      <c r="EPW2" s="95"/>
      <c r="EQC2" s="95"/>
      <c r="EQI2" s="95"/>
      <c r="EQO2" s="95"/>
      <c r="EQU2" s="95"/>
      <c r="ERA2" s="95"/>
      <c r="ERG2" s="95"/>
      <c r="ERM2" s="95"/>
      <c r="ERS2" s="95"/>
      <c r="ERY2" s="95"/>
      <c r="ESE2" s="95"/>
      <c r="ESK2" s="95"/>
      <c r="ESQ2" s="95"/>
      <c r="ESW2" s="95"/>
      <c r="ETC2" s="95"/>
      <c r="ETI2" s="95"/>
      <c r="ETO2" s="95"/>
      <c r="ETU2" s="95"/>
      <c r="EUA2" s="95"/>
      <c r="EUG2" s="95"/>
      <c r="EUM2" s="95"/>
      <c r="EUS2" s="95"/>
      <c r="EUY2" s="95"/>
      <c r="EVE2" s="95"/>
      <c r="EVK2" s="95"/>
      <c r="EVQ2" s="95"/>
      <c r="EVW2" s="95"/>
      <c r="EWC2" s="95"/>
      <c r="EWI2" s="95"/>
      <c r="EWO2" s="95"/>
      <c r="EWU2" s="95"/>
      <c r="EXA2" s="95"/>
      <c r="EXG2" s="95"/>
      <c r="EXM2" s="95"/>
      <c r="EXS2" s="95"/>
      <c r="EXY2" s="95"/>
      <c r="EYE2" s="95"/>
      <c r="EYK2" s="95"/>
      <c r="EYQ2" s="95"/>
      <c r="EYW2" s="95"/>
      <c r="EZC2" s="95"/>
      <c r="EZI2" s="95"/>
      <c r="EZO2" s="95"/>
      <c r="EZU2" s="95"/>
      <c r="FAA2" s="95"/>
      <c r="FAG2" s="95"/>
      <c r="FAM2" s="95"/>
      <c r="FAS2" s="95"/>
      <c r="FAY2" s="95"/>
      <c r="FBE2" s="95"/>
      <c r="FBK2" s="95"/>
      <c r="FBQ2" s="95"/>
      <c r="FBW2" s="95"/>
      <c r="FCC2" s="95"/>
      <c r="FCI2" s="95"/>
      <c r="FCO2" s="95"/>
      <c r="FCU2" s="95"/>
      <c r="FDA2" s="95"/>
      <c r="FDG2" s="95"/>
      <c r="FDM2" s="95"/>
      <c r="FDS2" s="95"/>
      <c r="FDY2" s="95"/>
      <c r="FEE2" s="95"/>
      <c r="FEK2" s="95"/>
      <c r="FEQ2" s="95"/>
      <c r="FEW2" s="95"/>
      <c r="FFC2" s="95"/>
      <c r="FFI2" s="95"/>
      <c r="FFO2" s="95"/>
      <c r="FFU2" s="95"/>
      <c r="FGA2" s="95"/>
      <c r="FGG2" s="95"/>
      <c r="FGM2" s="95"/>
      <c r="FGS2" s="95"/>
      <c r="FGY2" s="95"/>
      <c r="FHE2" s="95"/>
      <c r="FHK2" s="95"/>
      <c r="FHQ2" s="95"/>
      <c r="FHW2" s="95"/>
      <c r="FIC2" s="95"/>
      <c r="FII2" s="95"/>
      <c r="FIO2" s="95"/>
      <c r="FIU2" s="95"/>
      <c r="FJA2" s="95"/>
      <c r="FJG2" s="95"/>
      <c r="FJM2" s="95"/>
      <c r="FJS2" s="95"/>
      <c r="FJY2" s="95"/>
      <c r="FKE2" s="95"/>
      <c r="FKK2" s="95"/>
      <c r="FKQ2" s="95"/>
      <c r="FKW2" s="95"/>
      <c r="FLC2" s="95"/>
      <c r="FLI2" s="95"/>
      <c r="FLO2" s="95"/>
      <c r="FLU2" s="95"/>
      <c r="FMA2" s="95"/>
      <c r="FMG2" s="95"/>
      <c r="FMM2" s="95"/>
      <c r="FMS2" s="95"/>
      <c r="FMY2" s="95"/>
      <c r="FNE2" s="95"/>
      <c r="FNK2" s="95"/>
      <c r="FNQ2" s="95"/>
      <c r="FNW2" s="95"/>
      <c r="FOC2" s="95"/>
      <c r="FOI2" s="95"/>
      <c r="FOO2" s="95"/>
      <c r="FOU2" s="95"/>
      <c r="FPA2" s="95"/>
      <c r="FPG2" s="95"/>
      <c r="FPM2" s="95"/>
      <c r="FPS2" s="95"/>
      <c r="FPY2" s="95"/>
      <c r="FQE2" s="95"/>
      <c r="FQK2" s="95"/>
      <c r="FQQ2" s="95"/>
      <c r="FQW2" s="95"/>
      <c r="FRC2" s="95"/>
      <c r="FRI2" s="95"/>
      <c r="FRO2" s="95"/>
      <c r="FRU2" s="95"/>
      <c r="FSA2" s="95"/>
      <c r="FSG2" s="95"/>
      <c r="FSM2" s="95"/>
      <c r="FSS2" s="95"/>
      <c r="FSY2" s="95"/>
      <c r="FTE2" s="95"/>
      <c r="FTK2" s="95"/>
      <c r="FTQ2" s="95"/>
      <c r="FTW2" s="95"/>
      <c r="FUC2" s="95"/>
      <c r="FUI2" s="95"/>
      <c r="FUO2" s="95"/>
      <c r="FUU2" s="95"/>
      <c r="FVA2" s="95"/>
      <c r="FVG2" s="95"/>
      <c r="FVM2" s="95"/>
      <c r="FVS2" s="95"/>
      <c r="FVY2" s="95"/>
      <c r="FWE2" s="95"/>
      <c r="FWK2" s="95"/>
      <c r="FWQ2" s="95"/>
      <c r="FWW2" s="95"/>
      <c r="FXC2" s="95"/>
      <c r="FXI2" s="95"/>
      <c r="FXO2" s="95"/>
      <c r="FXU2" s="95"/>
      <c r="FYA2" s="95"/>
      <c r="FYG2" s="95"/>
      <c r="FYM2" s="95"/>
      <c r="FYS2" s="95"/>
      <c r="FYY2" s="95"/>
      <c r="FZE2" s="95"/>
      <c r="FZK2" s="95"/>
      <c r="FZQ2" s="95"/>
      <c r="FZW2" s="95"/>
      <c r="GAC2" s="95"/>
      <c r="GAI2" s="95"/>
      <c r="GAO2" s="95"/>
      <c r="GAU2" s="95"/>
      <c r="GBA2" s="95"/>
      <c r="GBG2" s="95"/>
      <c r="GBM2" s="95"/>
      <c r="GBS2" s="95"/>
      <c r="GBY2" s="95"/>
      <c r="GCE2" s="95"/>
      <c r="GCK2" s="95"/>
      <c r="GCQ2" s="95"/>
      <c r="GCW2" s="95"/>
      <c r="GDC2" s="95"/>
      <c r="GDI2" s="95"/>
      <c r="GDO2" s="95"/>
      <c r="GDU2" s="95"/>
      <c r="GEA2" s="95"/>
      <c r="GEG2" s="95"/>
      <c r="GEM2" s="95"/>
      <c r="GES2" s="95"/>
      <c r="GEY2" s="95"/>
      <c r="GFE2" s="95"/>
      <c r="GFK2" s="95"/>
      <c r="GFQ2" s="95"/>
      <c r="GFW2" s="95"/>
      <c r="GGC2" s="95"/>
      <c r="GGI2" s="95"/>
      <c r="GGO2" s="95"/>
      <c r="GGU2" s="95"/>
      <c r="GHA2" s="95"/>
      <c r="GHG2" s="95"/>
      <c r="GHM2" s="95"/>
      <c r="GHS2" s="95"/>
      <c r="GHY2" s="95"/>
      <c r="GIE2" s="95"/>
      <c r="GIK2" s="95"/>
      <c r="GIQ2" s="95"/>
      <c r="GIW2" s="95"/>
      <c r="GJC2" s="95"/>
      <c r="GJI2" s="95"/>
      <c r="GJO2" s="95"/>
      <c r="GJU2" s="95"/>
      <c r="GKA2" s="95"/>
      <c r="GKG2" s="95"/>
      <c r="GKM2" s="95"/>
      <c r="GKS2" s="95"/>
      <c r="GKY2" s="95"/>
      <c r="GLE2" s="95"/>
      <c r="GLK2" s="95"/>
      <c r="GLQ2" s="95"/>
      <c r="GLW2" s="95"/>
      <c r="GMC2" s="95"/>
      <c r="GMI2" s="95"/>
      <c r="GMO2" s="95"/>
      <c r="GMU2" s="95"/>
      <c r="GNA2" s="95"/>
      <c r="GNG2" s="95"/>
      <c r="GNM2" s="95"/>
      <c r="GNS2" s="95"/>
      <c r="GNY2" s="95"/>
      <c r="GOE2" s="95"/>
      <c r="GOK2" s="95"/>
      <c r="GOQ2" s="95"/>
      <c r="GOW2" s="95"/>
      <c r="GPC2" s="95"/>
      <c r="GPI2" s="95"/>
      <c r="GPO2" s="95"/>
      <c r="GPU2" s="95"/>
      <c r="GQA2" s="95"/>
      <c r="GQG2" s="95"/>
      <c r="GQM2" s="95"/>
      <c r="GQS2" s="95"/>
      <c r="GQY2" s="95"/>
      <c r="GRE2" s="95"/>
      <c r="GRK2" s="95"/>
      <c r="GRQ2" s="95"/>
      <c r="GRW2" s="95"/>
      <c r="GSC2" s="95"/>
      <c r="GSI2" s="95"/>
      <c r="GSO2" s="95"/>
      <c r="GSU2" s="95"/>
      <c r="GTA2" s="95"/>
      <c r="GTG2" s="95"/>
      <c r="GTM2" s="95"/>
      <c r="GTS2" s="95"/>
      <c r="GTY2" s="95"/>
      <c r="GUE2" s="95"/>
      <c r="GUK2" s="95"/>
      <c r="GUQ2" s="95"/>
      <c r="GUW2" s="95"/>
      <c r="GVC2" s="95"/>
      <c r="GVI2" s="95"/>
      <c r="GVO2" s="95"/>
      <c r="GVU2" s="95"/>
      <c r="GWA2" s="95"/>
      <c r="GWG2" s="95"/>
      <c r="GWM2" s="95"/>
      <c r="GWS2" s="95"/>
      <c r="GWY2" s="95"/>
      <c r="GXE2" s="95"/>
      <c r="GXK2" s="95"/>
      <c r="GXQ2" s="95"/>
      <c r="GXW2" s="95"/>
      <c r="GYC2" s="95"/>
      <c r="GYI2" s="95"/>
      <c r="GYO2" s="95"/>
      <c r="GYU2" s="95"/>
      <c r="GZA2" s="95"/>
      <c r="GZG2" s="95"/>
      <c r="GZM2" s="95"/>
      <c r="GZS2" s="95"/>
      <c r="GZY2" s="95"/>
      <c r="HAE2" s="95"/>
      <c r="HAK2" s="95"/>
      <c r="HAQ2" s="95"/>
      <c r="HAW2" s="95"/>
      <c r="HBC2" s="95"/>
      <c r="HBI2" s="95"/>
      <c r="HBO2" s="95"/>
      <c r="HBU2" s="95"/>
      <c r="HCA2" s="95"/>
      <c r="HCG2" s="95"/>
      <c r="HCM2" s="95"/>
      <c r="HCS2" s="95"/>
      <c r="HCY2" s="95"/>
      <c r="HDE2" s="95"/>
      <c r="HDK2" s="95"/>
      <c r="HDQ2" s="95"/>
      <c r="HDW2" s="95"/>
      <c r="HEC2" s="95"/>
      <c r="HEI2" s="95"/>
      <c r="HEO2" s="95"/>
      <c r="HEU2" s="95"/>
      <c r="HFA2" s="95"/>
      <c r="HFG2" s="95"/>
      <c r="HFM2" s="95"/>
      <c r="HFS2" s="95"/>
      <c r="HFY2" s="95"/>
      <c r="HGE2" s="95"/>
      <c r="HGK2" s="95"/>
      <c r="HGQ2" s="95"/>
      <c r="HGW2" s="95"/>
      <c r="HHC2" s="95"/>
      <c r="HHI2" s="95"/>
      <c r="HHO2" s="95"/>
      <c r="HHU2" s="95"/>
      <c r="HIA2" s="95"/>
      <c r="HIG2" s="95"/>
      <c r="HIM2" s="95"/>
      <c r="HIS2" s="95"/>
      <c r="HIY2" s="95"/>
      <c r="HJE2" s="95"/>
      <c r="HJK2" s="95"/>
      <c r="HJQ2" s="95"/>
      <c r="HJW2" s="95"/>
      <c r="HKC2" s="95"/>
      <c r="HKI2" s="95"/>
      <c r="HKO2" s="95"/>
      <c r="HKU2" s="95"/>
      <c r="HLA2" s="95"/>
      <c r="HLG2" s="95"/>
      <c r="HLM2" s="95"/>
      <c r="HLS2" s="95"/>
      <c r="HLY2" s="95"/>
      <c r="HME2" s="95"/>
      <c r="HMK2" s="95"/>
      <c r="HMQ2" s="95"/>
      <c r="HMW2" s="95"/>
      <c r="HNC2" s="95"/>
      <c r="HNI2" s="95"/>
      <c r="HNO2" s="95"/>
      <c r="HNU2" s="95"/>
      <c r="HOA2" s="95"/>
      <c r="HOG2" s="95"/>
      <c r="HOM2" s="95"/>
      <c r="HOS2" s="95"/>
      <c r="HOY2" s="95"/>
      <c r="HPE2" s="95"/>
      <c r="HPK2" s="95"/>
      <c r="HPQ2" s="95"/>
      <c r="HPW2" s="95"/>
      <c r="HQC2" s="95"/>
      <c r="HQI2" s="95"/>
      <c r="HQO2" s="95"/>
      <c r="HQU2" s="95"/>
      <c r="HRA2" s="95"/>
      <c r="HRG2" s="95"/>
      <c r="HRM2" s="95"/>
      <c r="HRS2" s="95"/>
      <c r="HRY2" s="95"/>
      <c r="HSE2" s="95"/>
      <c r="HSK2" s="95"/>
      <c r="HSQ2" s="95"/>
      <c r="HSW2" s="95"/>
      <c r="HTC2" s="95"/>
      <c r="HTI2" s="95"/>
      <c r="HTO2" s="95"/>
      <c r="HTU2" s="95"/>
      <c r="HUA2" s="95"/>
      <c r="HUG2" s="95"/>
      <c r="HUM2" s="95"/>
      <c r="HUS2" s="95"/>
      <c r="HUY2" s="95"/>
      <c r="HVE2" s="95"/>
      <c r="HVK2" s="95"/>
      <c r="HVQ2" s="95"/>
      <c r="HVW2" s="95"/>
      <c r="HWC2" s="95"/>
      <c r="HWI2" s="95"/>
      <c r="HWO2" s="95"/>
      <c r="HWU2" s="95"/>
      <c r="HXA2" s="95"/>
      <c r="HXG2" s="95"/>
      <c r="HXM2" s="95"/>
      <c r="HXS2" s="95"/>
      <c r="HXY2" s="95"/>
      <c r="HYE2" s="95"/>
      <c r="HYK2" s="95"/>
      <c r="HYQ2" s="95"/>
      <c r="HYW2" s="95"/>
      <c r="HZC2" s="95"/>
      <c r="HZI2" s="95"/>
      <c r="HZO2" s="95"/>
      <c r="HZU2" s="95"/>
      <c r="IAA2" s="95"/>
      <c r="IAG2" s="95"/>
      <c r="IAM2" s="95"/>
      <c r="IAS2" s="95"/>
      <c r="IAY2" s="95"/>
      <c r="IBE2" s="95"/>
      <c r="IBK2" s="95"/>
      <c r="IBQ2" s="95"/>
      <c r="IBW2" s="95"/>
      <c r="ICC2" s="95"/>
      <c r="ICI2" s="95"/>
      <c r="ICO2" s="95"/>
      <c r="ICU2" s="95"/>
      <c r="IDA2" s="95"/>
      <c r="IDG2" s="95"/>
      <c r="IDM2" s="95"/>
      <c r="IDS2" s="95"/>
      <c r="IDY2" s="95"/>
      <c r="IEE2" s="95"/>
      <c r="IEK2" s="95"/>
      <c r="IEQ2" s="95"/>
      <c r="IEW2" s="95"/>
      <c r="IFC2" s="95"/>
      <c r="IFI2" s="95"/>
      <c r="IFO2" s="95"/>
      <c r="IFU2" s="95"/>
      <c r="IGA2" s="95"/>
      <c r="IGG2" s="95"/>
      <c r="IGM2" s="95"/>
      <c r="IGS2" s="95"/>
      <c r="IGY2" s="95"/>
      <c r="IHE2" s="95"/>
      <c r="IHK2" s="95"/>
      <c r="IHQ2" s="95"/>
      <c r="IHW2" s="95"/>
      <c r="IIC2" s="95"/>
      <c r="III2" s="95"/>
      <c r="IIO2" s="95"/>
      <c r="IIU2" s="95"/>
      <c r="IJA2" s="95"/>
      <c r="IJG2" s="95"/>
      <c r="IJM2" s="95"/>
      <c r="IJS2" s="95"/>
      <c r="IJY2" s="95"/>
      <c r="IKE2" s="95"/>
      <c r="IKK2" s="95"/>
      <c r="IKQ2" s="95"/>
      <c r="IKW2" s="95"/>
      <c r="ILC2" s="95"/>
      <c r="ILI2" s="95"/>
      <c r="ILO2" s="95"/>
      <c r="ILU2" s="95"/>
      <c r="IMA2" s="95"/>
      <c r="IMG2" s="95"/>
      <c r="IMM2" s="95"/>
      <c r="IMS2" s="95"/>
      <c r="IMY2" s="95"/>
      <c r="INE2" s="95"/>
      <c r="INK2" s="95"/>
      <c r="INQ2" s="95"/>
      <c r="INW2" s="95"/>
      <c r="IOC2" s="95"/>
      <c r="IOI2" s="95"/>
      <c r="IOO2" s="95"/>
      <c r="IOU2" s="95"/>
      <c r="IPA2" s="95"/>
      <c r="IPG2" s="95"/>
      <c r="IPM2" s="95"/>
      <c r="IPS2" s="95"/>
      <c r="IPY2" s="95"/>
      <c r="IQE2" s="95"/>
      <c r="IQK2" s="95"/>
      <c r="IQQ2" s="95"/>
      <c r="IQW2" s="95"/>
      <c r="IRC2" s="95"/>
      <c r="IRI2" s="95"/>
      <c r="IRO2" s="95"/>
      <c r="IRU2" s="95"/>
      <c r="ISA2" s="95"/>
      <c r="ISG2" s="95"/>
      <c r="ISM2" s="95"/>
      <c r="ISS2" s="95"/>
      <c r="ISY2" s="95"/>
      <c r="ITE2" s="95"/>
      <c r="ITK2" s="95"/>
      <c r="ITQ2" s="95"/>
      <c r="ITW2" s="95"/>
      <c r="IUC2" s="95"/>
      <c r="IUI2" s="95"/>
      <c r="IUO2" s="95"/>
      <c r="IUU2" s="95"/>
      <c r="IVA2" s="95"/>
      <c r="IVG2" s="95"/>
      <c r="IVM2" s="95"/>
      <c r="IVS2" s="95"/>
      <c r="IVY2" s="95"/>
      <c r="IWE2" s="95"/>
      <c r="IWK2" s="95"/>
      <c r="IWQ2" s="95"/>
      <c r="IWW2" s="95"/>
      <c r="IXC2" s="95"/>
      <c r="IXI2" s="95"/>
      <c r="IXO2" s="95"/>
      <c r="IXU2" s="95"/>
      <c r="IYA2" s="95"/>
      <c r="IYG2" s="95"/>
      <c r="IYM2" s="95"/>
      <c r="IYS2" s="95"/>
      <c r="IYY2" s="95"/>
      <c r="IZE2" s="95"/>
      <c r="IZK2" s="95"/>
      <c r="IZQ2" s="95"/>
      <c r="IZW2" s="95"/>
      <c r="JAC2" s="95"/>
      <c r="JAI2" s="95"/>
      <c r="JAO2" s="95"/>
      <c r="JAU2" s="95"/>
      <c r="JBA2" s="95"/>
      <c r="JBG2" s="95"/>
      <c r="JBM2" s="95"/>
      <c r="JBS2" s="95"/>
      <c r="JBY2" s="95"/>
      <c r="JCE2" s="95"/>
      <c r="JCK2" s="95"/>
      <c r="JCQ2" s="95"/>
      <c r="JCW2" s="95"/>
      <c r="JDC2" s="95"/>
      <c r="JDI2" s="95"/>
      <c r="JDO2" s="95"/>
      <c r="JDU2" s="95"/>
      <c r="JEA2" s="95"/>
      <c r="JEG2" s="95"/>
      <c r="JEM2" s="95"/>
      <c r="JES2" s="95"/>
      <c r="JEY2" s="95"/>
      <c r="JFE2" s="95"/>
      <c r="JFK2" s="95"/>
      <c r="JFQ2" s="95"/>
      <c r="JFW2" s="95"/>
      <c r="JGC2" s="95"/>
      <c r="JGI2" s="95"/>
      <c r="JGO2" s="95"/>
      <c r="JGU2" s="95"/>
      <c r="JHA2" s="95"/>
      <c r="JHG2" s="95"/>
      <c r="JHM2" s="95"/>
      <c r="JHS2" s="95"/>
      <c r="JHY2" s="95"/>
      <c r="JIE2" s="95"/>
      <c r="JIK2" s="95"/>
      <c r="JIQ2" s="95"/>
      <c r="JIW2" s="95"/>
      <c r="JJC2" s="95"/>
      <c r="JJI2" s="95"/>
      <c r="JJO2" s="95"/>
      <c r="JJU2" s="95"/>
      <c r="JKA2" s="95"/>
      <c r="JKG2" s="95"/>
      <c r="JKM2" s="95"/>
      <c r="JKS2" s="95"/>
      <c r="JKY2" s="95"/>
      <c r="JLE2" s="95"/>
      <c r="JLK2" s="95"/>
      <c r="JLQ2" s="95"/>
      <c r="JLW2" s="95"/>
      <c r="JMC2" s="95"/>
      <c r="JMI2" s="95"/>
      <c r="JMO2" s="95"/>
      <c r="JMU2" s="95"/>
      <c r="JNA2" s="95"/>
      <c r="JNG2" s="95"/>
      <c r="JNM2" s="95"/>
      <c r="JNS2" s="95"/>
      <c r="JNY2" s="95"/>
      <c r="JOE2" s="95"/>
      <c r="JOK2" s="95"/>
      <c r="JOQ2" s="95"/>
      <c r="JOW2" s="95"/>
      <c r="JPC2" s="95"/>
      <c r="JPI2" s="95"/>
      <c r="JPO2" s="95"/>
      <c r="JPU2" s="95"/>
      <c r="JQA2" s="95"/>
      <c r="JQG2" s="95"/>
      <c r="JQM2" s="95"/>
      <c r="JQS2" s="95"/>
      <c r="JQY2" s="95"/>
      <c r="JRE2" s="95"/>
      <c r="JRK2" s="95"/>
      <c r="JRQ2" s="95"/>
      <c r="JRW2" s="95"/>
      <c r="JSC2" s="95"/>
      <c r="JSI2" s="95"/>
      <c r="JSO2" s="95"/>
      <c r="JSU2" s="95"/>
      <c r="JTA2" s="95"/>
      <c r="JTG2" s="95"/>
      <c r="JTM2" s="95"/>
      <c r="JTS2" s="95"/>
      <c r="JTY2" s="95"/>
      <c r="JUE2" s="95"/>
      <c r="JUK2" s="95"/>
      <c r="JUQ2" s="95"/>
      <c r="JUW2" s="95"/>
      <c r="JVC2" s="95"/>
      <c r="JVI2" s="95"/>
      <c r="JVO2" s="95"/>
      <c r="JVU2" s="95"/>
      <c r="JWA2" s="95"/>
      <c r="JWG2" s="95"/>
      <c r="JWM2" s="95"/>
      <c r="JWS2" s="95"/>
      <c r="JWY2" s="95"/>
      <c r="JXE2" s="95"/>
      <c r="JXK2" s="95"/>
      <c r="JXQ2" s="95"/>
      <c r="JXW2" s="95"/>
      <c r="JYC2" s="95"/>
      <c r="JYI2" s="95"/>
      <c r="JYO2" s="95"/>
      <c r="JYU2" s="95"/>
      <c r="JZA2" s="95"/>
      <c r="JZG2" s="95"/>
      <c r="JZM2" s="95"/>
      <c r="JZS2" s="95"/>
      <c r="JZY2" s="95"/>
      <c r="KAE2" s="95"/>
      <c r="KAK2" s="95"/>
      <c r="KAQ2" s="95"/>
      <c r="KAW2" s="95"/>
      <c r="KBC2" s="95"/>
      <c r="KBI2" s="95"/>
      <c r="KBO2" s="95"/>
      <c r="KBU2" s="95"/>
      <c r="KCA2" s="95"/>
      <c r="KCG2" s="95"/>
      <c r="KCM2" s="95"/>
      <c r="KCS2" s="95"/>
      <c r="KCY2" s="95"/>
      <c r="KDE2" s="95"/>
      <c r="KDK2" s="95"/>
      <c r="KDQ2" s="95"/>
      <c r="KDW2" s="95"/>
      <c r="KEC2" s="95"/>
      <c r="KEI2" s="95"/>
      <c r="KEO2" s="95"/>
      <c r="KEU2" s="95"/>
      <c r="KFA2" s="95"/>
      <c r="KFG2" s="95"/>
      <c r="KFM2" s="95"/>
      <c r="KFS2" s="95"/>
      <c r="KFY2" s="95"/>
      <c r="KGE2" s="95"/>
      <c r="KGK2" s="95"/>
      <c r="KGQ2" s="95"/>
      <c r="KGW2" s="95"/>
      <c r="KHC2" s="95"/>
      <c r="KHI2" s="95"/>
      <c r="KHO2" s="95"/>
      <c r="KHU2" s="95"/>
      <c r="KIA2" s="95"/>
      <c r="KIG2" s="95"/>
      <c r="KIM2" s="95"/>
      <c r="KIS2" s="95"/>
      <c r="KIY2" s="95"/>
      <c r="KJE2" s="95"/>
      <c r="KJK2" s="95"/>
      <c r="KJQ2" s="95"/>
      <c r="KJW2" s="95"/>
      <c r="KKC2" s="95"/>
      <c r="KKI2" s="95"/>
      <c r="KKO2" s="95"/>
      <c r="KKU2" s="95"/>
      <c r="KLA2" s="95"/>
      <c r="KLG2" s="95"/>
      <c r="KLM2" s="95"/>
      <c r="KLS2" s="95"/>
      <c r="KLY2" s="95"/>
      <c r="KME2" s="95"/>
      <c r="KMK2" s="95"/>
      <c r="KMQ2" s="95"/>
      <c r="KMW2" s="95"/>
      <c r="KNC2" s="95"/>
      <c r="KNI2" s="95"/>
      <c r="KNO2" s="95"/>
      <c r="KNU2" s="95"/>
      <c r="KOA2" s="95"/>
      <c r="KOG2" s="95"/>
      <c r="KOM2" s="95"/>
      <c r="KOS2" s="95"/>
      <c r="KOY2" s="95"/>
      <c r="KPE2" s="95"/>
      <c r="KPK2" s="95"/>
      <c r="KPQ2" s="95"/>
      <c r="KPW2" s="95"/>
      <c r="KQC2" s="95"/>
      <c r="KQI2" s="95"/>
      <c r="KQO2" s="95"/>
      <c r="KQU2" s="95"/>
      <c r="KRA2" s="95"/>
      <c r="KRG2" s="95"/>
      <c r="KRM2" s="95"/>
      <c r="KRS2" s="95"/>
      <c r="KRY2" s="95"/>
      <c r="KSE2" s="95"/>
      <c r="KSK2" s="95"/>
      <c r="KSQ2" s="95"/>
      <c r="KSW2" s="95"/>
      <c r="KTC2" s="95"/>
      <c r="KTI2" s="95"/>
      <c r="KTO2" s="95"/>
      <c r="KTU2" s="95"/>
      <c r="KUA2" s="95"/>
      <c r="KUG2" s="95"/>
      <c r="KUM2" s="95"/>
      <c r="KUS2" s="95"/>
      <c r="KUY2" s="95"/>
      <c r="KVE2" s="95"/>
      <c r="KVK2" s="95"/>
      <c r="KVQ2" s="95"/>
      <c r="KVW2" s="95"/>
      <c r="KWC2" s="95"/>
      <c r="KWI2" s="95"/>
      <c r="KWO2" s="95"/>
      <c r="KWU2" s="95"/>
      <c r="KXA2" s="95"/>
      <c r="KXG2" s="95"/>
      <c r="KXM2" s="95"/>
      <c r="KXS2" s="95"/>
      <c r="KXY2" s="95"/>
      <c r="KYE2" s="95"/>
      <c r="KYK2" s="95"/>
      <c r="KYQ2" s="95"/>
      <c r="KYW2" s="95"/>
      <c r="KZC2" s="95"/>
      <c r="KZI2" s="95"/>
      <c r="KZO2" s="95"/>
      <c r="KZU2" s="95"/>
      <c r="LAA2" s="95"/>
      <c r="LAG2" s="95"/>
      <c r="LAM2" s="95"/>
      <c r="LAS2" s="95"/>
      <c r="LAY2" s="95"/>
      <c r="LBE2" s="95"/>
      <c r="LBK2" s="95"/>
      <c r="LBQ2" s="95"/>
      <c r="LBW2" s="95"/>
      <c r="LCC2" s="95"/>
      <c r="LCI2" s="95"/>
      <c r="LCO2" s="95"/>
      <c r="LCU2" s="95"/>
      <c r="LDA2" s="95"/>
      <c r="LDG2" s="95"/>
      <c r="LDM2" s="95"/>
      <c r="LDS2" s="95"/>
      <c r="LDY2" s="95"/>
      <c r="LEE2" s="95"/>
      <c r="LEK2" s="95"/>
      <c r="LEQ2" s="95"/>
      <c r="LEW2" s="95"/>
      <c r="LFC2" s="95"/>
      <c r="LFI2" s="95"/>
      <c r="LFO2" s="95"/>
      <c r="LFU2" s="95"/>
      <c r="LGA2" s="95"/>
      <c r="LGG2" s="95"/>
      <c r="LGM2" s="95"/>
      <c r="LGS2" s="95"/>
      <c r="LGY2" s="95"/>
      <c r="LHE2" s="95"/>
      <c r="LHK2" s="95"/>
      <c r="LHQ2" s="95"/>
      <c r="LHW2" s="95"/>
      <c r="LIC2" s="95"/>
      <c r="LII2" s="95"/>
      <c r="LIO2" s="95"/>
      <c r="LIU2" s="95"/>
      <c r="LJA2" s="95"/>
      <c r="LJG2" s="95"/>
      <c r="LJM2" s="95"/>
      <c r="LJS2" s="95"/>
      <c r="LJY2" s="95"/>
      <c r="LKE2" s="95"/>
      <c r="LKK2" s="95"/>
      <c r="LKQ2" s="95"/>
      <c r="LKW2" s="95"/>
      <c r="LLC2" s="95"/>
      <c r="LLI2" s="95"/>
      <c r="LLO2" s="95"/>
      <c r="LLU2" s="95"/>
      <c r="LMA2" s="95"/>
      <c r="LMG2" s="95"/>
      <c r="LMM2" s="95"/>
      <c r="LMS2" s="95"/>
      <c r="LMY2" s="95"/>
      <c r="LNE2" s="95"/>
      <c r="LNK2" s="95"/>
      <c r="LNQ2" s="95"/>
      <c r="LNW2" s="95"/>
      <c r="LOC2" s="95"/>
      <c r="LOI2" s="95"/>
      <c r="LOO2" s="95"/>
      <c r="LOU2" s="95"/>
      <c r="LPA2" s="95"/>
      <c r="LPG2" s="95"/>
      <c r="LPM2" s="95"/>
      <c r="LPS2" s="95"/>
      <c r="LPY2" s="95"/>
      <c r="LQE2" s="95"/>
      <c r="LQK2" s="95"/>
      <c r="LQQ2" s="95"/>
      <c r="LQW2" s="95"/>
      <c r="LRC2" s="95"/>
      <c r="LRI2" s="95"/>
      <c r="LRO2" s="95"/>
      <c r="LRU2" s="95"/>
      <c r="LSA2" s="95"/>
      <c r="LSG2" s="95"/>
      <c r="LSM2" s="95"/>
      <c r="LSS2" s="95"/>
      <c r="LSY2" s="95"/>
      <c r="LTE2" s="95"/>
      <c r="LTK2" s="95"/>
      <c r="LTQ2" s="95"/>
      <c r="LTW2" s="95"/>
      <c r="LUC2" s="95"/>
      <c r="LUI2" s="95"/>
      <c r="LUO2" s="95"/>
      <c r="LUU2" s="95"/>
      <c r="LVA2" s="95"/>
      <c r="LVG2" s="95"/>
      <c r="LVM2" s="95"/>
      <c r="LVS2" s="95"/>
      <c r="LVY2" s="95"/>
      <c r="LWE2" s="95"/>
      <c r="LWK2" s="95"/>
      <c r="LWQ2" s="95"/>
      <c r="LWW2" s="95"/>
      <c r="LXC2" s="95"/>
      <c r="LXI2" s="95"/>
      <c r="LXO2" s="95"/>
      <c r="LXU2" s="95"/>
      <c r="LYA2" s="95"/>
      <c r="LYG2" s="95"/>
      <c r="LYM2" s="95"/>
      <c r="LYS2" s="95"/>
      <c r="LYY2" s="95"/>
      <c r="LZE2" s="95"/>
      <c r="LZK2" s="95"/>
      <c r="LZQ2" s="95"/>
      <c r="LZW2" s="95"/>
      <c r="MAC2" s="95"/>
      <c r="MAI2" s="95"/>
      <c r="MAO2" s="95"/>
      <c r="MAU2" s="95"/>
      <c r="MBA2" s="95"/>
      <c r="MBG2" s="95"/>
      <c r="MBM2" s="95"/>
      <c r="MBS2" s="95"/>
      <c r="MBY2" s="95"/>
      <c r="MCE2" s="95"/>
      <c r="MCK2" s="95"/>
      <c r="MCQ2" s="95"/>
      <c r="MCW2" s="95"/>
      <c r="MDC2" s="95"/>
      <c r="MDI2" s="95"/>
      <c r="MDO2" s="95"/>
      <c r="MDU2" s="95"/>
      <c r="MEA2" s="95"/>
      <c r="MEG2" s="95"/>
      <c r="MEM2" s="95"/>
      <c r="MES2" s="95"/>
      <c r="MEY2" s="95"/>
      <c r="MFE2" s="95"/>
      <c r="MFK2" s="95"/>
      <c r="MFQ2" s="95"/>
      <c r="MFW2" s="95"/>
      <c r="MGC2" s="95"/>
      <c r="MGI2" s="95"/>
      <c r="MGO2" s="95"/>
      <c r="MGU2" s="95"/>
      <c r="MHA2" s="95"/>
      <c r="MHG2" s="95"/>
      <c r="MHM2" s="95"/>
      <c r="MHS2" s="95"/>
      <c r="MHY2" s="95"/>
      <c r="MIE2" s="95"/>
      <c r="MIK2" s="95"/>
      <c r="MIQ2" s="95"/>
      <c r="MIW2" s="95"/>
      <c r="MJC2" s="95"/>
      <c r="MJI2" s="95"/>
      <c r="MJO2" s="95"/>
      <c r="MJU2" s="95"/>
      <c r="MKA2" s="95"/>
      <c r="MKG2" s="95"/>
      <c r="MKM2" s="95"/>
      <c r="MKS2" s="95"/>
      <c r="MKY2" s="95"/>
      <c r="MLE2" s="95"/>
      <c r="MLK2" s="95"/>
      <c r="MLQ2" s="95"/>
      <c r="MLW2" s="95"/>
      <c r="MMC2" s="95"/>
      <c r="MMI2" s="95"/>
      <c r="MMO2" s="95"/>
      <c r="MMU2" s="95"/>
      <c r="MNA2" s="95"/>
      <c r="MNG2" s="95"/>
      <c r="MNM2" s="95"/>
      <c r="MNS2" s="95"/>
      <c r="MNY2" s="95"/>
      <c r="MOE2" s="95"/>
      <c r="MOK2" s="95"/>
      <c r="MOQ2" s="95"/>
      <c r="MOW2" s="95"/>
      <c r="MPC2" s="95"/>
      <c r="MPI2" s="95"/>
      <c r="MPO2" s="95"/>
      <c r="MPU2" s="95"/>
      <c r="MQA2" s="95"/>
      <c r="MQG2" s="95"/>
      <c r="MQM2" s="95"/>
      <c r="MQS2" s="95"/>
      <c r="MQY2" s="95"/>
      <c r="MRE2" s="95"/>
      <c r="MRK2" s="95"/>
      <c r="MRQ2" s="95"/>
      <c r="MRW2" s="95"/>
      <c r="MSC2" s="95"/>
      <c r="MSI2" s="95"/>
      <c r="MSO2" s="95"/>
      <c r="MSU2" s="95"/>
      <c r="MTA2" s="95"/>
      <c r="MTG2" s="95"/>
      <c r="MTM2" s="95"/>
      <c r="MTS2" s="95"/>
      <c r="MTY2" s="95"/>
      <c r="MUE2" s="95"/>
      <c r="MUK2" s="95"/>
      <c r="MUQ2" s="95"/>
      <c r="MUW2" s="95"/>
      <c r="MVC2" s="95"/>
      <c r="MVI2" s="95"/>
      <c r="MVO2" s="95"/>
      <c r="MVU2" s="95"/>
      <c r="MWA2" s="95"/>
      <c r="MWG2" s="95"/>
      <c r="MWM2" s="95"/>
      <c r="MWS2" s="95"/>
      <c r="MWY2" s="95"/>
      <c r="MXE2" s="95"/>
      <c r="MXK2" s="95"/>
      <c r="MXQ2" s="95"/>
      <c r="MXW2" s="95"/>
      <c r="MYC2" s="95"/>
      <c r="MYI2" s="95"/>
      <c r="MYO2" s="95"/>
      <c r="MYU2" s="95"/>
      <c r="MZA2" s="95"/>
      <c r="MZG2" s="95"/>
      <c r="MZM2" s="95"/>
      <c r="MZS2" s="95"/>
      <c r="MZY2" s="95"/>
      <c r="NAE2" s="95"/>
      <c r="NAK2" s="95"/>
      <c r="NAQ2" s="95"/>
      <c r="NAW2" s="95"/>
      <c r="NBC2" s="95"/>
      <c r="NBI2" s="95"/>
      <c r="NBO2" s="95"/>
      <c r="NBU2" s="95"/>
      <c r="NCA2" s="95"/>
      <c r="NCG2" s="95"/>
      <c r="NCM2" s="95"/>
      <c r="NCS2" s="95"/>
      <c r="NCY2" s="95"/>
      <c r="NDE2" s="95"/>
      <c r="NDK2" s="95"/>
      <c r="NDQ2" s="95"/>
      <c r="NDW2" s="95"/>
      <c r="NEC2" s="95"/>
      <c r="NEI2" s="95"/>
      <c r="NEO2" s="95"/>
      <c r="NEU2" s="95"/>
      <c r="NFA2" s="95"/>
      <c r="NFG2" s="95"/>
      <c r="NFM2" s="95"/>
      <c r="NFS2" s="95"/>
      <c r="NFY2" s="95"/>
      <c r="NGE2" s="95"/>
      <c r="NGK2" s="95"/>
      <c r="NGQ2" s="95"/>
      <c r="NGW2" s="95"/>
      <c r="NHC2" s="95"/>
      <c r="NHI2" s="95"/>
      <c r="NHO2" s="95"/>
      <c r="NHU2" s="95"/>
      <c r="NIA2" s="95"/>
      <c r="NIG2" s="95"/>
      <c r="NIM2" s="95"/>
      <c r="NIS2" s="95"/>
      <c r="NIY2" s="95"/>
      <c r="NJE2" s="95"/>
      <c r="NJK2" s="95"/>
      <c r="NJQ2" s="95"/>
      <c r="NJW2" s="95"/>
      <c r="NKC2" s="95"/>
      <c r="NKI2" s="95"/>
      <c r="NKO2" s="95"/>
      <c r="NKU2" s="95"/>
      <c r="NLA2" s="95"/>
      <c r="NLG2" s="95"/>
      <c r="NLM2" s="95"/>
      <c r="NLS2" s="95"/>
      <c r="NLY2" s="95"/>
      <c r="NME2" s="95"/>
      <c r="NMK2" s="95"/>
      <c r="NMQ2" s="95"/>
      <c r="NMW2" s="95"/>
      <c r="NNC2" s="95"/>
      <c r="NNI2" s="95"/>
      <c r="NNO2" s="95"/>
      <c r="NNU2" s="95"/>
      <c r="NOA2" s="95"/>
      <c r="NOG2" s="95"/>
      <c r="NOM2" s="95"/>
      <c r="NOS2" s="95"/>
      <c r="NOY2" s="95"/>
      <c r="NPE2" s="95"/>
      <c r="NPK2" s="95"/>
      <c r="NPQ2" s="95"/>
      <c r="NPW2" s="95"/>
      <c r="NQC2" s="95"/>
      <c r="NQI2" s="95"/>
      <c r="NQO2" s="95"/>
      <c r="NQU2" s="95"/>
      <c r="NRA2" s="95"/>
      <c r="NRG2" s="95"/>
      <c r="NRM2" s="95"/>
      <c r="NRS2" s="95"/>
      <c r="NRY2" s="95"/>
      <c r="NSE2" s="95"/>
      <c r="NSK2" s="95"/>
      <c r="NSQ2" s="95"/>
      <c r="NSW2" s="95"/>
      <c r="NTC2" s="95"/>
      <c r="NTI2" s="95"/>
      <c r="NTO2" s="95"/>
      <c r="NTU2" s="95"/>
      <c r="NUA2" s="95"/>
      <c r="NUG2" s="95"/>
      <c r="NUM2" s="95"/>
      <c r="NUS2" s="95"/>
      <c r="NUY2" s="95"/>
      <c r="NVE2" s="95"/>
      <c r="NVK2" s="95"/>
      <c r="NVQ2" s="95"/>
      <c r="NVW2" s="95"/>
      <c r="NWC2" s="95"/>
      <c r="NWI2" s="95"/>
      <c r="NWO2" s="95"/>
      <c r="NWU2" s="95"/>
      <c r="NXA2" s="95"/>
      <c r="NXG2" s="95"/>
      <c r="NXM2" s="95"/>
      <c r="NXS2" s="95"/>
      <c r="NXY2" s="95"/>
      <c r="NYE2" s="95"/>
      <c r="NYK2" s="95"/>
      <c r="NYQ2" s="95"/>
      <c r="NYW2" s="95"/>
      <c r="NZC2" s="95"/>
      <c r="NZI2" s="95"/>
      <c r="NZO2" s="95"/>
      <c r="NZU2" s="95"/>
      <c r="OAA2" s="95"/>
      <c r="OAG2" s="95"/>
      <c r="OAM2" s="95"/>
      <c r="OAS2" s="95"/>
      <c r="OAY2" s="95"/>
      <c r="OBE2" s="95"/>
      <c r="OBK2" s="95"/>
      <c r="OBQ2" s="95"/>
      <c r="OBW2" s="95"/>
      <c r="OCC2" s="95"/>
      <c r="OCI2" s="95"/>
      <c r="OCO2" s="95"/>
      <c r="OCU2" s="95"/>
      <c r="ODA2" s="95"/>
      <c r="ODG2" s="95"/>
      <c r="ODM2" s="95"/>
      <c r="ODS2" s="95"/>
      <c r="ODY2" s="95"/>
      <c r="OEE2" s="95"/>
      <c r="OEK2" s="95"/>
      <c r="OEQ2" s="95"/>
      <c r="OEW2" s="95"/>
      <c r="OFC2" s="95"/>
      <c r="OFI2" s="95"/>
      <c r="OFO2" s="95"/>
      <c r="OFU2" s="95"/>
      <c r="OGA2" s="95"/>
      <c r="OGG2" s="95"/>
      <c r="OGM2" s="95"/>
      <c r="OGS2" s="95"/>
      <c r="OGY2" s="95"/>
      <c r="OHE2" s="95"/>
      <c r="OHK2" s="95"/>
      <c r="OHQ2" s="95"/>
      <c r="OHW2" s="95"/>
      <c r="OIC2" s="95"/>
      <c r="OII2" s="95"/>
      <c r="OIO2" s="95"/>
      <c r="OIU2" s="95"/>
      <c r="OJA2" s="95"/>
      <c r="OJG2" s="95"/>
      <c r="OJM2" s="95"/>
      <c r="OJS2" s="95"/>
      <c r="OJY2" s="95"/>
      <c r="OKE2" s="95"/>
      <c r="OKK2" s="95"/>
      <c r="OKQ2" s="95"/>
      <c r="OKW2" s="95"/>
      <c r="OLC2" s="95"/>
      <c r="OLI2" s="95"/>
      <c r="OLO2" s="95"/>
      <c r="OLU2" s="95"/>
      <c r="OMA2" s="95"/>
      <c r="OMG2" s="95"/>
      <c r="OMM2" s="95"/>
      <c r="OMS2" s="95"/>
      <c r="OMY2" s="95"/>
      <c r="ONE2" s="95"/>
      <c r="ONK2" s="95"/>
      <c r="ONQ2" s="95"/>
      <c r="ONW2" s="95"/>
      <c r="OOC2" s="95"/>
      <c r="OOI2" s="95"/>
      <c r="OOO2" s="95"/>
      <c r="OOU2" s="95"/>
      <c r="OPA2" s="95"/>
      <c r="OPG2" s="95"/>
      <c r="OPM2" s="95"/>
      <c r="OPS2" s="95"/>
      <c r="OPY2" s="95"/>
      <c r="OQE2" s="95"/>
      <c r="OQK2" s="95"/>
      <c r="OQQ2" s="95"/>
      <c r="OQW2" s="95"/>
      <c r="ORC2" s="95"/>
      <c r="ORI2" s="95"/>
      <c r="ORO2" s="95"/>
      <c r="ORU2" s="95"/>
      <c r="OSA2" s="95"/>
      <c r="OSG2" s="95"/>
      <c r="OSM2" s="95"/>
      <c r="OSS2" s="95"/>
      <c r="OSY2" s="95"/>
      <c r="OTE2" s="95"/>
      <c r="OTK2" s="95"/>
      <c r="OTQ2" s="95"/>
      <c r="OTW2" s="95"/>
      <c r="OUC2" s="95"/>
      <c r="OUI2" s="95"/>
      <c r="OUO2" s="95"/>
      <c r="OUU2" s="95"/>
      <c r="OVA2" s="95"/>
      <c r="OVG2" s="95"/>
      <c r="OVM2" s="95"/>
      <c r="OVS2" s="95"/>
      <c r="OVY2" s="95"/>
      <c r="OWE2" s="95"/>
      <c r="OWK2" s="95"/>
      <c r="OWQ2" s="95"/>
      <c r="OWW2" s="95"/>
      <c r="OXC2" s="95"/>
      <c r="OXI2" s="95"/>
      <c r="OXO2" s="95"/>
      <c r="OXU2" s="95"/>
      <c r="OYA2" s="95"/>
      <c r="OYG2" s="95"/>
      <c r="OYM2" s="95"/>
      <c r="OYS2" s="95"/>
      <c r="OYY2" s="95"/>
      <c r="OZE2" s="95"/>
      <c r="OZK2" s="95"/>
      <c r="OZQ2" s="95"/>
      <c r="OZW2" s="95"/>
      <c r="PAC2" s="95"/>
      <c r="PAI2" s="95"/>
      <c r="PAO2" s="95"/>
      <c r="PAU2" s="95"/>
      <c r="PBA2" s="95"/>
      <c r="PBG2" s="95"/>
      <c r="PBM2" s="95"/>
      <c r="PBS2" s="95"/>
      <c r="PBY2" s="95"/>
      <c r="PCE2" s="95"/>
      <c r="PCK2" s="95"/>
      <c r="PCQ2" s="95"/>
      <c r="PCW2" s="95"/>
      <c r="PDC2" s="95"/>
      <c r="PDI2" s="95"/>
      <c r="PDO2" s="95"/>
      <c r="PDU2" s="95"/>
      <c r="PEA2" s="95"/>
      <c r="PEG2" s="95"/>
      <c r="PEM2" s="95"/>
      <c r="PES2" s="95"/>
      <c r="PEY2" s="95"/>
      <c r="PFE2" s="95"/>
      <c r="PFK2" s="95"/>
      <c r="PFQ2" s="95"/>
      <c r="PFW2" s="95"/>
      <c r="PGC2" s="95"/>
      <c r="PGI2" s="95"/>
      <c r="PGO2" s="95"/>
      <c r="PGU2" s="95"/>
      <c r="PHA2" s="95"/>
      <c r="PHG2" s="95"/>
      <c r="PHM2" s="95"/>
      <c r="PHS2" s="95"/>
      <c r="PHY2" s="95"/>
      <c r="PIE2" s="95"/>
      <c r="PIK2" s="95"/>
      <c r="PIQ2" s="95"/>
      <c r="PIW2" s="95"/>
      <c r="PJC2" s="95"/>
      <c r="PJI2" s="95"/>
      <c r="PJO2" s="95"/>
      <c r="PJU2" s="95"/>
      <c r="PKA2" s="95"/>
      <c r="PKG2" s="95"/>
      <c r="PKM2" s="95"/>
      <c r="PKS2" s="95"/>
      <c r="PKY2" s="95"/>
      <c r="PLE2" s="95"/>
      <c r="PLK2" s="95"/>
      <c r="PLQ2" s="95"/>
      <c r="PLW2" s="95"/>
      <c r="PMC2" s="95"/>
      <c r="PMI2" s="95"/>
      <c r="PMO2" s="95"/>
      <c r="PMU2" s="95"/>
      <c r="PNA2" s="95"/>
      <c r="PNG2" s="95"/>
      <c r="PNM2" s="95"/>
      <c r="PNS2" s="95"/>
      <c r="PNY2" s="95"/>
      <c r="POE2" s="95"/>
      <c r="POK2" s="95"/>
      <c r="POQ2" s="95"/>
      <c r="POW2" s="95"/>
      <c r="PPC2" s="95"/>
      <c r="PPI2" s="95"/>
      <c r="PPO2" s="95"/>
      <c r="PPU2" s="95"/>
      <c r="PQA2" s="95"/>
      <c r="PQG2" s="95"/>
      <c r="PQM2" s="95"/>
      <c r="PQS2" s="95"/>
      <c r="PQY2" s="95"/>
      <c r="PRE2" s="95"/>
      <c r="PRK2" s="95"/>
      <c r="PRQ2" s="95"/>
      <c r="PRW2" s="95"/>
      <c r="PSC2" s="95"/>
      <c r="PSI2" s="95"/>
      <c r="PSO2" s="95"/>
      <c r="PSU2" s="95"/>
      <c r="PTA2" s="95"/>
      <c r="PTG2" s="95"/>
      <c r="PTM2" s="95"/>
      <c r="PTS2" s="95"/>
      <c r="PTY2" s="95"/>
      <c r="PUE2" s="95"/>
      <c r="PUK2" s="95"/>
      <c r="PUQ2" s="95"/>
      <c r="PUW2" s="95"/>
      <c r="PVC2" s="95"/>
      <c r="PVI2" s="95"/>
      <c r="PVO2" s="95"/>
      <c r="PVU2" s="95"/>
      <c r="PWA2" s="95"/>
      <c r="PWG2" s="95"/>
      <c r="PWM2" s="95"/>
      <c r="PWS2" s="95"/>
      <c r="PWY2" s="95"/>
      <c r="PXE2" s="95"/>
      <c r="PXK2" s="95"/>
      <c r="PXQ2" s="95"/>
      <c r="PXW2" s="95"/>
      <c r="PYC2" s="95"/>
      <c r="PYI2" s="95"/>
      <c r="PYO2" s="95"/>
      <c r="PYU2" s="95"/>
      <c r="PZA2" s="95"/>
      <c r="PZG2" s="95"/>
      <c r="PZM2" s="95"/>
      <c r="PZS2" s="95"/>
      <c r="PZY2" s="95"/>
      <c r="QAE2" s="95"/>
      <c r="QAK2" s="95"/>
      <c r="QAQ2" s="95"/>
      <c r="QAW2" s="95"/>
      <c r="QBC2" s="95"/>
      <c r="QBI2" s="95"/>
      <c r="QBO2" s="95"/>
      <c r="QBU2" s="95"/>
      <c r="QCA2" s="95"/>
      <c r="QCG2" s="95"/>
      <c r="QCM2" s="95"/>
      <c r="QCS2" s="95"/>
      <c r="QCY2" s="95"/>
      <c r="QDE2" s="95"/>
      <c r="QDK2" s="95"/>
      <c r="QDQ2" s="95"/>
      <c r="QDW2" s="95"/>
      <c r="QEC2" s="95"/>
      <c r="QEI2" s="95"/>
      <c r="QEO2" s="95"/>
      <c r="QEU2" s="95"/>
      <c r="QFA2" s="95"/>
      <c r="QFG2" s="95"/>
      <c r="QFM2" s="95"/>
      <c r="QFS2" s="95"/>
      <c r="QFY2" s="95"/>
      <c r="QGE2" s="95"/>
      <c r="QGK2" s="95"/>
      <c r="QGQ2" s="95"/>
      <c r="QGW2" s="95"/>
      <c r="QHC2" s="95"/>
      <c r="QHI2" s="95"/>
      <c r="QHO2" s="95"/>
      <c r="QHU2" s="95"/>
      <c r="QIA2" s="95"/>
      <c r="QIG2" s="95"/>
      <c r="QIM2" s="95"/>
      <c r="QIS2" s="95"/>
      <c r="QIY2" s="95"/>
      <c r="QJE2" s="95"/>
      <c r="QJK2" s="95"/>
      <c r="QJQ2" s="95"/>
      <c r="QJW2" s="95"/>
      <c r="QKC2" s="95"/>
      <c r="QKI2" s="95"/>
      <c r="QKO2" s="95"/>
      <c r="QKU2" s="95"/>
      <c r="QLA2" s="95"/>
      <c r="QLG2" s="95"/>
      <c r="QLM2" s="95"/>
      <c r="QLS2" s="95"/>
      <c r="QLY2" s="95"/>
      <c r="QME2" s="95"/>
      <c r="QMK2" s="95"/>
      <c r="QMQ2" s="95"/>
      <c r="QMW2" s="95"/>
      <c r="QNC2" s="95"/>
      <c r="QNI2" s="95"/>
      <c r="QNO2" s="95"/>
      <c r="QNU2" s="95"/>
      <c r="QOA2" s="95"/>
      <c r="QOG2" s="95"/>
      <c r="QOM2" s="95"/>
      <c r="QOS2" s="95"/>
      <c r="QOY2" s="95"/>
      <c r="QPE2" s="95"/>
      <c r="QPK2" s="95"/>
      <c r="QPQ2" s="95"/>
      <c r="QPW2" s="95"/>
      <c r="QQC2" s="95"/>
      <c r="QQI2" s="95"/>
      <c r="QQO2" s="95"/>
      <c r="QQU2" s="95"/>
      <c r="QRA2" s="95"/>
      <c r="QRG2" s="95"/>
      <c r="QRM2" s="95"/>
      <c r="QRS2" s="95"/>
      <c r="QRY2" s="95"/>
      <c r="QSE2" s="95"/>
      <c r="QSK2" s="95"/>
      <c r="QSQ2" s="95"/>
      <c r="QSW2" s="95"/>
      <c r="QTC2" s="95"/>
      <c r="QTI2" s="95"/>
      <c r="QTO2" s="95"/>
      <c r="QTU2" s="95"/>
      <c r="QUA2" s="95"/>
      <c r="QUG2" s="95"/>
      <c r="QUM2" s="95"/>
      <c r="QUS2" s="95"/>
      <c r="QUY2" s="95"/>
      <c r="QVE2" s="95"/>
      <c r="QVK2" s="95"/>
      <c r="QVQ2" s="95"/>
      <c r="QVW2" s="95"/>
      <c r="QWC2" s="95"/>
      <c r="QWI2" s="95"/>
      <c r="QWO2" s="95"/>
      <c r="QWU2" s="95"/>
      <c r="QXA2" s="95"/>
      <c r="QXG2" s="95"/>
      <c r="QXM2" s="95"/>
      <c r="QXS2" s="95"/>
      <c r="QXY2" s="95"/>
      <c r="QYE2" s="95"/>
      <c r="QYK2" s="95"/>
      <c r="QYQ2" s="95"/>
      <c r="QYW2" s="95"/>
      <c r="QZC2" s="95"/>
      <c r="QZI2" s="95"/>
      <c r="QZO2" s="95"/>
      <c r="QZU2" s="95"/>
      <c r="RAA2" s="95"/>
      <c r="RAG2" s="95"/>
      <c r="RAM2" s="95"/>
      <c r="RAS2" s="95"/>
      <c r="RAY2" s="95"/>
      <c r="RBE2" s="95"/>
      <c r="RBK2" s="95"/>
      <c r="RBQ2" s="95"/>
      <c r="RBW2" s="95"/>
      <c r="RCC2" s="95"/>
      <c r="RCI2" s="95"/>
      <c r="RCO2" s="95"/>
      <c r="RCU2" s="95"/>
      <c r="RDA2" s="95"/>
      <c r="RDG2" s="95"/>
      <c r="RDM2" s="95"/>
      <c r="RDS2" s="95"/>
      <c r="RDY2" s="95"/>
      <c r="REE2" s="95"/>
      <c r="REK2" s="95"/>
      <c r="REQ2" s="95"/>
      <c r="REW2" s="95"/>
      <c r="RFC2" s="95"/>
      <c r="RFI2" s="95"/>
      <c r="RFO2" s="95"/>
      <c r="RFU2" s="95"/>
      <c r="RGA2" s="95"/>
      <c r="RGG2" s="95"/>
      <c r="RGM2" s="95"/>
      <c r="RGS2" s="95"/>
      <c r="RGY2" s="95"/>
      <c r="RHE2" s="95"/>
      <c r="RHK2" s="95"/>
      <c r="RHQ2" s="95"/>
      <c r="RHW2" s="95"/>
      <c r="RIC2" s="95"/>
      <c r="RII2" s="95"/>
      <c r="RIO2" s="95"/>
      <c r="RIU2" s="95"/>
      <c r="RJA2" s="95"/>
      <c r="RJG2" s="95"/>
      <c r="RJM2" s="95"/>
      <c r="RJS2" s="95"/>
      <c r="RJY2" s="95"/>
      <c r="RKE2" s="95"/>
      <c r="RKK2" s="95"/>
      <c r="RKQ2" s="95"/>
      <c r="RKW2" s="95"/>
      <c r="RLC2" s="95"/>
      <c r="RLI2" s="95"/>
      <c r="RLO2" s="95"/>
      <c r="RLU2" s="95"/>
      <c r="RMA2" s="95"/>
      <c r="RMG2" s="95"/>
      <c r="RMM2" s="95"/>
      <c r="RMS2" s="95"/>
      <c r="RMY2" s="95"/>
      <c r="RNE2" s="95"/>
      <c r="RNK2" s="95"/>
      <c r="RNQ2" s="95"/>
      <c r="RNW2" s="95"/>
      <c r="ROC2" s="95"/>
      <c r="ROI2" s="95"/>
      <c r="ROO2" s="95"/>
      <c r="ROU2" s="95"/>
      <c r="RPA2" s="95"/>
      <c r="RPG2" s="95"/>
      <c r="RPM2" s="95"/>
      <c r="RPS2" s="95"/>
      <c r="RPY2" s="95"/>
      <c r="RQE2" s="95"/>
      <c r="RQK2" s="95"/>
      <c r="RQQ2" s="95"/>
      <c r="RQW2" s="95"/>
      <c r="RRC2" s="95"/>
      <c r="RRI2" s="95"/>
      <c r="RRO2" s="95"/>
      <c r="RRU2" s="95"/>
      <c r="RSA2" s="95"/>
      <c r="RSG2" s="95"/>
      <c r="RSM2" s="95"/>
      <c r="RSS2" s="95"/>
      <c r="RSY2" s="95"/>
      <c r="RTE2" s="95"/>
      <c r="RTK2" s="95"/>
      <c r="RTQ2" s="95"/>
      <c r="RTW2" s="95"/>
      <c r="RUC2" s="95"/>
      <c r="RUI2" s="95"/>
      <c r="RUO2" s="95"/>
      <c r="RUU2" s="95"/>
      <c r="RVA2" s="95"/>
      <c r="RVG2" s="95"/>
      <c r="RVM2" s="95"/>
      <c r="RVS2" s="95"/>
      <c r="RVY2" s="95"/>
      <c r="RWE2" s="95"/>
      <c r="RWK2" s="95"/>
      <c r="RWQ2" s="95"/>
      <c r="RWW2" s="95"/>
      <c r="RXC2" s="95"/>
      <c r="RXI2" s="95"/>
      <c r="RXO2" s="95"/>
      <c r="RXU2" s="95"/>
      <c r="RYA2" s="95"/>
      <c r="RYG2" s="95"/>
      <c r="RYM2" s="95"/>
      <c r="RYS2" s="95"/>
      <c r="RYY2" s="95"/>
      <c r="RZE2" s="95"/>
      <c r="RZK2" s="95"/>
      <c r="RZQ2" s="95"/>
      <c r="RZW2" s="95"/>
      <c r="SAC2" s="95"/>
      <c r="SAI2" s="95"/>
      <c r="SAO2" s="95"/>
      <c r="SAU2" s="95"/>
      <c r="SBA2" s="95"/>
      <c r="SBG2" s="95"/>
      <c r="SBM2" s="95"/>
      <c r="SBS2" s="95"/>
      <c r="SBY2" s="95"/>
      <c r="SCE2" s="95"/>
      <c r="SCK2" s="95"/>
      <c r="SCQ2" s="95"/>
      <c r="SCW2" s="95"/>
      <c r="SDC2" s="95"/>
      <c r="SDI2" s="95"/>
      <c r="SDO2" s="95"/>
      <c r="SDU2" s="95"/>
      <c r="SEA2" s="95"/>
      <c r="SEG2" s="95"/>
      <c r="SEM2" s="95"/>
      <c r="SES2" s="95"/>
      <c r="SEY2" s="95"/>
      <c r="SFE2" s="95"/>
      <c r="SFK2" s="95"/>
      <c r="SFQ2" s="95"/>
      <c r="SFW2" s="95"/>
      <c r="SGC2" s="95"/>
      <c r="SGI2" s="95"/>
      <c r="SGO2" s="95"/>
      <c r="SGU2" s="95"/>
      <c r="SHA2" s="95"/>
      <c r="SHG2" s="95"/>
      <c r="SHM2" s="95"/>
      <c r="SHS2" s="95"/>
      <c r="SHY2" s="95"/>
      <c r="SIE2" s="95"/>
      <c r="SIK2" s="95"/>
      <c r="SIQ2" s="95"/>
      <c r="SIW2" s="95"/>
      <c r="SJC2" s="95"/>
      <c r="SJI2" s="95"/>
      <c r="SJO2" s="95"/>
      <c r="SJU2" s="95"/>
      <c r="SKA2" s="95"/>
      <c r="SKG2" s="95"/>
      <c r="SKM2" s="95"/>
      <c r="SKS2" s="95"/>
      <c r="SKY2" s="95"/>
      <c r="SLE2" s="95"/>
      <c r="SLK2" s="95"/>
      <c r="SLQ2" s="95"/>
      <c r="SLW2" s="95"/>
      <c r="SMC2" s="95"/>
      <c r="SMI2" s="95"/>
      <c r="SMO2" s="95"/>
      <c r="SMU2" s="95"/>
      <c r="SNA2" s="95"/>
      <c r="SNG2" s="95"/>
      <c r="SNM2" s="95"/>
      <c r="SNS2" s="95"/>
      <c r="SNY2" s="95"/>
      <c r="SOE2" s="95"/>
      <c r="SOK2" s="95"/>
      <c r="SOQ2" s="95"/>
      <c r="SOW2" s="95"/>
      <c r="SPC2" s="95"/>
      <c r="SPI2" s="95"/>
      <c r="SPO2" s="95"/>
      <c r="SPU2" s="95"/>
      <c r="SQA2" s="95"/>
      <c r="SQG2" s="95"/>
      <c r="SQM2" s="95"/>
      <c r="SQS2" s="95"/>
      <c r="SQY2" s="95"/>
      <c r="SRE2" s="95"/>
      <c r="SRK2" s="95"/>
      <c r="SRQ2" s="95"/>
      <c r="SRW2" s="95"/>
      <c r="SSC2" s="95"/>
      <c r="SSI2" s="95"/>
      <c r="SSO2" s="95"/>
      <c r="SSU2" s="95"/>
      <c r="STA2" s="95"/>
      <c r="STG2" s="95"/>
      <c r="STM2" s="95"/>
      <c r="STS2" s="95"/>
      <c r="STY2" s="95"/>
      <c r="SUE2" s="95"/>
      <c r="SUK2" s="95"/>
      <c r="SUQ2" s="95"/>
      <c r="SUW2" s="95"/>
      <c r="SVC2" s="95"/>
      <c r="SVI2" s="95"/>
      <c r="SVO2" s="95"/>
      <c r="SVU2" s="95"/>
      <c r="SWA2" s="95"/>
      <c r="SWG2" s="95"/>
      <c r="SWM2" s="95"/>
      <c r="SWS2" s="95"/>
      <c r="SWY2" s="95"/>
      <c r="SXE2" s="95"/>
      <c r="SXK2" s="95"/>
      <c r="SXQ2" s="95"/>
      <c r="SXW2" s="95"/>
      <c r="SYC2" s="95"/>
      <c r="SYI2" s="95"/>
      <c r="SYO2" s="95"/>
      <c r="SYU2" s="95"/>
      <c r="SZA2" s="95"/>
      <c r="SZG2" s="95"/>
      <c r="SZM2" s="95"/>
      <c r="SZS2" s="95"/>
      <c r="SZY2" s="95"/>
      <c r="TAE2" s="95"/>
      <c r="TAK2" s="95"/>
      <c r="TAQ2" s="95"/>
      <c r="TAW2" s="95"/>
      <c r="TBC2" s="95"/>
      <c r="TBI2" s="95"/>
      <c r="TBO2" s="95"/>
      <c r="TBU2" s="95"/>
      <c r="TCA2" s="95"/>
      <c r="TCG2" s="95"/>
      <c r="TCM2" s="95"/>
      <c r="TCS2" s="95"/>
      <c r="TCY2" s="95"/>
      <c r="TDE2" s="95"/>
      <c r="TDK2" s="95"/>
      <c r="TDQ2" s="95"/>
      <c r="TDW2" s="95"/>
      <c r="TEC2" s="95"/>
      <c r="TEI2" s="95"/>
      <c r="TEO2" s="95"/>
      <c r="TEU2" s="95"/>
      <c r="TFA2" s="95"/>
      <c r="TFG2" s="95"/>
      <c r="TFM2" s="95"/>
      <c r="TFS2" s="95"/>
      <c r="TFY2" s="95"/>
      <c r="TGE2" s="95"/>
      <c r="TGK2" s="95"/>
      <c r="TGQ2" s="95"/>
      <c r="TGW2" s="95"/>
      <c r="THC2" s="95"/>
      <c r="THI2" s="95"/>
      <c r="THO2" s="95"/>
      <c r="THU2" s="95"/>
      <c r="TIA2" s="95"/>
      <c r="TIG2" s="95"/>
      <c r="TIM2" s="95"/>
      <c r="TIS2" s="95"/>
      <c r="TIY2" s="95"/>
      <c r="TJE2" s="95"/>
      <c r="TJK2" s="95"/>
      <c r="TJQ2" s="95"/>
      <c r="TJW2" s="95"/>
      <c r="TKC2" s="95"/>
      <c r="TKI2" s="95"/>
      <c r="TKO2" s="95"/>
      <c r="TKU2" s="95"/>
      <c r="TLA2" s="95"/>
      <c r="TLG2" s="95"/>
      <c r="TLM2" s="95"/>
      <c r="TLS2" s="95"/>
      <c r="TLY2" s="95"/>
      <c r="TME2" s="95"/>
      <c r="TMK2" s="95"/>
      <c r="TMQ2" s="95"/>
      <c r="TMW2" s="95"/>
      <c r="TNC2" s="95"/>
      <c r="TNI2" s="95"/>
      <c r="TNO2" s="95"/>
      <c r="TNU2" s="95"/>
      <c r="TOA2" s="95"/>
      <c r="TOG2" s="95"/>
      <c r="TOM2" s="95"/>
      <c r="TOS2" s="95"/>
      <c r="TOY2" s="95"/>
      <c r="TPE2" s="95"/>
      <c r="TPK2" s="95"/>
      <c r="TPQ2" s="95"/>
      <c r="TPW2" s="95"/>
      <c r="TQC2" s="95"/>
      <c r="TQI2" s="95"/>
      <c r="TQO2" s="95"/>
      <c r="TQU2" s="95"/>
      <c r="TRA2" s="95"/>
      <c r="TRG2" s="95"/>
      <c r="TRM2" s="95"/>
      <c r="TRS2" s="95"/>
      <c r="TRY2" s="95"/>
      <c r="TSE2" s="95"/>
      <c r="TSK2" s="95"/>
      <c r="TSQ2" s="95"/>
      <c r="TSW2" s="95"/>
      <c r="TTC2" s="95"/>
      <c r="TTI2" s="95"/>
      <c r="TTO2" s="95"/>
      <c r="TTU2" s="95"/>
      <c r="TUA2" s="95"/>
      <c r="TUG2" s="95"/>
      <c r="TUM2" s="95"/>
      <c r="TUS2" s="95"/>
      <c r="TUY2" s="95"/>
      <c r="TVE2" s="95"/>
      <c r="TVK2" s="95"/>
      <c r="TVQ2" s="95"/>
      <c r="TVW2" s="95"/>
      <c r="TWC2" s="95"/>
      <c r="TWI2" s="95"/>
      <c r="TWO2" s="95"/>
      <c r="TWU2" s="95"/>
      <c r="TXA2" s="95"/>
      <c r="TXG2" s="95"/>
      <c r="TXM2" s="95"/>
      <c r="TXS2" s="95"/>
      <c r="TXY2" s="95"/>
      <c r="TYE2" s="95"/>
      <c r="TYK2" s="95"/>
      <c r="TYQ2" s="95"/>
      <c r="TYW2" s="95"/>
      <c r="TZC2" s="95"/>
      <c r="TZI2" s="95"/>
      <c r="TZO2" s="95"/>
      <c r="TZU2" s="95"/>
      <c r="UAA2" s="95"/>
      <c r="UAG2" s="95"/>
      <c r="UAM2" s="95"/>
      <c r="UAS2" s="95"/>
      <c r="UAY2" s="95"/>
      <c r="UBE2" s="95"/>
      <c r="UBK2" s="95"/>
      <c r="UBQ2" s="95"/>
      <c r="UBW2" s="95"/>
      <c r="UCC2" s="95"/>
      <c r="UCI2" s="95"/>
      <c r="UCO2" s="95"/>
      <c r="UCU2" s="95"/>
      <c r="UDA2" s="95"/>
      <c r="UDG2" s="95"/>
      <c r="UDM2" s="95"/>
      <c r="UDS2" s="95"/>
      <c r="UDY2" s="95"/>
      <c r="UEE2" s="95"/>
      <c r="UEK2" s="95"/>
      <c r="UEQ2" s="95"/>
      <c r="UEW2" s="95"/>
      <c r="UFC2" s="95"/>
      <c r="UFI2" s="95"/>
      <c r="UFO2" s="95"/>
      <c r="UFU2" s="95"/>
      <c r="UGA2" s="95"/>
      <c r="UGG2" s="95"/>
      <c r="UGM2" s="95"/>
      <c r="UGS2" s="95"/>
      <c r="UGY2" s="95"/>
      <c r="UHE2" s="95"/>
      <c r="UHK2" s="95"/>
      <c r="UHQ2" s="95"/>
      <c r="UHW2" s="95"/>
      <c r="UIC2" s="95"/>
      <c r="UII2" s="95"/>
      <c r="UIO2" s="95"/>
      <c r="UIU2" s="95"/>
      <c r="UJA2" s="95"/>
      <c r="UJG2" s="95"/>
      <c r="UJM2" s="95"/>
      <c r="UJS2" s="95"/>
      <c r="UJY2" s="95"/>
      <c r="UKE2" s="95"/>
      <c r="UKK2" s="95"/>
      <c r="UKQ2" s="95"/>
      <c r="UKW2" s="95"/>
      <c r="ULC2" s="95"/>
      <c r="ULI2" s="95"/>
      <c r="ULO2" s="95"/>
      <c r="ULU2" s="95"/>
      <c r="UMA2" s="95"/>
      <c r="UMG2" s="95"/>
      <c r="UMM2" s="95"/>
      <c r="UMS2" s="95"/>
      <c r="UMY2" s="95"/>
      <c r="UNE2" s="95"/>
      <c r="UNK2" s="95"/>
      <c r="UNQ2" s="95"/>
      <c r="UNW2" s="95"/>
      <c r="UOC2" s="95"/>
      <c r="UOI2" s="95"/>
      <c r="UOO2" s="95"/>
      <c r="UOU2" s="95"/>
      <c r="UPA2" s="95"/>
      <c r="UPG2" s="95"/>
      <c r="UPM2" s="95"/>
      <c r="UPS2" s="95"/>
      <c r="UPY2" s="95"/>
      <c r="UQE2" s="95"/>
      <c r="UQK2" s="95"/>
      <c r="UQQ2" s="95"/>
      <c r="UQW2" s="95"/>
      <c r="URC2" s="95"/>
      <c r="URI2" s="95"/>
      <c r="URO2" s="95"/>
      <c r="URU2" s="95"/>
      <c r="USA2" s="95"/>
      <c r="USG2" s="95"/>
      <c r="USM2" s="95"/>
      <c r="USS2" s="95"/>
      <c r="USY2" s="95"/>
      <c r="UTE2" s="95"/>
      <c r="UTK2" s="95"/>
      <c r="UTQ2" s="95"/>
      <c r="UTW2" s="95"/>
      <c r="UUC2" s="95"/>
      <c r="UUI2" s="95"/>
      <c r="UUO2" s="95"/>
      <c r="UUU2" s="95"/>
      <c r="UVA2" s="95"/>
      <c r="UVG2" s="95"/>
      <c r="UVM2" s="95"/>
      <c r="UVS2" s="95"/>
      <c r="UVY2" s="95"/>
      <c r="UWE2" s="95"/>
      <c r="UWK2" s="95"/>
      <c r="UWQ2" s="95"/>
      <c r="UWW2" s="95"/>
      <c r="UXC2" s="95"/>
      <c r="UXI2" s="95"/>
      <c r="UXO2" s="95"/>
      <c r="UXU2" s="95"/>
      <c r="UYA2" s="95"/>
      <c r="UYG2" s="95"/>
      <c r="UYM2" s="95"/>
      <c r="UYS2" s="95"/>
      <c r="UYY2" s="95"/>
      <c r="UZE2" s="95"/>
      <c r="UZK2" s="95"/>
      <c r="UZQ2" s="95"/>
      <c r="UZW2" s="95"/>
      <c r="VAC2" s="95"/>
      <c r="VAI2" s="95"/>
      <c r="VAO2" s="95"/>
      <c r="VAU2" s="95"/>
      <c r="VBA2" s="95"/>
      <c r="VBG2" s="95"/>
      <c r="VBM2" s="95"/>
      <c r="VBS2" s="95"/>
      <c r="VBY2" s="95"/>
      <c r="VCE2" s="95"/>
      <c r="VCK2" s="95"/>
      <c r="VCQ2" s="95"/>
      <c r="VCW2" s="95"/>
      <c r="VDC2" s="95"/>
      <c r="VDI2" s="95"/>
      <c r="VDO2" s="95"/>
      <c r="VDU2" s="95"/>
      <c r="VEA2" s="95"/>
      <c r="VEG2" s="95"/>
      <c r="VEM2" s="95"/>
      <c r="VES2" s="95"/>
      <c r="VEY2" s="95"/>
      <c r="VFE2" s="95"/>
      <c r="VFK2" s="95"/>
      <c r="VFQ2" s="95"/>
      <c r="VFW2" s="95"/>
      <c r="VGC2" s="95"/>
      <c r="VGI2" s="95"/>
      <c r="VGO2" s="95"/>
      <c r="VGU2" s="95"/>
      <c r="VHA2" s="95"/>
      <c r="VHG2" s="95"/>
      <c r="VHM2" s="95"/>
      <c r="VHS2" s="95"/>
      <c r="VHY2" s="95"/>
      <c r="VIE2" s="95"/>
      <c r="VIK2" s="95"/>
      <c r="VIQ2" s="95"/>
      <c r="VIW2" s="95"/>
      <c r="VJC2" s="95"/>
      <c r="VJI2" s="95"/>
      <c r="VJO2" s="95"/>
      <c r="VJU2" s="95"/>
      <c r="VKA2" s="95"/>
      <c r="VKG2" s="95"/>
      <c r="VKM2" s="95"/>
      <c r="VKS2" s="95"/>
      <c r="VKY2" s="95"/>
      <c r="VLE2" s="95"/>
      <c r="VLK2" s="95"/>
      <c r="VLQ2" s="95"/>
      <c r="VLW2" s="95"/>
      <c r="VMC2" s="95"/>
      <c r="VMI2" s="95"/>
      <c r="VMO2" s="95"/>
      <c r="VMU2" s="95"/>
      <c r="VNA2" s="95"/>
      <c r="VNG2" s="95"/>
      <c r="VNM2" s="95"/>
      <c r="VNS2" s="95"/>
      <c r="VNY2" s="95"/>
      <c r="VOE2" s="95"/>
      <c r="VOK2" s="95"/>
      <c r="VOQ2" s="95"/>
      <c r="VOW2" s="95"/>
      <c r="VPC2" s="95"/>
      <c r="VPI2" s="95"/>
      <c r="VPO2" s="95"/>
      <c r="VPU2" s="95"/>
      <c r="VQA2" s="95"/>
      <c r="VQG2" s="95"/>
      <c r="VQM2" s="95"/>
      <c r="VQS2" s="95"/>
      <c r="VQY2" s="95"/>
      <c r="VRE2" s="95"/>
      <c r="VRK2" s="95"/>
      <c r="VRQ2" s="95"/>
      <c r="VRW2" s="95"/>
      <c r="VSC2" s="95"/>
      <c r="VSI2" s="95"/>
      <c r="VSO2" s="95"/>
      <c r="VSU2" s="95"/>
      <c r="VTA2" s="95"/>
      <c r="VTG2" s="95"/>
      <c r="VTM2" s="95"/>
      <c r="VTS2" s="95"/>
      <c r="VTY2" s="95"/>
      <c r="VUE2" s="95"/>
      <c r="VUK2" s="95"/>
      <c r="VUQ2" s="95"/>
      <c r="VUW2" s="95"/>
      <c r="VVC2" s="95"/>
      <c r="VVI2" s="95"/>
      <c r="VVO2" s="95"/>
      <c r="VVU2" s="95"/>
      <c r="VWA2" s="95"/>
      <c r="VWG2" s="95"/>
      <c r="VWM2" s="95"/>
      <c r="VWS2" s="95"/>
      <c r="VWY2" s="95"/>
      <c r="VXE2" s="95"/>
      <c r="VXK2" s="95"/>
      <c r="VXQ2" s="95"/>
      <c r="VXW2" s="95"/>
      <c r="VYC2" s="95"/>
      <c r="VYI2" s="95"/>
      <c r="VYO2" s="95"/>
      <c r="VYU2" s="95"/>
      <c r="VZA2" s="95"/>
      <c r="VZG2" s="95"/>
      <c r="VZM2" s="95"/>
      <c r="VZS2" s="95"/>
      <c r="VZY2" s="95"/>
      <c r="WAE2" s="95"/>
      <c r="WAK2" s="95"/>
      <c r="WAQ2" s="95"/>
      <c r="WAW2" s="95"/>
      <c r="WBC2" s="95"/>
      <c r="WBI2" s="95"/>
      <c r="WBO2" s="95"/>
      <c r="WBU2" s="95"/>
      <c r="WCA2" s="95"/>
      <c r="WCG2" s="95"/>
      <c r="WCM2" s="95"/>
      <c r="WCS2" s="95"/>
      <c r="WCY2" s="95"/>
      <c r="WDE2" s="95"/>
      <c r="WDK2" s="95"/>
      <c r="WDQ2" s="95"/>
      <c r="WDW2" s="95"/>
      <c r="WEC2" s="95"/>
      <c r="WEI2" s="95"/>
      <c r="WEO2" s="95"/>
      <c r="WEU2" s="95"/>
      <c r="WFA2" s="95"/>
      <c r="WFG2" s="95"/>
      <c r="WFM2" s="95"/>
      <c r="WFS2" s="95"/>
      <c r="WFY2" s="95"/>
      <c r="WGE2" s="95"/>
      <c r="WGK2" s="95"/>
      <c r="WGQ2" s="95"/>
      <c r="WGW2" s="95"/>
      <c r="WHC2" s="95"/>
      <c r="WHI2" s="95"/>
      <c r="WHO2" s="95"/>
      <c r="WHU2" s="95"/>
      <c r="WIA2" s="95"/>
      <c r="WIG2" s="95"/>
      <c r="WIM2" s="95"/>
      <c r="WIS2" s="95"/>
      <c r="WIY2" s="95"/>
      <c r="WJE2" s="95"/>
      <c r="WJK2" s="95"/>
      <c r="WJQ2" s="95"/>
      <c r="WJW2" s="95"/>
      <c r="WKC2" s="95"/>
      <c r="WKI2" s="95"/>
      <c r="WKO2" s="95"/>
      <c r="WKU2" s="95"/>
      <c r="WLA2" s="95"/>
      <c r="WLG2" s="95"/>
      <c r="WLM2" s="95"/>
      <c r="WLS2" s="95"/>
      <c r="WLY2" s="95"/>
      <c r="WME2" s="95"/>
      <c r="WMK2" s="95"/>
      <c r="WMQ2" s="95"/>
      <c r="WMW2" s="95"/>
      <c r="WNC2" s="95"/>
      <c r="WNI2" s="95"/>
      <c r="WNO2" s="95"/>
      <c r="WNU2" s="95"/>
      <c r="WOA2" s="95"/>
      <c r="WOG2" s="95"/>
      <c r="WOM2" s="95"/>
      <c r="WOS2" s="95"/>
      <c r="WOY2" s="95"/>
      <c r="WPE2" s="95"/>
      <c r="WPK2" s="95"/>
      <c r="WPQ2" s="95"/>
      <c r="WPW2" s="95"/>
      <c r="WQC2" s="95"/>
      <c r="WQI2" s="95"/>
      <c r="WQO2" s="95"/>
      <c r="WQU2" s="95"/>
      <c r="WRA2" s="95"/>
      <c r="WRG2" s="95"/>
      <c r="WRM2" s="95"/>
      <c r="WRS2" s="95"/>
      <c r="WRY2" s="95"/>
      <c r="WSE2" s="95"/>
      <c r="WSK2" s="95"/>
      <c r="WSQ2" s="95"/>
      <c r="WSW2" s="95"/>
      <c r="WTC2" s="95"/>
      <c r="WTI2" s="95"/>
      <c r="WTO2" s="95"/>
      <c r="WTU2" s="95"/>
      <c r="WUA2" s="95"/>
      <c r="WUG2" s="95"/>
      <c r="WUM2" s="95"/>
      <c r="WUS2" s="95"/>
      <c r="WUY2" s="95"/>
      <c r="WVE2" s="95"/>
      <c r="WVK2" s="95"/>
      <c r="WVQ2" s="95"/>
      <c r="WVW2" s="95"/>
      <c r="WWC2" s="95"/>
      <c r="WWI2" s="95"/>
      <c r="WWO2" s="95"/>
      <c r="WWU2" s="95"/>
      <c r="WXA2" s="95"/>
      <c r="WXG2" s="95"/>
      <c r="WXM2" s="95"/>
      <c r="WXS2" s="95"/>
      <c r="WXY2" s="95"/>
      <c r="WYE2" s="95"/>
      <c r="WYK2" s="95"/>
      <c r="WYQ2" s="95"/>
      <c r="WYW2" s="95"/>
      <c r="WZC2" s="95"/>
      <c r="WZI2" s="95"/>
      <c r="WZO2" s="95"/>
      <c r="WZU2" s="95"/>
      <c r="XAA2" s="95"/>
      <c r="XAG2" s="95"/>
      <c r="XAM2" s="95"/>
      <c r="XAS2" s="95"/>
      <c r="XAY2" s="95"/>
      <c r="XBE2" s="95"/>
      <c r="XBK2" s="95"/>
      <c r="XBQ2" s="95"/>
      <c r="XBW2" s="95"/>
      <c r="XCC2" s="95"/>
      <c r="XCI2" s="95"/>
      <c r="XCO2" s="95"/>
      <c r="XCU2" s="95"/>
      <c r="XDA2" s="95"/>
      <c r="XDG2" s="95"/>
      <c r="XDM2" s="95"/>
      <c r="XDS2" s="95"/>
      <c r="XDY2" s="95"/>
      <c r="XEE2" s="95"/>
      <c r="XEK2" s="95"/>
      <c r="XEQ2" s="95"/>
      <c r="XEW2" s="95"/>
      <c r="XFC2" s="95"/>
    </row>
    <row r="3" spans="1:1023 1029:2043 2049:3069 3075:4095 4101:5115 5121:6141 6147:7167 7173:8187 8193:9213 9219:10239 10245:11259 11265:12285 12291:13311 13317:14331 14337:15357 15363:16383" s="755" customFormat="1" x14ac:dyDescent="0.2">
      <c r="A3" s="21" t="s">
        <v>661</v>
      </c>
      <c r="B3" s="21"/>
      <c r="C3" s="21"/>
      <c r="D3" s="21"/>
      <c r="E3" s="752"/>
      <c r="F3" s="21"/>
      <c r="G3" s="23"/>
      <c r="H3" s="1741"/>
      <c r="I3" s="1741"/>
      <c r="J3" s="1741"/>
      <c r="K3" s="1741"/>
      <c r="L3" s="1741"/>
      <c r="M3" s="1741"/>
      <c r="N3" s="755" t="s">
        <v>662</v>
      </c>
      <c r="O3" s="95"/>
      <c r="Q3" s="755">
        <f ca="1">SUM($CF$4:$CW$4)</f>
        <v>159456.37851135148</v>
      </c>
      <c r="U3" s="95"/>
      <c r="V3" s="755">
        <f t="shared" ref="V3:V4" ca="1" si="0">Q3/$Q$5</f>
        <v>6.0035564436815216E-2</v>
      </c>
      <c r="AA3" s="1995" t="str">
        <f>$R1</f>
        <v>EUR</v>
      </c>
      <c r="AB3" s="1995"/>
      <c r="AC3" s="1995"/>
      <c r="AD3" s="1995"/>
      <c r="AE3" s="1995"/>
      <c r="AF3" s="1995"/>
      <c r="AG3" s="1995"/>
      <c r="AH3" s="1995"/>
      <c r="AI3" s="1995"/>
      <c r="AJ3" s="1995"/>
      <c r="AK3" s="1995"/>
      <c r="AL3" s="1995"/>
      <c r="AM3" s="1995"/>
      <c r="AN3" s="1995"/>
      <c r="AO3" s="1995"/>
      <c r="AP3" s="1995"/>
      <c r="AQ3" s="1995"/>
      <c r="AR3" s="1995"/>
      <c r="AS3" s="95"/>
      <c r="AT3" s="1995" t="str">
        <f>$R1</f>
        <v>EUR</v>
      </c>
      <c r="AU3" s="1995"/>
      <c r="AV3" s="1995"/>
      <c r="AW3" s="1995"/>
      <c r="AX3" s="1995"/>
      <c r="AY3" s="1995"/>
      <c r="AZ3" s="1995"/>
      <c r="BA3" s="1995"/>
      <c r="BB3" s="1995"/>
      <c r="BC3" s="1995"/>
      <c r="BD3" s="1995"/>
      <c r="BE3" s="1995"/>
      <c r="BF3" s="1995"/>
      <c r="BG3" s="1995"/>
      <c r="BH3" s="1995"/>
      <c r="BI3" s="1995"/>
      <c r="BJ3" s="1995"/>
      <c r="BK3" s="1995"/>
      <c r="BM3" s="1995" t="str">
        <f>$R1</f>
        <v>EUR</v>
      </c>
      <c r="BN3" s="1995"/>
      <c r="BO3" s="1995"/>
      <c r="BP3" s="1995"/>
      <c r="BQ3" s="1995"/>
      <c r="BR3" s="1995"/>
      <c r="BS3" s="1995"/>
      <c r="BT3" s="1995"/>
      <c r="BU3" s="1995"/>
      <c r="BV3" s="1995"/>
      <c r="BW3" s="1995"/>
      <c r="BX3" s="1995"/>
      <c r="BY3" s="1995"/>
      <c r="BZ3" s="1995"/>
      <c r="CA3" s="1995"/>
      <c r="CB3" s="1995"/>
      <c r="CC3" s="1995"/>
      <c r="CD3" s="1995"/>
      <c r="CF3" s="1995" t="str">
        <f>$R1</f>
        <v>EUR</v>
      </c>
      <c r="CG3" s="1995"/>
      <c r="CH3" s="1995"/>
      <c r="CI3" s="1995"/>
      <c r="CJ3" s="1995"/>
      <c r="CK3" s="1995"/>
      <c r="CL3" s="1995"/>
      <c r="CM3" s="1995"/>
      <c r="CN3" s="1995"/>
      <c r="CO3" s="1995"/>
      <c r="CP3" s="1995"/>
      <c r="CQ3" s="1995"/>
      <c r="CR3" s="1995"/>
      <c r="CS3" s="1995"/>
      <c r="CT3" s="1995"/>
      <c r="CU3" s="1995"/>
      <c r="CV3" s="1995"/>
      <c r="CW3" s="1995"/>
      <c r="DA3" s="95"/>
      <c r="DG3" s="95"/>
      <c r="DM3" s="95"/>
      <c r="DS3" s="95"/>
      <c r="DY3" s="95"/>
      <c r="EE3" s="95"/>
      <c r="EK3" s="95"/>
      <c r="EQ3" s="95"/>
      <c r="EW3" s="95"/>
      <c r="FC3" s="95"/>
      <c r="FI3" s="95"/>
      <c r="FO3" s="95"/>
      <c r="FU3" s="95"/>
      <c r="GA3" s="95"/>
      <c r="GG3" s="95"/>
      <c r="GM3" s="95"/>
      <c r="GS3" s="95"/>
      <c r="GY3" s="95"/>
      <c r="HE3" s="95"/>
      <c r="HK3" s="95"/>
      <c r="HQ3" s="95"/>
      <c r="HW3" s="95"/>
      <c r="IC3" s="95"/>
      <c r="II3" s="95"/>
      <c r="IO3" s="95"/>
      <c r="IU3" s="95"/>
      <c r="JA3" s="95"/>
      <c r="JG3" s="95"/>
      <c r="JM3" s="95"/>
      <c r="JS3" s="95"/>
      <c r="JY3" s="95"/>
      <c r="KE3" s="95"/>
      <c r="KK3" s="95"/>
      <c r="KQ3" s="95"/>
      <c r="KW3" s="95"/>
      <c r="LC3" s="95"/>
      <c r="LI3" s="95"/>
      <c r="LO3" s="95"/>
      <c r="LU3" s="95"/>
      <c r="MA3" s="95"/>
      <c r="MG3" s="95"/>
      <c r="MM3" s="95"/>
      <c r="MS3" s="95"/>
      <c r="MY3" s="95"/>
      <c r="NE3" s="95"/>
      <c r="NK3" s="95"/>
      <c r="NQ3" s="95"/>
      <c r="NW3" s="95"/>
      <c r="OC3" s="95"/>
      <c r="OI3" s="95"/>
      <c r="OO3" s="95"/>
      <c r="OU3" s="95"/>
      <c r="PA3" s="95"/>
      <c r="PG3" s="95"/>
      <c r="PM3" s="95"/>
      <c r="PS3" s="95"/>
      <c r="PY3" s="95"/>
      <c r="QE3" s="95"/>
      <c r="QK3" s="95"/>
      <c r="QQ3" s="95"/>
      <c r="QW3" s="95"/>
      <c r="RC3" s="95"/>
      <c r="RI3" s="95"/>
      <c r="RO3" s="95"/>
      <c r="RU3" s="95"/>
      <c r="SA3" s="95"/>
      <c r="SG3" s="95"/>
      <c r="SM3" s="95"/>
      <c r="SS3" s="95"/>
      <c r="SY3" s="95"/>
      <c r="TE3" s="95"/>
      <c r="TK3" s="95"/>
      <c r="TQ3" s="95"/>
      <c r="TW3" s="95"/>
      <c r="UC3" s="95"/>
      <c r="UI3" s="95"/>
      <c r="UO3" s="95"/>
      <c r="UU3" s="95"/>
      <c r="VA3" s="95"/>
      <c r="VG3" s="95"/>
      <c r="VM3" s="95"/>
      <c r="VS3" s="95"/>
      <c r="VY3" s="95"/>
      <c r="WE3" s="95"/>
      <c r="WK3" s="95"/>
      <c r="WQ3" s="95"/>
      <c r="WW3" s="95"/>
      <c r="XC3" s="95"/>
      <c r="XI3" s="95"/>
      <c r="XO3" s="95"/>
      <c r="XU3" s="95"/>
      <c r="YA3" s="95"/>
      <c r="YG3" s="95"/>
      <c r="YM3" s="95"/>
      <c r="YS3" s="95"/>
      <c r="YY3" s="95"/>
      <c r="ZE3" s="95"/>
      <c r="ZK3" s="95"/>
      <c r="ZQ3" s="95"/>
      <c r="ZW3" s="95"/>
      <c r="AAC3" s="95"/>
      <c r="AAI3" s="95"/>
      <c r="AAO3" s="95"/>
      <c r="AAU3" s="95"/>
      <c r="ABA3" s="95"/>
      <c r="ABG3" s="95"/>
      <c r="ABM3" s="95"/>
      <c r="ABS3" s="95"/>
      <c r="ABY3" s="95"/>
      <c r="ACE3" s="95"/>
      <c r="ACK3" s="95"/>
      <c r="ACQ3" s="95"/>
      <c r="ACW3" s="95"/>
      <c r="ADC3" s="95"/>
      <c r="ADI3" s="95"/>
      <c r="ADO3" s="95"/>
      <c r="ADU3" s="95"/>
      <c r="AEA3" s="95"/>
      <c r="AEG3" s="95"/>
      <c r="AEM3" s="95"/>
      <c r="AES3" s="95"/>
      <c r="AEY3" s="95"/>
      <c r="AFE3" s="95"/>
      <c r="AFK3" s="95"/>
      <c r="AFQ3" s="95"/>
      <c r="AFW3" s="95"/>
      <c r="AGC3" s="95"/>
      <c r="AGI3" s="95"/>
      <c r="AGO3" s="95"/>
      <c r="AGU3" s="95"/>
      <c r="AHA3" s="95"/>
      <c r="AHG3" s="95"/>
      <c r="AHM3" s="95"/>
      <c r="AHS3" s="95"/>
      <c r="AHY3" s="95"/>
      <c r="AIE3" s="95"/>
      <c r="AIK3" s="95"/>
      <c r="AIQ3" s="95"/>
      <c r="AIW3" s="95"/>
      <c r="AJC3" s="95"/>
      <c r="AJI3" s="95"/>
      <c r="AJO3" s="95"/>
      <c r="AJU3" s="95"/>
      <c r="AKA3" s="95"/>
      <c r="AKG3" s="95"/>
      <c r="AKM3" s="95"/>
      <c r="AKS3" s="95"/>
      <c r="AKY3" s="95"/>
      <c r="ALE3" s="95"/>
      <c r="ALK3" s="95"/>
      <c r="ALQ3" s="95"/>
      <c r="ALW3" s="95"/>
      <c r="AMC3" s="95"/>
      <c r="AMI3" s="95"/>
      <c r="AMO3" s="95"/>
      <c r="AMU3" s="95"/>
      <c r="ANA3" s="95"/>
      <c r="ANG3" s="95"/>
      <c r="ANM3" s="95"/>
      <c r="ANS3" s="95"/>
      <c r="ANY3" s="95"/>
      <c r="AOE3" s="95"/>
      <c r="AOK3" s="95"/>
      <c r="AOQ3" s="95"/>
      <c r="AOW3" s="95"/>
      <c r="APC3" s="95"/>
      <c r="API3" s="95"/>
      <c r="APO3" s="95"/>
      <c r="APU3" s="95"/>
      <c r="AQA3" s="95"/>
      <c r="AQG3" s="95"/>
      <c r="AQM3" s="95"/>
      <c r="AQS3" s="95"/>
      <c r="AQY3" s="95"/>
      <c r="ARE3" s="95"/>
      <c r="ARK3" s="95"/>
      <c r="ARQ3" s="95"/>
      <c r="ARW3" s="95"/>
      <c r="ASC3" s="95"/>
      <c r="ASI3" s="95"/>
      <c r="ASO3" s="95"/>
      <c r="ASU3" s="95"/>
      <c r="ATA3" s="95"/>
      <c r="ATG3" s="95"/>
      <c r="ATM3" s="95"/>
      <c r="ATS3" s="95"/>
      <c r="ATY3" s="95"/>
      <c r="AUE3" s="95"/>
      <c r="AUK3" s="95"/>
      <c r="AUQ3" s="95"/>
      <c r="AUW3" s="95"/>
      <c r="AVC3" s="95"/>
      <c r="AVI3" s="95"/>
      <c r="AVO3" s="95"/>
      <c r="AVU3" s="95"/>
      <c r="AWA3" s="95"/>
      <c r="AWG3" s="95"/>
      <c r="AWM3" s="95"/>
      <c r="AWS3" s="95"/>
      <c r="AWY3" s="95"/>
      <c r="AXE3" s="95"/>
      <c r="AXK3" s="95"/>
      <c r="AXQ3" s="95"/>
      <c r="AXW3" s="95"/>
      <c r="AYC3" s="95"/>
      <c r="AYI3" s="95"/>
      <c r="AYO3" s="95"/>
      <c r="AYU3" s="95"/>
      <c r="AZA3" s="95"/>
      <c r="AZG3" s="95"/>
      <c r="AZM3" s="95"/>
      <c r="AZS3" s="95"/>
      <c r="AZY3" s="95"/>
      <c r="BAE3" s="95"/>
      <c r="BAK3" s="95"/>
      <c r="BAQ3" s="95"/>
      <c r="BAW3" s="95"/>
      <c r="BBC3" s="95"/>
      <c r="BBI3" s="95"/>
      <c r="BBO3" s="95"/>
      <c r="BBU3" s="95"/>
      <c r="BCA3" s="95"/>
      <c r="BCG3" s="95"/>
      <c r="BCM3" s="95"/>
      <c r="BCS3" s="95"/>
      <c r="BCY3" s="95"/>
      <c r="BDE3" s="95"/>
      <c r="BDK3" s="95"/>
      <c r="BDQ3" s="95"/>
      <c r="BDW3" s="95"/>
      <c r="BEC3" s="95"/>
      <c r="BEI3" s="95"/>
      <c r="BEO3" s="95"/>
      <c r="BEU3" s="95"/>
      <c r="BFA3" s="95"/>
      <c r="BFG3" s="95"/>
      <c r="BFM3" s="95"/>
      <c r="BFS3" s="95"/>
      <c r="BFY3" s="95"/>
      <c r="BGE3" s="95"/>
      <c r="BGK3" s="95"/>
      <c r="BGQ3" s="95"/>
      <c r="BGW3" s="95"/>
      <c r="BHC3" s="95"/>
      <c r="BHI3" s="95"/>
      <c r="BHO3" s="95"/>
      <c r="BHU3" s="95"/>
      <c r="BIA3" s="95"/>
      <c r="BIG3" s="95"/>
      <c r="BIM3" s="95"/>
      <c r="BIS3" s="95"/>
      <c r="BIY3" s="95"/>
      <c r="BJE3" s="95"/>
      <c r="BJK3" s="95"/>
      <c r="BJQ3" s="95"/>
      <c r="BJW3" s="95"/>
      <c r="BKC3" s="95"/>
      <c r="BKI3" s="95"/>
      <c r="BKO3" s="95"/>
      <c r="BKU3" s="95"/>
      <c r="BLA3" s="95"/>
      <c r="BLG3" s="95"/>
      <c r="BLM3" s="95"/>
      <c r="BLS3" s="95"/>
      <c r="BLY3" s="95"/>
      <c r="BME3" s="95"/>
      <c r="BMK3" s="95"/>
      <c r="BMQ3" s="95"/>
      <c r="BMW3" s="95"/>
      <c r="BNC3" s="95"/>
      <c r="BNI3" s="95"/>
      <c r="BNO3" s="95"/>
      <c r="BNU3" s="95"/>
      <c r="BOA3" s="95"/>
      <c r="BOG3" s="95"/>
      <c r="BOM3" s="95"/>
      <c r="BOS3" s="95"/>
      <c r="BOY3" s="95"/>
      <c r="BPE3" s="95"/>
      <c r="BPK3" s="95"/>
      <c r="BPQ3" s="95"/>
      <c r="BPW3" s="95"/>
      <c r="BQC3" s="95"/>
      <c r="BQI3" s="95"/>
      <c r="BQO3" s="95"/>
      <c r="BQU3" s="95"/>
      <c r="BRA3" s="95"/>
      <c r="BRG3" s="95"/>
      <c r="BRM3" s="95"/>
      <c r="BRS3" s="95"/>
      <c r="BRY3" s="95"/>
      <c r="BSE3" s="95"/>
      <c r="BSK3" s="95"/>
      <c r="BSQ3" s="95"/>
      <c r="BSW3" s="95"/>
      <c r="BTC3" s="95"/>
      <c r="BTI3" s="95"/>
      <c r="BTO3" s="95"/>
      <c r="BTU3" s="95"/>
      <c r="BUA3" s="95"/>
      <c r="BUG3" s="95"/>
      <c r="BUM3" s="95"/>
      <c r="BUS3" s="95"/>
      <c r="BUY3" s="95"/>
      <c r="BVE3" s="95"/>
      <c r="BVK3" s="95"/>
      <c r="BVQ3" s="95"/>
      <c r="BVW3" s="95"/>
      <c r="BWC3" s="95"/>
      <c r="BWI3" s="95"/>
      <c r="BWO3" s="95"/>
      <c r="BWU3" s="95"/>
      <c r="BXA3" s="95"/>
      <c r="BXG3" s="95"/>
      <c r="BXM3" s="95"/>
      <c r="BXS3" s="95"/>
      <c r="BXY3" s="95"/>
      <c r="BYE3" s="95"/>
      <c r="BYK3" s="95"/>
      <c r="BYQ3" s="95"/>
      <c r="BYW3" s="95"/>
      <c r="BZC3" s="95"/>
      <c r="BZI3" s="95"/>
      <c r="BZO3" s="95"/>
      <c r="BZU3" s="95"/>
      <c r="CAA3" s="95"/>
      <c r="CAG3" s="95"/>
      <c r="CAM3" s="95"/>
      <c r="CAS3" s="95"/>
      <c r="CAY3" s="95"/>
      <c r="CBE3" s="95"/>
      <c r="CBK3" s="95"/>
      <c r="CBQ3" s="95"/>
      <c r="CBW3" s="95"/>
      <c r="CCC3" s="95"/>
      <c r="CCI3" s="95"/>
      <c r="CCO3" s="95"/>
      <c r="CCU3" s="95"/>
      <c r="CDA3" s="95"/>
      <c r="CDG3" s="95"/>
      <c r="CDM3" s="95"/>
      <c r="CDS3" s="95"/>
      <c r="CDY3" s="95"/>
      <c r="CEE3" s="95"/>
      <c r="CEK3" s="95"/>
      <c r="CEQ3" s="95"/>
      <c r="CEW3" s="95"/>
      <c r="CFC3" s="95"/>
      <c r="CFI3" s="95"/>
      <c r="CFO3" s="95"/>
      <c r="CFU3" s="95"/>
      <c r="CGA3" s="95"/>
      <c r="CGG3" s="95"/>
      <c r="CGM3" s="95"/>
      <c r="CGS3" s="95"/>
      <c r="CGY3" s="95"/>
      <c r="CHE3" s="95"/>
      <c r="CHK3" s="95"/>
      <c r="CHQ3" s="95"/>
      <c r="CHW3" s="95"/>
      <c r="CIC3" s="95"/>
      <c r="CII3" s="95"/>
      <c r="CIO3" s="95"/>
      <c r="CIU3" s="95"/>
      <c r="CJA3" s="95"/>
      <c r="CJG3" s="95"/>
      <c r="CJM3" s="95"/>
      <c r="CJS3" s="95"/>
      <c r="CJY3" s="95"/>
      <c r="CKE3" s="95"/>
      <c r="CKK3" s="95"/>
      <c r="CKQ3" s="95"/>
      <c r="CKW3" s="95"/>
      <c r="CLC3" s="95"/>
      <c r="CLI3" s="95"/>
      <c r="CLO3" s="95"/>
      <c r="CLU3" s="95"/>
      <c r="CMA3" s="95"/>
      <c r="CMG3" s="95"/>
      <c r="CMM3" s="95"/>
      <c r="CMS3" s="95"/>
      <c r="CMY3" s="95"/>
      <c r="CNE3" s="95"/>
      <c r="CNK3" s="95"/>
      <c r="CNQ3" s="95"/>
      <c r="CNW3" s="95"/>
      <c r="COC3" s="95"/>
      <c r="COI3" s="95"/>
      <c r="COO3" s="95"/>
      <c r="COU3" s="95"/>
      <c r="CPA3" s="95"/>
      <c r="CPG3" s="95"/>
      <c r="CPM3" s="95"/>
      <c r="CPS3" s="95"/>
      <c r="CPY3" s="95"/>
      <c r="CQE3" s="95"/>
      <c r="CQK3" s="95"/>
      <c r="CQQ3" s="95"/>
      <c r="CQW3" s="95"/>
      <c r="CRC3" s="95"/>
      <c r="CRI3" s="95"/>
      <c r="CRO3" s="95"/>
      <c r="CRU3" s="95"/>
      <c r="CSA3" s="95"/>
      <c r="CSG3" s="95"/>
      <c r="CSM3" s="95"/>
      <c r="CSS3" s="95"/>
      <c r="CSY3" s="95"/>
      <c r="CTE3" s="95"/>
      <c r="CTK3" s="95"/>
      <c r="CTQ3" s="95"/>
      <c r="CTW3" s="95"/>
      <c r="CUC3" s="95"/>
      <c r="CUI3" s="95"/>
      <c r="CUO3" s="95"/>
      <c r="CUU3" s="95"/>
      <c r="CVA3" s="95"/>
      <c r="CVG3" s="95"/>
      <c r="CVM3" s="95"/>
      <c r="CVS3" s="95"/>
      <c r="CVY3" s="95"/>
      <c r="CWE3" s="95"/>
      <c r="CWK3" s="95"/>
      <c r="CWQ3" s="95"/>
      <c r="CWW3" s="95"/>
      <c r="CXC3" s="95"/>
      <c r="CXI3" s="95"/>
      <c r="CXO3" s="95"/>
      <c r="CXU3" s="95"/>
      <c r="CYA3" s="95"/>
      <c r="CYG3" s="95"/>
      <c r="CYM3" s="95"/>
      <c r="CYS3" s="95"/>
      <c r="CYY3" s="95"/>
      <c r="CZE3" s="95"/>
      <c r="CZK3" s="95"/>
      <c r="CZQ3" s="95"/>
      <c r="CZW3" s="95"/>
      <c r="DAC3" s="95"/>
      <c r="DAI3" s="95"/>
      <c r="DAO3" s="95"/>
      <c r="DAU3" s="95"/>
      <c r="DBA3" s="95"/>
      <c r="DBG3" s="95"/>
      <c r="DBM3" s="95"/>
      <c r="DBS3" s="95"/>
      <c r="DBY3" s="95"/>
      <c r="DCE3" s="95"/>
      <c r="DCK3" s="95"/>
      <c r="DCQ3" s="95"/>
      <c r="DCW3" s="95"/>
      <c r="DDC3" s="95"/>
      <c r="DDI3" s="95"/>
      <c r="DDO3" s="95"/>
      <c r="DDU3" s="95"/>
      <c r="DEA3" s="95"/>
      <c r="DEG3" s="95"/>
      <c r="DEM3" s="95"/>
      <c r="DES3" s="95"/>
      <c r="DEY3" s="95"/>
      <c r="DFE3" s="95"/>
      <c r="DFK3" s="95"/>
      <c r="DFQ3" s="95"/>
      <c r="DFW3" s="95"/>
      <c r="DGC3" s="95"/>
      <c r="DGI3" s="95"/>
      <c r="DGO3" s="95"/>
      <c r="DGU3" s="95"/>
      <c r="DHA3" s="95"/>
      <c r="DHG3" s="95"/>
      <c r="DHM3" s="95"/>
      <c r="DHS3" s="95"/>
      <c r="DHY3" s="95"/>
      <c r="DIE3" s="95"/>
      <c r="DIK3" s="95"/>
      <c r="DIQ3" s="95"/>
      <c r="DIW3" s="95"/>
      <c r="DJC3" s="95"/>
      <c r="DJI3" s="95"/>
      <c r="DJO3" s="95"/>
      <c r="DJU3" s="95"/>
      <c r="DKA3" s="95"/>
      <c r="DKG3" s="95"/>
      <c r="DKM3" s="95"/>
      <c r="DKS3" s="95"/>
      <c r="DKY3" s="95"/>
      <c r="DLE3" s="95"/>
      <c r="DLK3" s="95"/>
      <c r="DLQ3" s="95"/>
      <c r="DLW3" s="95"/>
      <c r="DMC3" s="95"/>
      <c r="DMI3" s="95"/>
      <c r="DMO3" s="95"/>
      <c r="DMU3" s="95"/>
      <c r="DNA3" s="95"/>
      <c r="DNG3" s="95"/>
      <c r="DNM3" s="95"/>
      <c r="DNS3" s="95"/>
      <c r="DNY3" s="95"/>
      <c r="DOE3" s="95"/>
      <c r="DOK3" s="95"/>
      <c r="DOQ3" s="95"/>
      <c r="DOW3" s="95"/>
      <c r="DPC3" s="95"/>
      <c r="DPI3" s="95"/>
      <c r="DPO3" s="95"/>
      <c r="DPU3" s="95"/>
      <c r="DQA3" s="95"/>
      <c r="DQG3" s="95"/>
      <c r="DQM3" s="95"/>
      <c r="DQS3" s="95"/>
      <c r="DQY3" s="95"/>
      <c r="DRE3" s="95"/>
      <c r="DRK3" s="95"/>
      <c r="DRQ3" s="95"/>
      <c r="DRW3" s="95"/>
      <c r="DSC3" s="95"/>
      <c r="DSI3" s="95"/>
      <c r="DSO3" s="95"/>
      <c r="DSU3" s="95"/>
      <c r="DTA3" s="95"/>
      <c r="DTG3" s="95"/>
      <c r="DTM3" s="95"/>
      <c r="DTS3" s="95"/>
      <c r="DTY3" s="95"/>
      <c r="DUE3" s="95"/>
      <c r="DUK3" s="95"/>
      <c r="DUQ3" s="95"/>
      <c r="DUW3" s="95"/>
      <c r="DVC3" s="95"/>
      <c r="DVI3" s="95"/>
      <c r="DVO3" s="95"/>
      <c r="DVU3" s="95"/>
      <c r="DWA3" s="95"/>
      <c r="DWG3" s="95"/>
      <c r="DWM3" s="95"/>
      <c r="DWS3" s="95"/>
      <c r="DWY3" s="95"/>
      <c r="DXE3" s="95"/>
      <c r="DXK3" s="95"/>
      <c r="DXQ3" s="95"/>
      <c r="DXW3" s="95"/>
      <c r="DYC3" s="95"/>
      <c r="DYI3" s="95"/>
      <c r="DYO3" s="95"/>
      <c r="DYU3" s="95"/>
      <c r="DZA3" s="95"/>
      <c r="DZG3" s="95"/>
      <c r="DZM3" s="95"/>
      <c r="DZS3" s="95"/>
      <c r="DZY3" s="95"/>
      <c r="EAE3" s="95"/>
      <c r="EAK3" s="95"/>
      <c r="EAQ3" s="95"/>
      <c r="EAW3" s="95"/>
      <c r="EBC3" s="95"/>
      <c r="EBI3" s="95"/>
      <c r="EBO3" s="95"/>
      <c r="EBU3" s="95"/>
      <c r="ECA3" s="95"/>
      <c r="ECG3" s="95"/>
      <c r="ECM3" s="95"/>
      <c r="ECS3" s="95"/>
      <c r="ECY3" s="95"/>
      <c r="EDE3" s="95"/>
      <c r="EDK3" s="95"/>
      <c r="EDQ3" s="95"/>
      <c r="EDW3" s="95"/>
      <c r="EEC3" s="95"/>
      <c r="EEI3" s="95"/>
      <c r="EEO3" s="95"/>
      <c r="EEU3" s="95"/>
      <c r="EFA3" s="95"/>
      <c r="EFG3" s="95"/>
      <c r="EFM3" s="95"/>
      <c r="EFS3" s="95"/>
      <c r="EFY3" s="95"/>
      <c r="EGE3" s="95"/>
      <c r="EGK3" s="95"/>
      <c r="EGQ3" s="95"/>
      <c r="EGW3" s="95"/>
      <c r="EHC3" s="95"/>
      <c r="EHI3" s="95"/>
      <c r="EHO3" s="95"/>
      <c r="EHU3" s="95"/>
      <c r="EIA3" s="95"/>
      <c r="EIG3" s="95"/>
      <c r="EIM3" s="95"/>
      <c r="EIS3" s="95"/>
      <c r="EIY3" s="95"/>
      <c r="EJE3" s="95"/>
      <c r="EJK3" s="95"/>
      <c r="EJQ3" s="95"/>
      <c r="EJW3" s="95"/>
      <c r="EKC3" s="95"/>
      <c r="EKI3" s="95"/>
      <c r="EKO3" s="95"/>
      <c r="EKU3" s="95"/>
      <c r="ELA3" s="95"/>
      <c r="ELG3" s="95"/>
      <c r="ELM3" s="95"/>
      <c r="ELS3" s="95"/>
      <c r="ELY3" s="95"/>
      <c r="EME3" s="95"/>
      <c r="EMK3" s="95"/>
      <c r="EMQ3" s="95"/>
      <c r="EMW3" s="95"/>
      <c r="ENC3" s="95"/>
      <c r="ENI3" s="95"/>
      <c r="ENO3" s="95"/>
      <c r="ENU3" s="95"/>
      <c r="EOA3" s="95"/>
      <c r="EOG3" s="95"/>
      <c r="EOM3" s="95"/>
      <c r="EOS3" s="95"/>
      <c r="EOY3" s="95"/>
      <c r="EPE3" s="95"/>
      <c r="EPK3" s="95"/>
      <c r="EPQ3" s="95"/>
      <c r="EPW3" s="95"/>
      <c r="EQC3" s="95"/>
      <c r="EQI3" s="95"/>
      <c r="EQO3" s="95"/>
      <c r="EQU3" s="95"/>
      <c r="ERA3" s="95"/>
      <c r="ERG3" s="95"/>
      <c r="ERM3" s="95"/>
      <c r="ERS3" s="95"/>
      <c r="ERY3" s="95"/>
      <c r="ESE3" s="95"/>
      <c r="ESK3" s="95"/>
      <c r="ESQ3" s="95"/>
      <c r="ESW3" s="95"/>
      <c r="ETC3" s="95"/>
      <c r="ETI3" s="95"/>
      <c r="ETO3" s="95"/>
      <c r="ETU3" s="95"/>
      <c r="EUA3" s="95"/>
      <c r="EUG3" s="95"/>
      <c r="EUM3" s="95"/>
      <c r="EUS3" s="95"/>
      <c r="EUY3" s="95"/>
      <c r="EVE3" s="95"/>
      <c r="EVK3" s="95"/>
      <c r="EVQ3" s="95"/>
      <c r="EVW3" s="95"/>
      <c r="EWC3" s="95"/>
      <c r="EWI3" s="95"/>
      <c r="EWO3" s="95"/>
      <c r="EWU3" s="95"/>
      <c r="EXA3" s="95"/>
      <c r="EXG3" s="95"/>
      <c r="EXM3" s="95"/>
      <c r="EXS3" s="95"/>
      <c r="EXY3" s="95"/>
      <c r="EYE3" s="95"/>
      <c r="EYK3" s="95"/>
      <c r="EYQ3" s="95"/>
      <c r="EYW3" s="95"/>
      <c r="EZC3" s="95"/>
      <c r="EZI3" s="95"/>
      <c r="EZO3" s="95"/>
      <c r="EZU3" s="95"/>
      <c r="FAA3" s="95"/>
      <c r="FAG3" s="95"/>
      <c r="FAM3" s="95"/>
      <c r="FAS3" s="95"/>
      <c r="FAY3" s="95"/>
      <c r="FBE3" s="95"/>
      <c r="FBK3" s="95"/>
      <c r="FBQ3" s="95"/>
      <c r="FBW3" s="95"/>
      <c r="FCC3" s="95"/>
      <c r="FCI3" s="95"/>
      <c r="FCO3" s="95"/>
      <c r="FCU3" s="95"/>
      <c r="FDA3" s="95"/>
      <c r="FDG3" s="95"/>
      <c r="FDM3" s="95"/>
      <c r="FDS3" s="95"/>
      <c r="FDY3" s="95"/>
      <c r="FEE3" s="95"/>
      <c r="FEK3" s="95"/>
      <c r="FEQ3" s="95"/>
      <c r="FEW3" s="95"/>
      <c r="FFC3" s="95"/>
      <c r="FFI3" s="95"/>
      <c r="FFO3" s="95"/>
      <c r="FFU3" s="95"/>
      <c r="FGA3" s="95"/>
      <c r="FGG3" s="95"/>
      <c r="FGM3" s="95"/>
      <c r="FGS3" s="95"/>
      <c r="FGY3" s="95"/>
      <c r="FHE3" s="95"/>
      <c r="FHK3" s="95"/>
      <c r="FHQ3" s="95"/>
      <c r="FHW3" s="95"/>
      <c r="FIC3" s="95"/>
      <c r="FII3" s="95"/>
      <c r="FIO3" s="95"/>
      <c r="FIU3" s="95"/>
      <c r="FJA3" s="95"/>
      <c r="FJG3" s="95"/>
      <c r="FJM3" s="95"/>
      <c r="FJS3" s="95"/>
      <c r="FJY3" s="95"/>
      <c r="FKE3" s="95"/>
      <c r="FKK3" s="95"/>
      <c r="FKQ3" s="95"/>
      <c r="FKW3" s="95"/>
      <c r="FLC3" s="95"/>
      <c r="FLI3" s="95"/>
      <c r="FLO3" s="95"/>
      <c r="FLU3" s="95"/>
      <c r="FMA3" s="95"/>
      <c r="FMG3" s="95"/>
      <c r="FMM3" s="95"/>
      <c r="FMS3" s="95"/>
      <c r="FMY3" s="95"/>
      <c r="FNE3" s="95"/>
      <c r="FNK3" s="95"/>
      <c r="FNQ3" s="95"/>
      <c r="FNW3" s="95"/>
      <c r="FOC3" s="95"/>
      <c r="FOI3" s="95"/>
      <c r="FOO3" s="95"/>
      <c r="FOU3" s="95"/>
      <c r="FPA3" s="95"/>
      <c r="FPG3" s="95"/>
      <c r="FPM3" s="95"/>
      <c r="FPS3" s="95"/>
      <c r="FPY3" s="95"/>
      <c r="FQE3" s="95"/>
      <c r="FQK3" s="95"/>
      <c r="FQQ3" s="95"/>
      <c r="FQW3" s="95"/>
      <c r="FRC3" s="95"/>
      <c r="FRI3" s="95"/>
      <c r="FRO3" s="95"/>
      <c r="FRU3" s="95"/>
      <c r="FSA3" s="95"/>
      <c r="FSG3" s="95"/>
      <c r="FSM3" s="95"/>
      <c r="FSS3" s="95"/>
      <c r="FSY3" s="95"/>
      <c r="FTE3" s="95"/>
      <c r="FTK3" s="95"/>
      <c r="FTQ3" s="95"/>
      <c r="FTW3" s="95"/>
      <c r="FUC3" s="95"/>
      <c r="FUI3" s="95"/>
      <c r="FUO3" s="95"/>
      <c r="FUU3" s="95"/>
      <c r="FVA3" s="95"/>
      <c r="FVG3" s="95"/>
      <c r="FVM3" s="95"/>
      <c r="FVS3" s="95"/>
      <c r="FVY3" s="95"/>
      <c r="FWE3" s="95"/>
      <c r="FWK3" s="95"/>
      <c r="FWQ3" s="95"/>
      <c r="FWW3" s="95"/>
      <c r="FXC3" s="95"/>
      <c r="FXI3" s="95"/>
      <c r="FXO3" s="95"/>
      <c r="FXU3" s="95"/>
      <c r="FYA3" s="95"/>
      <c r="FYG3" s="95"/>
      <c r="FYM3" s="95"/>
      <c r="FYS3" s="95"/>
      <c r="FYY3" s="95"/>
      <c r="FZE3" s="95"/>
      <c r="FZK3" s="95"/>
      <c r="FZQ3" s="95"/>
      <c r="FZW3" s="95"/>
      <c r="GAC3" s="95"/>
      <c r="GAI3" s="95"/>
      <c r="GAO3" s="95"/>
      <c r="GAU3" s="95"/>
      <c r="GBA3" s="95"/>
      <c r="GBG3" s="95"/>
      <c r="GBM3" s="95"/>
      <c r="GBS3" s="95"/>
      <c r="GBY3" s="95"/>
      <c r="GCE3" s="95"/>
      <c r="GCK3" s="95"/>
      <c r="GCQ3" s="95"/>
      <c r="GCW3" s="95"/>
      <c r="GDC3" s="95"/>
      <c r="GDI3" s="95"/>
      <c r="GDO3" s="95"/>
      <c r="GDU3" s="95"/>
      <c r="GEA3" s="95"/>
      <c r="GEG3" s="95"/>
      <c r="GEM3" s="95"/>
      <c r="GES3" s="95"/>
      <c r="GEY3" s="95"/>
      <c r="GFE3" s="95"/>
      <c r="GFK3" s="95"/>
      <c r="GFQ3" s="95"/>
      <c r="GFW3" s="95"/>
      <c r="GGC3" s="95"/>
      <c r="GGI3" s="95"/>
      <c r="GGO3" s="95"/>
      <c r="GGU3" s="95"/>
      <c r="GHA3" s="95"/>
      <c r="GHG3" s="95"/>
      <c r="GHM3" s="95"/>
      <c r="GHS3" s="95"/>
      <c r="GHY3" s="95"/>
      <c r="GIE3" s="95"/>
      <c r="GIK3" s="95"/>
      <c r="GIQ3" s="95"/>
      <c r="GIW3" s="95"/>
      <c r="GJC3" s="95"/>
      <c r="GJI3" s="95"/>
      <c r="GJO3" s="95"/>
      <c r="GJU3" s="95"/>
      <c r="GKA3" s="95"/>
      <c r="GKG3" s="95"/>
      <c r="GKM3" s="95"/>
      <c r="GKS3" s="95"/>
      <c r="GKY3" s="95"/>
      <c r="GLE3" s="95"/>
      <c r="GLK3" s="95"/>
      <c r="GLQ3" s="95"/>
      <c r="GLW3" s="95"/>
      <c r="GMC3" s="95"/>
      <c r="GMI3" s="95"/>
      <c r="GMO3" s="95"/>
      <c r="GMU3" s="95"/>
      <c r="GNA3" s="95"/>
      <c r="GNG3" s="95"/>
      <c r="GNM3" s="95"/>
      <c r="GNS3" s="95"/>
      <c r="GNY3" s="95"/>
      <c r="GOE3" s="95"/>
      <c r="GOK3" s="95"/>
      <c r="GOQ3" s="95"/>
      <c r="GOW3" s="95"/>
      <c r="GPC3" s="95"/>
      <c r="GPI3" s="95"/>
      <c r="GPO3" s="95"/>
      <c r="GPU3" s="95"/>
      <c r="GQA3" s="95"/>
      <c r="GQG3" s="95"/>
      <c r="GQM3" s="95"/>
      <c r="GQS3" s="95"/>
      <c r="GQY3" s="95"/>
      <c r="GRE3" s="95"/>
      <c r="GRK3" s="95"/>
      <c r="GRQ3" s="95"/>
      <c r="GRW3" s="95"/>
      <c r="GSC3" s="95"/>
      <c r="GSI3" s="95"/>
      <c r="GSO3" s="95"/>
      <c r="GSU3" s="95"/>
      <c r="GTA3" s="95"/>
      <c r="GTG3" s="95"/>
      <c r="GTM3" s="95"/>
      <c r="GTS3" s="95"/>
      <c r="GTY3" s="95"/>
      <c r="GUE3" s="95"/>
      <c r="GUK3" s="95"/>
      <c r="GUQ3" s="95"/>
      <c r="GUW3" s="95"/>
      <c r="GVC3" s="95"/>
      <c r="GVI3" s="95"/>
      <c r="GVO3" s="95"/>
      <c r="GVU3" s="95"/>
      <c r="GWA3" s="95"/>
      <c r="GWG3" s="95"/>
      <c r="GWM3" s="95"/>
      <c r="GWS3" s="95"/>
      <c r="GWY3" s="95"/>
      <c r="GXE3" s="95"/>
      <c r="GXK3" s="95"/>
      <c r="GXQ3" s="95"/>
      <c r="GXW3" s="95"/>
      <c r="GYC3" s="95"/>
      <c r="GYI3" s="95"/>
      <c r="GYO3" s="95"/>
      <c r="GYU3" s="95"/>
      <c r="GZA3" s="95"/>
      <c r="GZG3" s="95"/>
      <c r="GZM3" s="95"/>
      <c r="GZS3" s="95"/>
      <c r="GZY3" s="95"/>
      <c r="HAE3" s="95"/>
      <c r="HAK3" s="95"/>
      <c r="HAQ3" s="95"/>
      <c r="HAW3" s="95"/>
      <c r="HBC3" s="95"/>
      <c r="HBI3" s="95"/>
      <c r="HBO3" s="95"/>
      <c r="HBU3" s="95"/>
      <c r="HCA3" s="95"/>
      <c r="HCG3" s="95"/>
      <c r="HCM3" s="95"/>
      <c r="HCS3" s="95"/>
      <c r="HCY3" s="95"/>
      <c r="HDE3" s="95"/>
      <c r="HDK3" s="95"/>
      <c r="HDQ3" s="95"/>
      <c r="HDW3" s="95"/>
      <c r="HEC3" s="95"/>
      <c r="HEI3" s="95"/>
      <c r="HEO3" s="95"/>
      <c r="HEU3" s="95"/>
      <c r="HFA3" s="95"/>
      <c r="HFG3" s="95"/>
      <c r="HFM3" s="95"/>
      <c r="HFS3" s="95"/>
      <c r="HFY3" s="95"/>
      <c r="HGE3" s="95"/>
      <c r="HGK3" s="95"/>
      <c r="HGQ3" s="95"/>
      <c r="HGW3" s="95"/>
      <c r="HHC3" s="95"/>
      <c r="HHI3" s="95"/>
      <c r="HHO3" s="95"/>
      <c r="HHU3" s="95"/>
      <c r="HIA3" s="95"/>
      <c r="HIG3" s="95"/>
      <c r="HIM3" s="95"/>
      <c r="HIS3" s="95"/>
      <c r="HIY3" s="95"/>
      <c r="HJE3" s="95"/>
      <c r="HJK3" s="95"/>
      <c r="HJQ3" s="95"/>
      <c r="HJW3" s="95"/>
      <c r="HKC3" s="95"/>
      <c r="HKI3" s="95"/>
      <c r="HKO3" s="95"/>
      <c r="HKU3" s="95"/>
      <c r="HLA3" s="95"/>
      <c r="HLG3" s="95"/>
      <c r="HLM3" s="95"/>
      <c r="HLS3" s="95"/>
      <c r="HLY3" s="95"/>
      <c r="HME3" s="95"/>
      <c r="HMK3" s="95"/>
      <c r="HMQ3" s="95"/>
      <c r="HMW3" s="95"/>
      <c r="HNC3" s="95"/>
      <c r="HNI3" s="95"/>
      <c r="HNO3" s="95"/>
      <c r="HNU3" s="95"/>
      <c r="HOA3" s="95"/>
      <c r="HOG3" s="95"/>
      <c r="HOM3" s="95"/>
      <c r="HOS3" s="95"/>
      <c r="HOY3" s="95"/>
      <c r="HPE3" s="95"/>
      <c r="HPK3" s="95"/>
      <c r="HPQ3" s="95"/>
      <c r="HPW3" s="95"/>
      <c r="HQC3" s="95"/>
      <c r="HQI3" s="95"/>
      <c r="HQO3" s="95"/>
      <c r="HQU3" s="95"/>
      <c r="HRA3" s="95"/>
      <c r="HRG3" s="95"/>
      <c r="HRM3" s="95"/>
      <c r="HRS3" s="95"/>
      <c r="HRY3" s="95"/>
      <c r="HSE3" s="95"/>
      <c r="HSK3" s="95"/>
      <c r="HSQ3" s="95"/>
      <c r="HSW3" s="95"/>
      <c r="HTC3" s="95"/>
      <c r="HTI3" s="95"/>
      <c r="HTO3" s="95"/>
      <c r="HTU3" s="95"/>
      <c r="HUA3" s="95"/>
      <c r="HUG3" s="95"/>
      <c r="HUM3" s="95"/>
      <c r="HUS3" s="95"/>
      <c r="HUY3" s="95"/>
      <c r="HVE3" s="95"/>
      <c r="HVK3" s="95"/>
      <c r="HVQ3" s="95"/>
      <c r="HVW3" s="95"/>
      <c r="HWC3" s="95"/>
      <c r="HWI3" s="95"/>
      <c r="HWO3" s="95"/>
      <c r="HWU3" s="95"/>
      <c r="HXA3" s="95"/>
      <c r="HXG3" s="95"/>
      <c r="HXM3" s="95"/>
      <c r="HXS3" s="95"/>
      <c r="HXY3" s="95"/>
      <c r="HYE3" s="95"/>
      <c r="HYK3" s="95"/>
      <c r="HYQ3" s="95"/>
      <c r="HYW3" s="95"/>
      <c r="HZC3" s="95"/>
      <c r="HZI3" s="95"/>
      <c r="HZO3" s="95"/>
      <c r="HZU3" s="95"/>
      <c r="IAA3" s="95"/>
      <c r="IAG3" s="95"/>
      <c r="IAM3" s="95"/>
      <c r="IAS3" s="95"/>
      <c r="IAY3" s="95"/>
      <c r="IBE3" s="95"/>
      <c r="IBK3" s="95"/>
      <c r="IBQ3" s="95"/>
      <c r="IBW3" s="95"/>
      <c r="ICC3" s="95"/>
      <c r="ICI3" s="95"/>
      <c r="ICO3" s="95"/>
      <c r="ICU3" s="95"/>
      <c r="IDA3" s="95"/>
      <c r="IDG3" s="95"/>
      <c r="IDM3" s="95"/>
      <c r="IDS3" s="95"/>
      <c r="IDY3" s="95"/>
      <c r="IEE3" s="95"/>
      <c r="IEK3" s="95"/>
      <c r="IEQ3" s="95"/>
      <c r="IEW3" s="95"/>
      <c r="IFC3" s="95"/>
      <c r="IFI3" s="95"/>
      <c r="IFO3" s="95"/>
      <c r="IFU3" s="95"/>
      <c r="IGA3" s="95"/>
      <c r="IGG3" s="95"/>
      <c r="IGM3" s="95"/>
      <c r="IGS3" s="95"/>
      <c r="IGY3" s="95"/>
      <c r="IHE3" s="95"/>
      <c r="IHK3" s="95"/>
      <c r="IHQ3" s="95"/>
      <c r="IHW3" s="95"/>
      <c r="IIC3" s="95"/>
      <c r="III3" s="95"/>
      <c r="IIO3" s="95"/>
      <c r="IIU3" s="95"/>
      <c r="IJA3" s="95"/>
      <c r="IJG3" s="95"/>
      <c r="IJM3" s="95"/>
      <c r="IJS3" s="95"/>
      <c r="IJY3" s="95"/>
      <c r="IKE3" s="95"/>
      <c r="IKK3" s="95"/>
      <c r="IKQ3" s="95"/>
      <c r="IKW3" s="95"/>
      <c r="ILC3" s="95"/>
      <c r="ILI3" s="95"/>
      <c r="ILO3" s="95"/>
      <c r="ILU3" s="95"/>
      <c r="IMA3" s="95"/>
      <c r="IMG3" s="95"/>
      <c r="IMM3" s="95"/>
      <c r="IMS3" s="95"/>
      <c r="IMY3" s="95"/>
      <c r="INE3" s="95"/>
      <c r="INK3" s="95"/>
      <c r="INQ3" s="95"/>
      <c r="INW3" s="95"/>
      <c r="IOC3" s="95"/>
      <c r="IOI3" s="95"/>
      <c r="IOO3" s="95"/>
      <c r="IOU3" s="95"/>
      <c r="IPA3" s="95"/>
      <c r="IPG3" s="95"/>
      <c r="IPM3" s="95"/>
      <c r="IPS3" s="95"/>
      <c r="IPY3" s="95"/>
      <c r="IQE3" s="95"/>
      <c r="IQK3" s="95"/>
      <c r="IQQ3" s="95"/>
      <c r="IQW3" s="95"/>
      <c r="IRC3" s="95"/>
      <c r="IRI3" s="95"/>
      <c r="IRO3" s="95"/>
      <c r="IRU3" s="95"/>
      <c r="ISA3" s="95"/>
      <c r="ISG3" s="95"/>
      <c r="ISM3" s="95"/>
      <c r="ISS3" s="95"/>
      <c r="ISY3" s="95"/>
      <c r="ITE3" s="95"/>
      <c r="ITK3" s="95"/>
      <c r="ITQ3" s="95"/>
      <c r="ITW3" s="95"/>
      <c r="IUC3" s="95"/>
      <c r="IUI3" s="95"/>
      <c r="IUO3" s="95"/>
      <c r="IUU3" s="95"/>
      <c r="IVA3" s="95"/>
      <c r="IVG3" s="95"/>
      <c r="IVM3" s="95"/>
      <c r="IVS3" s="95"/>
      <c r="IVY3" s="95"/>
      <c r="IWE3" s="95"/>
      <c r="IWK3" s="95"/>
      <c r="IWQ3" s="95"/>
      <c r="IWW3" s="95"/>
      <c r="IXC3" s="95"/>
      <c r="IXI3" s="95"/>
      <c r="IXO3" s="95"/>
      <c r="IXU3" s="95"/>
      <c r="IYA3" s="95"/>
      <c r="IYG3" s="95"/>
      <c r="IYM3" s="95"/>
      <c r="IYS3" s="95"/>
      <c r="IYY3" s="95"/>
      <c r="IZE3" s="95"/>
      <c r="IZK3" s="95"/>
      <c r="IZQ3" s="95"/>
      <c r="IZW3" s="95"/>
      <c r="JAC3" s="95"/>
      <c r="JAI3" s="95"/>
      <c r="JAO3" s="95"/>
      <c r="JAU3" s="95"/>
      <c r="JBA3" s="95"/>
      <c r="JBG3" s="95"/>
      <c r="JBM3" s="95"/>
      <c r="JBS3" s="95"/>
      <c r="JBY3" s="95"/>
      <c r="JCE3" s="95"/>
      <c r="JCK3" s="95"/>
      <c r="JCQ3" s="95"/>
      <c r="JCW3" s="95"/>
      <c r="JDC3" s="95"/>
      <c r="JDI3" s="95"/>
      <c r="JDO3" s="95"/>
      <c r="JDU3" s="95"/>
      <c r="JEA3" s="95"/>
      <c r="JEG3" s="95"/>
      <c r="JEM3" s="95"/>
      <c r="JES3" s="95"/>
      <c r="JEY3" s="95"/>
      <c r="JFE3" s="95"/>
      <c r="JFK3" s="95"/>
      <c r="JFQ3" s="95"/>
      <c r="JFW3" s="95"/>
      <c r="JGC3" s="95"/>
      <c r="JGI3" s="95"/>
      <c r="JGO3" s="95"/>
      <c r="JGU3" s="95"/>
      <c r="JHA3" s="95"/>
      <c r="JHG3" s="95"/>
      <c r="JHM3" s="95"/>
      <c r="JHS3" s="95"/>
      <c r="JHY3" s="95"/>
      <c r="JIE3" s="95"/>
      <c r="JIK3" s="95"/>
      <c r="JIQ3" s="95"/>
      <c r="JIW3" s="95"/>
      <c r="JJC3" s="95"/>
      <c r="JJI3" s="95"/>
      <c r="JJO3" s="95"/>
      <c r="JJU3" s="95"/>
      <c r="JKA3" s="95"/>
      <c r="JKG3" s="95"/>
      <c r="JKM3" s="95"/>
      <c r="JKS3" s="95"/>
      <c r="JKY3" s="95"/>
      <c r="JLE3" s="95"/>
      <c r="JLK3" s="95"/>
      <c r="JLQ3" s="95"/>
      <c r="JLW3" s="95"/>
      <c r="JMC3" s="95"/>
      <c r="JMI3" s="95"/>
      <c r="JMO3" s="95"/>
      <c r="JMU3" s="95"/>
      <c r="JNA3" s="95"/>
      <c r="JNG3" s="95"/>
      <c r="JNM3" s="95"/>
      <c r="JNS3" s="95"/>
      <c r="JNY3" s="95"/>
      <c r="JOE3" s="95"/>
      <c r="JOK3" s="95"/>
      <c r="JOQ3" s="95"/>
      <c r="JOW3" s="95"/>
      <c r="JPC3" s="95"/>
      <c r="JPI3" s="95"/>
      <c r="JPO3" s="95"/>
      <c r="JPU3" s="95"/>
      <c r="JQA3" s="95"/>
      <c r="JQG3" s="95"/>
      <c r="JQM3" s="95"/>
      <c r="JQS3" s="95"/>
      <c r="JQY3" s="95"/>
      <c r="JRE3" s="95"/>
      <c r="JRK3" s="95"/>
      <c r="JRQ3" s="95"/>
      <c r="JRW3" s="95"/>
      <c r="JSC3" s="95"/>
      <c r="JSI3" s="95"/>
      <c r="JSO3" s="95"/>
      <c r="JSU3" s="95"/>
      <c r="JTA3" s="95"/>
      <c r="JTG3" s="95"/>
      <c r="JTM3" s="95"/>
      <c r="JTS3" s="95"/>
      <c r="JTY3" s="95"/>
      <c r="JUE3" s="95"/>
      <c r="JUK3" s="95"/>
      <c r="JUQ3" s="95"/>
      <c r="JUW3" s="95"/>
      <c r="JVC3" s="95"/>
      <c r="JVI3" s="95"/>
      <c r="JVO3" s="95"/>
      <c r="JVU3" s="95"/>
      <c r="JWA3" s="95"/>
      <c r="JWG3" s="95"/>
      <c r="JWM3" s="95"/>
      <c r="JWS3" s="95"/>
      <c r="JWY3" s="95"/>
      <c r="JXE3" s="95"/>
      <c r="JXK3" s="95"/>
      <c r="JXQ3" s="95"/>
      <c r="JXW3" s="95"/>
      <c r="JYC3" s="95"/>
      <c r="JYI3" s="95"/>
      <c r="JYO3" s="95"/>
      <c r="JYU3" s="95"/>
      <c r="JZA3" s="95"/>
      <c r="JZG3" s="95"/>
      <c r="JZM3" s="95"/>
      <c r="JZS3" s="95"/>
      <c r="JZY3" s="95"/>
      <c r="KAE3" s="95"/>
      <c r="KAK3" s="95"/>
      <c r="KAQ3" s="95"/>
      <c r="KAW3" s="95"/>
      <c r="KBC3" s="95"/>
      <c r="KBI3" s="95"/>
      <c r="KBO3" s="95"/>
      <c r="KBU3" s="95"/>
      <c r="KCA3" s="95"/>
      <c r="KCG3" s="95"/>
      <c r="KCM3" s="95"/>
      <c r="KCS3" s="95"/>
      <c r="KCY3" s="95"/>
      <c r="KDE3" s="95"/>
      <c r="KDK3" s="95"/>
      <c r="KDQ3" s="95"/>
      <c r="KDW3" s="95"/>
      <c r="KEC3" s="95"/>
      <c r="KEI3" s="95"/>
      <c r="KEO3" s="95"/>
      <c r="KEU3" s="95"/>
      <c r="KFA3" s="95"/>
      <c r="KFG3" s="95"/>
      <c r="KFM3" s="95"/>
      <c r="KFS3" s="95"/>
      <c r="KFY3" s="95"/>
      <c r="KGE3" s="95"/>
      <c r="KGK3" s="95"/>
      <c r="KGQ3" s="95"/>
      <c r="KGW3" s="95"/>
      <c r="KHC3" s="95"/>
      <c r="KHI3" s="95"/>
      <c r="KHO3" s="95"/>
      <c r="KHU3" s="95"/>
      <c r="KIA3" s="95"/>
      <c r="KIG3" s="95"/>
      <c r="KIM3" s="95"/>
      <c r="KIS3" s="95"/>
      <c r="KIY3" s="95"/>
      <c r="KJE3" s="95"/>
      <c r="KJK3" s="95"/>
      <c r="KJQ3" s="95"/>
      <c r="KJW3" s="95"/>
      <c r="KKC3" s="95"/>
      <c r="KKI3" s="95"/>
      <c r="KKO3" s="95"/>
      <c r="KKU3" s="95"/>
      <c r="KLA3" s="95"/>
      <c r="KLG3" s="95"/>
      <c r="KLM3" s="95"/>
      <c r="KLS3" s="95"/>
      <c r="KLY3" s="95"/>
      <c r="KME3" s="95"/>
      <c r="KMK3" s="95"/>
      <c r="KMQ3" s="95"/>
      <c r="KMW3" s="95"/>
      <c r="KNC3" s="95"/>
      <c r="KNI3" s="95"/>
      <c r="KNO3" s="95"/>
      <c r="KNU3" s="95"/>
      <c r="KOA3" s="95"/>
      <c r="KOG3" s="95"/>
      <c r="KOM3" s="95"/>
      <c r="KOS3" s="95"/>
      <c r="KOY3" s="95"/>
      <c r="KPE3" s="95"/>
      <c r="KPK3" s="95"/>
      <c r="KPQ3" s="95"/>
      <c r="KPW3" s="95"/>
      <c r="KQC3" s="95"/>
      <c r="KQI3" s="95"/>
      <c r="KQO3" s="95"/>
      <c r="KQU3" s="95"/>
      <c r="KRA3" s="95"/>
      <c r="KRG3" s="95"/>
      <c r="KRM3" s="95"/>
      <c r="KRS3" s="95"/>
      <c r="KRY3" s="95"/>
      <c r="KSE3" s="95"/>
      <c r="KSK3" s="95"/>
      <c r="KSQ3" s="95"/>
      <c r="KSW3" s="95"/>
      <c r="KTC3" s="95"/>
      <c r="KTI3" s="95"/>
      <c r="KTO3" s="95"/>
      <c r="KTU3" s="95"/>
      <c r="KUA3" s="95"/>
      <c r="KUG3" s="95"/>
      <c r="KUM3" s="95"/>
      <c r="KUS3" s="95"/>
      <c r="KUY3" s="95"/>
      <c r="KVE3" s="95"/>
      <c r="KVK3" s="95"/>
      <c r="KVQ3" s="95"/>
      <c r="KVW3" s="95"/>
      <c r="KWC3" s="95"/>
      <c r="KWI3" s="95"/>
      <c r="KWO3" s="95"/>
      <c r="KWU3" s="95"/>
      <c r="KXA3" s="95"/>
      <c r="KXG3" s="95"/>
      <c r="KXM3" s="95"/>
      <c r="KXS3" s="95"/>
      <c r="KXY3" s="95"/>
      <c r="KYE3" s="95"/>
      <c r="KYK3" s="95"/>
      <c r="KYQ3" s="95"/>
      <c r="KYW3" s="95"/>
      <c r="KZC3" s="95"/>
      <c r="KZI3" s="95"/>
      <c r="KZO3" s="95"/>
      <c r="KZU3" s="95"/>
      <c r="LAA3" s="95"/>
      <c r="LAG3" s="95"/>
      <c r="LAM3" s="95"/>
      <c r="LAS3" s="95"/>
      <c r="LAY3" s="95"/>
      <c r="LBE3" s="95"/>
      <c r="LBK3" s="95"/>
      <c r="LBQ3" s="95"/>
      <c r="LBW3" s="95"/>
      <c r="LCC3" s="95"/>
      <c r="LCI3" s="95"/>
      <c r="LCO3" s="95"/>
      <c r="LCU3" s="95"/>
      <c r="LDA3" s="95"/>
      <c r="LDG3" s="95"/>
      <c r="LDM3" s="95"/>
      <c r="LDS3" s="95"/>
      <c r="LDY3" s="95"/>
      <c r="LEE3" s="95"/>
      <c r="LEK3" s="95"/>
      <c r="LEQ3" s="95"/>
      <c r="LEW3" s="95"/>
      <c r="LFC3" s="95"/>
      <c r="LFI3" s="95"/>
      <c r="LFO3" s="95"/>
      <c r="LFU3" s="95"/>
      <c r="LGA3" s="95"/>
      <c r="LGG3" s="95"/>
      <c r="LGM3" s="95"/>
      <c r="LGS3" s="95"/>
      <c r="LGY3" s="95"/>
      <c r="LHE3" s="95"/>
      <c r="LHK3" s="95"/>
      <c r="LHQ3" s="95"/>
      <c r="LHW3" s="95"/>
      <c r="LIC3" s="95"/>
      <c r="LII3" s="95"/>
      <c r="LIO3" s="95"/>
      <c r="LIU3" s="95"/>
      <c r="LJA3" s="95"/>
      <c r="LJG3" s="95"/>
      <c r="LJM3" s="95"/>
      <c r="LJS3" s="95"/>
      <c r="LJY3" s="95"/>
      <c r="LKE3" s="95"/>
      <c r="LKK3" s="95"/>
      <c r="LKQ3" s="95"/>
      <c r="LKW3" s="95"/>
      <c r="LLC3" s="95"/>
      <c r="LLI3" s="95"/>
      <c r="LLO3" s="95"/>
      <c r="LLU3" s="95"/>
      <c r="LMA3" s="95"/>
      <c r="LMG3" s="95"/>
      <c r="LMM3" s="95"/>
      <c r="LMS3" s="95"/>
      <c r="LMY3" s="95"/>
      <c r="LNE3" s="95"/>
      <c r="LNK3" s="95"/>
      <c r="LNQ3" s="95"/>
      <c r="LNW3" s="95"/>
      <c r="LOC3" s="95"/>
      <c r="LOI3" s="95"/>
      <c r="LOO3" s="95"/>
      <c r="LOU3" s="95"/>
      <c r="LPA3" s="95"/>
      <c r="LPG3" s="95"/>
      <c r="LPM3" s="95"/>
      <c r="LPS3" s="95"/>
      <c r="LPY3" s="95"/>
      <c r="LQE3" s="95"/>
      <c r="LQK3" s="95"/>
      <c r="LQQ3" s="95"/>
      <c r="LQW3" s="95"/>
      <c r="LRC3" s="95"/>
      <c r="LRI3" s="95"/>
      <c r="LRO3" s="95"/>
      <c r="LRU3" s="95"/>
      <c r="LSA3" s="95"/>
      <c r="LSG3" s="95"/>
      <c r="LSM3" s="95"/>
      <c r="LSS3" s="95"/>
      <c r="LSY3" s="95"/>
      <c r="LTE3" s="95"/>
      <c r="LTK3" s="95"/>
      <c r="LTQ3" s="95"/>
      <c r="LTW3" s="95"/>
      <c r="LUC3" s="95"/>
      <c r="LUI3" s="95"/>
      <c r="LUO3" s="95"/>
      <c r="LUU3" s="95"/>
      <c r="LVA3" s="95"/>
      <c r="LVG3" s="95"/>
      <c r="LVM3" s="95"/>
      <c r="LVS3" s="95"/>
      <c r="LVY3" s="95"/>
      <c r="LWE3" s="95"/>
      <c r="LWK3" s="95"/>
      <c r="LWQ3" s="95"/>
      <c r="LWW3" s="95"/>
      <c r="LXC3" s="95"/>
      <c r="LXI3" s="95"/>
      <c r="LXO3" s="95"/>
      <c r="LXU3" s="95"/>
      <c r="LYA3" s="95"/>
      <c r="LYG3" s="95"/>
      <c r="LYM3" s="95"/>
      <c r="LYS3" s="95"/>
      <c r="LYY3" s="95"/>
      <c r="LZE3" s="95"/>
      <c r="LZK3" s="95"/>
      <c r="LZQ3" s="95"/>
      <c r="LZW3" s="95"/>
      <c r="MAC3" s="95"/>
      <c r="MAI3" s="95"/>
      <c r="MAO3" s="95"/>
      <c r="MAU3" s="95"/>
      <c r="MBA3" s="95"/>
      <c r="MBG3" s="95"/>
      <c r="MBM3" s="95"/>
      <c r="MBS3" s="95"/>
      <c r="MBY3" s="95"/>
      <c r="MCE3" s="95"/>
      <c r="MCK3" s="95"/>
      <c r="MCQ3" s="95"/>
      <c r="MCW3" s="95"/>
      <c r="MDC3" s="95"/>
      <c r="MDI3" s="95"/>
      <c r="MDO3" s="95"/>
      <c r="MDU3" s="95"/>
      <c r="MEA3" s="95"/>
      <c r="MEG3" s="95"/>
      <c r="MEM3" s="95"/>
      <c r="MES3" s="95"/>
      <c r="MEY3" s="95"/>
      <c r="MFE3" s="95"/>
      <c r="MFK3" s="95"/>
      <c r="MFQ3" s="95"/>
      <c r="MFW3" s="95"/>
      <c r="MGC3" s="95"/>
      <c r="MGI3" s="95"/>
      <c r="MGO3" s="95"/>
      <c r="MGU3" s="95"/>
      <c r="MHA3" s="95"/>
      <c r="MHG3" s="95"/>
      <c r="MHM3" s="95"/>
      <c r="MHS3" s="95"/>
      <c r="MHY3" s="95"/>
      <c r="MIE3" s="95"/>
      <c r="MIK3" s="95"/>
      <c r="MIQ3" s="95"/>
      <c r="MIW3" s="95"/>
      <c r="MJC3" s="95"/>
      <c r="MJI3" s="95"/>
      <c r="MJO3" s="95"/>
      <c r="MJU3" s="95"/>
      <c r="MKA3" s="95"/>
      <c r="MKG3" s="95"/>
      <c r="MKM3" s="95"/>
      <c r="MKS3" s="95"/>
      <c r="MKY3" s="95"/>
      <c r="MLE3" s="95"/>
      <c r="MLK3" s="95"/>
      <c r="MLQ3" s="95"/>
      <c r="MLW3" s="95"/>
      <c r="MMC3" s="95"/>
      <c r="MMI3" s="95"/>
      <c r="MMO3" s="95"/>
      <c r="MMU3" s="95"/>
      <c r="MNA3" s="95"/>
      <c r="MNG3" s="95"/>
      <c r="MNM3" s="95"/>
      <c r="MNS3" s="95"/>
      <c r="MNY3" s="95"/>
      <c r="MOE3" s="95"/>
      <c r="MOK3" s="95"/>
      <c r="MOQ3" s="95"/>
      <c r="MOW3" s="95"/>
      <c r="MPC3" s="95"/>
      <c r="MPI3" s="95"/>
      <c r="MPO3" s="95"/>
      <c r="MPU3" s="95"/>
      <c r="MQA3" s="95"/>
      <c r="MQG3" s="95"/>
      <c r="MQM3" s="95"/>
      <c r="MQS3" s="95"/>
      <c r="MQY3" s="95"/>
      <c r="MRE3" s="95"/>
      <c r="MRK3" s="95"/>
      <c r="MRQ3" s="95"/>
      <c r="MRW3" s="95"/>
      <c r="MSC3" s="95"/>
      <c r="MSI3" s="95"/>
      <c r="MSO3" s="95"/>
      <c r="MSU3" s="95"/>
      <c r="MTA3" s="95"/>
      <c r="MTG3" s="95"/>
      <c r="MTM3" s="95"/>
      <c r="MTS3" s="95"/>
      <c r="MTY3" s="95"/>
      <c r="MUE3" s="95"/>
      <c r="MUK3" s="95"/>
      <c r="MUQ3" s="95"/>
      <c r="MUW3" s="95"/>
      <c r="MVC3" s="95"/>
      <c r="MVI3" s="95"/>
      <c r="MVO3" s="95"/>
      <c r="MVU3" s="95"/>
      <c r="MWA3" s="95"/>
      <c r="MWG3" s="95"/>
      <c r="MWM3" s="95"/>
      <c r="MWS3" s="95"/>
      <c r="MWY3" s="95"/>
      <c r="MXE3" s="95"/>
      <c r="MXK3" s="95"/>
      <c r="MXQ3" s="95"/>
      <c r="MXW3" s="95"/>
      <c r="MYC3" s="95"/>
      <c r="MYI3" s="95"/>
      <c r="MYO3" s="95"/>
      <c r="MYU3" s="95"/>
      <c r="MZA3" s="95"/>
      <c r="MZG3" s="95"/>
      <c r="MZM3" s="95"/>
      <c r="MZS3" s="95"/>
      <c r="MZY3" s="95"/>
      <c r="NAE3" s="95"/>
      <c r="NAK3" s="95"/>
      <c r="NAQ3" s="95"/>
      <c r="NAW3" s="95"/>
      <c r="NBC3" s="95"/>
      <c r="NBI3" s="95"/>
      <c r="NBO3" s="95"/>
      <c r="NBU3" s="95"/>
      <c r="NCA3" s="95"/>
      <c r="NCG3" s="95"/>
      <c r="NCM3" s="95"/>
      <c r="NCS3" s="95"/>
      <c r="NCY3" s="95"/>
      <c r="NDE3" s="95"/>
      <c r="NDK3" s="95"/>
      <c r="NDQ3" s="95"/>
      <c r="NDW3" s="95"/>
      <c r="NEC3" s="95"/>
      <c r="NEI3" s="95"/>
      <c r="NEO3" s="95"/>
      <c r="NEU3" s="95"/>
      <c r="NFA3" s="95"/>
      <c r="NFG3" s="95"/>
      <c r="NFM3" s="95"/>
      <c r="NFS3" s="95"/>
      <c r="NFY3" s="95"/>
      <c r="NGE3" s="95"/>
      <c r="NGK3" s="95"/>
      <c r="NGQ3" s="95"/>
      <c r="NGW3" s="95"/>
      <c r="NHC3" s="95"/>
      <c r="NHI3" s="95"/>
      <c r="NHO3" s="95"/>
      <c r="NHU3" s="95"/>
      <c r="NIA3" s="95"/>
      <c r="NIG3" s="95"/>
      <c r="NIM3" s="95"/>
      <c r="NIS3" s="95"/>
      <c r="NIY3" s="95"/>
      <c r="NJE3" s="95"/>
      <c r="NJK3" s="95"/>
      <c r="NJQ3" s="95"/>
      <c r="NJW3" s="95"/>
      <c r="NKC3" s="95"/>
      <c r="NKI3" s="95"/>
      <c r="NKO3" s="95"/>
      <c r="NKU3" s="95"/>
      <c r="NLA3" s="95"/>
      <c r="NLG3" s="95"/>
      <c r="NLM3" s="95"/>
      <c r="NLS3" s="95"/>
      <c r="NLY3" s="95"/>
      <c r="NME3" s="95"/>
      <c r="NMK3" s="95"/>
      <c r="NMQ3" s="95"/>
      <c r="NMW3" s="95"/>
      <c r="NNC3" s="95"/>
      <c r="NNI3" s="95"/>
      <c r="NNO3" s="95"/>
      <c r="NNU3" s="95"/>
      <c r="NOA3" s="95"/>
      <c r="NOG3" s="95"/>
      <c r="NOM3" s="95"/>
      <c r="NOS3" s="95"/>
      <c r="NOY3" s="95"/>
      <c r="NPE3" s="95"/>
      <c r="NPK3" s="95"/>
      <c r="NPQ3" s="95"/>
      <c r="NPW3" s="95"/>
      <c r="NQC3" s="95"/>
      <c r="NQI3" s="95"/>
      <c r="NQO3" s="95"/>
      <c r="NQU3" s="95"/>
      <c r="NRA3" s="95"/>
      <c r="NRG3" s="95"/>
      <c r="NRM3" s="95"/>
      <c r="NRS3" s="95"/>
      <c r="NRY3" s="95"/>
      <c r="NSE3" s="95"/>
      <c r="NSK3" s="95"/>
      <c r="NSQ3" s="95"/>
      <c r="NSW3" s="95"/>
      <c r="NTC3" s="95"/>
      <c r="NTI3" s="95"/>
      <c r="NTO3" s="95"/>
      <c r="NTU3" s="95"/>
      <c r="NUA3" s="95"/>
      <c r="NUG3" s="95"/>
      <c r="NUM3" s="95"/>
      <c r="NUS3" s="95"/>
      <c r="NUY3" s="95"/>
      <c r="NVE3" s="95"/>
      <c r="NVK3" s="95"/>
      <c r="NVQ3" s="95"/>
      <c r="NVW3" s="95"/>
      <c r="NWC3" s="95"/>
      <c r="NWI3" s="95"/>
      <c r="NWO3" s="95"/>
      <c r="NWU3" s="95"/>
      <c r="NXA3" s="95"/>
      <c r="NXG3" s="95"/>
      <c r="NXM3" s="95"/>
      <c r="NXS3" s="95"/>
      <c r="NXY3" s="95"/>
      <c r="NYE3" s="95"/>
      <c r="NYK3" s="95"/>
      <c r="NYQ3" s="95"/>
      <c r="NYW3" s="95"/>
      <c r="NZC3" s="95"/>
      <c r="NZI3" s="95"/>
      <c r="NZO3" s="95"/>
      <c r="NZU3" s="95"/>
      <c r="OAA3" s="95"/>
      <c r="OAG3" s="95"/>
      <c r="OAM3" s="95"/>
      <c r="OAS3" s="95"/>
      <c r="OAY3" s="95"/>
      <c r="OBE3" s="95"/>
      <c r="OBK3" s="95"/>
      <c r="OBQ3" s="95"/>
      <c r="OBW3" s="95"/>
      <c r="OCC3" s="95"/>
      <c r="OCI3" s="95"/>
      <c r="OCO3" s="95"/>
      <c r="OCU3" s="95"/>
      <c r="ODA3" s="95"/>
      <c r="ODG3" s="95"/>
      <c r="ODM3" s="95"/>
      <c r="ODS3" s="95"/>
      <c r="ODY3" s="95"/>
      <c r="OEE3" s="95"/>
      <c r="OEK3" s="95"/>
      <c r="OEQ3" s="95"/>
      <c r="OEW3" s="95"/>
      <c r="OFC3" s="95"/>
      <c r="OFI3" s="95"/>
      <c r="OFO3" s="95"/>
      <c r="OFU3" s="95"/>
      <c r="OGA3" s="95"/>
      <c r="OGG3" s="95"/>
      <c r="OGM3" s="95"/>
      <c r="OGS3" s="95"/>
      <c r="OGY3" s="95"/>
      <c r="OHE3" s="95"/>
      <c r="OHK3" s="95"/>
      <c r="OHQ3" s="95"/>
      <c r="OHW3" s="95"/>
      <c r="OIC3" s="95"/>
      <c r="OII3" s="95"/>
      <c r="OIO3" s="95"/>
      <c r="OIU3" s="95"/>
      <c r="OJA3" s="95"/>
      <c r="OJG3" s="95"/>
      <c r="OJM3" s="95"/>
      <c r="OJS3" s="95"/>
      <c r="OJY3" s="95"/>
      <c r="OKE3" s="95"/>
      <c r="OKK3" s="95"/>
      <c r="OKQ3" s="95"/>
      <c r="OKW3" s="95"/>
      <c r="OLC3" s="95"/>
      <c r="OLI3" s="95"/>
      <c r="OLO3" s="95"/>
      <c r="OLU3" s="95"/>
      <c r="OMA3" s="95"/>
      <c r="OMG3" s="95"/>
      <c r="OMM3" s="95"/>
      <c r="OMS3" s="95"/>
      <c r="OMY3" s="95"/>
      <c r="ONE3" s="95"/>
      <c r="ONK3" s="95"/>
      <c r="ONQ3" s="95"/>
      <c r="ONW3" s="95"/>
      <c r="OOC3" s="95"/>
      <c r="OOI3" s="95"/>
      <c r="OOO3" s="95"/>
      <c r="OOU3" s="95"/>
      <c r="OPA3" s="95"/>
      <c r="OPG3" s="95"/>
      <c r="OPM3" s="95"/>
      <c r="OPS3" s="95"/>
      <c r="OPY3" s="95"/>
      <c r="OQE3" s="95"/>
      <c r="OQK3" s="95"/>
      <c r="OQQ3" s="95"/>
      <c r="OQW3" s="95"/>
      <c r="ORC3" s="95"/>
      <c r="ORI3" s="95"/>
      <c r="ORO3" s="95"/>
      <c r="ORU3" s="95"/>
      <c r="OSA3" s="95"/>
      <c r="OSG3" s="95"/>
      <c r="OSM3" s="95"/>
      <c r="OSS3" s="95"/>
      <c r="OSY3" s="95"/>
      <c r="OTE3" s="95"/>
      <c r="OTK3" s="95"/>
      <c r="OTQ3" s="95"/>
      <c r="OTW3" s="95"/>
      <c r="OUC3" s="95"/>
      <c r="OUI3" s="95"/>
      <c r="OUO3" s="95"/>
      <c r="OUU3" s="95"/>
      <c r="OVA3" s="95"/>
      <c r="OVG3" s="95"/>
      <c r="OVM3" s="95"/>
      <c r="OVS3" s="95"/>
      <c r="OVY3" s="95"/>
      <c r="OWE3" s="95"/>
      <c r="OWK3" s="95"/>
      <c r="OWQ3" s="95"/>
      <c r="OWW3" s="95"/>
      <c r="OXC3" s="95"/>
      <c r="OXI3" s="95"/>
      <c r="OXO3" s="95"/>
      <c r="OXU3" s="95"/>
      <c r="OYA3" s="95"/>
      <c r="OYG3" s="95"/>
      <c r="OYM3" s="95"/>
      <c r="OYS3" s="95"/>
      <c r="OYY3" s="95"/>
      <c r="OZE3" s="95"/>
      <c r="OZK3" s="95"/>
      <c r="OZQ3" s="95"/>
      <c r="OZW3" s="95"/>
      <c r="PAC3" s="95"/>
      <c r="PAI3" s="95"/>
      <c r="PAO3" s="95"/>
      <c r="PAU3" s="95"/>
      <c r="PBA3" s="95"/>
      <c r="PBG3" s="95"/>
      <c r="PBM3" s="95"/>
      <c r="PBS3" s="95"/>
      <c r="PBY3" s="95"/>
      <c r="PCE3" s="95"/>
      <c r="PCK3" s="95"/>
      <c r="PCQ3" s="95"/>
      <c r="PCW3" s="95"/>
      <c r="PDC3" s="95"/>
      <c r="PDI3" s="95"/>
      <c r="PDO3" s="95"/>
      <c r="PDU3" s="95"/>
      <c r="PEA3" s="95"/>
      <c r="PEG3" s="95"/>
      <c r="PEM3" s="95"/>
      <c r="PES3" s="95"/>
      <c r="PEY3" s="95"/>
      <c r="PFE3" s="95"/>
      <c r="PFK3" s="95"/>
      <c r="PFQ3" s="95"/>
      <c r="PFW3" s="95"/>
      <c r="PGC3" s="95"/>
      <c r="PGI3" s="95"/>
      <c r="PGO3" s="95"/>
      <c r="PGU3" s="95"/>
      <c r="PHA3" s="95"/>
      <c r="PHG3" s="95"/>
      <c r="PHM3" s="95"/>
      <c r="PHS3" s="95"/>
      <c r="PHY3" s="95"/>
      <c r="PIE3" s="95"/>
      <c r="PIK3" s="95"/>
      <c r="PIQ3" s="95"/>
      <c r="PIW3" s="95"/>
      <c r="PJC3" s="95"/>
      <c r="PJI3" s="95"/>
      <c r="PJO3" s="95"/>
      <c r="PJU3" s="95"/>
      <c r="PKA3" s="95"/>
      <c r="PKG3" s="95"/>
      <c r="PKM3" s="95"/>
      <c r="PKS3" s="95"/>
      <c r="PKY3" s="95"/>
      <c r="PLE3" s="95"/>
      <c r="PLK3" s="95"/>
      <c r="PLQ3" s="95"/>
      <c r="PLW3" s="95"/>
      <c r="PMC3" s="95"/>
      <c r="PMI3" s="95"/>
      <c r="PMO3" s="95"/>
      <c r="PMU3" s="95"/>
      <c r="PNA3" s="95"/>
      <c r="PNG3" s="95"/>
      <c r="PNM3" s="95"/>
      <c r="PNS3" s="95"/>
      <c r="PNY3" s="95"/>
      <c r="POE3" s="95"/>
      <c r="POK3" s="95"/>
      <c r="POQ3" s="95"/>
      <c r="POW3" s="95"/>
      <c r="PPC3" s="95"/>
      <c r="PPI3" s="95"/>
      <c r="PPO3" s="95"/>
      <c r="PPU3" s="95"/>
      <c r="PQA3" s="95"/>
      <c r="PQG3" s="95"/>
      <c r="PQM3" s="95"/>
      <c r="PQS3" s="95"/>
      <c r="PQY3" s="95"/>
      <c r="PRE3" s="95"/>
      <c r="PRK3" s="95"/>
      <c r="PRQ3" s="95"/>
      <c r="PRW3" s="95"/>
      <c r="PSC3" s="95"/>
      <c r="PSI3" s="95"/>
      <c r="PSO3" s="95"/>
      <c r="PSU3" s="95"/>
      <c r="PTA3" s="95"/>
      <c r="PTG3" s="95"/>
      <c r="PTM3" s="95"/>
      <c r="PTS3" s="95"/>
      <c r="PTY3" s="95"/>
      <c r="PUE3" s="95"/>
      <c r="PUK3" s="95"/>
      <c r="PUQ3" s="95"/>
      <c r="PUW3" s="95"/>
      <c r="PVC3" s="95"/>
      <c r="PVI3" s="95"/>
      <c r="PVO3" s="95"/>
      <c r="PVU3" s="95"/>
      <c r="PWA3" s="95"/>
      <c r="PWG3" s="95"/>
      <c r="PWM3" s="95"/>
      <c r="PWS3" s="95"/>
      <c r="PWY3" s="95"/>
      <c r="PXE3" s="95"/>
      <c r="PXK3" s="95"/>
      <c r="PXQ3" s="95"/>
      <c r="PXW3" s="95"/>
      <c r="PYC3" s="95"/>
      <c r="PYI3" s="95"/>
      <c r="PYO3" s="95"/>
      <c r="PYU3" s="95"/>
      <c r="PZA3" s="95"/>
      <c r="PZG3" s="95"/>
      <c r="PZM3" s="95"/>
      <c r="PZS3" s="95"/>
      <c r="PZY3" s="95"/>
      <c r="QAE3" s="95"/>
      <c r="QAK3" s="95"/>
      <c r="QAQ3" s="95"/>
      <c r="QAW3" s="95"/>
      <c r="QBC3" s="95"/>
      <c r="QBI3" s="95"/>
      <c r="QBO3" s="95"/>
      <c r="QBU3" s="95"/>
      <c r="QCA3" s="95"/>
      <c r="QCG3" s="95"/>
      <c r="QCM3" s="95"/>
      <c r="QCS3" s="95"/>
      <c r="QCY3" s="95"/>
      <c r="QDE3" s="95"/>
      <c r="QDK3" s="95"/>
      <c r="QDQ3" s="95"/>
      <c r="QDW3" s="95"/>
      <c r="QEC3" s="95"/>
      <c r="QEI3" s="95"/>
      <c r="QEO3" s="95"/>
      <c r="QEU3" s="95"/>
      <c r="QFA3" s="95"/>
      <c r="QFG3" s="95"/>
      <c r="QFM3" s="95"/>
      <c r="QFS3" s="95"/>
      <c r="QFY3" s="95"/>
      <c r="QGE3" s="95"/>
      <c r="QGK3" s="95"/>
      <c r="QGQ3" s="95"/>
      <c r="QGW3" s="95"/>
      <c r="QHC3" s="95"/>
      <c r="QHI3" s="95"/>
      <c r="QHO3" s="95"/>
      <c r="QHU3" s="95"/>
      <c r="QIA3" s="95"/>
      <c r="QIG3" s="95"/>
      <c r="QIM3" s="95"/>
      <c r="QIS3" s="95"/>
      <c r="QIY3" s="95"/>
      <c r="QJE3" s="95"/>
      <c r="QJK3" s="95"/>
      <c r="QJQ3" s="95"/>
      <c r="QJW3" s="95"/>
      <c r="QKC3" s="95"/>
      <c r="QKI3" s="95"/>
      <c r="QKO3" s="95"/>
      <c r="QKU3" s="95"/>
      <c r="QLA3" s="95"/>
      <c r="QLG3" s="95"/>
      <c r="QLM3" s="95"/>
      <c r="QLS3" s="95"/>
      <c r="QLY3" s="95"/>
      <c r="QME3" s="95"/>
      <c r="QMK3" s="95"/>
      <c r="QMQ3" s="95"/>
      <c r="QMW3" s="95"/>
      <c r="QNC3" s="95"/>
      <c r="QNI3" s="95"/>
      <c r="QNO3" s="95"/>
      <c r="QNU3" s="95"/>
      <c r="QOA3" s="95"/>
      <c r="QOG3" s="95"/>
      <c r="QOM3" s="95"/>
      <c r="QOS3" s="95"/>
      <c r="QOY3" s="95"/>
      <c r="QPE3" s="95"/>
      <c r="QPK3" s="95"/>
      <c r="QPQ3" s="95"/>
      <c r="QPW3" s="95"/>
      <c r="QQC3" s="95"/>
      <c r="QQI3" s="95"/>
      <c r="QQO3" s="95"/>
      <c r="QQU3" s="95"/>
      <c r="QRA3" s="95"/>
      <c r="QRG3" s="95"/>
      <c r="QRM3" s="95"/>
      <c r="QRS3" s="95"/>
      <c r="QRY3" s="95"/>
      <c r="QSE3" s="95"/>
      <c r="QSK3" s="95"/>
      <c r="QSQ3" s="95"/>
      <c r="QSW3" s="95"/>
      <c r="QTC3" s="95"/>
      <c r="QTI3" s="95"/>
      <c r="QTO3" s="95"/>
      <c r="QTU3" s="95"/>
      <c r="QUA3" s="95"/>
      <c r="QUG3" s="95"/>
      <c r="QUM3" s="95"/>
      <c r="QUS3" s="95"/>
      <c r="QUY3" s="95"/>
      <c r="QVE3" s="95"/>
      <c r="QVK3" s="95"/>
      <c r="QVQ3" s="95"/>
      <c r="QVW3" s="95"/>
      <c r="QWC3" s="95"/>
      <c r="QWI3" s="95"/>
      <c r="QWO3" s="95"/>
      <c r="QWU3" s="95"/>
      <c r="QXA3" s="95"/>
      <c r="QXG3" s="95"/>
      <c r="QXM3" s="95"/>
      <c r="QXS3" s="95"/>
      <c r="QXY3" s="95"/>
      <c r="QYE3" s="95"/>
      <c r="QYK3" s="95"/>
      <c r="QYQ3" s="95"/>
      <c r="QYW3" s="95"/>
      <c r="QZC3" s="95"/>
      <c r="QZI3" s="95"/>
      <c r="QZO3" s="95"/>
      <c r="QZU3" s="95"/>
      <c r="RAA3" s="95"/>
      <c r="RAG3" s="95"/>
      <c r="RAM3" s="95"/>
      <c r="RAS3" s="95"/>
      <c r="RAY3" s="95"/>
      <c r="RBE3" s="95"/>
      <c r="RBK3" s="95"/>
      <c r="RBQ3" s="95"/>
      <c r="RBW3" s="95"/>
      <c r="RCC3" s="95"/>
      <c r="RCI3" s="95"/>
      <c r="RCO3" s="95"/>
      <c r="RCU3" s="95"/>
      <c r="RDA3" s="95"/>
      <c r="RDG3" s="95"/>
      <c r="RDM3" s="95"/>
      <c r="RDS3" s="95"/>
      <c r="RDY3" s="95"/>
      <c r="REE3" s="95"/>
      <c r="REK3" s="95"/>
      <c r="REQ3" s="95"/>
      <c r="REW3" s="95"/>
      <c r="RFC3" s="95"/>
      <c r="RFI3" s="95"/>
      <c r="RFO3" s="95"/>
      <c r="RFU3" s="95"/>
      <c r="RGA3" s="95"/>
      <c r="RGG3" s="95"/>
      <c r="RGM3" s="95"/>
      <c r="RGS3" s="95"/>
      <c r="RGY3" s="95"/>
      <c r="RHE3" s="95"/>
      <c r="RHK3" s="95"/>
      <c r="RHQ3" s="95"/>
      <c r="RHW3" s="95"/>
      <c r="RIC3" s="95"/>
      <c r="RII3" s="95"/>
      <c r="RIO3" s="95"/>
      <c r="RIU3" s="95"/>
      <c r="RJA3" s="95"/>
      <c r="RJG3" s="95"/>
      <c r="RJM3" s="95"/>
      <c r="RJS3" s="95"/>
      <c r="RJY3" s="95"/>
      <c r="RKE3" s="95"/>
      <c r="RKK3" s="95"/>
      <c r="RKQ3" s="95"/>
      <c r="RKW3" s="95"/>
      <c r="RLC3" s="95"/>
      <c r="RLI3" s="95"/>
      <c r="RLO3" s="95"/>
      <c r="RLU3" s="95"/>
      <c r="RMA3" s="95"/>
      <c r="RMG3" s="95"/>
      <c r="RMM3" s="95"/>
      <c r="RMS3" s="95"/>
      <c r="RMY3" s="95"/>
      <c r="RNE3" s="95"/>
      <c r="RNK3" s="95"/>
      <c r="RNQ3" s="95"/>
      <c r="RNW3" s="95"/>
      <c r="ROC3" s="95"/>
      <c r="ROI3" s="95"/>
      <c r="ROO3" s="95"/>
      <c r="ROU3" s="95"/>
      <c r="RPA3" s="95"/>
      <c r="RPG3" s="95"/>
      <c r="RPM3" s="95"/>
      <c r="RPS3" s="95"/>
      <c r="RPY3" s="95"/>
      <c r="RQE3" s="95"/>
      <c r="RQK3" s="95"/>
      <c r="RQQ3" s="95"/>
      <c r="RQW3" s="95"/>
      <c r="RRC3" s="95"/>
      <c r="RRI3" s="95"/>
      <c r="RRO3" s="95"/>
      <c r="RRU3" s="95"/>
      <c r="RSA3" s="95"/>
      <c r="RSG3" s="95"/>
      <c r="RSM3" s="95"/>
      <c r="RSS3" s="95"/>
      <c r="RSY3" s="95"/>
      <c r="RTE3" s="95"/>
      <c r="RTK3" s="95"/>
      <c r="RTQ3" s="95"/>
      <c r="RTW3" s="95"/>
      <c r="RUC3" s="95"/>
      <c r="RUI3" s="95"/>
      <c r="RUO3" s="95"/>
      <c r="RUU3" s="95"/>
      <c r="RVA3" s="95"/>
      <c r="RVG3" s="95"/>
      <c r="RVM3" s="95"/>
      <c r="RVS3" s="95"/>
      <c r="RVY3" s="95"/>
      <c r="RWE3" s="95"/>
      <c r="RWK3" s="95"/>
      <c r="RWQ3" s="95"/>
      <c r="RWW3" s="95"/>
      <c r="RXC3" s="95"/>
      <c r="RXI3" s="95"/>
      <c r="RXO3" s="95"/>
      <c r="RXU3" s="95"/>
      <c r="RYA3" s="95"/>
      <c r="RYG3" s="95"/>
      <c r="RYM3" s="95"/>
      <c r="RYS3" s="95"/>
      <c r="RYY3" s="95"/>
      <c r="RZE3" s="95"/>
      <c r="RZK3" s="95"/>
      <c r="RZQ3" s="95"/>
      <c r="RZW3" s="95"/>
      <c r="SAC3" s="95"/>
      <c r="SAI3" s="95"/>
      <c r="SAO3" s="95"/>
      <c r="SAU3" s="95"/>
      <c r="SBA3" s="95"/>
      <c r="SBG3" s="95"/>
      <c r="SBM3" s="95"/>
      <c r="SBS3" s="95"/>
      <c r="SBY3" s="95"/>
      <c r="SCE3" s="95"/>
      <c r="SCK3" s="95"/>
      <c r="SCQ3" s="95"/>
      <c r="SCW3" s="95"/>
      <c r="SDC3" s="95"/>
      <c r="SDI3" s="95"/>
      <c r="SDO3" s="95"/>
      <c r="SDU3" s="95"/>
      <c r="SEA3" s="95"/>
      <c r="SEG3" s="95"/>
      <c r="SEM3" s="95"/>
      <c r="SES3" s="95"/>
      <c r="SEY3" s="95"/>
      <c r="SFE3" s="95"/>
      <c r="SFK3" s="95"/>
      <c r="SFQ3" s="95"/>
      <c r="SFW3" s="95"/>
      <c r="SGC3" s="95"/>
      <c r="SGI3" s="95"/>
      <c r="SGO3" s="95"/>
      <c r="SGU3" s="95"/>
      <c r="SHA3" s="95"/>
      <c r="SHG3" s="95"/>
      <c r="SHM3" s="95"/>
      <c r="SHS3" s="95"/>
      <c r="SHY3" s="95"/>
      <c r="SIE3" s="95"/>
      <c r="SIK3" s="95"/>
      <c r="SIQ3" s="95"/>
      <c r="SIW3" s="95"/>
      <c r="SJC3" s="95"/>
      <c r="SJI3" s="95"/>
      <c r="SJO3" s="95"/>
      <c r="SJU3" s="95"/>
      <c r="SKA3" s="95"/>
      <c r="SKG3" s="95"/>
      <c r="SKM3" s="95"/>
      <c r="SKS3" s="95"/>
      <c r="SKY3" s="95"/>
      <c r="SLE3" s="95"/>
      <c r="SLK3" s="95"/>
      <c r="SLQ3" s="95"/>
      <c r="SLW3" s="95"/>
      <c r="SMC3" s="95"/>
      <c r="SMI3" s="95"/>
      <c r="SMO3" s="95"/>
      <c r="SMU3" s="95"/>
      <c r="SNA3" s="95"/>
      <c r="SNG3" s="95"/>
      <c r="SNM3" s="95"/>
      <c r="SNS3" s="95"/>
      <c r="SNY3" s="95"/>
      <c r="SOE3" s="95"/>
      <c r="SOK3" s="95"/>
      <c r="SOQ3" s="95"/>
      <c r="SOW3" s="95"/>
      <c r="SPC3" s="95"/>
      <c r="SPI3" s="95"/>
      <c r="SPO3" s="95"/>
      <c r="SPU3" s="95"/>
      <c r="SQA3" s="95"/>
      <c r="SQG3" s="95"/>
      <c r="SQM3" s="95"/>
      <c r="SQS3" s="95"/>
      <c r="SQY3" s="95"/>
      <c r="SRE3" s="95"/>
      <c r="SRK3" s="95"/>
      <c r="SRQ3" s="95"/>
      <c r="SRW3" s="95"/>
      <c r="SSC3" s="95"/>
      <c r="SSI3" s="95"/>
      <c r="SSO3" s="95"/>
      <c r="SSU3" s="95"/>
      <c r="STA3" s="95"/>
      <c r="STG3" s="95"/>
      <c r="STM3" s="95"/>
      <c r="STS3" s="95"/>
      <c r="STY3" s="95"/>
      <c r="SUE3" s="95"/>
      <c r="SUK3" s="95"/>
      <c r="SUQ3" s="95"/>
      <c r="SUW3" s="95"/>
      <c r="SVC3" s="95"/>
      <c r="SVI3" s="95"/>
      <c r="SVO3" s="95"/>
      <c r="SVU3" s="95"/>
      <c r="SWA3" s="95"/>
      <c r="SWG3" s="95"/>
      <c r="SWM3" s="95"/>
      <c r="SWS3" s="95"/>
      <c r="SWY3" s="95"/>
      <c r="SXE3" s="95"/>
      <c r="SXK3" s="95"/>
      <c r="SXQ3" s="95"/>
      <c r="SXW3" s="95"/>
      <c r="SYC3" s="95"/>
      <c r="SYI3" s="95"/>
      <c r="SYO3" s="95"/>
      <c r="SYU3" s="95"/>
      <c r="SZA3" s="95"/>
      <c r="SZG3" s="95"/>
      <c r="SZM3" s="95"/>
      <c r="SZS3" s="95"/>
      <c r="SZY3" s="95"/>
      <c r="TAE3" s="95"/>
      <c r="TAK3" s="95"/>
      <c r="TAQ3" s="95"/>
      <c r="TAW3" s="95"/>
      <c r="TBC3" s="95"/>
      <c r="TBI3" s="95"/>
      <c r="TBO3" s="95"/>
      <c r="TBU3" s="95"/>
      <c r="TCA3" s="95"/>
      <c r="TCG3" s="95"/>
      <c r="TCM3" s="95"/>
      <c r="TCS3" s="95"/>
      <c r="TCY3" s="95"/>
      <c r="TDE3" s="95"/>
      <c r="TDK3" s="95"/>
      <c r="TDQ3" s="95"/>
      <c r="TDW3" s="95"/>
      <c r="TEC3" s="95"/>
      <c r="TEI3" s="95"/>
      <c r="TEO3" s="95"/>
      <c r="TEU3" s="95"/>
      <c r="TFA3" s="95"/>
      <c r="TFG3" s="95"/>
      <c r="TFM3" s="95"/>
      <c r="TFS3" s="95"/>
      <c r="TFY3" s="95"/>
      <c r="TGE3" s="95"/>
      <c r="TGK3" s="95"/>
      <c r="TGQ3" s="95"/>
      <c r="TGW3" s="95"/>
      <c r="THC3" s="95"/>
      <c r="THI3" s="95"/>
      <c r="THO3" s="95"/>
      <c r="THU3" s="95"/>
      <c r="TIA3" s="95"/>
      <c r="TIG3" s="95"/>
      <c r="TIM3" s="95"/>
      <c r="TIS3" s="95"/>
      <c r="TIY3" s="95"/>
      <c r="TJE3" s="95"/>
      <c r="TJK3" s="95"/>
      <c r="TJQ3" s="95"/>
      <c r="TJW3" s="95"/>
      <c r="TKC3" s="95"/>
      <c r="TKI3" s="95"/>
      <c r="TKO3" s="95"/>
      <c r="TKU3" s="95"/>
      <c r="TLA3" s="95"/>
      <c r="TLG3" s="95"/>
      <c r="TLM3" s="95"/>
      <c r="TLS3" s="95"/>
      <c r="TLY3" s="95"/>
      <c r="TME3" s="95"/>
      <c r="TMK3" s="95"/>
      <c r="TMQ3" s="95"/>
      <c r="TMW3" s="95"/>
      <c r="TNC3" s="95"/>
      <c r="TNI3" s="95"/>
      <c r="TNO3" s="95"/>
      <c r="TNU3" s="95"/>
      <c r="TOA3" s="95"/>
      <c r="TOG3" s="95"/>
      <c r="TOM3" s="95"/>
      <c r="TOS3" s="95"/>
      <c r="TOY3" s="95"/>
      <c r="TPE3" s="95"/>
      <c r="TPK3" s="95"/>
      <c r="TPQ3" s="95"/>
      <c r="TPW3" s="95"/>
      <c r="TQC3" s="95"/>
      <c r="TQI3" s="95"/>
      <c r="TQO3" s="95"/>
      <c r="TQU3" s="95"/>
      <c r="TRA3" s="95"/>
      <c r="TRG3" s="95"/>
      <c r="TRM3" s="95"/>
      <c r="TRS3" s="95"/>
      <c r="TRY3" s="95"/>
      <c r="TSE3" s="95"/>
      <c r="TSK3" s="95"/>
      <c r="TSQ3" s="95"/>
      <c r="TSW3" s="95"/>
      <c r="TTC3" s="95"/>
      <c r="TTI3" s="95"/>
      <c r="TTO3" s="95"/>
      <c r="TTU3" s="95"/>
      <c r="TUA3" s="95"/>
      <c r="TUG3" s="95"/>
      <c r="TUM3" s="95"/>
      <c r="TUS3" s="95"/>
      <c r="TUY3" s="95"/>
      <c r="TVE3" s="95"/>
      <c r="TVK3" s="95"/>
      <c r="TVQ3" s="95"/>
      <c r="TVW3" s="95"/>
      <c r="TWC3" s="95"/>
      <c r="TWI3" s="95"/>
      <c r="TWO3" s="95"/>
      <c r="TWU3" s="95"/>
      <c r="TXA3" s="95"/>
      <c r="TXG3" s="95"/>
      <c r="TXM3" s="95"/>
      <c r="TXS3" s="95"/>
      <c r="TXY3" s="95"/>
      <c r="TYE3" s="95"/>
      <c r="TYK3" s="95"/>
      <c r="TYQ3" s="95"/>
      <c r="TYW3" s="95"/>
      <c r="TZC3" s="95"/>
      <c r="TZI3" s="95"/>
      <c r="TZO3" s="95"/>
      <c r="TZU3" s="95"/>
      <c r="UAA3" s="95"/>
      <c r="UAG3" s="95"/>
      <c r="UAM3" s="95"/>
      <c r="UAS3" s="95"/>
      <c r="UAY3" s="95"/>
      <c r="UBE3" s="95"/>
      <c r="UBK3" s="95"/>
      <c r="UBQ3" s="95"/>
      <c r="UBW3" s="95"/>
      <c r="UCC3" s="95"/>
      <c r="UCI3" s="95"/>
      <c r="UCO3" s="95"/>
      <c r="UCU3" s="95"/>
      <c r="UDA3" s="95"/>
      <c r="UDG3" s="95"/>
      <c r="UDM3" s="95"/>
      <c r="UDS3" s="95"/>
      <c r="UDY3" s="95"/>
      <c r="UEE3" s="95"/>
      <c r="UEK3" s="95"/>
      <c r="UEQ3" s="95"/>
      <c r="UEW3" s="95"/>
      <c r="UFC3" s="95"/>
      <c r="UFI3" s="95"/>
      <c r="UFO3" s="95"/>
      <c r="UFU3" s="95"/>
      <c r="UGA3" s="95"/>
      <c r="UGG3" s="95"/>
      <c r="UGM3" s="95"/>
      <c r="UGS3" s="95"/>
      <c r="UGY3" s="95"/>
      <c r="UHE3" s="95"/>
      <c r="UHK3" s="95"/>
      <c r="UHQ3" s="95"/>
      <c r="UHW3" s="95"/>
      <c r="UIC3" s="95"/>
      <c r="UII3" s="95"/>
      <c r="UIO3" s="95"/>
      <c r="UIU3" s="95"/>
      <c r="UJA3" s="95"/>
      <c r="UJG3" s="95"/>
      <c r="UJM3" s="95"/>
      <c r="UJS3" s="95"/>
      <c r="UJY3" s="95"/>
      <c r="UKE3" s="95"/>
      <c r="UKK3" s="95"/>
      <c r="UKQ3" s="95"/>
      <c r="UKW3" s="95"/>
      <c r="ULC3" s="95"/>
      <c r="ULI3" s="95"/>
      <c r="ULO3" s="95"/>
      <c r="ULU3" s="95"/>
      <c r="UMA3" s="95"/>
      <c r="UMG3" s="95"/>
      <c r="UMM3" s="95"/>
      <c r="UMS3" s="95"/>
      <c r="UMY3" s="95"/>
      <c r="UNE3" s="95"/>
      <c r="UNK3" s="95"/>
      <c r="UNQ3" s="95"/>
      <c r="UNW3" s="95"/>
      <c r="UOC3" s="95"/>
      <c r="UOI3" s="95"/>
      <c r="UOO3" s="95"/>
      <c r="UOU3" s="95"/>
      <c r="UPA3" s="95"/>
      <c r="UPG3" s="95"/>
      <c r="UPM3" s="95"/>
      <c r="UPS3" s="95"/>
      <c r="UPY3" s="95"/>
      <c r="UQE3" s="95"/>
      <c r="UQK3" s="95"/>
      <c r="UQQ3" s="95"/>
      <c r="UQW3" s="95"/>
      <c r="URC3" s="95"/>
      <c r="URI3" s="95"/>
      <c r="URO3" s="95"/>
      <c r="URU3" s="95"/>
      <c r="USA3" s="95"/>
      <c r="USG3" s="95"/>
      <c r="USM3" s="95"/>
      <c r="USS3" s="95"/>
      <c r="USY3" s="95"/>
      <c r="UTE3" s="95"/>
      <c r="UTK3" s="95"/>
      <c r="UTQ3" s="95"/>
      <c r="UTW3" s="95"/>
      <c r="UUC3" s="95"/>
      <c r="UUI3" s="95"/>
      <c r="UUO3" s="95"/>
      <c r="UUU3" s="95"/>
      <c r="UVA3" s="95"/>
      <c r="UVG3" s="95"/>
      <c r="UVM3" s="95"/>
      <c r="UVS3" s="95"/>
      <c r="UVY3" s="95"/>
      <c r="UWE3" s="95"/>
      <c r="UWK3" s="95"/>
      <c r="UWQ3" s="95"/>
      <c r="UWW3" s="95"/>
      <c r="UXC3" s="95"/>
      <c r="UXI3" s="95"/>
      <c r="UXO3" s="95"/>
      <c r="UXU3" s="95"/>
      <c r="UYA3" s="95"/>
      <c r="UYG3" s="95"/>
      <c r="UYM3" s="95"/>
      <c r="UYS3" s="95"/>
      <c r="UYY3" s="95"/>
      <c r="UZE3" s="95"/>
      <c r="UZK3" s="95"/>
      <c r="UZQ3" s="95"/>
      <c r="UZW3" s="95"/>
      <c r="VAC3" s="95"/>
      <c r="VAI3" s="95"/>
      <c r="VAO3" s="95"/>
      <c r="VAU3" s="95"/>
      <c r="VBA3" s="95"/>
      <c r="VBG3" s="95"/>
      <c r="VBM3" s="95"/>
      <c r="VBS3" s="95"/>
      <c r="VBY3" s="95"/>
      <c r="VCE3" s="95"/>
      <c r="VCK3" s="95"/>
      <c r="VCQ3" s="95"/>
      <c r="VCW3" s="95"/>
      <c r="VDC3" s="95"/>
      <c r="VDI3" s="95"/>
      <c r="VDO3" s="95"/>
      <c r="VDU3" s="95"/>
      <c r="VEA3" s="95"/>
      <c r="VEG3" s="95"/>
      <c r="VEM3" s="95"/>
      <c r="VES3" s="95"/>
      <c r="VEY3" s="95"/>
      <c r="VFE3" s="95"/>
      <c r="VFK3" s="95"/>
      <c r="VFQ3" s="95"/>
      <c r="VFW3" s="95"/>
      <c r="VGC3" s="95"/>
      <c r="VGI3" s="95"/>
      <c r="VGO3" s="95"/>
      <c r="VGU3" s="95"/>
      <c r="VHA3" s="95"/>
      <c r="VHG3" s="95"/>
      <c r="VHM3" s="95"/>
      <c r="VHS3" s="95"/>
      <c r="VHY3" s="95"/>
      <c r="VIE3" s="95"/>
      <c r="VIK3" s="95"/>
      <c r="VIQ3" s="95"/>
      <c r="VIW3" s="95"/>
      <c r="VJC3" s="95"/>
      <c r="VJI3" s="95"/>
      <c r="VJO3" s="95"/>
      <c r="VJU3" s="95"/>
      <c r="VKA3" s="95"/>
      <c r="VKG3" s="95"/>
      <c r="VKM3" s="95"/>
      <c r="VKS3" s="95"/>
      <c r="VKY3" s="95"/>
      <c r="VLE3" s="95"/>
      <c r="VLK3" s="95"/>
      <c r="VLQ3" s="95"/>
      <c r="VLW3" s="95"/>
      <c r="VMC3" s="95"/>
      <c r="VMI3" s="95"/>
      <c r="VMO3" s="95"/>
      <c r="VMU3" s="95"/>
      <c r="VNA3" s="95"/>
      <c r="VNG3" s="95"/>
      <c r="VNM3" s="95"/>
      <c r="VNS3" s="95"/>
      <c r="VNY3" s="95"/>
      <c r="VOE3" s="95"/>
      <c r="VOK3" s="95"/>
      <c r="VOQ3" s="95"/>
      <c r="VOW3" s="95"/>
      <c r="VPC3" s="95"/>
      <c r="VPI3" s="95"/>
      <c r="VPO3" s="95"/>
      <c r="VPU3" s="95"/>
      <c r="VQA3" s="95"/>
      <c r="VQG3" s="95"/>
      <c r="VQM3" s="95"/>
      <c r="VQS3" s="95"/>
      <c r="VQY3" s="95"/>
      <c r="VRE3" s="95"/>
      <c r="VRK3" s="95"/>
      <c r="VRQ3" s="95"/>
      <c r="VRW3" s="95"/>
      <c r="VSC3" s="95"/>
      <c r="VSI3" s="95"/>
      <c r="VSO3" s="95"/>
      <c r="VSU3" s="95"/>
      <c r="VTA3" s="95"/>
      <c r="VTG3" s="95"/>
      <c r="VTM3" s="95"/>
      <c r="VTS3" s="95"/>
      <c r="VTY3" s="95"/>
      <c r="VUE3" s="95"/>
      <c r="VUK3" s="95"/>
      <c r="VUQ3" s="95"/>
      <c r="VUW3" s="95"/>
      <c r="VVC3" s="95"/>
      <c r="VVI3" s="95"/>
      <c r="VVO3" s="95"/>
      <c r="VVU3" s="95"/>
      <c r="VWA3" s="95"/>
      <c r="VWG3" s="95"/>
      <c r="VWM3" s="95"/>
      <c r="VWS3" s="95"/>
      <c r="VWY3" s="95"/>
      <c r="VXE3" s="95"/>
      <c r="VXK3" s="95"/>
      <c r="VXQ3" s="95"/>
      <c r="VXW3" s="95"/>
      <c r="VYC3" s="95"/>
      <c r="VYI3" s="95"/>
      <c r="VYO3" s="95"/>
      <c r="VYU3" s="95"/>
      <c r="VZA3" s="95"/>
      <c r="VZG3" s="95"/>
      <c r="VZM3" s="95"/>
      <c r="VZS3" s="95"/>
      <c r="VZY3" s="95"/>
      <c r="WAE3" s="95"/>
      <c r="WAK3" s="95"/>
      <c r="WAQ3" s="95"/>
      <c r="WAW3" s="95"/>
      <c r="WBC3" s="95"/>
      <c r="WBI3" s="95"/>
      <c r="WBO3" s="95"/>
      <c r="WBU3" s="95"/>
      <c r="WCA3" s="95"/>
      <c r="WCG3" s="95"/>
      <c r="WCM3" s="95"/>
      <c r="WCS3" s="95"/>
      <c r="WCY3" s="95"/>
      <c r="WDE3" s="95"/>
      <c r="WDK3" s="95"/>
      <c r="WDQ3" s="95"/>
      <c r="WDW3" s="95"/>
      <c r="WEC3" s="95"/>
      <c r="WEI3" s="95"/>
      <c r="WEO3" s="95"/>
      <c r="WEU3" s="95"/>
      <c r="WFA3" s="95"/>
      <c r="WFG3" s="95"/>
      <c r="WFM3" s="95"/>
      <c r="WFS3" s="95"/>
      <c r="WFY3" s="95"/>
      <c r="WGE3" s="95"/>
      <c r="WGK3" s="95"/>
      <c r="WGQ3" s="95"/>
      <c r="WGW3" s="95"/>
      <c r="WHC3" s="95"/>
      <c r="WHI3" s="95"/>
      <c r="WHO3" s="95"/>
      <c r="WHU3" s="95"/>
      <c r="WIA3" s="95"/>
      <c r="WIG3" s="95"/>
      <c r="WIM3" s="95"/>
      <c r="WIS3" s="95"/>
      <c r="WIY3" s="95"/>
      <c r="WJE3" s="95"/>
      <c r="WJK3" s="95"/>
      <c r="WJQ3" s="95"/>
      <c r="WJW3" s="95"/>
      <c r="WKC3" s="95"/>
      <c r="WKI3" s="95"/>
      <c r="WKO3" s="95"/>
      <c r="WKU3" s="95"/>
      <c r="WLA3" s="95"/>
      <c r="WLG3" s="95"/>
      <c r="WLM3" s="95"/>
      <c r="WLS3" s="95"/>
      <c r="WLY3" s="95"/>
      <c r="WME3" s="95"/>
      <c r="WMK3" s="95"/>
      <c r="WMQ3" s="95"/>
      <c r="WMW3" s="95"/>
      <c r="WNC3" s="95"/>
      <c r="WNI3" s="95"/>
      <c r="WNO3" s="95"/>
      <c r="WNU3" s="95"/>
      <c r="WOA3" s="95"/>
      <c r="WOG3" s="95"/>
      <c r="WOM3" s="95"/>
      <c r="WOS3" s="95"/>
      <c r="WOY3" s="95"/>
      <c r="WPE3" s="95"/>
      <c r="WPK3" s="95"/>
      <c r="WPQ3" s="95"/>
      <c r="WPW3" s="95"/>
      <c r="WQC3" s="95"/>
      <c r="WQI3" s="95"/>
      <c r="WQO3" s="95"/>
      <c r="WQU3" s="95"/>
      <c r="WRA3" s="95"/>
      <c r="WRG3" s="95"/>
      <c r="WRM3" s="95"/>
      <c r="WRS3" s="95"/>
      <c r="WRY3" s="95"/>
      <c r="WSE3" s="95"/>
      <c r="WSK3" s="95"/>
      <c r="WSQ3" s="95"/>
      <c r="WSW3" s="95"/>
      <c r="WTC3" s="95"/>
      <c r="WTI3" s="95"/>
      <c r="WTO3" s="95"/>
      <c r="WTU3" s="95"/>
      <c r="WUA3" s="95"/>
      <c r="WUG3" s="95"/>
      <c r="WUM3" s="95"/>
      <c r="WUS3" s="95"/>
      <c r="WUY3" s="95"/>
      <c r="WVE3" s="95"/>
      <c r="WVK3" s="95"/>
      <c r="WVQ3" s="95"/>
      <c r="WVW3" s="95"/>
      <c r="WWC3" s="95"/>
      <c r="WWI3" s="95"/>
      <c r="WWO3" s="95"/>
      <c r="WWU3" s="95"/>
      <c r="WXA3" s="95"/>
      <c r="WXG3" s="95"/>
      <c r="WXM3" s="95"/>
      <c r="WXS3" s="95"/>
      <c r="WXY3" s="95"/>
      <c r="WYE3" s="95"/>
      <c r="WYK3" s="95"/>
      <c r="WYQ3" s="95"/>
      <c r="WYW3" s="95"/>
      <c r="WZC3" s="95"/>
      <c r="WZI3" s="95"/>
      <c r="WZO3" s="95"/>
      <c r="WZU3" s="95"/>
      <c r="XAA3" s="95"/>
      <c r="XAG3" s="95"/>
      <c r="XAM3" s="95"/>
      <c r="XAS3" s="95"/>
      <c r="XAY3" s="95"/>
      <c r="XBE3" s="95"/>
      <c r="XBK3" s="95"/>
      <c r="XBQ3" s="95"/>
      <c r="XBW3" s="95"/>
      <c r="XCC3" s="95"/>
      <c r="XCI3" s="95"/>
      <c r="XCO3" s="95"/>
      <c r="XCU3" s="95"/>
      <c r="XDA3" s="95"/>
      <c r="XDG3" s="95"/>
      <c r="XDM3" s="95"/>
      <c r="XDS3" s="95"/>
      <c r="XDY3" s="95"/>
      <c r="XEE3" s="95"/>
      <c r="XEK3" s="95"/>
      <c r="XEQ3" s="95"/>
      <c r="XEW3" s="95"/>
      <c r="XFC3" s="95"/>
    </row>
    <row r="4" spans="1:1023 1029:2043 2049:3069 3075:4095 4101:5115 5121:6141 6147:7167 7173:8187 8193:9213 9219:10239 10245:11259 11265:12285 12291:13311 13317:14331 14337:15357 15363:16383" s="34" customFormat="1" x14ac:dyDescent="0.2">
      <c r="A4" s="21" t="s">
        <v>5</v>
      </c>
      <c r="B4" s="21"/>
      <c r="C4" s="21"/>
      <c r="D4" s="21"/>
      <c r="E4" s="752"/>
      <c r="F4" s="21"/>
      <c r="G4" s="23"/>
      <c r="H4" s="1741"/>
      <c r="I4" s="1741"/>
      <c r="J4" s="1741"/>
      <c r="K4" s="1741"/>
      <c r="L4" s="1741"/>
      <c r="M4" s="1741"/>
      <c r="N4" s="755" t="s">
        <v>663</v>
      </c>
      <c r="O4" s="95"/>
      <c r="P4" s="755"/>
      <c r="Q4" s="755"/>
      <c r="R4" s="755"/>
      <c r="S4" s="755"/>
      <c r="T4" s="755"/>
      <c r="U4" s="95"/>
      <c r="V4" s="755">
        <f t="shared" ca="1" si="0"/>
        <v>0</v>
      </c>
      <c r="W4" s="755"/>
      <c r="X4" s="755"/>
      <c r="Y4" s="755"/>
      <c r="Z4" s="755"/>
      <c r="AA4" s="1994">
        <f ca="1">SUMIF($A$17:$A$118,"&gt;A",AE$17:AE$118)</f>
        <v>703062.16477898753</v>
      </c>
      <c r="AB4" s="1994"/>
      <c r="AC4" s="1994"/>
      <c r="AD4" s="1994"/>
      <c r="AE4" s="1994"/>
      <c r="AF4" s="1994"/>
      <c r="AG4" s="1994"/>
      <c r="AH4" s="1994"/>
      <c r="AI4" s="1994"/>
      <c r="AJ4" s="1994"/>
      <c r="AK4" s="1994"/>
      <c r="AL4" s="1994"/>
      <c r="AM4" s="1994"/>
      <c r="AN4" s="1994"/>
      <c r="AO4" s="1994"/>
      <c r="AP4" s="1994"/>
      <c r="AQ4" s="1994"/>
      <c r="AR4" s="1994"/>
      <c r="AS4" s="1097"/>
      <c r="AT4" s="1994">
        <f ca="1">SUM(AX$17,AX$22,AX$41,AX$103,AX$98)</f>
        <v>1161237.4987461874</v>
      </c>
      <c r="AU4" s="1994"/>
      <c r="AV4" s="1994"/>
      <c r="AW4" s="1994"/>
      <c r="AX4" s="1994"/>
      <c r="AY4" s="1994"/>
      <c r="AZ4" s="1994"/>
      <c r="BA4" s="1994"/>
      <c r="BB4" s="1994"/>
      <c r="BC4" s="1994"/>
      <c r="BD4" s="1994"/>
      <c r="BE4" s="1994"/>
      <c r="BF4" s="1994"/>
      <c r="BG4" s="1994"/>
      <c r="BH4" s="1994"/>
      <c r="BI4" s="1994"/>
      <c r="BJ4" s="1994"/>
      <c r="BK4" s="1994"/>
      <c r="BL4" s="1097"/>
      <c r="BM4" s="1994">
        <f ca="1">SUM(BQ$17,BQ$22,BQ$41,BQ$103,BQ$98)</f>
        <v>632275.92846609594</v>
      </c>
      <c r="BN4" s="1994"/>
      <c r="BO4" s="1994"/>
      <c r="BP4" s="1994"/>
      <c r="BQ4" s="1994"/>
      <c r="BR4" s="1994"/>
      <c r="BS4" s="1994"/>
      <c r="BT4" s="1994"/>
      <c r="BU4" s="1994"/>
      <c r="BV4" s="1994"/>
      <c r="BW4" s="1994"/>
      <c r="BX4" s="1994"/>
      <c r="BY4" s="1994"/>
      <c r="BZ4" s="1994"/>
      <c r="CA4" s="1994"/>
      <c r="CB4" s="1994"/>
      <c r="CC4" s="1994"/>
      <c r="CD4" s="1994"/>
      <c r="CE4" s="1097"/>
      <c r="CF4" s="1994">
        <f ca="1">SUM(CJ$17,CJ$22,CJ$41,CJ$103,CJ$98)</f>
        <v>159456.37851135148</v>
      </c>
      <c r="CG4" s="1994"/>
      <c r="CH4" s="1994"/>
      <c r="CI4" s="1994"/>
      <c r="CJ4" s="1994"/>
      <c r="CK4" s="1994"/>
      <c r="CL4" s="1994"/>
      <c r="CM4" s="1994"/>
      <c r="CN4" s="1994"/>
      <c r="CO4" s="1994"/>
      <c r="CP4" s="1994"/>
      <c r="CQ4" s="1994"/>
      <c r="CR4" s="1994"/>
      <c r="CS4" s="1994"/>
      <c r="CT4" s="1994"/>
      <c r="CU4" s="1994"/>
      <c r="CV4" s="1994"/>
      <c r="CW4" s="1994"/>
      <c r="CX4" s="1097"/>
    </row>
    <row r="5" spans="1:1023 1029:2043 2049:3069 3075:4095 4101:5115 5121:6141 6147:7167 7173:8187 8193:9213 9219:10239 10245:11259 11265:12285 12291:13311 13317:14331 14337:15357 15363:16383" s="34" customFormat="1" ht="12" customHeight="1" outlineLevel="1" x14ac:dyDescent="0.2">
      <c r="A5" s="755" t="s">
        <v>664</v>
      </c>
      <c r="B5" s="22"/>
      <c r="C5" s="22"/>
      <c r="D5" s="94"/>
      <c r="E5" s="58"/>
      <c r="F5" s="22"/>
      <c r="G5" s="756"/>
      <c r="H5" s="1671"/>
      <c r="I5" s="1671"/>
      <c r="J5" s="1671"/>
      <c r="K5" s="1671"/>
      <c r="L5" s="1671"/>
      <c r="M5" s="1772"/>
      <c r="N5" s="762" t="s">
        <v>665</v>
      </c>
      <c r="O5" s="762"/>
      <c r="P5" s="67"/>
      <c r="Q5" s="1967">
        <f ca="1">SUM(Q2:R4)</f>
        <v>2656031.9705026224</v>
      </c>
      <c r="R5" s="1967"/>
      <c r="S5" s="38"/>
      <c r="T5" s="38"/>
      <c r="U5" s="58"/>
      <c r="V5" s="69"/>
      <c r="W5" s="22"/>
      <c r="X5" s="22"/>
      <c r="Y5" s="22"/>
      <c r="Z5" s="22"/>
      <c r="AA5" s="1944">
        <v>668002.87</v>
      </c>
      <c r="AB5" s="1944"/>
      <c r="AC5" s="1944"/>
      <c r="AD5" s="1944"/>
      <c r="AE5" s="1944"/>
      <c r="AF5" s="1944"/>
      <c r="AG5" s="1944"/>
      <c r="AH5" s="1944"/>
      <c r="AI5" s="1944"/>
      <c r="AJ5" s="1944"/>
      <c r="AK5" s="1944"/>
      <c r="AL5" s="1944"/>
      <c r="AM5" s="1944"/>
      <c r="AN5" s="1944"/>
      <c r="AO5" s="1944"/>
      <c r="AP5" s="1944"/>
      <c r="AQ5" s="1944"/>
      <c r="AR5" s="1944"/>
      <c r="AS5" s="1098"/>
      <c r="AT5" s="1944">
        <v>1101205.33</v>
      </c>
      <c r="AU5" s="1944"/>
      <c r="AV5" s="1944"/>
      <c r="AW5" s="1944"/>
      <c r="AX5" s="1944"/>
      <c r="AY5" s="1944"/>
      <c r="AZ5" s="1944"/>
      <c r="BA5" s="1944"/>
      <c r="BB5" s="1944"/>
      <c r="BC5" s="1944"/>
      <c r="BD5" s="1944"/>
      <c r="BE5" s="1944"/>
      <c r="BF5" s="1944"/>
      <c r="BG5" s="1944"/>
      <c r="BH5" s="1944"/>
      <c r="BI5" s="1944"/>
      <c r="BJ5" s="1944"/>
      <c r="BK5" s="1944"/>
      <c r="BL5" s="1098"/>
      <c r="BM5" s="1944">
        <v>598061.19999999995</v>
      </c>
      <c r="BN5" s="1944"/>
      <c r="BO5" s="1944"/>
      <c r="BP5" s="1944"/>
      <c r="BQ5" s="1944"/>
      <c r="BR5" s="1944"/>
      <c r="BS5" s="1944"/>
      <c r="BT5" s="1944"/>
      <c r="BU5" s="1944"/>
      <c r="BV5" s="1944"/>
      <c r="BW5" s="1944"/>
      <c r="BX5" s="1944"/>
      <c r="BY5" s="1944"/>
      <c r="BZ5" s="1944"/>
      <c r="CA5" s="1944"/>
      <c r="CB5" s="1944"/>
      <c r="CC5" s="1944"/>
      <c r="CD5" s="1944"/>
      <c r="CE5" s="1098"/>
      <c r="CF5" s="1944">
        <v>152323.32999999999</v>
      </c>
      <c r="CG5" s="1944"/>
      <c r="CH5" s="1944"/>
      <c r="CI5" s="1944"/>
      <c r="CJ5" s="1944"/>
      <c r="CK5" s="1944"/>
      <c r="CL5" s="1944"/>
      <c r="CM5" s="1944"/>
      <c r="CN5" s="1944"/>
      <c r="CO5" s="1944"/>
      <c r="CP5" s="1944"/>
      <c r="CQ5" s="1944"/>
      <c r="CR5" s="1944"/>
      <c r="CS5" s="1944"/>
      <c r="CT5" s="1944"/>
      <c r="CU5" s="1944"/>
      <c r="CV5" s="1944"/>
      <c r="CW5" s="1944"/>
      <c r="CX5" s="1098"/>
    </row>
    <row r="6" spans="1:1023 1029:2043 2049:3069 3075:4095 4101:5115 5121:6141 6147:7167 7173:8187 8193:9213 9219:10239 10245:11259 11265:12285 12291:13311 13317:14331 14337:15357 15363:16383" s="34" customFormat="1" ht="12" customHeight="1" outlineLevel="1" x14ac:dyDescent="0.2">
      <c r="A6" s="755" t="s">
        <v>811</v>
      </c>
      <c r="B6" s="22"/>
      <c r="C6" s="22"/>
      <c r="D6" s="94"/>
      <c r="E6" s="58"/>
      <c r="F6" s="22"/>
      <c r="G6" s="756"/>
      <c r="H6" s="1671"/>
      <c r="I6" s="1671"/>
      <c r="J6" s="1671"/>
      <c r="K6" s="1671"/>
      <c r="L6" s="1671"/>
      <c r="M6" s="1772"/>
      <c r="N6" s="758"/>
      <c r="O6" s="758"/>
      <c r="P6" s="758"/>
      <c r="Q6" s="758"/>
      <c r="R6" s="758"/>
      <c r="S6" s="38"/>
      <c r="T6" s="38"/>
      <c r="U6" s="58"/>
      <c r="V6" s="764"/>
      <c r="W6" s="22"/>
      <c r="X6" s="22"/>
      <c r="Y6" s="22"/>
      <c r="Z6" s="22"/>
      <c r="AA6" s="75">
        <f>1793.24</f>
        <v>1793.24</v>
      </c>
      <c r="AB6" s="75"/>
      <c r="AC6" s="75"/>
      <c r="AD6" s="75"/>
      <c r="AE6" s="75"/>
      <c r="AF6" s="84"/>
      <c r="AG6" s="75"/>
      <c r="AH6" s="75"/>
      <c r="AI6" s="75"/>
      <c r="AJ6" s="84"/>
      <c r="AK6" s="75"/>
      <c r="AL6" s="75"/>
      <c r="AM6" s="75"/>
      <c r="AN6" s="84"/>
      <c r="AO6" s="75"/>
      <c r="AP6" s="75"/>
      <c r="AQ6" s="75"/>
      <c r="AR6" s="84"/>
      <c r="AS6" s="1098"/>
      <c r="AT6" s="75">
        <f>2952.94</f>
        <v>2952.94</v>
      </c>
      <c r="AU6" s="75"/>
      <c r="AV6" s="75"/>
      <c r="AW6" s="75"/>
      <c r="AX6" s="75"/>
      <c r="AY6" s="84"/>
      <c r="AZ6" s="75"/>
      <c r="BA6" s="75"/>
      <c r="BB6" s="75"/>
      <c r="BC6" s="84"/>
      <c r="BD6" s="75"/>
      <c r="BE6" s="75"/>
      <c r="BF6" s="75"/>
      <c r="BG6" s="84"/>
      <c r="BH6" s="75"/>
      <c r="BI6" s="75"/>
      <c r="BJ6" s="75"/>
      <c r="BK6" s="84"/>
      <c r="BL6" s="1098"/>
      <c r="BM6" s="75">
        <v>1610.7</v>
      </c>
      <c r="BN6" s="75"/>
      <c r="BO6" s="75"/>
      <c r="BP6" s="75"/>
      <c r="BQ6" s="75"/>
      <c r="BR6" s="84"/>
      <c r="BS6" s="75"/>
      <c r="BT6" s="75"/>
      <c r="BU6" s="75"/>
      <c r="BV6" s="84"/>
      <c r="BW6" s="75"/>
      <c r="BX6" s="75"/>
      <c r="BY6" s="75"/>
      <c r="BZ6" s="84"/>
      <c r="CA6" s="75"/>
      <c r="CB6" s="75"/>
      <c r="CC6" s="75"/>
      <c r="CD6" s="84"/>
      <c r="CE6" s="1098"/>
      <c r="CF6" s="75">
        <f>408.04</f>
        <v>408.04</v>
      </c>
      <c r="CG6" s="75"/>
      <c r="CH6" s="75"/>
      <c r="CI6" s="75"/>
      <c r="CJ6" s="75"/>
      <c r="CK6" s="84"/>
      <c r="CL6" s="75"/>
      <c r="CM6" s="75"/>
      <c r="CN6" s="75"/>
      <c r="CO6" s="84"/>
      <c r="CP6" s="75"/>
      <c r="CQ6" s="75"/>
      <c r="CR6" s="75"/>
      <c r="CS6" s="84"/>
      <c r="CT6" s="75"/>
      <c r="CU6" s="75"/>
      <c r="CV6" s="75"/>
      <c r="CW6" s="84"/>
      <c r="CX6" s="1098"/>
    </row>
    <row r="7" spans="1:1023 1029:2043 2049:3069 3075:4095 4101:5115 5121:6141 6147:7167 7173:8187 8193:9213 9219:10239 10245:11259 11265:12285 12291:13311 13317:14331 14337:15357 15363:16383" s="34" customFormat="1" ht="12" customHeight="1" outlineLevel="1" x14ac:dyDescent="0.2">
      <c r="A7" s="755" t="s">
        <v>829</v>
      </c>
      <c r="B7" s="22"/>
      <c r="C7" s="22"/>
      <c r="D7" s="94"/>
      <c r="E7" s="58"/>
      <c r="F7" s="22"/>
      <c r="G7" s="756"/>
      <c r="H7" s="1671"/>
      <c r="I7" s="1671"/>
      <c r="J7" s="1671"/>
      <c r="K7" s="1671"/>
      <c r="L7" s="1671"/>
      <c r="M7" s="1772"/>
      <c r="N7" s="758"/>
      <c r="O7" s="758"/>
      <c r="P7" s="758"/>
      <c r="Q7" s="758"/>
      <c r="R7" s="758"/>
      <c r="S7" s="38"/>
      <c r="T7" s="38"/>
      <c r="U7" s="58"/>
      <c r="V7" s="764"/>
      <c r="W7" s="22"/>
      <c r="X7" s="22"/>
      <c r="Y7" s="22"/>
      <c r="Z7" s="22"/>
      <c r="AA7" s="75">
        <f>AA6-AA8-1793.24</f>
        <v>0</v>
      </c>
      <c r="AB7" s="75"/>
      <c r="AC7" s="75"/>
      <c r="AD7" s="75"/>
      <c r="AE7" s="75"/>
      <c r="AF7" s="84"/>
      <c r="AG7" s="75"/>
      <c r="AH7" s="75"/>
      <c r="AI7" s="75"/>
      <c r="AJ7" s="84"/>
      <c r="AK7" s="75"/>
      <c r="AL7" s="75"/>
      <c r="AM7" s="75"/>
      <c r="AN7" s="84"/>
      <c r="AO7" s="75"/>
      <c r="AP7" s="75"/>
      <c r="AQ7" s="75"/>
      <c r="AR7" s="84"/>
      <c r="AS7" s="1098"/>
      <c r="AT7" s="75">
        <f>AT6-AT8-2952.94</f>
        <v>0</v>
      </c>
      <c r="AU7" s="75"/>
      <c r="AV7" s="75"/>
      <c r="AW7" s="75"/>
      <c r="AX7" s="75"/>
      <c r="AY7" s="84"/>
      <c r="AZ7" s="75"/>
      <c r="BA7" s="75"/>
      <c r="BB7" s="75"/>
      <c r="BC7" s="84"/>
      <c r="BD7" s="75"/>
      <c r="BE7" s="75"/>
      <c r="BF7" s="75"/>
      <c r="BG7" s="84"/>
      <c r="BH7" s="75"/>
      <c r="BI7" s="75"/>
      <c r="BJ7" s="75"/>
      <c r="BK7" s="84"/>
      <c r="BL7" s="1098"/>
      <c r="BM7" s="75">
        <f>BM6-BM8-1610.7</f>
        <v>0</v>
      </c>
      <c r="BN7" s="75"/>
      <c r="BO7" s="75"/>
      <c r="BP7" s="75"/>
      <c r="BQ7" s="75"/>
      <c r="BR7" s="84"/>
      <c r="BS7" s="75"/>
      <c r="BT7" s="75"/>
      <c r="BU7" s="75"/>
      <c r="BV7" s="84"/>
      <c r="BW7" s="75"/>
      <c r="BX7" s="75"/>
      <c r="BY7" s="75"/>
      <c r="BZ7" s="84"/>
      <c r="CA7" s="75"/>
      <c r="CB7" s="75"/>
      <c r="CC7" s="75"/>
      <c r="CD7" s="84"/>
      <c r="CE7" s="1098"/>
      <c r="CF7" s="75">
        <f>CF6-CF8-408.04</f>
        <v>0</v>
      </c>
      <c r="CG7" s="75"/>
      <c r="CH7" s="75"/>
      <c r="CI7" s="75"/>
      <c r="CJ7" s="75"/>
      <c r="CK7" s="84"/>
      <c r="CL7" s="75"/>
      <c r="CM7" s="75"/>
      <c r="CN7" s="75"/>
      <c r="CO7" s="84"/>
      <c r="CP7" s="75"/>
      <c r="CQ7" s="75"/>
      <c r="CR7" s="75"/>
      <c r="CS7" s="84"/>
      <c r="CT7" s="75"/>
      <c r="CU7" s="75"/>
      <c r="CV7" s="75"/>
      <c r="CW7" s="84"/>
      <c r="CX7" s="1098"/>
    </row>
    <row r="8" spans="1:1023 1029:2043 2049:3069 3075:4095 4101:5115 5121:6141 6147:7167 7173:8187 8193:9213 9219:10239 10245:11259 11265:12285 12291:13311 13317:14331 14337:15357 15363:16383" s="34" customFormat="1" ht="12" customHeight="1" outlineLevel="1" x14ac:dyDescent="0.2">
      <c r="A8" s="755" t="s">
        <v>830</v>
      </c>
      <c r="B8" s="22"/>
      <c r="C8" s="22"/>
      <c r="D8" s="94"/>
      <c r="E8" s="58"/>
      <c r="F8" s="22"/>
      <c r="G8" s="756"/>
      <c r="H8" s="1671"/>
      <c r="I8" s="1671"/>
      <c r="J8" s="1671"/>
      <c r="K8" s="1671"/>
      <c r="L8" s="1671"/>
      <c r="M8" s="1772"/>
      <c r="N8" s="758"/>
      <c r="O8" s="758"/>
      <c r="P8" s="758"/>
      <c r="Q8" s="758"/>
      <c r="R8" s="758"/>
      <c r="S8" s="38"/>
      <c r="T8" s="38"/>
      <c r="U8" s="58"/>
      <c r="V8" s="764"/>
      <c r="W8" s="22"/>
      <c r="X8" s="22"/>
      <c r="Y8" s="22"/>
      <c r="Z8" s="22"/>
      <c r="AA8" s="1944"/>
      <c r="AB8" s="1944"/>
      <c r="AC8" s="1944"/>
      <c r="AD8" s="1944"/>
      <c r="AE8" s="1944"/>
      <c r="AF8" s="1944"/>
      <c r="AG8" s="1944"/>
      <c r="AH8" s="1944"/>
      <c r="AI8" s="1944"/>
      <c r="AJ8" s="1944"/>
      <c r="AK8" s="1944"/>
      <c r="AL8" s="1944"/>
      <c r="AM8" s="1944"/>
      <c r="AN8" s="1944"/>
      <c r="AO8" s="1944"/>
      <c r="AP8" s="1944"/>
      <c r="AQ8" s="1944"/>
      <c r="AR8" s="1944"/>
      <c r="AS8" s="1098"/>
      <c r="AT8" s="1944"/>
      <c r="AU8" s="1944"/>
      <c r="AV8" s="1944"/>
      <c r="AW8" s="1944"/>
      <c r="AX8" s="1944"/>
      <c r="AY8" s="1944"/>
      <c r="AZ8" s="1944"/>
      <c r="BA8" s="1944"/>
      <c r="BB8" s="1944"/>
      <c r="BC8" s="1944"/>
      <c r="BD8" s="1944"/>
      <c r="BE8" s="1944"/>
      <c r="BF8" s="1944"/>
      <c r="BG8" s="1944"/>
      <c r="BH8" s="1944"/>
      <c r="BI8" s="1944"/>
      <c r="BJ8" s="1944"/>
      <c r="BK8" s="1944"/>
      <c r="BL8" s="1098"/>
      <c r="BM8" s="1944"/>
      <c r="BN8" s="1944"/>
      <c r="BO8" s="1944"/>
      <c r="BP8" s="1944"/>
      <c r="BQ8" s="1944"/>
      <c r="BR8" s="1944"/>
      <c r="BS8" s="1944"/>
      <c r="BT8" s="1944"/>
      <c r="BU8" s="1944"/>
      <c r="BV8" s="1944"/>
      <c r="BW8" s="1944"/>
      <c r="BX8" s="1944"/>
      <c r="BY8" s="1944"/>
      <c r="BZ8" s="1944"/>
      <c r="CA8" s="1944"/>
      <c r="CB8" s="1944"/>
      <c r="CC8" s="1944"/>
      <c r="CD8" s="1944"/>
      <c r="CE8" s="1098"/>
      <c r="CF8" s="1944"/>
      <c r="CG8" s="1944"/>
      <c r="CH8" s="1944"/>
      <c r="CI8" s="1944"/>
      <c r="CJ8" s="1944"/>
      <c r="CK8" s="1944"/>
      <c r="CL8" s="1944"/>
      <c r="CM8" s="1944"/>
      <c r="CN8" s="1944"/>
      <c r="CO8" s="1944"/>
      <c r="CP8" s="1944"/>
      <c r="CQ8" s="1944"/>
      <c r="CR8" s="1944"/>
      <c r="CS8" s="1944"/>
      <c r="CT8" s="1944"/>
      <c r="CU8" s="1944"/>
      <c r="CV8" s="1944"/>
      <c r="CW8" s="1944"/>
      <c r="CX8" s="1098"/>
    </row>
    <row r="9" spans="1:1023 1029:2043 2049:3069 3075:4095 4101:5115 5121:6141 6147:7167 7173:8187 8193:9213 9219:10239 10245:11259 11265:12285 12291:13311 13317:14331 14337:15357 15363:16383" s="34" customFormat="1" ht="12" customHeight="1" outlineLevel="1" x14ac:dyDescent="0.2">
      <c r="A9" s="755" t="s">
        <v>669</v>
      </c>
      <c r="B9" s="22"/>
      <c r="C9" s="22"/>
      <c r="D9" s="94"/>
      <c r="E9" s="58"/>
      <c r="F9" s="22"/>
      <c r="G9" s="756"/>
      <c r="H9" s="1671"/>
      <c r="I9" s="1671"/>
      <c r="J9" s="1671"/>
      <c r="K9" s="1671"/>
      <c r="L9" s="1671"/>
      <c r="M9" s="1772"/>
      <c r="N9" s="758"/>
      <c r="O9" s="758"/>
      <c r="P9" s="758"/>
      <c r="Q9" s="758"/>
      <c r="R9" s="758"/>
      <c r="S9" s="38"/>
      <c r="T9" s="38"/>
      <c r="U9" s="58"/>
      <c r="V9" s="764"/>
      <c r="W9" s="22"/>
      <c r="X9" s="22"/>
      <c r="Y9" s="22"/>
      <c r="Z9" s="22"/>
      <c r="AA9" s="75">
        <f ca="1">(AA4-AA5)+(AA6-AA7-AA8)</f>
        <v>36852.53477898753</v>
      </c>
      <c r="AB9" s="75"/>
      <c r="AC9" s="75"/>
      <c r="AD9" s="75"/>
      <c r="AE9" s="75"/>
      <c r="AF9" s="84"/>
      <c r="AG9" s="75"/>
      <c r="AH9" s="75"/>
      <c r="AI9" s="75"/>
      <c r="AJ9" s="84"/>
      <c r="AK9" s="75"/>
      <c r="AL9" s="75"/>
      <c r="AM9" s="75"/>
      <c r="AN9" s="84"/>
      <c r="AO9" s="75"/>
      <c r="AP9" s="75"/>
      <c r="AQ9" s="75"/>
      <c r="AR9" s="84"/>
      <c r="AS9" s="1098"/>
      <c r="AT9" s="75">
        <f ca="1">(AT4-AT5)+(AT6-AT7-AT8)</f>
        <v>62985.108746187354</v>
      </c>
      <c r="AU9" s="75"/>
      <c r="AV9" s="75"/>
      <c r="AW9" s="75"/>
      <c r="AX9" s="75"/>
      <c r="AY9" s="84"/>
      <c r="AZ9" s="75"/>
      <c r="BA9" s="75"/>
      <c r="BB9" s="75"/>
      <c r="BC9" s="84"/>
      <c r="BD9" s="75"/>
      <c r="BE9" s="75"/>
      <c r="BF9" s="75"/>
      <c r="BG9" s="84"/>
      <c r="BH9" s="75"/>
      <c r="BI9" s="75"/>
      <c r="BJ9" s="75"/>
      <c r="BK9" s="84"/>
      <c r="BL9" s="1098"/>
      <c r="BM9" s="75">
        <f ca="1">(BM4-BM5)+(BM6-BM7-BM8)</f>
        <v>35825.428466095982</v>
      </c>
      <c r="BN9" s="75"/>
      <c r="BO9" s="75"/>
      <c r="BP9" s="75"/>
      <c r="BQ9" s="75"/>
      <c r="BR9" s="84"/>
      <c r="BS9" s="75"/>
      <c r="BT9" s="75"/>
      <c r="BU9" s="75"/>
      <c r="BV9" s="84"/>
      <c r="BW9" s="75"/>
      <c r="BX9" s="75"/>
      <c r="BY9" s="75"/>
      <c r="BZ9" s="84"/>
      <c r="CA9" s="75"/>
      <c r="CB9" s="75"/>
      <c r="CC9" s="75"/>
      <c r="CD9" s="84"/>
      <c r="CE9" s="1098"/>
      <c r="CF9" s="75">
        <f ca="1">(CF4-CF5)+(CF6-CF7-CF8)</f>
        <v>7541.0885113514878</v>
      </c>
      <c r="CG9" s="75"/>
      <c r="CH9" s="75"/>
      <c r="CI9" s="75"/>
      <c r="CJ9" s="75"/>
      <c r="CK9" s="84"/>
      <c r="CL9" s="75"/>
      <c r="CM9" s="75"/>
      <c r="CN9" s="75"/>
      <c r="CO9" s="84"/>
      <c r="CP9" s="75"/>
      <c r="CQ9" s="75"/>
      <c r="CR9" s="75"/>
      <c r="CS9" s="84"/>
      <c r="CT9" s="75"/>
      <c r="CU9" s="75"/>
      <c r="CV9" s="75"/>
      <c r="CW9" s="84"/>
      <c r="CX9" s="1098"/>
    </row>
    <row r="10" spans="1:1023 1029:2043 2049:3069 3075:4095 4101:5115 5121:6141 6147:7167 7173:8187 8193:9213 9219:10239 10245:11259 11265:12285 12291:13311 13317:14331 14337:15357 15363:16383" s="34" customFormat="1" ht="12" customHeight="1" outlineLevel="1" x14ac:dyDescent="0.2">
      <c r="A10" s="770" t="s">
        <v>670</v>
      </c>
      <c r="B10" s="107"/>
      <c r="C10" s="107"/>
      <c r="D10" s="94"/>
      <c r="E10" s="58"/>
      <c r="F10" s="22"/>
      <c r="G10" s="756"/>
      <c r="H10" s="1671"/>
      <c r="I10" s="1671"/>
      <c r="J10" s="1671"/>
      <c r="K10" s="1671"/>
      <c r="L10" s="1671"/>
      <c r="M10" s="1772"/>
      <c r="N10" s="758"/>
      <c r="O10" s="758"/>
      <c r="P10" s="758"/>
      <c r="Q10" s="758"/>
      <c r="R10" s="758"/>
      <c r="S10" s="38"/>
      <c r="T10" s="38"/>
      <c r="U10" s="58"/>
      <c r="V10" s="764"/>
      <c r="W10" s="22"/>
      <c r="X10" s="22"/>
      <c r="Y10" s="22"/>
      <c r="Z10" s="22"/>
      <c r="AA10" s="51">
        <f ca="1">AA9/(AA5+(AA8+AA7+AA6)/2)</f>
        <v>5.5094278482687331E-2</v>
      </c>
      <c r="AB10" s="51"/>
      <c r="AC10" s="51"/>
      <c r="AD10" s="75"/>
      <c r="AE10" s="75"/>
      <c r="AF10" s="84"/>
      <c r="AG10" s="75"/>
      <c r="AH10" s="75"/>
      <c r="AI10" s="75"/>
      <c r="AJ10" s="84"/>
      <c r="AK10" s="75"/>
      <c r="AL10" s="75"/>
      <c r="AM10" s="75"/>
      <c r="AN10" s="84"/>
      <c r="AO10" s="75"/>
      <c r="AP10" s="75"/>
      <c r="AQ10" s="75"/>
      <c r="AR10" s="84"/>
      <c r="AS10" s="1098"/>
      <c r="AT10" s="51">
        <f ca="1">AT9/(AT5+(AT8+AT7+AT6)/2)</f>
        <v>5.711993137656516E-2</v>
      </c>
      <c r="AU10" s="51"/>
      <c r="AV10" s="51"/>
      <c r="AW10" s="75"/>
      <c r="AX10" s="75"/>
      <c r="AY10" s="84"/>
      <c r="AZ10" s="75"/>
      <c r="BA10" s="75"/>
      <c r="BB10" s="75"/>
      <c r="BC10" s="84"/>
      <c r="BD10" s="75"/>
      <c r="BE10" s="75"/>
      <c r="BF10" s="75"/>
      <c r="BG10" s="84"/>
      <c r="BH10" s="75"/>
      <c r="BI10" s="75"/>
      <c r="BJ10" s="75"/>
      <c r="BK10" s="84"/>
      <c r="BL10" s="1098"/>
      <c r="BM10" s="51">
        <f ca="1">BM9/(BM5+(BM8+BM7+BM6)/2)</f>
        <v>5.9822056293002149E-2</v>
      </c>
      <c r="BN10" s="51"/>
      <c r="BO10" s="51"/>
      <c r="BP10" s="75"/>
      <c r="BQ10" s="75"/>
      <c r="BR10" s="84"/>
      <c r="BS10" s="75"/>
      <c r="BT10" s="75"/>
      <c r="BU10" s="75"/>
      <c r="BV10" s="84"/>
      <c r="BW10" s="75"/>
      <c r="BX10" s="75"/>
      <c r="BY10" s="75"/>
      <c r="BZ10" s="84"/>
      <c r="CA10" s="75"/>
      <c r="CB10" s="75"/>
      <c r="CC10" s="75"/>
      <c r="CD10" s="84"/>
      <c r="CE10" s="1098"/>
      <c r="CF10" s="51">
        <f ca="1">CF9/(CF5+(CF8+CF7+CF6)/2)</f>
        <v>4.94408937895498E-2</v>
      </c>
      <c r="CG10" s="51"/>
      <c r="CH10" s="51"/>
      <c r="CI10" s="75"/>
      <c r="CJ10" s="75"/>
      <c r="CK10" s="84"/>
      <c r="CL10" s="75"/>
      <c r="CM10" s="75"/>
      <c r="CN10" s="75"/>
      <c r="CO10" s="84"/>
      <c r="CP10" s="75"/>
      <c r="CQ10" s="75"/>
      <c r="CR10" s="75"/>
      <c r="CS10" s="84"/>
      <c r="CT10" s="75"/>
      <c r="CU10" s="75"/>
      <c r="CV10" s="75"/>
      <c r="CW10" s="84"/>
      <c r="CX10" s="1098"/>
    </row>
    <row r="11" spans="1:1023 1029:2043 2049:3069 3075:4095 4101:5115 5121:6141 6147:7167 7173:8187 8193:9213 9219:10239 10245:11259 11265:12285 12291:13311 13317:14331 14337:15357 15363:16383" s="34" customFormat="1" ht="12" customHeight="1" outlineLevel="1" x14ac:dyDescent="0.2">
      <c r="A11" s="755" t="s">
        <v>671</v>
      </c>
      <c r="B11" s="22"/>
      <c r="C11" s="22"/>
      <c r="D11" s="94"/>
      <c r="E11" s="58"/>
      <c r="F11" s="22"/>
      <c r="G11" s="756"/>
      <c r="H11" s="1671"/>
      <c r="I11" s="1671"/>
      <c r="J11" s="1671"/>
      <c r="K11" s="1671"/>
      <c r="L11" s="1671"/>
      <c r="M11" s="1772"/>
      <c r="N11" s="758"/>
      <c r="O11" s="758"/>
      <c r="P11" s="758"/>
      <c r="Q11" s="758"/>
      <c r="R11" s="758"/>
      <c r="S11" s="38"/>
      <c r="T11" s="38"/>
      <c r="U11" s="58"/>
      <c r="V11" s="764"/>
      <c r="W11" s="22"/>
      <c r="X11" s="22"/>
      <c r="Y11" s="22"/>
      <c r="Z11" s="22"/>
      <c r="AA11" s="1937">
        <f ca="1">AA9-AA6</f>
        <v>35059.294778987532</v>
      </c>
      <c r="AB11" s="1937"/>
      <c r="AC11" s="1937"/>
      <c r="AD11" s="1937"/>
      <c r="AE11" s="1937"/>
      <c r="AF11" s="1937"/>
      <c r="AG11" s="1937"/>
      <c r="AH11" s="1937"/>
      <c r="AI11" s="1937"/>
      <c r="AJ11" s="1937"/>
      <c r="AK11" s="1937"/>
      <c r="AL11" s="1937"/>
      <c r="AM11" s="1937"/>
      <c r="AN11" s="1937"/>
      <c r="AO11" s="1937"/>
      <c r="AP11" s="1937"/>
      <c r="AQ11" s="1937"/>
      <c r="AR11" s="1937"/>
      <c r="AS11" s="1099"/>
      <c r="AT11" s="1937">
        <f ca="1">AT9-AT6</f>
        <v>60032.168746187352</v>
      </c>
      <c r="AU11" s="1937"/>
      <c r="AV11" s="1937"/>
      <c r="AW11" s="1937"/>
      <c r="AX11" s="1937"/>
      <c r="AY11" s="1937"/>
      <c r="AZ11" s="1937"/>
      <c r="BA11" s="1937"/>
      <c r="BB11" s="1937"/>
      <c r="BC11" s="1937"/>
      <c r="BD11" s="1937"/>
      <c r="BE11" s="1937"/>
      <c r="BF11" s="1937"/>
      <c r="BG11" s="1937"/>
      <c r="BH11" s="1937"/>
      <c r="BI11" s="1937"/>
      <c r="BJ11" s="1937"/>
      <c r="BK11" s="1937"/>
      <c r="BL11" s="1099"/>
      <c r="BM11" s="1937">
        <f ca="1">BM9-BM6</f>
        <v>34214.728466095985</v>
      </c>
      <c r="BN11" s="1937"/>
      <c r="BO11" s="1937"/>
      <c r="BP11" s="1937"/>
      <c r="BQ11" s="1937"/>
      <c r="BR11" s="1937"/>
      <c r="BS11" s="1937"/>
      <c r="BT11" s="1937"/>
      <c r="BU11" s="1937"/>
      <c r="BV11" s="1937"/>
      <c r="BW11" s="1937"/>
      <c r="BX11" s="1937"/>
      <c r="BY11" s="1937"/>
      <c r="BZ11" s="1937"/>
      <c r="CA11" s="1937"/>
      <c r="CB11" s="1937"/>
      <c r="CC11" s="1937"/>
      <c r="CD11" s="1937"/>
      <c r="CE11" s="1099"/>
      <c r="CF11" s="1937">
        <f ca="1">CF9-CF6</f>
        <v>7133.0485113514878</v>
      </c>
      <c r="CG11" s="1937"/>
      <c r="CH11" s="1937"/>
      <c r="CI11" s="1937"/>
      <c r="CJ11" s="1937"/>
      <c r="CK11" s="1937"/>
      <c r="CL11" s="1937"/>
      <c r="CM11" s="1937"/>
      <c r="CN11" s="1937"/>
      <c r="CO11" s="1937"/>
      <c r="CP11" s="1937"/>
      <c r="CQ11" s="1937"/>
      <c r="CR11" s="1937"/>
      <c r="CS11" s="1937"/>
      <c r="CT11" s="1937"/>
      <c r="CU11" s="1937"/>
      <c r="CV11" s="1937"/>
      <c r="CW11" s="1937"/>
      <c r="CX11" s="1099"/>
    </row>
    <row r="12" spans="1:1023 1029:2043 2049:3069 3075:4095 4101:5115 5121:6141 6147:7167 7173:8187 8193:9213 9219:10239 10245:11259 11265:12285 12291:13311 13317:14331 14337:15357 15363:16383" s="34" customFormat="1" ht="12" customHeight="1" outlineLevel="1" x14ac:dyDescent="0.2">
      <c r="A12" s="770" t="s">
        <v>672</v>
      </c>
      <c r="B12" s="107"/>
      <c r="C12" s="107"/>
      <c r="D12" s="94"/>
      <c r="E12" s="58"/>
      <c r="F12" s="994"/>
      <c r="G12" s="995"/>
      <c r="H12" s="1671"/>
      <c r="I12" s="1671"/>
      <c r="J12" s="1671"/>
      <c r="K12" s="1671"/>
      <c r="L12" s="1671"/>
      <c r="M12" s="1772"/>
      <c r="N12" s="758"/>
      <c r="O12" s="758"/>
      <c r="P12" s="758"/>
      <c r="Q12" s="758"/>
      <c r="R12" s="758"/>
      <c r="S12" s="38"/>
      <c r="T12" s="38"/>
      <c r="U12" s="58"/>
      <c r="V12" s="764"/>
      <c r="W12" s="22"/>
      <c r="X12" s="22"/>
      <c r="Y12" s="22"/>
      <c r="Z12" s="22"/>
      <c r="AA12" s="1931">
        <f ca="1">IFERROR(AA11/(AA5+(AA8+AA7+AA6)/2),"")</f>
        <v>5.241339738349559E-2</v>
      </c>
      <c r="AB12" s="1931"/>
      <c r="AC12" s="1931"/>
      <c r="AD12" s="1931"/>
      <c r="AE12" s="1931"/>
      <c r="AF12" s="1931"/>
      <c r="AG12" s="1931"/>
      <c r="AH12" s="1931"/>
      <c r="AI12" s="1931"/>
      <c r="AJ12" s="1931"/>
      <c r="AK12" s="1931"/>
      <c r="AL12" s="1931"/>
      <c r="AM12" s="1931"/>
      <c r="AN12" s="1931"/>
      <c r="AO12" s="1931"/>
      <c r="AP12" s="1931"/>
      <c r="AQ12" s="1931"/>
      <c r="AR12" s="1931"/>
      <c r="AS12" s="1100"/>
      <c r="AT12" s="1931">
        <f ca="1">IFERROR(AT11/(AT5+(AT8+AT7+AT6)/2),"")</f>
        <v>5.4441969338922022E-2</v>
      </c>
      <c r="AU12" s="1931"/>
      <c r="AV12" s="1931"/>
      <c r="AW12" s="1931"/>
      <c r="AX12" s="1931"/>
      <c r="AY12" s="1931"/>
      <c r="AZ12" s="1931"/>
      <c r="BA12" s="1931"/>
      <c r="BB12" s="1931"/>
      <c r="BC12" s="1931"/>
      <c r="BD12" s="1931"/>
      <c r="BE12" s="1931"/>
      <c r="BF12" s="1931"/>
      <c r="BG12" s="1931"/>
      <c r="BH12" s="1931"/>
      <c r="BI12" s="1931"/>
      <c r="BJ12" s="1931"/>
      <c r="BK12" s="1931"/>
      <c r="BL12" s="1100"/>
      <c r="BM12" s="1931">
        <f ca="1">IFERROR(BM11/(BM5+(BM8+BM7+BM6)/2),"")</f>
        <v>5.7132475450659234E-2</v>
      </c>
      <c r="BN12" s="1931"/>
      <c r="BO12" s="1931"/>
      <c r="BP12" s="1931"/>
      <c r="BQ12" s="1931"/>
      <c r="BR12" s="1931"/>
      <c r="BS12" s="1931"/>
      <c r="BT12" s="1931"/>
      <c r="BU12" s="1931"/>
      <c r="BV12" s="1931"/>
      <c r="BW12" s="1931"/>
      <c r="BX12" s="1931"/>
      <c r="BY12" s="1931"/>
      <c r="BZ12" s="1931"/>
      <c r="CA12" s="1931"/>
      <c r="CB12" s="1931"/>
      <c r="CC12" s="1931"/>
      <c r="CD12" s="1931"/>
      <c r="CE12" s="1100"/>
      <c r="CF12" s="1931">
        <f ca="1">IFERROR(CF11/(CF5+(CF8+CF7+CF6)/2),"")</f>
        <v>4.6765701438800905E-2</v>
      </c>
      <c r="CG12" s="1931"/>
      <c r="CH12" s="1931"/>
      <c r="CI12" s="1931"/>
      <c r="CJ12" s="1931"/>
      <c r="CK12" s="1931"/>
      <c r="CL12" s="1931"/>
      <c r="CM12" s="1931"/>
      <c r="CN12" s="1931"/>
      <c r="CO12" s="1931"/>
      <c r="CP12" s="1931"/>
      <c r="CQ12" s="1931"/>
      <c r="CR12" s="1931"/>
      <c r="CS12" s="1931"/>
      <c r="CT12" s="1931"/>
      <c r="CU12" s="1931"/>
      <c r="CV12" s="1931"/>
      <c r="CW12" s="1931"/>
      <c r="CX12" s="1100"/>
    </row>
    <row r="13" spans="1:1023 1029:2043 2049:3069 3075:4095 4101:5115 5121:6141 6147:7167 7173:8187 8193:9213 9219:10239 10245:11259 11265:12285 12291:13311 13317:14331 14337:15357 15363:16383" s="34" customFormat="1" ht="12" customHeight="1" outlineLevel="1" x14ac:dyDescent="0.2">
      <c r="A13" s="770"/>
      <c r="B13" s="107"/>
      <c r="C13" s="107"/>
      <c r="D13" s="29"/>
      <c r="E13" s="754"/>
      <c r="F13" s="107"/>
      <c r="G13" s="774"/>
      <c r="H13" s="1742"/>
      <c r="I13" s="1742"/>
      <c r="J13" s="1742"/>
      <c r="K13" s="1742"/>
      <c r="L13" s="1742"/>
      <c r="M13" s="1772"/>
      <c r="N13" s="758"/>
      <c r="O13" s="758"/>
      <c r="P13" s="758"/>
      <c r="Q13" s="758"/>
      <c r="R13" s="758"/>
      <c r="S13" s="38"/>
      <c r="T13" s="38"/>
      <c r="U13" s="58"/>
      <c r="V13" s="764"/>
      <c r="W13" s="22"/>
      <c r="X13" s="22"/>
      <c r="Y13" s="22"/>
      <c r="Z13" s="22"/>
      <c r="AA13" s="51"/>
      <c r="AB13" s="51"/>
      <c r="AC13" s="51"/>
      <c r="AD13" s="51"/>
      <c r="AE13" s="51"/>
      <c r="AF13" s="51"/>
      <c r="AG13" s="51"/>
      <c r="AH13" s="51"/>
      <c r="AI13" s="51"/>
      <c r="AJ13" s="51"/>
      <c r="AK13" s="51"/>
      <c r="AL13" s="51"/>
      <c r="AM13" s="51"/>
      <c r="AN13" s="51"/>
      <c r="AO13" s="51"/>
      <c r="AP13" s="51"/>
      <c r="AQ13" s="51"/>
      <c r="AR13" s="51"/>
      <c r="AS13" s="1100"/>
      <c r="AT13" s="51"/>
      <c r="AU13" s="51"/>
      <c r="AV13" s="51"/>
      <c r="AW13" s="51"/>
      <c r="AX13" s="51"/>
      <c r="AY13" s="51"/>
      <c r="AZ13" s="51"/>
      <c r="BA13" s="51"/>
      <c r="BB13" s="51"/>
      <c r="BC13" s="51"/>
      <c r="BD13" s="51"/>
      <c r="BE13" s="51"/>
      <c r="BF13" s="51"/>
      <c r="BG13" s="51"/>
      <c r="BH13" s="51"/>
      <c r="BI13" s="51"/>
      <c r="BJ13" s="51"/>
      <c r="BK13" s="51"/>
      <c r="BL13" s="1100"/>
      <c r="BM13" s="51"/>
      <c r="BN13" s="51"/>
      <c r="BO13" s="51"/>
      <c r="BP13" s="51"/>
      <c r="BQ13" s="51"/>
      <c r="BR13" s="51"/>
      <c r="BS13" s="51"/>
      <c r="BT13" s="51"/>
      <c r="BU13" s="51"/>
      <c r="BV13" s="51"/>
      <c r="BW13" s="51"/>
      <c r="BX13" s="51"/>
      <c r="BY13" s="51"/>
      <c r="BZ13" s="51"/>
      <c r="CA13" s="51"/>
      <c r="CB13" s="51"/>
      <c r="CC13" s="51"/>
      <c r="CD13" s="51"/>
      <c r="CE13" s="1100"/>
      <c r="CF13" s="51"/>
      <c r="CG13" s="51"/>
      <c r="CH13" s="51"/>
      <c r="CI13" s="51"/>
      <c r="CJ13" s="51"/>
      <c r="CK13" s="51"/>
      <c r="CL13" s="51"/>
      <c r="CM13" s="51"/>
      <c r="CN13" s="51"/>
      <c r="CO13" s="51"/>
      <c r="CP13" s="51"/>
      <c r="CQ13" s="51"/>
      <c r="CR13" s="51"/>
      <c r="CS13" s="51"/>
      <c r="CT13" s="51"/>
      <c r="CU13" s="51"/>
      <c r="CV13" s="51"/>
      <c r="CW13" s="51"/>
      <c r="CX13" s="1100"/>
    </row>
    <row r="14" spans="1:1023 1029:2043 2049:3069 3075:4095 4101:5115 5121:6141 6147:7167 7173:8187 8193:9213 9219:10239 10245:11259 11265:12285 12291:13311 13317:14331 14337:15357 15363:16383" s="34" customFormat="1" ht="12" customHeight="1" outlineLevel="1" x14ac:dyDescent="0.2">
      <c r="A14" s="770"/>
      <c r="B14" s="107"/>
      <c r="C14" s="107"/>
      <c r="D14" s="29"/>
      <c r="E14" s="754"/>
      <c r="F14" s="107"/>
      <c r="G14" s="774"/>
      <c r="H14" s="1742"/>
      <c r="I14" s="1742"/>
      <c r="J14" s="1742"/>
      <c r="K14" s="1742"/>
      <c r="L14" s="1742"/>
      <c r="M14" s="1772"/>
      <c r="N14" s="758"/>
      <c r="O14" s="758"/>
      <c r="P14" s="758"/>
      <c r="Q14" s="758"/>
      <c r="R14" s="758"/>
      <c r="S14" s="38"/>
      <c r="T14" s="38"/>
      <c r="U14" s="58"/>
      <c r="V14" s="764"/>
      <c r="W14" s="22"/>
      <c r="X14" s="22"/>
      <c r="Y14" s="22"/>
      <c r="Z14" s="22"/>
      <c r="AA14" s="51"/>
      <c r="AB14" s="51"/>
      <c r="AC14" s="51"/>
      <c r="AD14" s="51"/>
      <c r="AE14" s="51"/>
      <c r="AF14" s="51"/>
      <c r="AG14" s="51"/>
      <c r="AH14" s="51"/>
      <c r="AI14" s="51"/>
      <c r="AJ14" s="51"/>
      <c r="AK14" s="51"/>
      <c r="AL14" s="51"/>
      <c r="AM14" s="51"/>
      <c r="AN14" s="51"/>
      <c r="AO14" s="51"/>
      <c r="AP14" s="51"/>
      <c r="AQ14" s="51"/>
      <c r="AR14" s="51"/>
      <c r="AS14" s="1100"/>
      <c r="AT14" s="51"/>
      <c r="AU14" s="51"/>
      <c r="AV14" s="51"/>
      <c r="AW14" s="51"/>
      <c r="AX14" s="51"/>
      <c r="AY14" s="51"/>
      <c r="AZ14" s="51"/>
      <c r="BA14" s="51"/>
      <c r="BB14" s="51"/>
      <c r="BC14" s="51"/>
      <c r="BD14" s="51"/>
      <c r="BE14" s="51"/>
      <c r="BF14" s="51"/>
      <c r="BG14" s="51"/>
      <c r="BH14" s="51"/>
      <c r="BI14" s="51"/>
      <c r="BJ14" s="51"/>
      <c r="BK14" s="51"/>
      <c r="BL14" s="1100"/>
      <c r="BM14" s="51"/>
      <c r="BN14" s="51"/>
      <c r="BO14" s="51"/>
      <c r="BP14" s="51"/>
      <c r="BQ14" s="51"/>
      <c r="BR14" s="51"/>
      <c r="BS14" s="51"/>
      <c r="BT14" s="51"/>
      <c r="BU14" s="51"/>
      <c r="BV14" s="51"/>
      <c r="BW14" s="51"/>
      <c r="BX14" s="51"/>
      <c r="BY14" s="51"/>
      <c r="BZ14" s="51"/>
      <c r="CA14" s="51"/>
      <c r="CB14" s="51"/>
      <c r="CC14" s="51"/>
      <c r="CD14" s="51"/>
      <c r="CE14" s="1100"/>
      <c r="CF14" s="51"/>
      <c r="CG14" s="51"/>
      <c r="CH14" s="51"/>
      <c r="CI14" s="51"/>
      <c r="CJ14" s="51"/>
      <c r="CK14" s="51"/>
      <c r="CL14" s="51"/>
      <c r="CM14" s="51"/>
      <c r="CN14" s="51"/>
      <c r="CO14" s="51"/>
      <c r="CP14" s="51"/>
      <c r="CQ14" s="51"/>
      <c r="CR14" s="51"/>
      <c r="CS14" s="51"/>
      <c r="CT14" s="51"/>
      <c r="CU14" s="51"/>
      <c r="CV14" s="51"/>
      <c r="CW14" s="51"/>
      <c r="CX14" s="1100"/>
    </row>
    <row r="15" spans="1:1023 1029:2043 2049:3069 3075:4095 4101:5115 5121:6141 6147:7167 7173:8187 8193:9213 9219:10239 10245:11259 11265:12285 12291:13311 13317:14331 14337:15357 15363:16383" x14ac:dyDescent="0.2">
      <c r="A15" s="775"/>
      <c r="B15" s="775"/>
      <c r="C15" s="775"/>
      <c r="D15" s="776"/>
      <c r="E15" s="777"/>
      <c r="F15" s="775"/>
      <c r="G15" s="778"/>
      <c r="H15" s="1743"/>
      <c r="I15" s="1743"/>
      <c r="J15" s="1743"/>
      <c r="K15" s="1743"/>
      <c r="L15" s="1743"/>
      <c r="M15" s="1774"/>
      <c r="N15" s="780"/>
      <c r="O15" s="780"/>
      <c r="P15" s="780"/>
      <c r="Q15" s="780"/>
      <c r="R15" s="780"/>
      <c r="S15" s="781"/>
      <c r="T15" s="781"/>
      <c r="U15" s="779"/>
      <c r="V15" s="782"/>
      <c r="W15" s="1101"/>
      <c r="X15" s="775"/>
      <c r="Y15" s="775"/>
      <c r="Z15" s="1102"/>
      <c r="AA15" s="1980" t="s">
        <v>673</v>
      </c>
      <c r="AB15" s="1981"/>
      <c r="AC15" s="1981"/>
      <c r="AD15" s="1981"/>
      <c r="AE15" s="1981"/>
      <c r="AF15" s="1981"/>
      <c r="AG15" s="1990" t="s">
        <v>674</v>
      </c>
      <c r="AH15" s="1991"/>
      <c r="AI15" s="1991"/>
      <c r="AJ15" s="1992"/>
      <c r="AK15" s="1985" t="s">
        <v>675</v>
      </c>
      <c r="AL15" s="1986"/>
      <c r="AM15" s="1986"/>
      <c r="AN15" s="1987"/>
      <c r="AO15" s="1988" t="s">
        <v>676</v>
      </c>
      <c r="AP15" s="1988"/>
      <c r="AQ15" s="1988"/>
      <c r="AR15" s="1989"/>
      <c r="AS15" s="1103"/>
      <c r="AT15" s="1980" t="s">
        <v>673</v>
      </c>
      <c r="AU15" s="1981"/>
      <c r="AV15" s="1981"/>
      <c r="AW15" s="1981"/>
      <c r="AX15" s="1981"/>
      <c r="AY15" s="1981"/>
      <c r="AZ15" s="1990" t="s">
        <v>674</v>
      </c>
      <c r="BA15" s="1991"/>
      <c r="BB15" s="1991"/>
      <c r="BC15" s="1992"/>
      <c r="BD15" s="1985" t="s">
        <v>675</v>
      </c>
      <c r="BE15" s="1986"/>
      <c r="BF15" s="1986"/>
      <c r="BG15" s="1987"/>
      <c r="BH15" s="1988" t="s">
        <v>676</v>
      </c>
      <c r="BI15" s="1988"/>
      <c r="BJ15" s="1988"/>
      <c r="BK15" s="1989"/>
      <c r="BL15" s="1103"/>
      <c r="BM15" s="1980" t="s">
        <v>673</v>
      </c>
      <c r="BN15" s="1981"/>
      <c r="BO15" s="1981"/>
      <c r="BP15" s="1981"/>
      <c r="BQ15" s="1981"/>
      <c r="BR15" s="1981"/>
      <c r="BS15" s="1990" t="s">
        <v>674</v>
      </c>
      <c r="BT15" s="1991"/>
      <c r="BU15" s="1991"/>
      <c r="BV15" s="1992"/>
      <c r="BW15" s="1985" t="s">
        <v>675</v>
      </c>
      <c r="BX15" s="1986"/>
      <c r="BY15" s="1986"/>
      <c r="BZ15" s="1987"/>
      <c r="CA15" s="1988" t="s">
        <v>676</v>
      </c>
      <c r="CB15" s="1988"/>
      <c r="CC15" s="1988"/>
      <c r="CD15" s="1989"/>
      <c r="CE15" s="1103"/>
      <c r="CF15" s="1980" t="s">
        <v>673</v>
      </c>
      <c r="CG15" s="1981"/>
      <c r="CH15" s="1981"/>
      <c r="CI15" s="1981"/>
      <c r="CJ15" s="1981"/>
      <c r="CK15" s="1981"/>
      <c r="CL15" s="1990" t="s">
        <v>674</v>
      </c>
      <c r="CM15" s="1991"/>
      <c r="CN15" s="1991"/>
      <c r="CO15" s="1992"/>
      <c r="CP15" s="1985" t="s">
        <v>675</v>
      </c>
      <c r="CQ15" s="1986"/>
      <c r="CR15" s="1986"/>
      <c r="CS15" s="1987"/>
      <c r="CT15" s="1988" t="s">
        <v>676</v>
      </c>
      <c r="CU15" s="1988"/>
      <c r="CV15" s="1988"/>
      <c r="CW15" s="1989"/>
      <c r="CX15" s="1103"/>
    </row>
    <row r="16" spans="1:1023 1029:2043 2049:3069 3075:4095 4101:5115 5121:6141 6147:7167 7173:8187 8193:9213 9219:10239 10245:11259 11265:12285 12291:13311 13317:14331 14337:15357 15363:16383" s="1105" customFormat="1" x14ac:dyDescent="0.2">
      <c r="A16" s="998" t="s">
        <v>677</v>
      </c>
      <c r="B16" s="998" t="s">
        <v>363</v>
      </c>
      <c r="C16" s="145" t="s">
        <v>678</v>
      </c>
      <c r="D16" s="145" t="s">
        <v>679</v>
      </c>
      <c r="E16" s="145" t="s">
        <v>680</v>
      </c>
      <c r="F16" s="145" t="s">
        <v>9</v>
      </c>
      <c r="G16" s="999" t="s">
        <v>681</v>
      </c>
      <c r="H16" s="1674" t="s">
        <v>682</v>
      </c>
      <c r="I16" s="1674" t="s">
        <v>683</v>
      </c>
      <c r="J16" s="1674" t="s">
        <v>684</v>
      </c>
      <c r="K16" s="1674" t="s">
        <v>814</v>
      </c>
      <c r="L16" s="1674" t="s">
        <v>686</v>
      </c>
      <c r="M16" s="1775" t="s">
        <v>687</v>
      </c>
      <c r="N16" s="145" t="s">
        <v>688</v>
      </c>
      <c r="O16" s="145" t="s">
        <v>689</v>
      </c>
      <c r="P16" s="145" t="s">
        <v>815</v>
      </c>
      <c r="Q16" s="145" t="s">
        <v>691</v>
      </c>
      <c r="R16" s="145" t="s">
        <v>674</v>
      </c>
      <c r="S16" s="147"/>
      <c r="T16" s="145" t="s">
        <v>692</v>
      </c>
      <c r="U16" s="1104" t="s">
        <v>693</v>
      </c>
      <c r="V16" s="145" t="s">
        <v>694</v>
      </c>
      <c r="W16" s="145" t="s">
        <v>695</v>
      </c>
      <c r="X16" s="145" t="s">
        <v>696</v>
      </c>
      <c r="Y16" s="145" t="s">
        <v>697</v>
      </c>
      <c r="Z16" s="145" t="s">
        <v>698</v>
      </c>
      <c r="AA16" s="162" t="s">
        <v>699</v>
      </c>
      <c r="AB16" s="1000" t="s">
        <v>831</v>
      </c>
      <c r="AC16" s="1000"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2" t="s">
        <v>716</v>
      </c>
      <c r="AS16" s="1003"/>
      <c r="AT16" s="162" t="s">
        <v>699</v>
      </c>
      <c r="AU16" s="1000" t="s">
        <v>831</v>
      </c>
      <c r="AV16" s="1000" t="s">
        <v>701</v>
      </c>
      <c r="AW16" s="151" t="s">
        <v>702</v>
      </c>
      <c r="AX16" s="151" t="s">
        <v>703</v>
      </c>
      <c r="AY16" s="151" t="s">
        <v>704</v>
      </c>
      <c r="AZ16" s="152" t="s">
        <v>705</v>
      </c>
      <c r="BA16" s="153" t="s">
        <v>706</v>
      </c>
      <c r="BB16" s="153" t="s">
        <v>707</v>
      </c>
      <c r="BC16" s="154" t="s">
        <v>708</v>
      </c>
      <c r="BD16" s="155" t="s">
        <v>709</v>
      </c>
      <c r="BE16" s="156" t="s">
        <v>710</v>
      </c>
      <c r="BF16" s="156" t="s">
        <v>711</v>
      </c>
      <c r="BG16" s="157" t="s">
        <v>712</v>
      </c>
      <c r="BH16" s="158" t="s">
        <v>713</v>
      </c>
      <c r="BI16" s="158" t="s">
        <v>714</v>
      </c>
      <c r="BJ16" s="158" t="s">
        <v>715</v>
      </c>
      <c r="BK16" s="1002" t="s">
        <v>716</v>
      </c>
      <c r="BL16" s="1003"/>
      <c r="BM16" s="162" t="s">
        <v>699</v>
      </c>
      <c r="BN16" s="1000" t="s">
        <v>831</v>
      </c>
      <c r="BO16" s="1000" t="s">
        <v>701</v>
      </c>
      <c r="BP16" s="151" t="s">
        <v>702</v>
      </c>
      <c r="BQ16" s="151" t="s">
        <v>703</v>
      </c>
      <c r="BR16" s="151" t="s">
        <v>704</v>
      </c>
      <c r="BS16" s="152" t="s">
        <v>705</v>
      </c>
      <c r="BT16" s="153" t="s">
        <v>706</v>
      </c>
      <c r="BU16" s="153" t="s">
        <v>707</v>
      </c>
      <c r="BV16" s="154" t="s">
        <v>708</v>
      </c>
      <c r="BW16" s="155" t="s">
        <v>709</v>
      </c>
      <c r="BX16" s="156" t="s">
        <v>710</v>
      </c>
      <c r="BY16" s="156" t="s">
        <v>711</v>
      </c>
      <c r="BZ16" s="157" t="s">
        <v>712</v>
      </c>
      <c r="CA16" s="158" t="s">
        <v>713</v>
      </c>
      <c r="CB16" s="158" t="s">
        <v>714</v>
      </c>
      <c r="CC16" s="158" t="s">
        <v>715</v>
      </c>
      <c r="CD16" s="1002" t="s">
        <v>716</v>
      </c>
      <c r="CE16" s="1003"/>
      <c r="CF16" s="162" t="s">
        <v>699</v>
      </c>
      <c r="CG16" s="1000" t="s">
        <v>831</v>
      </c>
      <c r="CH16" s="1000" t="s">
        <v>701</v>
      </c>
      <c r="CI16" s="151" t="s">
        <v>702</v>
      </c>
      <c r="CJ16" s="151" t="s">
        <v>703</v>
      </c>
      <c r="CK16" s="151" t="s">
        <v>704</v>
      </c>
      <c r="CL16" s="152" t="s">
        <v>705</v>
      </c>
      <c r="CM16" s="153" t="s">
        <v>706</v>
      </c>
      <c r="CN16" s="153" t="s">
        <v>707</v>
      </c>
      <c r="CO16" s="154" t="s">
        <v>708</v>
      </c>
      <c r="CP16" s="155" t="s">
        <v>709</v>
      </c>
      <c r="CQ16" s="156" t="s">
        <v>710</v>
      </c>
      <c r="CR16" s="156" t="s">
        <v>711</v>
      </c>
      <c r="CS16" s="157" t="s">
        <v>712</v>
      </c>
      <c r="CT16" s="158" t="s">
        <v>713</v>
      </c>
      <c r="CU16" s="158" t="s">
        <v>714</v>
      </c>
      <c r="CV16" s="158" t="s">
        <v>715</v>
      </c>
      <c r="CW16" s="1002" t="s">
        <v>716</v>
      </c>
      <c r="CX16" s="1003" t="s">
        <v>717</v>
      </c>
    </row>
    <row r="17" spans="1:102" x14ac:dyDescent="0.2">
      <c r="A17" s="164" t="s">
        <v>362</v>
      </c>
      <c r="B17" s="164"/>
      <c r="C17" s="164"/>
      <c r="D17" s="165"/>
      <c r="E17" s="166"/>
      <c r="F17" s="164"/>
      <c r="G17" s="167"/>
      <c r="H17" s="1703"/>
      <c r="I17" s="1703"/>
      <c r="J17" s="1703"/>
      <c r="K17" s="1703"/>
      <c r="L17" s="1703"/>
      <c r="M17" s="1776"/>
      <c r="N17" s="1106">
        <f>SUM(N$18:N$21)</f>
        <v>0</v>
      </c>
      <c r="O17" s="1106"/>
      <c r="P17" s="1107">
        <f t="shared" ref="P17:P49" ca="1" si="1">SUMIF($AA$16:$CD$16,"I_Ctrlv",$AA17:$CD17)/$Q$2</f>
        <v>7.6133035782673608E-2</v>
      </c>
      <c r="Q17" s="178"/>
      <c r="R17" s="172"/>
      <c r="S17" s="169"/>
      <c r="T17" s="169"/>
      <c r="U17" s="163"/>
      <c r="V17" s="178">
        <f>COUNTIF(V18:V21,"&lt;&gt;0")</f>
        <v>1</v>
      </c>
      <c r="W17" s="164"/>
      <c r="X17" s="164"/>
      <c r="Y17" s="164"/>
      <c r="Z17" s="1005"/>
      <c r="AA17" s="185"/>
      <c r="AB17" s="800"/>
      <c r="AC17" s="1108"/>
      <c r="AD17" s="164"/>
      <c r="AE17" s="178">
        <f ca="1">SUM(AE$18:AE$21)</f>
        <v>53465.583521187502</v>
      </c>
      <c r="AF17" s="179">
        <f t="shared" ref="AF17:AF42" ca="1" si="2">IFERROR(AE17/AA$4,0)</f>
        <v>7.6046736973813381E-2</v>
      </c>
      <c r="AG17" s="180"/>
      <c r="AH17" s="181"/>
      <c r="AI17" s="178">
        <f ca="1">SUM(AI$18:AI$21)</f>
        <v>-53465.583521187502</v>
      </c>
      <c r="AJ17" s="182">
        <f ca="1">IFERROR(AI17/AA$4,0)</f>
        <v>-7.6046736973813381E-2</v>
      </c>
      <c r="AK17" s="180"/>
      <c r="AL17" s="181"/>
      <c r="AM17" s="178">
        <f ca="1">SUM(AM$18:AM$21)</f>
        <v>0</v>
      </c>
      <c r="AN17" s="182">
        <f t="shared" ref="AN17:AN42" ca="1" si="3">IFERROR(AM17/AA$4,0)</f>
        <v>0</v>
      </c>
      <c r="AO17" s="181"/>
      <c r="AP17" s="181"/>
      <c r="AQ17" s="178">
        <f ca="1">SUM(AQ$18:AQ$21)</f>
        <v>53465.583521187502</v>
      </c>
      <c r="AR17" s="802">
        <f ca="1">IFERROR(AQ17/AA$4,0)</f>
        <v>7.6046736973813381E-2</v>
      </c>
      <c r="AS17" s="1007" t="str">
        <f ca="1">IF(SUM(AF17,AN17,AR17)&lt;&gt;0,"V","")</f>
        <v>V</v>
      </c>
      <c r="AT17" s="185"/>
      <c r="AU17" s="800"/>
      <c r="AV17" s="1108"/>
      <c r="AW17" s="164"/>
      <c r="AX17" s="178">
        <f ca="1">SUM(AX$18:AX$21)</f>
        <v>91119.398345337497</v>
      </c>
      <c r="AY17" s="179">
        <f t="shared" ref="AY17:AY42" ca="1" si="4">IFERROR(AX17/AT$4,0)</f>
        <v>7.8467495618872993E-2</v>
      </c>
      <c r="AZ17" s="180"/>
      <c r="BA17" s="181"/>
      <c r="BB17" s="178">
        <f ca="1">SUM(BB$18:BB$21)</f>
        <v>-91119.398345337497</v>
      </c>
      <c r="BC17" s="182">
        <f ca="1">IFERROR(BB17/AT$4,0)</f>
        <v>-7.8467495618872993E-2</v>
      </c>
      <c r="BD17" s="180"/>
      <c r="BE17" s="181"/>
      <c r="BF17" s="178">
        <f ca="1">SUM(BF$18:BF$21)</f>
        <v>0</v>
      </c>
      <c r="BG17" s="182">
        <f t="shared" ref="BG17:BG42" ca="1" si="5">IFERROR(BF17/AT$4,0)</f>
        <v>0</v>
      </c>
      <c r="BH17" s="181"/>
      <c r="BI17" s="181"/>
      <c r="BJ17" s="178">
        <f ca="1">SUM(BJ$18:BJ$21)</f>
        <v>91119.398345337497</v>
      </c>
      <c r="BK17" s="802">
        <f ca="1">IFERROR(BJ17/AT$4,0)</f>
        <v>7.8467495618872993E-2</v>
      </c>
      <c r="BL17" s="1007" t="str">
        <f ca="1">IF(SUM(AY17,BG17,BK17)&lt;&gt;0,"V","")</f>
        <v>V</v>
      </c>
      <c r="BM17" s="185"/>
      <c r="BN17" s="800"/>
      <c r="BO17" s="1108"/>
      <c r="BP17" s="164"/>
      <c r="BQ17" s="178">
        <f ca="1">SUM(BQ$18:BQ$21)</f>
        <v>45486.897012696005</v>
      </c>
      <c r="BR17" s="179">
        <f t="shared" ref="BR17:BR79" ca="1" si="6">IFERROR(BQ17/BM$4,0)</f>
        <v>7.1941528950892383E-2</v>
      </c>
      <c r="BS17" s="180"/>
      <c r="BT17" s="181"/>
      <c r="BU17" s="178">
        <f ca="1">SUM(BU$18:BU$21)</f>
        <v>-45486.897012696005</v>
      </c>
      <c r="BV17" s="182">
        <f ca="1">IFERROR(BU17/BM$4,0)</f>
        <v>-7.1941528950892383E-2</v>
      </c>
      <c r="BW17" s="180"/>
      <c r="BX17" s="181"/>
      <c r="BY17" s="178">
        <f ca="1">SUM(BY$18:BY$21)</f>
        <v>0</v>
      </c>
      <c r="BZ17" s="182">
        <f t="shared" ref="BZ17:BZ79" ca="1" si="7">IFERROR(BY17/BM$4,0)</f>
        <v>0</v>
      </c>
      <c r="CA17" s="181"/>
      <c r="CB17" s="181"/>
      <c r="CC17" s="178">
        <f ca="1">SUM(CC$18:CC$21)</f>
        <v>45486.897012696005</v>
      </c>
      <c r="CD17" s="802">
        <f ca="1">IFERROR(CC17/BM$4,0)</f>
        <v>7.1941528950892383E-2</v>
      </c>
      <c r="CE17" s="1007" t="str">
        <f ca="1">IF(SUM(BR17,BZ17,CD17)&lt;&gt;0,"V","")</f>
        <v>V</v>
      </c>
      <c r="CF17" s="185"/>
      <c r="CG17" s="800"/>
      <c r="CH17" s="1108"/>
      <c r="CI17" s="164"/>
      <c r="CJ17" s="178">
        <f ca="1">SUM(CJ$18:CJ$21)</f>
        <v>19075.366353651501</v>
      </c>
      <c r="CK17" s="179">
        <f t="shared" ref="CK17:CK42" ca="1" si="8">IFERROR(CJ17/CF$4,0)</f>
        <v>0.11962749017464706</v>
      </c>
      <c r="CL17" s="180"/>
      <c r="CM17" s="181"/>
      <c r="CN17" s="178">
        <f ca="1">SUM(CN$18:CN$21)</f>
        <v>-19075.366353651501</v>
      </c>
      <c r="CO17" s="182">
        <f ca="1">IFERROR(CN17/CF$4,0)</f>
        <v>-0.11962749017464706</v>
      </c>
      <c r="CP17" s="180"/>
      <c r="CQ17" s="181"/>
      <c r="CR17" s="178">
        <f ca="1">SUM(CR$18:CR$21)</f>
        <v>0</v>
      </c>
      <c r="CS17" s="182">
        <f t="shared" ref="CS17:CS42" ca="1" si="9">IFERROR(CR17/CF$4,0)</f>
        <v>0</v>
      </c>
      <c r="CT17" s="181"/>
      <c r="CU17" s="181"/>
      <c r="CV17" s="178">
        <f ca="1">SUM(CV$18:CV$21)</f>
        <v>19075.366353651498</v>
      </c>
      <c r="CW17" s="802">
        <f ca="1">IFERROR(CV17/CF$4,0)</f>
        <v>0.11962749017464704</v>
      </c>
      <c r="CX17" s="1007" t="str">
        <f ca="1">IF(SUM(CK17,CS17,CW17)&lt;&gt;0,"V","")</f>
        <v>V</v>
      </c>
    </row>
    <row r="18" spans="1:102" ht="12" customHeight="1" outlineLevel="1" x14ac:dyDescent="0.2">
      <c r="A18" s="188"/>
      <c r="B18" s="188"/>
      <c r="C18" s="188" t="s">
        <v>832</v>
      </c>
      <c r="D18" s="189">
        <f t="shared" ref="D18:E20" ca="1" si="10">OFFSET(Origine,MATCH($C18,smo_ids,0),MATCH(D$16,Intestazioni,0)-1,1,1)</f>
        <v>0</v>
      </c>
      <c r="E18" s="189" t="str">
        <f t="shared" ca="1" si="10"/>
        <v>990879</v>
      </c>
      <c r="F18" s="188" t="s">
        <v>427</v>
      </c>
      <c r="G18" s="190"/>
      <c r="H18" s="1676" t="str">
        <f ca="1">IF(OFFSET(Origine,MATCH($C18,smo_ids,0),MATCH(H$16,Intestazioni,0)-1,1,1)&lt;&gt;"",HYPERLINK(OFFSET(Origine,MATCH($C18,smo_ids,0),MATCH(H$16,Intestazioni,0)-1,1,1),""),"")</f>
        <v></v>
      </c>
      <c r="I18" s="1676" t="str">
        <f ca="1">IF(OFFSET(Origine,MATCH($C18,smo_ids,0),MATCH(I$16,Intestazioni,0)-1,1,1)&lt;&gt;"",HYPERLINK(OFFSET(Origine,MATCH($C18,smo_ids,0),MATCH(I$16,Intestazioni,0)-1,1,1),"i"),"")</f>
        <v/>
      </c>
      <c r="J18" s="1744" t="str">
        <f t="shared" ref="J18:K21" ca="1" si="11">IF(OFFSET(Origine,MATCH($C18,smo_ids,0),MATCH(J$16,Intestazioni,0)-1,1,1)&lt;&gt;"",HYPERLINK(OFFSET(Origine,MATCH($C18,smo_ids,0),MATCH(J$16,Intestazioni,0)-1,1,1),""),"")</f>
        <v/>
      </c>
      <c r="K18" s="1704" t="str">
        <f t="shared" ca="1" si="11"/>
        <v></v>
      </c>
      <c r="L18" s="1704" t="str">
        <f ca="1">IF(OFFSET(Origine,MATCH($C18,smo_ids,0),MATCH(L$16,Intestazioni,0)-1,1,1)&lt;&gt;"",HYPERLINK("https://www.zonebourse.com/mods_a/charts/TV/inc_dyna_graph.php?c="&amp;OFFSET(Origine,MATCH($C18,smo_ids,0),MATCH(L$16,Intestazioni,0)-1,1,1)&amp;"&amp;style=TradingView.CANDLES&amp;showAT=1",""),"")</f>
        <v/>
      </c>
      <c r="M18" s="1777"/>
      <c r="N18" s="191"/>
      <c r="O18" s="191"/>
      <c r="P18" s="192">
        <f t="shared" ca="1" si="1"/>
        <v>3.8021740781455135E-2</v>
      </c>
      <c r="Q18" s="193">
        <f t="array" aca="1" ref="Q18" ca="1">SUM(IF($AA$16:$FB$16="I_pos",AA18:FB18))</f>
        <v>101424.11</v>
      </c>
      <c r="R18" s="193"/>
      <c r="S18" s="188"/>
      <c r="T18" s="193"/>
      <c r="U18" s="194">
        <f ca="1">OFFSET(Origine,MATCH($C18,smo_ids,0),MATCH(U$16,Intestazioni,0)-1,1,1)</f>
        <v>0</v>
      </c>
      <c r="V18" s="1109">
        <f t="shared" ref="V18:V21" si="12">SUMIF($AA$16:$CW$16,"O_Pos",$AA18:$CW18)</f>
        <v>0</v>
      </c>
      <c r="W18" s="188" t="str">
        <f t="shared" ref="W18:W20" si="13">RIGHT(F18,3)</f>
        <v>EUR</v>
      </c>
      <c r="X18" s="195">
        <v>1</v>
      </c>
      <c r="Y18" s="195"/>
      <c r="Z18" s="196">
        <f ca="1">_xlfn.NUMBERVALUE(OFFSET(Origine,MATCH(W18&amp;"/"&amp;MRif,LUKB_Name,0),MATCH("Price",Intestazioni,0)-1,1,1))</f>
        <v>1</v>
      </c>
      <c r="AA18" s="197">
        <v>26936.03</v>
      </c>
      <c r="AB18" s="200"/>
      <c r="AC18" s="411"/>
      <c r="AD18" s="199">
        <f>AA18</f>
        <v>26936.03</v>
      </c>
      <c r="AE18" s="200">
        <f ca="1">AD18*$Z18</f>
        <v>26936.03</v>
      </c>
      <c r="AF18" s="201">
        <f t="shared" ca="1" si="2"/>
        <v>3.8312444260839337E-2</v>
      </c>
      <c r="AG18" s="202">
        <f ca="1">AH18/$X18</f>
        <v>-26936.030000000002</v>
      </c>
      <c r="AH18" s="203">
        <f ca="1">AI18/$Z18</f>
        <v>-26936.030000000002</v>
      </c>
      <c r="AI18" s="203">
        <f ca="1">AJ18*AA$4</f>
        <v>-26936.030000000002</v>
      </c>
      <c r="AJ18" s="204">
        <f ca="1">$N18-AF18</f>
        <v>-3.8312444260839337E-2</v>
      </c>
      <c r="AK18" s="205"/>
      <c r="AL18" s="206" cm="1">
        <f t="array" aca="1" ref="AL18" ca="1">AK18-SUM(IF($W$19:$W$118=$W18,IF($T$19:$T$118="",AM$19:AM$118)))-SUMPRODUCT($Z$19:$Z$21,AK19:AK21)</f>
        <v>0</v>
      </c>
      <c r="AM18" s="206">
        <f t="shared" ref="AM18:AM19" ca="1" si="14">AL18*$Z18</f>
        <v>0</v>
      </c>
      <c r="AN18" s="207">
        <f t="shared" ca="1" si="3"/>
        <v>0</v>
      </c>
      <c r="AO18" s="193">
        <f ca="1">AD18+AL18</f>
        <v>26936.03</v>
      </c>
      <c r="AP18" s="193">
        <f ca="1">AO18</f>
        <v>26936.03</v>
      </c>
      <c r="AQ18" s="193">
        <f ca="1">AP18*$Z18</f>
        <v>26936.03</v>
      </c>
      <c r="AR18" s="806">
        <f ca="1">AQ18/AA$4</f>
        <v>3.8312444260839337E-2</v>
      </c>
      <c r="AS18" s="1007" t="str">
        <f t="shared" ref="AS18:AS71" ca="1" si="15">IF(SUM(AF18,AN18,AR18)&lt;&gt;0,"V","")</f>
        <v>V</v>
      </c>
      <c r="AT18" s="197">
        <v>41791.47</v>
      </c>
      <c r="AU18" s="200"/>
      <c r="AV18" s="411"/>
      <c r="AW18" s="199">
        <f>AT18*$X18</f>
        <v>41791.47</v>
      </c>
      <c r="AX18" s="200">
        <f ca="1">AW18*$Z18</f>
        <v>41791.47</v>
      </c>
      <c r="AY18" s="201">
        <f t="shared" ca="1" si="4"/>
        <v>3.5988736193175927E-2</v>
      </c>
      <c r="AZ18" s="202">
        <f ca="1">BA18/$X18</f>
        <v>-41791.47</v>
      </c>
      <c r="BA18" s="203">
        <f ca="1">BB18/$Z18</f>
        <v>-41791.47</v>
      </c>
      <c r="BB18" s="203">
        <f ca="1">BC18*AT$4</f>
        <v>-41791.47</v>
      </c>
      <c r="BC18" s="204">
        <f ca="1">$N18-AY18</f>
        <v>-3.5988736193175927E-2</v>
      </c>
      <c r="BD18" s="205"/>
      <c r="BE18" s="206" cm="1">
        <f t="array" aca="1" ref="BE18" ca="1">BD18-SUM(IF($W$19:$W$118=$W18,IF($T$19:$T$118="",BF$19:BF$118)))-SUMPRODUCT($Z$19:$Z$21,BD19:BD21)</f>
        <v>0</v>
      </c>
      <c r="BF18" s="206">
        <f t="shared" ref="BF18:BF19" ca="1" si="16">BE18*$Z18</f>
        <v>0</v>
      </c>
      <c r="BG18" s="207">
        <f t="shared" ca="1" si="5"/>
        <v>0</v>
      </c>
      <c r="BH18" s="193">
        <f ca="1">AW18+BE18</f>
        <v>41791.47</v>
      </c>
      <c r="BI18" s="193">
        <f ca="1">BH18</f>
        <v>41791.47</v>
      </c>
      <c r="BJ18" s="193">
        <f ca="1">BI18*$Z18</f>
        <v>41791.47</v>
      </c>
      <c r="BK18" s="806">
        <f ca="1">BJ18/AT$4</f>
        <v>3.5988736193175927E-2</v>
      </c>
      <c r="BL18" s="1007" t="str">
        <f t="shared" ref="BL18:BL71" ca="1" si="17">IF(SUM(AY18,BG18,BK18)&lt;&gt;0,"V","")</f>
        <v>V</v>
      </c>
      <c r="BM18" s="197">
        <v>26196.65</v>
      </c>
      <c r="BN18" s="200"/>
      <c r="BO18" s="411"/>
      <c r="BP18" s="199">
        <f>BM18*$X18</f>
        <v>26196.65</v>
      </c>
      <c r="BQ18" s="200">
        <f ca="1">BP18*$Z18</f>
        <v>26196.65</v>
      </c>
      <c r="BR18" s="201">
        <f t="shared" ca="1" si="6"/>
        <v>4.1432306403872098E-2</v>
      </c>
      <c r="BS18" s="202">
        <f ca="1">BT18/$X18</f>
        <v>-26196.65</v>
      </c>
      <c r="BT18" s="203">
        <f ca="1">BU18/$Z18</f>
        <v>-26196.65</v>
      </c>
      <c r="BU18" s="203">
        <f ca="1">BV18*BM$4</f>
        <v>-26196.65</v>
      </c>
      <c r="BV18" s="204">
        <f ca="1">$N18-BR18</f>
        <v>-4.1432306403872098E-2</v>
      </c>
      <c r="BW18" s="205"/>
      <c r="BX18" s="206" cm="1">
        <f t="array" aca="1" ref="BX18" ca="1">BW18-SUM(IF($W$19:$W$118=$W18,IF($T$19:$T$118="",BY$19:BY$118)))-SUMPRODUCT($Z$19:$Z$21,BW19:BW21)</f>
        <v>0</v>
      </c>
      <c r="BY18" s="206">
        <f t="shared" ref="BY18:BY19" ca="1" si="18">BX18*$Z18</f>
        <v>0</v>
      </c>
      <c r="BZ18" s="207">
        <f t="shared" ca="1" si="7"/>
        <v>0</v>
      </c>
      <c r="CA18" s="193">
        <f ca="1">BP18+BX18</f>
        <v>26196.65</v>
      </c>
      <c r="CB18" s="193">
        <f ca="1">CA18</f>
        <v>26196.65</v>
      </c>
      <c r="CC18" s="193">
        <f ca="1">CB18*$Z18</f>
        <v>26196.65</v>
      </c>
      <c r="CD18" s="806">
        <f ca="1">CC18/BM$4</f>
        <v>4.1432306403872098E-2</v>
      </c>
      <c r="CE18" s="1007" t="str">
        <f t="shared" ref="CE18:CE71" ca="1" si="19">IF(SUM(BR18,BZ18,CD18)&lt;&gt;0,"V","")</f>
        <v>V</v>
      </c>
      <c r="CF18" s="197">
        <v>6499.96</v>
      </c>
      <c r="CG18" s="200"/>
      <c r="CH18" s="411"/>
      <c r="CI18" s="199">
        <f>CF18*$X18</f>
        <v>6499.96</v>
      </c>
      <c r="CJ18" s="200">
        <f ca="1">CI18*$Z18</f>
        <v>6499.96</v>
      </c>
      <c r="CK18" s="201">
        <f t="shared" ca="1" si="8"/>
        <v>4.0763248611828201E-2</v>
      </c>
      <c r="CL18" s="202">
        <f ca="1">CM18/$X18</f>
        <v>-6499.96</v>
      </c>
      <c r="CM18" s="203">
        <f ca="1">CN18/$Z18</f>
        <v>-6499.96</v>
      </c>
      <c r="CN18" s="203">
        <f ca="1">CO18*CF$4</f>
        <v>-6499.96</v>
      </c>
      <c r="CO18" s="204">
        <f ca="1">$O18-CK18</f>
        <v>-4.0763248611828201E-2</v>
      </c>
      <c r="CP18" s="205"/>
      <c r="CQ18" s="206" cm="1">
        <f t="array" aca="1" ref="CQ18" ca="1">CP18-SUM(IF($W$19:$W$118=$W18,IF($T$19:$T$118="",CR$19:CR$118)))-SUMPRODUCT($Z$19:$Z$21,CP19:CP21)</f>
        <v>3017</v>
      </c>
      <c r="CR18" s="206">
        <f t="shared" ref="CR18:CR19" ca="1" si="20">CQ18*$Z18</f>
        <v>3017</v>
      </c>
      <c r="CS18" s="207">
        <f t="shared" ca="1" si="9"/>
        <v>1.8920535058967389E-2</v>
      </c>
      <c r="CT18" s="193">
        <f ca="1">CI18+CQ18</f>
        <v>9516.9599999999991</v>
      </c>
      <c r="CU18" s="193">
        <f ca="1">CT18</f>
        <v>9516.9599999999991</v>
      </c>
      <c r="CV18" s="193">
        <f ca="1">CU18*$Z18</f>
        <v>9516.9599999999991</v>
      </c>
      <c r="CW18" s="806">
        <f ca="1">CV18/CF$4</f>
        <v>5.9683783670795583E-2</v>
      </c>
      <c r="CX18" s="1007" t="str">
        <f t="shared" ref="CX18:CX71" ca="1" si="21">IF(SUM(CK18,CS18,CW18)&lt;&gt;0,"V","")</f>
        <v>V</v>
      </c>
    </row>
    <row r="19" spans="1:102" ht="12" customHeight="1" outlineLevel="1" x14ac:dyDescent="0.2">
      <c r="A19" s="188"/>
      <c r="B19" s="188"/>
      <c r="C19" s="188" t="s">
        <v>833</v>
      </c>
      <c r="D19" s="189" t="str">
        <f t="shared" ca="1" si="10"/>
        <v>CH0009688802</v>
      </c>
      <c r="E19" s="189" t="str">
        <f t="shared" ca="1" si="10"/>
        <v>968880</v>
      </c>
      <c r="F19" s="188" t="s">
        <v>391</v>
      </c>
      <c r="G19" s="190"/>
      <c r="H19" s="1676" t="str">
        <f ca="1">IF(OFFSET(Origine,MATCH($C19,smo_ids,0),MATCH(H$16,Intestazioni,0)-1,1,1)&lt;&gt;"",HYPERLINK(OFFSET(Origine,MATCH($C19,smo_ids,0),MATCH(H$16,Intestazioni,0)-1,1,1),""),"")</f>
        <v></v>
      </c>
      <c r="I19" s="1676" t="str">
        <f ca="1">IF(OFFSET(Origine,MATCH($C19,smo_ids,0),MATCH(I$16,Intestazioni,0)-1,1,1)&lt;&gt;"",HYPERLINK(OFFSET(Origine,MATCH($C19,smo_ids,0),MATCH(I$16,Intestazioni,0)-1,1,1),"i"),"")</f>
        <v/>
      </c>
      <c r="J19" s="1744" t="str">
        <f t="shared" ca="1" si="11"/>
        <v/>
      </c>
      <c r="K19" s="1704" t="str">
        <f t="shared" ca="1" si="11"/>
        <v></v>
      </c>
      <c r="L19" s="1704" t="str">
        <f ca="1">IF(OFFSET(Origine,MATCH($C19,smo_ids,0),MATCH(L$16,Intestazioni,0)-1,1,1)&lt;&gt;"",HYPERLINK("https://www.zonebourse.com/mods_a/charts/TV/inc_dyna_graph.php?c="&amp;OFFSET(Origine,MATCH($C19,smo_ids,0),MATCH(L$16,Intestazioni,0)-1,1,1)&amp;"&amp;style=TradingView.CANDLES&amp;showAT=1",""),"")</f>
        <v/>
      </c>
      <c r="M19" s="1777"/>
      <c r="N19" s="191"/>
      <c r="O19" s="191"/>
      <c r="P19" s="192">
        <f t="shared" ca="1" si="1"/>
        <v>3.5804975329396534E-2</v>
      </c>
      <c r="Q19" s="193">
        <f t="array" aca="1" ref="Q19" ca="1">SUM(IF($AA$16:$FB$16="I_pos",AA19:FB19))</f>
        <v>89367.349999999991</v>
      </c>
      <c r="R19" s="193"/>
      <c r="S19" s="188"/>
      <c r="T19" s="193"/>
      <c r="U19" s="194">
        <f ca="1">OFFSET(Origine,MATCH($C19,smo_ids,0),MATCH(U$16,Intestazioni,0)-1,1,1)</f>
        <v>3.3595599999999997E-3</v>
      </c>
      <c r="V19" s="1109">
        <f t="shared" si="12"/>
        <v>0</v>
      </c>
      <c r="W19" s="188" t="str">
        <f t="shared" si="13"/>
        <v>CHF</v>
      </c>
      <c r="X19" s="195">
        <v>1</v>
      </c>
      <c r="Y19" s="195"/>
      <c r="Z19" s="196">
        <f ca="1">_xlfn.NUMBERVALUE(OFFSET(Origine,MATCH(W19&amp;"/"&amp;MRif,LUKB_Name,0),MATCH("Price",Intestazioni,0)-1,1,1))</f>
        <v>1.10173835</v>
      </c>
      <c r="AA19" s="197">
        <v>22796.25</v>
      </c>
      <c r="AB19" s="200"/>
      <c r="AC19" s="411"/>
      <c r="AD19" s="199">
        <f>AA19*$X19</f>
        <v>22796.25</v>
      </c>
      <c r="AE19" s="199">
        <f ca="1">AD19*$Z19</f>
        <v>25115.502861187499</v>
      </c>
      <c r="AF19" s="216">
        <f ca="1">IFERROR(AE19/AA$4,0)</f>
        <v>3.5723018702169429E-2</v>
      </c>
      <c r="AG19" s="202">
        <f ca="1">AH19/$X19</f>
        <v>-22796.249999999996</v>
      </c>
      <c r="AH19" s="203">
        <f ca="1">AI19/$Z19</f>
        <v>-22796.249999999996</v>
      </c>
      <c r="AI19" s="203">
        <f ca="1">AJ19*AA$4</f>
        <v>-25115.502861187495</v>
      </c>
      <c r="AJ19" s="204">
        <f ca="1">$N19-AF19</f>
        <v>-3.5723018702169429E-2</v>
      </c>
      <c r="AK19" s="205"/>
      <c r="AL19" s="206" cm="1">
        <f t="array" aca="1" ref="AL19" ca="1">AK19-SUM(IF($W$22:$W$118=$W19,IF($T$22:$T$118="",AL$22:AL$118)))</f>
        <v>0</v>
      </c>
      <c r="AM19" s="206">
        <f t="shared" ca="1" si="14"/>
        <v>0</v>
      </c>
      <c r="AN19" s="207">
        <f t="shared" ca="1" si="3"/>
        <v>0</v>
      </c>
      <c r="AO19" s="193">
        <f t="shared" ref="AO19:AO21" ca="1" si="22">AD19+AL19</f>
        <v>22796.25</v>
      </c>
      <c r="AP19" s="193">
        <f ca="1">AO19</f>
        <v>22796.25</v>
      </c>
      <c r="AQ19" s="193">
        <f ca="1">AP19*$Z19</f>
        <v>25115.502861187499</v>
      </c>
      <c r="AR19" s="806">
        <f ca="1">AQ19/AA$4</f>
        <v>3.5723018702169429E-2</v>
      </c>
      <c r="AS19" s="1007" t="str">
        <f t="shared" ca="1" si="15"/>
        <v>V</v>
      </c>
      <c r="AT19" s="197">
        <v>42745.25</v>
      </c>
      <c r="AU19" s="200"/>
      <c r="AV19" s="411"/>
      <c r="AW19" s="199">
        <f>AT19*$X19</f>
        <v>42745.25</v>
      </c>
      <c r="AX19" s="199">
        <f ca="1">AW19*$Z19</f>
        <v>47094.081205337498</v>
      </c>
      <c r="AY19" s="216">
        <f t="shared" ca="1" si="4"/>
        <v>4.0555081330206758E-2</v>
      </c>
      <c r="AZ19" s="202">
        <f ca="1">BA19/$X19</f>
        <v>-42745.25</v>
      </c>
      <c r="BA19" s="203">
        <f ca="1">BB19/$Z19</f>
        <v>-42745.25</v>
      </c>
      <c r="BB19" s="203">
        <f ca="1">BC19*AT$4</f>
        <v>-47094.081205337498</v>
      </c>
      <c r="BC19" s="204">
        <f ca="1">$N19-AY19</f>
        <v>-4.0555081330206758E-2</v>
      </c>
      <c r="BD19" s="205"/>
      <c r="BE19" s="206" cm="1">
        <f t="array" aca="1" ref="BE19" ca="1">BD19-SUM(IF($W$22:$W$118=$W19,IF($T$22:$T$118="",BE$22:BE$118)))</f>
        <v>0</v>
      </c>
      <c r="BF19" s="206">
        <f t="shared" ca="1" si="16"/>
        <v>0</v>
      </c>
      <c r="BG19" s="207">
        <f t="shared" ca="1" si="5"/>
        <v>0</v>
      </c>
      <c r="BH19" s="193">
        <f t="shared" ref="BH19:BH21" ca="1" si="23">AW19+BE19</f>
        <v>42745.25</v>
      </c>
      <c r="BI19" s="193">
        <f ca="1">BH19</f>
        <v>42745.25</v>
      </c>
      <c r="BJ19" s="193">
        <f ca="1">BI19*$Z19</f>
        <v>47094.081205337498</v>
      </c>
      <c r="BK19" s="806">
        <f ca="1">BJ19/AT$4</f>
        <v>4.0555081330206758E-2</v>
      </c>
      <c r="BL19" s="1007" t="str">
        <f t="shared" ca="1" si="17"/>
        <v>V</v>
      </c>
      <c r="BM19" s="197">
        <v>15593.76</v>
      </c>
      <c r="BN19" s="200"/>
      <c r="BO19" s="411"/>
      <c r="BP19" s="199">
        <f>BM19*$X19</f>
        <v>15593.76</v>
      </c>
      <c r="BQ19" s="199">
        <f ca="1">BP19*$Z19</f>
        <v>17180.243412696</v>
      </c>
      <c r="BR19" s="216">
        <f t="shared" ca="1" si="6"/>
        <v>2.7172066243887131E-2</v>
      </c>
      <c r="BS19" s="202">
        <f ca="1">BT19/$X19</f>
        <v>-15593.76</v>
      </c>
      <c r="BT19" s="203">
        <f ca="1">BU19/$Z19</f>
        <v>-15593.76</v>
      </c>
      <c r="BU19" s="203">
        <f ca="1">BV19*BM$4</f>
        <v>-17180.243412696</v>
      </c>
      <c r="BV19" s="204">
        <f ca="1">$N19-BR19</f>
        <v>-2.7172066243887131E-2</v>
      </c>
      <c r="BW19" s="205"/>
      <c r="BX19" s="206" cm="1">
        <f t="array" aca="1" ref="BX19" ca="1">BW19-SUM(IF($W$22:$W$118=$W19,IF($T$22:$T$118="",BX$22:BX$118)))</f>
        <v>0</v>
      </c>
      <c r="BY19" s="206">
        <f t="shared" ca="1" si="18"/>
        <v>0</v>
      </c>
      <c r="BZ19" s="207">
        <f t="shared" ca="1" si="7"/>
        <v>0</v>
      </c>
      <c r="CA19" s="193">
        <f t="shared" ref="CA19:CA21" ca="1" si="24">BP19+BX19</f>
        <v>15593.76</v>
      </c>
      <c r="CB19" s="193">
        <f ca="1">CA19</f>
        <v>15593.76</v>
      </c>
      <c r="CC19" s="193">
        <f ca="1">CB19*$Z19</f>
        <v>17180.243412696</v>
      </c>
      <c r="CD19" s="806">
        <f ca="1">CC19/BM$4</f>
        <v>2.7172066243887131E-2</v>
      </c>
      <c r="CE19" s="1007" t="str">
        <f t="shared" ca="1" si="19"/>
        <v>V</v>
      </c>
      <c r="CF19" s="197">
        <v>8232.09</v>
      </c>
      <c r="CG19" s="200"/>
      <c r="CH19" s="411"/>
      <c r="CI19" s="199">
        <f>CF19*$X19</f>
        <v>8232.09</v>
      </c>
      <c r="CJ19" s="199">
        <f ca="1">CI19*$Z19</f>
        <v>9069.6092536515007</v>
      </c>
      <c r="CK19" s="216">
        <f t="shared" ca="1" si="8"/>
        <v>5.6878309530940765E-2</v>
      </c>
      <c r="CL19" s="202">
        <f ca="1">CM19/$X19</f>
        <v>-8232.09</v>
      </c>
      <c r="CM19" s="203">
        <f ca="1">CN19/$Z19</f>
        <v>-8232.09</v>
      </c>
      <c r="CN19" s="203">
        <f ca="1">CO19*CF$4</f>
        <v>-9069.6092536515007</v>
      </c>
      <c r="CO19" s="204">
        <f ca="1">$O19-CK19</f>
        <v>-5.6878309530940765E-2</v>
      </c>
      <c r="CP19" s="205"/>
      <c r="CQ19" s="206" cm="1">
        <f t="array" aca="1" ref="CQ19" ca="1">CP19-SUM(IF($W$22:$W$118=$W19,IF($T$22:$T$118="",CQ$22:CQ$118)))</f>
        <v>0</v>
      </c>
      <c r="CR19" s="206">
        <f t="shared" ca="1" si="20"/>
        <v>0</v>
      </c>
      <c r="CS19" s="207">
        <f t="shared" ca="1" si="9"/>
        <v>0</v>
      </c>
      <c r="CT19" s="193">
        <f t="shared" ref="CT19:CT21" ca="1" si="25">CI19+CQ19</f>
        <v>8232.09</v>
      </c>
      <c r="CU19" s="193">
        <f ca="1">CT19</f>
        <v>8232.09</v>
      </c>
      <c r="CV19" s="193">
        <f ca="1">CU19*$Z19</f>
        <v>9069.6092536515007</v>
      </c>
      <c r="CW19" s="806">
        <f ca="1">CV19/CF$4</f>
        <v>5.6878309530940765E-2</v>
      </c>
      <c r="CX19" s="1007" t="str">
        <f t="shared" ca="1" si="21"/>
        <v>V</v>
      </c>
    </row>
    <row r="20" spans="1:102" ht="12" customHeight="1" outlineLevel="1" x14ac:dyDescent="0.2">
      <c r="A20" s="188"/>
      <c r="B20" s="188"/>
      <c r="C20" s="188" t="s">
        <v>834</v>
      </c>
      <c r="D20" s="189" t="str">
        <f t="shared" ca="1" si="10"/>
        <v>XD0009689841</v>
      </c>
      <c r="E20" s="189" t="str">
        <f t="shared" ca="1" si="10"/>
        <v>968984</v>
      </c>
      <c r="F20" s="188" t="s">
        <v>364</v>
      </c>
      <c r="G20" s="190"/>
      <c r="H20" s="1676" t="str">
        <f ca="1">IF(OFFSET(Origine,MATCH($C20,smo_ids,0),MATCH(H$16,Intestazioni,0)-1,1,1)&lt;&gt;"",HYPERLINK(OFFSET(Origine,MATCH($C20,smo_ids,0),MATCH(H$16,Intestazioni,0)-1,1,1),""),"")</f>
        <v></v>
      </c>
      <c r="I20" s="1676" t="str">
        <f ca="1">IF(OFFSET(Origine,MATCH($C20,smo_ids,0),MATCH(I$16,Intestazioni,0)-1,1,1)&lt;&gt;"",HYPERLINK(OFFSET(Origine,MATCH($C20,smo_ids,0),MATCH(I$16,Intestazioni,0)-1,1,1),"i"),"")</f>
        <v/>
      </c>
      <c r="J20" s="1744" t="str">
        <f t="shared" ca="1" si="11"/>
        <v/>
      </c>
      <c r="K20" s="1704" t="str">
        <f t="shared" ca="1" si="11"/>
        <v></v>
      </c>
      <c r="L20" s="1704" t="str">
        <f ca="1">IF(OFFSET(Origine,MATCH($C20,smo_ids,0),MATCH(L$16,Intestazioni,0)-1,1,1)&lt;&gt;"",HYPERLINK("https://www.zonebourse.com/mods_a/charts/TV/inc_dyna_graph.php?c="&amp;OFFSET(Origine,MATCH($C20,smo_ids,0),MATCH(L$16,Intestazioni,0)-1,1,1)&amp;"&amp;style=TradingView.CANDLES&amp;showAT=1",""),"")</f>
        <v/>
      </c>
      <c r="M20" s="1777"/>
      <c r="N20" s="191"/>
      <c r="O20" s="191"/>
      <c r="P20" s="192">
        <f t="shared" ca="1" si="1"/>
        <v>2.3063196718219503E-3</v>
      </c>
      <c r="Q20" s="193">
        <f t="array" aca="1" ref="Q20" ca="1">SUM(IF($AA$16:$FB$16="I_pos",AA20:FB20))</f>
        <v>10746.75</v>
      </c>
      <c r="R20" s="193"/>
      <c r="S20" s="188"/>
      <c r="T20" s="193"/>
      <c r="U20" s="194">
        <f ca="1">OFFSET(Origine,MATCH($C20,smo_ids,0),MATCH(U$16,Intestazioni,0)-1,1,1)</f>
        <v>7.4801299999999989E-3</v>
      </c>
      <c r="V20" s="1109">
        <f t="shared" si="12"/>
        <v>-3500</v>
      </c>
      <c r="W20" s="188" t="str">
        <f t="shared" si="13"/>
        <v>USD</v>
      </c>
      <c r="X20" s="195">
        <v>1</v>
      </c>
      <c r="Y20" s="195"/>
      <c r="Z20" s="196">
        <f ca="1">_xlfn.NUMBERVALUE(OFFSET(Origine,MATCH(W20&amp;"/"&amp;MRif,LUKB_Name,0),MATCH("Price",Intestazioni,0)-1,1,1))</f>
        <v>0.86199999999999999</v>
      </c>
      <c r="AA20" s="197">
        <v>1640.43</v>
      </c>
      <c r="AB20" s="200"/>
      <c r="AC20" s="411"/>
      <c r="AD20" s="199">
        <f>AA20*$X20</f>
        <v>1640.43</v>
      </c>
      <c r="AE20" s="199">
        <f ca="1">AD20*$Z20</f>
        <v>1414.0506600000001</v>
      </c>
      <c r="AF20" s="216">
        <f t="shared" ca="1" si="2"/>
        <v>2.011274010804602E-3</v>
      </c>
      <c r="AG20" s="202">
        <f ca="1">AH20/$X20</f>
        <v>-1640.43</v>
      </c>
      <c r="AH20" s="203">
        <f ca="1">AI20/$Z20</f>
        <v>-1640.43</v>
      </c>
      <c r="AI20" s="203">
        <f ca="1">AJ20*AA$4</f>
        <v>-1414.0506600000001</v>
      </c>
      <c r="AJ20" s="204">
        <f ca="1">$N20-AF20</f>
        <v>-2.011274010804602E-3</v>
      </c>
      <c r="AK20" s="205"/>
      <c r="AL20" s="206" cm="1">
        <f t="array" aca="1" ref="AL20" ca="1">AK20-SUM(IF($W$22:$W$118=$W20,IF($T$22:$T$118="",AL$22:AL$118)))</f>
        <v>0</v>
      </c>
      <c r="AM20" s="206">
        <f ca="1">AL20*$Z20</f>
        <v>0</v>
      </c>
      <c r="AN20" s="207">
        <f ca="1">IFERROR(AM20/AA$4,0)</f>
        <v>0</v>
      </c>
      <c r="AO20" s="193">
        <f t="shared" ca="1" si="22"/>
        <v>1640.43</v>
      </c>
      <c r="AP20" s="193">
        <f ca="1">AO20</f>
        <v>1640.43</v>
      </c>
      <c r="AQ20" s="193">
        <f ca="1">AP20*$Z20</f>
        <v>1414.0506600000001</v>
      </c>
      <c r="AR20" s="806">
        <f ca="1">AQ20/AA$4</f>
        <v>2.011274010804602E-3</v>
      </c>
      <c r="AS20" s="1007" t="str">
        <f t="shared" ca="1" si="15"/>
        <v>V</v>
      </c>
      <c r="AT20" s="197">
        <v>2591.4699999999998</v>
      </c>
      <c r="AU20" s="200"/>
      <c r="AV20" s="411"/>
      <c r="AW20" s="199">
        <f>AT20*$X20</f>
        <v>2591.4699999999998</v>
      </c>
      <c r="AX20" s="199">
        <f ca="1">AW20*$Z20</f>
        <v>2233.8471399999999</v>
      </c>
      <c r="AY20" s="216">
        <f t="shared" ca="1" si="4"/>
        <v>1.9236780954903123E-3</v>
      </c>
      <c r="AZ20" s="202">
        <f ca="1">BA20/$X20</f>
        <v>-2591.4699999999998</v>
      </c>
      <c r="BA20" s="203">
        <f ca="1">BB20/$Z20</f>
        <v>-2591.4699999999998</v>
      </c>
      <c r="BB20" s="203">
        <f ca="1">BC20*AT$4</f>
        <v>-2233.8471399999999</v>
      </c>
      <c r="BC20" s="204">
        <f ca="1">$N20-AY20</f>
        <v>-1.9236780954903123E-3</v>
      </c>
      <c r="BD20" s="205"/>
      <c r="BE20" s="206" cm="1">
        <f t="array" aca="1" ref="BE20" ca="1">BD20-SUM(IF($W$22:$W$118=$W20,IF($T$22:$T$118="",BE$22:BE$118)))</f>
        <v>0</v>
      </c>
      <c r="BF20" s="206">
        <f ca="1">BE20*$Z20</f>
        <v>0</v>
      </c>
      <c r="BG20" s="207">
        <f ca="1">IFERROR(BF20/AT$4,0)</f>
        <v>0</v>
      </c>
      <c r="BH20" s="193">
        <f t="shared" ca="1" si="23"/>
        <v>2591.4699999999998</v>
      </c>
      <c r="BI20" s="193">
        <f ca="1">BH20</f>
        <v>2591.4699999999998</v>
      </c>
      <c r="BJ20" s="193">
        <f ca="1">BI20*$Z20</f>
        <v>2233.8471399999999</v>
      </c>
      <c r="BK20" s="806">
        <f ca="1">BJ20/AT$4</f>
        <v>1.9236780954903123E-3</v>
      </c>
      <c r="BL20" s="1007" t="str">
        <f t="shared" ca="1" si="17"/>
        <v>V</v>
      </c>
      <c r="BM20" s="197">
        <v>2447.8000000000002</v>
      </c>
      <c r="BN20" s="200"/>
      <c r="BO20" s="411"/>
      <c r="BP20" s="199">
        <f>BM20*$X20</f>
        <v>2447.8000000000002</v>
      </c>
      <c r="BQ20" s="199">
        <f ca="1">BP20*$Z20</f>
        <v>2110.0036</v>
      </c>
      <c r="BR20" s="216">
        <f t="shared" ca="1" si="6"/>
        <v>3.3371563031331553E-3</v>
      </c>
      <c r="BS20" s="202">
        <f ca="1">BT20/$X20</f>
        <v>-2447.8000000000002</v>
      </c>
      <c r="BT20" s="203">
        <f ca="1">BU20/$Z20</f>
        <v>-2447.8000000000002</v>
      </c>
      <c r="BU20" s="203">
        <f ca="1">BV20*BM$4</f>
        <v>-2110.0036</v>
      </c>
      <c r="BV20" s="204">
        <f ca="1">$N20-BR20</f>
        <v>-3.3371563031331553E-3</v>
      </c>
      <c r="BW20" s="205"/>
      <c r="BX20" s="206" cm="1">
        <f t="array" aca="1" ref="BX20" ca="1">BW20-SUM(IF($W$22:$W$118=$W20,IF($T$22:$T$118="",BX$22:BX$118)))</f>
        <v>0</v>
      </c>
      <c r="BY20" s="206">
        <f ca="1">BX20*$Z20</f>
        <v>0</v>
      </c>
      <c r="BZ20" s="207">
        <f ca="1">IFERROR(BY20/BM$4,0)</f>
        <v>0</v>
      </c>
      <c r="CA20" s="193">
        <f t="shared" ca="1" si="24"/>
        <v>2447.8000000000002</v>
      </c>
      <c r="CB20" s="193">
        <f ca="1">CA20</f>
        <v>2447.8000000000002</v>
      </c>
      <c r="CC20" s="193">
        <f ca="1">CB20*$Z20</f>
        <v>2110.0036</v>
      </c>
      <c r="CD20" s="806">
        <f ca="1">CC20/BM$4</f>
        <v>3.3371563031331553E-3</v>
      </c>
      <c r="CE20" s="1007" t="str">
        <f t="shared" ca="1" si="19"/>
        <v>V</v>
      </c>
      <c r="CF20" s="197">
        <v>4067.05</v>
      </c>
      <c r="CG20" s="200"/>
      <c r="CH20" s="411"/>
      <c r="CI20" s="199">
        <f>CF20*$X20</f>
        <v>4067.05</v>
      </c>
      <c r="CJ20" s="199">
        <f ca="1">CI20*$Z20</f>
        <v>3505.7971000000002</v>
      </c>
      <c r="CK20" s="216">
        <f t="shared" ca="1" si="8"/>
        <v>2.1985932031878094E-2</v>
      </c>
      <c r="CL20" s="202">
        <f ca="1">CM20/$X20</f>
        <v>-4067.05</v>
      </c>
      <c r="CM20" s="203">
        <f ca="1">CN20/$Z20</f>
        <v>-4067.05</v>
      </c>
      <c r="CN20" s="203">
        <f ca="1">CO20*CF$4</f>
        <v>-3505.7971000000002</v>
      </c>
      <c r="CO20" s="204">
        <f ca="1">$O20-CK20</f>
        <v>-2.1985932031878094E-2</v>
      </c>
      <c r="CP20" s="205">
        <v>-3500</v>
      </c>
      <c r="CQ20" s="206" cm="1">
        <f t="array" aca="1" ref="CQ20" ca="1">CP20-SUM(IF($W$22:$W$118=$W20,IF($T$22:$T$118="",CQ$22:CQ$118)))</f>
        <v>-3500</v>
      </c>
      <c r="CR20" s="206">
        <f ca="1">CQ20*$Z20</f>
        <v>-3017</v>
      </c>
      <c r="CS20" s="207">
        <f ca="1">IFERROR(CR20/CF$4,0)</f>
        <v>-1.8920535058967389E-2</v>
      </c>
      <c r="CT20" s="193">
        <f t="shared" ca="1" si="25"/>
        <v>567.05000000000018</v>
      </c>
      <c r="CU20" s="193">
        <f ca="1">CT20</f>
        <v>567.05000000000018</v>
      </c>
      <c r="CV20" s="193">
        <f ca="1">CU20*$Z20</f>
        <v>488.79710000000017</v>
      </c>
      <c r="CW20" s="806">
        <f ca="1">CV20/CF$4</f>
        <v>3.0653969729107036E-3</v>
      </c>
      <c r="CX20" s="1007" t="str">
        <f t="shared" ca="1" si="21"/>
        <v>V</v>
      </c>
    </row>
    <row r="21" spans="1:102" ht="12"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6" t="str">
        <f ca="1">IF(OFFSET(Origine,MATCH($C21,smo_ids,0),MATCH(H$16,Intestazioni,0)-1,1,1)&lt;&gt;"",HYPERLINK(OFFSET(Origine,MATCH($C21,smo_ids,0),MATCH(H$16,Intestazioni,0)-1,1,1),""),"")</f>
        <v></v>
      </c>
      <c r="I21" s="1676" t="str">
        <f ca="1">IF(OFFSET(Origine,MATCH($C21,smo_ids,0),MATCH(I$16,Intestazioni,0)-1,1,1)&lt;&gt;"",HYPERLINK(OFFSET(Origine,MATCH($C21,smo_ids,0),MATCH(I$16,Intestazioni,0)-1,1,1),"i"),"")</f>
        <v/>
      </c>
      <c r="J21" s="1744" t="str">
        <f t="shared" ca="1" si="11"/>
        <v/>
      </c>
      <c r="K21" s="1704" t="str">
        <f t="shared" ca="1" si="11"/>
        <v></v>
      </c>
      <c r="L21" s="1704" t="str">
        <f ca="1">IF(OFFSET(Origine,MATCH($C21,smo_ids,0),MATCH(L$16,Intestazioni,0)-1,1,1)&lt;&gt;"",HYPERLINK("https://www.zonebourse.com/mods_a/charts/TV/inc_dyna_graph.php?c="&amp;OFFSET(Origine,MATCH($C21,smo_ids,0),MATCH(L$16,Intestazioni,0)-1,1,1)&amp;"&amp;style=TradingView.CANDLES&amp;showAT=1",""),"")</f>
        <v/>
      </c>
      <c r="M21" s="1777"/>
      <c r="N21" s="191"/>
      <c r="O21" s="191"/>
      <c r="P21" s="192">
        <f t="shared" ca="1" si="1"/>
        <v>0</v>
      </c>
      <c r="Q21" s="193">
        <f t="array" aca="1" ref="Q21" ca="1">SUM(IF($AA$16:$FB$16="I_pos",AA21:FB21))</f>
        <v>0</v>
      </c>
      <c r="R21" s="193"/>
      <c r="S21" s="188"/>
      <c r="T21" s="193"/>
      <c r="U21" s="194">
        <f ca="1">OFFSET(Origine,MATCH($C21,smo_ids,0),MATCH(U$16,Intestazioni,0)-1,1,1)</f>
        <v>2.1744000000000004E-3</v>
      </c>
      <c r="V21" s="1109">
        <f t="shared" si="12"/>
        <v>0</v>
      </c>
      <c r="W21" s="188" t="str">
        <f>RIGHT(F21,3)</f>
        <v>GBP</v>
      </c>
      <c r="X21" s="195">
        <v>1</v>
      </c>
      <c r="Y21" s="195"/>
      <c r="Z21" s="196">
        <f ca="1">_xlfn.NUMBERVALUE(OFFSET(Origine,MATCH(W21&amp;"/"&amp;MRif,LUKB_Name,0),MATCH("Price",Intestazioni,0)-1,1,1))</f>
        <v>1.1492567300000001</v>
      </c>
      <c r="AA21" s="197"/>
      <c r="AB21" s="200"/>
      <c r="AC21" s="411"/>
      <c r="AD21" s="199">
        <f>AA21*$X21</f>
        <v>0</v>
      </c>
      <c r="AE21" s="199">
        <f ca="1">AD21*$Z21</f>
        <v>0</v>
      </c>
      <c r="AF21" s="216">
        <f ca="1">IFERROR(AE21/AA$4,0)</f>
        <v>0</v>
      </c>
      <c r="AG21" s="202">
        <f ca="1">AH21/$X21</f>
        <v>0</v>
      </c>
      <c r="AH21" s="203">
        <f ca="1">AI21/$Z21</f>
        <v>0</v>
      </c>
      <c r="AI21" s="203">
        <f ca="1">AJ21*AA$4</f>
        <v>0</v>
      </c>
      <c r="AJ21" s="204">
        <f ca="1">$N21-AF21</f>
        <v>0</v>
      </c>
      <c r="AK21" s="205"/>
      <c r="AL21" s="206" cm="1">
        <f t="array" aca="1" ref="AL21" ca="1">AK21-SUM(IF($W$22:$W$118=$W21,IF($T$22:$T$118="",AL$22:AL$118)))</f>
        <v>0</v>
      </c>
      <c r="AM21" s="206">
        <f ca="1">AL21*$Z21</f>
        <v>0</v>
      </c>
      <c r="AN21" s="207">
        <f ca="1">IFERROR(AM21/AA$4,0)</f>
        <v>0</v>
      </c>
      <c r="AO21" s="193">
        <f t="shared" ca="1" si="22"/>
        <v>0</v>
      </c>
      <c r="AP21" s="193">
        <f ca="1">AO21</f>
        <v>0</v>
      </c>
      <c r="AQ21" s="193">
        <f ca="1">AP21*$Z21</f>
        <v>0</v>
      </c>
      <c r="AR21" s="806">
        <f ca="1">AQ21/AA$4</f>
        <v>0</v>
      </c>
      <c r="AS21" s="1007" t="str">
        <f t="shared" ca="1" si="15"/>
        <v/>
      </c>
      <c r="AT21" s="197">
        <v>0</v>
      </c>
      <c r="AU21" s="200"/>
      <c r="AV21" s="411"/>
      <c r="AW21" s="199">
        <f>AT21*$X21</f>
        <v>0</v>
      </c>
      <c r="AX21" s="199">
        <f ca="1">AW21*$Z21</f>
        <v>0</v>
      </c>
      <c r="AY21" s="216">
        <f ca="1">IFERROR(AX21/AT$4,0)</f>
        <v>0</v>
      </c>
      <c r="AZ21" s="202">
        <f ca="1">BA21/$X21</f>
        <v>0</v>
      </c>
      <c r="BA21" s="203">
        <f ca="1">BB21/$Z21</f>
        <v>0</v>
      </c>
      <c r="BB21" s="203">
        <f ca="1">BC21*AT$4</f>
        <v>0</v>
      </c>
      <c r="BC21" s="204">
        <f ca="1">$N21-AY21</f>
        <v>0</v>
      </c>
      <c r="BD21" s="205"/>
      <c r="BE21" s="206" cm="1">
        <f t="array" aca="1" ref="BE21" ca="1">BD21-SUM(IF($W$22:$W$118=$W21,IF($T$22:$T$118="",BE$22:BE$118)))</f>
        <v>0</v>
      </c>
      <c r="BF21" s="206">
        <f ca="1">BE21*$Z21</f>
        <v>0</v>
      </c>
      <c r="BG21" s="207">
        <f ca="1">IFERROR(BF21/AT$4,0)</f>
        <v>0</v>
      </c>
      <c r="BH21" s="193">
        <f t="shared" ca="1" si="23"/>
        <v>0</v>
      </c>
      <c r="BI21" s="193">
        <f ca="1">BH21</f>
        <v>0</v>
      </c>
      <c r="BJ21" s="193">
        <f ca="1">BI21*$Z21</f>
        <v>0</v>
      </c>
      <c r="BK21" s="806">
        <f ca="1">BJ21/AT$4</f>
        <v>0</v>
      </c>
      <c r="BL21" s="1007" t="str">
        <f t="shared" ca="1" si="17"/>
        <v/>
      </c>
      <c r="BM21" s="197">
        <v>0</v>
      </c>
      <c r="BN21" s="200"/>
      <c r="BO21" s="411"/>
      <c r="BP21" s="199">
        <f>BM21*$X21</f>
        <v>0</v>
      </c>
      <c r="BQ21" s="199">
        <f ca="1">BP21*$Z21</f>
        <v>0</v>
      </c>
      <c r="BR21" s="216">
        <f t="shared" ca="1" si="6"/>
        <v>0</v>
      </c>
      <c r="BS21" s="202">
        <f ca="1">BT21/$X21</f>
        <v>0</v>
      </c>
      <c r="BT21" s="203">
        <f ca="1">BU21/$Z21</f>
        <v>0</v>
      </c>
      <c r="BU21" s="203">
        <f ca="1">BV21*BM$4</f>
        <v>0</v>
      </c>
      <c r="BV21" s="204">
        <f ca="1">$N21-BR21</f>
        <v>0</v>
      </c>
      <c r="BW21" s="205"/>
      <c r="BX21" s="206" cm="1">
        <f t="array" aca="1" ref="BX21" ca="1">BW21-SUM(IF($W$22:$W$118=$W21,IF($T$22:$T$118="",BX$22:BX$118)))</f>
        <v>0</v>
      </c>
      <c r="BY21" s="206">
        <f ca="1">BX21*$Z21</f>
        <v>0</v>
      </c>
      <c r="BZ21" s="207">
        <f ca="1">IFERROR(BY21/BM$4,0)</f>
        <v>0</v>
      </c>
      <c r="CA21" s="193">
        <f t="shared" ca="1" si="24"/>
        <v>0</v>
      </c>
      <c r="CB21" s="193">
        <f ca="1">CA21</f>
        <v>0</v>
      </c>
      <c r="CC21" s="193">
        <f ca="1">CB21*$Z21</f>
        <v>0</v>
      </c>
      <c r="CD21" s="806">
        <f ca="1">CC21/BM$4</f>
        <v>0</v>
      </c>
      <c r="CE21" s="1007" t="str">
        <f t="shared" ca="1" si="19"/>
        <v/>
      </c>
      <c r="CF21" s="197"/>
      <c r="CG21" s="200"/>
      <c r="CH21" s="411"/>
      <c r="CI21" s="199">
        <f>CF21*$X21</f>
        <v>0</v>
      </c>
      <c r="CJ21" s="199">
        <f ca="1">CI21*$Z21</f>
        <v>0</v>
      </c>
      <c r="CK21" s="216">
        <f t="shared" ca="1" si="8"/>
        <v>0</v>
      </c>
      <c r="CL21" s="202">
        <f ca="1">CM21/$X21</f>
        <v>0</v>
      </c>
      <c r="CM21" s="203">
        <f ca="1">CN21/$Z21</f>
        <v>0</v>
      </c>
      <c r="CN21" s="203">
        <f ca="1">CO21*CF$4</f>
        <v>0</v>
      </c>
      <c r="CO21" s="204">
        <f ca="1">$O21-CK21</f>
        <v>0</v>
      </c>
      <c r="CP21" s="205"/>
      <c r="CQ21" s="206" cm="1">
        <f t="array" aca="1" ref="CQ21" ca="1">CP21-SUM(IF($W$22:$W$118=$W21,IF($T$22:$T$118="",CQ$22:CQ$118)))</f>
        <v>0</v>
      </c>
      <c r="CR21" s="206">
        <f ca="1">CQ21*$Z21</f>
        <v>0</v>
      </c>
      <c r="CS21" s="207">
        <f ca="1">IFERROR(CR21/CF$4,0)</f>
        <v>0</v>
      </c>
      <c r="CT21" s="193">
        <f t="shared" ca="1" si="25"/>
        <v>0</v>
      </c>
      <c r="CU21" s="193">
        <f ca="1">CT21</f>
        <v>0</v>
      </c>
      <c r="CV21" s="193">
        <f ca="1">CU21*$Z21</f>
        <v>0</v>
      </c>
      <c r="CW21" s="806">
        <f ca="1">CV21/CF$4</f>
        <v>0</v>
      </c>
      <c r="CX21" s="1007" t="str">
        <f t="shared" ca="1" si="21"/>
        <v/>
      </c>
    </row>
    <row r="22" spans="1:102" s="1112" customFormat="1" x14ac:dyDescent="0.2">
      <c r="A22" s="255" t="s">
        <v>368</v>
      </c>
      <c r="B22" s="255"/>
      <c r="C22" s="255"/>
      <c r="D22" s="256"/>
      <c r="E22" s="257"/>
      <c r="F22" s="255"/>
      <c r="G22" s="258"/>
      <c r="H22" s="1745"/>
      <c r="I22" s="1745"/>
      <c r="J22" s="1745"/>
      <c r="K22" s="1745"/>
      <c r="L22" s="1745"/>
      <c r="M22" s="1779"/>
      <c r="N22" s="1110">
        <f>SUM(N$23:N$40)</f>
        <v>0.2</v>
      </c>
      <c r="O22" s="1110"/>
      <c r="P22" s="1111">
        <f t="shared" ca="1" si="1"/>
        <v>0.2838537052373088</v>
      </c>
      <c r="Q22" s="809" t="s">
        <v>856</v>
      </c>
      <c r="R22" s="809"/>
      <c r="S22" s="808"/>
      <c r="T22" s="808"/>
      <c r="U22" s="263"/>
      <c r="V22" s="809">
        <f>COUNTIF(V23:V40,"&lt;&gt;0")</f>
        <v>0</v>
      </c>
      <c r="W22" s="255"/>
      <c r="X22" s="811"/>
      <c r="Y22" s="811"/>
      <c r="Z22" s="1012"/>
      <c r="AA22" s="266"/>
      <c r="AB22" s="255"/>
      <c r="AC22" s="811"/>
      <c r="AD22" s="255"/>
      <c r="AE22" s="268" cm="1">
        <f t="array" aca="1" ref="AE22" ca="1">SUM(IF($B$23:$B$40="",AE$23:AE$40))</f>
        <v>201736.37370625001</v>
      </c>
      <c r="AF22" s="269">
        <f t="shared" ca="1" si="2"/>
        <v>0.28693959625841514</v>
      </c>
      <c r="AG22" s="270"/>
      <c r="AH22" s="259"/>
      <c r="AI22" s="268" cm="1">
        <f t="array" aca="1" ref="AI22" ca="1">SUM(IF($B$23:$B$40="",AI$23:AI$40))</f>
        <v>-61123.940750452486</v>
      </c>
      <c r="AJ22" s="271">
        <f ca="1">IFERROR(AI22/AA$4,0)</f>
        <v>-8.6939596258415103E-2</v>
      </c>
      <c r="AK22" s="270"/>
      <c r="AL22" s="259"/>
      <c r="AM22" s="268" cm="1">
        <f t="array" aca="1" ref="AM22" ca="1">SUM(IF($B$23:$B$40="",AM$23:AM$40))</f>
        <v>0</v>
      </c>
      <c r="AN22" s="271">
        <f t="shared" ca="1" si="3"/>
        <v>0</v>
      </c>
      <c r="AO22" s="259"/>
      <c r="AP22" s="259"/>
      <c r="AQ22" s="268" cm="1">
        <f t="array" aca="1" ref="AQ22" ca="1">SUM(IF($B$23:$B$40="",AQ$23:AQ$40))</f>
        <v>201736.37370625001</v>
      </c>
      <c r="AR22" s="816">
        <f t="shared" ref="AR22:AR83" ca="1" si="26">IFERROR(AQ22/AA$4,0)</f>
        <v>0.28693959625841514</v>
      </c>
      <c r="AS22" s="1007" t="str">
        <f t="shared" ca="1" si="15"/>
        <v>V</v>
      </c>
      <c r="AT22" s="266"/>
      <c r="AU22" s="255"/>
      <c r="AV22" s="811"/>
      <c r="AW22" s="255"/>
      <c r="AX22" s="268" cm="1">
        <f t="array" aca="1" ref="AX22" ca="1">SUM(IF($B$23:$B$40="",AX$23:AX$40))</f>
        <v>325437.69094364997</v>
      </c>
      <c r="AY22" s="269">
        <f t="shared" ref="AY22" ca="1" si="27">IFERROR(AX22/AT$4,0)</f>
        <v>0.28025075946568373</v>
      </c>
      <c r="AZ22" s="270"/>
      <c r="BA22" s="259"/>
      <c r="BB22" s="268" cm="1">
        <f t="array" aca="1" ref="BB22" ca="1">SUM(IF($B$23:$B$40="",BB$23:BB$40))</f>
        <v>-93190.191194412502</v>
      </c>
      <c r="BC22" s="271">
        <f ca="1">IFERROR(BB22/AT$4,0)</f>
        <v>-8.0250759465683733E-2</v>
      </c>
      <c r="BD22" s="270"/>
      <c r="BE22" s="259"/>
      <c r="BF22" s="268" cm="1">
        <f t="array" aca="1" ref="BF22" ca="1">SUM(IF($B$23:$B$40="",BF$23:BF$40))</f>
        <v>0</v>
      </c>
      <c r="BG22" s="271">
        <f t="shared" ref="BG22" ca="1" si="28">IFERROR(BF22/AT$4,0)</f>
        <v>0</v>
      </c>
      <c r="BH22" s="259"/>
      <c r="BI22" s="259"/>
      <c r="BJ22" s="268" cm="1">
        <f t="array" aca="1" ref="BJ22" ca="1">SUM(IF($B$23:$B$40="",BJ$23:BJ$40))</f>
        <v>325437.69094364997</v>
      </c>
      <c r="BK22" s="816">
        <f t="shared" ref="BK22" ca="1" si="29">IFERROR(BJ22/AT$4,0)</f>
        <v>0.28025075946568373</v>
      </c>
      <c r="BL22" s="1007" t="str">
        <f t="shared" ca="1" si="17"/>
        <v>V</v>
      </c>
      <c r="BM22" s="266"/>
      <c r="BN22" s="255"/>
      <c r="BO22" s="811"/>
      <c r="BP22" s="255"/>
      <c r="BQ22" s="268" cm="1">
        <f t="array" aca="1" ref="BQ22" ca="1">SUM(IF($B$23:$B$40="",BQ$23:BQ$40))</f>
        <v>181488.16754185001</v>
      </c>
      <c r="BR22" s="269">
        <f t="shared" ca="1" si="6"/>
        <v>0.28703950185505411</v>
      </c>
      <c r="BS22" s="270"/>
      <c r="BT22" s="259"/>
      <c r="BU22" s="268" cm="1">
        <f t="array" aca="1" ref="BU22" ca="1">SUM(IF($B$23:$B$40="",BU$23:BU$40))</f>
        <v>-55032.981848630814</v>
      </c>
      <c r="BV22" s="271">
        <f ca="1">IFERROR(BU22/BM$4,0)</f>
        <v>-8.7039501855054102E-2</v>
      </c>
      <c r="BW22" s="270"/>
      <c r="BX22" s="259"/>
      <c r="BY22" s="268" cm="1">
        <f t="array" aca="1" ref="BY22" ca="1">SUM(IF($B$23:$B$40="",BY$23:BY$40))</f>
        <v>0</v>
      </c>
      <c r="BZ22" s="271">
        <f t="shared" ref="BZ22" ca="1" si="30">IFERROR(BY22/BM$4,0)</f>
        <v>0</v>
      </c>
      <c r="CA22" s="259"/>
      <c r="CB22" s="259"/>
      <c r="CC22" s="268" cm="1">
        <f t="array" aca="1" ref="CC22" ca="1">SUM(IF($B$23:$B$40="",CC$23:CC$40))</f>
        <v>181488.16754185001</v>
      </c>
      <c r="CD22" s="816">
        <f t="shared" ref="CD22" ca="1" si="31">IFERROR(CC22/BM$4,0)</f>
        <v>0.28703950185505411</v>
      </c>
      <c r="CE22" s="1007" t="str">
        <f t="shared" ca="1" si="19"/>
        <v>V</v>
      </c>
      <c r="CF22" s="266"/>
      <c r="CG22" s="255"/>
      <c r="CH22" s="811"/>
      <c r="CI22" s="255"/>
      <c r="CJ22" s="268" cm="1">
        <f t="array" aca="1" ref="CJ22" ca="1">SUM(IF($B$23:$B$40="",CJ$23:CJ$40))</f>
        <v>36158.820357699995</v>
      </c>
      <c r="CK22" s="269">
        <f t="shared" ca="1" si="8"/>
        <v>0.22676308527304162</v>
      </c>
      <c r="CL22" s="270"/>
      <c r="CM22" s="259"/>
      <c r="CN22" s="268" cm="1">
        <f t="array" aca="1" ref="CN22" ca="1">SUM(IF($B$23:$B$40="",CN$23:CN$40))</f>
        <v>-36158.820357699995</v>
      </c>
      <c r="CO22" s="271">
        <f ca="1">IFERROR(CN22/CF$4,0)</f>
        <v>-0.22676308527304162</v>
      </c>
      <c r="CP22" s="270"/>
      <c r="CQ22" s="259"/>
      <c r="CR22" s="268" cm="1">
        <f t="array" aca="1" ref="CR22" ca="1">SUM(IF($B$23:$B$40="",CR$23:CR$40))</f>
        <v>0</v>
      </c>
      <c r="CS22" s="271">
        <f t="shared" ref="CS22" ca="1" si="32">IFERROR(CR22/CF$4,0)</f>
        <v>0</v>
      </c>
      <c r="CT22" s="259"/>
      <c r="CU22" s="259"/>
      <c r="CV22" s="268" cm="1">
        <f t="array" aca="1" ref="CV22" ca="1">SUM(IF($B$23:$B$40="",CV$23:CV$40))</f>
        <v>36158.820357699995</v>
      </c>
      <c r="CW22" s="816">
        <f t="shared" ref="CW22" ca="1" si="33">IFERROR(CV22/CF$4,0)</f>
        <v>0.22676308527304162</v>
      </c>
      <c r="CX22" s="1007" t="str">
        <f t="shared" ca="1" si="21"/>
        <v>V</v>
      </c>
    </row>
    <row r="23" spans="1:102" ht="12.6" customHeight="1" outlineLevel="1" x14ac:dyDescent="0.2">
      <c r="A23" s="299"/>
      <c r="B23" s="299"/>
      <c r="C23" s="299" t="str">
        <f ca="1">OFFSET(Origine,MATCH($F23,Descrizioni,0),MATCH(C$16,Intestazioni,0)-1,1,1)</f>
        <v>IE00B0M62X26:EUR</v>
      </c>
      <c r="D23" s="300" t="str">
        <f ca="1">OFFSET(Origine,MATCH($F23,Descrizioni,0),MATCH(D$16,Intestazioni,0)-1,1,1)</f>
        <v>IE00B0M62X26</v>
      </c>
      <c r="E23" s="301" t="str">
        <f ca="1">OFFSET(Origine,MATCH($F23,Descrizioni,0),MATCH(E$16,Intestazioni,0)-1,1,1)</f>
        <v>2308827</v>
      </c>
      <c r="F23" s="299" t="s">
        <v>647</v>
      </c>
      <c r="G23" s="836" t="str">
        <f t="shared" ref="G23:G40" ca="1" si="34">OFFSET(Origine,MATCH($F23,Descrizioni,0),MATCH(G$16,Intestazioni,0)-1,1,1)</f>
        <v/>
      </c>
      <c r="H23" s="1680" t="str">
        <f t="shared" ref="H23:H40" ca="1" si="35">HYPERLINK(OFFSET(Origine,MATCH($F23,Descrizioni,0),MATCH(H$16,Intestazioni,0)-1,1,1),"")</f>
        <v></v>
      </c>
      <c r="I23" s="1680" t="str">
        <f ca="1">HYPERLINK(OFFSET(Origine,MATCH($F23,Descrizioni,0),MATCH(I$16,Intestazioni,0)-1,1,1),"i")</f>
        <v>i</v>
      </c>
      <c r="J23" s="1708" t="str">
        <f ca="1">HYPERLINK(OFFSET(Origine,MATCH($F23,Descrizioni,0),MATCH(J$16,Intestazioni,0)-1,1,1),"")</f>
        <v></v>
      </c>
      <c r="K23" s="1801" t="str">
        <f ca="1">HYPERLINK(OFFSET(Origine,MATCH($F23,Descrizioni,0),MATCH(K$16,Intestazioni,0)-1,1,1),"")</f>
        <v></v>
      </c>
      <c r="L23" s="1802" t="str">
        <f ca="1">IFERROR(HYPERLINK("https://www.marketscreener.com/mods_a/charts/TV/inc_dyna_graph.php?c="&amp;OFFSET(Origine,MATCH($F23,Descrizioni,0),MATCH(L$16,Intestazioni,0)-1,1,1)&amp;"&amp;style=TradingView.CANDLES&amp;showAT=1",""),"")</f>
        <v></v>
      </c>
      <c r="M23" s="1780" t="str">
        <f ca="1">(OFFSET(Origine,MATCH($F23,Descrizioni,0),MATCH(M$16,Intestazioni,0)-1,1,1))</f>
        <v>Unit</v>
      </c>
      <c r="N23" s="1113">
        <v>0.08</v>
      </c>
      <c r="O23" s="1113"/>
      <c r="P23" s="306">
        <f t="shared" ca="1" si="1"/>
        <v>7.0448337540510164E-2</v>
      </c>
      <c r="Q23" s="1114">
        <f t="shared" ref="Q23:Q40" si="36">SUMIF($AA$16:$CW$16,"I_Pos",$AA23:$CW23)</f>
        <v>780</v>
      </c>
      <c r="R23" s="1114">
        <f t="shared" ref="R23:R40" ca="1" si="37">SUMIF($AA$16:$CW$16,"P_Pos",$AA23:$CW23)</f>
        <v>66.010027784232733</v>
      </c>
      <c r="S23" s="1115"/>
      <c r="T23" s="1115"/>
      <c r="U23" s="308">
        <f t="shared" ref="U23:U40" ca="1" si="38">OFFSET(Origine,MATCH($C23,smo_ids,0),MATCH(U$16,Intestazioni,0)-1,1,1)</f>
        <v>-1.9037143582367E-3</v>
      </c>
      <c r="V23" s="1114">
        <f t="shared" ref="V23:V40" si="39">SUMIF($AA$16:$CW$16,"O_Pos",$AA23:$CW23)</f>
        <v>0</v>
      </c>
      <c r="W23" s="299" t="str">
        <f ca="1">OFFSET(Origine,MATCH($F23,Descrizioni,0),MATCH(W$16,Intestazioni,0)-1,1,1)</f>
        <v>EUR</v>
      </c>
      <c r="X23" s="1116">
        <f ca="1">_xlfn.NUMBERVALUE(OFFSET(Origine,MATCH($F23,Descrizioni,0),MATCH(X$16,Intestazioni,0)-1,1,1))</f>
        <v>236.08</v>
      </c>
      <c r="Y23" s="1117">
        <f ca="1">_xlfn.NUMBERVALUE(OFFSET(Origine,MATCH($F23,Descrizioni,0),MATCH(Y$16,Intestazioni,0)-1,1,1))</f>
        <v>0</v>
      </c>
      <c r="Z23" s="1118">
        <f ca="1">_xlfn.NUMBERVALUE(OFFSET(Origine,MATCH(W23&amp;"/"&amp;MRif,LUKB_Name,0),MATCH("Price",Intestazioni,0)-1,1,1))</f>
        <v>1</v>
      </c>
      <c r="AA23" s="197">
        <f>190</f>
        <v>190</v>
      </c>
      <c r="AB23" s="379">
        <f ca="1">IFERROR($X23/AC23-1,"")</f>
        <v>2.8442481191543578E-2</v>
      </c>
      <c r="AC23" s="1119">
        <v>229.55099999999999</v>
      </c>
      <c r="AD23" s="381">
        <f ca="1">AA23*$X23</f>
        <v>44855.200000000004</v>
      </c>
      <c r="AE23" s="381">
        <f ca="1">AD23*$Z23</f>
        <v>44855.200000000004</v>
      </c>
      <c r="AF23" s="382">
        <f ca="1">IFERROR(AE23/AA$4,0)</f>
        <v>6.3799763729428596E-2</v>
      </c>
      <c r="AG23" s="202">
        <f ca="1">AH23/$X23</f>
        <v>48.245396400876835</v>
      </c>
      <c r="AH23" s="383">
        <f ca="1">AI23/$Z23</f>
        <v>11389.773182319004</v>
      </c>
      <c r="AI23" s="383">
        <f ca="1">AJ23*AA$4</f>
        <v>11389.773182319004</v>
      </c>
      <c r="AJ23" s="204">
        <f ca="1">$N23-AF23</f>
        <v>1.6200236270571405E-2</v>
      </c>
      <c r="AK23" s="205"/>
      <c r="AL23" s="384">
        <f ca="1">AK23*$X23</f>
        <v>0</v>
      </c>
      <c r="AM23" s="384">
        <f ca="1">AL23*$Z23</f>
        <v>0</v>
      </c>
      <c r="AN23" s="207">
        <f ca="1">IFERROR(AM23/AA$4,0)</f>
        <v>0</v>
      </c>
      <c r="AO23" s="1120">
        <f>AA23+AK23</f>
        <v>190</v>
      </c>
      <c r="AP23" s="1120">
        <f ca="1">AD23+IF($T23="",AL23)</f>
        <v>44855.200000000004</v>
      </c>
      <c r="AQ23" s="1120">
        <f ca="1">AP23*$Z23</f>
        <v>44855.200000000004</v>
      </c>
      <c r="AR23" s="843">
        <f ca="1">IFERROR(AQ23/AA$4,0)</f>
        <v>6.3799763729428596E-2</v>
      </c>
      <c r="AS23" s="1121" t="str">
        <f ca="1">IF(SUM(AF23,AN23,AR23)&lt;&gt;0,"V","")</f>
        <v>V</v>
      </c>
      <c r="AT23" s="197">
        <f>370</f>
        <v>370</v>
      </c>
      <c r="AU23" s="379">
        <f ca="1">IFERROR($X23/AV23-1,"")</f>
        <v>2.8442481191543578E-2</v>
      </c>
      <c r="AV23" s="1119">
        <v>229.55099999999999</v>
      </c>
      <c r="AW23" s="381">
        <f ca="1">AT23*$X23</f>
        <v>87349.6</v>
      </c>
      <c r="AX23" s="381">
        <f ca="1">AW23*$Z23</f>
        <v>87349.6</v>
      </c>
      <c r="AY23" s="382">
        <f ca="1">IFERROR(AX23/AT$4,0)</f>
        <v>7.5221132709125574E-2</v>
      </c>
      <c r="AZ23" s="202">
        <f ca="1">BA23/$X23</f>
        <v>23.506438070548075</v>
      </c>
      <c r="BA23" s="383">
        <f ca="1">BB23/$Z23</f>
        <v>5549.3998996949895</v>
      </c>
      <c r="BB23" s="383">
        <f ca="1">BC23*AT$4</f>
        <v>5549.3998996949895</v>
      </c>
      <c r="BC23" s="204">
        <f ca="1">$N23-AY23</f>
        <v>4.7788672908744279E-3</v>
      </c>
      <c r="BD23" s="205"/>
      <c r="BE23" s="384">
        <f ca="1">BD23*$X23</f>
        <v>0</v>
      </c>
      <c r="BF23" s="384">
        <f ca="1">BE23*$Z23</f>
        <v>0</v>
      </c>
      <c r="BG23" s="207">
        <f ca="1">IFERROR(BF23/AT$4,0)</f>
        <v>0</v>
      </c>
      <c r="BH23" s="1120">
        <f>AT23+BD23</f>
        <v>370</v>
      </c>
      <c r="BI23" s="1120">
        <f ca="1">AW23+IF($T23="",BE23)</f>
        <v>87349.6</v>
      </c>
      <c r="BJ23" s="1120">
        <f ca="1">BI23*$Z23</f>
        <v>87349.6</v>
      </c>
      <c r="BK23" s="843">
        <f ca="1">IFERROR(BJ23/AT$4,0)</f>
        <v>7.5221132709125574E-2</v>
      </c>
      <c r="BL23" s="1121" t="str">
        <f ca="1">IF(SUM(AY23,BG23,BK23)&lt;&gt;0,"V","")</f>
        <v>V</v>
      </c>
      <c r="BM23" s="197">
        <f>185</f>
        <v>185</v>
      </c>
      <c r="BN23" s="379">
        <f ca="1">IFERROR($X23/BO23-1,"")</f>
        <v>2.8429040661456684E-2</v>
      </c>
      <c r="BO23" s="1119">
        <v>229.554</v>
      </c>
      <c r="BP23" s="381">
        <f ca="1">BM23*$X23</f>
        <v>43674.8</v>
      </c>
      <c r="BQ23" s="381">
        <f ca="1">BP23*$Z23</f>
        <v>43674.8</v>
      </c>
      <c r="BR23" s="382">
        <f ca="1">IFERROR(BQ23/BM$4,0)</f>
        <v>6.907553812139465E-2</v>
      </c>
      <c r="BS23" s="202">
        <f ca="1">BT23/$X23</f>
        <v>29.258193312807816</v>
      </c>
      <c r="BT23" s="383">
        <f ca="1">BU23/$Z23</f>
        <v>6907.2742772876691</v>
      </c>
      <c r="BU23" s="383">
        <f ca="1">BV23*BM$4</f>
        <v>6907.2742772876691</v>
      </c>
      <c r="BV23" s="204">
        <f ca="1">$N23-BR23</f>
        <v>1.0924461878605352E-2</v>
      </c>
      <c r="BW23" s="205"/>
      <c r="BX23" s="384">
        <f ca="1">BW23*$X23</f>
        <v>0</v>
      </c>
      <c r="BY23" s="384">
        <f ca="1">BX23*$Z23</f>
        <v>0</v>
      </c>
      <c r="BZ23" s="207">
        <f ca="1">IFERROR(BY23/BM$4,0)</f>
        <v>0</v>
      </c>
      <c r="CA23" s="1120">
        <f>BM23+BW23</f>
        <v>185</v>
      </c>
      <c r="CB23" s="1120">
        <f ca="1">BP23+IF($T23="",BX23)</f>
        <v>43674.8</v>
      </c>
      <c r="CC23" s="1120">
        <f ca="1">CB23*$Z23</f>
        <v>43674.8</v>
      </c>
      <c r="CD23" s="843">
        <f ca="1">IFERROR(CC23/BM$4,0)</f>
        <v>6.907553812139465E-2</v>
      </c>
      <c r="CE23" s="1121" t="str">
        <f ca="1">IF(SUM(BR23,BZ23,CD23)&lt;&gt;0,"V","")</f>
        <v>V</v>
      </c>
      <c r="CF23" s="197">
        <f>35</f>
        <v>35</v>
      </c>
      <c r="CG23" s="379">
        <f ca="1">IFERROR($X23/CH23-1,"")</f>
        <v>2.8442033168214031E-2</v>
      </c>
      <c r="CH23" s="1119">
        <v>229.55109999999999</v>
      </c>
      <c r="CI23" s="381">
        <f ca="1">CF23*$X23</f>
        <v>8262.8000000000011</v>
      </c>
      <c r="CJ23" s="381">
        <f ca="1">CI23*$Z23</f>
        <v>8262.8000000000011</v>
      </c>
      <c r="CK23" s="382">
        <f ca="1">IFERROR(CJ23/CF$4,0)</f>
        <v>5.1818560518805359E-2</v>
      </c>
      <c r="CL23" s="202">
        <f ca="1">CM23/$X23</f>
        <v>-35</v>
      </c>
      <c r="CM23" s="383">
        <f ca="1">CN23/$Z23</f>
        <v>-8262.8000000000011</v>
      </c>
      <c r="CN23" s="383">
        <f ca="1">CO23*CF$4</f>
        <v>-8262.8000000000011</v>
      </c>
      <c r="CO23" s="204">
        <f t="shared" ref="CO23:CO40" ca="1" si="40">$O23-CK23</f>
        <v>-5.1818560518805359E-2</v>
      </c>
      <c r="CP23" s="205"/>
      <c r="CQ23" s="384">
        <f ca="1">CP23*$X23</f>
        <v>0</v>
      </c>
      <c r="CR23" s="384">
        <f ca="1">CQ23*$Z23</f>
        <v>0</v>
      </c>
      <c r="CS23" s="207">
        <f ca="1">IFERROR(CR23/CF$4,0)</f>
        <v>0</v>
      </c>
      <c r="CT23" s="1120">
        <f>CF23+CP23</f>
        <v>35</v>
      </c>
      <c r="CU23" s="1120">
        <f ca="1">CI23+IF($T23="",CQ23)</f>
        <v>8262.8000000000011</v>
      </c>
      <c r="CV23" s="1120">
        <f ca="1">CU23*$Z23</f>
        <v>8262.8000000000011</v>
      </c>
      <c r="CW23" s="843">
        <f ca="1">IFERROR(CV23/CF$4,0)</f>
        <v>5.1818560518805359E-2</v>
      </c>
      <c r="CX23" s="1121" t="str">
        <f ca="1">IF(SUM(CK23,CS23,CW23)&lt;&gt;0,"V","")</f>
        <v>V</v>
      </c>
    </row>
    <row r="24" spans="1:102" ht="12.6" customHeight="1" outlineLevel="1" x14ac:dyDescent="0.2">
      <c r="A24" s="299"/>
      <c r="B24" s="299"/>
      <c r="C24" s="299" t="str">
        <f t="shared" ref="C24:C40" ca="1" si="41">OFFSET(Origine,MATCH($F24,Descrizioni,0),MATCH(C$16,Intestazioni,0)-1,1,1)</f>
        <v>FR0013215688:EUR</v>
      </c>
      <c r="D24" s="300" t="str">
        <f t="shared" ref="D24:E40" ca="1" si="42">OFFSET(Origine,MATCH($F24,Descrizioni,0),MATCH(D$16,Intestazioni,0)-1,1,1)</f>
        <v>FR0013215688</v>
      </c>
      <c r="E24" s="301" t="str">
        <f t="shared" ca="1" si="42"/>
        <v>34380702</v>
      </c>
      <c r="F24" s="299" t="s">
        <v>632</v>
      </c>
      <c r="G24" s="836">
        <f t="shared" ca="1" si="34"/>
        <v>46326</v>
      </c>
      <c r="H24" s="1680" t="str">
        <f t="shared" ca="1" si="35"/>
        <v></v>
      </c>
      <c r="I24" s="1680" t="str">
        <f t="shared" ref="I24:I40" ca="1" si="43">HYPERLINK(OFFSET(Origine,MATCH($F24,Descrizioni,0),MATCH(I$16,Intestazioni,0)-1,1,1),"i")</f>
        <v>i</v>
      </c>
      <c r="J24" s="1708" t="str">
        <f t="shared" ref="J24:K40" ca="1" si="44">HYPERLINK(OFFSET(Origine,MATCH($F24,Descrizioni,0),MATCH(J$16,Intestazioni,0)-1,1,1),"")</f>
        <v></v>
      </c>
      <c r="K24" s="1709" t="str">
        <f t="shared" ca="1" si="44"/>
        <v></v>
      </c>
      <c r="L24" s="1710" t="str">
        <f t="shared" ref="L24:L40" ca="1" si="45">IFERROR(HYPERLINK("https://www.marketscreener.com/mods_a/charts/TV/inc_dyna_graph.php?c="&amp;OFFSET(Origine,MATCH($F24,Descrizioni,0),MATCH(L$16,Intestazioni,0)-1,1,1)&amp;"&amp;style=TradingView.CANDLES&amp;showAT=1",""),"")</f>
        <v></v>
      </c>
      <c r="M24" s="1780" t="str">
        <f t="shared" ref="M24:M40" ca="1" si="46">(OFFSET(Origine,MATCH($F24,Descrizioni,0),MATCH(M$16,Intestazioni,0)-1,1,1))</f>
        <v>Pct</v>
      </c>
      <c r="N24" s="1113">
        <v>0.04</v>
      </c>
      <c r="O24" s="1113"/>
      <c r="P24" s="306">
        <f t="shared" ca="1" si="1"/>
        <v>3.3643607611238587E-2</v>
      </c>
      <c r="Q24" s="307">
        <f t="shared" si="36"/>
        <v>90000</v>
      </c>
      <c r="R24" s="307">
        <f t="shared" ca="1" si="37"/>
        <v>11059.316803594997</v>
      </c>
      <c r="S24" s="1115"/>
      <c r="T24" s="1115"/>
      <c r="U24" s="308">
        <f t="shared" ca="1" si="38"/>
        <v>-1.0128325889000002E-5</v>
      </c>
      <c r="V24" s="307">
        <f t="shared" si="39"/>
        <v>0</v>
      </c>
      <c r="W24" s="299" t="str">
        <f t="shared" ref="W24:W40" ca="1" si="47">OFFSET(Origine,MATCH($F24,Descrizioni,0),MATCH(W$16,Intestazioni,0)-1,1,1)</f>
        <v>EUR</v>
      </c>
      <c r="X24" s="839">
        <f ca="1">_xlfn.NUMBERVALUE(OFFSET(Origine,MATCH($F24,Descrizioni,0),MATCH(X$16,Intestazioni,0)-1,1,1))</f>
        <v>0.98816246575</v>
      </c>
      <c r="Y24" s="1017">
        <f t="shared" ref="X24:Y40" ca="1" si="48">_xlfn.NUMBERVALUE(OFFSET(Origine,MATCH($F24,Descrizioni,0),MATCH(Y$16,Intestazioni,0)-1,1,1))</f>
        <v>2.20292079E-2</v>
      </c>
      <c r="Z24" s="1018">
        <f t="shared" ref="Z24:Z40" ca="1" si="49">_xlfn.NUMBERVALUE(OFFSET(Origine,MATCH(W24&amp;"/"&amp;MRif,LUKB_Name,0),MATCH("Price",Intestazioni,0)-1,1,1))</f>
        <v>1</v>
      </c>
      <c r="AA24" s="197">
        <f>25000</f>
        <v>25000</v>
      </c>
      <c r="AB24" s="312">
        <f t="shared" ref="AB24:AB40" ca="1" si="50">IFERROR($X24/AC24-1,"")</f>
        <v>0.11584403533753251</v>
      </c>
      <c r="AC24" s="842">
        <v>0.88557399999999997</v>
      </c>
      <c r="AD24" s="199">
        <f t="shared" ref="AD24:AD40" ca="1" si="51">AA24*$X24</f>
        <v>24704.061643749999</v>
      </c>
      <c r="AE24" s="199">
        <f t="shared" ref="AE24:AE40" ca="1" si="52">AD24*$Z24</f>
        <v>24704.061643749999</v>
      </c>
      <c r="AF24" s="216">
        <f t="shared" ca="1" si="2"/>
        <v>3.5137805561640333E-2</v>
      </c>
      <c r="AG24" s="202">
        <f t="shared" ref="AG24:AG40" ca="1" si="53">AH24/$X24</f>
        <v>3459.3754224564382</v>
      </c>
      <c r="AH24" s="203">
        <f t="shared" ref="AH24:AH40" ca="1" si="54">AI24/$Z24</f>
        <v>3418.4249474095018</v>
      </c>
      <c r="AI24" s="203">
        <f t="shared" ref="AI24:AI40" ca="1" si="55">AJ24*AA$4</f>
        <v>3418.4249474095018</v>
      </c>
      <c r="AJ24" s="204">
        <f t="shared" ref="AJ24:AJ40" ca="1" si="56">$N24-AF24</f>
        <v>4.8621944383596682E-3</v>
      </c>
      <c r="AK24" s="205"/>
      <c r="AL24" s="206">
        <f t="shared" ref="AL24:AL40" ca="1" si="57">AK24*$X24</f>
        <v>0</v>
      </c>
      <c r="AM24" s="206">
        <f t="shared" ref="AM24:AM40" ca="1" si="58">AL24*$Z24</f>
        <v>0</v>
      </c>
      <c r="AN24" s="207">
        <f t="shared" ca="1" si="3"/>
        <v>0</v>
      </c>
      <c r="AO24" s="313">
        <f>AA24+AK24</f>
        <v>25000</v>
      </c>
      <c r="AP24" s="313">
        <f t="shared" ref="AP24:AP40" ca="1" si="59">AD24+IF($T24="",AL24)</f>
        <v>24704.061643749999</v>
      </c>
      <c r="AQ24" s="313">
        <f t="shared" ref="AQ24:AQ40" ca="1" si="60">AP24*$Z24</f>
        <v>24704.061643749999</v>
      </c>
      <c r="AR24" s="843">
        <f t="shared" ca="1" si="26"/>
        <v>3.5137805561640333E-2</v>
      </c>
      <c r="AS24" s="1007" t="str">
        <f t="shared" ca="1" si="15"/>
        <v>V</v>
      </c>
      <c r="AT24" s="197">
        <f>40000</f>
        <v>40000</v>
      </c>
      <c r="AU24" s="312">
        <f t="shared" ref="AU24:AU40" ca="1" si="61">IFERROR($X24/AV24-1,"")</f>
        <v>0.11584277531547293</v>
      </c>
      <c r="AV24" s="842">
        <v>0.885575</v>
      </c>
      <c r="AW24" s="199">
        <f t="shared" ref="AW24:AW40" ca="1" si="62">AT24*$X24</f>
        <v>39526.498630000002</v>
      </c>
      <c r="AX24" s="199">
        <f t="shared" ref="AX24:AX40" ca="1" si="63">AW24*$Z24</f>
        <v>39526.498630000002</v>
      </c>
      <c r="AY24" s="216">
        <f t="shared" ca="1" si="4"/>
        <v>3.4038255458231061E-2</v>
      </c>
      <c r="AZ24" s="202">
        <f t="shared" ref="AZ24:AZ40" ca="1" si="64">BA24/$X24</f>
        <v>7005.9343071617777</v>
      </c>
      <c r="BA24" s="203">
        <f t="shared" ref="BA24:BA40" ca="1" si="65">BB24/$Z24</f>
        <v>6923.0013198474999</v>
      </c>
      <c r="BB24" s="203">
        <f t="shared" ref="BB24:BB40" ca="1" si="66">BC24*AT$4</f>
        <v>6923.0013198474999</v>
      </c>
      <c r="BC24" s="204">
        <f t="shared" ref="BC24:BC40" ca="1" si="67">$N24-AY24</f>
        <v>5.9617445417689402E-3</v>
      </c>
      <c r="BD24" s="205"/>
      <c r="BE24" s="206">
        <f t="shared" ref="BE24:BE40" ca="1" si="68">BD24*$X24</f>
        <v>0</v>
      </c>
      <c r="BF24" s="206">
        <f t="shared" ref="BF24:BF40" ca="1" si="69">BE24*$Z24</f>
        <v>0</v>
      </c>
      <c r="BG24" s="207">
        <f t="shared" ca="1" si="5"/>
        <v>0</v>
      </c>
      <c r="BH24" s="313">
        <f>AT24+BD24</f>
        <v>40000</v>
      </c>
      <c r="BI24" s="313">
        <f t="shared" ref="BI24:BI40" ca="1" si="70">AW24+IF($T24="",BE24)</f>
        <v>39526.498630000002</v>
      </c>
      <c r="BJ24" s="313">
        <f t="shared" ref="BJ24:BJ40" ca="1" si="71">BI24*$Z24</f>
        <v>39526.498630000002</v>
      </c>
      <c r="BK24" s="843">
        <f t="shared" ref="BK24:BK83" ca="1" si="72">IFERROR(BJ24/AT$4,0)</f>
        <v>3.4038255458231061E-2</v>
      </c>
      <c r="BL24" s="1007" t="str">
        <f t="shared" ca="1" si="17"/>
        <v>V</v>
      </c>
      <c r="BM24" s="197">
        <f>20000</f>
        <v>20000</v>
      </c>
      <c r="BN24" s="312">
        <f t="shared" ref="BN24:BN40" ca="1" si="73">IFERROR($X24/BO24-1,"")</f>
        <v>0.11584277531547293</v>
      </c>
      <c r="BO24" s="842">
        <v>0.885575</v>
      </c>
      <c r="BP24" s="199">
        <f ca="1">BM24*$X24</f>
        <v>19763.249315000001</v>
      </c>
      <c r="BQ24" s="199">
        <f ca="1">BP24*$Z24</f>
        <v>19763.249315000001</v>
      </c>
      <c r="BR24" s="216">
        <f t="shared" ca="1" si="6"/>
        <v>3.1257317296493836E-2</v>
      </c>
      <c r="BS24" s="202">
        <f ca="1">BT24/$X24</f>
        <v>5594.0070739767807</v>
      </c>
      <c r="BT24" s="203">
        <f ca="1">BU24/$Z24</f>
        <v>5527.7878236438382</v>
      </c>
      <c r="BU24" s="203">
        <f t="shared" ref="BU24:BU40" ca="1" si="74">BV24*BM$4</f>
        <v>5527.7878236438382</v>
      </c>
      <c r="BV24" s="204">
        <f ca="1">$N24-BR24</f>
        <v>8.7426827035061647E-3</v>
      </c>
      <c r="BW24" s="205"/>
      <c r="BX24" s="206">
        <f ca="1">BW24*$X24</f>
        <v>0</v>
      </c>
      <c r="BY24" s="206">
        <f ca="1">BX24*$Z24</f>
        <v>0</v>
      </c>
      <c r="BZ24" s="207">
        <f t="shared" ca="1" si="7"/>
        <v>0</v>
      </c>
      <c r="CA24" s="313">
        <f>BM24+BW24</f>
        <v>20000</v>
      </c>
      <c r="CB24" s="313">
        <f t="shared" ref="CB24:CB40" ca="1" si="75">BP24+IF($T24="",BX24)</f>
        <v>19763.249315000001</v>
      </c>
      <c r="CC24" s="313">
        <f ca="1">CB24*$Z24</f>
        <v>19763.249315000001</v>
      </c>
      <c r="CD24" s="843">
        <f t="shared" ref="CD24:CD83" ca="1" si="76">IFERROR(CC24/BM$4,0)</f>
        <v>3.1257317296493836E-2</v>
      </c>
      <c r="CE24" s="1007" t="str">
        <f t="shared" ca="1" si="19"/>
        <v>V</v>
      </c>
      <c r="CF24" s="197">
        <f>5000</f>
        <v>5000</v>
      </c>
      <c r="CG24" s="312">
        <f t="shared" ref="CG24:CG40" ca="1" si="77">IFERROR($X24/CH24-1,"")</f>
        <v>0.11584403533753251</v>
      </c>
      <c r="CH24" s="842">
        <v>0.88557399999999997</v>
      </c>
      <c r="CI24" s="199">
        <f ca="1">CF24*$X24</f>
        <v>4940.8123287500002</v>
      </c>
      <c r="CJ24" s="199">
        <f ca="1">CI24*$Z24</f>
        <v>4940.8123287500002</v>
      </c>
      <c r="CK24" s="216">
        <f t="shared" ca="1" si="8"/>
        <v>3.0985353956212363E-2</v>
      </c>
      <c r="CL24" s="202">
        <f ca="1">CM24/$X24</f>
        <v>-5000</v>
      </c>
      <c r="CM24" s="203">
        <f ca="1">CN24/$Z24</f>
        <v>-4940.8123287500002</v>
      </c>
      <c r="CN24" s="203">
        <f t="shared" ref="CN24:CN40" ca="1" si="78">CO24*CF$4</f>
        <v>-4940.8123287500002</v>
      </c>
      <c r="CO24" s="204">
        <f t="shared" ca="1" si="40"/>
        <v>-3.0985353956212363E-2</v>
      </c>
      <c r="CP24" s="205"/>
      <c r="CQ24" s="206">
        <f ca="1">CP24*$X24</f>
        <v>0</v>
      </c>
      <c r="CR24" s="206">
        <f ca="1">CQ24*$Z24</f>
        <v>0</v>
      </c>
      <c r="CS24" s="207">
        <f t="shared" ca="1" si="9"/>
        <v>0</v>
      </c>
      <c r="CT24" s="313">
        <f>CF24+CP24</f>
        <v>5000</v>
      </c>
      <c r="CU24" s="313">
        <f t="shared" ref="CU24:CU40" ca="1" si="79">CI24+IF($T24="",CQ24)</f>
        <v>4940.8123287500002</v>
      </c>
      <c r="CV24" s="313">
        <f ca="1">CU24*$Z24</f>
        <v>4940.8123287500002</v>
      </c>
      <c r="CW24" s="843">
        <f t="shared" ref="CW24:CW42" ca="1" si="80">IFERROR(CV24/CF$4,0)</f>
        <v>3.0985353956212363E-2</v>
      </c>
      <c r="CX24" s="1007" t="str">
        <f t="shared" ca="1" si="21"/>
        <v>V</v>
      </c>
    </row>
    <row r="25" spans="1:102" ht="12.6" customHeight="1" outlineLevel="1" x14ac:dyDescent="0.2">
      <c r="A25" s="299"/>
      <c r="B25" s="299"/>
      <c r="C25" s="299" t="str">
        <f t="shared" ca="1" si="41"/>
        <v>DE000A30WFU3:EUR</v>
      </c>
      <c r="D25" s="300" t="str">
        <f t="shared" ca="1" si="42"/>
        <v>DE000A30WFU3</v>
      </c>
      <c r="E25" s="301" t="str">
        <f t="shared" ca="1" si="42"/>
        <v>120579731</v>
      </c>
      <c r="F25" s="299" t="s">
        <v>503</v>
      </c>
      <c r="G25" s="836">
        <f t="shared" ca="1" si="34"/>
        <v>46447</v>
      </c>
      <c r="H25" s="1680" t="str">
        <f t="shared" ca="1" si="35"/>
        <v></v>
      </c>
      <c r="I25" s="1680" t="str">
        <f t="shared" ca="1" si="43"/>
        <v>i</v>
      </c>
      <c r="J25" s="1708" t="str">
        <f t="shared" ca="1" si="44"/>
        <v></v>
      </c>
      <c r="K25" s="1709" t="str">
        <f t="shared" ca="1" si="44"/>
        <v></v>
      </c>
      <c r="L25" s="1710" t="str">
        <f t="shared" ca="1" si="45"/>
        <v></v>
      </c>
      <c r="M25" s="1780" t="str">
        <f t="shared" ca="1" si="46"/>
        <v>Pct</v>
      </c>
      <c r="N25" s="1113">
        <v>0.04</v>
      </c>
      <c r="O25" s="1113"/>
      <c r="P25" s="306">
        <f t="shared" ca="1" si="1"/>
        <v>3.5803061716431508E-2</v>
      </c>
      <c r="Q25" s="307">
        <f t="shared" si="36"/>
        <v>95000</v>
      </c>
      <c r="R25" s="307">
        <f t="shared" ca="1" si="37"/>
        <v>5550.0598946768623</v>
      </c>
      <c r="S25" s="1115"/>
      <c r="T25" s="1115"/>
      <c r="U25" s="308">
        <f t="shared" ca="1" si="38"/>
        <v>-3.0200227508389999E-4</v>
      </c>
      <c r="V25" s="307">
        <f t="shared" si="39"/>
        <v>0</v>
      </c>
      <c r="W25" s="299" t="str">
        <f t="shared" ca="1" si="47"/>
        <v>EUR</v>
      </c>
      <c r="X25" s="839">
        <f ca="1">_xlfn.NUMBERVALUE(OFFSET(Origine,MATCH($F25,Descrizioni,0),MATCH(X$16,Intestazioni,0)-1,1,1))</f>
        <v>0.99316722221999998</v>
      </c>
      <c r="Y25" s="1017">
        <f t="shared" ca="1" si="48"/>
        <v>2.4361272749999999E-2</v>
      </c>
      <c r="Z25" s="1018">
        <f t="shared" ca="1" si="49"/>
        <v>1</v>
      </c>
      <c r="AA25" s="197">
        <f>25000</f>
        <v>25000</v>
      </c>
      <c r="AB25" s="312">
        <f t="shared" ca="1" si="50"/>
        <v>1.6693510042380622E-2</v>
      </c>
      <c r="AC25" s="842">
        <v>0.97685999999999995</v>
      </c>
      <c r="AD25" s="199">
        <f t="shared" ref="AD25:AD30" ca="1" si="81">AA25*$X25</f>
        <v>24829.180555499999</v>
      </c>
      <c r="AE25" s="199">
        <f t="shared" ref="AE25:AE30" ca="1" si="82">AD25*$Z25</f>
        <v>24829.180555499999</v>
      </c>
      <c r="AF25" s="216">
        <f t="shared" ref="AF25:AF30" ca="1" si="83">IFERROR(AE25/AA$4,0)</f>
        <v>3.5315768362112365E-2</v>
      </c>
      <c r="AG25" s="202">
        <f t="shared" ref="AG25:AG30" ca="1" si="84">AH25/$X25</f>
        <v>3315.9632758500275</v>
      </c>
      <c r="AH25" s="203">
        <f t="shared" ref="AH25:AH30" ca="1" si="85">AI25/$Z25</f>
        <v>3293.3060356595033</v>
      </c>
      <c r="AI25" s="203">
        <f t="shared" ref="AI25:AI30" ca="1" si="86">AJ25*AA$4</f>
        <v>3293.3060356595033</v>
      </c>
      <c r="AJ25" s="204">
        <f t="shared" ref="AJ25:AJ30" ca="1" si="87">$N25-AF25</f>
        <v>4.6842316378876356E-3</v>
      </c>
      <c r="AK25" s="205"/>
      <c r="AL25" s="206">
        <f t="shared" ref="AL25:AL30" ca="1" si="88">AK25*$X25</f>
        <v>0</v>
      </c>
      <c r="AM25" s="206">
        <f t="shared" ref="AM25:AM30" ca="1" si="89">AL25*$Z25</f>
        <v>0</v>
      </c>
      <c r="AN25" s="207">
        <f t="shared" ref="AN25:AN30" ca="1" si="90">IFERROR(AM25/AA$4,0)</f>
        <v>0</v>
      </c>
      <c r="AO25" s="313">
        <f t="shared" ref="AO25:AO30" si="91">AA25+AK25</f>
        <v>25000</v>
      </c>
      <c r="AP25" s="313">
        <f t="shared" ca="1" si="59"/>
        <v>24829.180555499999</v>
      </c>
      <c r="AQ25" s="313">
        <f t="shared" ref="AQ25:AQ30" ca="1" si="92">AP25*$Z25</f>
        <v>24829.180555499999</v>
      </c>
      <c r="AR25" s="843">
        <f t="shared" ref="AR25:AR30" ca="1" si="93">IFERROR(AQ25/AA$4,0)</f>
        <v>3.5315768362112365E-2</v>
      </c>
      <c r="AS25" s="1007" t="str">
        <f t="shared" ref="AS25:AS30" ca="1" si="94">IF(SUM(AF25,AN25,AR25)&lt;&gt;0,"V","")</f>
        <v>V</v>
      </c>
      <c r="AT25" s="197">
        <f>40000</f>
        <v>40000</v>
      </c>
      <c r="AU25" s="312">
        <f t="shared" ca="1" si="61"/>
        <v>1.6693510042380622E-2</v>
      </c>
      <c r="AV25" s="842">
        <v>0.97685999999999995</v>
      </c>
      <c r="AW25" s="199">
        <f t="shared" ref="AW25:AW30" ca="1" si="95">AT25*$X25</f>
        <v>39726.688888799996</v>
      </c>
      <c r="AX25" s="199">
        <f t="shared" ref="AX25:AX30" ca="1" si="96">AW25*$Z25</f>
        <v>39726.688888799996</v>
      </c>
      <c r="AY25" s="216">
        <f t="shared" ref="AY25:AY30" ca="1" si="97">IFERROR(AX25/AT$4,0)</f>
        <v>3.4210649356134069E-2</v>
      </c>
      <c r="AZ25" s="202">
        <f t="shared" ref="AZ25:AZ30" ca="1" si="98">BA25/$X25</f>
        <v>6769.0625613078382</v>
      </c>
      <c r="BA25" s="203">
        <f t="shared" ref="BA25:BA30" ca="1" si="99">BB25/$Z25</f>
        <v>6722.8110610475042</v>
      </c>
      <c r="BB25" s="203">
        <f t="shared" ref="BB25:BB30" ca="1" si="100">BC25*AT$4</f>
        <v>6722.8110610475042</v>
      </c>
      <c r="BC25" s="204">
        <f t="shared" ref="BC25:BC30" ca="1" si="101">$N25-AY25</f>
        <v>5.7893506438659315E-3</v>
      </c>
      <c r="BD25" s="205"/>
      <c r="BE25" s="206">
        <f t="shared" ref="BE25:BE30" ca="1" si="102">BD25*$X25</f>
        <v>0</v>
      </c>
      <c r="BF25" s="206">
        <f t="shared" ref="BF25:BF30" ca="1" si="103">BE25*$Z25</f>
        <v>0</v>
      </c>
      <c r="BG25" s="207">
        <f t="shared" ref="BG25:BG30" ca="1" si="104">IFERROR(BF25/AT$4,0)</f>
        <v>0</v>
      </c>
      <c r="BH25" s="313">
        <f t="shared" ref="BH25:BH30" si="105">AT25+BD25</f>
        <v>40000</v>
      </c>
      <c r="BI25" s="313">
        <f t="shared" ca="1" si="70"/>
        <v>39726.688888799996</v>
      </c>
      <c r="BJ25" s="313">
        <f t="shared" ref="BJ25:BJ30" ca="1" si="106">BI25*$Z25</f>
        <v>39726.688888799996</v>
      </c>
      <c r="BK25" s="843">
        <f t="shared" ref="BK25:BK30" ca="1" si="107">IFERROR(BJ25/AT$4,0)</f>
        <v>3.4210649356134069E-2</v>
      </c>
      <c r="BL25" s="1007" t="str">
        <f t="shared" ref="BL25:BL30" ca="1" si="108">IF(SUM(AY25,BG25,BK25)&lt;&gt;0,"V","")</f>
        <v>V</v>
      </c>
      <c r="BM25" s="197">
        <f>25000</f>
        <v>25000</v>
      </c>
      <c r="BN25" s="312">
        <f t="shared" ca="1" si="73"/>
        <v>1.6693510042380622E-2</v>
      </c>
      <c r="BO25" s="842">
        <v>0.97685999999999995</v>
      </c>
      <c r="BP25" s="199">
        <f t="shared" ref="BP25:BP30" ca="1" si="109">BM25*$X25</f>
        <v>24829.180555499999</v>
      </c>
      <c r="BQ25" s="199">
        <f t="shared" ref="BQ25:BQ30" ca="1" si="110">BP25*$Z25</f>
        <v>24829.180555499999</v>
      </c>
      <c r="BR25" s="216">
        <f t="shared" ref="BR25:BR30" ca="1" si="111">IFERROR(BQ25/BM$4,0)</f>
        <v>3.9269533185828688E-2</v>
      </c>
      <c r="BS25" s="202">
        <f t="shared" ref="BS25:BS30" ca="1" si="112">BT25/$X25</f>
        <v>465.03405751899703</v>
      </c>
      <c r="BT25" s="203">
        <f t="shared" ref="BT25:BT30" ca="1" si="113">BU25/$Z25</f>
        <v>461.85658314383795</v>
      </c>
      <c r="BU25" s="203">
        <f t="shared" ref="BU25:BU30" ca="1" si="114">BV25*BM$4</f>
        <v>461.85658314383795</v>
      </c>
      <c r="BV25" s="204">
        <f t="shared" ref="BV25:BV30" ca="1" si="115">$N25-BR25</f>
        <v>7.3046681417131276E-4</v>
      </c>
      <c r="BW25" s="205"/>
      <c r="BX25" s="206">
        <f t="shared" ref="BX25:BX30" ca="1" si="116">BW25*$X25</f>
        <v>0</v>
      </c>
      <c r="BY25" s="206">
        <f t="shared" ref="BY25:BY30" ca="1" si="117">BX25*$Z25</f>
        <v>0</v>
      </c>
      <c r="BZ25" s="207">
        <f t="shared" ref="BZ25:BZ30" ca="1" si="118">IFERROR(BY25/BM$4,0)</f>
        <v>0</v>
      </c>
      <c r="CA25" s="313">
        <f t="shared" ref="CA25:CA30" si="119">BM25+BW25</f>
        <v>25000</v>
      </c>
      <c r="CB25" s="313">
        <f t="shared" ca="1" si="75"/>
        <v>24829.180555499999</v>
      </c>
      <c r="CC25" s="313">
        <f t="shared" ref="CC25:CC30" ca="1" si="120">CB25*$Z25</f>
        <v>24829.180555499999</v>
      </c>
      <c r="CD25" s="843">
        <f t="shared" ref="CD25:CD30" ca="1" si="121">IFERROR(CC25/BM$4,0)</f>
        <v>3.9269533185828688E-2</v>
      </c>
      <c r="CE25" s="1007" t="str">
        <f t="shared" ref="CE25:CE30" ca="1" si="122">IF(SUM(BR25,BZ25,CD25)&lt;&gt;0,"V","")</f>
        <v>V</v>
      </c>
      <c r="CF25" s="197">
        <f>5000</f>
        <v>5000</v>
      </c>
      <c r="CG25" s="312">
        <f t="shared" ca="1" si="77"/>
        <v>1.6693510042380622E-2</v>
      </c>
      <c r="CH25" s="842">
        <v>0.97685999999999995</v>
      </c>
      <c r="CI25" s="199">
        <f t="shared" ref="CI25:CI30" ca="1" si="123">CF25*$X25</f>
        <v>4965.8361110999995</v>
      </c>
      <c r="CJ25" s="199">
        <f t="shared" ref="CJ25:CJ30" ca="1" si="124">CI25*$Z25</f>
        <v>4965.8361110999995</v>
      </c>
      <c r="CK25" s="216">
        <f t="shared" ref="CK25:CK30" ca="1" si="125">IFERROR(CJ25/CF$4,0)</f>
        <v>3.1142285792891557E-2</v>
      </c>
      <c r="CL25" s="202">
        <f t="shared" ref="CL25:CL30" ca="1" si="126">CM25/$X25</f>
        <v>-5000</v>
      </c>
      <c r="CM25" s="203">
        <f t="shared" ref="CM25:CM30" ca="1" si="127">CN25/$Z25</f>
        <v>-4965.8361110999995</v>
      </c>
      <c r="CN25" s="203">
        <f t="shared" ref="CN25:CN30" ca="1" si="128">CO25*CF$4</f>
        <v>-4965.8361110999995</v>
      </c>
      <c r="CO25" s="204">
        <f t="shared" ca="1" si="40"/>
        <v>-3.1142285792891557E-2</v>
      </c>
      <c r="CP25" s="205"/>
      <c r="CQ25" s="206">
        <f t="shared" ref="CQ25:CQ30" ca="1" si="129">CP25*$X25</f>
        <v>0</v>
      </c>
      <c r="CR25" s="206">
        <f t="shared" ref="CR25:CR30" ca="1" si="130">CQ25*$Z25</f>
        <v>0</v>
      </c>
      <c r="CS25" s="207">
        <f t="shared" ref="CS25:CS30" ca="1" si="131">IFERROR(CR25/CF$4,0)</f>
        <v>0</v>
      </c>
      <c r="CT25" s="313">
        <f t="shared" ref="CT25:CT30" si="132">CF25+CP25</f>
        <v>5000</v>
      </c>
      <c r="CU25" s="313">
        <f t="shared" ca="1" si="79"/>
        <v>4965.8361110999995</v>
      </c>
      <c r="CV25" s="313">
        <f t="shared" ref="CV25:CV30" ca="1" si="133">CU25*$Z25</f>
        <v>4965.8361110999995</v>
      </c>
      <c r="CW25" s="843">
        <f t="shared" ref="CW25:CW30" ca="1" si="134">IFERROR(CV25/CF$4,0)</f>
        <v>3.1142285792891557E-2</v>
      </c>
      <c r="CX25" s="1007" t="str">
        <f t="shared" ref="CX25:CX30" ca="1" si="135">IF(SUM(CK25,CS25,CW25)&lt;&gt;0,"V","")</f>
        <v>V</v>
      </c>
    </row>
    <row r="26" spans="1:102" ht="12.6" customHeight="1" outlineLevel="1" x14ac:dyDescent="0.2">
      <c r="A26" s="299"/>
      <c r="B26" s="299"/>
      <c r="C26" s="299" t="str">
        <f t="shared" ca="1" si="41"/>
        <v>EU000A1G0EE0:EUR</v>
      </c>
      <c r="D26" s="300" t="str">
        <f t="shared" ca="1" si="42"/>
        <v>EU000A1G0EE0</v>
      </c>
      <c r="E26" s="301" t="str">
        <f t="shared" ca="1" si="42"/>
        <v>48940521</v>
      </c>
      <c r="F26" s="299" t="s">
        <v>498</v>
      </c>
      <c r="G26" s="836">
        <f t="shared" ca="1" si="34"/>
        <v>47408</v>
      </c>
      <c r="H26" s="1680" t="str">
        <f t="shared" ca="1" si="35"/>
        <v></v>
      </c>
      <c r="I26" s="1680" t="str">
        <f t="shared" ca="1" si="43"/>
        <v>i</v>
      </c>
      <c r="J26" s="1708" t="str">
        <f t="shared" ca="1" si="44"/>
        <v></v>
      </c>
      <c r="K26" s="1709" t="str">
        <f t="shared" ca="1" si="44"/>
        <v></v>
      </c>
      <c r="L26" s="1710" t="str">
        <f t="shared" ca="1" si="45"/>
        <v></v>
      </c>
      <c r="M26" s="1780" t="str">
        <f t="shared" ca="1" si="46"/>
        <v>Pct</v>
      </c>
      <c r="N26" s="1113"/>
      <c r="O26" s="1113"/>
      <c r="P26" s="306">
        <f t="shared" ca="1" si="1"/>
        <v>0</v>
      </c>
      <c r="Q26" s="307">
        <f t="shared" si="36"/>
        <v>0</v>
      </c>
      <c r="R26" s="307">
        <f t="shared" ca="1" si="37"/>
        <v>0</v>
      </c>
      <c r="S26" s="1115"/>
      <c r="T26" s="1115"/>
      <c r="U26" s="308">
        <f t="shared" ca="1" si="38"/>
        <v>-2.1426085443314001E-3</v>
      </c>
      <c r="V26" s="307">
        <f t="shared" si="39"/>
        <v>0</v>
      </c>
      <c r="W26" s="299" t="str">
        <f t="shared" ca="1" si="47"/>
        <v>EUR</v>
      </c>
      <c r="X26" s="839">
        <f t="shared" ca="1" si="48"/>
        <v>0.91765767122999997</v>
      </c>
      <c r="Y26" s="1017">
        <f t="shared" ca="1" si="48"/>
        <v>2.4005690989999998E-2</v>
      </c>
      <c r="Z26" s="1018">
        <f t="shared" ca="1" si="49"/>
        <v>1</v>
      </c>
      <c r="AA26" s="197"/>
      <c r="AB26" s="312" t="str">
        <f t="shared" ca="1" si="50"/>
        <v/>
      </c>
      <c r="AC26" s="842"/>
      <c r="AD26" s="199">
        <f t="shared" ref="AD26" ca="1" si="136">AA26*$X26</f>
        <v>0</v>
      </c>
      <c r="AE26" s="199">
        <f t="shared" ref="AE26" ca="1" si="137">AD26*$Z26</f>
        <v>0</v>
      </c>
      <c r="AF26" s="216">
        <f t="shared" ref="AF26" ca="1" si="138">IFERROR(AE26/AA$4,0)</f>
        <v>0</v>
      </c>
      <c r="AG26" s="202">
        <f t="shared" ref="AG26" ca="1" si="139">AH26/$X26</f>
        <v>0</v>
      </c>
      <c r="AH26" s="203">
        <f t="shared" ref="AH26" ca="1" si="140">AI26/$Z26</f>
        <v>0</v>
      </c>
      <c r="AI26" s="203">
        <f t="shared" ref="AI26" ca="1" si="141">AJ26*AA$4</f>
        <v>0</v>
      </c>
      <c r="AJ26" s="204">
        <f t="shared" ref="AJ26" ca="1" si="142">$N26-AF26</f>
        <v>0</v>
      </c>
      <c r="AK26" s="205"/>
      <c r="AL26" s="206">
        <f t="shared" ref="AL26" ca="1" si="143">AK26*$X26</f>
        <v>0</v>
      </c>
      <c r="AM26" s="206">
        <f t="shared" ref="AM26" ca="1" si="144">AL26*$Z26</f>
        <v>0</v>
      </c>
      <c r="AN26" s="207">
        <f t="shared" ref="AN26" ca="1" si="145">IFERROR(AM26/AA$4,0)</f>
        <v>0</v>
      </c>
      <c r="AO26" s="313">
        <f t="shared" ref="AO26" si="146">AA26+AK26</f>
        <v>0</v>
      </c>
      <c r="AP26" s="313">
        <f t="shared" ca="1" si="59"/>
        <v>0</v>
      </c>
      <c r="AQ26" s="313">
        <f t="shared" ref="AQ26" ca="1" si="147">AP26*$Z26</f>
        <v>0</v>
      </c>
      <c r="AR26" s="843">
        <f t="shared" ref="AR26" ca="1" si="148">IFERROR(AQ26/AA$4,0)</f>
        <v>0</v>
      </c>
      <c r="AS26" s="1007" t="str">
        <f t="shared" ref="AS26" ca="1" si="149">IF(SUM(AF26,AN26,AR26)&lt;&gt;0,"V","")</f>
        <v/>
      </c>
      <c r="AT26" s="197"/>
      <c r="AU26" s="312" t="str">
        <f t="shared" ca="1" si="61"/>
        <v/>
      </c>
      <c r="AV26" s="842"/>
      <c r="AW26" s="199">
        <f t="shared" ref="AW26" ca="1" si="150">AT26*$X26</f>
        <v>0</v>
      </c>
      <c r="AX26" s="199">
        <f t="shared" ref="AX26" ca="1" si="151">AW26*$Z26</f>
        <v>0</v>
      </c>
      <c r="AY26" s="216">
        <f t="shared" ref="AY26" ca="1" si="152">IFERROR(AX26/AT$4,0)</f>
        <v>0</v>
      </c>
      <c r="AZ26" s="202">
        <f t="shared" ref="AZ26" ca="1" si="153">BA26/$X26</f>
        <v>0</v>
      </c>
      <c r="BA26" s="203">
        <f t="shared" ref="BA26" ca="1" si="154">BB26/$Z26</f>
        <v>0</v>
      </c>
      <c r="BB26" s="203">
        <f t="shared" ref="BB26" ca="1" si="155">BC26*AT$4</f>
        <v>0</v>
      </c>
      <c r="BC26" s="204">
        <f t="shared" ref="BC26" ca="1" si="156">$N26-AY26</f>
        <v>0</v>
      </c>
      <c r="BD26" s="205"/>
      <c r="BE26" s="206">
        <f t="shared" ref="BE26" ca="1" si="157">BD26*$X26</f>
        <v>0</v>
      </c>
      <c r="BF26" s="206">
        <f t="shared" ref="BF26" ca="1" si="158">BE26*$Z26</f>
        <v>0</v>
      </c>
      <c r="BG26" s="207">
        <f t="shared" ref="BG26" ca="1" si="159">IFERROR(BF26/AT$4,0)</f>
        <v>0</v>
      </c>
      <c r="BH26" s="313">
        <f t="shared" ref="BH26" si="160">AT26+BD26</f>
        <v>0</v>
      </c>
      <c r="BI26" s="313">
        <f t="shared" ca="1" si="70"/>
        <v>0</v>
      </c>
      <c r="BJ26" s="313">
        <f t="shared" ref="BJ26" ca="1" si="161">BI26*$Z26</f>
        <v>0</v>
      </c>
      <c r="BK26" s="843">
        <f t="shared" ref="BK26" ca="1" si="162">IFERROR(BJ26/AT$4,0)</f>
        <v>0</v>
      </c>
      <c r="BL26" s="1007" t="str">
        <f t="shared" ref="BL26" ca="1" si="163">IF(SUM(AY26,BG26,BK26)&lt;&gt;0,"V","")</f>
        <v/>
      </c>
      <c r="BM26" s="197"/>
      <c r="BN26" s="312" t="str">
        <f t="shared" ca="1" si="73"/>
        <v/>
      </c>
      <c r="BO26" s="842"/>
      <c r="BP26" s="199">
        <f t="shared" ref="BP26" ca="1" si="164">BM26*$X26</f>
        <v>0</v>
      </c>
      <c r="BQ26" s="199">
        <f t="shared" ref="BQ26" ca="1" si="165">BP26*$Z26</f>
        <v>0</v>
      </c>
      <c r="BR26" s="216">
        <f t="shared" ref="BR26" ca="1" si="166">IFERROR(BQ26/BM$4,0)</f>
        <v>0</v>
      </c>
      <c r="BS26" s="202">
        <f t="shared" ref="BS26" ca="1" si="167">BT26/$X26</f>
        <v>0</v>
      </c>
      <c r="BT26" s="203">
        <f t="shared" ref="BT26" ca="1" si="168">BU26/$Z26</f>
        <v>0</v>
      </c>
      <c r="BU26" s="203">
        <f t="shared" ref="BU26" ca="1" si="169">BV26*BM$4</f>
        <v>0</v>
      </c>
      <c r="BV26" s="204">
        <f t="shared" ref="BV26" ca="1" si="170">$N26-BR26</f>
        <v>0</v>
      </c>
      <c r="BW26" s="205"/>
      <c r="BX26" s="206">
        <f t="shared" ref="BX26" ca="1" si="171">BW26*$X26</f>
        <v>0</v>
      </c>
      <c r="BY26" s="206">
        <f t="shared" ref="BY26" ca="1" si="172">BX26*$Z26</f>
        <v>0</v>
      </c>
      <c r="BZ26" s="207">
        <f t="shared" ref="BZ26" ca="1" si="173">IFERROR(BY26/BM$4,0)</f>
        <v>0</v>
      </c>
      <c r="CA26" s="313">
        <f t="shared" ref="CA26" si="174">BM26+BW26</f>
        <v>0</v>
      </c>
      <c r="CB26" s="313">
        <f t="shared" ca="1" si="75"/>
        <v>0</v>
      </c>
      <c r="CC26" s="313">
        <f t="shared" ref="CC26" ca="1" si="175">CB26*$Z26</f>
        <v>0</v>
      </c>
      <c r="CD26" s="843">
        <f t="shared" ref="CD26" ca="1" si="176">IFERROR(CC26/BM$4,0)</f>
        <v>0</v>
      </c>
      <c r="CE26" s="1007" t="str">
        <f t="shared" ref="CE26" ca="1" si="177">IF(SUM(BR26,BZ26,CD26)&lt;&gt;0,"V","")</f>
        <v/>
      </c>
      <c r="CF26" s="197"/>
      <c r="CG26" s="312" t="str">
        <f t="shared" ca="1" si="77"/>
        <v/>
      </c>
      <c r="CH26" s="842"/>
      <c r="CI26" s="199">
        <f t="shared" ref="CI26" ca="1" si="178">CF26*$X26</f>
        <v>0</v>
      </c>
      <c r="CJ26" s="199">
        <f t="shared" ref="CJ26" ca="1" si="179">CI26*$Z26</f>
        <v>0</v>
      </c>
      <c r="CK26" s="216">
        <f t="shared" ref="CK26" ca="1" si="180">IFERROR(CJ26/CF$4,0)</f>
        <v>0</v>
      </c>
      <c r="CL26" s="202">
        <f t="shared" ref="CL26" ca="1" si="181">CM26/$X26</f>
        <v>0</v>
      </c>
      <c r="CM26" s="203">
        <f t="shared" ref="CM26" ca="1" si="182">CN26/$Z26</f>
        <v>0</v>
      </c>
      <c r="CN26" s="203">
        <f t="shared" ref="CN26" ca="1" si="183">CO26*CF$4</f>
        <v>0</v>
      </c>
      <c r="CO26" s="204">
        <f t="shared" ca="1" si="40"/>
        <v>0</v>
      </c>
      <c r="CP26" s="205"/>
      <c r="CQ26" s="206">
        <f t="shared" ref="CQ26" ca="1" si="184">CP26*$X26</f>
        <v>0</v>
      </c>
      <c r="CR26" s="206">
        <f t="shared" ref="CR26" ca="1" si="185">CQ26*$Z26</f>
        <v>0</v>
      </c>
      <c r="CS26" s="207">
        <f t="shared" ref="CS26" ca="1" si="186">IFERROR(CR26/CF$4,0)</f>
        <v>0</v>
      </c>
      <c r="CT26" s="313">
        <f t="shared" ref="CT26" si="187">CF26+CP26</f>
        <v>0</v>
      </c>
      <c r="CU26" s="313">
        <f t="shared" ca="1" si="79"/>
        <v>0</v>
      </c>
      <c r="CV26" s="313">
        <f t="shared" ref="CV26" ca="1" si="188">CU26*$Z26</f>
        <v>0</v>
      </c>
      <c r="CW26" s="843">
        <f t="shared" ref="CW26" ca="1" si="189">IFERROR(CV26/CF$4,0)</f>
        <v>0</v>
      </c>
      <c r="CX26" s="1007" t="str">
        <f t="shared" ref="CX26" ca="1" si="190">IF(SUM(CK26,CS26,CW26)&lt;&gt;0,"V","")</f>
        <v/>
      </c>
    </row>
    <row r="27" spans="1:102" ht="12.6" customHeight="1" outlineLevel="1" x14ac:dyDescent="0.2">
      <c r="A27" s="299"/>
      <c r="B27" s="299"/>
      <c r="C27" s="299" t="str">
        <f t="shared" ca="1" si="41"/>
        <v>XS2374594823:EUR</v>
      </c>
      <c r="D27" s="300" t="str">
        <f t="shared" ca="1" si="42"/>
        <v>XS2374594823</v>
      </c>
      <c r="E27" s="301" t="str">
        <f t="shared" ca="1" si="42"/>
        <v>113081936</v>
      </c>
      <c r="F27" s="299" t="s">
        <v>471</v>
      </c>
      <c r="G27" s="836">
        <f t="shared" ca="1" si="34"/>
        <v>47526</v>
      </c>
      <c r="H27" s="1680" t="str">
        <f t="shared" ca="1" si="35"/>
        <v></v>
      </c>
      <c r="I27" s="1680" t="str">
        <f t="shared" ca="1" si="43"/>
        <v>i</v>
      </c>
      <c r="J27" s="1708" t="str">
        <f t="shared" ca="1" si="44"/>
        <v></v>
      </c>
      <c r="K27" s="1709" t="str">
        <f t="shared" ca="1" si="44"/>
        <v></v>
      </c>
      <c r="L27" s="1710" t="str">
        <f t="shared" ca="1" si="45"/>
        <v></v>
      </c>
      <c r="M27" s="1780" t="str">
        <f t="shared" ca="1" si="46"/>
        <v>Pct</v>
      </c>
      <c r="N27" s="1113">
        <v>0.04</v>
      </c>
      <c r="O27" s="1113"/>
      <c r="P27" s="306">
        <f t="shared" ca="1" si="1"/>
        <v>3.7795709802697586E-2</v>
      </c>
      <c r="Q27" s="307">
        <f t="shared" si="36"/>
        <v>110000</v>
      </c>
      <c r="R27" s="307">
        <f t="shared" ca="1" si="37"/>
        <v>1123.7233518031453</v>
      </c>
      <c r="S27" s="1115"/>
      <c r="T27" s="1115"/>
      <c r="U27" s="308">
        <f t="shared" ca="1" si="38"/>
        <v>-3.9135254988913E-3</v>
      </c>
      <c r="V27" s="307">
        <f t="shared" si="39"/>
        <v>0</v>
      </c>
      <c r="W27" s="299" t="str">
        <f t="shared" ca="1" si="47"/>
        <v>EUR</v>
      </c>
      <c r="X27" s="839">
        <f t="shared" ca="1" si="48"/>
        <v>0.89866520547999995</v>
      </c>
      <c r="Y27" s="1017">
        <f t="shared" ca="1" si="48"/>
        <v>3.0508417100000001E-2</v>
      </c>
      <c r="Z27" s="1018">
        <f t="shared" ref="Z27:Z30" ca="1" si="191">_xlfn.NUMBERVALUE(OFFSET(Origine,MATCH(W27&amp;"/"&amp;MRif,LUKB_Name,0),MATCH("Price",Intestazioni,0)-1,1,1))</f>
        <v>1</v>
      </c>
      <c r="AA27" s="197">
        <f>30000</f>
        <v>30000</v>
      </c>
      <c r="AB27" s="312">
        <f t="shared" ref="AB27:AB30" ca="1" si="192">IFERROR($X27/AC27-1,"")</f>
        <v>5.2239570844798244E-2</v>
      </c>
      <c r="AC27" s="842">
        <v>0.85404999999999998</v>
      </c>
      <c r="AD27" s="199">
        <f t="shared" ca="1" si="81"/>
        <v>26959.956164399999</v>
      </c>
      <c r="AE27" s="199">
        <f t="shared" ca="1" si="82"/>
        <v>26959.956164399999</v>
      </c>
      <c r="AF27" s="216">
        <f t="shared" ca="1" si="83"/>
        <v>3.8346475624776437E-2</v>
      </c>
      <c r="AG27" s="202">
        <f t="shared" ca="1" si="84"/>
        <v>1293.6190470827951</v>
      </c>
      <c r="AH27" s="203">
        <f t="shared" ca="1" si="85"/>
        <v>1162.5304267595018</v>
      </c>
      <c r="AI27" s="203">
        <f t="shared" ca="1" si="86"/>
        <v>1162.5304267595018</v>
      </c>
      <c r="AJ27" s="204">
        <f t="shared" ca="1" si="87"/>
        <v>1.653524375223564E-3</v>
      </c>
      <c r="AK27" s="205"/>
      <c r="AL27" s="206">
        <f t="shared" ca="1" si="88"/>
        <v>0</v>
      </c>
      <c r="AM27" s="206">
        <f t="shared" ca="1" si="89"/>
        <v>0</v>
      </c>
      <c r="AN27" s="207">
        <f t="shared" ca="1" si="90"/>
        <v>0</v>
      </c>
      <c r="AO27" s="313">
        <f t="shared" si="91"/>
        <v>30000</v>
      </c>
      <c r="AP27" s="313">
        <f t="shared" ref="AP27:AP30" ca="1" si="193">AD27+IF($T27="",AL27)</f>
        <v>26959.956164399999</v>
      </c>
      <c r="AQ27" s="313">
        <f t="shared" ca="1" si="92"/>
        <v>26959.956164399999</v>
      </c>
      <c r="AR27" s="843">
        <f t="shared" ca="1" si="93"/>
        <v>3.8346475624776437E-2</v>
      </c>
      <c r="AS27" s="1007" t="str">
        <f t="shared" ca="1" si="94"/>
        <v>V</v>
      </c>
      <c r="AT27" s="197">
        <f>45000</f>
        <v>45000</v>
      </c>
      <c r="AU27" s="312">
        <f t="shared" ref="AU27:AU30" ca="1" si="194">IFERROR($X27/AV27-1,"")</f>
        <v>5.2239570844798244E-2</v>
      </c>
      <c r="AV27" s="842">
        <v>0.85404999999999998</v>
      </c>
      <c r="AW27" s="199">
        <f t="shared" ca="1" si="95"/>
        <v>40439.934246599994</v>
      </c>
      <c r="AX27" s="199">
        <f t="shared" ca="1" si="96"/>
        <v>40439.934246599994</v>
      </c>
      <c r="AY27" s="216">
        <f t="shared" ca="1" si="97"/>
        <v>3.4824860797437081E-2</v>
      </c>
      <c r="AZ27" s="202">
        <f t="shared" ca="1" si="98"/>
        <v>6687.2130651120988</v>
      </c>
      <c r="BA27" s="203">
        <f t="shared" ca="1" si="99"/>
        <v>6009.5657032475046</v>
      </c>
      <c r="BB27" s="203">
        <f t="shared" ca="1" si="100"/>
        <v>6009.5657032475046</v>
      </c>
      <c r="BC27" s="204">
        <f t="shared" ca="1" si="101"/>
        <v>5.17513920256292E-3</v>
      </c>
      <c r="BD27" s="205"/>
      <c r="BE27" s="206">
        <f t="shared" ca="1" si="102"/>
        <v>0</v>
      </c>
      <c r="BF27" s="206">
        <f t="shared" ca="1" si="103"/>
        <v>0</v>
      </c>
      <c r="BG27" s="207">
        <f t="shared" ca="1" si="104"/>
        <v>0</v>
      </c>
      <c r="BH27" s="313">
        <f t="shared" si="105"/>
        <v>45000</v>
      </c>
      <c r="BI27" s="313">
        <f t="shared" ref="BI27:BI30" ca="1" si="195">AW27+IF($T27="",BE27)</f>
        <v>40439.934246599994</v>
      </c>
      <c r="BJ27" s="313">
        <f t="shared" ca="1" si="106"/>
        <v>40439.934246599994</v>
      </c>
      <c r="BK27" s="843">
        <f t="shared" ca="1" si="107"/>
        <v>3.4824860797437081E-2</v>
      </c>
      <c r="BL27" s="1007" t="str">
        <f t="shared" ca="1" si="108"/>
        <v>V</v>
      </c>
      <c r="BM27" s="197">
        <f>30000</f>
        <v>30000</v>
      </c>
      <c r="BN27" s="312">
        <f t="shared" ref="BN27:BN30" ca="1" si="196">IFERROR($X27/BO27-1,"")</f>
        <v>5.2239570844798244E-2</v>
      </c>
      <c r="BO27" s="842">
        <v>0.85404999999999998</v>
      </c>
      <c r="BP27" s="199">
        <f t="shared" ca="1" si="109"/>
        <v>26959.956164399999</v>
      </c>
      <c r="BQ27" s="199">
        <f t="shared" ca="1" si="110"/>
        <v>26959.956164399999</v>
      </c>
      <c r="BR27" s="216">
        <f t="shared" ca="1" si="111"/>
        <v>4.2639542248279108E-2</v>
      </c>
      <c r="BS27" s="202">
        <f t="shared" ca="1" si="112"/>
        <v>-1857.1087603917488</v>
      </c>
      <c r="BT27" s="203">
        <f t="shared" ca="1" si="113"/>
        <v>-1668.9190257561588</v>
      </c>
      <c r="BU27" s="203">
        <f t="shared" ca="1" si="114"/>
        <v>-1668.9190257561588</v>
      </c>
      <c r="BV27" s="204">
        <f t="shared" ca="1" si="115"/>
        <v>-2.6395422482791073E-3</v>
      </c>
      <c r="BW27" s="205"/>
      <c r="BX27" s="206">
        <f t="shared" ca="1" si="116"/>
        <v>0</v>
      </c>
      <c r="BY27" s="206">
        <f t="shared" ca="1" si="117"/>
        <v>0</v>
      </c>
      <c r="BZ27" s="207">
        <f t="shared" ca="1" si="118"/>
        <v>0</v>
      </c>
      <c r="CA27" s="313">
        <f t="shared" si="119"/>
        <v>30000</v>
      </c>
      <c r="CB27" s="313">
        <f t="shared" ref="CB27:CB30" ca="1" si="197">BP27+IF($T27="",BX27)</f>
        <v>26959.956164399999</v>
      </c>
      <c r="CC27" s="313">
        <f t="shared" ca="1" si="120"/>
        <v>26959.956164399999</v>
      </c>
      <c r="CD27" s="843">
        <f t="shared" ca="1" si="121"/>
        <v>4.2639542248279108E-2</v>
      </c>
      <c r="CE27" s="1007" t="str">
        <f t="shared" ca="1" si="122"/>
        <v>V</v>
      </c>
      <c r="CF27" s="197">
        <f>5000</f>
        <v>5000</v>
      </c>
      <c r="CG27" s="312">
        <f t="shared" ref="CG27:CG30" ca="1" si="198">IFERROR($X27/CH27-1,"")</f>
        <v>5.2239570844798244E-2</v>
      </c>
      <c r="CH27" s="842">
        <v>0.85404999999999998</v>
      </c>
      <c r="CI27" s="199">
        <f t="shared" ca="1" si="123"/>
        <v>4493.3260273999995</v>
      </c>
      <c r="CJ27" s="199">
        <f t="shared" ca="1" si="124"/>
        <v>4493.3260273999995</v>
      </c>
      <c r="CK27" s="216">
        <f t="shared" ca="1" si="125"/>
        <v>2.8179029709245063E-2</v>
      </c>
      <c r="CL27" s="202">
        <f t="shared" ca="1" si="126"/>
        <v>-5000</v>
      </c>
      <c r="CM27" s="203">
        <f t="shared" ca="1" si="127"/>
        <v>-4493.3260273999995</v>
      </c>
      <c r="CN27" s="203">
        <f t="shared" ca="1" si="128"/>
        <v>-4493.3260273999995</v>
      </c>
      <c r="CO27" s="204">
        <f t="shared" ref="CO27:CO30" ca="1" si="199">$O27-CK27</f>
        <v>-2.8179029709245063E-2</v>
      </c>
      <c r="CP27" s="205"/>
      <c r="CQ27" s="206">
        <f t="shared" ca="1" si="129"/>
        <v>0</v>
      </c>
      <c r="CR27" s="206">
        <f t="shared" ca="1" si="130"/>
        <v>0</v>
      </c>
      <c r="CS27" s="207">
        <f t="shared" ca="1" si="131"/>
        <v>0</v>
      </c>
      <c r="CT27" s="313">
        <f t="shared" si="132"/>
        <v>5000</v>
      </c>
      <c r="CU27" s="313">
        <f t="shared" ref="CU27:CU30" ca="1" si="200">CI27+IF($T27="",CQ27)</f>
        <v>4493.3260273999995</v>
      </c>
      <c r="CV27" s="313">
        <f t="shared" ca="1" si="133"/>
        <v>4493.3260273999995</v>
      </c>
      <c r="CW27" s="843">
        <f t="shared" ca="1" si="134"/>
        <v>2.8179029709245063E-2</v>
      </c>
      <c r="CX27" s="1007" t="str">
        <f t="shared" ca="1" si="135"/>
        <v>V</v>
      </c>
    </row>
    <row r="28" spans="1:102" ht="12.6" customHeight="1" outlineLevel="1" x14ac:dyDescent="0.2">
      <c r="A28" s="299"/>
      <c r="B28" s="299"/>
      <c r="C28" s="299" t="str">
        <f t="shared" ca="1" si="41"/>
        <v>DE000BHY0C47:EUR:P</v>
      </c>
      <c r="D28" s="300" t="str">
        <f t="shared" ca="1" si="42"/>
        <v>DE000BHY0C47</v>
      </c>
      <c r="E28" s="301" t="str">
        <f t="shared" ca="1" si="42"/>
        <v>59577377</v>
      </c>
      <c r="F28" s="299" t="s">
        <v>4233</v>
      </c>
      <c r="G28" s="836">
        <f t="shared" ca="1" si="34"/>
        <v>47875</v>
      </c>
      <c r="H28" s="1680" t="str">
        <f t="shared" ca="1" si="35"/>
        <v></v>
      </c>
      <c r="I28" s="1680" t="str">
        <f t="shared" ca="1" si="43"/>
        <v>i</v>
      </c>
      <c r="J28" s="1708" t="str">
        <f t="shared" ca="1" si="44"/>
        <v></v>
      </c>
      <c r="K28" s="1709" t="str">
        <f t="shared" ca="1" si="44"/>
        <v></v>
      </c>
      <c r="L28" s="1710" t="str">
        <f t="shared" ca="1" si="45"/>
        <v></v>
      </c>
      <c r="M28" s="1780" t="str">
        <f t="shared" ca="1" si="46"/>
        <v>Pct</v>
      </c>
      <c r="N28" s="1113"/>
      <c r="O28" s="1113"/>
      <c r="P28" s="306">
        <f t="shared" ca="1" si="1"/>
        <v>2.1110746861208712E-2</v>
      </c>
      <c r="Q28" s="307">
        <f t="shared" si="36"/>
        <v>60000</v>
      </c>
      <c r="R28" s="307">
        <f t="shared" ca="1" si="37"/>
        <v>-60000</v>
      </c>
      <c r="S28" s="1115"/>
      <c r="T28" s="1115"/>
      <c r="U28" s="308">
        <f t="shared" ca="1" si="38"/>
        <v>-3.8218583077220003E-3</v>
      </c>
      <c r="V28" s="307">
        <f t="shared" si="39"/>
        <v>0</v>
      </c>
      <c r="W28" s="299" t="str">
        <f t="shared" ca="1" si="47"/>
        <v>EUR</v>
      </c>
      <c r="X28" s="839">
        <f t="shared" ca="1" si="48"/>
        <v>0.87840958903999999</v>
      </c>
      <c r="Y28" s="1017">
        <f t="shared" ca="1" si="48"/>
        <v>2.6126180650000001E-2</v>
      </c>
      <c r="Z28" s="1018">
        <f t="shared" ca="1" si="191"/>
        <v>1</v>
      </c>
      <c r="AA28" s="197">
        <f>20000</f>
        <v>20000</v>
      </c>
      <c r="AB28" s="312">
        <f t="shared" ca="1" si="192"/>
        <v>1.4329779491916828E-2</v>
      </c>
      <c r="AC28" s="842">
        <v>0.86599999999999999</v>
      </c>
      <c r="AD28" s="199">
        <f t="shared" ca="1" si="81"/>
        <v>17568.1917808</v>
      </c>
      <c r="AE28" s="199">
        <f t="shared" ca="1" si="82"/>
        <v>17568.1917808</v>
      </c>
      <c r="AF28" s="216">
        <f t="shared" ca="1" si="83"/>
        <v>2.4988105833177187E-2</v>
      </c>
      <c r="AG28" s="202">
        <f t="shared" ca="1" si="84"/>
        <v>-20000</v>
      </c>
      <c r="AH28" s="203">
        <f t="shared" ca="1" si="85"/>
        <v>-17568.1917808</v>
      </c>
      <c r="AI28" s="203">
        <f t="shared" ca="1" si="86"/>
        <v>-17568.1917808</v>
      </c>
      <c r="AJ28" s="204">
        <f t="shared" ca="1" si="87"/>
        <v>-2.4988105833177187E-2</v>
      </c>
      <c r="AK28" s="205"/>
      <c r="AL28" s="206">
        <f t="shared" ca="1" si="88"/>
        <v>0</v>
      </c>
      <c r="AM28" s="206">
        <f t="shared" ca="1" si="89"/>
        <v>0</v>
      </c>
      <c r="AN28" s="207">
        <f t="shared" ca="1" si="90"/>
        <v>0</v>
      </c>
      <c r="AO28" s="313">
        <f t="shared" si="91"/>
        <v>20000</v>
      </c>
      <c r="AP28" s="313">
        <f t="shared" ca="1" si="193"/>
        <v>17568.1917808</v>
      </c>
      <c r="AQ28" s="313">
        <f t="shared" ca="1" si="92"/>
        <v>17568.1917808</v>
      </c>
      <c r="AR28" s="843">
        <f t="shared" ca="1" si="93"/>
        <v>2.4988105833177187E-2</v>
      </c>
      <c r="AS28" s="1007" t="str">
        <f t="shared" ca="1" si="94"/>
        <v>V</v>
      </c>
      <c r="AT28" s="197">
        <f>25000</f>
        <v>25000</v>
      </c>
      <c r="AU28" s="312">
        <f t="shared" ca="1" si="194"/>
        <v>1.4329779491916828E-2</v>
      </c>
      <c r="AV28" s="842">
        <v>0.86599999999999999</v>
      </c>
      <c r="AW28" s="199">
        <f t="shared" ca="1" si="95"/>
        <v>21960.239726</v>
      </c>
      <c r="AX28" s="199">
        <f t="shared" ca="1" si="96"/>
        <v>21960.239726</v>
      </c>
      <c r="AY28" s="216">
        <f t="shared" ca="1" si="97"/>
        <v>1.8911066642018477E-2</v>
      </c>
      <c r="AZ28" s="202">
        <f t="shared" ca="1" si="98"/>
        <v>-25000</v>
      </c>
      <c r="BA28" s="203">
        <f t="shared" ca="1" si="99"/>
        <v>-21960.239726</v>
      </c>
      <c r="BB28" s="203">
        <f t="shared" ca="1" si="100"/>
        <v>-21960.239726</v>
      </c>
      <c r="BC28" s="204">
        <f t="shared" ca="1" si="101"/>
        <v>-1.8911066642018477E-2</v>
      </c>
      <c r="BD28" s="205"/>
      <c r="BE28" s="206">
        <f t="shared" ca="1" si="102"/>
        <v>0</v>
      </c>
      <c r="BF28" s="206">
        <f t="shared" ca="1" si="103"/>
        <v>0</v>
      </c>
      <c r="BG28" s="207">
        <f t="shared" ca="1" si="104"/>
        <v>0</v>
      </c>
      <c r="BH28" s="313">
        <f t="shared" si="105"/>
        <v>25000</v>
      </c>
      <c r="BI28" s="313">
        <f t="shared" ca="1" si="195"/>
        <v>21960.239726</v>
      </c>
      <c r="BJ28" s="313">
        <f t="shared" ca="1" si="106"/>
        <v>21960.239726</v>
      </c>
      <c r="BK28" s="843">
        <f t="shared" ca="1" si="107"/>
        <v>1.8911066642018477E-2</v>
      </c>
      <c r="BL28" s="1007" t="str">
        <f t="shared" ca="1" si="108"/>
        <v>V</v>
      </c>
      <c r="BM28" s="197">
        <f>15000</f>
        <v>15000</v>
      </c>
      <c r="BN28" s="312">
        <f t="shared" ca="1" si="196"/>
        <v>1.4329779491916828E-2</v>
      </c>
      <c r="BO28" s="842">
        <v>0.86599999999999999</v>
      </c>
      <c r="BP28" s="199">
        <f t="shared" ca="1" si="109"/>
        <v>13176.1438356</v>
      </c>
      <c r="BQ28" s="199">
        <f t="shared" ca="1" si="110"/>
        <v>13176.1438356</v>
      </c>
      <c r="BR28" s="216">
        <f t="shared" ca="1" si="111"/>
        <v>2.083923053589179E-2</v>
      </c>
      <c r="BS28" s="202">
        <f t="shared" ca="1" si="112"/>
        <v>-15000</v>
      </c>
      <c r="BT28" s="203">
        <f t="shared" ca="1" si="113"/>
        <v>-13176.1438356</v>
      </c>
      <c r="BU28" s="203">
        <f t="shared" ca="1" si="114"/>
        <v>-13176.1438356</v>
      </c>
      <c r="BV28" s="204">
        <f t="shared" ca="1" si="115"/>
        <v>-2.083923053589179E-2</v>
      </c>
      <c r="BW28" s="205"/>
      <c r="BX28" s="206">
        <f t="shared" ca="1" si="116"/>
        <v>0</v>
      </c>
      <c r="BY28" s="206">
        <f t="shared" ca="1" si="117"/>
        <v>0</v>
      </c>
      <c r="BZ28" s="207">
        <f t="shared" ca="1" si="118"/>
        <v>0</v>
      </c>
      <c r="CA28" s="313">
        <f t="shared" si="119"/>
        <v>15000</v>
      </c>
      <c r="CB28" s="313">
        <f t="shared" ca="1" si="197"/>
        <v>13176.1438356</v>
      </c>
      <c r="CC28" s="313">
        <f t="shared" ca="1" si="120"/>
        <v>13176.1438356</v>
      </c>
      <c r="CD28" s="843">
        <f t="shared" ca="1" si="121"/>
        <v>2.083923053589179E-2</v>
      </c>
      <c r="CE28" s="1007" t="str">
        <f t="shared" ca="1" si="122"/>
        <v>V</v>
      </c>
      <c r="CF28" s="197"/>
      <c r="CG28" s="312" t="str">
        <f t="shared" ca="1" si="198"/>
        <v/>
      </c>
      <c r="CH28" s="842"/>
      <c r="CI28" s="199">
        <f t="shared" ca="1" si="123"/>
        <v>0</v>
      </c>
      <c r="CJ28" s="199">
        <f t="shared" ca="1" si="124"/>
        <v>0</v>
      </c>
      <c r="CK28" s="216">
        <f t="shared" ca="1" si="125"/>
        <v>0</v>
      </c>
      <c r="CL28" s="202">
        <f t="shared" ca="1" si="126"/>
        <v>0</v>
      </c>
      <c r="CM28" s="203">
        <f t="shared" ca="1" si="127"/>
        <v>0</v>
      </c>
      <c r="CN28" s="203">
        <f t="shared" ca="1" si="128"/>
        <v>0</v>
      </c>
      <c r="CO28" s="204">
        <f t="shared" ca="1" si="199"/>
        <v>0</v>
      </c>
      <c r="CP28" s="205"/>
      <c r="CQ28" s="206">
        <f t="shared" ca="1" si="129"/>
        <v>0</v>
      </c>
      <c r="CR28" s="206">
        <f t="shared" ca="1" si="130"/>
        <v>0</v>
      </c>
      <c r="CS28" s="207">
        <f t="shared" ca="1" si="131"/>
        <v>0</v>
      </c>
      <c r="CT28" s="313">
        <f t="shared" si="132"/>
        <v>0</v>
      </c>
      <c r="CU28" s="313">
        <f t="shared" ca="1" si="200"/>
        <v>0</v>
      </c>
      <c r="CV28" s="313">
        <f t="shared" ca="1" si="133"/>
        <v>0</v>
      </c>
      <c r="CW28" s="843">
        <f t="shared" ca="1" si="134"/>
        <v>0</v>
      </c>
      <c r="CX28" s="1007" t="str">
        <f t="shared" ca="1" si="135"/>
        <v/>
      </c>
    </row>
    <row r="29" spans="1:102" ht="12.6" customHeight="1" outlineLevel="1" x14ac:dyDescent="0.2">
      <c r="A29" s="299"/>
      <c r="B29" s="299"/>
      <c r="C29" s="299" t="str">
        <f t="shared" ca="1" si="41"/>
        <v>XS2389353264:EUR:P</v>
      </c>
      <c r="D29" s="300" t="str">
        <f t="shared" ca="1" si="42"/>
        <v>XS2389353264</v>
      </c>
      <c r="E29" s="301" t="str">
        <f t="shared" ca="1" si="42"/>
        <v>113789568</v>
      </c>
      <c r="F29" s="299" t="s">
        <v>384</v>
      </c>
      <c r="G29" s="836">
        <f t="shared" ca="1" si="34"/>
        <v>48296</v>
      </c>
      <c r="H29" s="1680" t="str">
        <f t="shared" ca="1" si="35"/>
        <v></v>
      </c>
      <c r="I29" s="1680" t="str">
        <f t="shared" ca="1" si="43"/>
        <v>i</v>
      </c>
      <c r="J29" s="1708" t="str">
        <f t="shared" ca="1" si="44"/>
        <v></v>
      </c>
      <c r="K29" s="1709" t="str">
        <f t="shared" ca="1" si="44"/>
        <v></v>
      </c>
      <c r="L29" s="1710" t="str">
        <f t="shared" ca="1" si="45"/>
        <v></v>
      </c>
      <c r="M29" s="1780" t="str">
        <f t="shared" ca="1" si="46"/>
        <v>Pct</v>
      </c>
      <c r="N29" s="1113"/>
      <c r="O29" s="1113"/>
      <c r="P29" s="306">
        <f t="shared" ca="1" si="1"/>
        <v>2.0857667051237466E-2</v>
      </c>
      <c r="Q29" s="307">
        <f t="shared" si="36"/>
        <v>65000</v>
      </c>
      <c r="R29" s="307">
        <f t="shared" ca="1" si="37"/>
        <v>-65000</v>
      </c>
      <c r="S29" s="1115"/>
      <c r="T29" s="1115"/>
      <c r="U29" s="308">
        <f t="shared" ca="1" si="38"/>
        <v>0.15010951504320141</v>
      </c>
      <c r="V29" s="307">
        <f t="shared" si="39"/>
        <v>0</v>
      </c>
      <c r="W29" s="299" t="str">
        <f t="shared" ca="1" si="47"/>
        <v>EUR</v>
      </c>
      <c r="X29" s="839">
        <f t="shared" ca="1" si="48"/>
        <v>0.86787904110000003</v>
      </c>
      <c r="Y29" s="1017">
        <f t="shared" ca="1" si="48"/>
        <v>3.3285636559999998E-2</v>
      </c>
      <c r="Z29" s="1018">
        <f t="shared" ca="1" si="191"/>
        <v>1</v>
      </c>
      <c r="AA29" s="197">
        <f>20000</f>
        <v>20000</v>
      </c>
      <c r="AB29" s="312">
        <f t="shared" ca="1" si="192"/>
        <v>6.2365693913042364E-3</v>
      </c>
      <c r="AC29" s="842">
        <v>0.86250000000000004</v>
      </c>
      <c r="AD29" s="199">
        <f t="shared" ca="1" si="81"/>
        <v>17357.580822</v>
      </c>
      <c r="AE29" s="199">
        <f t="shared" ca="1" si="82"/>
        <v>17357.580822</v>
      </c>
      <c r="AF29" s="216">
        <f t="shared" ca="1" si="83"/>
        <v>2.4688543476744301E-2</v>
      </c>
      <c r="AG29" s="202">
        <f t="shared" ca="1" si="84"/>
        <v>-20000</v>
      </c>
      <c r="AH29" s="203">
        <f t="shared" ca="1" si="85"/>
        <v>-17357.580822</v>
      </c>
      <c r="AI29" s="203">
        <f t="shared" ca="1" si="86"/>
        <v>-17357.580822</v>
      </c>
      <c r="AJ29" s="204">
        <f t="shared" ca="1" si="87"/>
        <v>-2.4688543476744301E-2</v>
      </c>
      <c r="AK29" s="205"/>
      <c r="AL29" s="206">
        <f t="shared" ca="1" si="88"/>
        <v>0</v>
      </c>
      <c r="AM29" s="206">
        <f t="shared" ca="1" si="89"/>
        <v>0</v>
      </c>
      <c r="AN29" s="207">
        <f t="shared" ca="1" si="90"/>
        <v>0</v>
      </c>
      <c r="AO29" s="313">
        <f t="shared" si="91"/>
        <v>20000</v>
      </c>
      <c r="AP29" s="313">
        <f t="shared" ca="1" si="193"/>
        <v>17357.580822</v>
      </c>
      <c r="AQ29" s="313">
        <f t="shared" ca="1" si="92"/>
        <v>17357.580822</v>
      </c>
      <c r="AR29" s="843">
        <f t="shared" ca="1" si="93"/>
        <v>2.4688543476744301E-2</v>
      </c>
      <c r="AS29" s="1007" t="str">
        <f t="shared" ca="1" si="94"/>
        <v>V</v>
      </c>
      <c r="AT29" s="197">
        <f>25000</f>
        <v>25000</v>
      </c>
      <c r="AU29" s="312">
        <f t="shared" ca="1" si="194"/>
        <v>6.2365693913042364E-3</v>
      </c>
      <c r="AV29" s="842">
        <v>0.86250000000000004</v>
      </c>
      <c r="AW29" s="199">
        <f t="shared" ca="1" si="95"/>
        <v>21696.976027500001</v>
      </c>
      <c r="AX29" s="199">
        <f t="shared" ca="1" si="96"/>
        <v>21696.976027500001</v>
      </c>
      <c r="AY29" s="216">
        <f t="shared" ca="1" si="97"/>
        <v>1.8684357033704718E-2</v>
      </c>
      <c r="AZ29" s="202">
        <f t="shared" ca="1" si="98"/>
        <v>-25000</v>
      </c>
      <c r="BA29" s="203">
        <f t="shared" ca="1" si="99"/>
        <v>-21696.976027500001</v>
      </c>
      <c r="BB29" s="203">
        <f t="shared" ca="1" si="100"/>
        <v>-21696.976027500001</v>
      </c>
      <c r="BC29" s="204">
        <f t="shared" ca="1" si="101"/>
        <v>-1.8684357033704718E-2</v>
      </c>
      <c r="BD29" s="205"/>
      <c r="BE29" s="206">
        <f t="shared" ca="1" si="102"/>
        <v>0</v>
      </c>
      <c r="BF29" s="206">
        <f t="shared" ca="1" si="103"/>
        <v>0</v>
      </c>
      <c r="BG29" s="207">
        <f t="shared" ca="1" si="104"/>
        <v>0</v>
      </c>
      <c r="BH29" s="313">
        <f t="shared" si="105"/>
        <v>25000</v>
      </c>
      <c r="BI29" s="313">
        <f t="shared" ca="1" si="195"/>
        <v>21696.976027500001</v>
      </c>
      <c r="BJ29" s="313">
        <f t="shared" ca="1" si="106"/>
        <v>21696.976027500001</v>
      </c>
      <c r="BK29" s="843">
        <f t="shared" ca="1" si="107"/>
        <v>1.8684357033704718E-2</v>
      </c>
      <c r="BL29" s="1007" t="str">
        <f t="shared" ca="1" si="108"/>
        <v>V</v>
      </c>
      <c r="BM29" s="197">
        <f>15000</f>
        <v>15000</v>
      </c>
      <c r="BN29" s="312">
        <f t="shared" ca="1" si="196"/>
        <v>6.2365693913042364E-3</v>
      </c>
      <c r="BO29" s="842">
        <v>0.86250000000000004</v>
      </c>
      <c r="BP29" s="199">
        <f t="shared" ca="1" si="109"/>
        <v>13018.185616500001</v>
      </c>
      <c r="BQ29" s="199">
        <f t="shared" ca="1" si="110"/>
        <v>13018.185616500001</v>
      </c>
      <c r="BR29" s="216">
        <f t="shared" ca="1" si="111"/>
        <v>2.0589405717345865E-2</v>
      </c>
      <c r="BS29" s="202">
        <f t="shared" ca="1" si="112"/>
        <v>-15000</v>
      </c>
      <c r="BT29" s="203">
        <f t="shared" ca="1" si="113"/>
        <v>-13018.185616500001</v>
      </c>
      <c r="BU29" s="203">
        <f t="shared" ca="1" si="114"/>
        <v>-13018.185616500001</v>
      </c>
      <c r="BV29" s="204">
        <f t="shared" ca="1" si="115"/>
        <v>-2.0589405717345865E-2</v>
      </c>
      <c r="BW29" s="205"/>
      <c r="BX29" s="206">
        <f t="shared" ca="1" si="116"/>
        <v>0</v>
      </c>
      <c r="BY29" s="206">
        <f t="shared" ca="1" si="117"/>
        <v>0</v>
      </c>
      <c r="BZ29" s="207">
        <f t="shared" ca="1" si="118"/>
        <v>0</v>
      </c>
      <c r="CA29" s="313">
        <f t="shared" si="119"/>
        <v>15000</v>
      </c>
      <c r="CB29" s="313">
        <f t="shared" ca="1" si="197"/>
        <v>13018.185616500001</v>
      </c>
      <c r="CC29" s="313">
        <f t="shared" ca="1" si="120"/>
        <v>13018.185616500001</v>
      </c>
      <c r="CD29" s="843">
        <f t="shared" ca="1" si="121"/>
        <v>2.0589405717345865E-2</v>
      </c>
      <c r="CE29" s="1007" t="str">
        <f t="shared" ca="1" si="122"/>
        <v>V</v>
      </c>
      <c r="CF29" s="197">
        <f>5000</f>
        <v>5000</v>
      </c>
      <c r="CG29" s="312">
        <f t="shared" ca="1" si="198"/>
        <v>6.2365693913042364E-3</v>
      </c>
      <c r="CH29" s="842">
        <v>0.86250000000000004</v>
      </c>
      <c r="CI29" s="199">
        <f t="shared" ca="1" si="123"/>
        <v>4339.3952055</v>
      </c>
      <c r="CJ29" s="199">
        <f t="shared" ca="1" si="124"/>
        <v>4339.3952055</v>
      </c>
      <c r="CK29" s="216">
        <f t="shared" ca="1" si="125"/>
        <v>2.7213682174470583E-2</v>
      </c>
      <c r="CL29" s="202">
        <f t="shared" ca="1" si="126"/>
        <v>-5000</v>
      </c>
      <c r="CM29" s="203">
        <f t="shared" ca="1" si="127"/>
        <v>-4339.3952055</v>
      </c>
      <c r="CN29" s="203">
        <f t="shared" ca="1" si="128"/>
        <v>-4339.3952055</v>
      </c>
      <c r="CO29" s="204">
        <f t="shared" ca="1" si="199"/>
        <v>-2.7213682174470583E-2</v>
      </c>
      <c r="CP29" s="205"/>
      <c r="CQ29" s="206">
        <f t="shared" ca="1" si="129"/>
        <v>0</v>
      </c>
      <c r="CR29" s="206">
        <f t="shared" ca="1" si="130"/>
        <v>0</v>
      </c>
      <c r="CS29" s="207">
        <f t="shared" ca="1" si="131"/>
        <v>0</v>
      </c>
      <c r="CT29" s="313">
        <f t="shared" si="132"/>
        <v>5000</v>
      </c>
      <c r="CU29" s="313">
        <f t="shared" ca="1" si="200"/>
        <v>4339.3952055</v>
      </c>
      <c r="CV29" s="313">
        <f t="shared" ca="1" si="133"/>
        <v>4339.3952055</v>
      </c>
      <c r="CW29" s="843">
        <f t="shared" ca="1" si="134"/>
        <v>2.7213682174470583E-2</v>
      </c>
      <c r="CX29" s="1007" t="str">
        <f t="shared" ca="1" si="135"/>
        <v>V</v>
      </c>
    </row>
    <row r="30" spans="1:102" ht="12.6" customHeight="1" outlineLevel="1" x14ac:dyDescent="0.2">
      <c r="A30" s="299"/>
      <c r="B30" s="299"/>
      <c r="C30" s="299" t="str">
        <f t="shared" ca="1" si="41"/>
        <v>DE000A2YNZY4:EUR:P</v>
      </c>
      <c r="D30" s="300" t="str">
        <f t="shared" ca="1" si="42"/>
        <v>DE000A2YNZY4</v>
      </c>
      <c r="E30" s="301" t="str">
        <f t="shared" ca="1" si="42"/>
        <v>49315636</v>
      </c>
      <c r="F30" s="299" t="s">
        <v>386</v>
      </c>
      <c r="G30" s="836">
        <f t="shared" ca="1" si="34"/>
        <v>49164</v>
      </c>
      <c r="H30" s="1680" t="str">
        <f t="shared" ca="1" si="35"/>
        <v></v>
      </c>
      <c r="I30" s="1680" t="str">
        <f t="shared" ca="1" si="43"/>
        <v>i</v>
      </c>
      <c r="J30" s="1708" t="str">
        <f t="shared" ca="1" si="44"/>
        <v></v>
      </c>
      <c r="K30" s="1709" t="str">
        <f t="shared" ca="1" si="44"/>
        <v></v>
      </c>
      <c r="L30" s="1710" t="str">
        <f t="shared" ca="1" si="45"/>
        <v></v>
      </c>
      <c r="M30" s="1780" t="str">
        <f t="shared" ca="1" si="46"/>
        <v>Pct</v>
      </c>
      <c r="N30" s="1113"/>
      <c r="O30" s="1113"/>
      <c r="P30" s="306">
        <f t="shared" ca="1" si="1"/>
        <v>2.0195105800576249E-2</v>
      </c>
      <c r="Q30" s="307">
        <f t="shared" si="36"/>
        <v>65000</v>
      </c>
      <c r="R30" s="307">
        <f t="shared" ca="1" si="37"/>
        <v>-65000</v>
      </c>
      <c r="S30" s="1115"/>
      <c r="T30" s="1115"/>
      <c r="U30" s="308">
        <f t="shared" ca="1" si="38"/>
        <v>-6.0429082240763994E-3</v>
      </c>
      <c r="V30" s="307">
        <f t="shared" si="39"/>
        <v>0</v>
      </c>
      <c r="W30" s="299" t="str">
        <f t="shared" ca="1" si="47"/>
        <v>EUR</v>
      </c>
      <c r="X30" s="839">
        <f t="shared" ca="1" si="48"/>
        <v>0.84031013699000001</v>
      </c>
      <c r="Y30" s="1017">
        <f t="shared" ca="1" si="48"/>
        <v>3.3486405779999999E-2</v>
      </c>
      <c r="Z30" s="1018">
        <f t="shared" ca="1" si="191"/>
        <v>1</v>
      </c>
      <c r="AA30" s="197">
        <f>20000</f>
        <v>20000</v>
      </c>
      <c r="AB30" s="312">
        <f t="shared" ca="1" si="192"/>
        <v>2.1777890308852133E-2</v>
      </c>
      <c r="AC30" s="842">
        <v>0.82240000000000002</v>
      </c>
      <c r="AD30" s="199">
        <f t="shared" ca="1" si="81"/>
        <v>16806.202739799999</v>
      </c>
      <c r="AE30" s="199">
        <f t="shared" ca="1" si="82"/>
        <v>16806.202739799999</v>
      </c>
      <c r="AF30" s="216">
        <f t="shared" ca="1" si="83"/>
        <v>2.3904291230183245E-2</v>
      </c>
      <c r="AG30" s="202">
        <f t="shared" ca="1" si="84"/>
        <v>-20000</v>
      </c>
      <c r="AH30" s="203">
        <f t="shared" ca="1" si="85"/>
        <v>-16806.202739799999</v>
      </c>
      <c r="AI30" s="203">
        <f t="shared" ca="1" si="86"/>
        <v>-16806.202739799999</v>
      </c>
      <c r="AJ30" s="204">
        <f t="shared" ca="1" si="87"/>
        <v>-2.3904291230183245E-2</v>
      </c>
      <c r="AK30" s="205"/>
      <c r="AL30" s="206">
        <f t="shared" ca="1" si="88"/>
        <v>0</v>
      </c>
      <c r="AM30" s="206">
        <f t="shared" ca="1" si="89"/>
        <v>0</v>
      </c>
      <c r="AN30" s="207">
        <f t="shared" ca="1" si="90"/>
        <v>0</v>
      </c>
      <c r="AO30" s="313">
        <f t="shared" si="91"/>
        <v>20000</v>
      </c>
      <c r="AP30" s="313">
        <f t="shared" ca="1" si="193"/>
        <v>16806.202739799999</v>
      </c>
      <c r="AQ30" s="313">
        <f t="shared" ca="1" si="92"/>
        <v>16806.202739799999</v>
      </c>
      <c r="AR30" s="843">
        <f t="shared" ca="1" si="93"/>
        <v>2.3904291230183245E-2</v>
      </c>
      <c r="AS30" s="1007" t="str">
        <f t="shared" ca="1" si="94"/>
        <v>V</v>
      </c>
      <c r="AT30" s="197">
        <f>25000</f>
        <v>25000</v>
      </c>
      <c r="AU30" s="312">
        <f t="shared" ca="1" si="194"/>
        <v>2.1777890308852133E-2</v>
      </c>
      <c r="AV30" s="842">
        <v>0.82240000000000002</v>
      </c>
      <c r="AW30" s="199">
        <f t="shared" ca="1" si="95"/>
        <v>21007.753424750001</v>
      </c>
      <c r="AX30" s="199">
        <f t="shared" ca="1" si="96"/>
        <v>21007.753424750001</v>
      </c>
      <c r="AY30" s="216">
        <f t="shared" ca="1" si="97"/>
        <v>1.8090832794697479E-2</v>
      </c>
      <c r="AZ30" s="202">
        <f t="shared" ca="1" si="98"/>
        <v>-25000</v>
      </c>
      <c r="BA30" s="203">
        <f t="shared" ca="1" si="99"/>
        <v>-21007.753424750001</v>
      </c>
      <c r="BB30" s="203">
        <f t="shared" ca="1" si="100"/>
        <v>-21007.753424750001</v>
      </c>
      <c r="BC30" s="204">
        <f t="shared" ca="1" si="101"/>
        <v>-1.8090832794697479E-2</v>
      </c>
      <c r="BD30" s="205"/>
      <c r="BE30" s="206">
        <f t="shared" ca="1" si="102"/>
        <v>0</v>
      </c>
      <c r="BF30" s="206">
        <f t="shared" ca="1" si="103"/>
        <v>0</v>
      </c>
      <c r="BG30" s="207">
        <f t="shared" ca="1" si="104"/>
        <v>0</v>
      </c>
      <c r="BH30" s="313">
        <f t="shared" si="105"/>
        <v>25000</v>
      </c>
      <c r="BI30" s="313">
        <f t="shared" ca="1" si="195"/>
        <v>21007.753424750001</v>
      </c>
      <c r="BJ30" s="313">
        <f t="shared" ca="1" si="106"/>
        <v>21007.753424750001</v>
      </c>
      <c r="BK30" s="843">
        <f t="shared" ca="1" si="107"/>
        <v>1.8090832794697479E-2</v>
      </c>
      <c r="BL30" s="1007" t="str">
        <f t="shared" ca="1" si="108"/>
        <v>V</v>
      </c>
      <c r="BM30" s="197">
        <f>15000</f>
        <v>15000</v>
      </c>
      <c r="BN30" s="312">
        <f t="shared" ca="1" si="196"/>
        <v>2.1777890308852133E-2</v>
      </c>
      <c r="BO30" s="842">
        <v>0.82240000000000002</v>
      </c>
      <c r="BP30" s="199">
        <f t="shared" ca="1" si="109"/>
        <v>12604.652054849999</v>
      </c>
      <c r="BQ30" s="199">
        <f t="shared" ca="1" si="110"/>
        <v>12604.652054849999</v>
      </c>
      <c r="BR30" s="216">
        <f t="shared" ca="1" si="111"/>
        <v>1.993536601247645E-2</v>
      </c>
      <c r="BS30" s="202">
        <f t="shared" ca="1" si="112"/>
        <v>-14999.999999999998</v>
      </c>
      <c r="BT30" s="203">
        <f t="shared" ca="1" si="113"/>
        <v>-12604.652054849999</v>
      </c>
      <c r="BU30" s="203">
        <f t="shared" ca="1" si="114"/>
        <v>-12604.652054849999</v>
      </c>
      <c r="BV30" s="204">
        <f t="shared" ca="1" si="115"/>
        <v>-1.993536601247645E-2</v>
      </c>
      <c r="BW30" s="205"/>
      <c r="BX30" s="206">
        <f t="shared" ca="1" si="116"/>
        <v>0</v>
      </c>
      <c r="BY30" s="206">
        <f t="shared" ca="1" si="117"/>
        <v>0</v>
      </c>
      <c r="BZ30" s="207">
        <f t="shared" ca="1" si="118"/>
        <v>0</v>
      </c>
      <c r="CA30" s="313">
        <f t="shared" si="119"/>
        <v>15000</v>
      </c>
      <c r="CB30" s="313">
        <f t="shared" ca="1" si="197"/>
        <v>12604.652054849999</v>
      </c>
      <c r="CC30" s="313">
        <f t="shared" ca="1" si="120"/>
        <v>12604.652054849999</v>
      </c>
      <c r="CD30" s="843">
        <f t="shared" ca="1" si="121"/>
        <v>1.993536601247645E-2</v>
      </c>
      <c r="CE30" s="1007" t="str">
        <f t="shared" ca="1" si="122"/>
        <v>V</v>
      </c>
      <c r="CF30" s="197">
        <f>5000</f>
        <v>5000</v>
      </c>
      <c r="CG30" s="312">
        <f t="shared" ca="1" si="198"/>
        <v>2.1777890308852133E-2</v>
      </c>
      <c r="CH30" s="842">
        <v>0.82240000000000002</v>
      </c>
      <c r="CI30" s="199">
        <f t="shared" ca="1" si="123"/>
        <v>4201.5506849499998</v>
      </c>
      <c r="CJ30" s="199">
        <f t="shared" ca="1" si="124"/>
        <v>4201.5506849499998</v>
      </c>
      <c r="CK30" s="216">
        <f t="shared" ca="1" si="125"/>
        <v>2.6349216783766963E-2</v>
      </c>
      <c r="CL30" s="202">
        <f t="shared" ca="1" si="126"/>
        <v>-5000</v>
      </c>
      <c r="CM30" s="203">
        <f t="shared" ca="1" si="127"/>
        <v>-4201.5506849499998</v>
      </c>
      <c r="CN30" s="203">
        <f t="shared" ca="1" si="128"/>
        <v>-4201.5506849499998</v>
      </c>
      <c r="CO30" s="204">
        <f t="shared" ca="1" si="199"/>
        <v>-2.6349216783766963E-2</v>
      </c>
      <c r="CP30" s="205"/>
      <c r="CQ30" s="206">
        <f t="shared" ca="1" si="129"/>
        <v>0</v>
      </c>
      <c r="CR30" s="206">
        <f t="shared" ca="1" si="130"/>
        <v>0</v>
      </c>
      <c r="CS30" s="207">
        <f t="shared" ca="1" si="131"/>
        <v>0</v>
      </c>
      <c r="CT30" s="313">
        <f t="shared" si="132"/>
        <v>5000</v>
      </c>
      <c r="CU30" s="313">
        <f t="shared" ca="1" si="200"/>
        <v>4201.5506849499998</v>
      </c>
      <c r="CV30" s="313">
        <f t="shared" ca="1" si="133"/>
        <v>4201.5506849499998</v>
      </c>
      <c r="CW30" s="843">
        <f t="shared" ca="1" si="134"/>
        <v>2.6349216783766963E-2</v>
      </c>
      <c r="CX30" s="1007" t="str">
        <f t="shared" ca="1" si="135"/>
        <v>V</v>
      </c>
    </row>
    <row r="31" spans="1:102" ht="12.6" customHeight="1" outlineLevel="1" x14ac:dyDescent="0.2">
      <c r="A31" s="299"/>
      <c r="B31" s="299"/>
      <c r="C31" s="299" t="str">
        <f t="shared" ca="1" si="41"/>
        <v>LU1287023342:EUR</v>
      </c>
      <c r="D31" s="300" t="str">
        <f t="shared" ca="1" si="42"/>
        <v>LU1287023342</v>
      </c>
      <c r="E31" s="301" t="str">
        <f t="shared" ca="1" si="42"/>
        <v>31879455</v>
      </c>
      <c r="F31" s="299" t="s">
        <v>742</v>
      </c>
      <c r="G31" s="836" t="str">
        <f t="shared" ca="1" si="34"/>
        <v/>
      </c>
      <c r="H31" s="1680" t="str">
        <f t="shared" ca="1" si="35"/>
        <v></v>
      </c>
      <c r="I31" s="1680" t="str">
        <f t="shared" ca="1" si="43"/>
        <v>i</v>
      </c>
      <c r="J31" s="1708" t="str">
        <f t="shared" ca="1" si="44"/>
        <v></v>
      </c>
      <c r="K31" s="1709" t="str">
        <f t="shared" ca="1" si="44"/>
        <v></v>
      </c>
      <c r="L31" s="1710" t="str">
        <f t="shared" ca="1" si="45"/>
        <v></v>
      </c>
      <c r="M31" s="1780" t="str">
        <f t="shared" ca="1" si="46"/>
        <v>Unit</v>
      </c>
      <c r="N31" s="1113"/>
      <c r="O31" s="1113"/>
      <c r="P31" s="306">
        <f t="shared" ca="1" si="1"/>
        <v>0</v>
      </c>
      <c r="Q31" s="307">
        <f t="shared" si="36"/>
        <v>0</v>
      </c>
      <c r="R31" s="307">
        <f t="shared" ca="1" si="37"/>
        <v>0</v>
      </c>
      <c r="S31" s="1115"/>
      <c r="T31" s="1115"/>
      <c r="U31" s="308">
        <f t="shared" ca="1" si="38"/>
        <v>2.3512814483894E-3</v>
      </c>
      <c r="V31" s="307">
        <f t="shared" si="39"/>
        <v>0</v>
      </c>
      <c r="W31" s="299" t="str">
        <f t="shared" ca="1" si="47"/>
        <v>EUR</v>
      </c>
      <c r="X31" s="1122">
        <f t="shared" ca="1" si="48"/>
        <v>127.56</v>
      </c>
      <c r="Y31" s="1017">
        <f t="shared" ca="1" si="48"/>
        <v>0</v>
      </c>
      <c r="Z31" s="1018">
        <f t="shared" ca="1" si="49"/>
        <v>1</v>
      </c>
      <c r="AA31" s="197"/>
      <c r="AB31" s="312" t="str">
        <f t="shared" ca="1" si="50"/>
        <v/>
      </c>
      <c r="AC31" s="411"/>
      <c r="AD31" s="199">
        <f t="shared" ref="AD31" ca="1" si="201">AA31*$X31</f>
        <v>0</v>
      </c>
      <c r="AE31" s="199">
        <f t="shared" ref="AE31" ca="1" si="202">AD31*$Z31</f>
        <v>0</v>
      </c>
      <c r="AF31" s="216">
        <f t="shared" ref="AF31" ca="1" si="203">IFERROR(AE31/AA$4,0)</f>
        <v>0</v>
      </c>
      <c r="AG31" s="202">
        <f t="shared" ref="AG31" ca="1" si="204">AH31/$X31</f>
        <v>0</v>
      </c>
      <c r="AH31" s="203">
        <f t="shared" ref="AH31" ca="1" si="205">AI31/$Z31</f>
        <v>0</v>
      </c>
      <c r="AI31" s="203">
        <f t="shared" ref="AI31" ca="1" si="206">AJ31*AA$4</f>
        <v>0</v>
      </c>
      <c r="AJ31" s="204">
        <f t="shared" ref="AJ31" ca="1" si="207">$N31-AF31</f>
        <v>0</v>
      </c>
      <c r="AK31" s="205"/>
      <c r="AL31" s="206">
        <f t="shared" ref="AL31" ca="1" si="208">AK31*$X31</f>
        <v>0</v>
      </c>
      <c r="AM31" s="206">
        <f t="shared" ref="AM31" ca="1" si="209">AL31*$Z31</f>
        <v>0</v>
      </c>
      <c r="AN31" s="207">
        <f t="shared" ref="AN31" ca="1" si="210">IFERROR(AM31/AA$4,0)</f>
        <v>0</v>
      </c>
      <c r="AO31" s="313">
        <f t="shared" ref="AO31" si="211">AA31+AK31</f>
        <v>0</v>
      </c>
      <c r="AP31" s="313">
        <f t="shared" ca="1" si="59"/>
        <v>0</v>
      </c>
      <c r="AQ31" s="313">
        <f t="shared" ref="AQ31" ca="1" si="212">AP31*$Z31</f>
        <v>0</v>
      </c>
      <c r="AR31" s="843">
        <f t="shared" ref="AR31" ca="1" si="213">IFERROR(AQ31/AA$4,0)</f>
        <v>0</v>
      </c>
      <c r="AS31" s="1007" t="str">
        <f t="shared" ca="1" si="15"/>
        <v/>
      </c>
      <c r="AT31" s="197"/>
      <c r="AU31" s="312" t="str">
        <f t="shared" ca="1" si="61"/>
        <v/>
      </c>
      <c r="AV31" s="411"/>
      <c r="AW31" s="199">
        <f t="shared" ref="AW31" ca="1" si="214">AT31*$X31</f>
        <v>0</v>
      </c>
      <c r="AX31" s="199">
        <f t="shared" ref="AX31" ca="1" si="215">AW31*$Z31</f>
        <v>0</v>
      </c>
      <c r="AY31" s="216">
        <f t="shared" ref="AY31" ca="1" si="216">IFERROR(AX31/AT$4,0)</f>
        <v>0</v>
      </c>
      <c r="AZ31" s="202">
        <f t="shared" ref="AZ31" ca="1" si="217">BA31/$X31</f>
        <v>0</v>
      </c>
      <c r="BA31" s="203">
        <f t="shared" ref="BA31" ca="1" si="218">BB31/$Z31</f>
        <v>0</v>
      </c>
      <c r="BB31" s="203">
        <f t="shared" ref="BB31" ca="1" si="219">BC31*AT$4</f>
        <v>0</v>
      </c>
      <c r="BC31" s="204">
        <f t="shared" ref="BC31" ca="1" si="220">$N31-AY31</f>
        <v>0</v>
      </c>
      <c r="BD31" s="205"/>
      <c r="BE31" s="206">
        <f t="shared" ref="BE31" ca="1" si="221">BD31*$X31</f>
        <v>0</v>
      </c>
      <c r="BF31" s="206">
        <f t="shared" ref="BF31" ca="1" si="222">BE31*$Z31</f>
        <v>0</v>
      </c>
      <c r="BG31" s="207">
        <f t="shared" ref="BG31" ca="1" si="223">IFERROR(BF31/AT$4,0)</f>
        <v>0</v>
      </c>
      <c r="BH31" s="313">
        <f t="shared" ref="BH31" si="224">AT31+BD31</f>
        <v>0</v>
      </c>
      <c r="BI31" s="313">
        <f t="shared" ca="1" si="70"/>
        <v>0</v>
      </c>
      <c r="BJ31" s="313">
        <f t="shared" ref="BJ31" ca="1" si="225">BI31*$Z31</f>
        <v>0</v>
      </c>
      <c r="BK31" s="843">
        <f t="shared" ref="BK31" ca="1" si="226">IFERROR(BJ31/AT$4,0)</f>
        <v>0</v>
      </c>
      <c r="BL31" s="1007" t="str">
        <f t="shared" ca="1" si="17"/>
        <v/>
      </c>
      <c r="BM31" s="197"/>
      <c r="BN31" s="312" t="str">
        <f t="shared" ca="1" si="73"/>
        <v/>
      </c>
      <c r="BO31" s="411"/>
      <c r="BP31" s="199">
        <f t="shared" ref="BP31" ca="1" si="227">BM31*$X31</f>
        <v>0</v>
      </c>
      <c r="BQ31" s="199">
        <f t="shared" ref="BQ31" ca="1" si="228">BP31*$Z31</f>
        <v>0</v>
      </c>
      <c r="BR31" s="216">
        <f t="shared" ref="BR31" ca="1" si="229">IFERROR(BQ31/BM$4,0)</f>
        <v>0</v>
      </c>
      <c r="BS31" s="202">
        <f t="shared" ref="BS31" ca="1" si="230">BT31/$X31</f>
        <v>0</v>
      </c>
      <c r="BT31" s="203">
        <f t="shared" ref="BT31" ca="1" si="231">BU31/$Z31</f>
        <v>0</v>
      </c>
      <c r="BU31" s="203">
        <f t="shared" ref="BU31" ca="1" si="232">BV31*BM$4</f>
        <v>0</v>
      </c>
      <c r="BV31" s="204">
        <f t="shared" ref="BV31" ca="1" si="233">$N31-BR31</f>
        <v>0</v>
      </c>
      <c r="BW31" s="205"/>
      <c r="BX31" s="206">
        <f t="shared" ref="BX31" ca="1" si="234">BW31*$X31</f>
        <v>0</v>
      </c>
      <c r="BY31" s="206">
        <f t="shared" ref="BY31" ca="1" si="235">BX31*$Z31</f>
        <v>0</v>
      </c>
      <c r="BZ31" s="207">
        <f t="shared" ref="BZ31" ca="1" si="236">IFERROR(BY31/BM$4,0)</f>
        <v>0</v>
      </c>
      <c r="CA31" s="313">
        <f t="shared" ref="CA31" si="237">BM31+BW31</f>
        <v>0</v>
      </c>
      <c r="CB31" s="313">
        <f t="shared" ca="1" si="75"/>
        <v>0</v>
      </c>
      <c r="CC31" s="313">
        <f t="shared" ref="CC31" ca="1" si="238">CB31*$Z31</f>
        <v>0</v>
      </c>
      <c r="CD31" s="843">
        <f t="shared" ref="CD31" ca="1" si="239">IFERROR(CC31/BM$4,0)</f>
        <v>0</v>
      </c>
      <c r="CE31" s="1007" t="str">
        <f t="shared" ca="1" si="19"/>
        <v/>
      </c>
      <c r="CF31" s="197"/>
      <c r="CG31" s="312" t="str">
        <f t="shared" ca="1" si="77"/>
        <v/>
      </c>
      <c r="CH31" s="411"/>
      <c r="CI31" s="199">
        <f t="shared" ref="CI31" ca="1" si="240">CF31*$X31</f>
        <v>0</v>
      </c>
      <c r="CJ31" s="199">
        <f t="shared" ref="CJ31" ca="1" si="241">CI31*$Z31</f>
        <v>0</v>
      </c>
      <c r="CK31" s="216">
        <f t="shared" ref="CK31" ca="1" si="242">IFERROR(CJ31/CF$4,0)</f>
        <v>0</v>
      </c>
      <c r="CL31" s="202">
        <f t="shared" ref="CL31" ca="1" si="243">CM31/$X31</f>
        <v>0</v>
      </c>
      <c r="CM31" s="203">
        <f t="shared" ref="CM31" ca="1" si="244">CN31/$Z31</f>
        <v>0</v>
      </c>
      <c r="CN31" s="203">
        <f t="shared" ref="CN31" ca="1" si="245">CO31*CF$4</f>
        <v>0</v>
      </c>
      <c r="CO31" s="204">
        <f t="shared" ca="1" si="40"/>
        <v>0</v>
      </c>
      <c r="CP31" s="205"/>
      <c r="CQ31" s="206">
        <f t="shared" ref="CQ31" ca="1" si="246">CP31*$X31</f>
        <v>0</v>
      </c>
      <c r="CR31" s="206">
        <f t="shared" ref="CR31" ca="1" si="247">CQ31*$Z31</f>
        <v>0</v>
      </c>
      <c r="CS31" s="207">
        <f t="shared" ref="CS31" ca="1" si="248">IFERROR(CR31/CF$4,0)</f>
        <v>0</v>
      </c>
      <c r="CT31" s="313">
        <f t="shared" ref="CT31" si="249">CF31+CP31</f>
        <v>0</v>
      </c>
      <c r="CU31" s="313">
        <f t="shared" ca="1" si="79"/>
        <v>0</v>
      </c>
      <c r="CV31" s="313">
        <f t="shared" ref="CV31" ca="1" si="250">CU31*$Z31</f>
        <v>0</v>
      </c>
      <c r="CW31" s="843">
        <f t="shared" ref="CW31" ca="1" si="251">IFERROR(CV31/CF$4,0)</f>
        <v>0</v>
      </c>
      <c r="CX31" s="1007" t="str">
        <f t="shared" ca="1" si="21"/>
        <v/>
      </c>
    </row>
    <row r="32" spans="1:102" ht="12.6" customHeight="1" outlineLevel="1" x14ac:dyDescent="0.2">
      <c r="A32" s="299"/>
      <c r="B32" s="299"/>
      <c r="C32" s="299" t="str">
        <f t="shared" ca="1" si="41"/>
        <v>LU1681046774:EUR</v>
      </c>
      <c r="D32" s="300" t="str">
        <f t="shared" ca="1" si="42"/>
        <v>LU1681046774</v>
      </c>
      <c r="E32" s="301" t="str">
        <f t="shared" ca="1" si="42"/>
        <v>38785045</v>
      </c>
      <c r="F32" s="299" t="s">
        <v>837</v>
      </c>
      <c r="G32" s="836" t="str">
        <f t="shared" ca="1" si="34"/>
        <v/>
      </c>
      <c r="H32" s="1680" t="str">
        <f t="shared" ca="1" si="35"/>
        <v></v>
      </c>
      <c r="I32" s="1680" t="str">
        <f t="shared" ca="1" si="43"/>
        <v>i</v>
      </c>
      <c r="J32" s="1708" t="str">
        <f t="shared" ca="1" si="44"/>
        <v></v>
      </c>
      <c r="K32" s="1709" t="str">
        <f t="shared" ca="1" si="44"/>
        <v></v>
      </c>
      <c r="L32" s="1710" t="str">
        <f t="shared" ca="1" si="45"/>
        <v></v>
      </c>
      <c r="M32" s="1780" t="str">
        <f t="shared" ca="1" si="46"/>
        <v>Unit</v>
      </c>
      <c r="N32" s="1113"/>
      <c r="O32" s="1113"/>
      <c r="P32" s="306">
        <f t="shared" ca="1" si="1"/>
        <v>0</v>
      </c>
      <c r="Q32" s="307">
        <f t="shared" si="36"/>
        <v>0</v>
      </c>
      <c r="R32" s="307">
        <f t="shared" ca="1" si="37"/>
        <v>0</v>
      </c>
      <c r="S32" s="1115"/>
      <c r="T32" s="1115"/>
      <c r="U32" s="308">
        <f t="shared" ca="1" si="38"/>
        <v>-5.4681584924709007E-3</v>
      </c>
      <c r="V32" s="307">
        <f t="shared" si="39"/>
        <v>0</v>
      </c>
      <c r="W32" s="299" t="str">
        <f t="shared" ca="1" si="47"/>
        <v>EUR</v>
      </c>
      <c r="X32" s="845">
        <f t="shared" ca="1" si="48"/>
        <v>236.44</v>
      </c>
      <c r="Y32" s="1017">
        <f t="shared" ca="1" si="48"/>
        <v>0</v>
      </c>
      <c r="Z32" s="1018">
        <f t="shared" ca="1" si="49"/>
        <v>1</v>
      </c>
      <c r="AA32" s="197"/>
      <c r="AB32" s="312" t="str">
        <f t="shared" ca="1" si="50"/>
        <v/>
      </c>
      <c r="AC32" s="411"/>
      <c r="AD32" s="199">
        <f t="shared" ca="1" si="51"/>
        <v>0</v>
      </c>
      <c r="AE32" s="199">
        <f t="shared" ca="1" si="52"/>
        <v>0</v>
      </c>
      <c r="AF32" s="216">
        <f t="shared" ca="1" si="2"/>
        <v>0</v>
      </c>
      <c r="AG32" s="202">
        <f t="shared" ca="1" si="53"/>
        <v>0</v>
      </c>
      <c r="AH32" s="203">
        <f t="shared" ca="1" si="54"/>
        <v>0</v>
      </c>
      <c r="AI32" s="203">
        <f t="shared" ca="1" si="55"/>
        <v>0</v>
      </c>
      <c r="AJ32" s="204">
        <f t="shared" ca="1" si="56"/>
        <v>0</v>
      </c>
      <c r="AK32" s="205"/>
      <c r="AL32" s="206">
        <f t="shared" ca="1" si="57"/>
        <v>0</v>
      </c>
      <c r="AM32" s="206">
        <f t="shared" ca="1" si="58"/>
        <v>0</v>
      </c>
      <c r="AN32" s="207">
        <f t="shared" ca="1" si="3"/>
        <v>0</v>
      </c>
      <c r="AO32" s="313">
        <f t="shared" ref="AO32:AO40" si="252">AA32+AK32</f>
        <v>0</v>
      </c>
      <c r="AP32" s="313">
        <f t="shared" ca="1" si="59"/>
        <v>0</v>
      </c>
      <c r="AQ32" s="313">
        <f t="shared" ca="1" si="60"/>
        <v>0</v>
      </c>
      <c r="AR32" s="843">
        <f t="shared" ca="1" si="26"/>
        <v>0</v>
      </c>
      <c r="AS32" s="1007" t="str">
        <f t="shared" ca="1" si="15"/>
        <v/>
      </c>
      <c r="AT32" s="197"/>
      <c r="AU32" s="312" t="str">
        <f t="shared" ca="1" si="61"/>
        <v/>
      </c>
      <c r="AV32" s="411"/>
      <c r="AW32" s="199">
        <f t="shared" ca="1" si="62"/>
        <v>0</v>
      </c>
      <c r="AX32" s="199">
        <f t="shared" ca="1" si="63"/>
        <v>0</v>
      </c>
      <c r="AY32" s="216">
        <f t="shared" ca="1" si="4"/>
        <v>0</v>
      </c>
      <c r="AZ32" s="202">
        <f t="shared" ca="1" si="64"/>
        <v>0</v>
      </c>
      <c r="BA32" s="203">
        <f t="shared" ca="1" si="65"/>
        <v>0</v>
      </c>
      <c r="BB32" s="203">
        <f t="shared" ca="1" si="66"/>
        <v>0</v>
      </c>
      <c r="BC32" s="204">
        <f t="shared" ca="1" si="67"/>
        <v>0</v>
      </c>
      <c r="BD32" s="205"/>
      <c r="BE32" s="206">
        <f t="shared" ca="1" si="68"/>
        <v>0</v>
      </c>
      <c r="BF32" s="206">
        <f t="shared" ca="1" si="69"/>
        <v>0</v>
      </c>
      <c r="BG32" s="207">
        <f t="shared" ca="1" si="5"/>
        <v>0</v>
      </c>
      <c r="BH32" s="313">
        <f t="shared" ref="BH32:BH40" si="253">AT32+BD32</f>
        <v>0</v>
      </c>
      <c r="BI32" s="313">
        <f t="shared" ca="1" si="70"/>
        <v>0</v>
      </c>
      <c r="BJ32" s="313">
        <f t="shared" ca="1" si="71"/>
        <v>0</v>
      </c>
      <c r="BK32" s="843">
        <f t="shared" ca="1" si="72"/>
        <v>0</v>
      </c>
      <c r="BL32" s="1007" t="str">
        <f t="shared" ca="1" si="17"/>
        <v/>
      </c>
      <c r="BM32" s="197"/>
      <c r="BN32" s="312" t="str">
        <f t="shared" ca="1" si="73"/>
        <v/>
      </c>
      <c r="BO32" s="411"/>
      <c r="BP32" s="199">
        <f t="shared" ref="BP32:BP40" ca="1" si="254">BM32*$X32</f>
        <v>0</v>
      </c>
      <c r="BQ32" s="199">
        <f t="shared" ref="BQ32:BQ40" ca="1" si="255">BP32*$Z32</f>
        <v>0</v>
      </c>
      <c r="BR32" s="216">
        <f t="shared" ca="1" si="6"/>
        <v>0</v>
      </c>
      <c r="BS32" s="202">
        <f t="shared" ref="BS32:BS40" ca="1" si="256">BT32/$X32</f>
        <v>0</v>
      </c>
      <c r="BT32" s="203">
        <f t="shared" ref="BT32:BT40" ca="1" si="257">BU32/$Z32</f>
        <v>0</v>
      </c>
      <c r="BU32" s="203">
        <f t="shared" ca="1" si="74"/>
        <v>0</v>
      </c>
      <c r="BV32" s="204">
        <f t="shared" ref="BV32:BV40" ca="1" si="258">$N32-BR32</f>
        <v>0</v>
      </c>
      <c r="BW32" s="205"/>
      <c r="BX32" s="206">
        <f t="shared" ref="BX32:BX40" ca="1" si="259">BW32*$X32</f>
        <v>0</v>
      </c>
      <c r="BY32" s="206">
        <f t="shared" ref="BY32:BY40" ca="1" si="260">BX32*$Z32</f>
        <v>0</v>
      </c>
      <c r="BZ32" s="207">
        <f t="shared" ca="1" si="7"/>
        <v>0</v>
      </c>
      <c r="CA32" s="313">
        <f t="shared" ref="CA32:CA40" si="261">BM32+BW32</f>
        <v>0</v>
      </c>
      <c r="CB32" s="313">
        <f t="shared" ca="1" si="75"/>
        <v>0</v>
      </c>
      <c r="CC32" s="313">
        <f t="shared" ref="CC32:CC40" ca="1" si="262">CB32*$Z32</f>
        <v>0</v>
      </c>
      <c r="CD32" s="843">
        <f t="shared" ca="1" si="76"/>
        <v>0</v>
      </c>
      <c r="CE32" s="1007" t="str">
        <f t="shared" ca="1" si="19"/>
        <v/>
      </c>
      <c r="CF32" s="197"/>
      <c r="CG32" s="312" t="str">
        <f t="shared" ca="1" si="77"/>
        <v/>
      </c>
      <c r="CH32" s="411"/>
      <c r="CI32" s="199">
        <f t="shared" ref="CI32:CI40" ca="1" si="263">CF32*$X32</f>
        <v>0</v>
      </c>
      <c r="CJ32" s="199">
        <f t="shared" ref="CJ32:CJ40" ca="1" si="264">CI32*$Z32</f>
        <v>0</v>
      </c>
      <c r="CK32" s="216">
        <f t="shared" ca="1" si="8"/>
        <v>0</v>
      </c>
      <c r="CL32" s="202">
        <f t="shared" ref="CL32:CL40" ca="1" si="265">CM32/$X32</f>
        <v>0</v>
      </c>
      <c r="CM32" s="203">
        <f t="shared" ref="CM32:CM40" ca="1" si="266">CN32/$Z32</f>
        <v>0</v>
      </c>
      <c r="CN32" s="203">
        <f t="shared" ca="1" si="78"/>
        <v>0</v>
      </c>
      <c r="CO32" s="204">
        <f t="shared" ca="1" si="40"/>
        <v>0</v>
      </c>
      <c r="CP32" s="205"/>
      <c r="CQ32" s="206">
        <f t="shared" ref="CQ32:CQ40" ca="1" si="267">CP32*$X32</f>
        <v>0</v>
      </c>
      <c r="CR32" s="206">
        <f t="shared" ref="CR32:CR40" ca="1" si="268">CQ32*$Z32</f>
        <v>0</v>
      </c>
      <c r="CS32" s="207">
        <f t="shared" ca="1" si="9"/>
        <v>0</v>
      </c>
      <c r="CT32" s="313">
        <f t="shared" ref="CT32:CT40" si="269">CF32+CP32</f>
        <v>0</v>
      </c>
      <c r="CU32" s="313">
        <f t="shared" ca="1" si="79"/>
        <v>0</v>
      </c>
      <c r="CV32" s="313">
        <f t="shared" ref="CV32:CV40" ca="1" si="270">CU32*$Z32</f>
        <v>0</v>
      </c>
      <c r="CW32" s="843">
        <f t="shared" ca="1" si="80"/>
        <v>0</v>
      </c>
      <c r="CX32" s="1007" t="str">
        <f t="shared" ca="1" si="21"/>
        <v/>
      </c>
    </row>
    <row r="33" spans="1:102" ht="12.6" customHeight="1" outlineLevel="1" x14ac:dyDescent="0.2">
      <c r="A33" s="299"/>
      <c r="B33" s="299"/>
      <c r="C33" s="299" t="str">
        <f t="shared" ca="1" si="41"/>
        <v>LU1399300455:EUR</v>
      </c>
      <c r="D33" s="300" t="str">
        <f t="shared" ca="1" si="42"/>
        <v>LU1399300455</v>
      </c>
      <c r="E33" s="301" t="str">
        <f t="shared" ca="1" si="42"/>
        <v>34645021</v>
      </c>
      <c r="F33" s="299" t="s">
        <v>838</v>
      </c>
      <c r="G33" s="836" t="str">
        <f t="shared" ca="1" si="34"/>
        <v/>
      </c>
      <c r="H33" s="1680" t="str">
        <f t="shared" ca="1" si="35"/>
        <v></v>
      </c>
      <c r="I33" s="1680" t="str">
        <f t="shared" ca="1" si="43"/>
        <v>i</v>
      </c>
      <c r="J33" s="1708" t="str">
        <f t="shared" ca="1" si="44"/>
        <v></v>
      </c>
      <c r="K33" s="1709" t="str">
        <f t="shared" ca="1" si="44"/>
        <v></v>
      </c>
      <c r="L33" s="1710" t="str">
        <f t="shared" ca="1" si="45"/>
        <v></v>
      </c>
      <c r="M33" s="1780" t="str">
        <f t="shared" ca="1" si="46"/>
        <v>Unit</v>
      </c>
      <c r="N33" s="1113"/>
      <c r="O33" s="1113"/>
      <c r="P33" s="306">
        <f t="shared" ca="1" si="1"/>
        <v>0</v>
      </c>
      <c r="Q33" s="307">
        <f t="shared" si="36"/>
        <v>0</v>
      </c>
      <c r="R33" s="307">
        <f t="shared" ca="1" si="37"/>
        <v>0</v>
      </c>
      <c r="S33" s="1115"/>
      <c r="T33" s="1115"/>
      <c r="U33" s="308">
        <f t="shared" ca="1" si="38"/>
        <v>-4.1962277210590001E-3</v>
      </c>
      <c r="V33" s="307">
        <f t="shared" si="39"/>
        <v>0</v>
      </c>
      <c r="W33" s="299" t="str">
        <f t="shared" ca="1" si="47"/>
        <v>EUR</v>
      </c>
      <c r="X33" s="845">
        <f t="shared" ca="1" si="48"/>
        <v>92.037999999999997</v>
      </c>
      <c r="Y33" s="1017">
        <f t="shared" ca="1" si="48"/>
        <v>0</v>
      </c>
      <c r="Z33" s="1018">
        <f t="shared" ca="1" si="49"/>
        <v>1</v>
      </c>
      <c r="AA33" s="197"/>
      <c r="AB33" s="312" t="str">
        <f t="shared" ca="1" si="50"/>
        <v/>
      </c>
      <c r="AC33" s="411"/>
      <c r="AD33" s="199">
        <f ca="1">AA33*$X33</f>
        <v>0</v>
      </c>
      <c r="AE33" s="199">
        <f ca="1">AD33*$Z33</f>
        <v>0</v>
      </c>
      <c r="AF33" s="216">
        <f ca="1">IFERROR(AE33/AA$4,0)</f>
        <v>0</v>
      </c>
      <c r="AG33" s="202">
        <f ca="1">AH33/$X33</f>
        <v>0</v>
      </c>
      <c r="AH33" s="203">
        <f ca="1">AI33/$Z33</f>
        <v>0</v>
      </c>
      <c r="AI33" s="203">
        <f ca="1">AJ33*AA$4</f>
        <v>0</v>
      </c>
      <c r="AJ33" s="204">
        <f ca="1">$N33-AF33</f>
        <v>0</v>
      </c>
      <c r="AK33" s="205"/>
      <c r="AL33" s="206">
        <f ca="1">AK33*$X33</f>
        <v>0</v>
      </c>
      <c r="AM33" s="206">
        <f ca="1">AL33*$Z33</f>
        <v>0</v>
      </c>
      <c r="AN33" s="207">
        <f ca="1">IFERROR(AM33/AA$4,0)</f>
        <v>0</v>
      </c>
      <c r="AO33" s="313">
        <f t="shared" si="252"/>
        <v>0</v>
      </c>
      <c r="AP33" s="313">
        <f t="shared" ca="1" si="59"/>
        <v>0</v>
      </c>
      <c r="AQ33" s="313">
        <f ca="1">AP33*$Z33</f>
        <v>0</v>
      </c>
      <c r="AR33" s="843">
        <f ca="1">IFERROR(AQ33/AA$4,0)</f>
        <v>0</v>
      </c>
      <c r="AS33" s="1007" t="str">
        <f t="shared" ca="1" si="15"/>
        <v/>
      </c>
      <c r="AT33" s="197"/>
      <c r="AU33" s="312" t="str">
        <f t="shared" ca="1" si="61"/>
        <v/>
      </c>
      <c r="AV33" s="411"/>
      <c r="AW33" s="199">
        <f ca="1">AT33*$X33</f>
        <v>0</v>
      </c>
      <c r="AX33" s="199">
        <f ca="1">AW33*$Z33</f>
        <v>0</v>
      </c>
      <c r="AY33" s="216">
        <f ca="1">IFERROR(AX33/AT$4,0)</f>
        <v>0</v>
      </c>
      <c r="AZ33" s="202">
        <f ca="1">BA33/$X33</f>
        <v>0</v>
      </c>
      <c r="BA33" s="203">
        <f ca="1">BB33/$Z33</f>
        <v>0</v>
      </c>
      <c r="BB33" s="203">
        <f ca="1">BC33*AT$4</f>
        <v>0</v>
      </c>
      <c r="BC33" s="204">
        <f ca="1">$N33-AY33</f>
        <v>0</v>
      </c>
      <c r="BD33" s="205"/>
      <c r="BE33" s="206">
        <f ca="1">BD33*$X33</f>
        <v>0</v>
      </c>
      <c r="BF33" s="206">
        <f ca="1">BE33*$Z33</f>
        <v>0</v>
      </c>
      <c r="BG33" s="207">
        <f ca="1">IFERROR(BF33/AT$4,0)</f>
        <v>0</v>
      </c>
      <c r="BH33" s="313">
        <f t="shared" si="253"/>
        <v>0</v>
      </c>
      <c r="BI33" s="313">
        <f t="shared" ca="1" si="70"/>
        <v>0</v>
      </c>
      <c r="BJ33" s="313">
        <f ca="1">BI33*$Z33</f>
        <v>0</v>
      </c>
      <c r="BK33" s="843">
        <f ca="1">IFERROR(BJ33/AT$4,0)</f>
        <v>0</v>
      </c>
      <c r="BL33" s="1007" t="str">
        <f t="shared" ca="1" si="17"/>
        <v/>
      </c>
      <c r="BM33" s="197"/>
      <c r="BN33" s="312" t="str">
        <f t="shared" ca="1" si="73"/>
        <v/>
      </c>
      <c r="BO33" s="411"/>
      <c r="BP33" s="199">
        <f t="shared" ca="1" si="254"/>
        <v>0</v>
      </c>
      <c r="BQ33" s="199">
        <f t="shared" ca="1" si="255"/>
        <v>0</v>
      </c>
      <c r="BR33" s="216">
        <f t="shared" ca="1" si="6"/>
        <v>0</v>
      </c>
      <c r="BS33" s="202">
        <f t="shared" ca="1" si="256"/>
        <v>0</v>
      </c>
      <c r="BT33" s="203">
        <f t="shared" ca="1" si="257"/>
        <v>0</v>
      </c>
      <c r="BU33" s="203">
        <f t="shared" ca="1" si="74"/>
        <v>0</v>
      </c>
      <c r="BV33" s="204">
        <f t="shared" ca="1" si="258"/>
        <v>0</v>
      </c>
      <c r="BW33" s="205"/>
      <c r="BX33" s="206">
        <f t="shared" ca="1" si="259"/>
        <v>0</v>
      </c>
      <c r="BY33" s="206">
        <f t="shared" ca="1" si="260"/>
        <v>0</v>
      </c>
      <c r="BZ33" s="207">
        <f t="shared" ca="1" si="7"/>
        <v>0</v>
      </c>
      <c r="CA33" s="313">
        <f t="shared" si="261"/>
        <v>0</v>
      </c>
      <c r="CB33" s="313">
        <f t="shared" ca="1" si="75"/>
        <v>0</v>
      </c>
      <c r="CC33" s="313">
        <f t="shared" ca="1" si="262"/>
        <v>0</v>
      </c>
      <c r="CD33" s="843">
        <f t="shared" ca="1" si="76"/>
        <v>0</v>
      </c>
      <c r="CE33" s="1007" t="str">
        <f t="shared" ca="1" si="19"/>
        <v/>
      </c>
      <c r="CF33" s="197"/>
      <c r="CG33" s="312" t="str">
        <f t="shared" ca="1" si="77"/>
        <v/>
      </c>
      <c r="CH33" s="411"/>
      <c r="CI33" s="199">
        <f t="shared" ca="1" si="263"/>
        <v>0</v>
      </c>
      <c r="CJ33" s="199">
        <f t="shared" ca="1" si="264"/>
        <v>0</v>
      </c>
      <c r="CK33" s="216">
        <f t="shared" ca="1" si="8"/>
        <v>0</v>
      </c>
      <c r="CL33" s="202">
        <f t="shared" ca="1" si="265"/>
        <v>0</v>
      </c>
      <c r="CM33" s="203">
        <f t="shared" ca="1" si="266"/>
        <v>0</v>
      </c>
      <c r="CN33" s="203">
        <f t="shared" ca="1" si="78"/>
        <v>0</v>
      </c>
      <c r="CO33" s="204">
        <f t="shared" ca="1" si="40"/>
        <v>0</v>
      </c>
      <c r="CP33" s="205"/>
      <c r="CQ33" s="206">
        <f t="shared" ca="1" si="267"/>
        <v>0</v>
      </c>
      <c r="CR33" s="206">
        <f t="shared" ca="1" si="268"/>
        <v>0</v>
      </c>
      <c r="CS33" s="207">
        <f t="shared" ca="1" si="9"/>
        <v>0</v>
      </c>
      <c r="CT33" s="313">
        <f t="shared" si="269"/>
        <v>0</v>
      </c>
      <c r="CU33" s="313">
        <f t="shared" ca="1" si="79"/>
        <v>0</v>
      </c>
      <c r="CV33" s="313">
        <f t="shared" ca="1" si="270"/>
        <v>0</v>
      </c>
      <c r="CW33" s="843">
        <f t="shared" ca="1" si="80"/>
        <v>0</v>
      </c>
      <c r="CX33" s="1007" t="str">
        <f t="shared" ca="1" si="21"/>
        <v/>
      </c>
    </row>
    <row r="34" spans="1:102" ht="12.6" customHeight="1" outlineLevel="1" x14ac:dyDescent="0.2">
      <c r="A34" s="299"/>
      <c r="B34" s="299"/>
      <c r="C34" s="299" t="str">
        <f t="shared" ca="1" si="41"/>
        <v>LU2819788709:EUR:P</v>
      </c>
      <c r="D34" s="300" t="str">
        <f t="shared" ca="1" si="42"/>
        <v>LU2819788709</v>
      </c>
      <c r="E34" s="301" t="str">
        <f t="shared" ca="1" si="42"/>
        <v>137100271</v>
      </c>
      <c r="F34" s="299" t="s">
        <v>857</v>
      </c>
      <c r="G34" s="836" t="str">
        <f t="shared" ca="1" si="34"/>
        <v/>
      </c>
      <c r="H34" s="1680" t="str">
        <f t="shared" ca="1" si="35"/>
        <v></v>
      </c>
      <c r="I34" s="1680" t="str">
        <f t="shared" ca="1" si="43"/>
        <v>i</v>
      </c>
      <c r="J34" s="1708" t="str">
        <f t="shared" ca="1" si="44"/>
        <v></v>
      </c>
      <c r="K34" s="1709" t="str">
        <f t="shared" ca="1" si="44"/>
        <v></v>
      </c>
      <c r="L34" s="1710" t="str">
        <f t="shared" ca="1" si="45"/>
        <v></v>
      </c>
      <c r="M34" s="1780" t="str">
        <f t="shared" ca="1" si="46"/>
        <v>Unit</v>
      </c>
      <c r="N34" s="1113"/>
      <c r="O34" s="1113"/>
      <c r="P34" s="306">
        <f t="shared" ca="1" si="1"/>
        <v>0</v>
      </c>
      <c r="Q34" s="307">
        <f t="shared" si="36"/>
        <v>0</v>
      </c>
      <c r="R34" s="307">
        <f t="shared" ca="1" si="37"/>
        <v>0</v>
      </c>
      <c r="S34" s="1115"/>
      <c r="T34" s="1115"/>
      <c r="U34" s="308">
        <f t="shared" ca="1" si="38"/>
        <v>-2.6542800265428107E-3</v>
      </c>
      <c r="V34" s="307">
        <f t="shared" si="39"/>
        <v>0</v>
      </c>
      <c r="W34" s="299" t="str">
        <f t="shared" ca="1" si="47"/>
        <v>EUR</v>
      </c>
      <c r="X34" s="845">
        <f t="shared" ca="1" si="48"/>
        <v>105.21</v>
      </c>
      <c r="Y34" s="1017">
        <f t="shared" ca="1" si="48"/>
        <v>0</v>
      </c>
      <c r="Z34" s="1018">
        <f t="shared" ca="1" si="49"/>
        <v>1</v>
      </c>
      <c r="AA34" s="197"/>
      <c r="AB34" s="312" t="str">
        <f t="shared" ca="1" si="50"/>
        <v/>
      </c>
      <c r="AC34" s="411"/>
      <c r="AD34" s="199">
        <f t="shared" ca="1" si="51"/>
        <v>0</v>
      </c>
      <c r="AE34" s="199">
        <f t="shared" ca="1" si="52"/>
        <v>0</v>
      </c>
      <c r="AF34" s="216">
        <f t="shared" ca="1" si="2"/>
        <v>0</v>
      </c>
      <c r="AG34" s="202">
        <f t="shared" ca="1" si="53"/>
        <v>0</v>
      </c>
      <c r="AH34" s="203">
        <f t="shared" ca="1" si="54"/>
        <v>0</v>
      </c>
      <c r="AI34" s="203">
        <f t="shared" ca="1" si="55"/>
        <v>0</v>
      </c>
      <c r="AJ34" s="204">
        <f t="shared" ca="1" si="56"/>
        <v>0</v>
      </c>
      <c r="AK34" s="205"/>
      <c r="AL34" s="206">
        <f t="shared" ca="1" si="57"/>
        <v>0</v>
      </c>
      <c r="AM34" s="206">
        <f t="shared" ca="1" si="58"/>
        <v>0</v>
      </c>
      <c r="AN34" s="207">
        <f t="shared" ca="1" si="3"/>
        <v>0</v>
      </c>
      <c r="AO34" s="313">
        <f t="shared" si="252"/>
        <v>0</v>
      </c>
      <c r="AP34" s="313">
        <f t="shared" ca="1" si="59"/>
        <v>0</v>
      </c>
      <c r="AQ34" s="313">
        <f t="shared" ca="1" si="60"/>
        <v>0</v>
      </c>
      <c r="AR34" s="843">
        <f t="shared" ca="1" si="26"/>
        <v>0</v>
      </c>
      <c r="AS34" s="1007" t="str">
        <f t="shared" ca="1" si="15"/>
        <v/>
      </c>
      <c r="AT34" s="197"/>
      <c r="AU34" s="312" t="str">
        <f t="shared" ca="1" si="61"/>
        <v/>
      </c>
      <c r="AV34" s="411"/>
      <c r="AW34" s="199">
        <f t="shared" ca="1" si="62"/>
        <v>0</v>
      </c>
      <c r="AX34" s="199">
        <f t="shared" ca="1" si="63"/>
        <v>0</v>
      </c>
      <c r="AY34" s="216">
        <f t="shared" ca="1" si="4"/>
        <v>0</v>
      </c>
      <c r="AZ34" s="202">
        <f t="shared" ca="1" si="64"/>
        <v>0</v>
      </c>
      <c r="BA34" s="203">
        <f t="shared" ca="1" si="65"/>
        <v>0</v>
      </c>
      <c r="BB34" s="203">
        <f t="shared" ca="1" si="66"/>
        <v>0</v>
      </c>
      <c r="BC34" s="204">
        <f t="shared" ca="1" si="67"/>
        <v>0</v>
      </c>
      <c r="BD34" s="205"/>
      <c r="BE34" s="206">
        <f t="shared" ca="1" si="68"/>
        <v>0</v>
      </c>
      <c r="BF34" s="206">
        <f t="shared" ca="1" si="69"/>
        <v>0</v>
      </c>
      <c r="BG34" s="207">
        <f t="shared" ca="1" si="5"/>
        <v>0</v>
      </c>
      <c r="BH34" s="313">
        <f t="shared" si="253"/>
        <v>0</v>
      </c>
      <c r="BI34" s="313">
        <f t="shared" ca="1" si="70"/>
        <v>0</v>
      </c>
      <c r="BJ34" s="313">
        <f t="shared" ca="1" si="71"/>
        <v>0</v>
      </c>
      <c r="BK34" s="843">
        <f t="shared" ca="1" si="72"/>
        <v>0</v>
      </c>
      <c r="BL34" s="1007" t="str">
        <f t="shared" ca="1" si="17"/>
        <v/>
      </c>
      <c r="BM34" s="197"/>
      <c r="BN34" s="312" t="str">
        <f t="shared" ca="1" si="73"/>
        <v/>
      </c>
      <c r="BO34" s="411"/>
      <c r="BP34" s="199">
        <f t="shared" ca="1" si="254"/>
        <v>0</v>
      </c>
      <c r="BQ34" s="199">
        <f t="shared" ca="1" si="255"/>
        <v>0</v>
      </c>
      <c r="BR34" s="216">
        <f t="shared" ca="1" si="6"/>
        <v>0</v>
      </c>
      <c r="BS34" s="202">
        <f t="shared" ca="1" si="256"/>
        <v>0</v>
      </c>
      <c r="BT34" s="203">
        <f t="shared" ca="1" si="257"/>
        <v>0</v>
      </c>
      <c r="BU34" s="203">
        <f t="shared" ca="1" si="74"/>
        <v>0</v>
      </c>
      <c r="BV34" s="204">
        <f t="shared" ca="1" si="258"/>
        <v>0</v>
      </c>
      <c r="BW34" s="205"/>
      <c r="BX34" s="206">
        <f t="shared" ca="1" si="259"/>
        <v>0</v>
      </c>
      <c r="BY34" s="206">
        <f t="shared" ca="1" si="260"/>
        <v>0</v>
      </c>
      <c r="BZ34" s="207">
        <f t="shared" ca="1" si="7"/>
        <v>0</v>
      </c>
      <c r="CA34" s="313">
        <f t="shared" si="261"/>
        <v>0</v>
      </c>
      <c r="CB34" s="313">
        <f t="shared" ca="1" si="75"/>
        <v>0</v>
      </c>
      <c r="CC34" s="313">
        <f t="shared" ca="1" si="262"/>
        <v>0</v>
      </c>
      <c r="CD34" s="843">
        <f t="shared" ca="1" si="76"/>
        <v>0</v>
      </c>
      <c r="CE34" s="1007" t="str">
        <f t="shared" ca="1" si="19"/>
        <v/>
      </c>
      <c r="CF34" s="197"/>
      <c r="CG34" s="312" t="str">
        <f t="shared" ca="1" si="77"/>
        <v/>
      </c>
      <c r="CH34" s="411"/>
      <c r="CI34" s="199">
        <f t="shared" ca="1" si="263"/>
        <v>0</v>
      </c>
      <c r="CJ34" s="199">
        <f t="shared" ca="1" si="264"/>
        <v>0</v>
      </c>
      <c r="CK34" s="216">
        <f t="shared" ca="1" si="8"/>
        <v>0</v>
      </c>
      <c r="CL34" s="202">
        <f t="shared" ca="1" si="265"/>
        <v>0</v>
      </c>
      <c r="CM34" s="203">
        <f t="shared" ca="1" si="266"/>
        <v>0</v>
      </c>
      <c r="CN34" s="203">
        <f t="shared" ca="1" si="78"/>
        <v>0</v>
      </c>
      <c r="CO34" s="204">
        <f t="shared" ca="1" si="40"/>
        <v>0</v>
      </c>
      <c r="CP34" s="205"/>
      <c r="CQ34" s="206">
        <f t="shared" ca="1" si="267"/>
        <v>0</v>
      </c>
      <c r="CR34" s="206">
        <f t="shared" ca="1" si="268"/>
        <v>0</v>
      </c>
      <c r="CS34" s="207">
        <f t="shared" ca="1" si="9"/>
        <v>0</v>
      </c>
      <c r="CT34" s="313">
        <f t="shared" si="269"/>
        <v>0</v>
      </c>
      <c r="CU34" s="313">
        <f t="shared" ca="1" si="79"/>
        <v>0</v>
      </c>
      <c r="CV34" s="313">
        <f t="shared" ca="1" si="270"/>
        <v>0</v>
      </c>
      <c r="CW34" s="843">
        <f t="shared" ca="1" si="80"/>
        <v>0</v>
      </c>
      <c r="CX34" s="1007" t="str">
        <f t="shared" ca="1" si="21"/>
        <v/>
      </c>
    </row>
    <row r="35" spans="1:102" ht="12.6" customHeight="1" outlineLevel="1" x14ac:dyDescent="0.2">
      <c r="A35" s="299"/>
      <c r="B35" s="299"/>
      <c r="C35" s="299" t="str">
        <f t="shared" ca="1" si="41"/>
        <v>IE00B88G6526:EUR</v>
      </c>
      <c r="D35" s="300" t="str">
        <f t="shared" ca="1" si="42"/>
        <v>IE00B88G6526</v>
      </c>
      <c r="E35" s="301" t="str">
        <f t="shared" ca="1" si="42"/>
        <v>20031577</v>
      </c>
      <c r="F35" s="299" t="s">
        <v>649</v>
      </c>
      <c r="G35" s="836" t="str">
        <f t="shared" ca="1" si="34"/>
        <v/>
      </c>
      <c r="H35" s="1680" t="str">
        <f t="shared" ca="1" si="35"/>
        <v></v>
      </c>
      <c r="I35" s="1680" t="str">
        <f t="shared" ca="1" si="43"/>
        <v>i</v>
      </c>
      <c r="J35" s="1803" t="str">
        <f ca="1">HYPERLINK(OFFSET(Origine,MATCH($F35,Descrizioni,0),MATCH(J$16,Intestazioni,0)-1,1,1),"")</f>
        <v></v>
      </c>
      <c r="K35" s="1709" t="str">
        <f t="shared" ca="1" si="44"/>
        <v></v>
      </c>
      <c r="L35" s="1710" t="str">
        <f t="shared" ca="1" si="45"/>
        <v></v>
      </c>
      <c r="M35" s="1780" t="str">
        <f t="shared" ca="1" si="46"/>
        <v>Unit</v>
      </c>
      <c r="N35" s="1113"/>
      <c r="O35" s="1113"/>
      <c r="P35" s="306">
        <f t="shared" ca="1" si="1"/>
        <v>4.3999468853408573E-2</v>
      </c>
      <c r="Q35" s="307">
        <f t="shared" si="36"/>
        <v>9615</v>
      </c>
      <c r="R35" s="307">
        <f t="shared" ca="1" si="37"/>
        <v>-9615</v>
      </c>
      <c r="S35" s="1115"/>
      <c r="T35" s="1115"/>
      <c r="U35" s="308">
        <f t="shared" ca="1" si="38"/>
        <v>-5.0000000000000426E-3</v>
      </c>
      <c r="V35" s="307">
        <f t="shared" si="39"/>
        <v>0</v>
      </c>
      <c r="W35" s="299" t="str">
        <f t="shared" ca="1" si="47"/>
        <v>EUR</v>
      </c>
      <c r="X35" s="845">
        <f t="shared" ca="1" si="48"/>
        <v>11.94</v>
      </c>
      <c r="Y35" s="1017">
        <f t="shared" ca="1" si="48"/>
        <v>0</v>
      </c>
      <c r="Z35" s="1018">
        <f t="shared" ca="1" si="49"/>
        <v>1</v>
      </c>
      <c r="AA35" s="197">
        <v>2400</v>
      </c>
      <c r="AB35" s="312">
        <f t="shared" ca="1" si="50"/>
        <v>4.7138785354088997E-2</v>
      </c>
      <c r="AC35" s="411">
        <v>11.4025</v>
      </c>
      <c r="AD35" s="199">
        <f t="shared" ca="1" si="51"/>
        <v>28656</v>
      </c>
      <c r="AE35" s="199">
        <f t="shared" ca="1" si="52"/>
        <v>28656</v>
      </c>
      <c r="AF35" s="216">
        <f t="shared" ca="1" si="2"/>
        <v>4.075884244035264E-2</v>
      </c>
      <c r="AG35" s="202">
        <f t="shared" ca="1" si="53"/>
        <v>-2400</v>
      </c>
      <c r="AH35" s="203">
        <f t="shared" ca="1" si="54"/>
        <v>-28655.999999999996</v>
      </c>
      <c r="AI35" s="203">
        <f t="shared" ca="1" si="55"/>
        <v>-28655.999999999996</v>
      </c>
      <c r="AJ35" s="204">
        <f t="shared" ca="1" si="56"/>
        <v>-4.075884244035264E-2</v>
      </c>
      <c r="AK35" s="205"/>
      <c r="AL35" s="206">
        <f t="shared" ca="1" si="57"/>
        <v>0</v>
      </c>
      <c r="AM35" s="206">
        <f t="shared" ca="1" si="58"/>
        <v>0</v>
      </c>
      <c r="AN35" s="207">
        <f t="shared" ca="1" si="3"/>
        <v>0</v>
      </c>
      <c r="AO35" s="313">
        <f t="shared" si="252"/>
        <v>2400</v>
      </c>
      <c r="AP35" s="313">
        <f t="shared" ca="1" si="59"/>
        <v>28656</v>
      </c>
      <c r="AQ35" s="313">
        <f t="shared" ca="1" si="60"/>
        <v>28656</v>
      </c>
      <c r="AR35" s="843">
        <f t="shared" ca="1" si="26"/>
        <v>4.075884244035264E-2</v>
      </c>
      <c r="AS35" s="1007" t="str">
        <f t="shared" ca="1" si="15"/>
        <v>V</v>
      </c>
      <c r="AT35" s="197">
        <f>2260+2240</f>
        <v>4500</v>
      </c>
      <c r="AU35" s="312">
        <f t="shared" ca="1" si="61"/>
        <v>1.1235389800947626E-3</v>
      </c>
      <c r="AV35" s="411">
        <v>11.926600000000001</v>
      </c>
      <c r="AW35" s="199">
        <f t="shared" ca="1" si="62"/>
        <v>53730</v>
      </c>
      <c r="AX35" s="199">
        <f t="shared" ca="1" si="63"/>
        <v>53730</v>
      </c>
      <c r="AY35" s="216">
        <f t="shared" ca="1" si="4"/>
        <v>4.6269604674335281E-2</v>
      </c>
      <c r="AZ35" s="202">
        <f t="shared" ca="1" si="64"/>
        <v>-4500.0000000000009</v>
      </c>
      <c r="BA35" s="203">
        <f t="shared" ca="1" si="65"/>
        <v>-53730.000000000007</v>
      </c>
      <c r="BB35" s="203">
        <f t="shared" ca="1" si="66"/>
        <v>-53730.000000000007</v>
      </c>
      <c r="BC35" s="204">
        <f t="shared" ca="1" si="67"/>
        <v>-4.6269604674335281E-2</v>
      </c>
      <c r="BD35" s="205"/>
      <c r="BE35" s="206">
        <f t="shared" ca="1" si="68"/>
        <v>0</v>
      </c>
      <c r="BF35" s="206">
        <f t="shared" ca="1" si="69"/>
        <v>0</v>
      </c>
      <c r="BG35" s="207">
        <f t="shared" ca="1" si="5"/>
        <v>0</v>
      </c>
      <c r="BH35" s="313">
        <f t="shared" si="253"/>
        <v>4500</v>
      </c>
      <c r="BI35" s="313">
        <f t="shared" ca="1" si="70"/>
        <v>53730</v>
      </c>
      <c r="BJ35" s="313">
        <f t="shared" ca="1" si="71"/>
        <v>53730</v>
      </c>
      <c r="BK35" s="843">
        <f t="shared" ca="1" si="72"/>
        <v>4.6269604674335281E-2</v>
      </c>
      <c r="BL35" s="1007" t="str">
        <f t="shared" ca="1" si="17"/>
        <v>V</v>
      </c>
      <c r="BM35" s="197">
        <f>2300</f>
        <v>2300</v>
      </c>
      <c r="BN35" s="312">
        <f t="shared" ca="1" si="73"/>
        <v>-3.0056864337936751E-2</v>
      </c>
      <c r="BO35" s="411">
        <v>12.31</v>
      </c>
      <c r="BP35" s="199">
        <f t="shared" ca="1" si="254"/>
        <v>27462</v>
      </c>
      <c r="BQ35" s="199">
        <f t="shared" ca="1" si="255"/>
        <v>27462</v>
      </c>
      <c r="BR35" s="216">
        <f t="shared" ca="1" si="6"/>
        <v>4.343356873734372E-2</v>
      </c>
      <c r="BS35" s="202">
        <f t="shared" ca="1" si="256"/>
        <v>-2300</v>
      </c>
      <c r="BT35" s="203">
        <f t="shared" ca="1" si="257"/>
        <v>-27462</v>
      </c>
      <c r="BU35" s="203">
        <f t="shared" ca="1" si="74"/>
        <v>-27462</v>
      </c>
      <c r="BV35" s="204">
        <f t="shared" ca="1" si="258"/>
        <v>-4.343356873734372E-2</v>
      </c>
      <c r="BW35" s="205"/>
      <c r="BX35" s="206">
        <f t="shared" ca="1" si="259"/>
        <v>0</v>
      </c>
      <c r="BY35" s="206">
        <f t="shared" ca="1" si="260"/>
        <v>0</v>
      </c>
      <c r="BZ35" s="207">
        <f t="shared" ca="1" si="7"/>
        <v>0</v>
      </c>
      <c r="CA35" s="313">
        <f t="shared" si="261"/>
        <v>2300</v>
      </c>
      <c r="CB35" s="313">
        <f t="shared" ca="1" si="75"/>
        <v>27462</v>
      </c>
      <c r="CC35" s="313">
        <f t="shared" ca="1" si="262"/>
        <v>27462</v>
      </c>
      <c r="CD35" s="843">
        <f t="shared" ca="1" si="76"/>
        <v>4.343356873734372E-2</v>
      </c>
      <c r="CE35" s="1007" t="str">
        <f t="shared" ca="1" si="19"/>
        <v>V</v>
      </c>
      <c r="CF35" s="197">
        <f>415</f>
        <v>415</v>
      </c>
      <c r="CG35" s="312">
        <f t="shared" ca="1" si="77"/>
        <v>-3.2297280868825218E-2</v>
      </c>
      <c r="CH35" s="411">
        <v>12.3385</v>
      </c>
      <c r="CI35" s="199">
        <f t="shared" ca="1" si="263"/>
        <v>4955.0999999999995</v>
      </c>
      <c r="CJ35" s="199">
        <f t="shared" ca="1" si="264"/>
        <v>4955.0999999999995</v>
      </c>
      <c r="CK35" s="216">
        <f t="shared" ca="1" si="8"/>
        <v>3.1074956337649753E-2</v>
      </c>
      <c r="CL35" s="202">
        <f t="shared" ca="1" si="265"/>
        <v>-415</v>
      </c>
      <c r="CM35" s="203">
        <f t="shared" ca="1" si="266"/>
        <v>-4955.0999999999995</v>
      </c>
      <c r="CN35" s="203">
        <f t="shared" ca="1" si="78"/>
        <v>-4955.0999999999995</v>
      </c>
      <c r="CO35" s="204">
        <f t="shared" ca="1" si="40"/>
        <v>-3.1074956337649753E-2</v>
      </c>
      <c r="CP35" s="205"/>
      <c r="CQ35" s="206">
        <f t="shared" ca="1" si="267"/>
        <v>0</v>
      </c>
      <c r="CR35" s="206">
        <f t="shared" ca="1" si="268"/>
        <v>0</v>
      </c>
      <c r="CS35" s="207">
        <f t="shared" ca="1" si="9"/>
        <v>0</v>
      </c>
      <c r="CT35" s="313">
        <f t="shared" si="269"/>
        <v>415</v>
      </c>
      <c r="CU35" s="313">
        <f t="shared" ca="1" si="79"/>
        <v>4955.0999999999995</v>
      </c>
      <c r="CV35" s="313">
        <f t="shared" ca="1" si="270"/>
        <v>4955.0999999999995</v>
      </c>
      <c r="CW35" s="843">
        <f t="shared" ca="1" si="80"/>
        <v>3.1074956337649753E-2</v>
      </c>
      <c r="CX35" s="1007" t="str">
        <f t="shared" ca="1" si="21"/>
        <v>V</v>
      </c>
    </row>
    <row r="36" spans="1:102" ht="12.6" customHeight="1" outlineLevel="1" x14ac:dyDescent="0.2">
      <c r="A36" s="299"/>
      <c r="B36" s="299"/>
      <c r="C36" s="299" t="str">
        <f t="shared" ca="1" si="41"/>
        <v>LU0942970798:EUR</v>
      </c>
      <c r="D36" s="300" t="str">
        <f t="shared" ca="1" si="42"/>
        <v>LU0942970798</v>
      </c>
      <c r="E36" s="301" t="str">
        <f t="shared" ca="1" si="42"/>
        <v>23793847</v>
      </c>
      <c r="F36" s="299" t="s">
        <v>840</v>
      </c>
      <c r="G36" s="836" t="str">
        <f t="shared" ca="1" si="34"/>
        <v/>
      </c>
      <c r="H36" s="1680" t="str">
        <f t="shared" ca="1" si="35"/>
        <v></v>
      </c>
      <c r="I36" s="1680" t="str">
        <f t="shared" ca="1" si="43"/>
        <v>i</v>
      </c>
      <c r="J36" s="1708" t="str">
        <f t="shared" ca="1" si="44"/>
        <v></v>
      </c>
      <c r="K36" s="1709" t="str">
        <f t="shared" ca="1" si="44"/>
        <v></v>
      </c>
      <c r="L36" s="1710" t="str">
        <f t="shared" ca="1" si="45"/>
        <v></v>
      </c>
      <c r="M36" s="1780" t="str">
        <f t="shared" ca="1" si="46"/>
        <v>Unit</v>
      </c>
      <c r="N36" s="1113"/>
      <c r="O36" s="1113"/>
      <c r="P36" s="306">
        <f t="shared" ca="1" si="1"/>
        <v>0</v>
      </c>
      <c r="Q36" s="307">
        <f t="shared" si="36"/>
        <v>0</v>
      </c>
      <c r="R36" s="307">
        <f t="shared" ca="1" si="37"/>
        <v>0</v>
      </c>
      <c r="S36" s="1115"/>
      <c r="T36" s="1115"/>
      <c r="U36" s="308">
        <f t="shared" ca="1" si="38"/>
        <v>-1.5095051653380002E-3</v>
      </c>
      <c r="V36" s="307">
        <f t="shared" si="39"/>
        <v>0</v>
      </c>
      <c r="W36" s="299" t="str">
        <f t="shared" ca="1" si="47"/>
        <v>EUR</v>
      </c>
      <c r="X36" s="845">
        <f t="shared" ca="1" si="48"/>
        <v>21.138000000000002</v>
      </c>
      <c r="Y36" s="1017">
        <f t="shared" ca="1" si="48"/>
        <v>0</v>
      </c>
      <c r="Z36" s="1018">
        <f t="shared" ca="1" si="49"/>
        <v>1</v>
      </c>
      <c r="AA36" s="197">
        <f>1135+-1135</f>
        <v>0</v>
      </c>
      <c r="AB36" s="312" t="str">
        <f t="shared" ca="1" si="50"/>
        <v/>
      </c>
      <c r="AC36" s="411"/>
      <c r="AD36" s="199">
        <f t="shared" ca="1" si="51"/>
        <v>0</v>
      </c>
      <c r="AE36" s="199">
        <f t="shared" ca="1" si="52"/>
        <v>0</v>
      </c>
      <c r="AF36" s="216">
        <f t="shared" ca="1" si="2"/>
        <v>0</v>
      </c>
      <c r="AG36" s="202">
        <f t="shared" ca="1" si="53"/>
        <v>0</v>
      </c>
      <c r="AH36" s="203">
        <f t="shared" ca="1" si="54"/>
        <v>0</v>
      </c>
      <c r="AI36" s="203">
        <f t="shared" ca="1" si="55"/>
        <v>0</v>
      </c>
      <c r="AJ36" s="204">
        <f t="shared" ca="1" si="56"/>
        <v>0</v>
      </c>
      <c r="AK36" s="205"/>
      <c r="AL36" s="206">
        <f t="shared" ca="1" si="57"/>
        <v>0</v>
      </c>
      <c r="AM36" s="206">
        <f t="shared" ca="1" si="58"/>
        <v>0</v>
      </c>
      <c r="AN36" s="207">
        <f t="shared" ca="1" si="3"/>
        <v>0</v>
      </c>
      <c r="AO36" s="313">
        <f t="shared" si="252"/>
        <v>0</v>
      </c>
      <c r="AP36" s="313">
        <f t="shared" ca="1" si="59"/>
        <v>0</v>
      </c>
      <c r="AQ36" s="313">
        <f t="shared" ca="1" si="60"/>
        <v>0</v>
      </c>
      <c r="AR36" s="843">
        <f t="shared" ca="1" si="26"/>
        <v>0</v>
      </c>
      <c r="AS36" s="1007" t="str">
        <f t="shared" ca="1" si="15"/>
        <v/>
      </c>
      <c r="AT36" s="197">
        <f>1200+-1200+1200+-1200</f>
        <v>0</v>
      </c>
      <c r="AU36" s="312" t="str">
        <f t="shared" ca="1" si="61"/>
        <v/>
      </c>
      <c r="AV36" s="411"/>
      <c r="AW36" s="199">
        <f t="shared" ca="1" si="62"/>
        <v>0</v>
      </c>
      <c r="AX36" s="199">
        <f t="shared" ca="1" si="63"/>
        <v>0</v>
      </c>
      <c r="AY36" s="216">
        <f t="shared" ca="1" si="4"/>
        <v>0</v>
      </c>
      <c r="AZ36" s="202">
        <f t="shared" ca="1" si="64"/>
        <v>0</v>
      </c>
      <c r="BA36" s="203">
        <f t="shared" ca="1" si="65"/>
        <v>0</v>
      </c>
      <c r="BB36" s="203">
        <f t="shared" ca="1" si="66"/>
        <v>0</v>
      </c>
      <c r="BC36" s="204">
        <f t="shared" ca="1" si="67"/>
        <v>0</v>
      </c>
      <c r="BD36" s="205"/>
      <c r="BE36" s="206">
        <f t="shared" ca="1" si="68"/>
        <v>0</v>
      </c>
      <c r="BF36" s="206">
        <f t="shared" ca="1" si="69"/>
        <v>0</v>
      </c>
      <c r="BG36" s="207">
        <f t="shared" ca="1" si="5"/>
        <v>0</v>
      </c>
      <c r="BH36" s="313">
        <f t="shared" si="253"/>
        <v>0</v>
      </c>
      <c r="BI36" s="313">
        <f t="shared" ca="1" si="70"/>
        <v>0</v>
      </c>
      <c r="BJ36" s="313">
        <f t="shared" ca="1" si="71"/>
        <v>0</v>
      </c>
      <c r="BK36" s="843">
        <f t="shared" ca="1" si="72"/>
        <v>0</v>
      </c>
      <c r="BL36" s="1007" t="str">
        <f t="shared" ca="1" si="17"/>
        <v/>
      </c>
      <c r="BM36" s="197"/>
      <c r="BN36" s="312" t="str">
        <f t="shared" ca="1" si="73"/>
        <v/>
      </c>
      <c r="BO36" s="411"/>
      <c r="BP36" s="199">
        <f t="shared" ca="1" si="254"/>
        <v>0</v>
      </c>
      <c r="BQ36" s="199">
        <f t="shared" ca="1" si="255"/>
        <v>0</v>
      </c>
      <c r="BR36" s="216">
        <f t="shared" ca="1" si="6"/>
        <v>0</v>
      </c>
      <c r="BS36" s="202">
        <f t="shared" ca="1" si="256"/>
        <v>0</v>
      </c>
      <c r="BT36" s="203">
        <f t="shared" ca="1" si="257"/>
        <v>0</v>
      </c>
      <c r="BU36" s="203">
        <f t="shared" ca="1" si="74"/>
        <v>0</v>
      </c>
      <c r="BV36" s="204">
        <f t="shared" ca="1" si="258"/>
        <v>0</v>
      </c>
      <c r="BW36" s="205"/>
      <c r="BX36" s="206">
        <f t="shared" ca="1" si="259"/>
        <v>0</v>
      </c>
      <c r="BY36" s="206">
        <f t="shared" ca="1" si="260"/>
        <v>0</v>
      </c>
      <c r="BZ36" s="207">
        <f t="shared" ca="1" si="7"/>
        <v>0</v>
      </c>
      <c r="CA36" s="313">
        <f t="shared" si="261"/>
        <v>0</v>
      </c>
      <c r="CB36" s="313">
        <f t="shared" ca="1" si="75"/>
        <v>0</v>
      </c>
      <c r="CC36" s="313">
        <f t="shared" ca="1" si="262"/>
        <v>0</v>
      </c>
      <c r="CD36" s="843">
        <f t="shared" ca="1" si="76"/>
        <v>0</v>
      </c>
      <c r="CE36" s="1007" t="str">
        <f t="shared" ca="1" si="19"/>
        <v/>
      </c>
      <c r="CF36" s="197"/>
      <c r="CG36" s="312" t="str">
        <f t="shared" ca="1" si="77"/>
        <v/>
      </c>
      <c r="CH36" s="411"/>
      <c r="CI36" s="199">
        <f t="shared" ca="1" si="263"/>
        <v>0</v>
      </c>
      <c r="CJ36" s="199">
        <f t="shared" ca="1" si="264"/>
        <v>0</v>
      </c>
      <c r="CK36" s="216">
        <f t="shared" ca="1" si="8"/>
        <v>0</v>
      </c>
      <c r="CL36" s="202">
        <f t="shared" ca="1" si="265"/>
        <v>0</v>
      </c>
      <c r="CM36" s="203">
        <f t="shared" ca="1" si="266"/>
        <v>0</v>
      </c>
      <c r="CN36" s="203">
        <f t="shared" ca="1" si="78"/>
        <v>0</v>
      </c>
      <c r="CO36" s="204">
        <f t="shared" ca="1" si="40"/>
        <v>0</v>
      </c>
      <c r="CP36" s="205"/>
      <c r="CQ36" s="206">
        <f t="shared" ca="1" si="267"/>
        <v>0</v>
      </c>
      <c r="CR36" s="206">
        <f t="shared" ca="1" si="268"/>
        <v>0</v>
      </c>
      <c r="CS36" s="207">
        <f t="shared" ca="1" si="9"/>
        <v>0</v>
      </c>
      <c r="CT36" s="313">
        <f t="shared" si="269"/>
        <v>0</v>
      </c>
      <c r="CU36" s="313">
        <f t="shared" ca="1" si="79"/>
        <v>0</v>
      </c>
      <c r="CV36" s="313">
        <f t="shared" ca="1" si="270"/>
        <v>0</v>
      </c>
      <c r="CW36" s="843">
        <f t="shared" ca="1" si="80"/>
        <v>0</v>
      </c>
      <c r="CX36" s="1007" t="str">
        <f t="shared" ca="1" si="21"/>
        <v/>
      </c>
    </row>
    <row r="37" spans="1:102" ht="12.6" customHeight="1" outlineLevel="1" x14ac:dyDescent="0.2">
      <c r="A37" s="299"/>
      <c r="B37" s="299"/>
      <c r="C37" s="299" t="str">
        <f t="shared" ca="1" si="41"/>
        <v>IE00BKPSFD61:USD:P</v>
      </c>
      <c r="D37" s="300" t="str">
        <f t="shared" ca="1" si="42"/>
        <v>IE00BKPSFD61</v>
      </c>
      <c r="E37" s="301" t="str">
        <f t="shared" ca="1" si="42"/>
        <v>54540945</v>
      </c>
      <c r="F37" s="299" t="s">
        <v>574</v>
      </c>
      <c r="G37" s="836" t="str">
        <f t="shared" ca="1" si="34"/>
        <v/>
      </c>
      <c r="H37" s="1680" t="str">
        <f t="shared" ca="1" si="35"/>
        <v></v>
      </c>
      <c r="I37" s="1680" t="str">
        <f t="shared" ca="1" si="43"/>
        <v>i</v>
      </c>
      <c r="J37" s="1708" t="str">
        <f t="shared" ca="1" si="44"/>
        <v></v>
      </c>
      <c r="K37" s="1709" t="str">
        <f t="shared" ca="1" si="44"/>
        <v></v>
      </c>
      <c r="L37" s="1710" t="str">
        <f t="shared" ca="1" si="45"/>
        <v></v>
      </c>
      <c r="M37" s="1780" t="str">
        <f t="shared" ca="1" si="46"/>
        <v>Unit</v>
      </c>
      <c r="N37" s="1113"/>
      <c r="O37" s="1113"/>
      <c r="P37" s="306">
        <f t="shared" ca="1" si="1"/>
        <v>0</v>
      </c>
      <c r="Q37" s="307">
        <f t="shared" si="36"/>
        <v>0</v>
      </c>
      <c r="R37" s="307">
        <f t="shared" ca="1" si="37"/>
        <v>0</v>
      </c>
      <c r="S37" s="1115"/>
      <c r="T37" s="1115"/>
      <c r="U37" s="308">
        <f t="shared" ca="1" si="38"/>
        <v>-7.1685155001345998E-3</v>
      </c>
      <c r="V37" s="307">
        <f t="shared" si="39"/>
        <v>0</v>
      </c>
      <c r="W37" s="299" t="str">
        <f t="shared" ca="1" si="47"/>
        <v>USD</v>
      </c>
      <c r="X37" s="845">
        <f t="shared" ca="1" si="48"/>
        <v>6.2729999999999997</v>
      </c>
      <c r="Y37" s="1017">
        <f t="shared" ca="1" si="48"/>
        <v>0</v>
      </c>
      <c r="Z37" s="1018">
        <f t="shared" ca="1" si="49"/>
        <v>0.86199999999999999</v>
      </c>
      <c r="AA37" s="197">
        <f>2800+-2800</f>
        <v>0</v>
      </c>
      <c r="AB37" s="312" t="str">
        <f t="shared" ca="1" si="50"/>
        <v/>
      </c>
      <c r="AC37" s="411"/>
      <c r="AD37" s="199">
        <f t="shared" ca="1" si="51"/>
        <v>0</v>
      </c>
      <c r="AE37" s="199">
        <f t="shared" ca="1" si="52"/>
        <v>0</v>
      </c>
      <c r="AF37" s="216">
        <f t="shared" ca="1" si="2"/>
        <v>0</v>
      </c>
      <c r="AG37" s="202">
        <f t="shared" ca="1" si="53"/>
        <v>0</v>
      </c>
      <c r="AH37" s="203">
        <f t="shared" ca="1" si="54"/>
        <v>0</v>
      </c>
      <c r="AI37" s="203">
        <f t="shared" ca="1" si="55"/>
        <v>0</v>
      </c>
      <c r="AJ37" s="204">
        <f t="shared" ca="1" si="56"/>
        <v>0</v>
      </c>
      <c r="AK37" s="205"/>
      <c r="AL37" s="206">
        <f t="shared" ca="1" si="57"/>
        <v>0</v>
      </c>
      <c r="AM37" s="206">
        <f t="shared" ca="1" si="58"/>
        <v>0</v>
      </c>
      <c r="AN37" s="207">
        <f t="shared" ca="1" si="3"/>
        <v>0</v>
      </c>
      <c r="AO37" s="313">
        <f t="shared" si="252"/>
        <v>0</v>
      </c>
      <c r="AP37" s="313">
        <f t="shared" ca="1" si="59"/>
        <v>0</v>
      </c>
      <c r="AQ37" s="313">
        <f t="shared" ca="1" si="60"/>
        <v>0</v>
      </c>
      <c r="AR37" s="843">
        <f t="shared" ca="1" si="26"/>
        <v>0</v>
      </c>
      <c r="AS37" s="1007" t="str">
        <f t="shared" ca="1" si="15"/>
        <v/>
      </c>
      <c r="AT37" s="197">
        <f>4915+-4915</f>
        <v>0</v>
      </c>
      <c r="AU37" s="312" t="str">
        <f t="shared" ca="1" si="61"/>
        <v/>
      </c>
      <c r="AV37" s="411"/>
      <c r="AW37" s="199">
        <f t="shared" ca="1" si="62"/>
        <v>0</v>
      </c>
      <c r="AX37" s="199">
        <f t="shared" ca="1" si="63"/>
        <v>0</v>
      </c>
      <c r="AY37" s="216">
        <f t="shared" ca="1" si="4"/>
        <v>0</v>
      </c>
      <c r="AZ37" s="202">
        <f t="shared" ca="1" si="64"/>
        <v>0</v>
      </c>
      <c r="BA37" s="203">
        <f t="shared" ca="1" si="65"/>
        <v>0</v>
      </c>
      <c r="BB37" s="203">
        <f t="shared" ca="1" si="66"/>
        <v>0</v>
      </c>
      <c r="BC37" s="204">
        <f t="shared" ca="1" si="67"/>
        <v>0</v>
      </c>
      <c r="BD37" s="205"/>
      <c r="BE37" s="206">
        <f t="shared" ca="1" si="68"/>
        <v>0</v>
      </c>
      <c r="BF37" s="206">
        <f t="shared" ca="1" si="69"/>
        <v>0</v>
      </c>
      <c r="BG37" s="207">
        <f t="shared" ca="1" si="5"/>
        <v>0</v>
      </c>
      <c r="BH37" s="313">
        <f t="shared" si="253"/>
        <v>0</v>
      </c>
      <c r="BI37" s="313">
        <f t="shared" ca="1" si="70"/>
        <v>0</v>
      </c>
      <c r="BJ37" s="313">
        <f t="shared" ca="1" si="71"/>
        <v>0</v>
      </c>
      <c r="BK37" s="843">
        <f t="shared" ca="1" si="72"/>
        <v>0</v>
      </c>
      <c r="BL37" s="1007" t="str">
        <f t="shared" ca="1" si="17"/>
        <v/>
      </c>
      <c r="BM37" s="197">
        <f>2600+-2600</f>
        <v>0</v>
      </c>
      <c r="BN37" s="312" t="str">
        <f t="shared" ca="1" si="73"/>
        <v/>
      </c>
      <c r="BO37" s="411"/>
      <c r="BP37" s="199">
        <f t="shared" ca="1" si="254"/>
        <v>0</v>
      </c>
      <c r="BQ37" s="199">
        <f t="shared" ca="1" si="255"/>
        <v>0</v>
      </c>
      <c r="BR37" s="216">
        <f t="shared" ca="1" si="6"/>
        <v>0</v>
      </c>
      <c r="BS37" s="202">
        <f t="shared" ca="1" si="256"/>
        <v>0</v>
      </c>
      <c r="BT37" s="203">
        <f t="shared" ca="1" si="257"/>
        <v>0</v>
      </c>
      <c r="BU37" s="203">
        <f t="shared" ca="1" si="74"/>
        <v>0</v>
      </c>
      <c r="BV37" s="204">
        <f t="shared" ca="1" si="258"/>
        <v>0</v>
      </c>
      <c r="BW37" s="205"/>
      <c r="BX37" s="206">
        <f t="shared" ca="1" si="259"/>
        <v>0</v>
      </c>
      <c r="BY37" s="206">
        <f t="shared" ca="1" si="260"/>
        <v>0</v>
      </c>
      <c r="BZ37" s="207">
        <f t="shared" ca="1" si="7"/>
        <v>0</v>
      </c>
      <c r="CA37" s="313">
        <f t="shared" si="261"/>
        <v>0</v>
      </c>
      <c r="CB37" s="313">
        <f t="shared" ca="1" si="75"/>
        <v>0</v>
      </c>
      <c r="CC37" s="313">
        <f t="shared" ca="1" si="262"/>
        <v>0</v>
      </c>
      <c r="CD37" s="843">
        <f t="shared" ca="1" si="76"/>
        <v>0</v>
      </c>
      <c r="CE37" s="1007" t="str">
        <f t="shared" ca="1" si="19"/>
        <v/>
      </c>
      <c r="CF37" s="197">
        <f>1000+-1000</f>
        <v>0</v>
      </c>
      <c r="CG37" s="312" t="str">
        <f t="shared" ca="1" si="77"/>
        <v/>
      </c>
      <c r="CH37" s="411"/>
      <c r="CI37" s="199">
        <f t="shared" ca="1" si="263"/>
        <v>0</v>
      </c>
      <c r="CJ37" s="199">
        <f t="shared" ca="1" si="264"/>
        <v>0</v>
      </c>
      <c r="CK37" s="216">
        <f t="shared" ca="1" si="8"/>
        <v>0</v>
      </c>
      <c r="CL37" s="202">
        <f t="shared" ca="1" si="265"/>
        <v>0</v>
      </c>
      <c r="CM37" s="203">
        <f t="shared" ca="1" si="266"/>
        <v>0</v>
      </c>
      <c r="CN37" s="203">
        <f t="shared" ca="1" si="78"/>
        <v>0</v>
      </c>
      <c r="CO37" s="204">
        <f t="shared" ca="1" si="40"/>
        <v>0</v>
      </c>
      <c r="CP37" s="205"/>
      <c r="CQ37" s="206">
        <f t="shared" ca="1" si="267"/>
        <v>0</v>
      </c>
      <c r="CR37" s="206">
        <f t="shared" ca="1" si="268"/>
        <v>0</v>
      </c>
      <c r="CS37" s="207">
        <f t="shared" ca="1" si="9"/>
        <v>0</v>
      </c>
      <c r="CT37" s="313">
        <f t="shared" si="269"/>
        <v>0</v>
      </c>
      <c r="CU37" s="313">
        <f t="shared" ca="1" si="79"/>
        <v>0</v>
      </c>
      <c r="CV37" s="313">
        <f t="shared" ca="1" si="270"/>
        <v>0</v>
      </c>
      <c r="CW37" s="843">
        <f t="shared" ca="1" si="80"/>
        <v>0</v>
      </c>
      <c r="CX37" s="1007" t="str">
        <f t="shared" ca="1" si="21"/>
        <v/>
      </c>
    </row>
    <row r="38" spans="1:102" ht="12.6" customHeight="1" outlineLevel="1" x14ac:dyDescent="0.2">
      <c r="A38" s="299"/>
      <c r="B38" s="299"/>
      <c r="C38" s="299" t="str">
        <f t="shared" ca="1" si="41"/>
        <v>US4642865178:USD</v>
      </c>
      <c r="D38" s="300" t="str">
        <f t="shared" ca="1" si="42"/>
        <v>US4642865178</v>
      </c>
      <c r="E38" s="301" t="str">
        <f t="shared" ca="1" si="42"/>
        <v>14149598</v>
      </c>
      <c r="F38" s="299" t="s">
        <v>841</v>
      </c>
      <c r="G38" s="836" t="str">
        <f t="shared" ca="1" si="34"/>
        <v/>
      </c>
      <c r="H38" s="1680" t="str">
        <f t="shared" ca="1" si="35"/>
        <v></v>
      </c>
      <c r="I38" s="1680" t="str">
        <f t="shared" ca="1" si="43"/>
        <v>i</v>
      </c>
      <c r="J38" s="1708" t="str">
        <f t="shared" ca="1" si="44"/>
        <v></v>
      </c>
      <c r="K38" s="1709" t="str">
        <f t="shared" ca="1" si="44"/>
        <v></v>
      </c>
      <c r="L38" s="1710" t="str">
        <f t="shared" ca="1" si="45"/>
        <v></v>
      </c>
      <c r="M38" s="1780" t="str">
        <f t="shared" ca="1" si="46"/>
        <v>Unit</v>
      </c>
      <c r="N38" s="1113"/>
      <c r="O38" s="1113"/>
      <c r="P38" s="306">
        <f t="shared" ca="1" si="1"/>
        <v>0</v>
      </c>
      <c r="Q38" s="307">
        <f t="shared" si="36"/>
        <v>0</v>
      </c>
      <c r="R38" s="307">
        <f t="shared" ca="1" si="37"/>
        <v>0</v>
      </c>
      <c r="S38" s="1115"/>
      <c r="T38" s="1115"/>
      <c r="U38" s="308">
        <f t="shared" ca="1" si="38"/>
        <v>-1.9049858889934299E-2</v>
      </c>
      <c r="V38" s="307">
        <f t="shared" si="39"/>
        <v>0</v>
      </c>
      <c r="W38" s="299" t="str">
        <f t="shared" ca="1" si="47"/>
        <v>USD</v>
      </c>
      <c r="X38" s="845">
        <f t="shared" ca="1" si="48"/>
        <v>41.71</v>
      </c>
      <c r="Y38" s="1017">
        <f t="shared" ca="1" si="48"/>
        <v>0</v>
      </c>
      <c r="Z38" s="1018">
        <f t="shared" ca="1" si="49"/>
        <v>0.86199999999999999</v>
      </c>
      <c r="AA38" s="197"/>
      <c r="AB38" s="312" t="str">
        <f t="shared" ca="1" si="50"/>
        <v/>
      </c>
      <c r="AC38" s="411"/>
      <c r="AD38" s="199">
        <f ca="1">AA38*$X38</f>
        <v>0</v>
      </c>
      <c r="AE38" s="199">
        <f ca="1">AD38*$Z38</f>
        <v>0</v>
      </c>
      <c r="AF38" s="216">
        <f ca="1">IFERROR(AE38/AA$4,0)</f>
        <v>0</v>
      </c>
      <c r="AG38" s="202">
        <f ca="1">AH38/$X38</f>
        <v>0</v>
      </c>
      <c r="AH38" s="203">
        <f ca="1">AI38/$Z38</f>
        <v>0</v>
      </c>
      <c r="AI38" s="203">
        <f ca="1">AJ38*AA$4</f>
        <v>0</v>
      </c>
      <c r="AJ38" s="204">
        <f ca="1">$N38-AF38</f>
        <v>0</v>
      </c>
      <c r="AK38" s="205"/>
      <c r="AL38" s="206">
        <f ca="1">AK38*$X38</f>
        <v>0</v>
      </c>
      <c r="AM38" s="206">
        <f ca="1">AL38*$Z38</f>
        <v>0</v>
      </c>
      <c r="AN38" s="207">
        <f ca="1">IFERROR(AM38/AA$4,0)</f>
        <v>0</v>
      </c>
      <c r="AO38" s="313">
        <f t="shared" si="252"/>
        <v>0</v>
      </c>
      <c r="AP38" s="313">
        <f t="shared" ca="1" si="59"/>
        <v>0</v>
      </c>
      <c r="AQ38" s="313">
        <f ca="1">AP38*$Z38</f>
        <v>0</v>
      </c>
      <c r="AR38" s="843">
        <f ca="1">IFERROR(AQ38/AA$4,0)</f>
        <v>0</v>
      </c>
      <c r="AS38" s="1007" t="str">
        <f t="shared" ca="1" si="15"/>
        <v/>
      </c>
      <c r="AT38" s="197"/>
      <c r="AU38" s="312" t="str">
        <f t="shared" ca="1" si="61"/>
        <v/>
      </c>
      <c r="AV38" s="411"/>
      <c r="AW38" s="199">
        <f ca="1">AT38*$X38</f>
        <v>0</v>
      </c>
      <c r="AX38" s="199">
        <f ca="1">AW38*$Z38</f>
        <v>0</v>
      </c>
      <c r="AY38" s="216">
        <f ca="1">IFERROR(AX38/AT$4,0)</f>
        <v>0</v>
      </c>
      <c r="AZ38" s="202">
        <f ca="1">BA38/$X38</f>
        <v>0</v>
      </c>
      <c r="BA38" s="203">
        <f ca="1">BB38/$Z38</f>
        <v>0</v>
      </c>
      <c r="BB38" s="203">
        <f ca="1">BC38*AT$4</f>
        <v>0</v>
      </c>
      <c r="BC38" s="204">
        <f ca="1">$N38-AY38</f>
        <v>0</v>
      </c>
      <c r="BD38" s="205"/>
      <c r="BE38" s="206">
        <f ca="1">BD38*$X38</f>
        <v>0</v>
      </c>
      <c r="BF38" s="206">
        <f ca="1">BE38*$Z38</f>
        <v>0</v>
      </c>
      <c r="BG38" s="207">
        <f ca="1">IFERROR(BF38/AT$4,0)</f>
        <v>0</v>
      </c>
      <c r="BH38" s="313">
        <f t="shared" si="253"/>
        <v>0</v>
      </c>
      <c r="BI38" s="313">
        <f t="shared" ca="1" si="70"/>
        <v>0</v>
      </c>
      <c r="BJ38" s="313">
        <f ca="1">BI38*$Z38</f>
        <v>0</v>
      </c>
      <c r="BK38" s="843">
        <f ca="1">IFERROR(BJ38/AT$4,0)</f>
        <v>0</v>
      </c>
      <c r="BL38" s="1007" t="str">
        <f t="shared" ca="1" si="17"/>
        <v/>
      </c>
      <c r="BM38" s="197"/>
      <c r="BN38" s="312" t="str">
        <f t="shared" ca="1" si="73"/>
        <v/>
      </c>
      <c r="BO38" s="411"/>
      <c r="BP38" s="199">
        <f t="shared" ca="1" si="254"/>
        <v>0</v>
      </c>
      <c r="BQ38" s="199">
        <f t="shared" ca="1" si="255"/>
        <v>0</v>
      </c>
      <c r="BR38" s="216">
        <f t="shared" ca="1" si="6"/>
        <v>0</v>
      </c>
      <c r="BS38" s="202">
        <f t="shared" ca="1" si="256"/>
        <v>0</v>
      </c>
      <c r="BT38" s="203">
        <f t="shared" ca="1" si="257"/>
        <v>0</v>
      </c>
      <c r="BU38" s="203">
        <f t="shared" ca="1" si="74"/>
        <v>0</v>
      </c>
      <c r="BV38" s="204">
        <f t="shared" ca="1" si="258"/>
        <v>0</v>
      </c>
      <c r="BW38" s="205"/>
      <c r="BX38" s="206">
        <f t="shared" ca="1" si="259"/>
        <v>0</v>
      </c>
      <c r="BY38" s="206">
        <f t="shared" ca="1" si="260"/>
        <v>0</v>
      </c>
      <c r="BZ38" s="207">
        <f t="shared" ca="1" si="7"/>
        <v>0</v>
      </c>
      <c r="CA38" s="313">
        <f t="shared" si="261"/>
        <v>0</v>
      </c>
      <c r="CB38" s="313">
        <f t="shared" ca="1" si="75"/>
        <v>0</v>
      </c>
      <c r="CC38" s="313">
        <f t="shared" ca="1" si="262"/>
        <v>0</v>
      </c>
      <c r="CD38" s="843">
        <f t="shared" ca="1" si="76"/>
        <v>0</v>
      </c>
      <c r="CE38" s="1007" t="str">
        <f t="shared" ca="1" si="19"/>
        <v/>
      </c>
      <c r="CF38" s="197"/>
      <c r="CG38" s="312" t="str">
        <f t="shared" ca="1" si="77"/>
        <v/>
      </c>
      <c r="CH38" s="411"/>
      <c r="CI38" s="199">
        <f t="shared" ca="1" si="263"/>
        <v>0</v>
      </c>
      <c r="CJ38" s="199">
        <f t="shared" ca="1" si="264"/>
        <v>0</v>
      </c>
      <c r="CK38" s="216">
        <f t="shared" ca="1" si="8"/>
        <v>0</v>
      </c>
      <c r="CL38" s="202">
        <f t="shared" ca="1" si="265"/>
        <v>0</v>
      </c>
      <c r="CM38" s="203">
        <f t="shared" ca="1" si="266"/>
        <v>0</v>
      </c>
      <c r="CN38" s="203">
        <f t="shared" ca="1" si="78"/>
        <v>0</v>
      </c>
      <c r="CO38" s="204">
        <f t="shared" ca="1" si="40"/>
        <v>0</v>
      </c>
      <c r="CP38" s="205"/>
      <c r="CQ38" s="206">
        <f t="shared" ca="1" si="267"/>
        <v>0</v>
      </c>
      <c r="CR38" s="206">
        <f t="shared" ca="1" si="268"/>
        <v>0</v>
      </c>
      <c r="CS38" s="207">
        <f t="shared" ca="1" si="9"/>
        <v>0</v>
      </c>
      <c r="CT38" s="313">
        <f t="shared" si="269"/>
        <v>0</v>
      </c>
      <c r="CU38" s="313">
        <f t="shared" ca="1" si="79"/>
        <v>0</v>
      </c>
      <c r="CV38" s="313">
        <f t="shared" ca="1" si="270"/>
        <v>0</v>
      </c>
      <c r="CW38" s="843">
        <f t="shared" ca="1" si="80"/>
        <v>0</v>
      </c>
      <c r="CX38" s="1007" t="str">
        <f t="shared" ca="1" si="21"/>
        <v/>
      </c>
    </row>
    <row r="39" spans="1:102" ht="12.6" customHeight="1" outlineLevel="1" x14ac:dyDescent="0.2">
      <c r="A39" s="299"/>
      <c r="B39" s="299"/>
      <c r="C39" s="299" t="str">
        <f t="shared" ca="1" si="41"/>
        <v>IE00B6QGFW01:USD</v>
      </c>
      <c r="D39" s="300" t="str">
        <f t="shared" ca="1" si="42"/>
        <v>IE00B6QGFW01</v>
      </c>
      <c r="E39" s="301" t="str">
        <f t="shared" ca="1" si="42"/>
        <v>18127378</v>
      </c>
      <c r="F39" s="299" t="s">
        <v>752</v>
      </c>
      <c r="G39" s="836" t="str">
        <f t="shared" ca="1" si="34"/>
        <v/>
      </c>
      <c r="H39" s="1680" t="str">
        <f t="shared" ca="1" si="35"/>
        <v></v>
      </c>
      <c r="I39" s="1680" t="str">
        <f t="shared" ca="1" si="43"/>
        <v>i</v>
      </c>
      <c r="J39" s="1708" t="str">
        <f t="shared" ca="1" si="44"/>
        <v></v>
      </c>
      <c r="K39" s="1709" t="str">
        <f t="shared" ca="1" si="44"/>
        <v></v>
      </c>
      <c r="L39" s="1710" t="str">
        <f t="shared" ca="1" si="45"/>
        <v></v>
      </c>
      <c r="M39" s="1780" t="str">
        <f t="shared" ca="1" si="46"/>
        <v>Unit</v>
      </c>
      <c r="N39" s="1113"/>
      <c r="O39" s="1113"/>
      <c r="P39" s="306">
        <f t="shared" ca="1" si="1"/>
        <v>0</v>
      </c>
      <c r="Q39" s="307">
        <f t="shared" si="36"/>
        <v>0</v>
      </c>
      <c r="R39" s="307">
        <f t="shared" ca="1" si="37"/>
        <v>0</v>
      </c>
      <c r="S39" s="1115"/>
      <c r="T39" s="1115"/>
      <c r="U39" s="308">
        <f t="shared" ca="1" si="38"/>
        <v>-6.8168688619294005E-3</v>
      </c>
      <c r="V39" s="307">
        <f t="shared" si="39"/>
        <v>0</v>
      </c>
      <c r="W39" s="299" t="str">
        <f t="shared" ca="1" si="47"/>
        <v>USD</v>
      </c>
      <c r="X39" s="845">
        <f t="shared" ca="1" si="48"/>
        <v>85.98</v>
      </c>
      <c r="Y39" s="1017">
        <f t="shared" ca="1" si="48"/>
        <v>0</v>
      </c>
      <c r="Z39" s="1018">
        <f t="shared" ca="1" si="49"/>
        <v>0.86199999999999999</v>
      </c>
      <c r="AA39" s="197"/>
      <c r="AB39" s="312" t="str">
        <f t="shared" ca="1" si="50"/>
        <v/>
      </c>
      <c r="AC39" s="411"/>
      <c r="AD39" s="199">
        <f ca="1">AA39*$X39</f>
        <v>0</v>
      </c>
      <c r="AE39" s="199">
        <f ca="1">AD39*$Z39</f>
        <v>0</v>
      </c>
      <c r="AF39" s="216">
        <f ca="1">IFERROR(AE39/AA$4,0)</f>
        <v>0</v>
      </c>
      <c r="AG39" s="202">
        <f ca="1">AH39/$X39</f>
        <v>0</v>
      </c>
      <c r="AH39" s="203">
        <f ca="1">AI39/$Z39</f>
        <v>0</v>
      </c>
      <c r="AI39" s="203">
        <f ca="1">AJ39*AA$4</f>
        <v>0</v>
      </c>
      <c r="AJ39" s="204">
        <f ca="1">$N39-AF39</f>
        <v>0</v>
      </c>
      <c r="AK39" s="205"/>
      <c r="AL39" s="206">
        <f ca="1">AK39*$X39</f>
        <v>0</v>
      </c>
      <c r="AM39" s="206">
        <f ca="1">AL39*$Z39</f>
        <v>0</v>
      </c>
      <c r="AN39" s="207">
        <f ca="1">IFERROR(AM39/AA$4,0)</f>
        <v>0</v>
      </c>
      <c r="AO39" s="313">
        <f t="shared" si="252"/>
        <v>0</v>
      </c>
      <c r="AP39" s="313">
        <f t="shared" ca="1" si="59"/>
        <v>0</v>
      </c>
      <c r="AQ39" s="313">
        <f ca="1">AP39*$Z39</f>
        <v>0</v>
      </c>
      <c r="AR39" s="843">
        <f ca="1">IFERROR(AQ39/AA$4,0)</f>
        <v>0</v>
      </c>
      <c r="AS39" s="1007" t="str">
        <f t="shared" ca="1" si="15"/>
        <v/>
      </c>
      <c r="AT39" s="197">
        <f>340+-340</f>
        <v>0</v>
      </c>
      <c r="AU39" s="312" t="str">
        <f t="shared" ca="1" si="61"/>
        <v/>
      </c>
      <c r="AV39" s="411"/>
      <c r="AW39" s="199">
        <f ca="1">AT39*$X39</f>
        <v>0</v>
      </c>
      <c r="AX39" s="199">
        <f ca="1">AW39*$Z39</f>
        <v>0</v>
      </c>
      <c r="AY39" s="216">
        <f ca="1">IFERROR(AX39/AT$4,0)</f>
        <v>0</v>
      </c>
      <c r="AZ39" s="202">
        <f ca="1">BA39/$X39</f>
        <v>0</v>
      </c>
      <c r="BA39" s="203">
        <f ca="1">BB39/$Z39</f>
        <v>0</v>
      </c>
      <c r="BB39" s="203">
        <f ca="1">BC39*AT$4</f>
        <v>0</v>
      </c>
      <c r="BC39" s="204">
        <f ca="1">$N39-AY39</f>
        <v>0</v>
      </c>
      <c r="BD39" s="205"/>
      <c r="BE39" s="206">
        <f ca="1">BD39*$X39</f>
        <v>0</v>
      </c>
      <c r="BF39" s="206">
        <f ca="1">BE39*$Z39</f>
        <v>0</v>
      </c>
      <c r="BG39" s="207">
        <f ca="1">IFERROR(BF39/AT$4,0)</f>
        <v>0</v>
      </c>
      <c r="BH39" s="313">
        <f t="shared" si="253"/>
        <v>0</v>
      </c>
      <c r="BI39" s="313">
        <f t="shared" ca="1" si="70"/>
        <v>0</v>
      </c>
      <c r="BJ39" s="313">
        <f ca="1">BI39*$Z39</f>
        <v>0</v>
      </c>
      <c r="BK39" s="843">
        <f ca="1">IFERROR(BJ39/AT$4,0)</f>
        <v>0</v>
      </c>
      <c r="BL39" s="1007" t="str">
        <f t="shared" ca="1" si="17"/>
        <v/>
      </c>
      <c r="BM39" s="197"/>
      <c r="BN39" s="312" t="str">
        <f t="shared" ca="1" si="73"/>
        <v/>
      </c>
      <c r="BO39" s="411"/>
      <c r="BP39" s="199">
        <f t="shared" ca="1" si="254"/>
        <v>0</v>
      </c>
      <c r="BQ39" s="199">
        <f t="shared" ca="1" si="255"/>
        <v>0</v>
      </c>
      <c r="BR39" s="216">
        <f t="shared" ca="1" si="6"/>
        <v>0</v>
      </c>
      <c r="BS39" s="202">
        <f t="shared" ca="1" si="256"/>
        <v>0</v>
      </c>
      <c r="BT39" s="203">
        <f t="shared" ca="1" si="257"/>
        <v>0</v>
      </c>
      <c r="BU39" s="203">
        <f t="shared" ca="1" si="74"/>
        <v>0</v>
      </c>
      <c r="BV39" s="204">
        <f t="shared" ca="1" si="258"/>
        <v>0</v>
      </c>
      <c r="BW39" s="205"/>
      <c r="BX39" s="206">
        <f t="shared" ca="1" si="259"/>
        <v>0</v>
      </c>
      <c r="BY39" s="206">
        <f t="shared" ca="1" si="260"/>
        <v>0</v>
      </c>
      <c r="BZ39" s="207">
        <f t="shared" ca="1" si="7"/>
        <v>0</v>
      </c>
      <c r="CA39" s="313">
        <f t="shared" si="261"/>
        <v>0</v>
      </c>
      <c r="CB39" s="313">
        <f t="shared" ca="1" si="75"/>
        <v>0</v>
      </c>
      <c r="CC39" s="313">
        <f t="shared" ca="1" si="262"/>
        <v>0</v>
      </c>
      <c r="CD39" s="843">
        <f t="shared" ca="1" si="76"/>
        <v>0</v>
      </c>
      <c r="CE39" s="1007" t="str">
        <f t="shared" ca="1" si="19"/>
        <v/>
      </c>
      <c r="CF39" s="197"/>
      <c r="CG39" s="312" t="str">
        <f t="shared" ca="1" si="77"/>
        <v/>
      </c>
      <c r="CH39" s="411"/>
      <c r="CI39" s="199">
        <f t="shared" ca="1" si="263"/>
        <v>0</v>
      </c>
      <c r="CJ39" s="199">
        <f t="shared" ca="1" si="264"/>
        <v>0</v>
      </c>
      <c r="CK39" s="216">
        <f t="shared" ca="1" si="8"/>
        <v>0</v>
      </c>
      <c r="CL39" s="202">
        <f t="shared" ca="1" si="265"/>
        <v>0</v>
      </c>
      <c r="CM39" s="203">
        <f t="shared" ca="1" si="266"/>
        <v>0</v>
      </c>
      <c r="CN39" s="203">
        <f t="shared" ca="1" si="78"/>
        <v>0</v>
      </c>
      <c r="CO39" s="204">
        <f t="shared" ca="1" si="40"/>
        <v>0</v>
      </c>
      <c r="CP39" s="205"/>
      <c r="CQ39" s="206">
        <f t="shared" ca="1" si="267"/>
        <v>0</v>
      </c>
      <c r="CR39" s="206">
        <f t="shared" ca="1" si="268"/>
        <v>0</v>
      </c>
      <c r="CS39" s="207">
        <f t="shared" ca="1" si="9"/>
        <v>0</v>
      </c>
      <c r="CT39" s="313">
        <f t="shared" si="269"/>
        <v>0</v>
      </c>
      <c r="CU39" s="313">
        <f t="shared" ca="1" si="79"/>
        <v>0</v>
      </c>
      <c r="CV39" s="313">
        <f t="shared" ca="1" si="270"/>
        <v>0</v>
      </c>
      <c r="CW39" s="843">
        <f t="shared" ca="1" si="80"/>
        <v>0</v>
      </c>
      <c r="CX39" s="1007" t="str">
        <f t="shared" ca="1" si="21"/>
        <v/>
      </c>
    </row>
    <row r="40" spans="1:102" ht="12.6" customHeight="1" outlineLevel="1" x14ac:dyDescent="0.2">
      <c r="A40" s="299"/>
      <c r="B40" s="299"/>
      <c r="C40" s="299" t="str">
        <f t="shared" ca="1" si="41"/>
        <v>IE00B6QGFW01:EUR</v>
      </c>
      <c r="D40" s="300" t="str">
        <f t="shared" ca="1" si="42"/>
        <v>IE00B6QGFW01</v>
      </c>
      <c r="E40" s="301" t="str">
        <f t="shared" ca="1" si="42"/>
        <v>18127378</v>
      </c>
      <c r="F40" s="299" t="s">
        <v>580</v>
      </c>
      <c r="G40" s="836" t="str">
        <f t="shared" ca="1" si="34"/>
        <v/>
      </c>
      <c r="H40" s="1680" t="str">
        <f t="shared" ca="1" si="35"/>
        <v></v>
      </c>
      <c r="I40" s="1680" t="str">
        <f t="shared" ca="1" si="43"/>
        <v>i</v>
      </c>
      <c r="J40" s="1708" t="str">
        <f t="shared" ca="1" si="44"/>
        <v></v>
      </c>
      <c r="K40" s="1709" t="str">
        <f t="shared" ca="1" si="44"/>
        <v></v>
      </c>
      <c r="L40" s="1710" t="str">
        <f t="shared" ca="1" si="45"/>
        <v></v>
      </c>
      <c r="M40" s="1780" t="str">
        <f t="shared" ca="1" si="46"/>
        <v>Unit</v>
      </c>
      <c r="N40" s="1113"/>
      <c r="O40" s="1113"/>
      <c r="P40" s="306">
        <f t="shared" ca="1" si="1"/>
        <v>0</v>
      </c>
      <c r="Q40" s="307">
        <f t="shared" si="36"/>
        <v>0</v>
      </c>
      <c r="R40" s="307">
        <f t="shared" ca="1" si="37"/>
        <v>0</v>
      </c>
      <c r="S40" s="1115"/>
      <c r="T40" s="1115"/>
      <c r="U40" s="308">
        <f t="shared" ca="1" si="38"/>
        <v>2.0990312163616E-3</v>
      </c>
      <c r="V40" s="307">
        <f t="shared" si="39"/>
        <v>0</v>
      </c>
      <c r="W40" s="299" t="str">
        <f t="shared" ca="1" si="47"/>
        <v>EUR</v>
      </c>
      <c r="X40" s="845">
        <f t="shared" ca="1" si="48"/>
        <v>74.447999999999993</v>
      </c>
      <c r="Y40" s="1017">
        <f t="shared" ca="1" si="48"/>
        <v>0</v>
      </c>
      <c r="Z40" s="1018">
        <f t="shared" ca="1" si="49"/>
        <v>1</v>
      </c>
      <c r="AA40" s="197">
        <f>140+200+-340</f>
        <v>0</v>
      </c>
      <c r="AB40" s="312" t="str">
        <f t="shared" ca="1" si="50"/>
        <v/>
      </c>
      <c r="AC40" s="411"/>
      <c r="AD40" s="199">
        <f t="shared" ca="1" si="51"/>
        <v>0</v>
      </c>
      <c r="AE40" s="199">
        <f t="shared" ca="1" si="52"/>
        <v>0</v>
      </c>
      <c r="AF40" s="216">
        <f t="shared" ca="1" si="2"/>
        <v>0</v>
      </c>
      <c r="AG40" s="202">
        <f t="shared" ca="1" si="53"/>
        <v>0</v>
      </c>
      <c r="AH40" s="203">
        <f t="shared" ca="1" si="54"/>
        <v>0</v>
      </c>
      <c r="AI40" s="203">
        <f t="shared" ca="1" si="55"/>
        <v>0</v>
      </c>
      <c r="AJ40" s="204">
        <f t="shared" ca="1" si="56"/>
        <v>0</v>
      </c>
      <c r="AK40" s="205"/>
      <c r="AL40" s="206">
        <f t="shared" ca="1" si="57"/>
        <v>0</v>
      </c>
      <c r="AM40" s="206">
        <f t="shared" ca="1" si="58"/>
        <v>0</v>
      </c>
      <c r="AN40" s="207">
        <f t="shared" ca="1" si="3"/>
        <v>0</v>
      </c>
      <c r="AO40" s="313">
        <f t="shared" si="252"/>
        <v>0</v>
      </c>
      <c r="AP40" s="313">
        <f t="shared" ca="1" si="59"/>
        <v>0</v>
      </c>
      <c r="AQ40" s="313">
        <f t="shared" ca="1" si="60"/>
        <v>0</v>
      </c>
      <c r="AR40" s="843">
        <f t="shared" ca="1" si="26"/>
        <v>0</v>
      </c>
      <c r="AS40" s="1007" t="str">
        <f t="shared" ca="1" si="15"/>
        <v/>
      </c>
      <c r="AT40" s="197">
        <f>275+405+-680</f>
        <v>0</v>
      </c>
      <c r="AU40" s="312" t="str">
        <f t="shared" ca="1" si="61"/>
        <v/>
      </c>
      <c r="AV40" s="411"/>
      <c r="AW40" s="199">
        <f t="shared" ca="1" si="62"/>
        <v>0</v>
      </c>
      <c r="AX40" s="199">
        <f t="shared" ca="1" si="63"/>
        <v>0</v>
      </c>
      <c r="AY40" s="216">
        <f t="shared" ca="1" si="4"/>
        <v>0</v>
      </c>
      <c r="AZ40" s="202">
        <f t="shared" ca="1" si="64"/>
        <v>0</v>
      </c>
      <c r="BA40" s="203">
        <f t="shared" ca="1" si="65"/>
        <v>0</v>
      </c>
      <c r="BB40" s="203">
        <f t="shared" ca="1" si="66"/>
        <v>0</v>
      </c>
      <c r="BC40" s="204">
        <f t="shared" ca="1" si="67"/>
        <v>0</v>
      </c>
      <c r="BD40" s="205"/>
      <c r="BE40" s="206">
        <f t="shared" ca="1" si="68"/>
        <v>0</v>
      </c>
      <c r="BF40" s="206">
        <f t="shared" ca="1" si="69"/>
        <v>0</v>
      </c>
      <c r="BG40" s="207">
        <f t="shared" ca="1" si="5"/>
        <v>0</v>
      </c>
      <c r="BH40" s="313">
        <f t="shared" si="253"/>
        <v>0</v>
      </c>
      <c r="BI40" s="313">
        <f t="shared" ca="1" si="70"/>
        <v>0</v>
      </c>
      <c r="BJ40" s="313">
        <f t="shared" ca="1" si="71"/>
        <v>0</v>
      </c>
      <c r="BK40" s="843">
        <f t="shared" ca="1" si="72"/>
        <v>0</v>
      </c>
      <c r="BL40" s="1007" t="str">
        <f t="shared" ca="1" si="17"/>
        <v/>
      </c>
      <c r="BM40" s="197">
        <f>225+105+-330</f>
        <v>0</v>
      </c>
      <c r="BN40" s="312" t="str">
        <f t="shared" ca="1" si="73"/>
        <v/>
      </c>
      <c r="BO40" s="411"/>
      <c r="BP40" s="199">
        <f t="shared" ca="1" si="254"/>
        <v>0</v>
      </c>
      <c r="BQ40" s="199">
        <f t="shared" ca="1" si="255"/>
        <v>0</v>
      </c>
      <c r="BR40" s="216">
        <f t="shared" ca="1" si="6"/>
        <v>0</v>
      </c>
      <c r="BS40" s="202">
        <f t="shared" ca="1" si="256"/>
        <v>0</v>
      </c>
      <c r="BT40" s="203">
        <f t="shared" ca="1" si="257"/>
        <v>0</v>
      </c>
      <c r="BU40" s="203">
        <f t="shared" ca="1" si="74"/>
        <v>0</v>
      </c>
      <c r="BV40" s="204">
        <f t="shared" ca="1" si="258"/>
        <v>0</v>
      </c>
      <c r="BW40" s="205"/>
      <c r="BX40" s="206">
        <f t="shared" ca="1" si="259"/>
        <v>0</v>
      </c>
      <c r="BY40" s="206">
        <f t="shared" ca="1" si="260"/>
        <v>0</v>
      </c>
      <c r="BZ40" s="207">
        <f t="shared" ca="1" si="7"/>
        <v>0</v>
      </c>
      <c r="CA40" s="313">
        <f t="shared" si="261"/>
        <v>0</v>
      </c>
      <c r="CB40" s="313">
        <f t="shared" ca="1" si="75"/>
        <v>0</v>
      </c>
      <c r="CC40" s="313">
        <f t="shared" ca="1" si="262"/>
        <v>0</v>
      </c>
      <c r="CD40" s="843">
        <f t="shared" ca="1" si="76"/>
        <v>0</v>
      </c>
      <c r="CE40" s="1007" t="str">
        <f t="shared" ca="1" si="19"/>
        <v/>
      </c>
      <c r="CF40" s="197">
        <f>60+-60</f>
        <v>0</v>
      </c>
      <c r="CG40" s="312" t="str">
        <f t="shared" ca="1" si="77"/>
        <v/>
      </c>
      <c r="CH40" s="411"/>
      <c r="CI40" s="199">
        <f t="shared" ca="1" si="263"/>
        <v>0</v>
      </c>
      <c r="CJ40" s="199">
        <f t="shared" ca="1" si="264"/>
        <v>0</v>
      </c>
      <c r="CK40" s="216">
        <f t="shared" ca="1" si="8"/>
        <v>0</v>
      </c>
      <c r="CL40" s="202">
        <f t="shared" ca="1" si="265"/>
        <v>0</v>
      </c>
      <c r="CM40" s="203">
        <f t="shared" ca="1" si="266"/>
        <v>0</v>
      </c>
      <c r="CN40" s="203">
        <f t="shared" ca="1" si="78"/>
        <v>0</v>
      </c>
      <c r="CO40" s="204">
        <f t="shared" ca="1" si="40"/>
        <v>0</v>
      </c>
      <c r="CP40" s="205"/>
      <c r="CQ40" s="206">
        <f t="shared" ca="1" si="267"/>
        <v>0</v>
      </c>
      <c r="CR40" s="206">
        <f t="shared" ca="1" si="268"/>
        <v>0</v>
      </c>
      <c r="CS40" s="207">
        <f t="shared" ca="1" si="9"/>
        <v>0</v>
      </c>
      <c r="CT40" s="313">
        <f t="shared" si="269"/>
        <v>0</v>
      </c>
      <c r="CU40" s="313">
        <f t="shared" ca="1" si="79"/>
        <v>0</v>
      </c>
      <c r="CV40" s="313">
        <f t="shared" ca="1" si="270"/>
        <v>0</v>
      </c>
      <c r="CW40" s="843">
        <f t="shared" ca="1" si="80"/>
        <v>0</v>
      </c>
      <c r="CX40" s="1007" t="str">
        <f t="shared" ca="1" si="21"/>
        <v/>
      </c>
    </row>
    <row r="41" spans="1:102" s="413" customFormat="1" x14ac:dyDescent="0.2">
      <c r="A41" s="859" t="s">
        <v>388</v>
      </c>
      <c r="B41" s="859"/>
      <c r="C41" s="859"/>
      <c r="D41" s="1123"/>
      <c r="E41" s="1124"/>
      <c r="F41" s="859"/>
      <c r="G41" s="1125"/>
      <c r="H41" s="1804"/>
      <c r="I41" s="1804"/>
      <c r="J41" s="1804"/>
      <c r="K41" s="1804"/>
      <c r="L41" s="1804"/>
      <c r="M41" s="1805"/>
      <c r="N41" s="1127">
        <f>SUM(N$92,N$82,N$79,N$65,N$62,N$59,N$49,N$42)</f>
        <v>0.505</v>
      </c>
      <c r="O41" s="1127"/>
      <c r="P41" s="1128">
        <f t="shared" ca="1" si="1"/>
        <v>0.48301384435889988</v>
      </c>
      <c r="Q41" s="1129" t="s">
        <v>856</v>
      </c>
      <c r="R41" s="1129"/>
      <c r="S41" s="1126"/>
      <c r="T41" s="1126"/>
      <c r="U41" s="1130"/>
      <c r="V41" s="1129"/>
      <c r="W41" s="859"/>
      <c r="X41" s="1131"/>
      <c r="Y41" s="1131"/>
      <c r="Z41" s="1132"/>
      <c r="AA41" s="344"/>
      <c r="AB41" s="859"/>
      <c r="AC41" s="1131"/>
      <c r="AD41" s="859"/>
      <c r="AE41" s="861" cm="1">
        <f t="array" aca="1" ref="AE41" ca="1">SUM(IF($B$42:$B$97="",AE$42:AE$97))</f>
        <v>339090.12155155005</v>
      </c>
      <c r="AF41" s="862">
        <f t="shared" ca="1" si="2"/>
        <v>0.48230460767028388</v>
      </c>
      <c r="AG41" s="863"/>
      <c r="AH41" s="864"/>
      <c r="AI41" s="861" cm="1">
        <f t="array" aca="1" ref="AI41" ca="1">SUM(IF($B$42:$B$97="",AI$42:AI$97))</f>
        <v>33532.825781313419</v>
      </c>
      <c r="AJ41" s="865">
        <f ca="1">IFERROR(AI41/AA$4,0)</f>
        <v>4.7695392329716244E-2</v>
      </c>
      <c r="AK41" s="863"/>
      <c r="AL41" s="864"/>
      <c r="AM41" s="861" cm="1">
        <f t="array" aca="1" ref="AM41" ca="1">SUM(IF($B$42:$B$97="",AM$42:AM$97))</f>
        <v>18260.0046</v>
      </c>
      <c r="AN41" s="865">
        <f t="shared" ca="1" si="3"/>
        <v>2.5972105334014325E-2</v>
      </c>
      <c r="AO41" s="864"/>
      <c r="AP41" s="864"/>
      <c r="AQ41" s="861" cm="1">
        <f t="array" aca="1" ref="AQ41" ca="1">SUM(IF($B$42:$B$97="",AQ$42:AQ$97))</f>
        <v>339090.12155155005</v>
      </c>
      <c r="AR41" s="1133">
        <f t="shared" ca="1" si="26"/>
        <v>0.48230460767028388</v>
      </c>
      <c r="AS41" s="1007" t="str">
        <f t="shared" ca="1" si="15"/>
        <v>V</v>
      </c>
      <c r="AT41" s="344"/>
      <c r="AU41" s="859"/>
      <c r="AV41" s="1131"/>
      <c r="AW41" s="859"/>
      <c r="AX41" s="861" cm="1">
        <f t="array" aca="1" ref="AX41" ca="1">SUM(IF($B$42:$B$97="",AX$42:AX$97))</f>
        <v>559176.22885720001</v>
      </c>
      <c r="AY41" s="862">
        <f t="shared" ca="1" si="4"/>
        <v>0.48153476740197793</v>
      </c>
      <c r="AZ41" s="863"/>
      <c r="BA41" s="864"/>
      <c r="BB41" s="861" cm="1">
        <f t="array" aca="1" ref="BB41" ca="1">SUM(IF($B$42:$B$97="",BB$42:BB$97))</f>
        <v>56279.645478279366</v>
      </c>
      <c r="BC41" s="865">
        <f ca="1">IFERROR(BB41/AT$4,0)</f>
        <v>4.8465232598022094E-2</v>
      </c>
      <c r="BD41" s="863"/>
      <c r="BE41" s="864"/>
      <c r="BF41" s="861" cm="1">
        <f t="array" aca="1" ref="BF41" ca="1">SUM(IF($B$42:$B$97="",BF$42:BF$97))</f>
        <v>26375.5622</v>
      </c>
      <c r="BG41" s="865">
        <f t="shared" ca="1" si="5"/>
        <v>2.2713322837471447E-2</v>
      </c>
      <c r="BH41" s="864"/>
      <c r="BI41" s="864"/>
      <c r="BJ41" s="861" cm="1">
        <f t="array" aca="1" ref="BJ41" ca="1">SUM(IF($B$42:$B$97="",BJ$42:BJ$97))</f>
        <v>559176.22885720001</v>
      </c>
      <c r="BK41" s="1133">
        <f t="shared" ca="1" si="72"/>
        <v>0.48153476740197793</v>
      </c>
      <c r="BL41" s="1007" t="str">
        <f t="shared" ca="1" si="17"/>
        <v>V</v>
      </c>
      <c r="BM41" s="344"/>
      <c r="BN41" s="859"/>
      <c r="BO41" s="1131"/>
      <c r="BP41" s="859"/>
      <c r="BQ41" s="861" cm="1">
        <f t="array" aca="1" ref="BQ41" ca="1">SUM(IF($B$42:$B$97="",BQ$42:BQ$97))</f>
        <v>307614.22401155002</v>
      </c>
      <c r="BR41" s="862">
        <f t="shared" ca="1" si="6"/>
        <v>0.48651895503569687</v>
      </c>
      <c r="BS41" s="863"/>
      <c r="BT41" s="864"/>
      <c r="BU41" s="861" cm="1">
        <f t="array" aca="1" ref="BU41" ca="1">SUM(IF($B$42:$B$97="",BU$42:BU$97))</f>
        <v>27492.018075480846</v>
      </c>
      <c r="BV41" s="865">
        <f ca="1">IFERROR(BU41/BM$4,0)</f>
        <v>4.3481044964303162E-2</v>
      </c>
      <c r="BW41" s="863"/>
      <c r="BX41" s="864"/>
      <c r="BY41" s="861" cm="1">
        <f t="array" aca="1" ref="BY41" ca="1">SUM(IF($B$42:$B$97="",BY$42:BY$97))</f>
        <v>16231.115199999998</v>
      </c>
      <c r="BZ41" s="865">
        <f t="shared" ca="1" si="7"/>
        <v>2.5670936483975837E-2</v>
      </c>
      <c r="CA41" s="864"/>
      <c r="CB41" s="864"/>
      <c r="CC41" s="861" cm="1">
        <f t="array" aca="1" ref="CC41" ca="1">SUM(IF($B$42:$B$97="",CC$42:CC$97))</f>
        <v>307614.22401155002</v>
      </c>
      <c r="CD41" s="1133">
        <f t="shared" ca="1" si="76"/>
        <v>0.48651895503569687</v>
      </c>
      <c r="CE41" s="1007" t="str">
        <f t="shared" ca="1" si="19"/>
        <v>V</v>
      </c>
      <c r="CF41" s="344"/>
      <c r="CG41" s="859"/>
      <c r="CH41" s="1131"/>
      <c r="CI41" s="859"/>
      <c r="CJ41" s="861" cm="1">
        <f t="array" aca="1" ref="CJ41" ca="1">SUM(IF($B$42:$B$97="",CJ$42:CJ$97))</f>
        <v>73392.446799999991</v>
      </c>
      <c r="CK41" s="862">
        <f t="shared" ca="1" si="8"/>
        <v>0.46026661012356607</v>
      </c>
      <c r="CL41" s="863"/>
      <c r="CM41" s="864"/>
      <c r="CN41" s="861" cm="1">
        <f t="array" aca="1" ref="CN41" ca="1">SUM(IF($B$42:$B$97="",CN$42:CN$97))</f>
        <v>-7218.0497177891339</v>
      </c>
      <c r="CO41" s="865">
        <f ca="1">IFERROR(CN41/CF$4,0)</f>
        <v>-4.5266610123566121E-2</v>
      </c>
      <c r="CP41" s="863"/>
      <c r="CQ41" s="864"/>
      <c r="CR41" s="861" cm="1">
        <f t="array" aca="1" ref="CR41" ca="1">SUM(IF($B$42:$B$97="",CR$42:CR$97))</f>
        <v>4057.7787999999996</v>
      </c>
      <c r="CS41" s="865">
        <f t="shared" ca="1" si="9"/>
        <v>2.5447579067595167E-2</v>
      </c>
      <c r="CT41" s="864"/>
      <c r="CU41" s="864"/>
      <c r="CV41" s="861" cm="1">
        <f t="array" aca="1" ref="CV41" ca="1">SUM(IF($B$42:$B$97="",CV$42:CV$97))</f>
        <v>73392.446799999991</v>
      </c>
      <c r="CW41" s="1133">
        <f t="shared" ca="1" si="80"/>
        <v>0.46026661012356607</v>
      </c>
      <c r="CX41" s="1007" t="str">
        <f t="shared" ca="1" si="21"/>
        <v>V</v>
      </c>
    </row>
    <row r="42" spans="1:102" collapsed="1" x14ac:dyDescent="0.2">
      <c r="A42" s="346"/>
      <c r="B42" s="346" t="s">
        <v>397</v>
      </c>
      <c r="C42" s="346"/>
      <c r="D42" s="347"/>
      <c r="E42" s="348"/>
      <c r="F42" s="346"/>
      <c r="G42" s="349"/>
      <c r="H42" s="1750"/>
      <c r="I42" s="1750"/>
      <c r="J42" s="1750"/>
      <c r="K42" s="1750"/>
      <c r="L42" s="1750"/>
      <c r="M42" s="1785"/>
      <c r="N42" s="1134">
        <f>SUM(N$43:N$48)</f>
        <v>7.4999999999999997E-2</v>
      </c>
      <c r="O42" s="1134"/>
      <c r="P42" s="351">
        <f t="shared" ca="1" si="1"/>
        <v>2.6662452298192911E-2</v>
      </c>
      <c r="Q42" s="421" t="s">
        <v>856</v>
      </c>
      <c r="R42" s="421"/>
      <c r="S42" s="871"/>
      <c r="T42" s="871"/>
      <c r="U42" s="353"/>
      <c r="V42" s="421">
        <f>COUNTIF(V46:V48,"&lt;&gt;0")</f>
        <v>0</v>
      </c>
      <c r="W42" s="346"/>
      <c r="X42" s="873"/>
      <c r="Y42" s="873"/>
      <c r="Z42" s="1037"/>
      <c r="AA42" s="357"/>
      <c r="AB42" s="359"/>
      <c r="AC42" s="1135"/>
      <c r="AD42" s="359"/>
      <c r="AE42" s="360">
        <f ca="1">SUM(AE$43:AE$48)</f>
        <v>17620.101431549996</v>
      </c>
      <c r="AF42" s="361">
        <f t="shared" ca="1" si="2"/>
        <v>2.5061939490214208E-2</v>
      </c>
      <c r="AG42" s="362"/>
      <c r="AH42" s="359"/>
      <c r="AI42" s="360">
        <f ca="1">SUM(AI$43:AI$48)</f>
        <v>35109.560926874066</v>
      </c>
      <c r="AJ42" s="363">
        <f ca="1">IFERROR(AI42/AA$4,0)</f>
        <v>4.9938060509785789E-2</v>
      </c>
      <c r="AK42" s="362"/>
      <c r="AL42" s="359"/>
      <c r="AM42" s="360">
        <f ca="1">SUM(AM$43:AM$48)</f>
        <v>0</v>
      </c>
      <c r="AN42" s="363">
        <f t="shared" ca="1" si="3"/>
        <v>0</v>
      </c>
      <c r="AO42" s="359"/>
      <c r="AP42" s="359"/>
      <c r="AQ42" s="360">
        <f ca="1">SUM(AQ$43:AQ$48)</f>
        <v>17620.101431549996</v>
      </c>
      <c r="AR42" s="876">
        <f t="shared" ca="1" si="26"/>
        <v>2.5061939490214208E-2</v>
      </c>
      <c r="AS42" s="1007" t="str">
        <f t="shared" ca="1" si="15"/>
        <v>V</v>
      </c>
      <c r="AT42" s="357"/>
      <c r="AU42" s="359"/>
      <c r="AV42" s="1135"/>
      <c r="AW42" s="359"/>
      <c r="AX42" s="360">
        <f ca="1">SUM(AX$43:AX$48)</f>
        <v>31324.624767199999</v>
      </c>
      <c r="AY42" s="361">
        <f t="shared" ca="1" si="4"/>
        <v>2.6975209464921567E-2</v>
      </c>
      <c r="AZ42" s="362"/>
      <c r="BA42" s="359"/>
      <c r="BB42" s="360">
        <f ca="1">SUM(BB$43:BB$48)</f>
        <v>55768.187638764059</v>
      </c>
      <c r="BC42" s="363">
        <f ca="1">IFERROR(BB42/AT$4,0)</f>
        <v>4.8024790535078438E-2</v>
      </c>
      <c r="BD42" s="362"/>
      <c r="BE42" s="359"/>
      <c r="BF42" s="360">
        <f ca="1">SUM(BF$43:BF$48)</f>
        <v>0</v>
      </c>
      <c r="BG42" s="363">
        <f t="shared" ca="1" si="5"/>
        <v>0</v>
      </c>
      <c r="BH42" s="359"/>
      <c r="BI42" s="359"/>
      <c r="BJ42" s="360">
        <f ca="1">SUM(BJ$43:BJ$48)</f>
        <v>31324.624767199999</v>
      </c>
      <c r="BK42" s="876">
        <f t="shared" ca="1" si="72"/>
        <v>2.6975209464921567E-2</v>
      </c>
      <c r="BL42" s="1007" t="str">
        <f t="shared" ca="1" si="17"/>
        <v>V</v>
      </c>
      <c r="BM42" s="357"/>
      <c r="BN42" s="359"/>
      <c r="BO42" s="1135"/>
      <c r="BP42" s="359"/>
      <c r="BQ42" s="360">
        <f ca="1">SUM(BQ$43:BQ$48)</f>
        <v>17620.101431549996</v>
      </c>
      <c r="BR42" s="361">
        <f t="shared" ca="1" si="6"/>
        <v>2.7867740393496297E-2</v>
      </c>
      <c r="BS42" s="362"/>
      <c r="BT42" s="359"/>
      <c r="BU42" s="360">
        <f ca="1">SUM(BU$43:BU$48)</f>
        <v>29800.593203407196</v>
      </c>
      <c r="BV42" s="363">
        <f ca="1">IFERROR(BU42/BM$4,0)</f>
        <v>4.7132259606503697E-2</v>
      </c>
      <c r="BW42" s="362"/>
      <c r="BX42" s="359"/>
      <c r="BY42" s="360">
        <f ca="1">SUM(BY$43:BY$48)</f>
        <v>0</v>
      </c>
      <c r="BZ42" s="363">
        <f t="shared" ca="1" si="7"/>
        <v>0</v>
      </c>
      <c r="CA42" s="359"/>
      <c r="CB42" s="359"/>
      <c r="CC42" s="360">
        <f ca="1">SUM(CC$43:CC$48)</f>
        <v>17620.101431549996</v>
      </c>
      <c r="CD42" s="876">
        <f t="shared" ca="1" si="76"/>
        <v>2.7867740393496297E-2</v>
      </c>
      <c r="CE42" s="1007" t="str">
        <f t="shared" ca="1" si="19"/>
        <v>V</v>
      </c>
      <c r="CF42" s="357"/>
      <c r="CG42" s="359"/>
      <c r="CH42" s="1135"/>
      <c r="CI42" s="359"/>
      <c r="CJ42" s="360">
        <f ca="1">SUM(CJ$43:CJ$48)</f>
        <v>0</v>
      </c>
      <c r="CK42" s="361">
        <f t="shared" ca="1" si="8"/>
        <v>0</v>
      </c>
      <c r="CL42" s="362"/>
      <c r="CM42" s="359"/>
      <c r="CN42" s="360">
        <f ca="1">SUM(CN$43:CN$48)</f>
        <v>0</v>
      </c>
      <c r="CO42" s="363">
        <f ca="1">IFERROR(CN42/CF$4,0)</f>
        <v>0</v>
      </c>
      <c r="CP42" s="362"/>
      <c r="CQ42" s="359"/>
      <c r="CR42" s="360">
        <f ca="1">SUM(CR$43:CR$48)</f>
        <v>0</v>
      </c>
      <c r="CS42" s="363">
        <f t="shared" ca="1" si="9"/>
        <v>0</v>
      </c>
      <c r="CT42" s="359"/>
      <c r="CU42" s="359"/>
      <c r="CV42" s="360">
        <f ca="1">SUM(CV$43:CV$48)</f>
        <v>0</v>
      </c>
      <c r="CW42" s="876">
        <f t="shared" ca="1" si="80"/>
        <v>0</v>
      </c>
      <c r="CX42" s="1007" t="str">
        <f t="shared" ca="1" si="21"/>
        <v/>
      </c>
    </row>
    <row r="43" spans="1:102" hidden="1" outlineLevel="1" x14ac:dyDescent="0.2">
      <c r="A43" s="367"/>
      <c r="B43" s="367"/>
      <c r="C43" s="367" t="str">
        <f t="shared" ref="C43:E45" ca="1" si="271">OFFSET(Origine,MATCH($F43,Descrizioni,0),MATCH(C$16,Intestazioni,0)-1,1,1)</f>
        <v>CH0012221716:CHF</v>
      </c>
      <c r="D43" s="368" t="str">
        <f t="shared" ca="1" si="271"/>
        <v>CH0012221716</v>
      </c>
      <c r="E43" s="369" t="str">
        <f t="shared" ca="1" si="271"/>
        <v>1222171</v>
      </c>
      <c r="F43" s="367" t="s">
        <v>442</v>
      </c>
      <c r="G43" s="414"/>
      <c r="H43" s="1683" t="str">
        <f t="shared" ref="H43:H48" ca="1" si="272">HYPERLINK(OFFSET(Origine,MATCH($F43,Descrizioni,0),MATCH(H$16,Intestazioni,0)-1,1,1),"")</f>
        <v></v>
      </c>
      <c r="I43" s="1683" t="str">
        <f ca="1">HYPERLINK(OFFSET(Origine,MATCH($F43,Descrizioni,0),MATCH(I$16,Intestazioni,0)-1,1,1),"i")</f>
        <v>i</v>
      </c>
      <c r="J43" s="1713" t="str">
        <f t="shared" ref="J43:K45" ca="1" si="273">HYPERLINK(OFFSET(Origine,MATCH($F43,Descrizioni,0),MATCH(J$16,Intestazioni,0)-1,1,1),"")</f>
        <v></v>
      </c>
      <c r="K43" s="1714" t="str">
        <f t="shared" ca="1" si="273"/>
        <v></v>
      </c>
      <c r="L43" s="1715" t="str">
        <f ca="1">IFERROR(HYPERLINK("https://www.marketscreener.com/mods_a/charts/TV/inc_dyna_graph.php?c="&amp;OFFSET(Origine,MATCH($F43,Descrizioni,0),MATCH(L$16,Intestazioni,0)-1,1,1)&amp;"&amp;style=TradingView.CANDLES&amp;showAT=1",""),"")</f>
        <v></v>
      </c>
      <c r="M43" s="1786" t="str">
        <f ca="1">(OFFSET(Origine,MATCH($F43,Descrizioni,0),MATCH(M$16,Intestazioni,0)-1,1,1))</f>
        <v>Unit</v>
      </c>
      <c r="N43" s="1136">
        <v>1.4999999999999999E-2</v>
      </c>
      <c r="O43" s="1136"/>
      <c r="P43" s="418">
        <f ca="1">SUMIF($AA$16:$CD$16,"I_Ctrlv",$AA43:$CD43)/$Q$2</f>
        <v>0</v>
      </c>
      <c r="Q43" s="374">
        <f>SUMIF($AA$16:$CW$16,"I_Pos",$AA43:$CW43)</f>
        <v>0</v>
      </c>
      <c r="R43" s="374">
        <f ca="1">SUMIF($AA$16:$CW$16,"P_Pos",$AA43:$CW43)</f>
        <v>505.81096455256505</v>
      </c>
      <c r="S43" s="883"/>
      <c r="T43" s="883"/>
      <c r="U43" s="375">
        <f ca="1">OFFSET(Origine,MATCH($C43,smo_ids,0),MATCH(U$16,Intestazioni,0)-1,1,1)</f>
        <v>-4.8697621744054398E-2</v>
      </c>
      <c r="V43" s="374">
        <f>SUMIF($AA$16:$CW$16,"O_Pos",$AA43:$CW43)</f>
        <v>0</v>
      </c>
      <c r="W43" s="367" t="str">
        <f ca="1">OFFSET(Origine,MATCH($F43,Descrizioni,0),MATCH(W$16,Intestazioni,0)-1,1,1)</f>
        <v>CHF</v>
      </c>
      <c r="X43" s="1137">
        <f t="shared" ref="X43:Y45" ca="1" si="274">_xlfn.NUMBERVALUE(OFFSET(Origine,MATCH($F43,Descrizioni,0),MATCH(X$16,Intestazioni,0)-1,1,1))</f>
        <v>67.2</v>
      </c>
      <c r="Y43" s="1138">
        <f t="shared" ca="1" si="274"/>
        <v>1.39881E-2</v>
      </c>
      <c r="Z43" s="1139">
        <f ca="1">_xlfn.NUMBERVALUE(OFFSET(Origine,MATCH(W43&amp;"/"&amp;MRif,LUKB_Name,0),MATCH("Price",Intestazioni,0)-1,1,1))</f>
        <v>1.10173835</v>
      </c>
      <c r="AA43" s="197"/>
      <c r="AB43" s="379" t="str">
        <f ca="1">IFERROR($X43/AC43-1,"")</f>
        <v/>
      </c>
      <c r="AC43" s="1119"/>
      <c r="AD43" s="381">
        <f ca="1">AA43*$X43</f>
        <v>0</v>
      </c>
      <c r="AE43" s="381">
        <f ca="1">AD43*$Z43</f>
        <v>0</v>
      </c>
      <c r="AF43" s="382">
        <f ca="1">IFERROR(AE43/AA$4,0)</f>
        <v>0</v>
      </c>
      <c r="AG43" s="202">
        <f ca="1">AH43/$X43</f>
        <v>142.44173212621777</v>
      </c>
      <c r="AH43" s="383">
        <f ca="1">AI43/$Z43</f>
        <v>9572.0843988818342</v>
      </c>
      <c r="AI43" s="383">
        <f ca="1">AJ43*AA$4</f>
        <v>10545.932471684813</v>
      </c>
      <c r="AJ43" s="204">
        <f ca="1">$N43-AF43</f>
        <v>1.4999999999999999E-2</v>
      </c>
      <c r="AK43" s="205"/>
      <c r="AL43" s="384">
        <f ca="1">AK43*$X43</f>
        <v>0</v>
      </c>
      <c r="AM43" s="384">
        <f ca="1">AL43*$Z43</f>
        <v>0</v>
      </c>
      <c r="AN43" s="207">
        <f ca="1">IFERROR(AM43/AA$4,0)</f>
        <v>0</v>
      </c>
      <c r="AO43" s="374">
        <f>AA43+AK43</f>
        <v>0</v>
      </c>
      <c r="AP43" s="374">
        <f ca="1">AD43+IF($T43="",AL43)</f>
        <v>0</v>
      </c>
      <c r="AQ43" s="374">
        <f ca="1">AP43*$Z43</f>
        <v>0</v>
      </c>
      <c r="AR43" s="886">
        <f ca="1">IFERROR(AQ43/AA$4,0)</f>
        <v>0</v>
      </c>
      <c r="AS43" s="1121" t="str">
        <f ca="1">IF(SUM(AF43,AN43,AR43)&lt;&gt;0,"V","")</f>
        <v/>
      </c>
      <c r="AT43" s="197"/>
      <c r="AU43" s="379" t="str">
        <f ca="1">IFERROR($X43/AV43-1,"")</f>
        <v/>
      </c>
      <c r="AV43" s="1119"/>
      <c r="AW43" s="381">
        <f ca="1">AT43*$X43</f>
        <v>0</v>
      </c>
      <c r="AX43" s="381">
        <f ca="1">AW43*$Z43</f>
        <v>0</v>
      </c>
      <c r="AY43" s="382">
        <f ca="1">IFERROR(AX43/AT$4,0)</f>
        <v>0</v>
      </c>
      <c r="AZ43" s="202">
        <f ca="1">BA43/$X43</f>
        <v>235.26892644453554</v>
      </c>
      <c r="BA43" s="383">
        <f ca="1">BB43/$Z43</f>
        <v>15810.071857072789</v>
      </c>
      <c r="BB43" s="383">
        <f ca="1">BC43*AT$4</f>
        <v>17418.56248119281</v>
      </c>
      <c r="BC43" s="204">
        <f ca="1">$N43-AY43</f>
        <v>1.4999999999999999E-2</v>
      </c>
      <c r="BD43" s="205"/>
      <c r="BE43" s="384">
        <f ca="1">BD43*$X43</f>
        <v>0</v>
      </c>
      <c r="BF43" s="384">
        <f ca="1">BE43*$Z43</f>
        <v>0</v>
      </c>
      <c r="BG43" s="207">
        <f ca="1">IFERROR(BF43/AT$4,0)</f>
        <v>0</v>
      </c>
      <c r="BH43" s="374">
        <f>AT43+BD43</f>
        <v>0</v>
      </c>
      <c r="BI43" s="374">
        <f ca="1">AW43+IF($T43="",BE43)</f>
        <v>0</v>
      </c>
      <c r="BJ43" s="374">
        <f ca="1">BI43*$Z43</f>
        <v>0</v>
      </c>
      <c r="BK43" s="886">
        <f ca="1">IFERROR(BJ43/AT$4,0)</f>
        <v>0</v>
      </c>
      <c r="BL43" s="1121" t="str">
        <f ca="1">IF(SUM(AY43,BG43,BK43)&lt;&gt;0,"V","")</f>
        <v/>
      </c>
      <c r="BM43" s="197"/>
      <c r="BN43" s="379" t="str">
        <f ca="1">IFERROR($X43/BO43-1,"")</f>
        <v/>
      </c>
      <c r="BO43" s="1119"/>
      <c r="BP43" s="381">
        <f ca="1">BM43*$X43</f>
        <v>0</v>
      </c>
      <c r="BQ43" s="381">
        <f ca="1">BP43*$Z43</f>
        <v>0</v>
      </c>
      <c r="BR43" s="382">
        <f ca="1">IFERROR(BQ43/BM$4,0)</f>
        <v>0</v>
      </c>
      <c r="BS43" s="202">
        <f ca="1">BT43/$X43</f>
        <v>128.10030598181174</v>
      </c>
      <c r="BT43" s="383">
        <f ca="1">BU43/$Z43</f>
        <v>8608.3405619777495</v>
      </c>
      <c r="BU43" s="383">
        <f ca="1">BV43*BM$4</f>
        <v>9484.138926991438</v>
      </c>
      <c r="BV43" s="204">
        <f ca="1">$N43-BR43</f>
        <v>1.4999999999999999E-2</v>
      </c>
      <c r="BW43" s="205"/>
      <c r="BX43" s="384">
        <f ca="1">BW43*$X43</f>
        <v>0</v>
      </c>
      <c r="BY43" s="384">
        <f ca="1">BX43*$Z43</f>
        <v>0</v>
      </c>
      <c r="BZ43" s="207">
        <f ca="1">IFERROR(BY43/BM$4,0)</f>
        <v>0</v>
      </c>
      <c r="CA43" s="374">
        <f>BM43+BW43</f>
        <v>0</v>
      </c>
      <c r="CB43" s="374">
        <f ca="1">BP43+IF($T43="",BX43)</f>
        <v>0</v>
      </c>
      <c r="CC43" s="374">
        <f ca="1">CB43*$Z43</f>
        <v>0</v>
      </c>
      <c r="CD43" s="886">
        <f ca="1">IFERROR(CC43/BM$4,0)</f>
        <v>0</v>
      </c>
      <c r="CE43" s="1121" t="str">
        <f ca="1">IF(SUM(BR43,BZ43,CD43)&lt;&gt;0,"V","")</f>
        <v/>
      </c>
      <c r="CF43" s="197"/>
      <c r="CG43" s="379" t="str">
        <f ca="1">IFERROR($X43/CH43-1,"")</f>
        <v/>
      </c>
      <c r="CH43" s="1119"/>
      <c r="CI43" s="381">
        <f ca="1">CF43*$X43</f>
        <v>0</v>
      </c>
      <c r="CJ43" s="381">
        <f ca="1">CI43*$Z43</f>
        <v>0</v>
      </c>
      <c r="CK43" s="382">
        <f ca="1">IFERROR(CJ43/CF$4,0)</f>
        <v>0</v>
      </c>
      <c r="CL43" s="202">
        <f ca="1">CM43/$X43</f>
        <v>0</v>
      </c>
      <c r="CM43" s="383">
        <f ca="1">CN43/$Z43</f>
        <v>0</v>
      </c>
      <c r="CN43" s="383">
        <f ca="1">CO43*CF$4</f>
        <v>0</v>
      </c>
      <c r="CO43" s="204">
        <f ca="1">$O43-CK43</f>
        <v>0</v>
      </c>
      <c r="CP43" s="205"/>
      <c r="CQ43" s="384">
        <f ca="1">CP43*$X43</f>
        <v>0</v>
      </c>
      <c r="CR43" s="384">
        <f ca="1">CQ43*$Z43</f>
        <v>0</v>
      </c>
      <c r="CS43" s="207">
        <f ca="1">IFERROR(CR43/CF$4,0)</f>
        <v>0</v>
      </c>
      <c r="CT43" s="374">
        <f>CF43+CP43</f>
        <v>0</v>
      </c>
      <c r="CU43" s="374">
        <f ca="1">CI43+IF($T43="",CQ43)</f>
        <v>0</v>
      </c>
      <c r="CV43" s="374">
        <f ca="1">CU43*$Z43</f>
        <v>0</v>
      </c>
      <c r="CW43" s="886">
        <f ca="1">IFERROR(CV43/CF$4,0)</f>
        <v>0</v>
      </c>
      <c r="CX43" s="1121" t="str">
        <f ca="1">IF(SUM(CK43,CS43,CW43)&lt;&gt;0,"V","")</f>
        <v/>
      </c>
    </row>
    <row r="44" spans="1:102" hidden="1" outlineLevel="1" x14ac:dyDescent="0.2">
      <c r="A44" s="367"/>
      <c r="B44" s="367"/>
      <c r="C44" s="367" t="str">
        <f t="shared" ca="1" si="271"/>
        <v>CH1169360919:CHF</v>
      </c>
      <c r="D44" s="368" t="str">
        <f t="shared" ca="1" si="271"/>
        <v>CH1169360919</v>
      </c>
      <c r="E44" s="369" t="str">
        <f t="shared" ca="1" si="271"/>
        <v>116936091</v>
      </c>
      <c r="F44" s="367" t="s">
        <v>4411</v>
      </c>
      <c r="G44" s="414"/>
      <c r="H44" s="1683" t="str">
        <f t="shared" ca="1" si="272"/>
        <v></v>
      </c>
      <c r="I44" s="1683" t="str">
        <f ca="1">HYPERLINK(OFFSET(Origine,MATCH($F44,Descrizioni,0),MATCH(I$16,Intestazioni,0)-1,1,1),"i")</f>
        <v>i</v>
      </c>
      <c r="J44" s="1713" t="str">
        <f t="shared" ca="1" si="273"/>
        <v></v>
      </c>
      <c r="K44" s="1714" t="str">
        <f t="shared" ca="1" si="273"/>
        <v></v>
      </c>
      <c r="L44" s="1715" t="str">
        <f ca="1">IFERROR(HYPERLINK("https://www.marketscreener.com/mods_a/charts/TV/inc_dyna_graph.php?c="&amp;OFFSET(Origine,MATCH($F44,Descrizioni,0),MATCH(L$16,Intestazioni,0)-1,1,1)&amp;"&amp;style=TradingView.CANDLES&amp;showAT=1",""),"")</f>
        <v></v>
      </c>
      <c r="M44" s="1786" t="str">
        <f ca="1">(OFFSET(Origine,MATCH($F44,Descrizioni,0),MATCH(M$16,Intestazioni,0)-1,1,1))</f>
        <v>Unit</v>
      </c>
      <c r="N44" s="1136">
        <v>1.4999999999999999E-2</v>
      </c>
      <c r="O44" s="1136"/>
      <c r="P44" s="418">
        <f ca="1">SUMIF($AA$16:$CD$16,"I_Ctrlv",$AA44:$CD44)/$Q$2</f>
        <v>0</v>
      </c>
      <c r="Q44" s="374">
        <f>SUMIF($AA$16:$CW$16,"I_Pos",$AA44:$CW44)</f>
        <v>0</v>
      </c>
      <c r="R44" s="374">
        <f ca="1">SUMIF($AA$16:$CW$16,"P_Pos",$AA44:$CW44)</f>
        <v>476.39098553514191</v>
      </c>
      <c r="S44" s="883"/>
      <c r="T44" s="883"/>
      <c r="U44" s="375">
        <f ca="1">OFFSET(Origine,MATCH($C44,smo_ids,0),MATCH(U$16,Intestazioni,0)-1,1,1)</f>
        <v>-2.66030013642564E-2</v>
      </c>
      <c r="V44" s="374">
        <f>SUMIF($AA$16:$CW$16,"O_Pos",$AA44:$CW44)</f>
        <v>0</v>
      </c>
      <c r="W44" s="367" t="str">
        <f ca="1">OFFSET(Origine,MATCH($F44,Descrizioni,0),MATCH(W$16,Intestazioni,0)-1,1,1)</f>
        <v>CHF</v>
      </c>
      <c r="X44" s="1137">
        <f t="shared" ca="1" si="274"/>
        <v>71.349999999999994</v>
      </c>
      <c r="Y44" s="1138">
        <f t="shared" ca="1" si="274"/>
        <v>1.751927E-2</v>
      </c>
      <c r="Z44" s="1139">
        <f ca="1">_xlfn.NUMBERVALUE(OFFSET(Origine,MATCH(W44&amp;"/"&amp;MRif,LUKB_Name,0),MATCH("Price",Intestazioni,0)-1,1,1))</f>
        <v>1.10173835</v>
      </c>
      <c r="AA44" s="197"/>
      <c r="AB44" s="379" t="str">
        <f ca="1">IFERROR($X44/AC44-1,"")</f>
        <v/>
      </c>
      <c r="AC44" s="1119"/>
      <c r="AD44" s="381">
        <f ca="1">AA44*$X44</f>
        <v>0</v>
      </c>
      <c r="AE44" s="381">
        <f ca="1">AD44*$Z44</f>
        <v>0</v>
      </c>
      <c r="AF44" s="382">
        <f ca="1">IFERROR(AE44/AA$4,0)</f>
        <v>0</v>
      </c>
      <c r="AG44" s="202">
        <f ca="1">AH44/$X44</f>
        <v>134.15675401376083</v>
      </c>
      <c r="AH44" s="383">
        <f ca="1">AI44/$Z44</f>
        <v>9572.0843988818342</v>
      </c>
      <c r="AI44" s="383">
        <f ca="1">AJ44*AA$4</f>
        <v>10545.932471684813</v>
      </c>
      <c r="AJ44" s="204">
        <f ca="1">$N44-AF44</f>
        <v>1.4999999999999999E-2</v>
      </c>
      <c r="AK44" s="205"/>
      <c r="AL44" s="384">
        <f ca="1">AK44*$X44</f>
        <v>0</v>
      </c>
      <c r="AM44" s="384">
        <f ca="1">AL44*$Z44</f>
        <v>0</v>
      </c>
      <c r="AN44" s="207">
        <f ca="1">IFERROR(AM44/AA$4,0)</f>
        <v>0</v>
      </c>
      <c r="AO44" s="374">
        <f>AA44+AK44</f>
        <v>0</v>
      </c>
      <c r="AP44" s="374">
        <f ca="1">AD44+IF($T44="",AL44)</f>
        <v>0</v>
      </c>
      <c r="AQ44" s="374">
        <f ca="1">AP44*$Z44</f>
        <v>0</v>
      </c>
      <c r="AR44" s="886">
        <f ca="1">IFERROR(AQ44/AA$4,0)</f>
        <v>0</v>
      </c>
      <c r="AS44" s="1121" t="str">
        <f ca="1">IF(SUM(AF44,AN44,AR44)&lt;&gt;0,"V","")</f>
        <v/>
      </c>
      <c r="AT44" s="197"/>
      <c r="AU44" s="379" t="str">
        <f ca="1">IFERROR($X44/AV44-1,"")</f>
        <v/>
      </c>
      <c r="AV44" s="1119"/>
      <c r="AW44" s="381">
        <f ca="1">AT44*$X44</f>
        <v>0</v>
      </c>
      <c r="AX44" s="381">
        <f ca="1">AW44*$Z44</f>
        <v>0</v>
      </c>
      <c r="AY44" s="382">
        <f ca="1">IFERROR(AX44/AT$4,0)</f>
        <v>0</v>
      </c>
      <c r="AZ44" s="202">
        <f ca="1">BA44/$X44</f>
        <v>221.58474922316455</v>
      </c>
      <c r="BA44" s="383">
        <f ca="1">BB44/$Z44</f>
        <v>15810.071857072789</v>
      </c>
      <c r="BB44" s="383">
        <f ca="1">BC44*AT$4</f>
        <v>17418.56248119281</v>
      </c>
      <c r="BC44" s="204">
        <f ca="1">$N44-AY44</f>
        <v>1.4999999999999999E-2</v>
      </c>
      <c r="BD44" s="205"/>
      <c r="BE44" s="384">
        <f ca="1">BD44*$X44</f>
        <v>0</v>
      </c>
      <c r="BF44" s="384">
        <f ca="1">BE44*$Z44</f>
        <v>0</v>
      </c>
      <c r="BG44" s="207">
        <f ca="1">IFERROR(BF44/AT$4,0)</f>
        <v>0</v>
      </c>
      <c r="BH44" s="374">
        <f>AT44+BD44</f>
        <v>0</v>
      </c>
      <c r="BI44" s="374">
        <f ca="1">AW44+IF($T44="",BE44)</f>
        <v>0</v>
      </c>
      <c r="BJ44" s="374">
        <f ca="1">BI44*$Z44</f>
        <v>0</v>
      </c>
      <c r="BK44" s="886">
        <f ca="1">IFERROR(BJ44/AT$4,0)</f>
        <v>0</v>
      </c>
      <c r="BL44" s="1121" t="str">
        <f ca="1">IF(SUM(AY44,BG44,BK44)&lt;&gt;0,"V","")</f>
        <v/>
      </c>
      <c r="BM44" s="197"/>
      <c r="BN44" s="379" t="str">
        <f ca="1">IFERROR($X44/BO44-1,"")</f>
        <v/>
      </c>
      <c r="BO44" s="1119"/>
      <c r="BP44" s="381">
        <f ca="1">BM44*$X44</f>
        <v>0</v>
      </c>
      <c r="BQ44" s="381">
        <f ca="1">BP44*$Z44</f>
        <v>0</v>
      </c>
      <c r="BR44" s="382">
        <f ca="1">IFERROR(BQ44/BM$4,0)</f>
        <v>0</v>
      </c>
      <c r="BS44" s="202">
        <f ca="1">BT44/$X44</f>
        <v>120.64948229821654</v>
      </c>
      <c r="BT44" s="383">
        <f ca="1">BU44/$Z44</f>
        <v>8608.3405619777495</v>
      </c>
      <c r="BU44" s="383">
        <f ca="1">BV44*BM$4</f>
        <v>9484.138926991438</v>
      </c>
      <c r="BV44" s="204">
        <f ca="1">$N44-BR44</f>
        <v>1.4999999999999999E-2</v>
      </c>
      <c r="BW44" s="205"/>
      <c r="BX44" s="384">
        <f ca="1">BW44*$X44</f>
        <v>0</v>
      </c>
      <c r="BY44" s="384">
        <f ca="1">BX44*$Z44</f>
        <v>0</v>
      </c>
      <c r="BZ44" s="207">
        <f ca="1">IFERROR(BY44/BM$4,0)</f>
        <v>0</v>
      </c>
      <c r="CA44" s="374">
        <f>BM44+BW44</f>
        <v>0</v>
      </c>
      <c r="CB44" s="374">
        <f ca="1">BP44+IF($T44="",BX44)</f>
        <v>0</v>
      </c>
      <c r="CC44" s="374">
        <f ca="1">CB44*$Z44</f>
        <v>0</v>
      </c>
      <c r="CD44" s="886">
        <f ca="1">IFERROR(CC44/BM$4,0)</f>
        <v>0</v>
      </c>
      <c r="CE44" s="1121" t="str">
        <f ca="1">IF(SUM(BR44,BZ44,CD44)&lt;&gt;0,"V","")</f>
        <v/>
      </c>
      <c r="CF44" s="197"/>
      <c r="CG44" s="379" t="str">
        <f ca="1">IFERROR($X44/CH44-1,"")</f>
        <v/>
      </c>
      <c r="CH44" s="1119"/>
      <c r="CI44" s="381">
        <f ca="1">CF44*$X44</f>
        <v>0</v>
      </c>
      <c r="CJ44" s="381">
        <f ca="1">CI44*$Z44</f>
        <v>0</v>
      </c>
      <c r="CK44" s="382">
        <f ca="1">IFERROR(CJ44/CF$4,0)</f>
        <v>0</v>
      </c>
      <c r="CL44" s="202">
        <f ca="1">CM44/$X44</f>
        <v>0</v>
      </c>
      <c r="CM44" s="383">
        <f ca="1">CN44/$Z44</f>
        <v>0</v>
      </c>
      <c r="CN44" s="383">
        <f ca="1">CO44*CF$4</f>
        <v>0</v>
      </c>
      <c r="CO44" s="204">
        <f ca="1">$O44-CK44</f>
        <v>0</v>
      </c>
      <c r="CP44" s="205"/>
      <c r="CQ44" s="384">
        <f ca="1">CP44*$X44</f>
        <v>0</v>
      </c>
      <c r="CR44" s="384">
        <f ca="1">CQ44*$Z44</f>
        <v>0</v>
      </c>
      <c r="CS44" s="207">
        <f ca="1">IFERROR(CR44/CF$4,0)</f>
        <v>0</v>
      </c>
      <c r="CT44" s="374">
        <f>CF44+CP44</f>
        <v>0</v>
      </c>
      <c r="CU44" s="374">
        <f ca="1">CI44+IF($T44="",CQ44)</f>
        <v>0</v>
      </c>
      <c r="CV44" s="374">
        <f ca="1">CU44*$Z44</f>
        <v>0</v>
      </c>
      <c r="CW44" s="886">
        <f ca="1">IFERROR(CV44/CF$4,0)</f>
        <v>0</v>
      </c>
      <c r="CX44" s="1121" t="str">
        <f ca="1">IF(SUM(CK44,CS44,CW44)&lt;&gt;0,"V","")</f>
        <v/>
      </c>
    </row>
    <row r="45" spans="1:102" hidden="1" outlineLevel="1" x14ac:dyDescent="0.2">
      <c r="A45" s="367"/>
      <c r="B45" s="367"/>
      <c r="C45" s="367" t="str">
        <f t="shared" ca="1" si="271"/>
        <v>CH0012032048:CHF</v>
      </c>
      <c r="D45" s="368" t="str">
        <f t="shared" ca="1" si="271"/>
        <v>CH0012032048</v>
      </c>
      <c r="E45" s="369" t="str">
        <f t="shared" ca="1" si="271"/>
        <v>1203204</v>
      </c>
      <c r="F45" s="367" t="s">
        <v>525</v>
      </c>
      <c r="G45" s="414"/>
      <c r="H45" s="1683" t="str">
        <f t="shared" ca="1" si="272"/>
        <v></v>
      </c>
      <c r="I45" s="1683" t="str">
        <f ca="1">HYPERLINK(OFFSET(Origine,MATCH($F45,Descrizioni,0),MATCH(I$16,Intestazioni,0)-1,1,1),"i")</f>
        <v>i</v>
      </c>
      <c r="J45" s="1713" t="str">
        <f t="shared" ca="1" si="273"/>
        <v></v>
      </c>
      <c r="K45" s="1714" t="str">
        <f t="shared" ca="1" si="273"/>
        <v></v>
      </c>
      <c r="L45" s="1715" t="str">
        <f ca="1">IFERROR(HYPERLINK("https://www.marketscreener.com/mods_a/charts/TV/inc_dyna_graph.php?c="&amp;OFFSET(Origine,MATCH($F45,Descrizioni,0),MATCH(L$16,Intestazioni,0)-1,1,1)&amp;"&amp;style=TradingView.CANDLES&amp;showAT=1",""),"")</f>
        <v></v>
      </c>
      <c r="M45" s="1786" t="str">
        <f ca="1">(OFFSET(Origine,MATCH($F45,Descrizioni,0),MATCH(M$16,Intestazioni,0)-1,1,1))</f>
        <v>Unit</v>
      </c>
      <c r="N45" s="1136">
        <v>2.5000000000000001E-2</v>
      </c>
      <c r="O45" s="1136"/>
      <c r="P45" s="418">
        <f ca="1">SUMIF($AA$16:$CD$16,"I_Ctrlv",$AA45:$CD45)/$Q$2</f>
        <v>2.6662452298192911E-2</v>
      </c>
      <c r="Q45" s="374">
        <f>SUMIF($AA$16:$CW$16,"I_Pos",$AA45:$CW45)</f>
        <v>170</v>
      </c>
      <c r="R45" s="374">
        <f ca="1">SUMIF($AA$16:$CW$16,"P_Pos",$AA45:$CW45)</f>
        <v>-10.599808582196687</v>
      </c>
      <c r="S45" s="883"/>
      <c r="T45" s="883"/>
      <c r="U45" s="375">
        <f ca="1">OFFSET(Origine,MATCH($C45,smo_ids,0),MATCH(U$16,Intestazioni,0)-1,1,1)</f>
        <v>-2.0666850372003397E-2</v>
      </c>
      <c r="V45" s="374">
        <f>SUMIF($AA$16:$CW$16,"O_Pos",$AA45:$CW45)</f>
        <v>0</v>
      </c>
      <c r="W45" s="367" t="str">
        <f ca="1">OFFSET(Origine,MATCH($F45,Descrizioni,0),MATCH(W$16,Intestazioni,0)-1,1,1)</f>
        <v>CHF</v>
      </c>
      <c r="X45" s="1137">
        <f t="shared" ca="1" si="274"/>
        <v>355.4</v>
      </c>
      <c r="Y45" s="1138">
        <f t="shared" ca="1" si="274"/>
        <v>2.7574560000000001E-2</v>
      </c>
      <c r="Z45" s="1139">
        <f ca="1">_xlfn.NUMBERVALUE(OFFSET(Origine,MATCH(W45&amp;"/"&amp;MRif,LUKB_Name,0),MATCH("Price",Intestazioni,0)-1,1,1))</f>
        <v>1.10173835</v>
      </c>
      <c r="AA45" s="197">
        <f>45</f>
        <v>45</v>
      </c>
      <c r="AB45" s="379">
        <f ca="1">IFERROR($X45/AC45-1,"")</f>
        <v>0.45032277231197515</v>
      </c>
      <c r="AC45" s="1119">
        <v>245.0489</v>
      </c>
      <c r="AD45" s="381">
        <f ca="1">AA45*$X45</f>
        <v>15992.999999999998</v>
      </c>
      <c r="AE45" s="381">
        <f ca="1">AD45*$Z45</f>
        <v>17620.101431549996</v>
      </c>
      <c r="AF45" s="382">
        <f ca="1">IFERROR(AE45/AA$4,0)</f>
        <v>2.5061939490214208E-2</v>
      </c>
      <c r="AG45" s="202">
        <f ca="1">AH45/$X45</f>
        <v>-0.11121553703884819</v>
      </c>
      <c r="AH45" s="383">
        <f ca="1">AI45/$Z45</f>
        <v>-39.526001863606645</v>
      </c>
      <c r="AI45" s="383">
        <f ca="1">AJ45*AA$4</f>
        <v>-43.547312075306913</v>
      </c>
      <c r="AJ45" s="204">
        <f ca="1">$N45-AF45</f>
        <v>-6.1939490214206472E-5</v>
      </c>
      <c r="AK45" s="205"/>
      <c r="AL45" s="384">
        <f ca="1">AK45*$X45</f>
        <v>0</v>
      </c>
      <c r="AM45" s="384">
        <f ca="1">AL45*$Z45</f>
        <v>0</v>
      </c>
      <c r="AN45" s="207">
        <f ca="1">IFERROR(AM45/AA$4,0)</f>
        <v>0</v>
      </c>
      <c r="AO45" s="374">
        <f>AA45+AK45</f>
        <v>45</v>
      </c>
      <c r="AP45" s="374">
        <f ca="1">AD45+IF($T45="",AL45)</f>
        <v>15992.999999999998</v>
      </c>
      <c r="AQ45" s="374">
        <f ca="1">AP45*$Z45</f>
        <v>17620.101431549996</v>
      </c>
      <c r="AR45" s="886">
        <f ca="1">IFERROR(AQ45/AA$4,0)</f>
        <v>2.5061939490214208E-2</v>
      </c>
      <c r="AS45" s="1121" t="str">
        <f ca="1">IF(SUM(AF45,AN45,AR45)&lt;&gt;0,"V","")</f>
        <v>V</v>
      </c>
      <c r="AT45" s="197">
        <f>80</f>
        <v>80</v>
      </c>
      <c r="AU45" s="379">
        <f ca="1">IFERROR($X45/AV45-1,"")</f>
        <v>0.4503233641625668</v>
      </c>
      <c r="AV45" s="1119">
        <v>245.0488</v>
      </c>
      <c r="AW45" s="381">
        <f ca="1">AT45*$X45</f>
        <v>28432</v>
      </c>
      <c r="AX45" s="381">
        <f ca="1">AW45*$Z45</f>
        <v>31324.624767199999</v>
      </c>
      <c r="AY45" s="382">
        <f ca="1">IFERROR(AX45/AT$4,0)</f>
        <v>2.6975209464921567E-2</v>
      </c>
      <c r="AZ45" s="202">
        <f ca="1">BA45/$X45</f>
        <v>-5.8578509797749456</v>
      </c>
      <c r="BA45" s="383">
        <f ca="1">BB45/$Z45</f>
        <v>-2081.8802382120157</v>
      </c>
      <c r="BB45" s="383">
        <f ca="1">BC45*AT$4</f>
        <v>-2293.6872985453133</v>
      </c>
      <c r="BC45" s="204">
        <f ca="1">$N45-AY45</f>
        <v>-1.9752094649215651E-3</v>
      </c>
      <c r="BD45" s="205"/>
      <c r="BE45" s="384">
        <f ca="1">BD45*$X45</f>
        <v>0</v>
      </c>
      <c r="BF45" s="384">
        <f ca="1">BE45*$Z45</f>
        <v>0</v>
      </c>
      <c r="BG45" s="207">
        <f ca="1">IFERROR(BF45/AT$4,0)</f>
        <v>0</v>
      </c>
      <c r="BH45" s="374">
        <f>AT45+BD45</f>
        <v>80</v>
      </c>
      <c r="BI45" s="374">
        <f ca="1">AW45+IF($T45="",BE45)</f>
        <v>28432</v>
      </c>
      <c r="BJ45" s="374">
        <f ca="1">BI45*$Z45</f>
        <v>31324.624767199999</v>
      </c>
      <c r="BK45" s="886">
        <f ca="1">IFERROR(BJ45/AT$4,0)</f>
        <v>2.6975209464921567E-2</v>
      </c>
      <c r="BL45" s="1121" t="str">
        <f ca="1">IF(SUM(AY45,BG45,BK45)&lt;&gt;0,"V","")</f>
        <v>V</v>
      </c>
      <c r="BM45" s="197">
        <f>45</f>
        <v>45</v>
      </c>
      <c r="BN45" s="379">
        <f ca="1">IFERROR($X45/BO45-1,"")</f>
        <v>0.45141378075320771</v>
      </c>
      <c r="BO45" s="1119">
        <v>244.8647</v>
      </c>
      <c r="BP45" s="381">
        <f ca="1">BM45*$X45</f>
        <v>15992.999999999998</v>
      </c>
      <c r="BQ45" s="381">
        <f ca="1">BP45*$Z45</f>
        <v>17620.101431549996</v>
      </c>
      <c r="BR45" s="382">
        <f ca="1">IFERROR(BQ45/BM$4,0)</f>
        <v>2.7867740393496297E-2</v>
      </c>
      <c r="BS45" s="202">
        <f ca="1">BT45/$X45</f>
        <v>-4.6307420653828917</v>
      </c>
      <c r="BT45" s="383">
        <f ca="1">BU45/$Z45</f>
        <v>-1645.7657300370795</v>
      </c>
      <c r="BU45" s="383">
        <f ca="1">BV45*BM$4</f>
        <v>-1813.2032198975974</v>
      </c>
      <c r="BV45" s="204">
        <f ca="1">$N45-BR45</f>
        <v>-2.8677403934962951E-3</v>
      </c>
      <c r="BW45" s="205"/>
      <c r="BX45" s="384">
        <f ca="1">BW45*$X45</f>
        <v>0</v>
      </c>
      <c r="BY45" s="384">
        <f ca="1">BX45*$Z45</f>
        <v>0</v>
      </c>
      <c r="BZ45" s="207">
        <f ca="1">IFERROR(BY45/BM$4,0)</f>
        <v>0</v>
      </c>
      <c r="CA45" s="374">
        <f>BM45+BW45</f>
        <v>45</v>
      </c>
      <c r="CB45" s="374">
        <f ca="1">BP45+IF($T45="",BX45)</f>
        <v>15992.999999999998</v>
      </c>
      <c r="CC45" s="374">
        <f ca="1">CB45*$Z45</f>
        <v>17620.101431549996</v>
      </c>
      <c r="CD45" s="886">
        <f ca="1">IFERROR(CC45/BM$4,0)</f>
        <v>2.7867740393496297E-2</v>
      </c>
      <c r="CE45" s="1121" t="str">
        <f ca="1">IF(SUM(BR45,BZ45,CD45)&lt;&gt;0,"V","")</f>
        <v>V</v>
      </c>
      <c r="CF45" s="197"/>
      <c r="CG45" s="379" t="str">
        <f ca="1">IFERROR($X45/CH45-1,"")</f>
        <v/>
      </c>
      <c r="CH45" s="1119"/>
      <c r="CI45" s="381">
        <f ca="1">CF45*$X45</f>
        <v>0</v>
      </c>
      <c r="CJ45" s="381">
        <f ca="1">CI45*$Z45</f>
        <v>0</v>
      </c>
      <c r="CK45" s="382">
        <f ca="1">IFERROR(CJ45/CF$4,0)</f>
        <v>0</v>
      </c>
      <c r="CL45" s="202">
        <f ca="1">CM45/$X45</f>
        <v>0</v>
      </c>
      <c r="CM45" s="383">
        <f ca="1">CN45/$Z45</f>
        <v>0</v>
      </c>
      <c r="CN45" s="383">
        <f ca="1">CO45*CF$4</f>
        <v>0</v>
      </c>
      <c r="CO45" s="204">
        <f ca="1">$O45-CK45</f>
        <v>0</v>
      </c>
      <c r="CP45" s="205"/>
      <c r="CQ45" s="384">
        <f ca="1">CP45*$X45</f>
        <v>0</v>
      </c>
      <c r="CR45" s="384">
        <f ca="1">CQ45*$Z45</f>
        <v>0</v>
      </c>
      <c r="CS45" s="207">
        <f ca="1">IFERROR(CR45/CF$4,0)</f>
        <v>0</v>
      </c>
      <c r="CT45" s="374">
        <f>CF45+CP45</f>
        <v>0</v>
      </c>
      <c r="CU45" s="374">
        <f ca="1">CI45+IF($T45="",CQ45)</f>
        <v>0</v>
      </c>
      <c r="CV45" s="374">
        <f ca="1">CU45*$Z45</f>
        <v>0</v>
      </c>
      <c r="CW45" s="886">
        <f ca="1">IFERROR(CV45/CF$4,0)</f>
        <v>0</v>
      </c>
      <c r="CX45" s="1121" t="str">
        <f ca="1">IF(SUM(CK45,CS45,CW45)&lt;&gt;0,"V","")</f>
        <v/>
      </c>
    </row>
    <row r="46" spans="1:102" hidden="1" outlineLevel="1" x14ac:dyDescent="0.2">
      <c r="A46" s="367"/>
      <c r="B46" s="367"/>
      <c r="C46" s="367" t="str">
        <f t="shared" ref="C46:C48" ca="1" si="275">OFFSET(Origine,MATCH($F46,Descrizioni,0),MATCH(C$16,Intestazioni,0)-1,1,1)</f>
        <v>CH0017142719:CHF</v>
      </c>
      <c r="D46" s="368" t="str">
        <f t="shared" ref="D46:E48" ca="1" si="276">OFFSET(Origine,MATCH($F46,Descrizioni,0),MATCH(D$16,Intestazioni,0)-1,1,1)</f>
        <v>CH0017142719</v>
      </c>
      <c r="E46" s="369" t="str">
        <f t="shared" ca="1" si="276"/>
        <v>1714271</v>
      </c>
      <c r="F46" s="367" t="s">
        <v>406</v>
      </c>
      <c r="G46" s="414"/>
      <c r="H46" s="1683" t="str">
        <f t="shared" ca="1" si="272"/>
        <v></v>
      </c>
      <c r="I46" s="1683" t="str">
        <f t="shared" ref="I46:I48" ca="1" si="277">HYPERLINK(OFFSET(Origine,MATCH($F46,Descrizioni,0),MATCH(I$16,Intestazioni,0)-1,1,1),"i")</f>
        <v>i</v>
      </c>
      <c r="J46" s="1713" t="str">
        <f t="shared" ref="J46:K48" ca="1" si="278">HYPERLINK(OFFSET(Origine,MATCH($F46,Descrizioni,0),MATCH(J$16,Intestazioni,0)-1,1,1),"")</f>
        <v></v>
      </c>
      <c r="K46" s="1716" t="str">
        <f t="shared" ca="1" si="278"/>
        <v></v>
      </c>
      <c r="L46" s="1717" t="str">
        <f t="shared" ref="L46:L48" ca="1" si="279">IFERROR(HYPERLINK("https://www.marketscreener.com/mods_a/charts/TV/inc_dyna_graph.php?c="&amp;OFFSET(Origine,MATCH($F46,Descrizioni,0),MATCH(L$16,Intestazioni,0)-1,1,1)&amp;"&amp;style=TradingView.CANDLES&amp;showAT=1",""),"")</f>
        <v></v>
      </c>
      <c r="M46" s="1786" t="str">
        <f t="shared" ref="M46:M48" ca="1" si="280">(OFFSET(Origine,MATCH($F46,Descrizioni,0),MATCH(M$16,Intestazioni,0)-1,1,1))</f>
        <v>Unit</v>
      </c>
      <c r="N46" s="1136">
        <v>0.02</v>
      </c>
      <c r="O46" s="1136"/>
      <c r="P46" s="418">
        <f t="shared" ca="1" si="1"/>
        <v>0</v>
      </c>
      <c r="Q46" s="391">
        <f t="shared" ref="Q46:Q48" si="281">SUMIF($AA$16:$CW$16,"I_Pos",$AA46:$CW46)</f>
        <v>0</v>
      </c>
      <c r="R46" s="391">
        <f t="shared" ref="R46:R48" ca="1" si="282">SUMIF($AA$16:$CW$16,"P_Pos",$AA46:$CW46)</f>
        <v>331.97086451735885</v>
      </c>
      <c r="S46" s="883"/>
      <c r="T46" s="883"/>
      <c r="U46" s="375">
        <f t="shared" ref="U46:U48" ca="1" si="283">OFFSET(Origine,MATCH($C46,smo_ids,0),MATCH(U$16,Intestazioni,0)-1,1,1)</f>
        <v>-3.0810734062189499E-2</v>
      </c>
      <c r="V46" s="391">
        <f t="shared" ref="V46:V48" si="284">SUMIF($AA$16:$CW$16,"O_Pos",$AA46:$CW46)</f>
        <v>0</v>
      </c>
      <c r="W46" s="367" t="str">
        <f t="shared" ref="W46:W48" ca="1" si="285">OFFSET(Origine,MATCH($F46,Descrizioni,0),MATCH(W$16,Intestazioni,0)-1,1,1)</f>
        <v>CHF</v>
      </c>
      <c r="X46" s="884">
        <f t="shared" ref="X46" ca="1" si="286">_xlfn.NUMBERVALUE(OFFSET(Origine,MATCH($F46,Descrizioni,0),MATCH(X$16,Intestazioni,0)-1,1,1))</f>
        <v>136.52000000000001</v>
      </c>
      <c r="Y46" s="1041">
        <f t="shared" ref="X46:Y48" ca="1" si="287">_xlfn.NUMBERVALUE(OFFSET(Origine,MATCH($F46,Descrizioni,0),MATCH(Y$16,Intestazioni,0)-1,1,1))</f>
        <v>0</v>
      </c>
      <c r="Z46" s="1042">
        <f t="shared" ref="Z46:Z48" ca="1" si="288">_xlfn.NUMBERVALUE(OFFSET(Origine,MATCH(W46&amp;"/"&amp;MRif,LUKB_Name,0),MATCH("Price",Intestazioni,0)-1,1,1))</f>
        <v>1.10173835</v>
      </c>
      <c r="AA46" s="197">
        <f>145+-145</f>
        <v>0</v>
      </c>
      <c r="AB46" s="312" t="str">
        <f t="shared" ref="AB46:AB48" ca="1" si="289">IFERROR($X46/AC46-1,"")</f>
        <v/>
      </c>
      <c r="AC46" s="411"/>
      <c r="AD46" s="199">
        <f t="shared" ref="AD46:AD48" ca="1" si="290">AA46*$X46</f>
        <v>0</v>
      </c>
      <c r="AE46" s="199">
        <f t="shared" ref="AE46:AE48" ca="1" si="291">AD46*$Z46</f>
        <v>0</v>
      </c>
      <c r="AF46" s="216">
        <f t="shared" ref="AF46:AF110" ca="1" si="292">IFERROR(AE46/AA$4,0)</f>
        <v>0</v>
      </c>
      <c r="AG46" s="202">
        <f t="shared" ref="AG46:AG48" ca="1" si="293">AH46/$X46</f>
        <v>93.486516250432985</v>
      </c>
      <c r="AH46" s="203">
        <f t="shared" ref="AH46:AH48" ca="1" si="294">AI46/$Z46</f>
        <v>12762.779198509112</v>
      </c>
      <c r="AI46" s="203">
        <f t="shared" ref="AI46:AI48" ca="1" si="295">AJ46*AA$4</f>
        <v>14061.24329557975</v>
      </c>
      <c r="AJ46" s="204">
        <f t="shared" ref="AJ46:AJ48" ca="1" si="296">$N46-AF46</f>
        <v>0.02</v>
      </c>
      <c r="AK46" s="205"/>
      <c r="AL46" s="206">
        <f t="shared" ref="AL46:AL48" ca="1" si="297">AK46*$X46</f>
        <v>0</v>
      </c>
      <c r="AM46" s="206">
        <f t="shared" ref="AM46:AM48" ca="1" si="298">AL46*$Z46</f>
        <v>0</v>
      </c>
      <c r="AN46" s="207">
        <f t="shared" ref="AN46:AN110" ca="1" si="299">IFERROR(AM46/AA$4,0)</f>
        <v>0</v>
      </c>
      <c r="AO46" s="391">
        <f t="shared" ref="AO46:AO48" si="300">AA46+AK46</f>
        <v>0</v>
      </c>
      <c r="AP46" s="391">
        <f t="shared" ref="AP46" ca="1" si="301">AD46+IF($T46="",AL46)</f>
        <v>0</v>
      </c>
      <c r="AQ46" s="391">
        <f t="shared" ref="AQ46:AQ48" ca="1" si="302">AP46*$Z46</f>
        <v>0</v>
      </c>
      <c r="AR46" s="886">
        <f t="shared" ref="AR46:AR47" ca="1" si="303">IFERROR(AQ46/AA$4,0)</f>
        <v>0</v>
      </c>
      <c r="AS46" s="1007" t="str">
        <f t="shared" ca="1" si="15"/>
        <v/>
      </c>
      <c r="AT46" s="197">
        <f>260+-260</f>
        <v>0</v>
      </c>
      <c r="AU46" s="312" t="str">
        <f t="shared" ref="AU46:AU48" ca="1" si="304">IFERROR($X46/AV46-1,"")</f>
        <v/>
      </c>
      <c r="AV46" s="411"/>
      <c r="AW46" s="199">
        <f t="shared" ref="AW46:AW48" ca="1" si="305">AT46*$X46</f>
        <v>0</v>
      </c>
      <c r="AX46" s="199">
        <f t="shared" ref="AX46:AX48" ca="1" si="306">AW46*$Z46</f>
        <v>0</v>
      </c>
      <c r="AY46" s="216">
        <f t="shared" ref="AY46:AY110" ca="1" si="307">IFERROR(AX46/AT$4,0)</f>
        <v>0</v>
      </c>
      <c r="AZ46" s="202">
        <f t="shared" ref="AZ46:AZ48" ca="1" si="308">BA46/$X46</f>
        <v>154.41031211126858</v>
      </c>
      <c r="BA46" s="203">
        <f t="shared" ref="BA46:BA48" ca="1" si="309">BB46/$Z46</f>
        <v>21080.09580943039</v>
      </c>
      <c r="BB46" s="203">
        <f t="shared" ref="BB46:BB48" ca="1" si="310">BC46*AT$4</f>
        <v>23224.74997492375</v>
      </c>
      <c r="BC46" s="204">
        <f t="shared" ref="BC46:BC48" ca="1" si="311">$N46-AY46</f>
        <v>0.02</v>
      </c>
      <c r="BD46" s="205"/>
      <c r="BE46" s="206">
        <f t="shared" ref="BE46:BE48" ca="1" si="312">BD46*$X46</f>
        <v>0</v>
      </c>
      <c r="BF46" s="206">
        <f t="shared" ref="BF46:BF48" ca="1" si="313">BE46*$Z46</f>
        <v>0</v>
      </c>
      <c r="BG46" s="207">
        <f t="shared" ref="BG46:BG110" ca="1" si="314">IFERROR(BF46/AT$4,0)</f>
        <v>0</v>
      </c>
      <c r="BH46" s="391">
        <f t="shared" ref="BH46:BH48" si="315">AT46+BD46</f>
        <v>0</v>
      </c>
      <c r="BI46" s="391">
        <f t="shared" ref="BI46" ca="1" si="316">AW46+IF($T46="",BE46)</f>
        <v>0</v>
      </c>
      <c r="BJ46" s="391">
        <f t="shared" ref="BJ46:BJ48" ca="1" si="317">BI46*$Z46</f>
        <v>0</v>
      </c>
      <c r="BK46" s="886">
        <f t="shared" ref="BK46:BK47" ca="1" si="318">IFERROR(BJ46/AT$4,0)</f>
        <v>0</v>
      </c>
      <c r="BL46" s="1007" t="str">
        <f t="shared" ca="1" si="17"/>
        <v/>
      </c>
      <c r="BM46" s="197">
        <f>130+-130</f>
        <v>0</v>
      </c>
      <c r="BN46" s="312" t="str">
        <f t="shared" ref="BN46:BN48" ca="1" si="319">IFERROR($X46/BO46-1,"")</f>
        <v/>
      </c>
      <c r="BO46" s="411"/>
      <c r="BP46" s="199">
        <f t="shared" ref="BP46:BP48" ca="1" si="320">BM46*$X46</f>
        <v>0</v>
      </c>
      <c r="BQ46" s="199">
        <f t="shared" ref="BQ46:BQ48" ca="1" si="321">BP46*$Z46</f>
        <v>0</v>
      </c>
      <c r="BR46" s="216">
        <f t="shared" ca="1" si="6"/>
        <v>0</v>
      </c>
      <c r="BS46" s="202">
        <f t="shared" ref="BS46:BS48" ca="1" si="322">BT46/$X46</f>
        <v>84.074036155657282</v>
      </c>
      <c r="BT46" s="203">
        <f t="shared" ref="BT46:BT48" ca="1" si="323">BU46/$Z46</f>
        <v>11477.787415970333</v>
      </c>
      <c r="BU46" s="203">
        <f t="shared" ref="BU46:BU48" ca="1" si="324">BV46*BM$4</f>
        <v>12645.518569321919</v>
      </c>
      <c r="BV46" s="204">
        <f t="shared" ref="BV46:BV48" ca="1" si="325">$N46-BR46</f>
        <v>0.02</v>
      </c>
      <c r="BW46" s="205"/>
      <c r="BX46" s="206">
        <f t="shared" ref="BX46:BX48" ca="1" si="326">BW46*$X46</f>
        <v>0</v>
      </c>
      <c r="BY46" s="206">
        <f t="shared" ref="BY46:BY48" ca="1" si="327">BX46*$Z46</f>
        <v>0</v>
      </c>
      <c r="BZ46" s="207">
        <f t="shared" ca="1" si="7"/>
        <v>0</v>
      </c>
      <c r="CA46" s="391">
        <f t="shared" ref="CA46:CA48" si="328">BM46+BW46</f>
        <v>0</v>
      </c>
      <c r="CB46" s="391">
        <f t="shared" ref="CB46" ca="1" si="329">BP46+IF($T46="",BX46)</f>
        <v>0</v>
      </c>
      <c r="CC46" s="391">
        <f t="shared" ref="CC46:CC48" ca="1" si="330">CB46*$Z46</f>
        <v>0</v>
      </c>
      <c r="CD46" s="886">
        <f t="shared" ca="1" si="76"/>
        <v>0</v>
      </c>
      <c r="CE46" s="1007" t="str">
        <f t="shared" ca="1" si="19"/>
        <v/>
      </c>
      <c r="CF46" s="197">
        <f>65+55+-60+30+-90</f>
        <v>0</v>
      </c>
      <c r="CG46" s="312" t="str">
        <f t="shared" ref="CG46:CG48" ca="1" si="331">IFERROR($X46/CH46-1,"")</f>
        <v/>
      </c>
      <c r="CH46" s="411"/>
      <c r="CI46" s="199">
        <f t="shared" ref="CI46:CI48" ca="1" si="332">CF46*$X46</f>
        <v>0</v>
      </c>
      <c r="CJ46" s="199">
        <f t="shared" ref="CJ46:CJ48" ca="1" si="333">CI46*$Z46</f>
        <v>0</v>
      </c>
      <c r="CK46" s="216">
        <f t="shared" ref="CK46:CK110" ca="1" si="334">IFERROR(CJ46/CF$4,0)</f>
        <v>0</v>
      </c>
      <c r="CL46" s="202">
        <f t="shared" ref="CL46:CL48" ca="1" si="335">CM46/$X46</f>
        <v>0</v>
      </c>
      <c r="CM46" s="203">
        <f t="shared" ref="CM46:CM48" ca="1" si="336">CN46/$Z46</f>
        <v>0</v>
      </c>
      <c r="CN46" s="203">
        <f t="shared" ref="CN46:CN48" ca="1" si="337">CO46*CF$4</f>
        <v>0</v>
      </c>
      <c r="CO46" s="204">
        <f t="shared" ref="CO46:CO48" ca="1" si="338">$O46-CK46</f>
        <v>0</v>
      </c>
      <c r="CP46" s="205"/>
      <c r="CQ46" s="206">
        <f t="shared" ref="CQ46:CQ48" ca="1" si="339">CP46*$X46</f>
        <v>0</v>
      </c>
      <c r="CR46" s="206">
        <f t="shared" ref="CR46:CR48" ca="1" si="340">CQ46*$Z46</f>
        <v>0</v>
      </c>
      <c r="CS46" s="207">
        <f t="shared" ref="CS46:CS110" ca="1" si="341">IFERROR(CR46/CF$4,0)</f>
        <v>0</v>
      </c>
      <c r="CT46" s="391">
        <f t="shared" ref="CT46:CT48" si="342">CF46+CP46</f>
        <v>0</v>
      </c>
      <c r="CU46" s="391">
        <f t="shared" ref="CU46" ca="1" si="343">CI46+IF($T46="",CQ46)</f>
        <v>0</v>
      </c>
      <c r="CV46" s="391">
        <f t="shared" ref="CV46:CV48" ca="1" si="344">CU46*$Z46</f>
        <v>0</v>
      </c>
      <c r="CW46" s="886">
        <f t="shared" ref="CW46:CW110" ca="1" si="345">IFERROR(CV46/CF$4,0)</f>
        <v>0</v>
      </c>
      <c r="CX46" s="1007" t="str">
        <f t="shared" ca="1" si="21"/>
        <v/>
      </c>
    </row>
    <row r="47" spans="1:102" hidden="1" outlineLevel="1" x14ac:dyDescent="0.2">
      <c r="A47" s="367"/>
      <c r="B47" s="367"/>
      <c r="C47" s="367" t="str">
        <f t="shared" ca="1" si="275"/>
        <v>CH0131872431:CHF:P</v>
      </c>
      <c r="D47" s="368" t="str">
        <f t="shared" ca="1" si="276"/>
        <v>CH0131872431</v>
      </c>
      <c r="E47" s="369" t="str">
        <f t="shared" ca="1" si="276"/>
        <v>13187243</v>
      </c>
      <c r="F47" s="367" t="s">
        <v>593</v>
      </c>
      <c r="G47" s="414"/>
      <c r="H47" s="1683" t="str">
        <f t="shared" ca="1" si="272"/>
        <v></v>
      </c>
      <c r="I47" s="1683" t="str">
        <f t="shared" ca="1" si="277"/>
        <v>i</v>
      </c>
      <c r="J47" s="1713" t="str">
        <f t="shared" ca="1" si="278"/>
        <v></v>
      </c>
      <c r="K47" s="1716" t="str">
        <f t="shared" ca="1" si="278"/>
        <v></v>
      </c>
      <c r="L47" s="1717" t="str">
        <f t="shared" ca="1" si="279"/>
        <v></v>
      </c>
      <c r="M47" s="1786" t="str">
        <f t="shared" ca="1" si="280"/>
        <v>Unit</v>
      </c>
      <c r="N47" s="1136"/>
      <c r="O47" s="1136"/>
      <c r="P47" s="418">
        <f t="shared" ca="1" si="1"/>
        <v>0</v>
      </c>
      <c r="Q47" s="391">
        <f t="shared" si="281"/>
        <v>0</v>
      </c>
      <c r="R47" s="391">
        <f t="shared" ca="1" si="282"/>
        <v>0</v>
      </c>
      <c r="S47" s="883"/>
      <c r="T47" s="883"/>
      <c r="U47" s="375">
        <f t="shared" ca="1" si="283"/>
        <v>-2.8727148858862298E-2</v>
      </c>
      <c r="V47" s="391">
        <f t="shared" si="284"/>
        <v>0</v>
      </c>
      <c r="W47" s="367" t="str">
        <f t="shared" ca="1" si="285"/>
        <v>CHF</v>
      </c>
      <c r="X47" s="884">
        <f t="shared" ca="1" si="287"/>
        <v>85.54</v>
      </c>
      <c r="Y47" s="1041">
        <f t="shared" ca="1" si="287"/>
        <v>0</v>
      </c>
      <c r="Z47" s="1042">
        <f t="shared" ca="1" si="288"/>
        <v>1.10173835</v>
      </c>
      <c r="AA47" s="197"/>
      <c r="AB47" s="312" t="str">
        <f t="shared" ref="AB47" ca="1" si="346">IFERROR($X47/AC47-1,"")</f>
        <v/>
      </c>
      <c r="AC47" s="411"/>
      <c r="AD47" s="199">
        <f t="shared" ref="AD47" ca="1" si="347">AA47*$X47</f>
        <v>0</v>
      </c>
      <c r="AE47" s="199">
        <f t="shared" ref="AE47" ca="1" si="348">AD47*$Z47</f>
        <v>0</v>
      </c>
      <c r="AF47" s="216">
        <f t="shared" ref="AF47" ca="1" si="349">IFERROR(AE47/AA$4,0)</f>
        <v>0</v>
      </c>
      <c r="AG47" s="202">
        <f t="shared" ref="AG47" ca="1" si="350">AH47/$X47</f>
        <v>0</v>
      </c>
      <c r="AH47" s="203">
        <f t="shared" ref="AH47" ca="1" si="351">AI47/$Z47</f>
        <v>0</v>
      </c>
      <c r="AI47" s="203">
        <f t="shared" ref="AI47" ca="1" si="352">AJ47*AA$4</f>
        <v>0</v>
      </c>
      <c r="AJ47" s="204">
        <f t="shared" ref="AJ47" ca="1" si="353">$N47-AF47</f>
        <v>0</v>
      </c>
      <c r="AK47" s="205"/>
      <c r="AL47" s="206">
        <f t="shared" ref="AL47" ca="1" si="354">AK47*$X47</f>
        <v>0</v>
      </c>
      <c r="AM47" s="206">
        <f t="shared" ref="AM47" ca="1" si="355">AL47*$Z47</f>
        <v>0</v>
      </c>
      <c r="AN47" s="207">
        <f t="shared" ref="AN47" ca="1" si="356">IFERROR(AM47/AA$4,0)</f>
        <v>0</v>
      </c>
      <c r="AO47" s="391">
        <f t="shared" ref="AO47" si="357">AA47+AK47</f>
        <v>0</v>
      </c>
      <c r="AP47" s="391">
        <f t="shared" ref="AP47" ca="1" si="358">AD47+IF($T47="",AL47)</f>
        <v>0</v>
      </c>
      <c r="AQ47" s="391">
        <f t="shared" ref="AQ47" ca="1" si="359">AP47*$Z47</f>
        <v>0</v>
      </c>
      <c r="AR47" s="886">
        <f t="shared" ca="1" si="303"/>
        <v>0</v>
      </c>
      <c r="AS47" s="1007" t="str">
        <f t="shared" ref="AS47" ca="1" si="360">IF(SUM(AF47,AN47,AR47)&lt;&gt;0,"V","")</f>
        <v/>
      </c>
      <c r="AT47" s="197"/>
      <c r="AU47" s="312" t="str">
        <f t="shared" ref="AU47" ca="1" si="361">IFERROR($X47/AV47-1,"")</f>
        <v/>
      </c>
      <c r="AV47" s="411"/>
      <c r="AW47" s="199">
        <f t="shared" ref="AW47" ca="1" si="362">AT47*$X47</f>
        <v>0</v>
      </c>
      <c r="AX47" s="199">
        <f t="shared" ref="AX47" ca="1" si="363">AW47*$Z47</f>
        <v>0</v>
      </c>
      <c r="AY47" s="216">
        <f t="shared" ref="AY47" ca="1" si="364">IFERROR(AX47/AT$4,0)</f>
        <v>0</v>
      </c>
      <c r="AZ47" s="202">
        <f t="shared" ref="AZ47" ca="1" si="365">BA47/$X47</f>
        <v>0</v>
      </c>
      <c r="BA47" s="203">
        <f t="shared" ref="BA47" ca="1" si="366">BB47/$Z47</f>
        <v>0</v>
      </c>
      <c r="BB47" s="203">
        <f t="shared" ref="BB47" ca="1" si="367">BC47*AT$4</f>
        <v>0</v>
      </c>
      <c r="BC47" s="204">
        <f t="shared" ref="BC47" ca="1" si="368">$N47-AY47</f>
        <v>0</v>
      </c>
      <c r="BD47" s="205"/>
      <c r="BE47" s="206">
        <f t="shared" ref="BE47" ca="1" si="369">BD47*$X47</f>
        <v>0</v>
      </c>
      <c r="BF47" s="206">
        <f t="shared" ref="BF47" ca="1" si="370">BE47*$Z47</f>
        <v>0</v>
      </c>
      <c r="BG47" s="207">
        <f t="shared" ref="BG47" ca="1" si="371">IFERROR(BF47/AT$4,0)</f>
        <v>0</v>
      </c>
      <c r="BH47" s="391">
        <f t="shared" ref="BH47" si="372">AT47+BD47</f>
        <v>0</v>
      </c>
      <c r="BI47" s="391">
        <f t="shared" ref="BI47" ca="1" si="373">AW47+IF($T47="",BE47)</f>
        <v>0</v>
      </c>
      <c r="BJ47" s="391">
        <f t="shared" ref="BJ47" ca="1" si="374">BI47*$Z47</f>
        <v>0</v>
      </c>
      <c r="BK47" s="886">
        <f t="shared" ca="1" si="318"/>
        <v>0</v>
      </c>
      <c r="BL47" s="1007" t="str">
        <f t="shared" ref="BL47" ca="1" si="375">IF(SUM(AY47,BG47,BK47)&lt;&gt;0,"V","")</f>
        <v/>
      </c>
      <c r="BM47" s="197"/>
      <c r="BN47" s="312" t="str">
        <f t="shared" ref="BN47" ca="1" si="376">IFERROR($X47/BO47-1,"")</f>
        <v/>
      </c>
      <c r="BO47" s="411"/>
      <c r="BP47" s="199">
        <f t="shared" ref="BP47" ca="1" si="377">BM47*$X47</f>
        <v>0</v>
      </c>
      <c r="BQ47" s="199">
        <f t="shared" ref="BQ47" ca="1" si="378">BP47*$Z47</f>
        <v>0</v>
      </c>
      <c r="BR47" s="216">
        <f t="shared" ref="BR47" ca="1" si="379">IFERROR(BQ47/BM$4,0)</f>
        <v>0</v>
      </c>
      <c r="BS47" s="202">
        <f t="shared" ref="BS47" ca="1" si="380">BT47/$X47</f>
        <v>0</v>
      </c>
      <c r="BT47" s="203">
        <f t="shared" ref="BT47" ca="1" si="381">BU47/$Z47</f>
        <v>0</v>
      </c>
      <c r="BU47" s="203">
        <f t="shared" ref="BU47" ca="1" si="382">BV47*BM$4</f>
        <v>0</v>
      </c>
      <c r="BV47" s="204">
        <f t="shared" ref="BV47" ca="1" si="383">$N47-BR47</f>
        <v>0</v>
      </c>
      <c r="BW47" s="205"/>
      <c r="BX47" s="206">
        <f t="shared" ref="BX47" ca="1" si="384">BW47*$X47</f>
        <v>0</v>
      </c>
      <c r="BY47" s="206">
        <f t="shared" ref="BY47" ca="1" si="385">BX47*$Z47</f>
        <v>0</v>
      </c>
      <c r="BZ47" s="207">
        <f t="shared" ref="BZ47" ca="1" si="386">IFERROR(BY47/BM$4,0)</f>
        <v>0</v>
      </c>
      <c r="CA47" s="391">
        <f t="shared" ref="CA47" si="387">BM47+BW47</f>
        <v>0</v>
      </c>
      <c r="CB47" s="391">
        <f t="shared" ref="CB47" ca="1" si="388">BP47+IF($T47="",BX47)</f>
        <v>0</v>
      </c>
      <c r="CC47" s="391">
        <f t="shared" ref="CC47" ca="1" si="389">CB47*$Z47</f>
        <v>0</v>
      </c>
      <c r="CD47" s="886">
        <f t="shared" ref="CD47" ca="1" si="390">IFERROR(CC47/BM$4,0)</f>
        <v>0</v>
      </c>
      <c r="CE47" s="1007" t="str">
        <f t="shared" ref="CE47" ca="1" si="391">IF(SUM(BR47,BZ47,CD47)&lt;&gt;0,"V","")</f>
        <v/>
      </c>
      <c r="CF47" s="197"/>
      <c r="CG47" s="312" t="str">
        <f t="shared" ref="CG47" ca="1" si="392">IFERROR($X47/CH47-1,"")</f>
        <v/>
      </c>
      <c r="CH47" s="411"/>
      <c r="CI47" s="199">
        <f t="shared" ref="CI47" ca="1" si="393">CF47*$X47</f>
        <v>0</v>
      </c>
      <c r="CJ47" s="199">
        <f t="shared" ref="CJ47" ca="1" si="394">CI47*$Z47</f>
        <v>0</v>
      </c>
      <c r="CK47" s="216">
        <f t="shared" ref="CK47" ca="1" si="395">IFERROR(CJ47/CF$4,0)</f>
        <v>0</v>
      </c>
      <c r="CL47" s="202">
        <f t="shared" ref="CL47" ca="1" si="396">CM47/$X47</f>
        <v>0</v>
      </c>
      <c r="CM47" s="203">
        <f t="shared" ref="CM47" ca="1" si="397">CN47/$Z47</f>
        <v>0</v>
      </c>
      <c r="CN47" s="203">
        <f t="shared" ref="CN47" ca="1" si="398">CO47*CF$4</f>
        <v>0</v>
      </c>
      <c r="CO47" s="204">
        <f t="shared" ca="1" si="338"/>
        <v>0</v>
      </c>
      <c r="CP47" s="205"/>
      <c r="CQ47" s="206">
        <f t="shared" ref="CQ47" ca="1" si="399">CP47*$X47</f>
        <v>0</v>
      </c>
      <c r="CR47" s="206">
        <f t="shared" ref="CR47" ca="1" si="400">CQ47*$Z47</f>
        <v>0</v>
      </c>
      <c r="CS47" s="207">
        <f t="shared" ref="CS47" ca="1" si="401">IFERROR(CR47/CF$4,0)</f>
        <v>0</v>
      </c>
      <c r="CT47" s="391">
        <f t="shared" ref="CT47" si="402">CF47+CP47</f>
        <v>0</v>
      </c>
      <c r="CU47" s="391">
        <f t="shared" ref="CU47" ca="1" si="403">CI47+IF($T47="",CQ47)</f>
        <v>0</v>
      </c>
      <c r="CV47" s="391">
        <f t="shared" ref="CV47" ca="1" si="404">CU47*$Z47</f>
        <v>0</v>
      </c>
      <c r="CW47" s="886">
        <f t="shared" ref="CW47" ca="1" si="405">IFERROR(CV47/CF$4,0)</f>
        <v>0</v>
      </c>
      <c r="CX47" s="1007" t="str">
        <f t="shared" ref="CX47" ca="1" si="406">IF(SUM(CK47,CS47,CW47)&lt;&gt;0,"V","")</f>
        <v/>
      </c>
    </row>
    <row r="48" spans="1:102" hidden="1" outlineLevel="1" x14ac:dyDescent="0.2">
      <c r="A48" s="367"/>
      <c r="B48" s="367"/>
      <c r="C48" s="367" t="str">
        <f t="shared" ca="1" si="275"/>
        <v>LU1169830103:EUR</v>
      </c>
      <c r="D48" s="368" t="str">
        <f t="shared" ca="1" si="276"/>
        <v>LU1169830103</v>
      </c>
      <c r="E48" s="369" t="str">
        <f t="shared" ca="1" si="276"/>
        <v>26688077</v>
      </c>
      <c r="F48" s="367" t="s">
        <v>449</v>
      </c>
      <c r="G48" s="414"/>
      <c r="H48" s="1683" t="str">
        <f t="shared" ca="1" si="272"/>
        <v></v>
      </c>
      <c r="I48" s="1683" t="str">
        <f t="shared" ca="1" si="277"/>
        <v>i</v>
      </c>
      <c r="J48" s="1713" t="str">
        <f t="shared" ca="1" si="278"/>
        <v></v>
      </c>
      <c r="K48" s="1716" t="str">
        <f t="shared" ca="1" si="278"/>
        <v></v>
      </c>
      <c r="L48" s="1717" t="str">
        <f t="shared" ca="1" si="279"/>
        <v></v>
      </c>
      <c r="M48" s="1786" t="str">
        <f t="shared" ca="1" si="280"/>
        <v>Unit</v>
      </c>
      <c r="N48" s="1136"/>
      <c r="O48" s="1136"/>
      <c r="P48" s="418">
        <f t="shared" ca="1" si="1"/>
        <v>0</v>
      </c>
      <c r="Q48" s="391">
        <f t="shared" si="281"/>
        <v>0</v>
      </c>
      <c r="R48" s="391">
        <f t="shared" ca="1" si="282"/>
        <v>0</v>
      </c>
      <c r="S48" s="883"/>
      <c r="T48" s="883"/>
      <c r="U48" s="375">
        <f t="shared" ca="1" si="283"/>
        <v>-2.87493513233004E-2</v>
      </c>
      <c r="V48" s="391">
        <f t="shared" si="284"/>
        <v>0</v>
      </c>
      <c r="W48" s="367" t="str">
        <f t="shared" ca="1" si="285"/>
        <v>EUR</v>
      </c>
      <c r="X48" s="884">
        <f t="shared" ca="1" si="287"/>
        <v>18.716000000000001</v>
      </c>
      <c r="Y48" s="1041">
        <f t="shared" ca="1" si="287"/>
        <v>0</v>
      </c>
      <c r="Z48" s="1042">
        <f t="shared" ca="1" si="288"/>
        <v>1</v>
      </c>
      <c r="AA48" s="197"/>
      <c r="AB48" s="312" t="str">
        <f t="shared" ca="1" si="289"/>
        <v/>
      </c>
      <c r="AC48" s="411"/>
      <c r="AD48" s="199">
        <f t="shared" ca="1" si="290"/>
        <v>0</v>
      </c>
      <c r="AE48" s="199">
        <f t="shared" ca="1" si="291"/>
        <v>0</v>
      </c>
      <c r="AF48" s="216">
        <f t="shared" ca="1" si="292"/>
        <v>0</v>
      </c>
      <c r="AG48" s="202">
        <f t="shared" ca="1" si="293"/>
        <v>0</v>
      </c>
      <c r="AH48" s="203">
        <f t="shared" ca="1" si="294"/>
        <v>0</v>
      </c>
      <c r="AI48" s="203">
        <f t="shared" ca="1" si="295"/>
        <v>0</v>
      </c>
      <c r="AJ48" s="204">
        <f t="shared" ca="1" si="296"/>
        <v>0</v>
      </c>
      <c r="AK48" s="205"/>
      <c r="AL48" s="206">
        <f t="shared" ca="1" si="297"/>
        <v>0</v>
      </c>
      <c r="AM48" s="206">
        <f t="shared" ca="1" si="298"/>
        <v>0</v>
      </c>
      <c r="AN48" s="207">
        <f t="shared" ca="1" si="299"/>
        <v>0</v>
      </c>
      <c r="AO48" s="391">
        <f t="shared" si="300"/>
        <v>0</v>
      </c>
      <c r="AP48" s="391">
        <f ca="1">AD48+IF($T48="",AL48)</f>
        <v>0</v>
      </c>
      <c r="AQ48" s="391">
        <f t="shared" ca="1" si="302"/>
        <v>0</v>
      </c>
      <c r="AR48" s="886">
        <f t="shared" ca="1" si="26"/>
        <v>0</v>
      </c>
      <c r="AS48" s="1007" t="str">
        <f t="shared" ca="1" si="15"/>
        <v/>
      </c>
      <c r="AT48" s="197"/>
      <c r="AU48" s="312" t="str">
        <f t="shared" ca="1" si="304"/>
        <v/>
      </c>
      <c r="AV48" s="411"/>
      <c r="AW48" s="199">
        <f t="shared" ca="1" si="305"/>
        <v>0</v>
      </c>
      <c r="AX48" s="199">
        <f t="shared" ca="1" si="306"/>
        <v>0</v>
      </c>
      <c r="AY48" s="216">
        <f t="shared" ca="1" si="307"/>
        <v>0</v>
      </c>
      <c r="AZ48" s="202">
        <f t="shared" ca="1" si="308"/>
        <v>0</v>
      </c>
      <c r="BA48" s="203">
        <f t="shared" ca="1" si="309"/>
        <v>0</v>
      </c>
      <c r="BB48" s="203">
        <f t="shared" ca="1" si="310"/>
        <v>0</v>
      </c>
      <c r="BC48" s="204">
        <f t="shared" ca="1" si="311"/>
        <v>0</v>
      </c>
      <c r="BD48" s="205"/>
      <c r="BE48" s="206">
        <f t="shared" ca="1" si="312"/>
        <v>0</v>
      </c>
      <c r="BF48" s="206">
        <f t="shared" ca="1" si="313"/>
        <v>0</v>
      </c>
      <c r="BG48" s="207">
        <f t="shared" ca="1" si="314"/>
        <v>0</v>
      </c>
      <c r="BH48" s="391">
        <f t="shared" si="315"/>
        <v>0</v>
      </c>
      <c r="BI48" s="391">
        <f ca="1">AW48+IF($T48="",BE48)</f>
        <v>0</v>
      </c>
      <c r="BJ48" s="391">
        <f t="shared" ca="1" si="317"/>
        <v>0</v>
      </c>
      <c r="BK48" s="886">
        <f t="shared" ca="1" si="72"/>
        <v>0</v>
      </c>
      <c r="BL48" s="1007" t="str">
        <f t="shared" ca="1" si="17"/>
        <v/>
      </c>
      <c r="BM48" s="197"/>
      <c r="BN48" s="312" t="str">
        <f t="shared" ca="1" si="319"/>
        <v/>
      </c>
      <c r="BO48" s="411"/>
      <c r="BP48" s="199">
        <f t="shared" ca="1" si="320"/>
        <v>0</v>
      </c>
      <c r="BQ48" s="199">
        <f t="shared" ca="1" si="321"/>
        <v>0</v>
      </c>
      <c r="BR48" s="216">
        <f t="shared" ca="1" si="6"/>
        <v>0</v>
      </c>
      <c r="BS48" s="202">
        <f t="shared" ca="1" si="322"/>
        <v>0</v>
      </c>
      <c r="BT48" s="203">
        <f t="shared" ca="1" si="323"/>
        <v>0</v>
      </c>
      <c r="BU48" s="203">
        <f t="shared" ca="1" si="324"/>
        <v>0</v>
      </c>
      <c r="BV48" s="204">
        <f t="shared" ca="1" si="325"/>
        <v>0</v>
      </c>
      <c r="BW48" s="205"/>
      <c r="BX48" s="206">
        <f t="shared" ca="1" si="326"/>
        <v>0</v>
      </c>
      <c r="BY48" s="206">
        <f t="shared" ca="1" si="327"/>
        <v>0</v>
      </c>
      <c r="BZ48" s="207">
        <f t="shared" ca="1" si="7"/>
        <v>0</v>
      </c>
      <c r="CA48" s="391">
        <f t="shared" si="328"/>
        <v>0</v>
      </c>
      <c r="CB48" s="391">
        <f ca="1">BP48+IF($T48="",BX48)</f>
        <v>0</v>
      </c>
      <c r="CC48" s="391">
        <f t="shared" ca="1" si="330"/>
        <v>0</v>
      </c>
      <c r="CD48" s="886">
        <f t="shared" ca="1" si="76"/>
        <v>0</v>
      </c>
      <c r="CE48" s="1007" t="str">
        <f t="shared" ca="1" si="19"/>
        <v/>
      </c>
      <c r="CF48" s="197"/>
      <c r="CG48" s="312" t="str">
        <f t="shared" ca="1" si="331"/>
        <v/>
      </c>
      <c r="CH48" s="411"/>
      <c r="CI48" s="199">
        <f t="shared" ca="1" si="332"/>
        <v>0</v>
      </c>
      <c r="CJ48" s="199">
        <f t="shared" ca="1" si="333"/>
        <v>0</v>
      </c>
      <c r="CK48" s="216">
        <f t="shared" ca="1" si="334"/>
        <v>0</v>
      </c>
      <c r="CL48" s="202">
        <f t="shared" ca="1" si="335"/>
        <v>0</v>
      </c>
      <c r="CM48" s="203">
        <f t="shared" ca="1" si="336"/>
        <v>0</v>
      </c>
      <c r="CN48" s="203">
        <f t="shared" ca="1" si="337"/>
        <v>0</v>
      </c>
      <c r="CO48" s="204">
        <f t="shared" ca="1" si="338"/>
        <v>0</v>
      </c>
      <c r="CP48" s="205"/>
      <c r="CQ48" s="206">
        <f t="shared" ca="1" si="339"/>
        <v>0</v>
      </c>
      <c r="CR48" s="206">
        <f t="shared" ca="1" si="340"/>
        <v>0</v>
      </c>
      <c r="CS48" s="207">
        <f t="shared" ca="1" si="341"/>
        <v>0</v>
      </c>
      <c r="CT48" s="391">
        <f t="shared" si="342"/>
        <v>0</v>
      </c>
      <c r="CU48" s="391">
        <f ca="1">CI48+IF($T48="",CQ48)</f>
        <v>0</v>
      </c>
      <c r="CV48" s="391">
        <f t="shared" ca="1" si="344"/>
        <v>0</v>
      </c>
      <c r="CW48" s="886">
        <f t="shared" ca="1" si="345"/>
        <v>0</v>
      </c>
      <c r="CX48" s="1007" t="str">
        <f t="shared" ca="1" si="21"/>
        <v/>
      </c>
    </row>
    <row r="49" spans="1:102" collapsed="1" x14ac:dyDescent="0.2">
      <c r="A49" s="346"/>
      <c r="B49" s="346" t="s">
        <v>403</v>
      </c>
      <c r="C49" s="346"/>
      <c r="D49" s="347"/>
      <c r="E49" s="348"/>
      <c r="F49" s="346"/>
      <c r="G49" s="349"/>
      <c r="H49" s="1750"/>
      <c r="I49" s="1750"/>
      <c r="J49" s="1750"/>
      <c r="K49" s="1750"/>
      <c r="L49" s="1750"/>
      <c r="M49" s="1785"/>
      <c r="N49" s="1134">
        <f>SUM(N$50:N$58)</f>
        <v>0.18</v>
      </c>
      <c r="O49" s="1134"/>
      <c r="P49" s="351">
        <f t="shared" ca="1" si="1"/>
        <v>0.18254731659717094</v>
      </c>
      <c r="Q49" s="421"/>
      <c r="R49" s="421"/>
      <c r="S49" s="871"/>
      <c r="T49" s="871"/>
      <c r="U49" s="353"/>
      <c r="V49" s="421">
        <f>COUNTIF(V51:V58,"&lt;&gt;0")</f>
        <v>0</v>
      </c>
      <c r="W49" s="346"/>
      <c r="X49" s="873"/>
      <c r="Y49" s="873"/>
      <c r="Z49" s="1037"/>
      <c r="AA49" s="357"/>
      <c r="AB49" s="359"/>
      <c r="AC49" s="1135"/>
      <c r="AD49" s="359"/>
      <c r="AE49" s="360">
        <f ca="1">SUM(AE$50:AE$58)</f>
        <v>127751.54999999999</v>
      </c>
      <c r="AF49" s="361">
        <f t="shared" ca="1" si="292"/>
        <v>0.18170733172671805</v>
      </c>
      <c r="AG49" s="362"/>
      <c r="AH49" s="359"/>
      <c r="AI49" s="360">
        <f ca="1">SUM(AI$50:AI$58)</f>
        <v>-1200.3603397822335</v>
      </c>
      <c r="AJ49" s="363">
        <f ca="1">IFERROR(AI49/AA$4,0)</f>
        <v>-1.7073317267180422E-3</v>
      </c>
      <c r="AK49" s="362"/>
      <c r="AL49" s="359"/>
      <c r="AM49" s="360">
        <f ca="1">SUM(AM$50:AM$58)</f>
        <v>0</v>
      </c>
      <c r="AN49" s="363">
        <f t="shared" ca="1" si="299"/>
        <v>0</v>
      </c>
      <c r="AO49" s="359"/>
      <c r="AP49" s="359"/>
      <c r="AQ49" s="360">
        <f ca="1">SUM(AQ$50:AQ$58)</f>
        <v>127751.54999999999</v>
      </c>
      <c r="AR49" s="876">
        <f t="shared" ca="1" si="26"/>
        <v>0.18170733172671805</v>
      </c>
      <c r="AS49" s="1007" t="str">
        <f t="shared" ca="1" si="15"/>
        <v>V</v>
      </c>
      <c r="AT49" s="357"/>
      <c r="AU49" s="359"/>
      <c r="AV49" s="1135"/>
      <c r="AW49" s="359"/>
      <c r="AX49" s="360">
        <f ca="1">SUM(AX$50:AX$58)</f>
        <v>207196.67499999999</v>
      </c>
      <c r="AY49" s="361">
        <f t="shared" ca="1" si="307"/>
        <v>0.17842747519238278</v>
      </c>
      <c r="AZ49" s="362"/>
      <c r="BA49" s="359"/>
      <c r="BB49" s="360">
        <f ca="1">SUM(BB$50:BB$58)</f>
        <v>1826.0747743137435</v>
      </c>
      <c r="BC49" s="363">
        <f ca="1">IFERROR(BB49/AT$4,0)</f>
        <v>1.5725248076172143E-3</v>
      </c>
      <c r="BD49" s="362"/>
      <c r="BE49" s="359"/>
      <c r="BF49" s="360">
        <f ca="1">SUM(BF$50:BF$58)</f>
        <v>0</v>
      </c>
      <c r="BG49" s="363">
        <f t="shared" ca="1" si="314"/>
        <v>0</v>
      </c>
      <c r="BH49" s="359"/>
      <c r="BI49" s="359"/>
      <c r="BJ49" s="360">
        <f ca="1">SUM(BJ$50:BJ$58)</f>
        <v>207196.67499999999</v>
      </c>
      <c r="BK49" s="876">
        <f t="shared" ca="1" si="72"/>
        <v>0.17842747519238278</v>
      </c>
      <c r="BL49" s="1007" t="str">
        <f t="shared" ca="1" si="17"/>
        <v>V</v>
      </c>
      <c r="BM49" s="357"/>
      <c r="BN49" s="359"/>
      <c r="BO49" s="1135"/>
      <c r="BP49" s="359"/>
      <c r="BQ49" s="360">
        <f ca="1">SUM(BQ$50:BQ$58)</f>
        <v>120794.95</v>
      </c>
      <c r="BR49" s="361">
        <f t="shared" ca="1" si="6"/>
        <v>0.19104783933977854</v>
      </c>
      <c r="BS49" s="362"/>
      <c r="BT49" s="359"/>
      <c r="BU49" s="360">
        <f ca="1">SUM(BU$50:BU$58)</f>
        <v>-6985.2828761027276</v>
      </c>
      <c r="BV49" s="363">
        <f ca="1">IFERROR(BU49/BM$4,0)</f>
        <v>-1.1047839339778525E-2</v>
      </c>
      <c r="BW49" s="362"/>
      <c r="BX49" s="359"/>
      <c r="BY49" s="360">
        <f ca="1">SUM(BY$50:BY$58)</f>
        <v>0</v>
      </c>
      <c r="BZ49" s="363">
        <f t="shared" ca="1" si="7"/>
        <v>0</v>
      </c>
      <c r="CA49" s="359"/>
      <c r="CB49" s="359"/>
      <c r="CC49" s="360">
        <f ca="1">SUM(CC$50:CC$58)</f>
        <v>120794.95</v>
      </c>
      <c r="CD49" s="876">
        <f t="shared" ca="1" si="76"/>
        <v>0.19104783933977854</v>
      </c>
      <c r="CE49" s="1007" t="str">
        <f t="shared" ca="1" si="19"/>
        <v>V</v>
      </c>
      <c r="CF49" s="357"/>
      <c r="CG49" s="359"/>
      <c r="CH49" s="1135"/>
      <c r="CI49" s="359"/>
      <c r="CJ49" s="360">
        <f ca="1">SUM(CJ$50:CJ$58)</f>
        <v>33840.024999999994</v>
      </c>
      <c r="CK49" s="361">
        <f t="shared" ca="1" si="334"/>
        <v>0.21222120630057437</v>
      </c>
      <c r="CL49" s="362"/>
      <c r="CM49" s="359"/>
      <c r="CN49" s="360">
        <f ca="1">SUM(CN$50:CN$58)</f>
        <v>-9921.5682232972758</v>
      </c>
      <c r="CO49" s="363">
        <f ca="1">IFERROR(CN49/CF$4,0)</f>
        <v>-6.2221206300574379E-2</v>
      </c>
      <c r="CP49" s="362"/>
      <c r="CQ49" s="359"/>
      <c r="CR49" s="360">
        <f ca="1">SUM(CR$50:CR$58)</f>
        <v>0</v>
      </c>
      <c r="CS49" s="363">
        <f t="shared" ca="1" si="341"/>
        <v>0</v>
      </c>
      <c r="CT49" s="359"/>
      <c r="CU49" s="359"/>
      <c r="CV49" s="360">
        <f ca="1">SUM(CV$50:CV$58)</f>
        <v>33840.024999999994</v>
      </c>
      <c r="CW49" s="876">
        <f t="shared" ca="1" si="345"/>
        <v>0.21222120630057437</v>
      </c>
      <c r="CX49" s="1007" t="str">
        <f t="shared" ca="1" si="21"/>
        <v>V</v>
      </c>
    </row>
    <row r="50" spans="1:102" ht="12.6" hidden="1" customHeight="1" outlineLevel="1" x14ac:dyDescent="0.2">
      <c r="A50" s="367"/>
      <c r="B50" s="367"/>
      <c r="C50" s="367" t="str">
        <f t="shared" ref="C50:C58" ca="1" si="407">OFFSET(Origine,MATCH($F50,Descrizioni,0),MATCH(C$16,Intestazioni,0)-1,1,1)</f>
        <v>FR0000121972:EUR</v>
      </c>
      <c r="D50" s="368" t="str">
        <f t="shared" ref="D50:E58" ca="1" si="408">OFFSET(Origine,MATCH($F50,Descrizioni,0),MATCH(D$16,Intestazioni,0)-1,1,1)</f>
        <v>FR0000121972</v>
      </c>
      <c r="E50" s="369" t="str">
        <f t="shared" ca="1" si="408"/>
        <v>509120</v>
      </c>
      <c r="F50" s="370" t="s">
        <v>3892</v>
      </c>
      <c r="G50" s="414"/>
      <c r="H50" s="1683" t="str">
        <f t="shared" ref="H50:H58" ca="1" si="409">HYPERLINK(OFFSET(Origine,MATCH($F50,Descrizioni,0),MATCH(H$16,Intestazioni,0)-1,1,1),"")</f>
        <v></v>
      </c>
      <c r="I50" s="1683" t="str">
        <f t="shared" ref="I50:I58" ca="1" si="410">HYPERLINK(OFFSET(Origine,MATCH($F50,Descrizioni,0),MATCH(I$16,Intestazioni,0)-1,1,1),"i")</f>
        <v>i</v>
      </c>
      <c r="J50" s="1713" t="str">
        <f t="shared" ref="J50:K58" ca="1" si="411">HYPERLINK(OFFSET(Origine,MATCH($F50,Descrizioni,0),MATCH(J$16,Intestazioni,0)-1,1,1),"")</f>
        <v></v>
      </c>
      <c r="K50" s="1716" t="str">
        <f t="shared" ca="1" si="411"/>
        <v></v>
      </c>
      <c r="L50" s="1717" t="str">
        <f t="shared" ref="L50:L58" ca="1" si="412">IFERROR(HYPERLINK("https://www.marketscreener.com/mods_a/charts/TV/inc_dyna_graph.php?c="&amp;OFFSET(Origine,MATCH($F50,Descrizioni,0),MATCH(L$16,Intestazioni,0)-1,1,1)&amp;"&amp;style=TradingView.CANDLES&amp;showAT=1",""),"")</f>
        <v></v>
      </c>
      <c r="M50" s="1786" t="str">
        <f t="shared" ref="M50:M58" ca="1" si="413">(OFFSET(Origine,MATCH($F50,Descrizioni,0),MATCH(M$16,Intestazioni,0)-1,1,1))</f>
        <v>Unit</v>
      </c>
      <c r="N50" s="1136">
        <v>1.4999999999999999E-2</v>
      </c>
      <c r="O50" s="1136"/>
      <c r="P50" s="418">
        <f t="shared" ref="P50" ca="1" si="414">SUMIF($AA$16:$CD$16,"I_Ctrlv",$AA50:$CD50)/$Q$2</f>
        <v>0</v>
      </c>
      <c r="Q50" s="391">
        <f t="shared" ref="Q50:Q58" si="415">SUMIF($AA$16:$CW$16,"I_Pos",$AA50:$CW50)</f>
        <v>0</v>
      </c>
      <c r="R50" s="391">
        <f t="shared" ref="R50:R58" ca="1" si="416">SUMIF($AA$16:$CW$16,"P_Pos",$AA50:$CW50)</f>
        <v>139.86417882304036</v>
      </c>
      <c r="S50" s="883"/>
      <c r="T50" s="883"/>
      <c r="U50" s="375">
        <f t="shared" ref="U50:U58" ca="1" si="417">OFFSET(Origine,MATCH($C50,smo_ids,0),MATCH(U$16,Intestazioni,0)-1,1,1)</f>
        <v>-3.2345500542103396E-2</v>
      </c>
      <c r="V50" s="391">
        <f t="shared" ref="V50:V58" si="418">SUMIF($AA$16:$CW$16,"O_Pos",$AA50:$CW50)</f>
        <v>0</v>
      </c>
      <c r="W50" s="367" t="str">
        <f t="shared" ref="W50:W58" ca="1" si="419">OFFSET(Origine,MATCH($F50,Descrizioni,0),MATCH(W$16,Intestazioni,0)-1,1,1)</f>
        <v>EUR</v>
      </c>
      <c r="X50" s="887">
        <f t="shared" ref="X50:Y58" ca="1" si="420">_xlfn.NUMBERVALUE(OFFSET(Origine,MATCH($F50,Descrizioni,0),MATCH(X$16,Intestazioni,0)-1,1,1))</f>
        <v>267.75</v>
      </c>
      <c r="Y50" s="1041">
        <f t="shared" ca="1" si="420"/>
        <v>0</v>
      </c>
      <c r="Z50" s="1042">
        <f t="shared" ref="Z50" ca="1" si="421">_xlfn.NUMBERVALUE(OFFSET(Origine,MATCH(W50&amp;"/"&amp;MRif,LUKB_Name,0),MATCH("Price",Intestazioni,0)-1,1,1))</f>
        <v>1</v>
      </c>
      <c r="AA50" s="197"/>
      <c r="AB50" s="312" t="str">
        <f t="shared" ref="AB50" ca="1" si="422">IFERROR($X50/AC50-1,"")</f>
        <v/>
      </c>
      <c r="AC50" s="411"/>
      <c r="AD50" s="199">
        <f t="shared" ref="AD50" ca="1" si="423">AA50*$X50</f>
        <v>0</v>
      </c>
      <c r="AE50" s="199">
        <f t="shared" ref="AE50" ca="1" si="424">AD50*$Z50</f>
        <v>0</v>
      </c>
      <c r="AF50" s="216">
        <f t="shared" ca="1" si="292"/>
        <v>0</v>
      </c>
      <c r="AG50" s="202">
        <f t="shared" ref="AG50" ca="1" si="425">AH50/$X50</f>
        <v>39.387236122072132</v>
      </c>
      <c r="AH50" s="203">
        <f t="shared" ref="AH50" ca="1" si="426">AI50/$Z50</f>
        <v>10545.932471684813</v>
      </c>
      <c r="AI50" s="203">
        <f t="shared" ref="AI50" ca="1" si="427">AJ50*AA$4</f>
        <v>10545.932471684813</v>
      </c>
      <c r="AJ50" s="204">
        <f t="shared" ref="AJ50" ca="1" si="428">$N50-AF50</f>
        <v>1.4999999999999999E-2</v>
      </c>
      <c r="AK50" s="205"/>
      <c r="AL50" s="206">
        <f t="shared" ref="AL50" ca="1" si="429">AK50*$X50</f>
        <v>0</v>
      </c>
      <c r="AM50" s="206">
        <f t="shared" ref="AM50" ca="1" si="430">AL50*$Z50</f>
        <v>0</v>
      </c>
      <c r="AN50" s="207">
        <f t="shared" ca="1" si="299"/>
        <v>0</v>
      </c>
      <c r="AO50" s="391">
        <f t="shared" ref="AO50" si="431">AA50+AK50</f>
        <v>0</v>
      </c>
      <c r="AP50" s="391">
        <f t="shared" ref="AP50" ca="1" si="432">AD50+IF($T50="",AL50)</f>
        <v>0</v>
      </c>
      <c r="AQ50" s="391">
        <f t="shared" ref="AQ50" ca="1" si="433">AP50*$Z50</f>
        <v>0</v>
      </c>
      <c r="AR50" s="886">
        <f t="shared" ca="1" si="26"/>
        <v>0</v>
      </c>
      <c r="AS50" s="1007" t="str">
        <f t="shared" ca="1" si="15"/>
        <v/>
      </c>
      <c r="AT50" s="197"/>
      <c r="AU50" s="312" t="str">
        <f t="shared" ref="AU50" ca="1" si="434">IFERROR($X50/AV50-1,"")</f>
        <v/>
      </c>
      <c r="AV50" s="411"/>
      <c r="AW50" s="199">
        <f t="shared" ref="AW50" ca="1" si="435">AT50*$X50</f>
        <v>0</v>
      </c>
      <c r="AX50" s="199">
        <f t="shared" ref="AX50" ca="1" si="436">AW50*$Z50</f>
        <v>0</v>
      </c>
      <c r="AY50" s="216">
        <f t="shared" ca="1" si="307"/>
        <v>0</v>
      </c>
      <c r="AZ50" s="202">
        <f t="shared" ref="AZ50" ca="1" si="437">BA50/$X50</f>
        <v>65.055322058609931</v>
      </c>
      <c r="BA50" s="203">
        <f t="shared" ref="BA50" ca="1" si="438">BB50/$Z50</f>
        <v>17418.56248119281</v>
      </c>
      <c r="BB50" s="203">
        <f t="shared" ref="BB50" ca="1" si="439">BC50*AT$4</f>
        <v>17418.56248119281</v>
      </c>
      <c r="BC50" s="204">
        <f t="shared" ref="BC50" ca="1" si="440">$N50-AY50</f>
        <v>1.4999999999999999E-2</v>
      </c>
      <c r="BD50" s="205"/>
      <c r="BE50" s="206">
        <f t="shared" ref="BE50" ca="1" si="441">BD50*$X50</f>
        <v>0</v>
      </c>
      <c r="BF50" s="206">
        <f t="shared" ref="BF50" ca="1" si="442">BE50*$Z50</f>
        <v>0</v>
      </c>
      <c r="BG50" s="207">
        <f t="shared" ca="1" si="314"/>
        <v>0</v>
      </c>
      <c r="BH50" s="391">
        <f t="shared" ref="BH50" si="443">AT50+BD50</f>
        <v>0</v>
      </c>
      <c r="BI50" s="391">
        <f t="shared" ref="BI50" ca="1" si="444">AW50+IF($T50="",BE50)</f>
        <v>0</v>
      </c>
      <c r="BJ50" s="391">
        <f t="shared" ref="BJ50" ca="1" si="445">BI50*$Z50</f>
        <v>0</v>
      </c>
      <c r="BK50" s="886">
        <f t="shared" ca="1" si="72"/>
        <v>0</v>
      </c>
      <c r="BL50" s="1007" t="str">
        <f t="shared" ca="1" si="17"/>
        <v/>
      </c>
      <c r="BM50" s="197"/>
      <c r="BN50" s="312" t="str">
        <f t="shared" ref="BN50" ca="1" si="446">IFERROR($X50/BO50-1,"")</f>
        <v/>
      </c>
      <c r="BO50" s="411"/>
      <c r="BP50" s="199">
        <f t="shared" ref="BP50" ca="1" si="447">BM50*$X50</f>
        <v>0</v>
      </c>
      <c r="BQ50" s="199">
        <f t="shared" ref="BQ50" ca="1" si="448">BP50*$Z50</f>
        <v>0</v>
      </c>
      <c r="BR50" s="216">
        <f t="shared" ca="1" si="6"/>
        <v>0</v>
      </c>
      <c r="BS50" s="202">
        <f t="shared" ref="BS50" ca="1" si="449">BT50/$X50</f>
        <v>35.421620642358313</v>
      </c>
      <c r="BT50" s="203">
        <f t="shared" ref="BT50" ca="1" si="450">BU50/$Z50</f>
        <v>9484.138926991438</v>
      </c>
      <c r="BU50" s="203">
        <f t="shared" ref="BU50" ca="1" si="451">BV50*BM$4</f>
        <v>9484.138926991438</v>
      </c>
      <c r="BV50" s="204">
        <f t="shared" ref="BV50" ca="1" si="452">$N50-BR50</f>
        <v>1.4999999999999999E-2</v>
      </c>
      <c r="BW50" s="205"/>
      <c r="BX50" s="206">
        <f t="shared" ref="BX50" ca="1" si="453">BW50*$X50</f>
        <v>0</v>
      </c>
      <c r="BY50" s="206">
        <f t="shared" ref="BY50" ca="1" si="454">BX50*$Z50</f>
        <v>0</v>
      </c>
      <c r="BZ50" s="207">
        <f t="shared" ca="1" si="7"/>
        <v>0</v>
      </c>
      <c r="CA50" s="391">
        <f t="shared" ref="CA50" si="455">BM50+BW50</f>
        <v>0</v>
      </c>
      <c r="CB50" s="391">
        <f t="shared" ref="CB50" ca="1" si="456">BP50+IF($T50="",BX50)</f>
        <v>0</v>
      </c>
      <c r="CC50" s="391">
        <f t="shared" ref="CC50" ca="1" si="457">CB50*$Z50</f>
        <v>0</v>
      </c>
      <c r="CD50" s="886">
        <f t="shared" ca="1" si="76"/>
        <v>0</v>
      </c>
      <c r="CE50" s="1007" t="str">
        <f t="shared" ca="1" si="19"/>
        <v/>
      </c>
      <c r="CF50" s="197"/>
      <c r="CG50" s="312" t="str">
        <f t="shared" ref="CG50" ca="1" si="458">IFERROR($X50/CH50-1,"")</f>
        <v/>
      </c>
      <c r="CH50" s="411"/>
      <c r="CI50" s="199">
        <f t="shared" ref="CI50" ca="1" si="459">CF50*$X50</f>
        <v>0</v>
      </c>
      <c r="CJ50" s="199">
        <f t="shared" ref="CJ50" ca="1" si="460">CI50*$Z50</f>
        <v>0</v>
      </c>
      <c r="CK50" s="216">
        <f t="shared" ca="1" si="334"/>
        <v>0</v>
      </c>
      <c r="CL50" s="202">
        <f t="shared" ref="CL50" ca="1" si="461">CM50/$X50</f>
        <v>0</v>
      </c>
      <c r="CM50" s="203">
        <f t="shared" ref="CM50" ca="1" si="462">CN50/$Z50</f>
        <v>0</v>
      </c>
      <c r="CN50" s="203">
        <f t="shared" ref="CN50" ca="1" si="463">CO50*CF$4</f>
        <v>0</v>
      </c>
      <c r="CO50" s="204">
        <f t="shared" ref="CO50" ca="1" si="464">$O50-CK50</f>
        <v>0</v>
      </c>
      <c r="CP50" s="205"/>
      <c r="CQ50" s="206">
        <f t="shared" ref="CQ50" ca="1" si="465">CP50*$X50</f>
        <v>0</v>
      </c>
      <c r="CR50" s="206">
        <f t="shared" ref="CR50" ca="1" si="466">CQ50*$Z50</f>
        <v>0</v>
      </c>
      <c r="CS50" s="207">
        <f t="shared" ca="1" si="341"/>
        <v>0</v>
      </c>
      <c r="CT50" s="391">
        <f t="shared" ref="CT50" si="467">CF50+CP50</f>
        <v>0</v>
      </c>
      <c r="CU50" s="391">
        <f t="shared" ref="CU50" ca="1" si="468">CI50+IF($T50="",CQ50)</f>
        <v>0</v>
      </c>
      <c r="CV50" s="391">
        <f t="shared" ref="CV50" ca="1" si="469">CU50*$Z50</f>
        <v>0</v>
      </c>
      <c r="CW50" s="886">
        <f t="shared" ca="1" si="345"/>
        <v>0</v>
      </c>
      <c r="CX50" s="1007" t="str">
        <f t="shared" ca="1" si="21"/>
        <v/>
      </c>
    </row>
    <row r="51" spans="1:102" ht="12.6" hidden="1" customHeight="1" outlineLevel="1" x14ac:dyDescent="0.2">
      <c r="A51" s="367"/>
      <c r="B51" s="367"/>
      <c r="C51" s="367" t="str">
        <f t="shared" ca="1" si="407"/>
        <v>FR0000125486:EUR:CBUA</v>
      </c>
      <c r="D51" s="368" t="str">
        <f t="shared" ca="1" si="408"/>
        <v>FR0000125486</v>
      </c>
      <c r="E51" s="369" t="str">
        <f t="shared" ca="1" si="408"/>
        <v>508670</v>
      </c>
      <c r="F51" s="367" t="s">
        <v>426</v>
      </c>
      <c r="G51" s="414"/>
      <c r="H51" s="1683" t="str">
        <f t="shared" ca="1" si="409"/>
        <v></v>
      </c>
      <c r="I51" s="1683" t="str">
        <f t="shared" ca="1" si="410"/>
        <v>i</v>
      </c>
      <c r="J51" s="1713" t="str">
        <f t="shared" ca="1" si="411"/>
        <v></v>
      </c>
      <c r="K51" s="1716" t="str">
        <f t="shared" ca="1" si="411"/>
        <v></v>
      </c>
      <c r="L51" s="1717" t="str">
        <f t="shared" ca="1" si="412"/>
        <v></v>
      </c>
      <c r="M51" s="1786" t="str">
        <f t="shared" ca="1" si="413"/>
        <v>Unit</v>
      </c>
      <c r="N51" s="1136">
        <v>1.4999999999999999E-2</v>
      </c>
      <c r="O51" s="1136"/>
      <c r="P51" s="418"/>
      <c r="Q51" s="391">
        <f t="shared" si="415"/>
        <v>315</v>
      </c>
      <c r="R51" s="391">
        <f t="shared" ca="1" si="416"/>
        <v>-33.642870925100958</v>
      </c>
      <c r="S51" s="883"/>
      <c r="T51" s="883"/>
      <c r="U51" s="375">
        <f t="shared" ca="1" si="417"/>
        <v>-3.65544697792256E-2</v>
      </c>
      <c r="V51" s="391">
        <f t="shared" si="418"/>
        <v>0</v>
      </c>
      <c r="W51" s="367" t="str">
        <f t="shared" ca="1" si="419"/>
        <v>EUR</v>
      </c>
      <c r="X51" s="887">
        <f t="shared" ca="1" si="420"/>
        <v>133.1</v>
      </c>
      <c r="Y51" s="1041">
        <f t="shared" ca="1" si="420"/>
        <v>3.7565740045078899E-2</v>
      </c>
      <c r="Z51" s="1042">
        <f t="shared" ref="Z51:Z53" ca="1" si="470">_xlfn.NUMBERVALUE(OFFSET(Origine,MATCH(W51&amp;"/"&amp;MRif,LUKB_Name,0),MATCH("Price",Intestazioni,0)-1,1,1))</f>
        <v>1</v>
      </c>
      <c r="AA51" s="197">
        <f>80</f>
        <v>80</v>
      </c>
      <c r="AB51" s="312">
        <f t="shared" ref="AB51:AB53" ca="1" si="471">IFERROR($X51/AC51-1,"")</f>
        <v>6.800486901092806E-2</v>
      </c>
      <c r="AC51" s="411">
        <v>124.6249</v>
      </c>
      <c r="AD51" s="199">
        <f t="shared" ref="AD51:AD53" ca="1" si="472">AA51*$X51</f>
        <v>10648</v>
      </c>
      <c r="AE51" s="199">
        <f t="shared" ref="AE51:AE53" ca="1" si="473">AD51*$Z51</f>
        <v>10648</v>
      </c>
      <c r="AF51" s="216">
        <f t="shared" ref="AF51:AF53" ca="1" si="474">IFERROR(AE51/AA$4,0)</f>
        <v>1.5145175680655881E-2</v>
      </c>
      <c r="AG51" s="202">
        <f t="shared" ref="AG51:AG53" ca="1" si="475">AH51/$X51</f>
        <v>-0.76684844714640887</v>
      </c>
      <c r="AH51" s="203">
        <f t="shared" ref="AH51:AH53" ca="1" si="476">AI51/$Z51</f>
        <v>-102.06752831518702</v>
      </c>
      <c r="AI51" s="203">
        <f t="shared" ref="AI51:AI53" ca="1" si="477">AJ51*AA$4</f>
        <v>-102.06752831518702</v>
      </c>
      <c r="AJ51" s="204">
        <f t="shared" ref="AJ51:AJ53" ca="1" si="478">$N51-AF51</f>
        <v>-1.4517568065588148E-4</v>
      </c>
      <c r="AK51" s="205"/>
      <c r="AL51" s="206">
        <f t="shared" ref="AL51:AL53" ca="1" si="479">AK51*$X51</f>
        <v>0</v>
      </c>
      <c r="AM51" s="206">
        <f t="shared" ref="AM51:AM53" ca="1" si="480">AL51*$Z51</f>
        <v>0</v>
      </c>
      <c r="AN51" s="207">
        <f t="shared" ref="AN51:AN53" ca="1" si="481">IFERROR(AM51/AA$4,0)</f>
        <v>0</v>
      </c>
      <c r="AO51" s="391">
        <f t="shared" ref="AO51:AO53" si="482">AA51+AK51</f>
        <v>80</v>
      </c>
      <c r="AP51" s="391">
        <f t="shared" ref="AP51:AP53" ca="1" si="483">AD51+IF($T51="",AL51)</f>
        <v>10648</v>
      </c>
      <c r="AQ51" s="391">
        <f t="shared" ref="AQ51:AQ53" ca="1" si="484">AP51*$Z51</f>
        <v>10648</v>
      </c>
      <c r="AR51" s="886">
        <f t="shared" ref="AR51:AR53" ca="1" si="485">IFERROR(AQ51/AA$4,0)</f>
        <v>1.5145175680655881E-2</v>
      </c>
      <c r="AS51" s="1007" t="str">
        <f t="shared" ref="AS51:AS53" ca="1" si="486">IF(SUM(AF51,AN51,AR51)&lt;&gt;0,"V","")</f>
        <v>V</v>
      </c>
      <c r="AT51" s="197">
        <f>90</f>
        <v>90</v>
      </c>
      <c r="AU51" s="312">
        <f t="shared" ref="AU51:AU53" ca="1" si="487">IFERROR($X51/AV51-1,"")</f>
        <v>6.800486901092806E-2</v>
      </c>
      <c r="AV51" s="411">
        <v>124.6249</v>
      </c>
      <c r="AW51" s="199">
        <f t="shared" ref="AW51:AW53" ca="1" si="488">AT51*$X51</f>
        <v>11979</v>
      </c>
      <c r="AX51" s="199">
        <f t="shared" ref="AX51:AX53" ca="1" si="489">AW51*$Z51</f>
        <v>11979</v>
      </c>
      <c r="AY51" s="216">
        <f t="shared" ref="AY51:AY53" ca="1" si="490">IFERROR(AX51/AT$4,0)</f>
        <v>1.031571923308882E-2</v>
      </c>
      <c r="AZ51" s="202">
        <f t="shared" ref="AZ51:AZ53" ca="1" si="491">BA51/$X51</f>
        <v>40.86823802549069</v>
      </c>
      <c r="BA51" s="203">
        <f t="shared" ref="BA51:BA53" ca="1" si="492">BB51/$Z51</f>
        <v>5439.562481192811</v>
      </c>
      <c r="BB51" s="203">
        <f t="shared" ref="BB51:BB53" ca="1" si="493">BC51*AT$4</f>
        <v>5439.562481192811</v>
      </c>
      <c r="BC51" s="204">
        <f t="shared" ref="BC51:BC53" ca="1" si="494">$N51-AY51</f>
        <v>4.6842807669111794E-3</v>
      </c>
      <c r="BD51" s="205"/>
      <c r="BE51" s="206">
        <f t="shared" ref="BE51:BE53" ca="1" si="495">BD51*$X51</f>
        <v>0</v>
      </c>
      <c r="BF51" s="206">
        <f t="shared" ref="BF51:BF53" ca="1" si="496">BE51*$Z51</f>
        <v>0</v>
      </c>
      <c r="BG51" s="207">
        <f t="shared" ref="BG51:BG53" ca="1" si="497">IFERROR(BF51/AT$4,0)</f>
        <v>0</v>
      </c>
      <c r="BH51" s="391">
        <f t="shared" ref="BH51:BH53" si="498">AT51+BD51</f>
        <v>90</v>
      </c>
      <c r="BI51" s="391">
        <f t="shared" ref="BI51:BI53" ca="1" si="499">AW51+IF($T51="",BE51)</f>
        <v>11979</v>
      </c>
      <c r="BJ51" s="391">
        <f t="shared" ref="BJ51:BJ53" ca="1" si="500">BI51*$Z51</f>
        <v>11979</v>
      </c>
      <c r="BK51" s="886">
        <f t="shared" ref="BK51:BK53" ca="1" si="501">IFERROR(BJ51/AT$4,0)</f>
        <v>1.031571923308882E-2</v>
      </c>
      <c r="BL51" s="1007" t="str">
        <f t="shared" ref="BL51:BL53" ca="1" si="502">IF(SUM(AY51,BG51,BK51)&lt;&gt;0,"V","")</f>
        <v>V</v>
      </c>
      <c r="BM51" s="197">
        <f>110</f>
        <v>110</v>
      </c>
      <c r="BN51" s="312">
        <f t="shared" ref="BN51:BN53" ca="1" si="503">IFERROR($X51/BO51-1,"")</f>
        <v>6.800486901092806E-2</v>
      </c>
      <c r="BO51" s="411">
        <v>124.6249</v>
      </c>
      <c r="BP51" s="199">
        <f t="shared" ref="BP51:BP53" ca="1" si="504">BM51*$X51</f>
        <v>14641</v>
      </c>
      <c r="BQ51" s="199">
        <f t="shared" ref="BQ51:BQ53" ca="1" si="505">BP51*$Z51</f>
        <v>14641</v>
      </c>
      <c r="BR51" s="216">
        <f t="shared" ref="BR51:BR53" ca="1" si="506">IFERROR(BQ51/BM$4,0)</f>
        <v>2.3156029418230625E-2</v>
      </c>
      <c r="BS51" s="202">
        <f t="shared" ref="BS51:BS53" ca="1" si="507">BT51/$X51</f>
        <v>-38.74426050344524</v>
      </c>
      <c r="BT51" s="203">
        <f t="shared" ref="BT51:BT53" ca="1" si="508">BU51/$Z51</f>
        <v>-5156.8610730085611</v>
      </c>
      <c r="BU51" s="203">
        <f t="shared" ref="BU51:BU53" ca="1" si="509">BV51*BM$4</f>
        <v>-5156.8610730085611</v>
      </c>
      <c r="BV51" s="204">
        <f t="shared" ref="BV51:BV53" ca="1" si="510">$N51-BR51</f>
        <v>-8.1560294182306259E-3</v>
      </c>
      <c r="BW51" s="205"/>
      <c r="BX51" s="206">
        <f t="shared" ref="BX51:BX53" ca="1" si="511">BW51*$X51</f>
        <v>0</v>
      </c>
      <c r="BY51" s="206">
        <f t="shared" ref="BY51:BY53" ca="1" si="512">BX51*$Z51</f>
        <v>0</v>
      </c>
      <c r="BZ51" s="207">
        <f t="shared" ref="BZ51:BZ53" ca="1" si="513">IFERROR(BY51/BM$4,0)</f>
        <v>0</v>
      </c>
      <c r="CA51" s="391">
        <f t="shared" ref="CA51:CA53" si="514">BM51+BW51</f>
        <v>110</v>
      </c>
      <c r="CB51" s="391">
        <f t="shared" ref="CB51:CB53" ca="1" si="515">BP51+IF($T51="",BX51)</f>
        <v>14641</v>
      </c>
      <c r="CC51" s="391">
        <f t="shared" ref="CC51:CC53" ca="1" si="516">CB51*$Z51</f>
        <v>14641</v>
      </c>
      <c r="CD51" s="886">
        <f t="shared" ref="CD51:CD53" ca="1" si="517">IFERROR(CC51/BM$4,0)</f>
        <v>2.3156029418230625E-2</v>
      </c>
      <c r="CE51" s="1007" t="str">
        <f t="shared" ref="CE51:CE53" ca="1" si="518">IF(SUM(BR51,BZ51,CD51)&lt;&gt;0,"V","")</f>
        <v>V</v>
      </c>
      <c r="CF51" s="197">
        <f>35</f>
        <v>35</v>
      </c>
      <c r="CG51" s="312">
        <f t="shared" ref="CG51:CG53" ca="1" si="519">IFERROR($X51/CH51-1,"")</f>
        <v>6.800486901092806E-2</v>
      </c>
      <c r="CH51" s="411">
        <v>124.6249</v>
      </c>
      <c r="CI51" s="199">
        <f ca="1">CF51*$X51</f>
        <v>4658.5</v>
      </c>
      <c r="CJ51" s="199">
        <f ca="1">CI51*$Z51</f>
        <v>4658.5</v>
      </c>
      <c r="CK51" s="216">
        <f ca="1">IFERROR(CJ51/CF$4,0)</f>
        <v>2.9214886500563336E-2</v>
      </c>
      <c r="CL51" s="202">
        <f t="shared" ref="CL51:CL53" ca="1" si="520">CM51/$X51</f>
        <v>-35</v>
      </c>
      <c r="CM51" s="203">
        <f ca="1">CN51/$Z51</f>
        <v>-4658.5</v>
      </c>
      <c r="CN51" s="203">
        <f ca="1">CO51*CF$4</f>
        <v>-4658.5</v>
      </c>
      <c r="CO51" s="204">
        <f t="shared" ref="CO51:CO53" ca="1" si="521">$O51-CK51</f>
        <v>-2.9214886500563336E-2</v>
      </c>
      <c r="CP51" s="205"/>
      <c r="CQ51" s="206">
        <f ca="1">CP51*$X51</f>
        <v>0</v>
      </c>
      <c r="CR51" s="206">
        <f ca="1">CQ51*$Z51</f>
        <v>0</v>
      </c>
      <c r="CS51" s="207">
        <f ca="1">IFERROR(CR51/CF$4,0)</f>
        <v>0</v>
      </c>
      <c r="CT51" s="391">
        <f t="shared" ref="CT51:CT53" si="522">CF51+CP51</f>
        <v>35</v>
      </c>
      <c r="CU51" s="391">
        <f t="shared" ref="CU51:CU53" ca="1" si="523">CI51+IF($T51="",CQ51)</f>
        <v>4658.5</v>
      </c>
      <c r="CV51" s="391">
        <f ca="1">CU51*$Z51</f>
        <v>4658.5</v>
      </c>
      <c r="CW51" s="886">
        <f ca="1">IFERROR(CV51/CF$4,0)</f>
        <v>2.9214886500563336E-2</v>
      </c>
      <c r="CX51" s="1007" t="str">
        <f t="shared" ref="CX51:CX53" ca="1" si="524">IF(SUM(CK51,CS51,CW51)&lt;&gt;0,"V","")</f>
        <v>V</v>
      </c>
    </row>
    <row r="52" spans="1:102" ht="12.6" hidden="1" customHeight="1" outlineLevel="1" x14ac:dyDescent="0.2">
      <c r="A52" s="367"/>
      <c r="B52" s="367"/>
      <c r="C52" s="367" t="str">
        <f t="shared" ca="1" si="407"/>
        <v>DE000A0H08F7:EUR:STU</v>
      </c>
      <c r="D52" s="368" t="str">
        <f t="shared" ca="1" si="408"/>
        <v>DE000A0H08F7</v>
      </c>
      <c r="E52" s="369" t="str">
        <f t="shared" ca="1" si="408"/>
        <v>12980561</v>
      </c>
      <c r="F52" s="367" t="s">
        <v>2802</v>
      </c>
      <c r="G52" s="414"/>
      <c r="H52" s="1683" t="str">
        <f t="shared" ca="1" si="409"/>
        <v></v>
      </c>
      <c r="I52" s="1683" t="str">
        <f t="shared" ca="1" si="410"/>
        <v>i</v>
      </c>
      <c r="J52" s="1713" t="str">
        <f t="shared" ca="1" si="411"/>
        <v></v>
      </c>
      <c r="K52" s="1716" t="str">
        <f t="shared" ca="1" si="411"/>
        <v></v>
      </c>
      <c r="L52" s="1717" t="str">
        <f t="shared" ca="1" si="412"/>
        <v></v>
      </c>
      <c r="M52" s="1786" t="str">
        <f t="shared" ca="1" si="413"/>
        <v>Unit</v>
      </c>
      <c r="N52" s="1136">
        <v>2.5000000000000001E-2</v>
      </c>
      <c r="O52" s="1136"/>
      <c r="P52" s="418"/>
      <c r="Q52" s="391">
        <f t="shared" si="415"/>
        <v>730</v>
      </c>
      <c r="R52" s="391">
        <f t="shared" ca="1" si="416"/>
        <v>-37.890998006411934</v>
      </c>
      <c r="S52" s="883"/>
      <c r="T52" s="883"/>
      <c r="U52" s="375">
        <f t="shared" ca="1" si="417"/>
        <v>-3.46203623813632E-2</v>
      </c>
      <c r="V52" s="391">
        <f t="shared" si="418"/>
        <v>0</v>
      </c>
      <c r="W52" s="367" t="str">
        <f t="shared" ca="1" si="419"/>
        <v>EUR</v>
      </c>
      <c r="X52" s="887">
        <f t="shared" ca="1" si="420"/>
        <v>90.18</v>
      </c>
      <c r="Y52" s="1041">
        <f t="shared" ca="1" si="420"/>
        <v>0</v>
      </c>
      <c r="Z52" s="1042">
        <f t="shared" ca="1" si="470"/>
        <v>1</v>
      </c>
      <c r="AA52" s="197">
        <f>190</f>
        <v>190</v>
      </c>
      <c r="AB52" s="312">
        <f t="shared" ca="1" si="471"/>
        <v>6.1315758503001083E-2</v>
      </c>
      <c r="AC52" s="411">
        <v>84.97</v>
      </c>
      <c r="AD52" s="199">
        <f t="shared" ca="1" si="472"/>
        <v>17134.2</v>
      </c>
      <c r="AE52" s="199">
        <f t="shared" ca="1" si="473"/>
        <v>17134.2</v>
      </c>
      <c r="AF52" s="216">
        <f t="shared" ca="1" si="474"/>
        <v>2.4370817913926937E-2</v>
      </c>
      <c r="AG52" s="202">
        <f t="shared" ca="1" si="475"/>
        <v>4.9052353013382994</v>
      </c>
      <c r="AH52" s="203">
        <f t="shared" ca="1" si="476"/>
        <v>442.35411947468788</v>
      </c>
      <c r="AI52" s="203">
        <f t="shared" ca="1" si="477"/>
        <v>442.35411947468788</v>
      </c>
      <c r="AJ52" s="204">
        <f t="shared" ca="1" si="478"/>
        <v>6.2918208607306431E-4</v>
      </c>
      <c r="AK52" s="205"/>
      <c r="AL52" s="206">
        <f t="shared" ca="1" si="479"/>
        <v>0</v>
      </c>
      <c r="AM52" s="206">
        <f t="shared" ca="1" si="480"/>
        <v>0</v>
      </c>
      <c r="AN52" s="207">
        <f t="shared" ca="1" si="481"/>
        <v>0</v>
      </c>
      <c r="AO52" s="391">
        <f t="shared" si="482"/>
        <v>190</v>
      </c>
      <c r="AP52" s="391">
        <f t="shared" ca="1" si="483"/>
        <v>17134.2</v>
      </c>
      <c r="AQ52" s="391">
        <f t="shared" ca="1" si="484"/>
        <v>17134.2</v>
      </c>
      <c r="AR52" s="886">
        <f t="shared" ca="1" si="485"/>
        <v>2.4370817913926937E-2</v>
      </c>
      <c r="AS52" s="1007" t="str">
        <f t="shared" ca="1" si="486"/>
        <v>V</v>
      </c>
      <c r="AT52" s="197">
        <f>315</f>
        <v>315</v>
      </c>
      <c r="AU52" s="312">
        <f t="shared" ca="1" si="487"/>
        <v>6.1315758503001083E-2</v>
      </c>
      <c r="AV52" s="411">
        <v>84.97</v>
      </c>
      <c r="AW52" s="199">
        <f t="shared" ca="1" si="488"/>
        <v>28406.7</v>
      </c>
      <c r="AX52" s="199">
        <f t="shared" ca="1" si="489"/>
        <v>28406.7</v>
      </c>
      <c r="AY52" s="216">
        <f t="shared" ca="1" si="490"/>
        <v>2.4462437727571933E-2</v>
      </c>
      <c r="AZ52" s="202">
        <f t="shared" ca="1" si="491"/>
        <v>6.9221276187035521</v>
      </c>
      <c r="BA52" s="203">
        <f t="shared" ca="1" si="492"/>
        <v>624.23746865468638</v>
      </c>
      <c r="BB52" s="203">
        <f t="shared" ca="1" si="493"/>
        <v>624.23746865468638</v>
      </c>
      <c r="BC52" s="204">
        <f t="shared" ca="1" si="494"/>
        <v>5.3756227242806806E-4</v>
      </c>
      <c r="BD52" s="205"/>
      <c r="BE52" s="206">
        <f t="shared" ca="1" si="495"/>
        <v>0</v>
      </c>
      <c r="BF52" s="206">
        <f t="shared" ca="1" si="496"/>
        <v>0</v>
      </c>
      <c r="BG52" s="207">
        <f t="shared" ca="1" si="497"/>
        <v>0</v>
      </c>
      <c r="BH52" s="391">
        <f t="shared" si="498"/>
        <v>315</v>
      </c>
      <c r="BI52" s="391">
        <f t="shared" ca="1" si="499"/>
        <v>28406.7</v>
      </c>
      <c r="BJ52" s="391">
        <f t="shared" ca="1" si="500"/>
        <v>28406.7</v>
      </c>
      <c r="BK52" s="886">
        <f t="shared" ca="1" si="501"/>
        <v>2.4462437727571933E-2</v>
      </c>
      <c r="BL52" s="1007" t="str">
        <f t="shared" ca="1" si="502"/>
        <v>V</v>
      </c>
      <c r="BM52" s="197">
        <f>175</f>
        <v>175</v>
      </c>
      <c r="BN52" s="312">
        <f t="shared" ca="1" si="503"/>
        <v>6.1315758503001083E-2</v>
      </c>
      <c r="BO52" s="411">
        <v>84.97</v>
      </c>
      <c r="BP52" s="199">
        <f t="shared" ca="1" si="504"/>
        <v>15781.500000000002</v>
      </c>
      <c r="BQ52" s="199">
        <f t="shared" ca="1" si="505"/>
        <v>15781.500000000002</v>
      </c>
      <c r="BR52" s="216">
        <f t="shared" ca="1" si="506"/>
        <v>2.4959830494078728E-2</v>
      </c>
      <c r="BS52" s="202">
        <f t="shared" ca="1" si="507"/>
        <v>0.28163907354621176</v>
      </c>
      <c r="BT52" s="203">
        <f t="shared" ca="1" si="508"/>
        <v>25.398211652397379</v>
      </c>
      <c r="BU52" s="203">
        <f t="shared" ca="1" si="509"/>
        <v>25.398211652397379</v>
      </c>
      <c r="BV52" s="204">
        <f t="shared" ca="1" si="510"/>
        <v>4.0169505921273246E-5</v>
      </c>
      <c r="BW52" s="205"/>
      <c r="BX52" s="206">
        <f t="shared" ca="1" si="511"/>
        <v>0</v>
      </c>
      <c r="BY52" s="206">
        <f t="shared" ca="1" si="512"/>
        <v>0</v>
      </c>
      <c r="BZ52" s="207">
        <f t="shared" ca="1" si="513"/>
        <v>0</v>
      </c>
      <c r="CA52" s="391">
        <f t="shared" si="514"/>
        <v>175</v>
      </c>
      <c r="CB52" s="391">
        <f t="shared" ca="1" si="515"/>
        <v>15781.500000000002</v>
      </c>
      <c r="CC52" s="391">
        <f t="shared" ca="1" si="516"/>
        <v>15781.500000000002</v>
      </c>
      <c r="CD52" s="886">
        <f t="shared" ca="1" si="517"/>
        <v>2.4959830494078728E-2</v>
      </c>
      <c r="CE52" s="1007" t="str">
        <f t="shared" ca="1" si="518"/>
        <v>V</v>
      </c>
      <c r="CF52" s="197">
        <f>50</f>
        <v>50</v>
      </c>
      <c r="CG52" s="312">
        <f t="shared" ca="1" si="519"/>
        <v>6.1315758503001083E-2</v>
      </c>
      <c r="CH52" s="411">
        <v>84.97</v>
      </c>
      <c r="CI52" s="199">
        <f ca="1">CF52*$X52</f>
        <v>4509</v>
      </c>
      <c r="CJ52" s="199">
        <f ca="1">CI52*$Z52</f>
        <v>4509</v>
      </c>
      <c r="CK52" s="216">
        <f ca="1">IFERROR(CJ52/CF$4,0)</f>
        <v>2.8277326012888286E-2</v>
      </c>
      <c r="CL52" s="202">
        <f t="shared" ca="1" si="520"/>
        <v>-49.999999999999993</v>
      </c>
      <c r="CM52" s="203">
        <f ca="1">CN52/$Z52</f>
        <v>-4509</v>
      </c>
      <c r="CN52" s="203">
        <f ca="1">CO52*CF$4</f>
        <v>-4509</v>
      </c>
      <c r="CO52" s="204">
        <f t="shared" ca="1" si="521"/>
        <v>-2.8277326012888286E-2</v>
      </c>
      <c r="CP52" s="205"/>
      <c r="CQ52" s="206">
        <f ca="1">CP52*$X52</f>
        <v>0</v>
      </c>
      <c r="CR52" s="206">
        <f ca="1">CQ52*$Z52</f>
        <v>0</v>
      </c>
      <c r="CS52" s="207">
        <f ca="1">IFERROR(CR52/CF$4,0)</f>
        <v>0</v>
      </c>
      <c r="CT52" s="391">
        <f t="shared" si="522"/>
        <v>50</v>
      </c>
      <c r="CU52" s="391">
        <f t="shared" ca="1" si="523"/>
        <v>4509</v>
      </c>
      <c r="CV52" s="391">
        <f ca="1">CU52*$Z52</f>
        <v>4509</v>
      </c>
      <c r="CW52" s="886">
        <f ca="1">IFERROR(CV52/CF$4,0)</f>
        <v>2.8277326012888286E-2</v>
      </c>
      <c r="CX52" s="1007" t="str">
        <f t="shared" ca="1" si="524"/>
        <v>V</v>
      </c>
    </row>
    <row r="53" spans="1:102" ht="12.6" hidden="1" customHeight="1" outlineLevel="1" x14ac:dyDescent="0.2">
      <c r="A53" s="367"/>
      <c r="B53" s="367"/>
      <c r="C53" s="367" t="str">
        <f t="shared" ca="1" si="407"/>
        <v>DE000A0H08J9:EUR:STU</v>
      </c>
      <c r="D53" s="368" t="str">
        <f t="shared" ca="1" si="408"/>
        <v>DE000A0H08J9</v>
      </c>
      <c r="E53" s="369" t="str">
        <f t="shared" ca="1" si="408"/>
        <v>12980675</v>
      </c>
      <c r="F53" s="367" t="s">
        <v>2943</v>
      </c>
      <c r="G53" s="414"/>
      <c r="H53" s="1683" t="str">
        <f t="shared" ca="1" si="409"/>
        <v></v>
      </c>
      <c r="I53" s="1683" t="str">
        <f t="shared" ca="1" si="410"/>
        <v>i</v>
      </c>
      <c r="J53" s="1713" t="str">
        <f t="shared" ca="1" si="411"/>
        <v></v>
      </c>
      <c r="K53" s="1716" t="str">
        <f t="shared" ca="1" si="411"/>
        <v></v>
      </c>
      <c r="L53" s="1717" t="str">
        <f t="shared" ca="1" si="412"/>
        <v></v>
      </c>
      <c r="M53" s="1786" t="str">
        <f t="shared" ca="1" si="413"/>
        <v>Unit</v>
      </c>
      <c r="N53" s="1136">
        <v>2.5000000000000001E-2</v>
      </c>
      <c r="O53" s="1136"/>
      <c r="P53" s="418"/>
      <c r="Q53" s="391">
        <f t="shared" si="415"/>
        <v>615</v>
      </c>
      <c r="R53" s="391">
        <f t="shared" ca="1" si="416"/>
        <v>-58.722016044725677</v>
      </c>
      <c r="S53" s="883"/>
      <c r="T53" s="883"/>
      <c r="U53" s="375">
        <f t="shared" ca="1" si="417"/>
        <v>-3.4458993797381196E-2</v>
      </c>
      <c r="V53" s="391">
        <f t="shared" si="418"/>
        <v>0</v>
      </c>
      <c r="W53" s="367" t="str">
        <f t="shared" ca="1" si="419"/>
        <v>EUR</v>
      </c>
      <c r="X53" s="887">
        <f t="shared" ca="1" si="420"/>
        <v>112.2</v>
      </c>
      <c r="Y53" s="1041">
        <f t="shared" ca="1" si="420"/>
        <v>0</v>
      </c>
      <c r="Z53" s="1042">
        <f t="shared" ca="1" si="470"/>
        <v>1</v>
      </c>
      <c r="AA53" s="197">
        <f>160</f>
        <v>160</v>
      </c>
      <c r="AB53" s="312">
        <f t="shared" ca="1" si="471"/>
        <v>6.8978658536585469E-2</v>
      </c>
      <c r="AC53" s="411">
        <v>104.96</v>
      </c>
      <c r="AD53" s="199">
        <f t="shared" ca="1" si="472"/>
        <v>17952</v>
      </c>
      <c r="AE53" s="199">
        <f t="shared" ca="1" si="473"/>
        <v>17952</v>
      </c>
      <c r="AF53" s="216">
        <f t="shared" ca="1" si="474"/>
        <v>2.553401519713884E-2</v>
      </c>
      <c r="AG53" s="202">
        <f t="shared" ca="1" si="475"/>
        <v>-3.346219969031281</v>
      </c>
      <c r="AH53" s="203">
        <f t="shared" ca="1" si="476"/>
        <v>-375.44588052530975</v>
      </c>
      <c r="AI53" s="203">
        <f t="shared" ca="1" si="477"/>
        <v>-375.44588052530975</v>
      </c>
      <c r="AJ53" s="204">
        <f t="shared" ca="1" si="478"/>
        <v>-5.3401519713883877E-4</v>
      </c>
      <c r="AK53" s="205"/>
      <c r="AL53" s="206">
        <f t="shared" ca="1" si="479"/>
        <v>0</v>
      </c>
      <c r="AM53" s="206">
        <f t="shared" ca="1" si="480"/>
        <v>0</v>
      </c>
      <c r="AN53" s="207">
        <f t="shared" ca="1" si="481"/>
        <v>0</v>
      </c>
      <c r="AO53" s="391">
        <f t="shared" si="482"/>
        <v>160</v>
      </c>
      <c r="AP53" s="391">
        <f t="shared" ca="1" si="483"/>
        <v>17952</v>
      </c>
      <c r="AQ53" s="391">
        <f t="shared" ca="1" si="484"/>
        <v>17952</v>
      </c>
      <c r="AR53" s="886">
        <f t="shared" ca="1" si="485"/>
        <v>2.553401519713884E-2</v>
      </c>
      <c r="AS53" s="1007" t="str">
        <f t="shared" ca="1" si="486"/>
        <v>V</v>
      </c>
      <c r="AT53" s="197">
        <f>260</f>
        <v>260</v>
      </c>
      <c r="AU53" s="312">
        <f t="shared" ca="1" si="487"/>
        <v>6.8978658536585469E-2</v>
      </c>
      <c r="AV53" s="411">
        <v>104.96</v>
      </c>
      <c r="AW53" s="199">
        <f t="shared" ca="1" si="488"/>
        <v>29172</v>
      </c>
      <c r="AX53" s="199">
        <f t="shared" ca="1" si="489"/>
        <v>29172</v>
      </c>
      <c r="AY53" s="216">
        <f t="shared" ca="1" si="490"/>
        <v>2.5121476038706656E-2</v>
      </c>
      <c r="AZ53" s="202">
        <f t="shared" ca="1" si="491"/>
        <v>-1.257241812346799</v>
      </c>
      <c r="BA53" s="203">
        <f t="shared" ca="1" si="492"/>
        <v>-141.06253134531084</v>
      </c>
      <c r="BB53" s="203">
        <f t="shared" ca="1" si="493"/>
        <v>-141.06253134531084</v>
      </c>
      <c r="BC53" s="204">
        <f t="shared" ca="1" si="494"/>
        <v>-1.2147603870665477E-4</v>
      </c>
      <c r="BD53" s="205"/>
      <c r="BE53" s="206">
        <f t="shared" ca="1" si="495"/>
        <v>0</v>
      </c>
      <c r="BF53" s="206">
        <f t="shared" ca="1" si="496"/>
        <v>0</v>
      </c>
      <c r="BG53" s="207">
        <f t="shared" ca="1" si="497"/>
        <v>0</v>
      </c>
      <c r="BH53" s="391">
        <f t="shared" si="498"/>
        <v>260</v>
      </c>
      <c r="BI53" s="391">
        <f t="shared" ca="1" si="499"/>
        <v>29172</v>
      </c>
      <c r="BJ53" s="391">
        <f t="shared" ca="1" si="500"/>
        <v>29172</v>
      </c>
      <c r="BK53" s="886">
        <f t="shared" ca="1" si="501"/>
        <v>2.5121476038706656E-2</v>
      </c>
      <c r="BL53" s="1007" t="str">
        <f t="shared" ca="1" si="502"/>
        <v>V</v>
      </c>
      <c r="BM53" s="197">
        <f>145</f>
        <v>145</v>
      </c>
      <c r="BN53" s="312">
        <f t="shared" ca="1" si="503"/>
        <v>6.8978658536585469E-2</v>
      </c>
      <c r="BO53" s="411">
        <v>104.96</v>
      </c>
      <c r="BP53" s="199">
        <f t="shared" ca="1" si="504"/>
        <v>16269</v>
      </c>
      <c r="BQ53" s="199">
        <f t="shared" ca="1" si="505"/>
        <v>16269</v>
      </c>
      <c r="BR53" s="216">
        <f t="shared" ca="1" si="506"/>
        <v>2.573085462777092E-2</v>
      </c>
      <c r="BS53" s="202">
        <f t="shared" ca="1" si="507"/>
        <v>-4.1185542633475949</v>
      </c>
      <c r="BT53" s="203">
        <f t="shared" ca="1" si="508"/>
        <v>-462.10178834760018</v>
      </c>
      <c r="BU53" s="203">
        <f t="shared" ca="1" si="509"/>
        <v>-462.10178834760018</v>
      </c>
      <c r="BV53" s="204">
        <f t="shared" ca="1" si="510"/>
        <v>-7.3085462777091811E-4</v>
      </c>
      <c r="BW53" s="205"/>
      <c r="BX53" s="206">
        <f t="shared" ca="1" si="511"/>
        <v>0</v>
      </c>
      <c r="BY53" s="206">
        <f t="shared" ca="1" si="512"/>
        <v>0</v>
      </c>
      <c r="BZ53" s="207">
        <f t="shared" ca="1" si="513"/>
        <v>0</v>
      </c>
      <c r="CA53" s="391">
        <f t="shared" si="514"/>
        <v>145</v>
      </c>
      <c r="CB53" s="391">
        <f t="shared" ca="1" si="515"/>
        <v>16269</v>
      </c>
      <c r="CC53" s="391">
        <f t="shared" ca="1" si="516"/>
        <v>16269</v>
      </c>
      <c r="CD53" s="886">
        <f t="shared" ca="1" si="517"/>
        <v>2.573085462777092E-2</v>
      </c>
      <c r="CE53" s="1007" t="str">
        <f t="shared" ca="1" si="518"/>
        <v>V</v>
      </c>
      <c r="CF53" s="197">
        <f>50</f>
        <v>50</v>
      </c>
      <c r="CG53" s="312">
        <f t="shared" ca="1" si="519"/>
        <v>6.8978658536585469E-2</v>
      </c>
      <c r="CH53" s="411">
        <v>104.96</v>
      </c>
      <c r="CI53" s="199">
        <f ca="1">CF53*$X53</f>
        <v>5610</v>
      </c>
      <c r="CJ53" s="199">
        <f ca="1">CI53*$Z53</f>
        <v>5610</v>
      </c>
      <c r="CK53" s="216">
        <f ca="1">IFERROR(CJ53/CF$4,0)</f>
        <v>3.5182035691351365E-2</v>
      </c>
      <c r="CL53" s="202">
        <f t="shared" ca="1" si="520"/>
        <v>-50.000000000000007</v>
      </c>
      <c r="CM53" s="203">
        <f ca="1">CN53/$Z53</f>
        <v>-5610.0000000000009</v>
      </c>
      <c r="CN53" s="203">
        <f ca="1">CO53*CF$4</f>
        <v>-5610.0000000000009</v>
      </c>
      <c r="CO53" s="204">
        <f t="shared" ca="1" si="521"/>
        <v>-3.5182035691351365E-2</v>
      </c>
      <c r="CP53" s="205"/>
      <c r="CQ53" s="206">
        <f ca="1">CP53*$X53</f>
        <v>0</v>
      </c>
      <c r="CR53" s="206">
        <f ca="1">CQ53*$Z53</f>
        <v>0</v>
      </c>
      <c r="CS53" s="207">
        <f ca="1">IFERROR(CR53/CF$4,0)</f>
        <v>0</v>
      </c>
      <c r="CT53" s="391">
        <f t="shared" si="522"/>
        <v>50</v>
      </c>
      <c r="CU53" s="391">
        <f t="shared" ca="1" si="523"/>
        <v>5610</v>
      </c>
      <c r="CV53" s="391">
        <f ca="1">CU53*$Z53</f>
        <v>5610</v>
      </c>
      <c r="CW53" s="886">
        <f ca="1">IFERROR(CV53/CF$4,0)</f>
        <v>3.5182035691351365E-2</v>
      </c>
      <c r="CX53" s="1007" t="str">
        <f t="shared" ca="1" si="524"/>
        <v>V</v>
      </c>
    </row>
    <row r="54" spans="1:102" ht="12.6" hidden="1" customHeight="1" outlineLevel="1" x14ac:dyDescent="0.2">
      <c r="A54" s="367"/>
      <c r="B54" s="367"/>
      <c r="C54" s="367" t="str">
        <f t="shared" ca="1" si="407"/>
        <v>DE000A0H08K7:EUR:STU</v>
      </c>
      <c r="D54" s="368" t="str">
        <f t="shared" ca="1" si="408"/>
        <v>DE000A0H08K7</v>
      </c>
      <c r="E54" s="369" t="str">
        <f t="shared" ca="1" si="408"/>
        <v>12980686</v>
      </c>
      <c r="F54" s="367" t="s">
        <v>438</v>
      </c>
      <c r="G54" s="414"/>
      <c r="H54" s="1683" t="str">
        <f t="shared" ca="1" si="409"/>
        <v></v>
      </c>
      <c r="I54" s="1683" t="str">
        <f t="shared" ca="1" si="410"/>
        <v>i</v>
      </c>
      <c r="J54" s="1713" t="str">
        <f t="shared" ca="1" si="411"/>
        <v></v>
      </c>
      <c r="K54" s="1716" t="str">
        <f t="shared" ca="1" si="411"/>
        <v></v>
      </c>
      <c r="L54" s="1717" t="str">
        <f t="shared" ca="1" si="412"/>
        <v></v>
      </c>
      <c r="M54" s="1786" t="str">
        <f t="shared" ca="1" si="413"/>
        <v>Unit</v>
      </c>
      <c r="N54" s="1136">
        <v>2.5000000000000001E-2</v>
      </c>
      <c r="O54" s="1136">
        <v>0.05</v>
      </c>
      <c r="P54" s="418">
        <v>6.6600000000000006E-2</v>
      </c>
      <c r="Q54" s="391">
        <f t="shared" si="415"/>
        <v>1325</v>
      </c>
      <c r="R54" s="391">
        <f t="shared" ca="1" si="416"/>
        <v>145.84335441122877</v>
      </c>
      <c r="S54" s="883"/>
      <c r="T54" s="883"/>
      <c r="U54" s="375">
        <f t="shared" ca="1" si="417"/>
        <v>-4.6637309847878304E-2</v>
      </c>
      <c r="V54" s="391">
        <f t="shared" si="418"/>
        <v>0</v>
      </c>
      <c r="W54" s="367" t="str">
        <f t="shared" ca="1" si="419"/>
        <v>EUR</v>
      </c>
      <c r="X54" s="887">
        <f t="shared" ca="1" si="420"/>
        <v>47.854999999999997</v>
      </c>
      <c r="Y54" s="1041">
        <f t="shared" ca="1" si="420"/>
        <v>0</v>
      </c>
      <c r="Z54" s="1042">
        <f t="shared" ref="Z54:Z58" ca="1" si="525">_xlfn.NUMBERVALUE(OFFSET(Origine,MATCH(W54&amp;"/"&amp;MRif,LUKB_Name,0),MATCH("Price",Intestazioni,0)-1,1,1))</f>
        <v>1</v>
      </c>
      <c r="AA54" s="197">
        <f>330</f>
        <v>330</v>
      </c>
      <c r="AB54" s="312">
        <f t="shared" ref="AB54:AB58" ca="1" si="526">IFERROR($X54/AC54-1,"")</f>
        <v>9.7930193349355932E-3</v>
      </c>
      <c r="AC54" s="411">
        <v>47.390900000000002</v>
      </c>
      <c r="AD54" s="199">
        <f t="shared" ref="AD54:AD58" ca="1" si="527">AA54*$X54</f>
        <v>15792.15</v>
      </c>
      <c r="AE54" s="199">
        <f t="shared" ref="AE54:AE58" ca="1" si="528">AD54*$Z54</f>
        <v>15792.15</v>
      </c>
      <c r="AF54" s="216">
        <f t="shared" ca="1" si="292"/>
        <v>2.2461953993733075E-2</v>
      </c>
      <c r="AG54" s="202">
        <f t="shared" ref="AG54:AG58" ca="1" si="529">AH54/$X54</f>
        <v>37.287725827493247</v>
      </c>
      <c r="AH54" s="203">
        <f t="shared" ref="AH54:AH58" ca="1" si="530">AI54/$Z54</f>
        <v>1784.4041194746892</v>
      </c>
      <c r="AI54" s="203">
        <f t="shared" ref="AI54:AI58" ca="1" si="531">AJ54*AA$4</f>
        <v>1784.4041194746892</v>
      </c>
      <c r="AJ54" s="204">
        <f t="shared" ref="AJ54:AJ58" ca="1" si="532">$N54-AF54</f>
        <v>2.5380460062669266E-3</v>
      </c>
      <c r="AK54" s="205"/>
      <c r="AL54" s="206">
        <f t="shared" ref="AL54:AL58" ca="1" si="533">AK54*$X54</f>
        <v>0</v>
      </c>
      <c r="AM54" s="206">
        <f t="shared" ref="AM54:AM58" ca="1" si="534">AL54*$Z54</f>
        <v>0</v>
      </c>
      <c r="AN54" s="207">
        <f t="shared" ca="1" si="299"/>
        <v>0</v>
      </c>
      <c r="AO54" s="391">
        <f t="shared" ref="AO54:AO58" si="535">AA54+AK54</f>
        <v>330</v>
      </c>
      <c r="AP54" s="391">
        <f t="shared" ref="AP54:AP56" ca="1" si="536">AD54+IF($T54="",AL54)</f>
        <v>15792.15</v>
      </c>
      <c r="AQ54" s="391">
        <f t="shared" ref="AQ54:AQ58" ca="1" si="537">AP54*$Z54</f>
        <v>15792.15</v>
      </c>
      <c r="AR54" s="886">
        <f t="shared" ca="1" si="26"/>
        <v>2.2461953993733075E-2</v>
      </c>
      <c r="AS54" s="1007" t="str">
        <f t="shared" ca="1" si="15"/>
        <v>V</v>
      </c>
      <c r="AT54" s="197">
        <f>550</f>
        <v>550</v>
      </c>
      <c r="AU54" s="312">
        <f t="shared" ref="AU54:AU58" ca="1" si="538">IFERROR($X54/AV54-1,"")</f>
        <v>9.7930193349355932E-3</v>
      </c>
      <c r="AV54" s="411">
        <v>47.390900000000002</v>
      </c>
      <c r="AW54" s="199">
        <f t="shared" ref="AW54:AW58" ca="1" si="539">AT54*$X54</f>
        <v>26320.25</v>
      </c>
      <c r="AX54" s="199">
        <f t="shared" ref="AX54:AX58" ca="1" si="540">AW54*$Z54</f>
        <v>26320.25</v>
      </c>
      <c r="AY54" s="216">
        <f t="shared" ca="1" si="307"/>
        <v>2.266569072082027E-2</v>
      </c>
      <c r="AZ54" s="202">
        <f t="shared" ref="AZ54:AZ58" ca="1" si="541">BA54/$X54</f>
        <v>56.643766976380455</v>
      </c>
      <c r="BA54" s="203">
        <f t="shared" ref="BA54:BA58" ca="1" si="542">BB54/$Z54</f>
        <v>2710.6874686546867</v>
      </c>
      <c r="BB54" s="203">
        <f t="shared" ref="BB54:BB58" ca="1" si="543">BC54*AT$4</f>
        <v>2710.6874686546867</v>
      </c>
      <c r="BC54" s="204">
        <f t="shared" ref="BC54:BC58" ca="1" si="544">$N54-AY54</f>
        <v>2.3343092791797311E-3</v>
      </c>
      <c r="BD54" s="205"/>
      <c r="BE54" s="206">
        <f t="shared" ref="BE54:BE58" ca="1" si="545">BD54*$X54</f>
        <v>0</v>
      </c>
      <c r="BF54" s="206">
        <f t="shared" ref="BF54:BF58" ca="1" si="546">BE54*$Z54</f>
        <v>0</v>
      </c>
      <c r="BG54" s="207">
        <f t="shared" ca="1" si="314"/>
        <v>0</v>
      </c>
      <c r="BH54" s="391">
        <f t="shared" ref="BH54:BH58" si="547">AT54+BD54</f>
        <v>550</v>
      </c>
      <c r="BI54" s="391">
        <f t="shared" ref="BI54:BI56" ca="1" si="548">AW54+IF($T54="",BE54)</f>
        <v>26320.25</v>
      </c>
      <c r="BJ54" s="391">
        <f t="shared" ref="BJ54:BJ58" ca="1" si="549">BI54*$Z54</f>
        <v>26320.25</v>
      </c>
      <c r="BK54" s="886">
        <f t="shared" ca="1" si="72"/>
        <v>2.266569072082027E-2</v>
      </c>
      <c r="BL54" s="1007" t="str">
        <f t="shared" ca="1" si="17"/>
        <v>V</v>
      </c>
      <c r="BM54" s="197">
        <f>300</f>
        <v>300</v>
      </c>
      <c r="BN54" s="312">
        <f t="shared" ref="BN54:BN58" ca="1" si="550">IFERROR($X54/BO54-1,"")</f>
        <v>9.7930193349355932E-3</v>
      </c>
      <c r="BO54" s="411">
        <v>47.390900000000002</v>
      </c>
      <c r="BP54" s="199">
        <f t="shared" ref="BP54:BP58" ca="1" si="551">BM54*$X54</f>
        <v>14356.499999999998</v>
      </c>
      <c r="BQ54" s="199">
        <f t="shared" ref="BQ54:BQ58" ca="1" si="552">BP54*$Z54</f>
        <v>14356.499999999998</v>
      </c>
      <c r="BR54" s="216">
        <f t="shared" ca="1" si="6"/>
        <v>2.270606764174769E-2</v>
      </c>
      <c r="BS54" s="202">
        <f t="shared" ref="BS54:BS58" ca="1" si="553">BT54/$X54</f>
        <v>30.308185386112246</v>
      </c>
      <c r="BT54" s="203">
        <f t="shared" ref="BT54:BT58" ca="1" si="554">BU54/$Z54</f>
        <v>1450.3982116524014</v>
      </c>
      <c r="BU54" s="203">
        <f t="shared" ref="BU54:BU58" ca="1" si="555">BV54*BM$4</f>
        <v>1450.3982116524014</v>
      </c>
      <c r="BV54" s="204">
        <f t="shared" ref="BV54:BV58" ca="1" si="556">$N54-BR54</f>
        <v>2.2939323582523118E-3</v>
      </c>
      <c r="BW54" s="205"/>
      <c r="BX54" s="206">
        <f t="shared" ref="BX54:BX58" ca="1" si="557">BW54*$X54</f>
        <v>0</v>
      </c>
      <c r="BY54" s="206">
        <f t="shared" ref="BY54:BY58" ca="1" si="558">BX54*$Z54</f>
        <v>0</v>
      </c>
      <c r="BZ54" s="207">
        <f t="shared" ca="1" si="7"/>
        <v>0</v>
      </c>
      <c r="CA54" s="391">
        <f t="shared" ref="CA54:CA58" si="559">BM54+BW54</f>
        <v>300</v>
      </c>
      <c r="CB54" s="391">
        <f t="shared" ref="CB54:CB56" ca="1" si="560">BP54+IF($T54="",BX54)</f>
        <v>14356.499999999998</v>
      </c>
      <c r="CC54" s="391">
        <f t="shared" ref="CC54:CC58" ca="1" si="561">CB54*$Z54</f>
        <v>14356.499999999998</v>
      </c>
      <c r="CD54" s="886">
        <f t="shared" ca="1" si="76"/>
        <v>2.270606764174769E-2</v>
      </c>
      <c r="CE54" s="1007" t="str">
        <f t="shared" ca="1" si="19"/>
        <v>V</v>
      </c>
      <c r="CF54" s="197">
        <f>145</f>
        <v>145</v>
      </c>
      <c r="CG54" s="312">
        <f t="shared" ref="CG54:CG58" ca="1" si="562">IFERROR($X54/CH54-1,"")</f>
        <v>9.7930193349355932E-3</v>
      </c>
      <c r="CH54" s="411">
        <v>47.390900000000002</v>
      </c>
      <c r="CI54" s="199">
        <f ca="1">CF54*$X54</f>
        <v>6938.9749999999995</v>
      </c>
      <c r="CJ54" s="199">
        <f ca="1">CI54*$Z54</f>
        <v>6938.9749999999995</v>
      </c>
      <c r="CK54" s="216">
        <f ca="1">IFERROR(CJ54/CF$4,0)</f>
        <v>4.3516446722173759E-2</v>
      </c>
      <c r="CL54" s="202">
        <f t="shared" ref="CL54:CL55" ca="1" si="563">CM54/$X54</f>
        <v>21.603676221242818</v>
      </c>
      <c r="CM54" s="203">
        <f ca="1">CN54/$Z54</f>
        <v>1033.8439255675751</v>
      </c>
      <c r="CN54" s="203">
        <f ca="1">CO54*CF$4</f>
        <v>1033.8439255675751</v>
      </c>
      <c r="CO54" s="204">
        <f t="shared" ref="CO54:CO58" ca="1" si="564">$O54-CK54</f>
        <v>6.4835532778262442E-3</v>
      </c>
      <c r="CP54" s="205"/>
      <c r="CQ54" s="206">
        <f ca="1">CP54*$X54</f>
        <v>0</v>
      </c>
      <c r="CR54" s="206">
        <f ca="1">CQ54*$Z54</f>
        <v>0</v>
      </c>
      <c r="CS54" s="207">
        <f ca="1">IFERROR(CR54/CF$4,0)</f>
        <v>0</v>
      </c>
      <c r="CT54" s="391">
        <f t="shared" ref="CT54:CT58" si="565">CF54+CP54</f>
        <v>145</v>
      </c>
      <c r="CU54" s="391">
        <f t="shared" ref="CU54:CU56" ca="1" si="566">CI54+IF($T54="",CQ54)</f>
        <v>6938.9749999999995</v>
      </c>
      <c r="CV54" s="391">
        <f ca="1">CU54*$Z54</f>
        <v>6938.9749999999995</v>
      </c>
      <c r="CW54" s="886">
        <f ca="1">IFERROR(CV54/CF$4,0)</f>
        <v>4.3516446722173759E-2</v>
      </c>
      <c r="CX54" s="1007" t="str">
        <f t="shared" ca="1" si="21"/>
        <v>V</v>
      </c>
    </row>
    <row r="55" spans="1:102" ht="12.6" hidden="1" customHeight="1" outlineLevel="1" x14ac:dyDescent="0.2">
      <c r="A55" s="367"/>
      <c r="B55" s="367"/>
      <c r="C55" s="367" t="str">
        <f t="shared" ca="1" si="407"/>
        <v>DE000A0H08M3:EUR:STU</v>
      </c>
      <c r="D55" s="368" t="str">
        <f t="shared" ca="1" si="408"/>
        <v>DE000A0H08M3</v>
      </c>
      <c r="E55" s="369" t="str">
        <f t="shared" ca="1" si="408"/>
        <v>12980919</v>
      </c>
      <c r="F55" s="367" t="s">
        <v>3016</v>
      </c>
      <c r="G55" s="414"/>
      <c r="H55" s="1683" t="str">
        <f t="shared" ca="1" si="409"/>
        <v></v>
      </c>
      <c r="I55" s="1683" t="str">
        <f t="shared" ca="1" si="410"/>
        <v>i</v>
      </c>
      <c r="J55" s="1713" t="str">
        <f t="shared" ca="1" si="411"/>
        <v></v>
      </c>
      <c r="K55" s="1716" t="str">
        <f t="shared" ca="1" si="411"/>
        <v></v>
      </c>
      <c r="L55" s="1717" t="str">
        <f t="shared" ca="1" si="412"/>
        <v></v>
      </c>
      <c r="M55" s="1786" t="str">
        <f t="shared" ca="1" si="413"/>
        <v>Unit</v>
      </c>
      <c r="N55" s="1136">
        <v>2.5000000000000001E-2</v>
      </c>
      <c r="O55" s="1136">
        <v>0.05</v>
      </c>
      <c r="P55" s="418"/>
      <c r="Q55" s="391">
        <f t="shared" si="415"/>
        <v>1500</v>
      </c>
      <c r="R55" s="391">
        <f t="shared" ca="1" si="416"/>
        <v>-57.343539140205955</v>
      </c>
      <c r="S55" s="883"/>
      <c r="T55" s="883" t="s">
        <v>754</v>
      </c>
      <c r="U55" s="375">
        <f t="shared" ca="1" si="417"/>
        <v>-3.0002006823198899E-2</v>
      </c>
      <c r="V55" s="391">
        <f t="shared" si="418"/>
        <v>0</v>
      </c>
      <c r="W55" s="367" t="str">
        <f t="shared" ca="1" si="419"/>
        <v>EUR</v>
      </c>
      <c r="X55" s="887">
        <f t="shared" ca="1" si="420"/>
        <v>48.79</v>
      </c>
      <c r="Y55" s="1041">
        <f t="shared" ca="1" si="420"/>
        <v>0</v>
      </c>
      <c r="Z55" s="1042">
        <f t="shared" ref="Z55:Z56" ca="1" si="567">_xlfn.NUMBERVALUE(OFFSET(Origine,MATCH(W55&amp;"/"&amp;MRif,LUKB_Name,0),MATCH("Price",Intestazioni,0)-1,1,1))</f>
        <v>1</v>
      </c>
      <c r="AA55" s="197">
        <f>390</f>
        <v>390</v>
      </c>
      <c r="AB55" s="312">
        <f t="shared" ca="1" si="526"/>
        <v>0.10282566584314501</v>
      </c>
      <c r="AC55" s="1008">
        <v>44.240900000000003</v>
      </c>
      <c r="AD55" s="199">
        <f t="shared" ca="1" si="527"/>
        <v>19028.099999999999</v>
      </c>
      <c r="AE55" s="199">
        <f t="shared" ca="1" si="528"/>
        <v>19028.099999999999</v>
      </c>
      <c r="AF55" s="216">
        <f t="shared" ca="1" si="292"/>
        <v>2.7064605312649152E-2</v>
      </c>
      <c r="AG55" s="202">
        <f t="shared" ca="1" si="529"/>
        <v>-29.750889127389012</v>
      </c>
      <c r="AH55" s="203">
        <f t="shared" ca="1" si="530"/>
        <v>-1451.5458805253099</v>
      </c>
      <c r="AI55" s="203">
        <f t="shared" ca="1" si="531"/>
        <v>-1451.5458805253099</v>
      </c>
      <c r="AJ55" s="204">
        <f t="shared" ca="1" si="532"/>
        <v>-2.0646053126491502E-3</v>
      </c>
      <c r="AK55" s="205"/>
      <c r="AL55" s="206">
        <f t="shared" ca="1" si="533"/>
        <v>0</v>
      </c>
      <c r="AM55" s="206">
        <f t="shared" ca="1" si="534"/>
        <v>0</v>
      </c>
      <c r="AN55" s="207">
        <f t="shared" ca="1" si="299"/>
        <v>0</v>
      </c>
      <c r="AO55" s="391">
        <f t="shared" ref="AO55:AO56" si="568">AA55+AK55</f>
        <v>390</v>
      </c>
      <c r="AP55" s="391">
        <f t="shared" ca="1" si="536"/>
        <v>19028.099999999999</v>
      </c>
      <c r="AQ55" s="391">
        <f t="shared" ca="1" si="537"/>
        <v>19028.099999999999</v>
      </c>
      <c r="AR55" s="886">
        <f t="shared" ca="1" si="26"/>
        <v>2.7064605312649152E-2</v>
      </c>
      <c r="AS55" s="1007" t="str">
        <f t="shared" ca="1" si="15"/>
        <v>V</v>
      </c>
      <c r="AT55" s="197">
        <f>640</f>
        <v>640</v>
      </c>
      <c r="AU55" s="312">
        <f t="shared" ca="1" si="538"/>
        <v>0.10282566584314501</v>
      </c>
      <c r="AV55" s="1008">
        <v>44.240900000000003</v>
      </c>
      <c r="AW55" s="199">
        <f t="shared" ca="1" si="539"/>
        <v>31225.599999999999</v>
      </c>
      <c r="AX55" s="199">
        <f t="shared" ca="1" si="540"/>
        <v>31225.599999999999</v>
      </c>
      <c r="AY55" s="216">
        <f t="shared" ca="1" si="307"/>
        <v>2.688993425868088E-2</v>
      </c>
      <c r="AZ55" s="202">
        <f t="shared" ca="1" si="541"/>
        <v>-44.981810439543203</v>
      </c>
      <c r="BA55" s="203">
        <f t="shared" ca="1" si="542"/>
        <v>-2194.6625313453128</v>
      </c>
      <c r="BB55" s="203">
        <f t="shared" ca="1" si="543"/>
        <v>-2194.6625313453128</v>
      </c>
      <c r="BC55" s="204">
        <f t="shared" ca="1" si="544"/>
        <v>-1.8899342586808782E-3</v>
      </c>
      <c r="BD55" s="205"/>
      <c r="BE55" s="206">
        <f t="shared" ca="1" si="545"/>
        <v>0</v>
      </c>
      <c r="BF55" s="206">
        <f t="shared" ca="1" si="546"/>
        <v>0</v>
      </c>
      <c r="BG55" s="207">
        <f t="shared" ca="1" si="314"/>
        <v>0</v>
      </c>
      <c r="BH55" s="391">
        <f t="shared" ref="BH55:BH56" si="569">AT55+BD55</f>
        <v>640</v>
      </c>
      <c r="BI55" s="391">
        <f t="shared" ca="1" si="548"/>
        <v>31225.599999999999</v>
      </c>
      <c r="BJ55" s="391">
        <f t="shared" ca="1" si="549"/>
        <v>31225.599999999999</v>
      </c>
      <c r="BK55" s="886">
        <f t="shared" ca="1" si="72"/>
        <v>2.688993425868088E-2</v>
      </c>
      <c r="BL55" s="1007" t="str">
        <f t="shared" ca="1" si="17"/>
        <v>V</v>
      </c>
      <c r="BM55" s="197">
        <f>350</f>
        <v>350</v>
      </c>
      <c r="BN55" s="312">
        <f t="shared" ca="1" si="550"/>
        <v>0.10282566584314501</v>
      </c>
      <c r="BO55" s="1008">
        <v>44.240900000000003</v>
      </c>
      <c r="BP55" s="199">
        <f t="shared" ca="1" si="551"/>
        <v>17076.5</v>
      </c>
      <c r="BQ55" s="199">
        <f t="shared" ca="1" si="552"/>
        <v>17076.5</v>
      </c>
      <c r="BR55" s="216">
        <f t="shared" ca="1" si="6"/>
        <v>2.7007986910758505E-2</v>
      </c>
      <c r="BS55" s="202">
        <f t="shared" ca="1" si="553"/>
        <v>-26.021762417454404</v>
      </c>
      <c r="BT55" s="203">
        <f t="shared" ca="1" si="554"/>
        <v>-1269.6017883476004</v>
      </c>
      <c r="BU55" s="203">
        <f t="shared" ca="1" si="555"/>
        <v>-1269.6017883476004</v>
      </c>
      <c r="BV55" s="204">
        <f t="shared" ca="1" si="556"/>
        <v>-2.0079869107585031E-3</v>
      </c>
      <c r="BW55" s="205"/>
      <c r="BX55" s="206">
        <f t="shared" ca="1" si="557"/>
        <v>0</v>
      </c>
      <c r="BY55" s="206">
        <f t="shared" ca="1" si="558"/>
        <v>0</v>
      </c>
      <c r="BZ55" s="207">
        <f t="shared" ca="1" si="7"/>
        <v>0</v>
      </c>
      <c r="CA55" s="391">
        <f t="shared" ref="CA55:CA56" si="570">BM55+BW55</f>
        <v>350</v>
      </c>
      <c r="CB55" s="391">
        <f t="shared" ca="1" si="560"/>
        <v>17076.5</v>
      </c>
      <c r="CC55" s="391">
        <f t="shared" ca="1" si="561"/>
        <v>17076.5</v>
      </c>
      <c r="CD55" s="886">
        <f t="shared" ca="1" si="76"/>
        <v>2.7007986910758505E-2</v>
      </c>
      <c r="CE55" s="1007" t="str">
        <f t="shared" ca="1" si="19"/>
        <v>V</v>
      </c>
      <c r="CF55" s="197">
        <f>120</f>
        <v>120</v>
      </c>
      <c r="CG55" s="312">
        <f t="shared" ca="1" si="562"/>
        <v>0.10160307067058016</v>
      </c>
      <c r="CH55" s="1008">
        <v>44.29</v>
      </c>
      <c r="CI55" s="199">
        <f t="shared" ref="CI55:CI56" ca="1" si="571">CF55*$X55</f>
        <v>5854.8</v>
      </c>
      <c r="CJ55" s="199">
        <f t="shared" ref="CJ55:CJ56" ca="1" si="572">CI55*$Z55</f>
        <v>5854.8</v>
      </c>
      <c r="CK55" s="216">
        <f t="shared" ref="CK55:CK56" ca="1" si="573">IFERROR(CJ55/CF$4,0)</f>
        <v>3.6717251794246696E-2</v>
      </c>
      <c r="CL55" s="202">
        <f t="shared" ca="1" si="563"/>
        <v>43.410922844180654</v>
      </c>
      <c r="CM55" s="203">
        <f t="shared" ref="CM55" ca="1" si="574">CN55/$Z55</f>
        <v>2118.0189255675741</v>
      </c>
      <c r="CN55" s="203">
        <f t="shared" ref="CN55" ca="1" si="575">CO55*CF$4</f>
        <v>2118.0189255675741</v>
      </c>
      <c r="CO55" s="204">
        <f t="shared" ref="CO55" ca="1" si="576">$O55-CK55</f>
        <v>1.3282748205753307E-2</v>
      </c>
      <c r="CP55" s="205"/>
      <c r="CQ55" s="206">
        <f t="shared" ref="CQ55:CQ56" ca="1" si="577">CP55*$X55</f>
        <v>0</v>
      </c>
      <c r="CR55" s="206">
        <f t="shared" ref="CR55:CR56" ca="1" si="578">CQ55*$Z55</f>
        <v>0</v>
      </c>
      <c r="CS55" s="207">
        <f t="shared" ref="CS55:CS56" ca="1" si="579">IFERROR(CR55/CF$4,0)</f>
        <v>0</v>
      </c>
      <c r="CT55" s="391">
        <f t="shared" ref="CT55:CT56" si="580">CF55+CP55</f>
        <v>120</v>
      </c>
      <c r="CU55" s="391">
        <f t="shared" ca="1" si="566"/>
        <v>5854.8</v>
      </c>
      <c r="CV55" s="391">
        <f t="shared" ref="CV55:CV56" ca="1" si="581">CU55*$Z55</f>
        <v>5854.8</v>
      </c>
      <c r="CW55" s="886">
        <f t="shared" ref="CW55:CW56" ca="1" si="582">IFERROR(CV55/CF$4,0)</f>
        <v>3.6717251794246696E-2</v>
      </c>
      <c r="CX55" s="1007" t="str">
        <f t="shared" ca="1" si="21"/>
        <v>V</v>
      </c>
    </row>
    <row r="56" spans="1:102" ht="12.6" hidden="1" customHeight="1" outlineLevel="1" x14ac:dyDescent="0.2">
      <c r="A56" s="367"/>
      <c r="B56" s="367"/>
      <c r="C56" s="367" t="str">
        <f t="shared" ca="1" si="407"/>
        <v>DE000A0H08R2:EUR:STU</v>
      </c>
      <c r="D56" s="368" t="str">
        <f t="shared" ca="1" si="408"/>
        <v>DE000A0H08R2</v>
      </c>
      <c r="E56" s="369" t="str">
        <f t="shared" ca="1" si="408"/>
        <v>12980951</v>
      </c>
      <c r="F56" s="367" t="s">
        <v>824</v>
      </c>
      <c r="G56" s="414"/>
      <c r="H56" s="1683" t="str">
        <f t="shared" ca="1" si="409"/>
        <v></v>
      </c>
      <c r="I56" s="1683" t="str">
        <f t="shared" ca="1" si="410"/>
        <v>i</v>
      </c>
      <c r="J56" s="1713" t="str">
        <f t="shared" ca="1" si="411"/>
        <v></v>
      </c>
      <c r="K56" s="1716" t="str">
        <f t="shared" ca="1" si="411"/>
        <v></v>
      </c>
      <c r="L56" s="1717" t="str">
        <f t="shared" ca="1" si="412"/>
        <v></v>
      </c>
      <c r="M56" s="1786" t="str">
        <f t="shared" ca="1" si="413"/>
        <v>Unit</v>
      </c>
      <c r="N56" s="1136">
        <v>2.5000000000000001E-2</v>
      </c>
      <c r="O56" s="1136"/>
      <c r="P56" s="418"/>
      <c r="Q56" s="391">
        <f t="shared" si="415"/>
        <v>2415</v>
      </c>
      <c r="R56" s="391">
        <f t="shared" ca="1" si="416"/>
        <v>-251.21460219165272</v>
      </c>
      <c r="S56" s="883"/>
      <c r="T56" s="883"/>
      <c r="U56" s="375">
        <f t="shared" ca="1" si="417"/>
        <v>3.9403803323624998E-3</v>
      </c>
      <c r="V56" s="391">
        <f t="shared" si="418"/>
        <v>0</v>
      </c>
      <c r="W56" s="367" t="str">
        <f t="shared" ca="1" si="419"/>
        <v>EUR</v>
      </c>
      <c r="X56" s="887">
        <f t="shared" ca="1" si="420"/>
        <v>28.844999999999999</v>
      </c>
      <c r="Y56" s="1041">
        <f t="shared" ca="1" si="420"/>
        <v>0</v>
      </c>
      <c r="Z56" s="1042">
        <f t="shared" ca="1" si="567"/>
        <v>1</v>
      </c>
      <c r="AA56" s="197">
        <f>680</f>
        <v>680</v>
      </c>
      <c r="AB56" s="312">
        <f t="shared" ca="1" si="526"/>
        <v>0.14418881396271321</v>
      </c>
      <c r="AC56" s="1008">
        <v>25.21</v>
      </c>
      <c r="AD56" s="199">
        <f t="shared" ca="1" si="527"/>
        <v>19614.599999999999</v>
      </c>
      <c r="AE56" s="199">
        <f t="shared" ca="1" si="528"/>
        <v>19614.599999999999</v>
      </c>
      <c r="AF56" s="216">
        <f t="shared" ca="1" si="292"/>
        <v>2.7898813195510221E-2</v>
      </c>
      <c r="AG56" s="202">
        <f t="shared" ca="1" si="529"/>
        <v>-70.655083394879838</v>
      </c>
      <c r="AH56" s="203">
        <f t="shared" ca="1" si="530"/>
        <v>-2038.045880525309</v>
      </c>
      <c r="AI56" s="203">
        <f t="shared" ca="1" si="531"/>
        <v>-2038.045880525309</v>
      </c>
      <c r="AJ56" s="204">
        <f t="shared" ca="1" si="532"/>
        <v>-2.8988131955102192E-3</v>
      </c>
      <c r="AK56" s="205"/>
      <c r="AL56" s="206">
        <f t="shared" ca="1" si="533"/>
        <v>0</v>
      </c>
      <c r="AM56" s="206">
        <f t="shared" ca="1" si="534"/>
        <v>0</v>
      </c>
      <c r="AN56" s="207">
        <f t="shared" ca="1" si="299"/>
        <v>0</v>
      </c>
      <c r="AO56" s="391">
        <f t="shared" si="568"/>
        <v>680</v>
      </c>
      <c r="AP56" s="391">
        <f t="shared" ca="1" si="536"/>
        <v>19614.599999999999</v>
      </c>
      <c r="AQ56" s="391">
        <f t="shared" ca="1" si="537"/>
        <v>19614.599999999999</v>
      </c>
      <c r="AR56" s="886">
        <f t="shared" ca="1" si="26"/>
        <v>2.7898813195510221E-2</v>
      </c>
      <c r="AS56" s="1007" t="str">
        <f t="shared" ca="1" si="15"/>
        <v>V</v>
      </c>
      <c r="AT56" s="197">
        <f>1125</f>
        <v>1125</v>
      </c>
      <c r="AU56" s="312">
        <f t="shared" ca="1" si="538"/>
        <v>0.14418881396271321</v>
      </c>
      <c r="AV56" s="1008">
        <v>25.21</v>
      </c>
      <c r="AW56" s="199">
        <f t="shared" ca="1" si="539"/>
        <v>32450.625</v>
      </c>
      <c r="AX56" s="199">
        <f t="shared" ca="1" si="540"/>
        <v>32450.625</v>
      </c>
      <c r="AY56" s="216">
        <f t="shared" ca="1" si="307"/>
        <v>2.7944864883400356E-2</v>
      </c>
      <c r="AZ56" s="202">
        <f t="shared" ca="1" si="541"/>
        <v>-118.55390990970051</v>
      </c>
      <c r="BA56" s="203">
        <f t="shared" ca="1" si="542"/>
        <v>-3419.6875313453111</v>
      </c>
      <c r="BB56" s="203">
        <f t="shared" ca="1" si="543"/>
        <v>-3419.6875313453111</v>
      </c>
      <c r="BC56" s="204">
        <f t="shared" ca="1" si="544"/>
        <v>-2.9448648834003548E-3</v>
      </c>
      <c r="BD56" s="205"/>
      <c r="BE56" s="206">
        <f t="shared" ca="1" si="545"/>
        <v>0</v>
      </c>
      <c r="BF56" s="206">
        <f t="shared" ca="1" si="546"/>
        <v>0</v>
      </c>
      <c r="BG56" s="207">
        <f t="shared" ca="1" si="314"/>
        <v>0</v>
      </c>
      <c r="BH56" s="391">
        <f t="shared" si="569"/>
        <v>1125</v>
      </c>
      <c r="BI56" s="391">
        <f t="shared" ca="1" si="548"/>
        <v>32450.625</v>
      </c>
      <c r="BJ56" s="391">
        <f t="shared" ca="1" si="549"/>
        <v>32450.625</v>
      </c>
      <c r="BK56" s="886">
        <f t="shared" ca="1" si="72"/>
        <v>2.7944864883400356E-2</v>
      </c>
      <c r="BL56" s="1007" t="str">
        <f t="shared" ca="1" si="17"/>
        <v>V</v>
      </c>
      <c r="BM56" s="197">
        <f>610</f>
        <v>610</v>
      </c>
      <c r="BN56" s="312">
        <f t="shared" ca="1" si="550"/>
        <v>0.14418881396271321</v>
      </c>
      <c r="BO56" s="1008">
        <v>25.21</v>
      </c>
      <c r="BP56" s="199">
        <f t="shared" ca="1" si="551"/>
        <v>17595.45</v>
      </c>
      <c r="BQ56" s="199">
        <f t="shared" ca="1" si="552"/>
        <v>17595.45</v>
      </c>
      <c r="BR56" s="216">
        <f t="shared" ca="1" si="6"/>
        <v>2.7828751985998639E-2</v>
      </c>
      <c r="BS56" s="202">
        <f t="shared" ca="1" si="553"/>
        <v>-62.005608887072341</v>
      </c>
      <c r="BT56" s="203">
        <f t="shared" ca="1" si="554"/>
        <v>-1788.5517883476016</v>
      </c>
      <c r="BU56" s="203">
        <f t="shared" ca="1" si="555"/>
        <v>-1788.5517883476016</v>
      </c>
      <c r="BV56" s="204">
        <f t="shared" ca="1" si="556"/>
        <v>-2.8287519859986378E-3</v>
      </c>
      <c r="BW56" s="205"/>
      <c r="BX56" s="206">
        <f t="shared" ca="1" si="557"/>
        <v>0</v>
      </c>
      <c r="BY56" s="206">
        <f t="shared" ca="1" si="558"/>
        <v>0</v>
      </c>
      <c r="BZ56" s="207">
        <f t="shared" ca="1" si="7"/>
        <v>0</v>
      </c>
      <c r="CA56" s="391">
        <f t="shared" si="570"/>
        <v>610</v>
      </c>
      <c r="CB56" s="391">
        <f t="shared" ca="1" si="560"/>
        <v>17595.45</v>
      </c>
      <c r="CC56" s="391">
        <f t="shared" ca="1" si="561"/>
        <v>17595.45</v>
      </c>
      <c r="CD56" s="886">
        <f t="shared" ca="1" si="76"/>
        <v>2.7828751985998639E-2</v>
      </c>
      <c r="CE56" s="1007" t="str">
        <f t="shared" ca="1" si="19"/>
        <v>V</v>
      </c>
      <c r="CF56" s="197"/>
      <c r="CG56" s="312" t="str">
        <f t="shared" ca="1" si="562"/>
        <v/>
      </c>
      <c r="CH56" s="1008"/>
      <c r="CI56" s="199">
        <f t="shared" ca="1" si="571"/>
        <v>0</v>
      </c>
      <c r="CJ56" s="199">
        <f t="shared" ca="1" si="572"/>
        <v>0</v>
      </c>
      <c r="CK56" s="216">
        <f t="shared" ca="1" si="573"/>
        <v>0</v>
      </c>
      <c r="CL56" s="202">
        <f t="shared" ref="CL56" ca="1" si="583">CM56/$X56</f>
        <v>0</v>
      </c>
      <c r="CM56" s="203">
        <f t="shared" ref="CM56" ca="1" si="584">CN56/$Z56</f>
        <v>0</v>
      </c>
      <c r="CN56" s="203">
        <f t="shared" ref="CN56" ca="1" si="585">CO56*CF$4</f>
        <v>0</v>
      </c>
      <c r="CO56" s="204">
        <f t="shared" ref="CO56" ca="1" si="586">$O56-CK56</f>
        <v>0</v>
      </c>
      <c r="CP56" s="205"/>
      <c r="CQ56" s="206">
        <f t="shared" ca="1" si="577"/>
        <v>0</v>
      </c>
      <c r="CR56" s="206">
        <f t="shared" ca="1" si="578"/>
        <v>0</v>
      </c>
      <c r="CS56" s="207">
        <f t="shared" ca="1" si="579"/>
        <v>0</v>
      </c>
      <c r="CT56" s="391">
        <f t="shared" si="580"/>
        <v>0</v>
      </c>
      <c r="CU56" s="391">
        <f t="shared" ca="1" si="566"/>
        <v>0</v>
      </c>
      <c r="CV56" s="391">
        <f t="shared" ca="1" si="581"/>
        <v>0</v>
      </c>
      <c r="CW56" s="886">
        <f t="shared" ca="1" si="582"/>
        <v>0</v>
      </c>
      <c r="CX56" s="1007" t="str">
        <f t="shared" ca="1" si="21"/>
        <v/>
      </c>
    </row>
    <row r="57" spans="1:102" ht="12.6" hidden="1" customHeight="1" outlineLevel="1" x14ac:dyDescent="0.2">
      <c r="A57" s="367"/>
      <c r="B57" s="367"/>
      <c r="C57" s="367" t="str">
        <f t="shared" ca="1" si="407"/>
        <v>IE00BKWQ0P07:EUR</v>
      </c>
      <c r="D57" s="368" t="str">
        <f t="shared" ca="1" si="408"/>
        <v>IE00BKWQ0P07</v>
      </c>
      <c r="E57" s="369" t="str">
        <f t="shared" ca="1" si="408"/>
        <v>24770468</v>
      </c>
      <c r="F57" s="367" t="s">
        <v>506</v>
      </c>
      <c r="G57" s="414"/>
      <c r="H57" s="1683" t="str">
        <f t="shared" ca="1" si="409"/>
        <v></v>
      </c>
      <c r="I57" s="1683" t="str">
        <f t="shared" ca="1" si="410"/>
        <v>i</v>
      </c>
      <c r="J57" s="1713" t="str">
        <f t="shared" ca="1" si="411"/>
        <v></v>
      </c>
      <c r="K57" s="1716" t="str">
        <f t="shared" ca="1" si="411"/>
        <v></v>
      </c>
      <c r="L57" s="1717" t="str">
        <f t="shared" ca="1" si="412"/>
        <v></v>
      </c>
      <c r="M57" s="1786" t="str">
        <f t="shared" ca="1" si="413"/>
        <v>Unit</v>
      </c>
      <c r="N57" s="1136">
        <v>2.5000000000000001E-2</v>
      </c>
      <c r="O57" s="1136">
        <v>0.05</v>
      </c>
      <c r="P57" s="418">
        <v>6.6600000000000006E-2</v>
      </c>
      <c r="Q57" s="391">
        <f t="shared" si="415"/>
        <v>425</v>
      </c>
      <c r="R57" s="391">
        <f t="shared" ca="1" si="416"/>
        <v>-144.29328524287399</v>
      </c>
      <c r="S57" s="883"/>
      <c r="T57" s="883"/>
      <c r="U57" s="375">
        <f t="shared" ca="1" si="417"/>
        <v>-4.1626885621539003E-2</v>
      </c>
      <c r="V57" s="391">
        <f t="shared" si="418"/>
        <v>0</v>
      </c>
      <c r="W57" s="367" t="str">
        <f t="shared" ca="1" si="419"/>
        <v>EUR</v>
      </c>
      <c r="X57" s="887">
        <f t="shared" ca="1" si="420"/>
        <v>250.75</v>
      </c>
      <c r="Y57" s="1041">
        <f t="shared" ca="1" si="420"/>
        <v>0</v>
      </c>
      <c r="Z57" s="1042">
        <f t="shared" ca="1" si="525"/>
        <v>1</v>
      </c>
      <c r="AA57" s="197">
        <f>110</f>
        <v>110</v>
      </c>
      <c r="AB57" s="312">
        <f t="shared" ref="AB57" ca="1" si="587">IFERROR($X57/AC57-1,"")</f>
        <v>0.38523819467692855</v>
      </c>
      <c r="AC57" s="1008">
        <v>181.01580000000001</v>
      </c>
      <c r="AD57" s="199">
        <f t="shared" ref="AD57" ca="1" si="588">AA57*$X57</f>
        <v>27582.5</v>
      </c>
      <c r="AE57" s="199">
        <f t="shared" ref="AE57" ca="1" si="589">AD57*$Z57</f>
        <v>27582.5</v>
      </c>
      <c r="AF57" s="216">
        <f t="shared" ref="AF57" ca="1" si="590">IFERROR(AE57/AA$4,0)</f>
        <v>3.923195043310395E-2</v>
      </c>
      <c r="AG57" s="202">
        <f t="shared" ref="AG57" ca="1" si="591">AH57/$X57</f>
        <v>-39.904071308176711</v>
      </c>
      <c r="AH57" s="203">
        <f t="shared" ref="AH57" ca="1" si="592">AI57/$Z57</f>
        <v>-10005.945880525311</v>
      </c>
      <c r="AI57" s="203">
        <f t="shared" ref="AI57" ca="1" si="593">AJ57*AA$4</f>
        <v>-10005.945880525311</v>
      </c>
      <c r="AJ57" s="204">
        <f t="shared" ref="AJ57" ca="1" si="594">$N57-AF57</f>
        <v>-1.4231950433103949E-2</v>
      </c>
      <c r="AK57" s="205"/>
      <c r="AL57" s="206">
        <f t="shared" ref="AL57" ca="1" si="595">AK57*$X57</f>
        <v>0</v>
      </c>
      <c r="AM57" s="206">
        <f t="shared" ref="AM57" ca="1" si="596">AL57*$Z57</f>
        <v>0</v>
      </c>
      <c r="AN57" s="207">
        <f t="shared" ref="AN57" ca="1" si="597">IFERROR(AM57/AA$4,0)</f>
        <v>0</v>
      </c>
      <c r="AO57" s="391">
        <f t="shared" si="535"/>
        <v>110</v>
      </c>
      <c r="AP57" s="391">
        <f t="shared" ref="AP57" ca="1" si="598">AD57+IF($T57="",AL57)</f>
        <v>27582.5</v>
      </c>
      <c r="AQ57" s="391">
        <f t="shared" ref="AQ57" ca="1" si="599">AP57*$Z57</f>
        <v>27582.5</v>
      </c>
      <c r="AR57" s="886">
        <f t="shared" ref="AR57" ca="1" si="600">IFERROR(AQ57/AA$4,0)</f>
        <v>3.923195043310395E-2</v>
      </c>
      <c r="AS57" s="1007" t="str">
        <f t="shared" ref="AS57" ca="1" si="601">IF(SUM(AF57,AN57,AR57)&lt;&gt;0,"V","")</f>
        <v>V</v>
      </c>
      <c r="AT57" s="197">
        <f>190</f>
        <v>190</v>
      </c>
      <c r="AU57" s="312">
        <f t="shared" ref="AU57" ca="1" si="602">IFERROR($X57/AV57-1,"")</f>
        <v>0.38523819467692855</v>
      </c>
      <c r="AV57" s="1008">
        <v>181.01580000000001</v>
      </c>
      <c r="AW57" s="199">
        <f t="shared" ref="AW57" ca="1" si="603">AT57*$X57</f>
        <v>47642.5</v>
      </c>
      <c r="AX57" s="199">
        <f t="shared" ref="AX57" ca="1" si="604">AW57*$Z57</f>
        <v>47642.5</v>
      </c>
      <c r="AY57" s="216">
        <f t="shared" ref="AY57" ca="1" si="605">IFERROR(AX57/AT$4,0)</f>
        <v>4.1027352330113877E-2</v>
      </c>
      <c r="AZ57" s="202">
        <f t="shared" ref="AZ57" ca="1" si="606">BA57/$X57</f>
        <v>-74.223579387219601</v>
      </c>
      <c r="BA57" s="203">
        <f t="shared" ref="BA57" ca="1" si="607">BB57/$Z57</f>
        <v>-18611.562531345317</v>
      </c>
      <c r="BB57" s="203">
        <f t="shared" ref="BB57" ca="1" si="608">BC57*AT$4</f>
        <v>-18611.562531345317</v>
      </c>
      <c r="BC57" s="204">
        <f t="shared" ref="BC57" ca="1" si="609">$N57-AY57</f>
        <v>-1.6027352330113875E-2</v>
      </c>
      <c r="BD57" s="205"/>
      <c r="BE57" s="206">
        <f t="shared" ref="BE57" ca="1" si="610">BD57*$X57</f>
        <v>0</v>
      </c>
      <c r="BF57" s="206">
        <f t="shared" ref="BF57" ca="1" si="611">BE57*$Z57</f>
        <v>0</v>
      </c>
      <c r="BG57" s="207">
        <f t="shared" ref="BG57" ca="1" si="612">IFERROR(BF57/AT$4,0)</f>
        <v>0</v>
      </c>
      <c r="BH57" s="391">
        <f t="shared" si="547"/>
        <v>190</v>
      </c>
      <c r="BI57" s="391">
        <f t="shared" ref="BI57" ca="1" si="613">AW57+IF($T57="",BE57)</f>
        <v>47642.5</v>
      </c>
      <c r="BJ57" s="391">
        <f t="shared" ref="BJ57" ca="1" si="614">BI57*$Z57</f>
        <v>47642.5</v>
      </c>
      <c r="BK57" s="886">
        <f t="shared" ref="BK57" ca="1" si="615">IFERROR(BJ57/AT$4,0)</f>
        <v>4.1027352330113877E-2</v>
      </c>
      <c r="BL57" s="1007" t="str">
        <f t="shared" ref="BL57" ca="1" si="616">IF(SUM(AY57,BG57,BK57)&lt;&gt;0,"V","")</f>
        <v>V</v>
      </c>
      <c r="BM57" s="197">
        <f>100</f>
        <v>100</v>
      </c>
      <c r="BN57" s="312">
        <f t="shared" ref="BN57" ca="1" si="617">IFERROR($X57/BO57-1,"")</f>
        <v>0.38523819467692855</v>
      </c>
      <c r="BO57" s="1008">
        <v>181.01580000000001</v>
      </c>
      <c r="BP57" s="199">
        <f t="shared" ref="BP57" ca="1" si="618">BM57*$X57</f>
        <v>25075</v>
      </c>
      <c r="BQ57" s="199">
        <f t="shared" ref="BQ57" ca="1" si="619">BP57*$Z57</f>
        <v>25075</v>
      </c>
      <c r="BR57" s="216">
        <f t="shared" ref="BR57" ca="1" si="620">IFERROR(BQ57/BM$4,0)</f>
        <v>3.9658318261193426E-2</v>
      </c>
      <c r="BS57" s="202">
        <f t="shared" ref="BS57" ca="1" si="621">BT57/$X57</f>
        <v>-36.961522585633503</v>
      </c>
      <c r="BT57" s="203">
        <f t="shared" ref="BT57" ca="1" si="622">BU57/$Z57</f>
        <v>-9268.1017883476015</v>
      </c>
      <c r="BU57" s="203">
        <f t="shared" ref="BU57" ca="1" si="623">BV57*BM$4</f>
        <v>-9268.1017883476015</v>
      </c>
      <c r="BV57" s="204">
        <f t="shared" ref="BV57" ca="1" si="624">$N57-BR57</f>
        <v>-1.4658318261193425E-2</v>
      </c>
      <c r="BW57" s="205"/>
      <c r="BX57" s="206">
        <f t="shared" ref="BX57" ca="1" si="625">BW57*$X57</f>
        <v>0</v>
      </c>
      <c r="BY57" s="206">
        <f t="shared" ref="BY57" ca="1" si="626">BX57*$Z57</f>
        <v>0</v>
      </c>
      <c r="BZ57" s="207">
        <f t="shared" ref="BZ57" ca="1" si="627">IFERROR(BY57/BM$4,0)</f>
        <v>0</v>
      </c>
      <c r="CA57" s="391">
        <f t="shared" si="559"/>
        <v>100</v>
      </c>
      <c r="CB57" s="391">
        <f t="shared" ref="CB57" ca="1" si="628">BP57+IF($T57="",BX57)</f>
        <v>25075</v>
      </c>
      <c r="CC57" s="391">
        <f t="shared" ref="CC57" ca="1" si="629">CB57*$Z57</f>
        <v>25075</v>
      </c>
      <c r="CD57" s="886">
        <f t="shared" ref="CD57" ca="1" si="630">IFERROR(CC57/BM$4,0)</f>
        <v>3.9658318261193426E-2</v>
      </c>
      <c r="CE57" s="1007" t="str">
        <f t="shared" ref="CE57" ca="1" si="631">IF(SUM(BR57,BZ57,CD57)&lt;&gt;0,"V","")</f>
        <v>V</v>
      </c>
      <c r="CF57" s="197">
        <f>50+-25</f>
        <v>25</v>
      </c>
      <c r="CG57" s="312">
        <f t="shared" ref="CG57" ca="1" si="632">IFERROR($X57/CH57-1,"")</f>
        <v>0.38523819467692855</v>
      </c>
      <c r="CH57" s="1008">
        <v>181.01580000000001</v>
      </c>
      <c r="CI57" s="199">
        <f t="shared" ref="CI57" ca="1" si="633">CF57*$X57</f>
        <v>6268.75</v>
      </c>
      <c r="CJ57" s="199">
        <f t="shared" ref="CJ57" ca="1" si="634">CI57*$Z57</f>
        <v>6268.75</v>
      </c>
      <c r="CK57" s="216">
        <f t="shared" ref="CK57" ca="1" si="635">IFERROR(CJ57/CF$4,0)</f>
        <v>3.9313259579350952E-2</v>
      </c>
      <c r="CL57" s="202">
        <f t="shared" ref="CL57" ca="1" si="636">CM57/$X57</f>
        <v>6.7958880381558302</v>
      </c>
      <c r="CM57" s="203">
        <f t="shared" ref="CM57" ca="1" si="637">CN57/$Z57</f>
        <v>1704.0689255675745</v>
      </c>
      <c r="CN57" s="203">
        <f t="shared" ref="CN57" ca="1" si="638">CO57*CF$4</f>
        <v>1704.0689255675745</v>
      </c>
      <c r="CO57" s="204">
        <f t="shared" ca="1" si="564"/>
        <v>1.068674042064905E-2</v>
      </c>
      <c r="CP57" s="205"/>
      <c r="CQ57" s="206">
        <f t="shared" ref="CQ57" ca="1" si="639">CP57*$X57</f>
        <v>0</v>
      </c>
      <c r="CR57" s="206">
        <f t="shared" ref="CR57" ca="1" si="640">CQ57*$Z57</f>
        <v>0</v>
      </c>
      <c r="CS57" s="207">
        <f t="shared" ref="CS57" ca="1" si="641">IFERROR(CR57/CF$4,0)</f>
        <v>0</v>
      </c>
      <c r="CT57" s="391">
        <f t="shared" si="565"/>
        <v>25</v>
      </c>
      <c r="CU57" s="391">
        <f t="shared" ref="CU57" ca="1" si="642">CI57+IF($T57="",CQ57)</f>
        <v>6268.75</v>
      </c>
      <c r="CV57" s="391">
        <f t="shared" ref="CV57" ca="1" si="643">CU57*$Z57</f>
        <v>6268.75</v>
      </c>
      <c r="CW57" s="886">
        <f t="shared" ref="CW57" ca="1" si="644">IFERROR(CV57/CF$4,0)</f>
        <v>3.9313259579350952E-2</v>
      </c>
      <c r="CX57" s="1007" t="str">
        <f t="shared" ref="CX57" ca="1" si="645">IF(SUM(CK57,CS57,CW57)&lt;&gt;0,"V","")</f>
        <v>V</v>
      </c>
    </row>
    <row r="58" spans="1:102" ht="12.6" hidden="1" customHeight="1" outlineLevel="1" x14ac:dyDescent="0.2">
      <c r="A58" s="367"/>
      <c r="B58" s="367"/>
      <c r="C58" s="367" t="str">
        <f t="shared" ca="1" si="407"/>
        <v>IE00B60SWY32:EUR</v>
      </c>
      <c r="D58" s="368" t="str">
        <f t="shared" ca="1" si="408"/>
        <v>IE00B60SWY32</v>
      </c>
      <c r="E58" s="369" t="str">
        <f t="shared" ca="1" si="408"/>
        <v>10128187</v>
      </c>
      <c r="F58" s="367" t="s">
        <v>842</v>
      </c>
      <c r="G58" s="414"/>
      <c r="H58" s="1683" t="str">
        <f t="shared" ca="1" si="409"/>
        <v></v>
      </c>
      <c r="I58" s="1683" t="str">
        <f t="shared" ca="1" si="410"/>
        <v>i</v>
      </c>
      <c r="J58" s="1713" t="str">
        <f t="shared" ca="1" si="411"/>
        <v></v>
      </c>
      <c r="K58" s="1716" t="str">
        <f t="shared" ca="1" si="411"/>
        <v></v>
      </c>
      <c r="L58" s="1717" t="str">
        <f t="shared" ca="1" si="412"/>
        <v></v>
      </c>
      <c r="M58" s="1786" t="str">
        <f t="shared" ca="1" si="413"/>
        <v>Unit</v>
      </c>
      <c r="N58" s="1136"/>
      <c r="O58" s="1136"/>
      <c r="P58" s="418">
        <v>0.05</v>
      </c>
      <c r="Q58" s="391">
        <f t="shared" si="415"/>
        <v>0</v>
      </c>
      <c r="R58" s="391">
        <f t="shared" ca="1" si="416"/>
        <v>0</v>
      </c>
      <c r="S58" s="883"/>
      <c r="T58" s="883"/>
      <c r="U58" s="375">
        <f t="shared" ca="1" si="417"/>
        <v>-1.6958996399117E-2</v>
      </c>
      <c r="V58" s="391">
        <f t="shared" si="418"/>
        <v>0</v>
      </c>
      <c r="W58" s="367" t="str">
        <f t="shared" ca="1" si="419"/>
        <v>EUR</v>
      </c>
      <c r="X58" s="887">
        <f t="shared" ca="1" si="420"/>
        <v>423</v>
      </c>
      <c r="Y58" s="1041">
        <f t="shared" ca="1" si="420"/>
        <v>0</v>
      </c>
      <c r="Z58" s="1042">
        <f t="shared" ca="1" si="525"/>
        <v>1</v>
      </c>
      <c r="AA58" s="197">
        <f>165+-165</f>
        <v>0</v>
      </c>
      <c r="AB58" s="312" t="str">
        <f t="shared" ca="1" si="526"/>
        <v/>
      </c>
      <c r="AC58" s="411"/>
      <c r="AD58" s="199">
        <f t="shared" ca="1" si="527"/>
        <v>0</v>
      </c>
      <c r="AE58" s="199">
        <f t="shared" ca="1" si="528"/>
        <v>0</v>
      </c>
      <c r="AF58" s="216">
        <f t="shared" ca="1" si="292"/>
        <v>0</v>
      </c>
      <c r="AG58" s="202">
        <f t="shared" ca="1" si="529"/>
        <v>0</v>
      </c>
      <c r="AH58" s="203">
        <f t="shared" ca="1" si="530"/>
        <v>0</v>
      </c>
      <c r="AI58" s="203">
        <f t="shared" ca="1" si="531"/>
        <v>0</v>
      </c>
      <c r="AJ58" s="204">
        <f t="shared" ca="1" si="532"/>
        <v>0</v>
      </c>
      <c r="AK58" s="205"/>
      <c r="AL58" s="206">
        <f t="shared" ca="1" si="533"/>
        <v>0</v>
      </c>
      <c r="AM58" s="206">
        <f t="shared" ca="1" si="534"/>
        <v>0</v>
      </c>
      <c r="AN58" s="207">
        <f t="shared" ca="1" si="299"/>
        <v>0</v>
      </c>
      <c r="AO58" s="391">
        <f t="shared" si="535"/>
        <v>0</v>
      </c>
      <c r="AP58" s="391">
        <f ca="1">AD58+IF($T58="",AL58)</f>
        <v>0</v>
      </c>
      <c r="AQ58" s="391">
        <f t="shared" ca="1" si="537"/>
        <v>0</v>
      </c>
      <c r="AR58" s="886">
        <f t="shared" ca="1" si="26"/>
        <v>0</v>
      </c>
      <c r="AS58" s="1007" t="str">
        <f t="shared" ca="1" si="15"/>
        <v/>
      </c>
      <c r="AT58" s="197"/>
      <c r="AU58" s="312" t="str">
        <f t="shared" ca="1" si="538"/>
        <v/>
      </c>
      <c r="AV58" s="411"/>
      <c r="AW58" s="199">
        <f t="shared" ca="1" si="539"/>
        <v>0</v>
      </c>
      <c r="AX58" s="199">
        <f t="shared" ca="1" si="540"/>
        <v>0</v>
      </c>
      <c r="AY58" s="216">
        <f t="shared" ca="1" si="307"/>
        <v>0</v>
      </c>
      <c r="AZ58" s="202">
        <f t="shared" ca="1" si="541"/>
        <v>0</v>
      </c>
      <c r="BA58" s="203">
        <f t="shared" ca="1" si="542"/>
        <v>0</v>
      </c>
      <c r="BB58" s="203">
        <f t="shared" ca="1" si="543"/>
        <v>0</v>
      </c>
      <c r="BC58" s="204">
        <f t="shared" ca="1" si="544"/>
        <v>0</v>
      </c>
      <c r="BD58" s="205"/>
      <c r="BE58" s="206">
        <f t="shared" ca="1" si="545"/>
        <v>0</v>
      </c>
      <c r="BF58" s="206">
        <f t="shared" ca="1" si="546"/>
        <v>0</v>
      </c>
      <c r="BG58" s="207">
        <f t="shared" ca="1" si="314"/>
        <v>0</v>
      </c>
      <c r="BH58" s="391">
        <f t="shared" si="547"/>
        <v>0</v>
      </c>
      <c r="BI58" s="391">
        <f ca="1">AW58+IF($T58="",BE58)</f>
        <v>0</v>
      </c>
      <c r="BJ58" s="391">
        <f t="shared" ca="1" si="549"/>
        <v>0</v>
      </c>
      <c r="BK58" s="886">
        <f t="shared" ca="1" si="72"/>
        <v>0</v>
      </c>
      <c r="BL58" s="1007" t="str">
        <f t="shared" ca="1" si="17"/>
        <v/>
      </c>
      <c r="BM58" s="197"/>
      <c r="BN58" s="312" t="str">
        <f t="shared" ca="1" si="550"/>
        <v/>
      </c>
      <c r="BO58" s="411"/>
      <c r="BP58" s="199">
        <f t="shared" ca="1" si="551"/>
        <v>0</v>
      </c>
      <c r="BQ58" s="199">
        <f t="shared" ca="1" si="552"/>
        <v>0</v>
      </c>
      <c r="BR58" s="216">
        <f t="shared" ca="1" si="6"/>
        <v>0</v>
      </c>
      <c r="BS58" s="202">
        <f t="shared" ca="1" si="553"/>
        <v>0</v>
      </c>
      <c r="BT58" s="203">
        <f t="shared" ca="1" si="554"/>
        <v>0</v>
      </c>
      <c r="BU58" s="203">
        <f t="shared" ca="1" si="555"/>
        <v>0</v>
      </c>
      <c r="BV58" s="204">
        <f t="shared" ca="1" si="556"/>
        <v>0</v>
      </c>
      <c r="BW58" s="205"/>
      <c r="BX58" s="206">
        <f t="shared" ca="1" si="557"/>
        <v>0</v>
      </c>
      <c r="BY58" s="206">
        <f t="shared" ca="1" si="558"/>
        <v>0</v>
      </c>
      <c r="BZ58" s="207">
        <f t="shared" ca="1" si="7"/>
        <v>0</v>
      </c>
      <c r="CA58" s="391">
        <f t="shared" si="559"/>
        <v>0</v>
      </c>
      <c r="CB58" s="391">
        <f ca="1">BP58+IF($T58="",BX58)</f>
        <v>0</v>
      </c>
      <c r="CC58" s="391">
        <f t="shared" ca="1" si="561"/>
        <v>0</v>
      </c>
      <c r="CD58" s="886">
        <f t="shared" ca="1" si="76"/>
        <v>0</v>
      </c>
      <c r="CE58" s="1007" t="str">
        <f t="shared" ca="1" si="19"/>
        <v/>
      </c>
      <c r="CF58" s="197"/>
      <c r="CG58" s="312" t="str">
        <f t="shared" ca="1" si="562"/>
        <v/>
      </c>
      <c r="CH58" s="411"/>
      <c r="CI58" s="199">
        <f t="shared" ref="CI58" ca="1" si="646">CF58*$X58</f>
        <v>0</v>
      </c>
      <c r="CJ58" s="199">
        <f t="shared" ref="CJ58" ca="1" si="647">CI58*$Z58</f>
        <v>0</v>
      </c>
      <c r="CK58" s="216">
        <f t="shared" ca="1" si="334"/>
        <v>0</v>
      </c>
      <c r="CL58" s="202">
        <f t="shared" ref="CL58" ca="1" si="648">CM58/$X58</f>
        <v>0</v>
      </c>
      <c r="CM58" s="203">
        <f t="shared" ref="CM58" ca="1" si="649">CN58/$Z58</f>
        <v>0</v>
      </c>
      <c r="CN58" s="203">
        <f t="shared" ref="CN58" ca="1" si="650">CO58*CF$4</f>
        <v>0</v>
      </c>
      <c r="CO58" s="204">
        <f t="shared" ca="1" si="564"/>
        <v>0</v>
      </c>
      <c r="CP58" s="205"/>
      <c r="CQ58" s="206">
        <f t="shared" ref="CQ58" ca="1" si="651">CP58*$X58</f>
        <v>0</v>
      </c>
      <c r="CR58" s="206">
        <f t="shared" ref="CR58" ca="1" si="652">CQ58*$Z58</f>
        <v>0</v>
      </c>
      <c r="CS58" s="207">
        <f t="shared" ca="1" si="341"/>
        <v>0</v>
      </c>
      <c r="CT58" s="391">
        <f t="shared" si="565"/>
        <v>0</v>
      </c>
      <c r="CU58" s="391">
        <f ca="1">CI58+IF($T58="",CQ58)</f>
        <v>0</v>
      </c>
      <c r="CV58" s="391">
        <f t="shared" ref="CV58" ca="1" si="653">CU58*$Z58</f>
        <v>0</v>
      </c>
      <c r="CW58" s="886">
        <f t="shared" ca="1" si="345"/>
        <v>0</v>
      </c>
      <c r="CX58" s="1007" t="str">
        <f t="shared" ca="1" si="21"/>
        <v/>
      </c>
    </row>
    <row r="59" spans="1:102" collapsed="1" x14ac:dyDescent="0.2">
      <c r="A59" s="346"/>
      <c r="B59" s="346" t="s">
        <v>603</v>
      </c>
      <c r="C59" s="346"/>
      <c r="D59" s="1140"/>
      <c r="E59" s="348"/>
      <c r="F59" s="346"/>
      <c r="G59" s="349"/>
      <c r="H59" s="1750"/>
      <c r="I59" s="1750"/>
      <c r="J59" s="1750"/>
      <c r="K59" s="1750"/>
      <c r="L59" s="1750"/>
      <c r="M59" s="1785"/>
      <c r="N59" s="1134">
        <f>SUM(N$60:N$61)</f>
        <v>0</v>
      </c>
      <c r="O59" s="1134"/>
      <c r="P59" s="351">
        <f t="shared" ref="P59:P91" ca="1" si="654">SUMIF($AA$16:$CD$16,"I_Ctrlv",$AA59:$CD59)/$Q$2</f>
        <v>0</v>
      </c>
      <c r="Q59" s="421"/>
      <c r="R59" s="421"/>
      <c r="S59" s="871" t="s">
        <v>718</v>
      </c>
      <c r="T59" s="871"/>
      <c r="U59" s="353"/>
      <c r="V59" s="421">
        <f>COUNTIF(V60:V61,"&lt;&gt;0")</f>
        <v>0</v>
      </c>
      <c r="W59" s="346"/>
      <c r="X59" s="873"/>
      <c r="Y59" s="873"/>
      <c r="Z59" s="1037"/>
      <c r="AA59" s="357"/>
      <c r="AB59" s="359"/>
      <c r="AC59" s="1135"/>
      <c r="AD59" s="359"/>
      <c r="AE59" s="360">
        <f ca="1">SUM(AE$60:AE$61)</f>
        <v>0</v>
      </c>
      <c r="AF59" s="361">
        <f t="shared" ca="1" si="292"/>
        <v>0</v>
      </c>
      <c r="AG59" s="362"/>
      <c r="AH59" s="359"/>
      <c r="AI59" s="360">
        <f ca="1">SUM(AI$60:AI$61)</f>
        <v>0</v>
      </c>
      <c r="AJ59" s="363">
        <f ca="1">IFERROR(AI59/AA$4,0)</f>
        <v>0</v>
      </c>
      <c r="AK59" s="362"/>
      <c r="AL59" s="359"/>
      <c r="AM59" s="360">
        <f ca="1">SUM(AM$60:AM$61)</f>
        <v>0</v>
      </c>
      <c r="AN59" s="363">
        <f t="shared" ca="1" si="299"/>
        <v>0</v>
      </c>
      <c r="AO59" s="359"/>
      <c r="AP59" s="359"/>
      <c r="AQ59" s="360">
        <f ca="1">SUM(AQ$60:AQ$61)</f>
        <v>0</v>
      </c>
      <c r="AR59" s="876">
        <f t="shared" ca="1" si="26"/>
        <v>0</v>
      </c>
      <c r="AS59" s="1007" t="str">
        <f t="shared" ca="1" si="15"/>
        <v/>
      </c>
      <c r="AT59" s="357"/>
      <c r="AU59" s="359"/>
      <c r="AV59" s="1135"/>
      <c r="AW59" s="359"/>
      <c r="AX59" s="360">
        <f ca="1">SUM(AX$60:AX$61)</f>
        <v>0</v>
      </c>
      <c r="AY59" s="361">
        <f t="shared" ca="1" si="307"/>
        <v>0</v>
      </c>
      <c r="AZ59" s="362"/>
      <c r="BA59" s="359"/>
      <c r="BB59" s="360">
        <f ca="1">SUM(BB$60:BB$61)</f>
        <v>0</v>
      </c>
      <c r="BC59" s="363">
        <f ca="1">IFERROR(BB59/AT$4,0)</f>
        <v>0</v>
      </c>
      <c r="BD59" s="362"/>
      <c r="BE59" s="359"/>
      <c r="BF59" s="360">
        <f ca="1">SUM(BF$60:BF$61)</f>
        <v>0</v>
      </c>
      <c r="BG59" s="363">
        <f t="shared" ca="1" si="314"/>
        <v>0</v>
      </c>
      <c r="BH59" s="359"/>
      <c r="BI59" s="359"/>
      <c r="BJ59" s="360">
        <f ca="1">SUM(BJ$60:BJ$61)</f>
        <v>0</v>
      </c>
      <c r="BK59" s="876">
        <f t="shared" ca="1" si="72"/>
        <v>0</v>
      </c>
      <c r="BL59" s="1007" t="str">
        <f t="shared" ca="1" si="17"/>
        <v/>
      </c>
      <c r="BM59" s="357"/>
      <c r="BN59" s="359"/>
      <c r="BO59" s="1135"/>
      <c r="BP59" s="359"/>
      <c r="BQ59" s="360">
        <f ca="1">SUM(BQ$60:BQ$61)</f>
        <v>0</v>
      </c>
      <c r="BR59" s="361">
        <f t="shared" ca="1" si="6"/>
        <v>0</v>
      </c>
      <c r="BS59" s="362"/>
      <c r="BT59" s="359"/>
      <c r="BU59" s="360">
        <f ca="1">SUM(BU$60:BU$61)</f>
        <v>0</v>
      </c>
      <c r="BV59" s="363">
        <f ca="1">IFERROR(BU59/BM$4,0)</f>
        <v>0</v>
      </c>
      <c r="BW59" s="362"/>
      <c r="BX59" s="359"/>
      <c r="BY59" s="360">
        <f ca="1">SUM(BY$60:BY$61)</f>
        <v>0</v>
      </c>
      <c r="BZ59" s="363">
        <f t="shared" ca="1" si="7"/>
        <v>0</v>
      </c>
      <c r="CA59" s="359"/>
      <c r="CB59" s="359"/>
      <c r="CC59" s="360">
        <f ca="1">SUM(CC$60:CC$61)</f>
        <v>0</v>
      </c>
      <c r="CD59" s="876">
        <f t="shared" ca="1" si="76"/>
        <v>0</v>
      </c>
      <c r="CE59" s="1007" t="str">
        <f t="shared" ca="1" si="19"/>
        <v/>
      </c>
      <c r="CF59" s="357"/>
      <c r="CG59" s="359"/>
      <c r="CH59" s="1135"/>
      <c r="CI59" s="359"/>
      <c r="CJ59" s="360">
        <f ca="1">SUM(CJ$60:CJ$61)</f>
        <v>0</v>
      </c>
      <c r="CK59" s="361">
        <f t="shared" ca="1" si="334"/>
        <v>0</v>
      </c>
      <c r="CL59" s="362"/>
      <c r="CM59" s="359"/>
      <c r="CN59" s="360">
        <f ca="1">SUM(CN$60:CN$61)</f>
        <v>0</v>
      </c>
      <c r="CO59" s="363">
        <f ca="1">IFERROR(CN59/CF$4,0)</f>
        <v>0</v>
      </c>
      <c r="CP59" s="362"/>
      <c r="CQ59" s="359"/>
      <c r="CR59" s="360">
        <f ca="1">SUM(CR$60:CR$61)</f>
        <v>0</v>
      </c>
      <c r="CS59" s="363">
        <f t="shared" ca="1" si="341"/>
        <v>0</v>
      </c>
      <c r="CT59" s="359"/>
      <c r="CU59" s="359"/>
      <c r="CV59" s="360">
        <f ca="1">SUM(CV$60:CV$61)</f>
        <v>0</v>
      </c>
      <c r="CW59" s="876">
        <f t="shared" ca="1" si="345"/>
        <v>0</v>
      </c>
      <c r="CX59" s="1007" t="str">
        <f t="shared" ca="1" si="21"/>
        <v/>
      </c>
    </row>
    <row r="60" spans="1:102" ht="12.6" hidden="1" customHeight="1" outlineLevel="1" x14ac:dyDescent="0.2">
      <c r="A60" s="367"/>
      <c r="B60" s="367"/>
      <c r="C60" s="367" t="str">
        <f t="shared" ref="C60:E61" ca="1" si="655">OFFSET(Origine,MATCH($F60,Descrizioni,0),MATCH(C$16,Intestazioni,0)-1,1,1)</f>
        <v>LU1681044647:EUR</v>
      </c>
      <c r="D60" s="368" t="str">
        <f t="shared" ca="1" si="655"/>
        <v>LU1681044647</v>
      </c>
      <c r="E60" s="369" t="str">
        <f t="shared" ca="1" si="655"/>
        <v>38784749</v>
      </c>
      <c r="F60" s="367" t="s">
        <v>759</v>
      </c>
      <c r="G60" s="414"/>
      <c r="H60" s="1683" t="str">
        <f ca="1">HYPERLINK(OFFSET(Origine,MATCH($F60,Descrizioni,0),MATCH(H$16,Intestazioni,0)-1,1,1),"")</f>
        <v></v>
      </c>
      <c r="I60" s="1683" t="str">
        <f t="shared" ref="I60:I61" ca="1" si="656">HYPERLINK(OFFSET(Origine,MATCH($F60,Descrizioni,0),MATCH(I$16,Intestazioni,0)-1,1,1),"i")</f>
        <v>i</v>
      </c>
      <c r="J60" s="1713" t="str">
        <f t="shared" ref="J60:K61" ca="1" si="657">HYPERLINK(OFFSET(Origine,MATCH($F60,Descrizioni,0),MATCH(J$16,Intestazioni,0)-1,1,1),"")</f>
        <v></v>
      </c>
      <c r="K60" s="1716" t="str">
        <f t="shared" ca="1" si="657"/>
        <v></v>
      </c>
      <c r="L60" s="1717" t="str">
        <f t="shared" ref="L60:L61" ca="1" si="658">IFERROR(HYPERLINK("https://www.marketscreener.com/mods_a/charts/TV/inc_dyna_graph.php?c="&amp;OFFSET(Origine,MATCH($F60,Descrizioni,0),MATCH(L$16,Intestazioni,0)-1,1,1)&amp;"&amp;style=TradingView.CANDLES&amp;showAT=1",""),"")</f>
        <v></v>
      </c>
      <c r="M60" s="1786" t="str">
        <f ca="1">(OFFSET(Origine,MATCH($F60,Descrizioni,0),MATCH(M$16,Intestazioni,0)-1,1,1))</f>
        <v>Unit</v>
      </c>
      <c r="N60" s="1136"/>
      <c r="O60" s="1136"/>
      <c r="P60" s="418">
        <f t="shared" ca="1" si="654"/>
        <v>0</v>
      </c>
      <c r="Q60" s="391">
        <f t="shared" ref="Q60:Q61" si="659">SUMIF($AA$16:$CW$16,"I_Pos",$AA60:$CW60)</f>
        <v>0</v>
      </c>
      <c r="R60" s="391">
        <f t="shared" ref="R60:R61" ca="1" si="660">SUMIF($AA$16:$CW$16,"P_Pos",$AA60:$CW60)</f>
        <v>0</v>
      </c>
      <c r="S60" s="883"/>
      <c r="T60" s="883"/>
      <c r="U60" s="375">
        <f ca="1">OFFSET(Origine,MATCH($C60,smo_ids,0),MATCH(U$16,Intestazioni,0)-1,1,1)</f>
        <v>-9.9692127254068005E-3</v>
      </c>
      <c r="V60" s="391">
        <f t="shared" ref="V60:V61" si="661">SUMIF($AA$16:$CW$16,"O_Pos",$AA60:$CW60)</f>
        <v>0</v>
      </c>
      <c r="W60" s="367" t="str">
        <f t="shared" ref="W60:W61" ca="1" si="662">OFFSET(Origine,MATCH($F60,Descrizioni,0),MATCH(W$16,Intestazioni,0)-1,1,1)</f>
        <v>EUR</v>
      </c>
      <c r="X60" s="887">
        <f t="shared" ref="X60:Y61" ca="1" si="663">_xlfn.NUMBERVALUE(OFFSET(Origine,MATCH($F60,Descrizioni,0),MATCH(X$16,Intestazioni,0)-1,1,1))</f>
        <v>675.3</v>
      </c>
      <c r="Y60" s="1041">
        <f t="shared" ca="1" si="663"/>
        <v>0</v>
      </c>
      <c r="Z60" s="1042">
        <f ca="1">_xlfn.NUMBERVALUE(OFFSET(Origine,MATCH(W60&amp;"/"&amp;MRif,LUKB_Name,0),MATCH("Price",Intestazioni,0)-1,1,1))</f>
        <v>1</v>
      </c>
      <c r="AA60" s="197"/>
      <c r="AB60" s="312" t="str">
        <f ca="1">IFERROR($X60/AC60-1,"")</f>
        <v/>
      </c>
      <c r="AC60" s="411"/>
      <c r="AD60" s="199">
        <f t="shared" ref="AD60:AD61" ca="1" si="664">AA60*$X60</f>
        <v>0</v>
      </c>
      <c r="AE60" s="199">
        <f t="shared" ref="AE60:AE61" ca="1" si="665">AD60*$Z60</f>
        <v>0</v>
      </c>
      <c r="AF60" s="216">
        <f t="shared" ca="1" si="292"/>
        <v>0</v>
      </c>
      <c r="AG60" s="202">
        <f t="shared" ref="AG60:AG61" ca="1" si="666">AH60/$X60</f>
        <v>0</v>
      </c>
      <c r="AH60" s="203">
        <f t="shared" ref="AH60:AH61" ca="1" si="667">AI60/$Z60</f>
        <v>0</v>
      </c>
      <c r="AI60" s="203">
        <f t="shared" ref="AI60:AI61" ca="1" si="668">AJ60*AA$4</f>
        <v>0</v>
      </c>
      <c r="AJ60" s="204">
        <f t="shared" ref="AJ60:AJ61" ca="1" si="669">$N60-AF60</f>
        <v>0</v>
      </c>
      <c r="AK60" s="205"/>
      <c r="AL60" s="206">
        <f t="shared" ref="AL60:AL61" ca="1" si="670">AK60*$X60</f>
        <v>0</v>
      </c>
      <c r="AM60" s="206">
        <f t="shared" ref="AM60:AM61" ca="1" si="671">AL60*$Z60</f>
        <v>0</v>
      </c>
      <c r="AN60" s="207">
        <f t="shared" ca="1" si="299"/>
        <v>0</v>
      </c>
      <c r="AO60" s="391">
        <f>AA60+AK60</f>
        <v>0</v>
      </c>
      <c r="AP60" s="391">
        <f ca="1">AD60+IF($T60="",AL60)</f>
        <v>0</v>
      </c>
      <c r="AQ60" s="391">
        <f t="shared" ref="AQ60:AQ61" ca="1" si="672">AP60*$Z60</f>
        <v>0</v>
      </c>
      <c r="AR60" s="886">
        <f t="shared" ca="1" si="26"/>
        <v>0</v>
      </c>
      <c r="AS60" s="1007" t="str">
        <f t="shared" ca="1" si="15"/>
        <v/>
      </c>
      <c r="AT60" s="197"/>
      <c r="AU60" s="312" t="str">
        <f ca="1">IFERROR($X60/AV60-1,"")</f>
        <v/>
      </c>
      <c r="AV60" s="411"/>
      <c r="AW60" s="199">
        <f t="shared" ref="AW60:AW61" ca="1" si="673">AT60*$X60</f>
        <v>0</v>
      </c>
      <c r="AX60" s="199">
        <f t="shared" ref="AX60:AX61" ca="1" si="674">AW60*$Z60</f>
        <v>0</v>
      </c>
      <c r="AY60" s="216">
        <f t="shared" ca="1" si="307"/>
        <v>0</v>
      </c>
      <c r="AZ60" s="202">
        <f t="shared" ref="AZ60:AZ61" ca="1" si="675">BA60/$X60</f>
        <v>0</v>
      </c>
      <c r="BA60" s="203">
        <f t="shared" ref="BA60:BA61" ca="1" si="676">BB60/$Z60</f>
        <v>0</v>
      </c>
      <c r="BB60" s="203">
        <f t="shared" ref="BB60:BB61" ca="1" si="677">BC60*AT$4</f>
        <v>0</v>
      </c>
      <c r="BC60" s="204">
        <f t="shared" ref="BC60:BC61" ca="1" si="678">$N60-AY60</f>
        <v>0</v>
      </c>
      <c r="BD60" s="205"/>
      <c r="BE60" s="206">
        <f t="shared" ref="BE60:BE61" ca="1" si="679">BD60*$X60</f>
        <v>0</v>
      </c>
      <c r="BF60" s="206">
        <f t="shared" ref="BF60:BF61" ca="1" si="680">BE60*$Z60</f>
        <v>0</v>
      </c>
      <c r="BG60" s="207">
        <f t="shared" ca="1" si="314"/>
        <v>0</v>
      </c>
      <c r="BH60" s="391">
        <f>AT60+BD60</f>
        <v>0</v>
      </c>
      <c r="BI60" s="391">
        <f ca="1">AW60+IF($T60="",BE60)</f>
        <v>0</v>
      </c>
      <c r="BJ60" s="391">
        <f t="shared" ref="BJ60:BJ61" ca="1" si="681">BI60*$Z60</f>
        <v>0</v>
      </c>
      <c r="BK60" s="886">
        <f t="shared" ca="1" si="72"/>
        <v>0</v>
      </c>
      <c r="BL60" s="1007" t="str">
        <f t="shared" ca="1" si="17"/>
        <v/>
      </c>
      <c r="BM60" s="197"/>
      <c r="BN60" s="312" t="str">
        <f ca="1">IFERROR($X60/BO60-1,"")</f>
        <v/>
      </c>
      <c r="BO60" s="411"/>
      <c r="BP60" s="199">
        <f t="shared" ref="BP60:BP61" ca="1" si="682">BM60*$X60</f>
        <v>0</v>
      </c>
      <c r="BQ60" s="199">
        <f t="shared" ref="BQ60:BQ61" ca="1" si="683">BP60*$Z60</f>
        <v>0</v>
      </c>
      <c r="BR60" s="216">
        <f t="shared" ca="1" si="6"/>
        <v>0</v>
      </c>
      <c r="BS60" s="202">
        <f t="shared" ref="BS60:BS61" ca="1" si="684">BT60/$X60</f>
        <v>0</v>
      </c>
      <c r="BT60" s="203">
        <f t="shared" ref="BT60:BT61" ca="1" si="685">BU60/$Z60</f>
        <v>0</v>
      </c>
      <c r="BU60" s="203">
        <f t="shared" ref="BU60:BU61" ca="1" si="686">BV60*BM$4</f>
        <v>0</v>
      </c>
      <c r="BV60" s="204">
        <f t="shared" ref="BV60:BV61" ca="1" si="687">$N60-BR60</f>
        <v>0</v>
      </c>
      <c r="BW60" s="205"/>
      <c r="BX60" s="206">
        <f t="shared" ref="BX60:BX61" ca="1" si="688">BW60*$X60</f>
        <v>0</v>
      </c>
      <c r="BY60" s="206">
        <f t="shared" ref="BY60:BY61" ca="1" si="689">BX60*$Z60</f>
        <v>0</v>
      </c>
      <c r="BZ60" s="207">
        <f t="shared" ca="1" si="7"/>
        <v>0</v>
      </c>
      <c r="CA60" s="391">
        <f>BM60+BW60</f>
        <v>0</v>
      </c>
      <c r="CB60" s="391">
        <f ca="1">BP60+IF($T60="",BX60)</f>
        <v>0</v>
      </c>
      <c r="CC60" s="391">
        <f t="shared" ref="CC60:CC61" ca="1" si="690">CB60*$Z60</f>
        <v>0</v>
      </c>
      <c r="CD60" s="886">
        <f t="shared" ca="1" si="76"/>
        <v>0</v>
      </c>
      <c r="CE60" s="1007" t="str">
        <f t="shared" ca="1" si="19"/>
        <v/>
      </c>
      <c r="CF60" s="197"/>
      <c r="CG60" s="312" t="str">
        <f ca="1">IFERROR($X60/CH60-1,"")</f>
        <v/>
      </c>
      <c r="CH60" s="411"/>
      <c r="CI60" s="199">
        <f t="shared" ref="CI60:CI61" ca="1" si="691">CF60*$X60</f>
        <v>0</v>
      </c>
      <c r="CJ60" s="199">
        <f t="shared" ref="CJ60:CJ61" ca="1" si="692">CI60*$Z60</f>
        <v>0</v>
      </c>
      <c r="CK60" s="216">
        <f t="shared" ca="1" si="334"/>
        <v>0</v>
      </c>
      <c r="CL60" s="202">
        <f t="shared" ref="CL60:CL61" ca="1" si="693">CM60/$X60</f>
        <v>0</v>
      </c>
      <c r="CM60" s="203">
        <f t="shared" ref="CM60:CM61" ca="1" si="694">CN60/$Z60</f>
        <v>0</v>
      </c>
      <c r="CN60" s="203">
        <f t="shared" ref="CN60:CN61" ca="1" si="695">CO60*CF$4</f>
        <v>0</v>
      </c>
      <c r="CO60" s="204">
        <f ca="1">$O60-CK60</f>
        <v>0</v>
      </c>
      <c r="CP60" s="205"/>
      <c r="CQ60" s="206">
        <f t="shared" ref="CQ60:CQ61" ca="1" si="696">CP60*$X60</f>
        <v>0</v>
      </c>
      <c r="CR60" s="206">
        <f t="shared" ref="CR60:CR61" ca="1" si="697">CQ60*$Z60</f>
        <v>0</v>
      </c>
      <c r="CS60" s="207">
        <f t="shared" ca="1" si="341"/>
        <v>0</v>
      </c>
      <c r="CT60" s="391">
        <f>CF60+CP60</f>
        <v>0</v>
      </c>
      <c r="CU60" s="391">
        <f ca="1">CI60+IF($T60="",CQ60)</f>
        <v>0</v>
      </c>
      <c r="CV60" s="391">
        <f t="shared" ref="CV60:CV61" ca="1" si="698">CU60*$Z60</f>
        <v>0</v>
      </c>
      <c r="CW60" s="886">
        <f t="shared" ca="1" si="345"/>
        <v>0</v>
      </c>
      <c r="CX60" s="1007" t="str">
        <f t="shared" ca="1" si="21"/>
        <v/>
      </c>
    </row>
    <row r="61" spans="1:102" ht="12.6" hidden="1" customHeight="1" outlineLevel="1" x14ac:dyDescent="0.2">
      <c r="A61" s="367"/>
      <c r="B61" s="367"/>
      <c r="C61" s="367" t="str">
        <f t="shared" ca="1" si="655"/>
        <v>LU1711971983:EUR</v>
      </c>
      <c r="D61" s="368" t="str">
        <f t="shared" ca="1" si="655"/>
        <v>LU1711971983</v>
      </c>
      <c r="E61" s="369" t="str">
        <f t="shared" ca="1" si="655"/>
        <v>38956329</v>
      </c>
      <c r="F61" s="367" t="s">
        <v>761</v>
      </c>
      <c r="G61" s="414"/>
      <c r="H61" s="1683" t="str">
        <f ca="1">HYPERLINK(OFFSET(Origine,MATCH($F61,Descrizioni,0),MATCH(H$16,Intestazioni,0)-1,1,1),"")</f>
        <v></v>
      </c>
      <c r="I61" s="1683" t="str">
        <f t="shared" ca="1" si="656"/>
        <v>i</v>
      </c>
      <c r="J61" s="1713" t="str">
        <f t="shared" ca="1" si="657"/>
        <v></v>
      </c>
      <c r="K61" s="1716" t="str">
        <f t="shared" ca="1" si="657"/>
        <v></v>
      </c>
      <c r="L61" s="1717" t="str">
        <f t="shared" ca="1" si="658"/>
        <v></v>
      </c>
      <c r="M61" s="1786" t="str">
        <f ca="1">(OFFSET(Origine,MATCH($F61,Descrizioni,0),MATCH(M$16,Intestazioni,0)-1,1,1))</f>
        <v>Unit</v>
      </c>
      <c r="N61" s="1136"/>
      <c r="O61" s="1136"/>
      <c r="P61" s="418">
        <f t="shared" ca="1" si="654"/>
        <v>0</v>
      </c>
      <c r="Q61" s="391">
        <f t="shared" si="659"/>
        <v>0</v>
      </c>
      <c r="R61" s="391">
        <f t="shared" ca="1" si="660"/>
        <v>0</v>
      </c>
      <c r="S61" s="883"/>
      <c r="T61" s="883"/>
      <c r="U61" s="375">
        <f ca="1">OFFSET(Origine,MATCH($C61,smo_ids,0),MATCH(U$16,Intestazioni,0)-1,1,1)</f>
        <v>5.1107325383305362E-3</v>
      </c>
      <c r="V61" s="391">
        <f t="shared" si="661"/>
        <v>0</v>
      </c>
      <c r="W61" s="367" t="str">
        <f t="shared" ca="1" si="662"/>
        <v>EUR</v>
      </c>
      <c r="X61" s="887">
        <f t="shared" ca="1" si="663"/>
        <v>23.6</v>
      </c>
      <c r="Y61" s="1041">
        <f t="shared" ca="1" si="663"/>
        <v>0</v>
      </c>
      <c r="Z61" s="1042">
        <f ca="1">_xlfn.NUMBERVALUE(OFFSET(Origine,MATCH(W61&amp;"/"&amp;MRif,LUKB_Name,0),MATCH("Price",Intestazioni,0)-1,1,1))</f>
        <v>1</v>
      </c>
      <c r="AA61" s="197"/>
      <c r="AB61" s="312" t="str">
        <f ca="1">IFERROR($X61/AC61-1,"")</f>
        <v/>
      </c>
      <c r="AC61" s="411"/>
      <c r="AD61" s="199">
        <f t="shared" ca="1" si="664"/>
        <v>0</v>
      </c>
      <c r="AE61" s="199">
        <f t="shared" ca="1" si="665"/>
        <v>0</v>
      </c>
      <c r="AF61" s="216">
        <f t="shared" ca="1" si="292"/>
        <v>0</v>
      </c>
      <c r="AG61" s="202">
        <f t="shared" ca="1" si="666"/>
        <v>0</v>
      </c>
      <c r="AH61" s="203">
        <f t="shared" ca="1" si="667"/>
        <v>0</v>
      </c>
      <c r="AI61" s="203">
        <f t="shared" ca="1" si="668"/>
        <v>0</v>
      </c>
      <c r="AJ61" s="204">
        <f t="shared" ca="1" si="669"/>
        <v>0</v>
      </c>
      <c r="AK61" s="205"/>
      <c r="AL61" s="206">
        <f t="shared" ca="1" si="670"/>
        <v>0</v>
      </c>
      <c r="AM61" s="206">
        <f t="shared" ca="1" si="671"/>
        <v>0</v>
      </c>
      <c r="AN61" s="207">
        <f t="shared" ca="1" si="299"/>
        <v>0</v>
      </c>
      <c r="AO61" s="391">
        <f>AA61+AK61</f>
        <v>0</v>
      </c>
      <c r="AP61" s="391">
        <f ca="1">AD61+IF($T61="",AL61)</f>
        <v>0</v>
      </c>
      <c r="AQ61" s="391">
        <f t="shared" ca="1" si="672"/>
        <v>0</v>
      </c>
      <c r="AR61" s="886">
        <f t="shared" ca="1" si="26"/>
        <v>0</v>
      </c>
      <c r="AS61" s="1007" t="str">
        <f t="shared" ca="1" si="15"/>
        <v/>
      </c>
      <c r="AT61" s="197"/>
      <c r="AU61" s="312" t="str">
        <f ca="1">IFERROR($X61/AV61-1,"")</f>
        <v/>
      </c>
      <c r="AV61" s="411"/>
      <c r="AW61" s="199">
        <f t="shared" ca="1" si="673"/>
        <v>0</v>
      </c>
      <c r="AX61" s="199">
        <f t="shared" ca="1" si="674"/>
        <v>0</v>
      </c>
      <c r="AY61" s="216">
        <f t="shared" ca="1" si="307"/>
        <v>0</v>
      </c>
      <c r="AZ61" s="202">
        <f t="shared" ca="1" si="675"/>
        <v>0</v>
      </c>
      <c r="BA61" s="203">
        <f t="shared" ca="1" si="676"/>
        <v>0</v>
      </c>
      <c r="BB61" s="203">
        <f t="shared" ca="1" si="677"/>
        <v>0</v>
      </c>
      <c r="BC61" s="204">
        <f t="shared" ca="1" si="678"/>
        <v>0</v>
      </c>
      <c r="BD61" s="205"/>
      <c r="BE61" s="206">
        <f t="shared" ca="1" si="679"/>
        <v>0</v>
      </c>
      <c r="BF61" s="206">
        <f t="shared" ca="1" si="680"/>
        <v>0</v>
      </c>
      <c r="BG61" s="207">
        <f t="shared" ca="1" si="314"/>
        <v>0</v>
      </c>
      <c r="BH61" s="391">
        <f>AT61+BD61</f>
        <v>0</v>
      </c>
      <c r="BI61" s="391">
        <f ca="1">AW61+IF($T61="",BE61)</f>
        <v>0</v>
      </c>
      <c r="BJ61" s="391">
        <f t="shared" ca="1" si="681"/>
        <v>0</v>
      </c>
      <c r="BK61" s="886">
        <f t="shared" ca="1" si="72"/>
        <v>0</v>
      </c>
      <c r="BL61" s="1007" t="str">
        <f t="shared" ca="1" si="17"/>
        <v/>
      </c>
      <c r="BM61" s="197"/>
      <c r="BN61" s="312" t="str">
        <f ca="1">IFERROR($X61/BO61-1,"")</f>
        <v/>
      </c>
      <c r="BO61" s="411"/>
      <c r="BP61" s="199">
        <f t="shared" ca="1" si="682"/>
        <v>0</v>
      </c>
      <c r="BQ61" s="199">
        <f t="shared" ca="1" si="683"/>
        <v>0</v>
      </c>
      <c r="BR61" s="216">
        <f t="shared" ca="1" si="6"/>
        <v>0</v>
      </c>
      <c r="BS61" s="202">
        <f t="shared" ca="1" si="684"/>
        <v>0</v>
      </c>
      <c r="BT61" s="203">
        <f t="shared" ca="1" si="685"/>
        <v>0</v>
      </c>
      <c r="BU61" s="203">
        <f t="shared" ca="1" si="686"/>
        <v>0</v>
      </c>
      <c r="BV61" s="204">
        <f t="shared" ca="1" si="687"/>
        <v>0</v>
      </c>
      <c r="BW61" s="205"/>
      <c r="BX61" s="206">
        <f t="shared" ca="1" si="688"/>
        <v>0</v>
      </c>
      <c r="BY61" s="206">
        <f t="shared" ca="1" si="689"/>
        <v>0</v>
      </c>
      <c r="BZ61" s="207">
        <f t="shared" ca="1" si="7"/>
        <v>0</v>
      </c>
      <c r="CA61" s="391">
        <f>BM61+BW61</f>
        <v>0</v>
      </c>
      <c r="CB61" s="391">
        <f ca="1">BP61+IF($T61="",BX61)</f>
        <v>0</v>
      </c>
      <c r="CC61" s="391">
        <f t="shared" ca="1" si="690"/>
        <v>0</v>
      </c>
      <c r="CD61" s="886">
        <f t="shared" ca="1" si="76"/>
        <v>0</v>
      </c>
      <c r="CE61" s="1007" t="str">
        <f t="shared" ca="1" si="19"/>
        <v/>
      </c>
      <c r="CF61" s="197"/>
      <c r="CG61" s="312" t="str">
        <f ca="1">IFERROR($X61/CH61-1,"")</f>
        <v/>
      </c>
      <c r="CH61" s="411"/>
      <c r="CI61" s="199">
        <f t="shared" ca="1" si="691"/>
        <v>0</v>
      </c>
      <c r="CJ61" s="199">
        <f t="shared" ca="1" si="692"/>
        <v>0</v>
      </c>
      <c r="CK61" s="216">
        <f t="shared" ca="1" si="334"/>
        <v>0</v>
      </c>
      <c r="CL61" s="202">
        <f t="shared" ca="1" si="693"/>
        <v>0</v>
      </c>
      <c r="CM61" s="203">
        <f t="shared" ca="1" si="694"/>
        <v>0</v>
      </c>
      <c r="CN61" s="203">
        <f t="shared" ca="1" si="695"/>
        <v>0</v>
      </c>
      <c r="CO61" s="204">
        <f ca="1">$O61-CK61</f>
        <v>0</v>
      </c>
      <c r="CP61" s="205"/>
      <c r="CQ61" s="206">
        <f t="shared" ca="1" si="696"/>
        <v>0</v>
      </c>
      <c r="CR61" s="206">
        <f t="shared" ca="1" si="697"/>
        <v>0</v>
      </c>
      <c r="CS61" s="207">
        <f t="shared" ca="1" si="341"/>
        <v>0</v>
      </c>
      <c r="CT61" s="391">
        <f>CF61+CP61</f>
        <v>0</v>
      </c>
      <c r="CU61" s="391">
        <f ca="1">CI61+IF($T61="",CQ61)</f>
        <v>0</v>
      </c>
      <c r="CV61" s="391">
        <f t="shared" ca="1" si="698"/>
        <v>0</v>
      </c>
      <c r="CW61" s="886">
        <f t="shared" ca="1" si="345"/>
        <v>0</v>
      </c>
      <c r="CX61" s="1007" t="str">
        <f t="shared" ca="1" si="21"/>
        <v/>
      </c>
    </row>
    <row r="62" spans="1:102" collapsed="1" x14ac:dyDescent="0.2">
      <c r="A62" s="346"/>
      <c r="B62" s="346" t="s">
        <v>762</v>
      </c>
      <c r="C62" s="346"/>
      <c r="D62" s="1140"/>
      <c r="E62" s="348"/>
      <c r="F62" s="346"/>
      <c r="G62" s="349"/>
      <c r="H62" s="1750"/>
      <c r="I62" s="1750"/>
      <c r="J62" s="1750"/>
      <c r="K62" s="1750"/>
      <c r="L62" s="1750"/>
      <c r="M62" s="1785"/>
      <c r="N62" s="1134">
        <f>SUM(N$63:N$64)</f>
        <v>0</v>
      </c>
      <c r="O62" s="1134"/>
      <c r="P62" s="351">
        <f t="shared" ca="1" si="654"/>
        <v>0</v>
      </c>
      <c r="Q62" s="421"/>
      <c r="R62" s="421"/>
      <c r="S62" s="871" t="s">
        <v>718</v>
      </c>
      <c r="T62" s="871"/>
      <c r="U62" s="353"/>
      <c r="V62" s="421">
        <f>COUNTIF(V63:V64,"&lt;&gt;0")</f>
        <v>0</v>
      </c>
      <c r="W62" s="346"/>
      <c r="X62" s="873"/>
      <c r="Y62" s="873"/>
      <c r="Z62" s="1037"/>
      <c r="AA62" s="357"/>
      <c r="AB62" s="359"/>
      <c r="AC62" s="1135"/>
      <c r="AD62" s="359"/>
      <c r="AE62" s="360">
        <f ca="1">SUM(AE$63:AE$64)</f>
        <v>0</v>
      </c>
      <c r="AF62" s="361">
        <f t="shared" ca="1" si="292"/>
        <v>0</v>
      </c>
      <c r="AG62" s="362"/>
      <c r="AH62" s="359"/>
      <c r="AI62" s="360">
        <f ca="1">SUM(AI$63:AI$64)</f>
        <v>0</v>
      </c>
      <c r="AJ62" s="363">
        <f ca="1">IFERROR(AI62/AA$4,0)</f>
        <v>0</v>
      </c>
      <c r="AK62" s="362"/>
      <c r="AL62" s="359"/>
      <c r="AM62" s="360">
        <f ca="1">SUM(AM$63:AM$64)</f>
        <v>0</v>
      </c>
      <c r="AN62" s="363">
        <f t="shared" ca="1" si="299"/>
        <v>0</v>
      </c>
      <c r="AO62" s="359"/>
      <c r="AP62" s="359"/>
      <c r="AQ62" s="360">
        <f ca="1">SUM(AQ$63:AQ$64)</f>
        <v>0</v>
      </c>
      <c r="AR62" s="876">
        <f t="shared" ca="1" si="26"/>
        <v>0</v>
      </c>
      <c r="AS62" s="1007" t="str">
        <f t="shared" ca="1" si="15"/>
        <v/>
      </c>
      <c r="AT62" s="357"/>
      <c r="AU62" s="359"/>
      <c r="AV62" s="1135"/>
      <c r="AW62" s="359"/>
      <c r="AX62" s="360">
        <f ca="1">SUM(AX$63:AX$64)</f>
        <v>0</v>
      </c>
      <c r="AY62" s="361">
        <f t="shared" ca="1" si="307"/>
        <v>0</v>
      </c>
      <c r="AZ62" s="362"/>
      <c r="BA62" s="359"/>
      <c r="BB62" s="360">
        <f ca="1">SUM(BB$63:BB$64)</f>
        <v>0</v>
      </c>
      <c r="BC62" s="363">
        <f ca="1">IFERROR(BB62/AT$4,0)</f>
        <v>0</v>
      </c>
      <c r="BD62" s="362"/>
      <c r="BE62" s="359"/>
      <c r="BF62" s="360">
        <f ca="1">SUM(BF$63:BF$64)</f>
        <v>0</v>
      </c>
      <c r="BG62" s="363">
        <f t="shared" ca="1" si="314"/>
        <v>0</v>
      </c>
      <c r="BH62" s="359"/>
      <c r="BI62" s="359"/>
      <c r="BJ62" s="360">
        <f ca="1">SUM(BJ$63:BJ$64)</f>
        <v>0</v>
      </c>
      <c r="BK62" s="876">
        <f t="shared" ca="1" si="72"/>
        <v>0</v>
      </c>
      <c r="BL62" s="1007" t="str">
        <f t="shared" ca="1" si="17"/>
        <v/>
      </c>
      <c r="BM62" s="357"/>
      <c r="BN62" s="359"/>
      <c r="BO62" s="1135"/>
      <c r="BP62" s="359"/>
      <c r="BQ62" s="360">
        <f ca="1">SUM(BQ$63:BQ$64)</f>
        <v>0</v>
      </c>
      <c r="BR62" s="361">
        <f t="shared" ca="1" si="6"/>
        <v>0</v>
      </c>
      <c r="BS62" s="362"/>
      <c r="BT62" s="359"/>
      <c r="BU62" s="360">
        <f ca="1">SUM(BU$63:BU$64)</f>
        <v>0</v>
      </c>
      <c r="BV62" s="363">
        <f ca="1">IFERROR(BU62/BM$4,0)</f>
        <v>0</v>
      </c>
      <c r="BW62" s="362"/>
      <c r="BX62" s="359"/>
      <c r="BY62" s="360">
        <f ca="1">SUM(BY$63:BY$64)</f>
        <v>0</v>
      </c>
      <c r="BZ62" s="363">
        <f t="shared" ca="1" si="7"/>
        <v>0</v>
      </c>
      <c r="CA62" s="359"/>
      <c r="CB62" s="359"/>
      <c r="CC62" s="360">
        <f ca="1">SUM(CC$63:CC$64)</f>
        <v>0</v>
      </c>
      <c r="CD62" s="876">
        <f t="shared" ca="1" si="76"/>
        <v>0</v>
      </c>
      <c r="CE62" s="1007" t="str">
        <f t="shared" ca="1" si="19"/>
        <v/>
      </c>
      <c r="CF62" s="357"/>
      <c r="CG62" s="359"/>
      <c r="CH62" s="1135"/>
      <c r="CI62" s="359"/>
      <c r="CJ62" s="360">
        <f ca="1">SUM(CJ$63:CJ$64)</f>
        <v>0</v>
      </c>
      <c r="CK62" s="361">
        <f t="shared" ca="1" si="334"/>
        <v>0</v>
      </c>
      <c r="CL62" s="362"/>
      <c r="CM62" s="359"/>
      <c r="CN62" s="360">
        <f ca="1">SUM(CN$63:CN$64)</f>
        <v>0</v>
      </c>
      <c r="CO62" s="363">
        <f ca="1">IFERROR(CN62/CF$4,0)</f>
        <v>0</v>
      </c>
      <c r="CP62" s="362"/>
      <c r="CQ62" s="359"/>
      <c r="CR62" s="360">
        <f ca="1">SUM(CR$63:CR$64)</f>
        <v>0</v>
      </c>
      <c r="CS62" s="363">
        <f t="shared" ca="1" si="341"/>
        <v>0</v>
      </c>
      <c r="CT62" s="359"/>
      <c r="CU62" s="359"/>
      <c r="CV62" s="360">
        <f ca="1">SUM(CV$63:CV$64)</f>
        <v>0</v>
      </c>
      <c r="CW62" s="876">
        <f t="shared" ca="1" si="345"/>
        <v>0</v>
      </c>
      <c r="CX62" s="1007" t="str">
        <f t="shared" ca="1" si="21"/>
        <v/>
      </c>
    </row>
    <row r="63" spans="1:102" ht="12.6" hidden="1" customHeight="1" outlineLevel="1" x14ac:dyDescent="0.2">
      <c r="A63" s="367"/>
      <c r="B63" s="367"/>
      <c r="C63" s="367" t="str">
        <f t="shared" ref="C63:E64" ca="1" si="699">OFFSET(Origine,MATCH($F63,Descrizioni,0),MATCH(C$16,Intestazioni,0)-1,1,1)</f>
        <v>LU0950670850:GBP</v>
      </c>
      <c r="D63" s="368" t="str">
        <f t="shared" ca="1" si="699"/>
        <v>LU0950670850</v>
      </c>
      <c r="E63" s="369" t="str">
        <f t="shared" ca="1" si="699"/>
        <v>21966875</v>
      </c>
      <c r="F63" s="367" t="s">
        <v>763</v>
      </c>
      <c r="G63" s="414"/>
      <c r="H63" s="1683" t="str">
        <f ca="1">HYPERLINK(OFFSET(Origine,MATCH($F63,Descrizioni,0),MATCH(H$16,Intestazioni,0)-1,1,1),"")</f>
        <v></v>
      </c>
      <c r="I63" s="1683" t="str">
        <f ca="1">HYPERLINK(OFFSET(Origine,MATCH($F63,Descrizioni,0),MATCH(I$16,Intestazioni,0)-1,1,1),"i")</f>
        <v>i</v>
      </c>
      <c r="J63" s="1713" t="str">
        <f ca="1">HYPERLINK(OFFSET(Origine,MATCH($F63,Descrizioni,0),MATCH(J$16,Intestazioni,0)-1,1,1),"")</f>
        <v></v>
      </c>
      <c r="K63" s="1716" t="str">
        <f ca="1">HYPERLINK(OFFSET(Origine,MATCH($F63,Descrizioni,0),MATCH(K$16,Intestazioni,0)-1,1,1),"")</f>
        <v></v>
      </c>
      <c r="L63" s="1717" t="str">
        <f ca="1">IFERROR(HYPERLINK("https://www.marketscreener.com/mods_a/charts/TV/inc_dyna_graph.php?c="&amp;OFFSET(Origine,MATCH($F63,Descrizioni,0),MATCH(L$16,Intestazioni,0)-1,1,1)&amp;"&amp;style=TradingView.CANDLES&amp;showAT=1",""),"")</f>
        <v></v>
      </c>
      <c r="M63" s="1786" t="str">
        <f ca="1">(OFFSET(Origine,MATCH($F63,Descrizioni,0),MATCH(M$16,Intestazioni,0)-1,1,1))</f>
        <v>Unit</v>
      </c>
      <c r="N63" s="1136"/>
      <c r="O63" s="1136"/>
      <c r="P63" s="418">
        <f t="shared" ca="1" si="654"/>
        <v>0</v>
      </c>
      <c r="Q63" s="391">
        <f>SUMIF($AA$16:$CW$16,"I_Pos",$AA63:$CW63)</f>
        <v>0</v>
      </c>
      <c r="R63" s="391">
        <f ca="1">SUMIF($AA$16:$CW$16,"P_Pos",$AA63:$CW63)</f>
        <v>0</v>
      </c>
      <c r="S63" s="883"/>
      <c r="T63" s="883"/>
      <c r="U63" s="375">
        <f ca="1">OFFSET(Origine,MATCH($C63,smo_ids,0),MATCH(U$16,Intestazioni,0)-1,1,1)</f>
        <v>-2.6827924909349599E-2</v>
      </c>
      <c r="V63" s="391">
        <f>SUMIF($AA$16:$CW$16,"O_Pos",$AA63:$CW63)</f>
        <v>0</v>
      </c>
      <c r="W63" s="367" t="str">
        <f ca="1">OFFSET(Origine,MATCH($F63,Descrizioni,0),MATCH(W$16,Intestazioni,0)-1,1,1)</f>
        <v>GBP</v>
      </c>
      <c r="X63" s="887">
        <f ca="1">_xlfn.NUMBERVALUE(OFFSET(Origine,MATCH($F63,Descrizioni,0),MATCH(X$16,Intestazioni,0)-1,1,1))</f>
        <v>42.405000000000001</v>
      </c>
      <c r="Y63" s="1041">
        <f ca="1">_xlfn.NUMBERVALUE(OFFSET(Origine,MATCH($F63,Descrizioni,0),MATCH(Y$16,Intestazioni,0)-1,1,1))</f>
        <v>0</v>
      </c>
      <c r="Z63" s="1042">
        <f ca="1">_xlfn.NUMBERVALUE(OFFSET(Origine,MATCH(W63&amp;"/"&amp;MRif,LUKB_Name,0),MATCH("Price",Intestazioni,0)-1,1,1))</f>
        <v>1.1492567300000001</v>
      </c>
      <c r="AA63" s="197"/>
      <c r="AB63" s="312" t="str">
        <f ca="1">IFERROR($X63/AC63-1,"")</f>
        <v/>
      </c>
      <c r="AC63" s="411"/>
      <c r="AD63" s="199">
        <f ca="1">AA63*$X63</f>
        <v>0</v>
      </c>
      <c r="AE63" s="199">
        <f ca="1">AD63*$Z63</f>
        <v>0</v>
      </c>
      <c r="AF63" s="216">
        <f t="shared" ca="1" si="292"/>
        <v>0</v>
      </c>
      <c r="AG63" s="202">
        <f ca="1">AH63/$X63</f>
        <v>0</v>
      </c>
      <c r="AH63" s="203">
        <f ca="1">AI63/$Z63</f>
        <v>0</v>
      </c>
      <c r="AI63" s="203">
        <f ca="1">AJ63*AA$4</f>
        <v>0</v>
      </c>
      <c r="AJ63" s="204">
        <f ca="1">$N63-AF63</f>
        <v>0</v>
      </c>
      <c r="AK63" s="205"/>
      <c r="AL63" s="206">
        <f ca="1">AK63*$X63</f>
        <v>0</v>
      </c>
      <c r="AM63" s="206">
        <f ca="1">AL63*$Z63</f>
        <v>0</v>
      </c>
      <c r="AN63" s="207">
        <f t="shared" ca="1" si="299"/>
        <v>0</v>
      </c>
      <c r="AO63" s="391">
        <f>AA63+AK63</f>
        <v>0</v>
      </c>
      <c r="AP63" s="391">
        <f ca="1">AD63+IF($T63="",AL63)</f>
        <v>0</v>
      </c>
      <c r="AQ63" s="391">
        <f ca="1">AP63*$Z63</f>
        <v>0</v>
      </c>
      <c r="AR63" s="886">
        <f t="shared" ca="1" si="26"/>
        <v>0</v>
      </c>
      <c r="AS63" s="1007" t="str">
        <f t="shared" ca="1" si="15"/>
        <v/>
      </c>
      <c r="AT63" s="197"/>
      <c r="AU63" s="312" t="str">
        <f ca="1">IFERROR($X63/AV63-1,"")</f>
        <v/>
      </c>
      <c r="AV63" s="411"/>
      <c r="AW63" s="199">
        <f ca="1">AT63*$X63</f>
        <v>0</v>
      </c>
      <c r="AX63" s="199">
        <f ca="1">AW63*$Z63</f>
        <v>0</v>
      </c>
      <c r="AY63" s="216">
        <f t="shared" ca="1" si="307"/>
        <v>0</v>
      </c>
      <c r="AZ63" s="202">
        <f ca="1">BA63/$X63</f>
        <v>0</v>
      </c>
      <c r="BA63" s="203">
        <f ca="1">BB63/$Z63</f>
        <v>0</v>
      </c>
      <c r="BB63" s="203">
        <f ca="1">BC63*AT$4</f>
        <v>0</v>
      </c>
      <c r="BC63" s="204">
        <f ca="1">$N63-AY63</f>
        <v>0</v>
      </c>
      <c r="BD63" s="205"/>
      <c r="BE63" s="206">
        <f ca="1">BD63*$X63</f>
        <v>0</v>
      </c>
      <c r="BF63" s="206">
        <f ca="1">BE63*$Z63</f>
        <v>0</v>
      </c>
      <c r="BG63" s="207">
        <f t="shared" ca="1" si="314"/>
        <v>0</v>
      </c>
      <c r="BH63" s="391">
        <f>AT63+BD63</f>
        <v>0</v>
      </c>
      <c r="BI63" s="391">
        <f ca="1">AW63+IF($T63="",BE63)</f>
        <v>0</v>
      </c>
      <c r="BJ63" s="391">
        <f ca="1">BI63*$Z63</f>
        <v>0</v>
      </c>
      <c r="BK63" s="886">
        <f t="shared" ca="1" si="72"/>
        <v>0</v>
      </c>
      <c r="BL63" s="1007" t="str">
        <f t="shared" ca="1" si="17"/>
        <v/>
      </c>
      <c r="BM63" s="197"/>
      <c r="BN63" s="312" t="str">
        <f ca="1">IFERROR($X63/BO63-1,"")</f>
        <v/>
      </c>
      <c r="BO63" s="411"/>
      <c r="BP63" s="199">
        <f ca="1">BM63*$X63</f>
        <v>0</v>
      </c>
      <c r="BQ63" s="199">
        <f ca="1">BP63*$Z63</f>
        <v>0</v>
      </c>
      <c r="BR63" s="216">
        <f t="shared" ca="1" si="6"/>
        <v>0</v>
      </c>
      <c r="BS63" s="202">
        <f ca="1">BT63/$X63</f>
        <v>0</v>
      </c>
      <c r="BT63" s="203">
        <f ca="1">BU63/$Z63</f>
        <v>0</v>
      </c>
      <c r="BU63" s="203">
        <f ca="1">BV63*BM$4</f>
        <v>0</v>
      </c>
      <c r="BV63" s="204">
        <f ca="1">$N63-BR63</f>
        <v>0</v>
      </c>
      <c r="BW63" s="205"/>
      <c r="BX63" s="206">
        <f ca="1">BW63*$X63</f>
        <v>0</v>
      </c>
      <c r="BY63" s="206">
        <f ca="1">BX63*$Z63</f>
        <v>0</v>
      </c>
      <c r="BZ63" s="207">
        <f t="shared" ca="1" si="7"/>
        <v>0</v>
      </c>
      <c r="CA63" s="391">
        <f>BM63+BW63</f>
        <v>0</v>
      </c>
      <c r="CB63" s="391">
        <f ca="1">BP63+IF($T63="",BX63)</f>
        <v>0</v>
      </c>
      <c r="CC63" s="391">
        <f ca="1">CB63*$Z63</f>
        <v>0</v>
      </c>
      <c r="CD63" s="886">
        <f t="shared" ca="1" si="76"/>
        <v>0</v>
      </c>
      <c r="CE63" s="1007" t="str">
        <f t="shared" ca="1" si="19"/>
        <v/>
      </c>
      <c r="CF63" s="197"/>
      <c r="CG63" s="312" t="str">
        <f ca="1">IFERROR($X63/CH63-1,"")</f>
        <v/>
      </c>
      <c r="CH63" s="411"/>
      <c r="CI63" s="199">
        <f ca="1">CF63*$X63</f>
        <v>0</v>
      </c>
      <c r="CJ63" s="199">
        <f ca="1">CI63*$Z63</f>
        <v>0</v>
      </c>
      <c r="CK63" s="216">
        <f t="shared" ca="1" si="334"/>
        <v>0</v>
      </c>
      <c r="CL63" s="202">
        <f ca="1">CM63/$X63</f>
        <v>0</v>
      </c>
      <c r="CM63" s="203">
        <f ca="1">CN63/$Z63</f>
        <v>0</v>
      </c>
      <c r="CN63" s="203">
        <f ca="1">CO63*CF$4</f>
        <v>0</v>
      </c>
      <c r="CO63" s="204">
        <f ca="1">$O63-CK63</f>
        <v>0</v>
      </c>
      <c r="CP63" s="205"/>
      <c r="CQ63" s="206">
        <f ca="1">CP63*$X63</f>
        <v>0</v>
      </c>
      <c r="CR63" s="206">
        <f ca="1">CQ63*$Z63</f>
        <v>0</v>
      </c>
      <c r="CS63" s="207">
        <f t="shared" ca="1" si="341"/>
        <v>0</v>
      </c>
      <c r="CT63" s="391">
        <f>CF63+CP63</f>
        <v>0</v>
      </c>
      <c r="CU63" s="391">
        <f ca="1">CI63+IF($T63="",CQ63)</f>
        <v>0</v>
      </c>
      <c r="CV63" s="391">
        <f ca="1">CU63*$Z63</f>
        <v>0</v>
      </c>
      <c r="CW63" s="886">
        <f t="shared" ca="1" si="345"/>
        <v>0</v>
      </c>
      <c r="CX63" s="1007" t="str">
        <f t="shared" ca="1" si="21"/>
        <v/>
      </c>
    </row>
    <row r="64" spans="1:102" ht="12.6" hidden="1" customHeight="1" outlineLevel="1" x14ac:dyDescent="0.2">
      <c r="A64" s="367"/>
      <c r="B64" s="367"/>
      <c r="C64" s="367" t="str">
        <f t="shared" ca="1" si="699"/>
        <v>IE00BYNQMK61:EUR</v>
      </c>
      <c r="D64" s="368" t="str">
        <f t="shared" ca="1" si="699"/>
        <v>IE00BYNQMK61</v>
      </c>
      <c r="E64" s="369" t="str">
        <f t="shared" ca="1" si="699"/>
        <v>30186748</v>
      </c>
      <c r="F64" s="367" t="s">
        <v>843</v>
      </c>
      <c r="G64" s="414"/>
      <c r="H64" s="1683" t="str">
        <f ca="1">HYPERLINK(OFFSET(Origine,MATCH($F64,Descrizioni,0),MATCH(H$16,Intestazioni,0)-1,1,1),"")</f>
        <v></v>
      </c>
      <c r="I64" s="1683" t="str">
        <f ca="1">HYPERLINK(OFFSET(Origine,MATCH($F64,Descrizioni,0),MATCH(I$16,Intestazioni,0)-1,1,1),"i")</f>
        <v>i</v>
      </c>
      <c r="J64" s="1713" t="str">
        <f ca="1">HYPERLINK(OFFSET(Origine,MATCH($F64,Descrizioni,0),MATCH(J$16,Intestazioni,0)-1,1,1),"")</f>
        <v></v>
      </c>
      <c r="K64" s="1716" t="str">
        <f ca="1">HYPERLINK(OFFSET(Origine,MATCH($F64,Descrizioni,0),MATCH(K$16,Intestazioni,0)-1,1,1),"")</f>
        <v></v>
      </c>
      <c r="L64" s="1717" t="str">
        <f ca="1">IFERROR(HYPERLINK("https://www.marketscreener.com/mods_a/charts/TV/inc_dyna_graph.php?c="&amp;OFFSET(Origine,MATCH($F64,Descrizioni,0),MATCH(L$16,Intestazioni,0)-1,1,1)&amp;"&amp;style=TradingView.CANDLES&amp;showAT=1",""),"")</f>
        <v></v>
      </c>
      <c r="M64" s="1786" t="str">
        <f ca="1">(OFFSET(Origine,MATCH($F64,Descrizioni,0),MATCH(M$16,Intestazioni,0)-1,1,1))</f>
        <v>Unit</v>
      </c>
      <c r="N64" s="1136"/>
      <c r="O64" s="1136"/>
      <c r="P64" s="418">
        <f t="shared" ca="1" si="654"/>
        <v>0</v>
      </c>
      <c r="Q64" s="391">
        <f>SUMIF($AA$16:$CW$16,"I_Pos",$AA64:$CW64)</f>
        <v>0</v>
      </c>
      <c r="R64" s="391">
        <f ca="1">SUMIF($AA$16:$CW$16,"P_Pos",$AA64:$CW64)</f>
        <v>0</v>
      </c>
      <c r="S64" s="883"/>
      <c r="T64" s="883"/>
      <c r="U64" s="375">
        <f ca="1">OFFSET(Origine,MATCH($C64,smo_ids,0),MATCH(U$16,Intestazioni,0)-1,1,1)</f>
        <v>-2.9090909090909004E-2</v>
      </c>
      <c r="V64" s="391">
        <f>SUMIF($AA$16:$CW$16,"O_Pos",$AA64:$CW64)</f>
        <v>0</v>
      </c>
      <c r="W64" s="367" t="str">
        <f ca="1">OFFSET(Origine,MATCH($F64,Descrizioni,0),MATCH(W$16,Intestazioni,0)-1,1,1)</f>
        <v>EUR</v>
      </c>
      <c r="X64" s="887">
        <f ca="1">_xlfn.NUMBERVALUE(OFFSET(Origine,MATCH($F64,Descrizioni,0),MATCH(X$16,Intestazioni,0)-1,1,1))</f>
        <v>24.03</v>
      </c>
      <c r="Y64" s="1041">
        <f ca="1">_xlfn.NUMBERVALUE(OFFSET(Origine,MATCH($F64,Descrizioni,0),MATCH(Y$16,Intestazioni,0)-1,1,1))</f>
        <v>0</v>
      </c>
      <c r="Z64" s="1042">
        <f ca="1">_xlfn.NUMBERVALUE(OFFSET(Origine,MATCH(W64&amp;"/"&amp;MRif,LUKB_Name,0),MATCH("Price",Intestazioni,0)-1,1,1))</f>
        <v>1</v>
      </c>
      <c r="AA64" s="197"/>
      <c r="AB64" s="312" t="str">
        <f ca="1">IFERROR($X64/AC64-1,"")</f>
        <v/>
      </c>
      <c r="AC64" s="411"/>
      <c r="AD64" s="199">
        <f ca="1">AA64*$X64</f>
        <v>0</v>
      </c>
      <c r="AE64" s="199">
        <f ca="1">AD64*$Z64</f>
        <v>0</v>
      </c>
      <c r="AF64" s="216">
        <f t="shared" ca="1" si="292"/>
        <v>0</v>
      </c>
      <c r="AG64" s="202">
        <f ca="1">AH64/$X64</f>
        <v>0</v>
      </c>
      <c r="AH64" s="203">
        <f ca="1">AI64/$Z64</f>
        <v>0</v>
      </c>
      <c r="AI64" s="203">
        <f ca="1">AJ64*AA$4</f>
        <v>0</v>
      </c>
      <c r="AJ64" s="204">
        <f ca="1">$N64-AF64</f>
        <v>0</v>
      </c>
      <c r="AK64" s="205"/>
      <c r="AL64" s="206">
        <f ca="1">AK64*$X64</f>
        <v>0</v>
      </c>
      <c r="AM64" s="206">
        <f ca="1">AL64*$Z64</f>
        <v>0</v>
      </c>
      <c r="AN64" s="207">
        <f t="shared" ca="1" si="299"/>
        <v>0</v>
      </c>
      <c r="AO64" s="391">
        <f>AA64+AK64</f>
        <v>0</v>
      </c>
      <c r="AP64" s="391">
        <f ca="1">AD64+IF($T64="",AL64)</f>
        <v>0</v>
      </c>
      <c r="AQ64" s="391">
        <f ca="1">AP64*$Z64</f>
        <v>0</v>
      </c>
      <c r="AR64" s="886">
        <f t="shared" ca="1" si="26"/>
        <v>0</v>
      </c>
      <c r="AS64" s="1007" t="str">
        <f t="shared" ca="1" si="15"/>
        <v/>
      </c>
      <c r="AT64" s="197"/>
      <c r="AU64" s="312" t="str">
        <f ca="1">IFERROR($X64/AV64-1,"")</f>
        <v/>
      </c>
      <c r="AV64" s="411"/>
      <c r="AW64" s="199">
        <f ca="1">AT64*$X64</f>
        <v>0</v>
      </c>
      <c r="AX64" s="199">
        <f ca="1">AW64*$Z64</f>
        <v>0</v>
      </c>
      <c r="AY64" s="216">
        <f t="shared" ca="1" si="307"/>
        <v>0</v>
      </c>
      <c r="AZ64" s="202">
        <f ca="1">BA64/$X64</f>
        <v>0</v>
      </c>
      <c r="BA64" s="203">
        <f ca="1">BB64/$Z64</f>
        <v>0</v>
      </c>
      <c r="BB64" s="203">
        <f ca="1">BC64*AT$4</f>
        <v>0</v>
      </c>
      <c r="BC64" s="204">
        <f ca="1">$N64-AY64</f>
        <v>0</v>
      </c>
      <c r="BD64" s="205"/>
      <c r="BE64" s="206">
        <f ca="1">BD64*$X64</f>
        <v>0</v>
      </c>
      <c r="BF64" s="206">
        <f ca="1">BE64*$Z64</f>
        <v>0</v>
      </c>
      <c r="BG64" s="207">
        <f t="shared" ca="1" si="314"/>
        <v>0</v>
      </c>
      <c r="BH64" s="391">
        <f>AT64+BD64</f>
        <v>0</v>
      </c>
      <c r="BI64" s="391">
        <f ca="1">AW64+IF($T64="",BE64)</f>
        <v>0</v>
      </c>
      <c r="BJ64" s="391">
        <f ca="1">BI64*$Z64</f>
        <v>0</v>
      </c>
      <c r="BK64" s="886">
        <f t="shared" ca="1" si="72"/>
        <v>0</v>
      </c>
      <c r="BL64" s="1007" t="str">
        <f t="shared" ca="1" si="17"/>
        <v/>
      </c>
      <c r="BM64" s="197"/>
      <c r="BN64" s="312" t="str">
        <f ca="1">IFERROR($X64/BO64-1,"")</f>
        <v/>
      </c>
      <c r="BO64" s="411"/>
      <c r="BP64" s="199">
        <f ca="1">BM64*$X64</f>
        <v>0</v>
      </c>
      <c r="BQ64" s="199">
        <f ca="1">BP64*$Z64</f>
        <v>0</v>
      </c>
      <c r="BR64" s="216">
        <f t="shared" ca="1" si="6"/>
        <v>0</v>
      </c>
      <c r="BS64" s="202">
        <f ca="1">BT64/$X64</f>
        <v>0</v>
      </c>
      <c r="BT64" s="203">
        <f ca="1">BU64/$Z64</f>
        <v>0</v>
      </c>
      <c r="BU64" s="203">
        <f ca="1">BV64*BM$4</f>
        <v>0</v>
      </c>
      <c r="BV64" s="204">
        <f ca="1">$N64-BR64</f>
        <v>0</v>
      </c>
      <c r="BW64" s="205"/>
      <c r="BX64" s="206">
        <f ca="1">BW64*$X64</f>
        <v>0</v>
      </c>
      <c r="BY64" s="206">
        <f ca="1">BX64*$Z64</f>
        <v>0</v>
      </c>
      <c r="BZ64" s="207">
        <f t="shared" ca="1" si="7"/>
        <v>0</v>
      </c>
      <c r="CA64" s="391">
        <f>BM64+BW64</f>
        <v>0</v>
      </c>
      <c r="CB64" s="391">
        <f ca="1">BP64+IF($T64="",BX64)</f>
        <v>0</v>
      </c>
      <c r="CC64" s="391">
        <f ca="1">CB64*$Z64</f>
        <v>0</v>
      </c>
      <c r="CD64" s="886">
        <f t="shared" ca="1" si="76"/>
        <v>0</v>
      </c>
      <c r="CE64" s="1007" t="str">
        <f t="shared" ca="1" si="19"/>
        <v/>
      </c>
      <c r="CF64" s="197"/>
      <c r="CG64" s="312" t="str">
        <f ca="1">IFERROR($X64/CH64-1,"")</f>
        <v/>
      </c>
      <c r="CH64" s="411"/>
      <c r="CI64" s="199">
        <f ca="1">CF64*$X64</f>
        <v>0</v>
      </c>
      <c r="CJ64" s="199">
        <f ca="1">CI64*$Z64</f>
        <v>0</v>
      </c>
      <c r="CK64" s="216">
        <f t="shared" ca="1" si="334"/>
        <v>0</v>
      </c>
      <c r="CL64" s="202">
        <f ca="1">CM64/$X64</f>
        <v>0</v>
      </c>
      <c r="CM64" s="203">
        <f ca="1">CN64/$Z64</f>
        <v>0</v>
      </c>
      <c r="CN64" s="203">
        <f ca="1">CO64*CF$4</f>
        <v>0</v>
      </c>
      <c r="CO64" s="204">
        <f ca="1">$O64-CK64</f>
        <v>0</v>
      </c>
      <c r="CP64" s="205"/>
      <c r="CQ64" s="206">
        <f ca="1">CP64*$X64</f>
        <v>0</v>
      </c>
      <c r="CR64" s="206">
        <f ca="1">CQ64*$Z64</f>
        <v>0</v>
      </c>
      <c r="CS64" s="207">
        <f t="shared" ca="1" si="341"/>
        <v>0</v>
      </c>
      <c r="CT64" s="391">
        <f>CF64+CP64</f>
        <v>0</v>
      </c>
      <c r="CU64" s="391">
        <f ca="1">CI64+IF($T64="",CQ64)</f>
        <v>0</v>
      </c>
      <c r="CV64" s="391">
        <f ca="1">CU64*$Z64</f>
        <v>0</v>
      </c>
      <c r="CW64" s="886">
        <f t="shared" ca="1" si="345"/>
        <v>0</v>
      </c>
      <c r="CX64" s="1007" t="str">
        <f t="shared" ca="1" si="21"/>
        <v/>
      </c>
    </row>
    <row r="65" spans="1:102" collapsed="1" x14ac:dyDescent="0.2">
      <c r="A65" s="346"/>
      <c r="B65" s="346" t="s">
        <v>389</v>
      </c>
      <c r="C65" s="346"/>
      <c r="D65" s="347"/>
      <c r="E65" s="348"/>
      <c r="F65" s="346"/>
      <c r="G65" s="349"/>
      <c r="H65" s="1750"/>
      <c r="I65" s="1750"/>
      <c r="J65" s="1750"/>
      <c r="K65" s="1750"/>
      <c r="L65" s="1750"/>
      <c r="M65" s="1785"/>
      <c r="N65" s="1134">
        <f>SUM(N$66:N$78)</f>
        <v>0.1</v>
      </c>
      <c r="O65" s="1134"/>
      <c r="P65" s="351">
        <f t="shared" ca="1" si="654"/>
        <v>0.10022311537558075</v>
      </c>
      <c r="Q65" s="421"/>
      <c r="R65" s="421"/>
      <c r="S65" s="871"/>
      <c r="T65" s="871"/>
      <c r="U65" s="353"/>
      <c r="V65" s="421">
        <f>COUNTIF(V66:V78,"&lt;&gt;0")</f>
        <v>0</v>
      </c>
      <c r="W65" s="346"/>
      <c r="X65" s="873"/>
      <c r="Y65" s="873"/>
      <c r="Z65" s="1037"/>
      <c r="AA65" s="357"/>
      <c r="AB65" s="359"/>
      <c r="AC65" s="1135"/>
      <c r="AD65" s="359"/>
      <c r="AE65" s="360">
        <f ca="1">SUM(AE$66:AE$78)</f>
        <v>71386.400799999989</v>
      </c>
      <c r="AF65" s="361">
        <f t="shared" ca="1" si="292"/>
        <v>0.10153639944832019</v>
      </c>
      <c r="AG65" s="362"/>
      <c r="AH65" s="359"/>
      <c r="AI65" s="360">
        <f ca="1">SUM(AI$66:AI$78)</f>
        <v>-1080.1843221012405</v>
      </c>
      <c r="AJ65" s="363">
        <f ca="1">IFERROR(AI65/AA$4,0)</f>
        <v>-1.5363994483201979E-3</v>
      </c>
      <c r="AK65" s="362"/>
      <c r="AL65" s="359"/>
      <c r="AM65" s="360">
        <f ca="1">SUM(AM$66:AM$78)</f>
        <v>0</v>
      </c>
      <c r="AN65" s="363">
        <f t="shared" ca="1" si="299"/>
        <v>0</v>
      </c>
      <c r="AO65" s="359"/>
      <c r="AP65" s="359"/>
      <c r="AQ65" s="360">
        <f ca="1">SUM(AQ$66:AQ$78)</f>
        <v>71386.400799999989</v>
      </c>
      <c r="AR65" s="876">
        <f t="shared" ca="1" si="26"/>
        <v>0.10153639944832019</v>
      </c>
      <c r="AS65" s="1007" t="str">
        <f t="shared" ca="1" si="15"/>
        <v>V</v>
      </c>
      <c r="AT65" s="357"/>
      <c r="AU65" s="359"/>
      <c r="AV65" s="1135"/>
      <c r="AW65" s="359"/>
      <c r="AX65" s="360">
        <f ca="1">SUM(AX$66:AX$78)</f>
        <v>115616.253</v>
      </c>
      <c r="AY65" s="361">
        <f t="shared" ca="1" si="307"/>
        <v>9.9562968923095657E-2</v>
      </c>
      <c r="AZ65" s="362"/>
      <c r="BA65" s="359"/>
      <c r="BB65" s="360">
        <f ca="1">SUM(BB$66:BB$78)</f>
        <v>507.49687461875021</v>
      </c>
      <c r="BC65" s="363">
        <f ca="1">IFERROR(BB65/AT$4,0)</f>
        <v>4.3703107690434151E-4</v>
      </c>
      <c r="BD65" s="362"/>
      <c r="BE65" s="359"/>
      <c r="BF65" s="360">
        <f ca="1">SUM(BF$66:BF$78)</f>
        <v>0</v>
      </c>
      <c r="BG65" s="363">
        <f t="shared" ca="1" si="314"/>
        <v>0</v>
      </c>
      <c r="BH65" s="359"/>
      <c r="BI65" s="359"/>
      <c r="BJ65" s="360">
        <f ca="1">SUM(BJ$66:BJ$78)</f>
        <v>115616.253</v>
      </c>
      <c r="BK65" s="876">
        <f t="shared" ca="1" si="72"/>
        <v>9.9562968923095657E-2</v>
      </c>
      <c r="BL65" s="1007" t="str">
        <f t="shared" ca="1" si="17"/>
        <v>V</v>
      </c>
      <c r="BM65" s="357"/>
      <c r="BN65" s="359"/>
      <c r="BO65" s="1135"/>
      <c r="BP65" s="359"/>
      <c r="BQ65" s="360">
        <f ca="1">SUM(BQ$66:BQ$78)</f>
        <v>63211.929799999998</v>
      </c>
      <c r="BR65" s="361">
        <f t="shared" ca="1" si="6"/>
        <v>9.9975227513962775E-2</v>
      </c>
      <c r="BS65" s="362"/>
      <c r="BT65" s="359"/>
      <c r="BU65" s="360">
        <f ca="1">SUM(BU$66:BU$78)</f>
        <v>15.663046609598979</v>
      </c>
      <c r="BV65" s="363">
        <f ca="1">IFERROR(BU65/BM$4,0)</f>
        <v>2.4772486037223648E-5</v>
      </c>
      <c r="BW65" s="362"/>
      <c r="BX65" s="359"/>
      <c r="BY65" s="360">
        <f ca="1">SUM(BY$66:BY$78)</f>
        <v>0</v>
      </c>
      <c r="BZ65" s="363">
        <f t="shared" ca="1" si="7"/>
        <v>0</v>
      </c>
      <c r="CA65" s="359"/>
      <c r="CB65" s="359"/>
      <c r="CC65" s="360">
        <f ca="1">SUM(CC$66:CC$78)</f>
        <v>63211.929799999998</v>
      </c>
      <c r="CD65" s="876">
        <f t="shared" ca="1" si="76"/>
        <v>9.9975227513962775E-2</v>
      </c>
      <c r="CE65" s="1007" t="str">
        <f t="shared" ca="1" si="19"/>
        <v>V</v>
      </c>
      <c r="CF65" s="357"/>
      <c r="CG65" s="359"/>
      <c r="CH65" s="1135"/>
      <c r="CI65" s="359"/>
      <c r="CJ65" s="360">
        <f ca="1">SUM(CJ$66:CJ$78)</f>
        <v>17382.718800000002</v>
      </c>
      <c r="CK65" s="361">
        <f t="shared" ca="1" si="334"/>
        <v>0.10901237669061041</v>
      </c>
      <c r="CL65" s="362"/>
      <c r="CM65" s="359"/>
      <c r="CN65" s="360">
        <f ca="1">SUM(CN$66:CN$78)</f>
        <v>6535.7379767027214</v>
      </c>
      <c r="CO65" s="363">
        <f ca="1">IFERROR(CN65/CF$4,0)</f>
        <v>4.0987623309389605E-2</v>
      </c>
      <c r="CP65" s="362"/>
      <c r="CQ65" s="359"/>
      <c r="CR65" s="360">
        <f ca="1">SUM(CR$66:CR$78)</f>
        <v>0</v>
      </c>
      <c r="CS65" s="363">
        <f t="shared" ca="1" si="341"/>
        <v>0</v>
      </c>
      <c r="CT65" s="359"/>
      <c r="CU65" s="359"/>
      <c r="CV65" s="360">
        <f ca="1">SUM(CV$66:CV$78)</f>
        <v>17382.718800000002</v>
      </c>
      <c r="CW65" s="876">
        <f t="shared" ca="1" si="345"/>
        <v>0.10901237669061041</v>
      </c>
      <c r="CX65" s="1007" t="str">
        <f t="shared" ca="1" si="21"/>
        <v>V</v>
      </c>
    </row>
    <row r="66" spans="1:102" hidden="1" outlineLevel="1" x14ac:dyDescent="0.2">
      <c r="A66" s="367"/>
      <c r="B66" s="367"/>
      <c r="C66" s="367" t="str">
        <f t="shared" ref="C66:C78" ca="1" si="700">OFFSET(Origine,MATCH($F66,Descrizioni,0),MATCH(C$16,Intestazioni,0)-1,1,1)</f>
        <v>IE00BFWFPX50:USD</v>
      </c>
      <c r="D66" s="368" t="str">
        <f t="shared" ref="D66:E75" ca="1" si="701">OFFSET(Origine,MATCH($F66,Descrizioni,0),MATCH(D$16,Intestazioni,0)-1,1,1)</f>
        <v>IE00BFWFPX50</v>
      </c>
      <c r="E66" s="369" t="str">
        <f t="shared" ca="1" si="701"/>
        <v>42480705</v>
      </c>
      <c r="F66" s="367" t="s">
        <v>462</v>
      </c>
      <c r="G66" s="414"/>
      <c r="H66" s="1683" t="str">
        <f t="shared" ref="H66:H78" ca="1" si="702">HYPERLINK(OFFSET(Origine,MATCH($F66,Descrizioni,0),MATCH(H$16,Intestazioni,0)-1,1,1),"")</f>
        <v></v>
      </c>
      <c r="I66" s="1683" t="str">
        <f t="shared" ref="I66:I78" ca="1" si="703">HYPERLINK(OFFSET(Origine,MATCH($F66,Descrizioni,0),MATCH(I$16,Intestazioni,0)-1,1,1),"i")</f>
        <v>i</v>
      </c>
      <c r="J66" s="1713" t="str">
        <f t="shared" ref="J66:K78" ca="1" si="704">HYPERLINK(OFFSET(Origine,MATCH($F66,Descrizioni,0),MATCH(J$16,Intestazioni,0)-1,1,1),"")</f>
        <v></v>
      </c>
      <c r="K66" s="1716" t="str">
        <f t="shared" ca="1" si="704"/>
        <v></v>
      </c>
      <c r="L66" s="1717" t="str">
        <f t="shared" ref="L66:L78" ca="1" si="705">IFERROR(HYPERLINK("https://www.marketscreener.com/mods_a/charts/TV/inc_dyna_graph.php?c="&amp;OFFSET(Origine,MATCH($F66,Descrizioni,0),MATCH(L$16,Intestazioni,0)-1,1,1)&amp;"&amp;style=TradingView.CANDLES&amp;showAT=1",""),"")</f>
        <v></v>
      </c>
      <c r="M66" s="1786" t="str">
        <f t="shared" ref="M66:M78" ca="1" si="706">(OFFSET(Origine,MATCH($F66,Descrizioni,0),MATCH(M$16,Intestazioni,0)-1,1,1))</f>
        <v>Unit</v>
      </c>
      <c r="N66" s="1136">
        <v>2.5000000000000001E-2</v>
      </c>
      <c r="O66" s="1136"/>
      <c r="P66" s="418">
        <f t="shared" ca="1" si="654"/>
        <v>2.6044628573869095E-2</v>
      </c>
      <c r="Q66" s="391">
        <f t="shared" ref="Q66:Q78" si="707">SUMIF($AA$16:$CW$16,"I_Pos",$AA66:$CW66)</f>
        <v>1400</v>
      </c>
      <c r="R66" s="391">
        <f t="shared" ref="R66:R78" ca="1" si="708">SUMIF($AA$16:$CW$16,"P_Pos",$AA66:$CW66)</f>
        <v>-56.152845461733847</v>
      </c>
      <c r="S66" s="883"/>
      <c r="T66" s="883"/>
      <c r="U66" s="375">
        <f t="shared" ref="U66:U78" ca="1" si="709">OFFSET(Origine,MATCH($C66,smo_ids,0),MATCH(U$16,Intestazioni,0)-1,1,1)</f>
        <v>-1.4825796886583E-3</v>
      </c>
      <c r="V66" s="391">
        <f t="shared" ref="V66:V78" si="710">SUMIF($AA$16:$CW$16,"O_Pos",$AA66:$CW66)</f>
        <v>0</v>
      </c>
      <c r="W66" s="367" t="str">
        <f t="shared" ref="W66:W78" ca="1" si="711">OFFSET(Origine,MATCH($F66,Descrizioni,0),MATCH(W$16,Intestazioni,0)-1,1,1)</f>
        <v>USD</v>
      </c>
      <c r="X66" s="887">
        <f t="shared" ref="X66:Y78" ca="1" si="712">_xlfn.NUMBERVALUE(OFFSET(Origine,MATCH($F66,Descrizioni,0),MATCH(X$16,Intestazioni,0)-1,1,1))</f>
        <v>53.88</v>
      </c>
      <c r="Y66" s="1041">
        <f t="shared" ca="1" si="712"/>
        <v>0</v>
      </c>
      <c r="Z66" s="1042">
        <f t="shared" ref="Z66:Z78" ca="1" si="713">_xlfn.NUMBERVALUE(OFFSET(Origine,MATCH(W66&amp;"/"&amp;MRif,LUKB_Name,0),MATCH("Price",Intestazioni,0)-1,1,1))</f>
        <v>0.86199999999999999</v>
      </c>
      <c r="AA66" s="197">
        <f>390</f>
        <v>390</v>
      </c>
      <c r="AB66" s="312">
        <f t="shared" ref="AB66:AB78" ca="1" si="714">IFERROR($X66/AC66-1,"")</f>
        <v>0.2935256496437284</v>
      </c>
      <c r="AC66" s="411">
        <v>41.653599999999997</v>
      </c>
      <c r="AD66" s="199">
        <f t="shared" ref="AD66:AD78" ca="1" si="715">AA66*$X66</f>
        <v>21013.200000000001</v>
      </c>
      <c r="AE66" s="199">
        <f t="shared" ref="AE66:AE78" ca="1" si="716">AD66*$Z66</f>
        <v>18113.378400000001</v>
      </c>
      <c r="AF66" s="216">
        <f t="shared" ca="1" si="292"/>
        <v>2.5763551656479863E-2</v>
      </c>
      <c r="AG66" s="202">
        <f t="shared" ref="AG66:AG78" ca="1" si="717">AH66/$X66</f>
        <v>-11.558388765558615</v>
      </c>
      <c r="AH66" s="203">
        <f t="shared" ref="AH66:AH78" ca="1" si="718">AI66/$Z66</f>
        <v>-622.7659866882982</v>
      </c>
      <c r="AI66" s="203">
        <f t="shared" ref="AI66:AI78" ca="1" si="719">AJ66*AA$4</f>
        <v>-536.82428052531304</v>
      </c>
      <c r="AJ66" s="204">
        <f t="shared" ref="AJ66:AJ78" ca="1" si="720">$N66-AF66</f>
        <v>-7.6355165647986126E-4</v>
      </c>
      <c r="AK66" s="205"/>
      <c r="AL66" s="206">
        <f t="shared" ref="AL66:AL78" ca="1" si="721">AK66*$X66</f>
        <v>0</v>
      </c>
      <c r="AM66" s="206">
        <f t="shared" ref="AM66:AM78" ca="1" si="722">AL66*$Z66</f>
        <v>0</v>
      </c>
      <c r="AN66" s="207">
        <f t="shared" ca="1" si="299"/>
        <v>0</v>
      </c>
      <c r="AO66" s="391">
        <f t="shared" ref="AO66:AO71" si="723">AA66+AK66</f>
        <v>390</v>
      </c>
      <c r="AP66" s="391">
        <f t="shared" ref="AP66:AP74" ca="1" si="724">AD66+IF($T66="",AL66)</f>
        <v>21013.200000000001</v>
      </c>
      <c r="AQ66" s="391">
        <f t="shared" ref="AQ66:AQ78" ca="1" si="725">AP66*$Z66</f>
        <v>18113.378400000001</v>
      </c>
      <c r="AR66" s="886">
        <f t="shared" ca="1" si="26"/>
        <v>2.5763551656479863E-2</v>
      </c>
      <c r="AS66" s="1007" t="str">
        <f t="shared" ca="1" si="15"/>
        <v>V</v>
      </c>
      <c r="AT66" s="197">
        <f>650</f>
        <v>650</v>
      </c>
      <c r="AU66" s="312">
        <f t="shared" ref="AU66:AU78" ca="1" si="726">IFERROR($X66/AV66-1,"")</f>
        <v>0.29546634865067611</v>
      </c>
      <c r="AV66" s="411">
        <v>41.591200000000001</v>
      </c>
      <c r="AW66" s="199">
        <f t="shared" ref="AW66:AW78" ca="1" si="727">AT66*$X66</f>
        <v>35022</v>
      </c>
      <c r="AX66" s="199">
        <f t="shared" ref="AX66:AX78" ca="1" si="728">AW66*$Z66</f>
        <v>30188.964</v>
      </c>
      <c r="AY66" s="216">
        <f t="shared" ca="1" si="307"/>
        <v>2.5997234874515902E-2</v>
      </c>
      <c r="AZ66" s="202">
        <f t="shared" ref="AZ66:AZ78" ca="1" si="729">BA66/$X66</f>
        <v>-24.9335235675677</v>
      </c>
      <c r="BA66" s="203">
        <f t="shared" ref="BA66:BA78" ca="1" si="730">BB66/$Z66</f>
        <v>-1343.4182498205478</v>
      </c>
      <c r="BB66" s="203">
        <f t="shared" ref="BB66:BB78" ca="1" si="731">BC66*AT$4</f>
        <v>-1158.0265313453122</v>
      </c>
      <c r="BC66" s="204">
        <f t="shared" ref="BC66:BC78" ca="1" si="732">$N66-AY66</f>
        <v>-9.9723487451590029E-4</v>
      </c>
      <c r="BD66" s="205"/>
      <c r="BE66" s="206">
        <f t="shared" ref="BE66:BE78" ca="1" si="733">BD66*$X66</f>
        <v>0</v>
      </c>
      <c r="BF66" s="206">
        <f t="shared" ref="BF66:BF78" ca="1" si="734">BE66*$Z66</f>
        <v>0</v>
      </c>
      <c r="BG66" s="207">
        <f t="shared" ca="1" si="314"/>
        <v>0</v>
      </c>
      <c r="BH66" s="391">
        <f t="shared" ref="BH66:BH71" si="735">AT66+BD66</f>
        <v>650</v>
      </c>
      <c r="BI66" s="391">
        <f t="shared" ref="BI66:BI74" ca="1" si="736">AW66+IF($T66="",BE66)</f>
        <v>35022</v>
      </c>
      <c r="BJ66" s="391">
        <f t="shared" ref="BJ66:BJ78" ca="1" si="737">BI66*$Z66</f>
        <v>30188.964</v>
      </c>
      <c r="BK66" s="886">
        <f t="shared" ca="1" si="72"/>
        <v>2.5997234874515902E-2</v>
      </c>
      <c r="BL66" s="1007" t="str">
        <f t="shared" ca="1" si="17"/>
        <v>V</v>
      </c>
      <c r="BM66" s="197">
        <f>360</f>
        <v>360</v>
      </c>
      <c r="BN66" s="312">
        <f t="shared" ref="BN66:BN78" ca="1" si="738">IFERROR($X66/BO66-1,"")</f>
        <v>0.29546634865067611</v>
      </c>
      <c r="BO66" s="411">
        <v>41.591200000000001</v>
      </c>
      <c r="BP66" s="199">
        <f t="shared" ref="BP66:BP78" ca="1" si="739">BM66*$X66</f>
        <v>19396.8</v>
      </c>
      <c r="BQ66" s="199">
        <f t="shared" ref="BQ66:BQ78" ca="1" si="740">BP66*$Z66</f>
        <v>16720.0416</v>
      </c>
      <c r="BR66" s="216">
        <f t="shared" ca="1" si="6"/>
        <v>2.6444216594743518E-2</v>
      </c>
      <c r="BS66" s="202">
        <f t="shared" ref="BS66:BS78" ca="1" si="741">BT66/$X66</f>
        <v>-19.660933128607532</v>
      </c>
      <c r="BT66" s="203">
        <f t="shared" ref="BT66:BT78" ca="1" si="742">BU66/$Z66</f>
        <v>-1059.331076969374</v>
      </c>
      <c r="BU66" s="203">
        <f t="shared" ref="BU66:BU78" ca="1" si="743">BV66*BM$4</f>
        <v>-913.14338834760031</v>
      </c>
      <c r="BV66" s="204">
        <f t="shared" ref="BV66:BV78" ca="1" si="744">$N66-BR66</f>
        <v>-1.4442165947435165E-3</v>
      </c>
      <c r="BW66" s="205"/>
      <c r="BX66" s="206">
        <f t="shared" ref="BX66:BX78" ca="1" si="745">BW66*$X66</f>
        <v>0</v>
      </c>
      <c r="BY66" s="206">
        <f t="shared" ref="BY66:BY78" ca="1" si="746">BX66*$Z66</f>
        <v>0</v>
      </c>
      <c r="BZ66" s="207">
        <f t="shared" ca="1" si="7"/>
        <v>0</v>
      </c>
      <c r="CA66" s="391">
        <f t="shared" ref="CA66:CA71" si="747">BM66+BW66</f>
        <v>360</v>
      </c>
      <c r="CB66" s="391">
        <f t="shared" ref="CB66:CB74" ca="1" si="748">BP66+IF($T66="",BX66)</f>
        <v>19396.8</v>
      </c>
      <c r="CC66" s="391">
        <f t="shared" ref="CC66:CC78" ca="1" si="749">CB66*$Z66</f>
        <v>16720.0416</v>
      </c>
      <c r="CD66" s="886">
        <f t="shared" ca="1" si="76"/>
        <v>2.6444216594743518E-2</v>
      </c>
      <c r="CE66" s="1007" t="str">
        <f t="shared" ca="1" si="19"/>
        <v>V</v>
      </c>
      <c r="CF66" s="197"/>
      <c r="CG66" s="312" t="str">
        <f t="shared" ref="CG66:CG78" ca="1" si="750">IFERROR($X66/CH66-1,"")</f>
        <v/>
      </c>
      <c r="CH66" s="411"/>
      <c r="CI66" s="199">
        <f t="shared" ref="CI66:CI78" ca="1" si="751">CF66*$X66</f>
        <v>0</v>
      </c>
      <c r="CJ66" s="199">
        <f t="shared" ref="CJ66:CJ78" ca="1" si="752">CI66*$Z66</f>
        <v>0</v>
      </c>
      <c r="CK66" s="216">
        <f t="shared" ca="1" si="334"/>
        <v>0</v>
      </c>
      <c r="CL66" s="202">
        <f t="shared" ref="CL66:CL78" ca="1" si="753">CM66/$X66</f>
        <v>0</v>
      </c>
      <c r="CM66" s="203">
        <f t="shared" ref="CM66:CM78" ca="1" si="754">CN66/$Z66</f>
        <v>0</v>
      </c>
      <c r="CN66" s="203">
        <f t="shared" ref="CN66:CN78" ca="1" si="755">CO66*CF$4</f>
        <v>0</v>
      </c>
      <c r="CO66" s="204">
        <f t="shared" ref="CO66:CO78" ca="1" si="756">$O66-CK66</f>
        <v>0</v>
      </c>
      <c r="CP66" s="205"/>
      <c r="CQ66" s="206">
        <f t="shared" ref="CQ66:CQ78" ca="1" si="757">CP66*$X66</f>
        <v>0</v>
      </c>
      <c r="CR66" s="206">
        <f t="shared" ref="CR66:CR78" ca="1" si="758">CQ66*$Z66</f>
        <v>0</v>
      </c>
      <c r="CS66" s="207">
        <f t="shared" ca="1" si="341"/>
        <v>0</v>
      </c>
      <c r="CT66" s="391">
        <f t="shared" ref="CT66:CT71" si="759">CF66+CP66</f>
        <v>0</v>
      </c>
      <c r="CU66" s="391">
        <f t="shared" ref="CU66:CU74" ca="1" si="760">CI66+IF($T66="",CQ66)</f>
        <v>0</v>
      </c>
      <c r="CV66" s="391">
        <f t="shared" ref="CV66:CV78" ca="1" si="761">CU66*$Z66</f>
        <v>0</v>
      </c>
      <c r="CW66" s="886">
        <f t="shared" ca="1" si="345"/>
        <v>0</v>
      </c>
      <c r="CX66" s="1007" t="str">
        <f t="shared" ca="1" si="21"/>
        <v/>
      </c>
    </row>
    <row r="67" spans="1:102" hidden="1" outlineLevel="1" x14ac:dyDescent="0.2">
      <c r="A67" s="367"/>
      <c r="B67" s="367"/>
      <c r="C67" s="367" t="str">
        <f t="shared" ca="1" si="700"/>
        <v>US81369Y6059:USD</v>
      </c>
      <c r="D67" s="368" t="str">
        <f t="shared" ca="1" si="701"/>
        <v>US81369Y6059</v>
      </c>
      <c r="E67" s="369" t="str">
        <f t="shared" ca="1" si="701"/>
        <v>986018</v>
      </c>
      <c r="F67" s="367" t="s">
        <v>411</v>
      </c>
      <c r="G67" s="414"/>
      <c r="H67" s="1683" t="str">
        <f t="shared" ca="1" si="702"/>
        <v></v>
      </c>
      <c r="I67" s="1683" t="str">
        <f t="shared" ca="1" si="703"/>
        <v>i</v>
      </c>
      <c r="J67" s="1713" t="str">
        <f t="shared" ca="1" si="704"/>
        <v></v>
      </c>
      <c r="K67" s="1716" t="str">
        <f t="shared" ca="1" si="704"/>
        <v></v>
      </c>
      <c r="L67" s="1717" t="str">
        <f t="shared" ca="1" si="705"/>
        <v></v>
      </c>
      <c r="M67" s="1786" t="str">
        <f t="shared" ca="1" si="706"/>
        <v>Unit</v>
      </c>
      <c r="N67" s="1136"/>
      <c r="O67" s="1136"/>
      <c r="P67" s="418">
        <f t="shared" ca="1" si="654"/>
        <v>0</v>
      </c>
      <c r="Q67" s="391">
        <f t="shared" si="707"/>
        <v>0</v>
      </c>
      <c r="R67" s="391">
        <f t="shared" ca="1" si="708"/>
        <v>0</v>
      </c>
      <c r="S67" s="883"/>
      <c r="T67" s="883"/>
      <c r="U67" s="375">
        <f t="shared" ca="1" si="709"/>
        <v>-5.5550141311763003E-3</v>
      </c>
      <c r="V67" s="391">
        <f t="shared" si="710"/>
        <v>0</v>
      </c>
      <c r="W67" s="367" t="str">
        <f t="shared" ca="1" si="711"/>
        <v>USD</v>
      </c>
      <c r="X67" s="887">
        <f t="shared" ca="1" si="712"/>
        <v>51.02</v>
      </c>
      <c r="Y67" s="1041">
        <f t="shared" ca="1" si="712"/>
        <v>0</v>
      </c>
      <c r="Z67" s="1042">
        <f t="shared" ca="1" si="713"/>
        <v>0.86199999999999999</v>
      </c>
      <c r="AA67" s="197">
        <f>350+-350</f>
        <v>0</v>
      </c>
      <c r="AB67" s="312" t="str">
        <f t="shared" ca="1" si="714"/>
        <v/>
      </c>
      <c r="AC67" s="411"/>
      <c r="AD67" s="199">
        <f t="shared" ca="1" si="715"/>
        <v>0</v>
      </c>
      <c r="AE67" s="199">
        <f t="shared" ca="1" si="716"/>
        <v>0</v>
      </c>
      <c r="AF67" s="216">
        <f t="shared" ca="1" si="292"/>
        <v>0</v>
      </c>
      <c r="AG67" s="202">
        <f t="shared" ca="1" si="717"/>
        <v>0</v>
      </c>
      <c r="AH67" s="203">
        <f t="shared" ca="1" si="718"/>
        <v>0</v>
      </c>
      <c r="AI67" s="203">
        <f t="shared" ca="1" si="719"/>
        <v>0</v>
      </c>
      <c r="AJ67" s="204">
        <f t="shared" ca="1" si="720"/>
        <v>0</v>
      </c>
      <c r="AK67" s="205"/>
      <c r="AL67" s="206">
        <f t="shared" ca="1" si="721"/>
        <v>0</v>
      </c>
      <c r="AM67" s="206">
        <f t="shared" ca="1" si="722"/>
        <v>0</v>
      </c>
      <c r="AN67" s="207">
        <f t="shared" ca="1" si="299"/>
        <v>0</v>
      </c>
      <c r="AO67" s="391">
        <f t="shared" si="723"/>
        <v>0</v>
      </c>
      <c r="AP67" s="391">
        <f t="shared" ca="1" si="724"/>
        <v>0</v>
      </c>
      <c r="AQ67" s="391">
        <f t="shared" ca="1" si="725"/>
        <v>0</v>
      </c>
      <c r="AR67" s="886">
        <f t="shared" ca="1" si="26"/>
        <v>0</v>
      </c>
      <c r="AS67" s="1007" t="str">
        <f t="shared" ca="1" si="15"/>
        <v/>
      </c>
      <c r="AT67" s="197">
        <f>580+-580</f>
        <v>0</v>
      </c>
      <c r="AU67" s="312" t="str">
        <f t="shared" ca="1" si="726"/>
        <v/>
      </c>
      <c r="AV67" s="411"/>
      <c r="AW67" s="199">
        <f t="shared" ca="1" si="727"/>
        <v>0</v>
      </c>
      <c r="AX67" s="199">
        <f t="shared" ca="1" si="728"/>
        <v>0</v>
      </c>
      <c r="AY67" s="216">
        <f t="shared" ca="1" si="307"/>
        <v>0</v>
      </c>
      <c r="AZ67" s="202">
        <f t="shared" ca="1" si="729"/>
        <v>0</v>
      </c>
      <c r="BA67" s="203">
        <f t="shared" ca="1" si="730"/>
        <v>0</v>
      </c>
      <c r="BB67" s="203">
        <f t="shared" ca="1" si="731"/>
        <v>0</v>
      </c>
      <c r="BC67" s="204">
        <f t="shared" ca="1" si="732"/>
        <v>0</v>
      </c>
      <c r="BD67" s="205"/>
      <c r="BE67" s="206">
        <f t="shared" ca="1" si="733"/>
        <v>0</v>
      </c>
      <c r="BF67" s="206">
        <f t="shared" ca="1" si="734"/>
        <v>0</v>
      </c>
      <c r="BG67" s="207">
        <f t="shared" ca="1" si="314"/>
        <v>0</v>
      </c>
      <c r="BH67" s="391">
        <f t="shared" si="735"/>
        <v>0</v>
      </c>
      <c r="BI67" s="391">
        <f t="shared" ca="1" si="736"/>
        <v>0</v>
      </c>
      <c r="BJ67" s="391">
        <f t="shared" ca="1" si="737"/>
        <v>0</v>
      </c>
      <c r="BK67" s="886">
        <f t="shared" ca="1" si="72"/>
        <v>0</v>
      </c>
      <c r="BL67" s="1007" t="str">
        <f t="shared" ca="1" si="17"/>
        <v/>
      </c>
      <c r="BM67" s="197">
        <f>320+-320</f>
        <v>0</v>
      </c>
      <c r="BN67" s="312" t="str">
        <f t="shared" ca="1" si="738"/>
        <v/>
      </c>
      <c r="BO67" s="411"/>
      <c r="BP67" s="199">
        <f t="shared" ca="1" si="739"/>
        <v>0</v>
      </c>
      <c r="BQ67" s="199">
        <f t="shared" ca="1" si="740"/>
        <v>0</v>
      </c>
      <c r="BR67" s="216">
        <f t="shared" ca="1" si="6"/>
        <v>0</v>
      </c>
      <c r="BS67" s="202">
        <f t="shared" ca="1" si="741"/>
        <v>0</v>
      </c>
      <c r="BT67" s="203">
        <f t="shared" ca="1" si="742"/>
        <v>0</v>
      </c>
      <c r="BU67" s="203">
        <f t="shared" ca="1" si="743"/>
        <v>0</v>
      </c>
      <c r="BV67" s="204">
        <f t="shared" ca="1" si="744"/>
        <v>0</v>
      </c>
      <c r="BW67" s="205"/>
      <c r="BX67" s="206">
        <f t="shared" ca="1" si="745"/>
        <v>0</v>
      </c>
      <c r="BY67" s="206">
        <f t="shared" ca="1" si="746"/>
        <v>0</v>
      </c>
      <c r="BZ67" s="207">
        <f t="shared" ca="1" si="7"/>
        <v>0</v>
      </c>
      <c r="CA67" s="391">
        <f t="shared" si="747"/>
        <v>0</v>
      </c>
      <c r="CB67" s="391">
        <f t="shared" ca="1" si="748"/>
        <v>0</v>
      </c>
      <c r="CC67" s="391">
        <f t="shared" ca="1" si="749"/>
        <v>0</v>
      </c>
      <c r="CD67" s="886">
        <f t="shared" ca="1" si="76"/>
        <v>0</v>
      </c>
      <c r="CE67" s="1007" t="str">
        <f t="shared" ca="1" si="19"/>
        <v/>
      </c>
      <c r="CF67" s="197"/>
      <c r="CG67" s="312" t="str">
        <f t="shared" ca="1" si="750"/>
        <v/>
      </c>
      <c r="CH67" s="411"/>
      <c r="CI67" s="199">
        <f t="shared" ca="1" si="751"/>
        <v>0</v>
      </c>
      <c r="CJ67" s="199">
        <f t="shared" ca="1" si="752"/>
        <v>0</v>
      </c>
      <c r="CK67" s="216">
        <f t="shared" ca="1" si="334"/>
        <v>0</v>
      </c>
      <c r="CL67" s="202">
        <f t="shared" ca="1" si="753"/>
        <v>0</v>
      </c>
      <c r="CM67" s="203">
        <f t="shared" ca="1" si="754"/>
        <v>0</v>
      </c>
      <c r="CN67" s="203">
        <f t="shared" ca="1" si="755"/>
        <v>0</v>
      </c>
      <c r="CO67" s="204">
        <f t="shared" ca="1" si="756"/>
        <v>0</v>
      </c>
      <c r="CP67" s="205"/>
      <c r="CQ67" s="206">
        <f t="shared" ca="1" si="757"/>
        <v>0</v>
      </c>
      <c r="CR67" s="206">
        <f t="shared" ca="1" si="758"/>
        <v>0</v>
      </c>
      <c r="CS67" s="207">
        <f t="shared" ca="1" si="341"/>
        <v>0</v>
      </c>
      <c r="CT67" s="391">
        <f t="shared" si="759"/>
        <v>0</v>
      </c>
      <c r="CU67" s="391">
        <f t="shared" ca="1" si="760"/>
        <v>0</v>
      </c>
      <c r="CV67" s="391">
        <f t="shared" ca="1" si="761"/>
        <v>0</v>
      </c>
      <c r="CW67" s="886">
        <f t="shared" ca="1" si="345"/>
        <v>0</v>
      </c>
      <c r="CX67" s="1007" t="str">
        <f t="shared" ca="1" si="21"/>
        <v/>
      </c>
    </row>
    <row r="68" spans="1:102" hidden="1" outlineLevel="1" x14ac:dyDescent="0.2">
      <c r="A68" s="367"/>
      <c r="B68" s="367"/>
      <c r="C68" s="367" t="str">
        <f t="shared" ca="1" si="700"/>
        <v>US81369Y7040:USD</v>
      </c>
      <c r="D68" s="368" t="str">
        <f t="shared" ca="1" si="701"/>
        <v>US81369Y7040</v>
      </c>
      <c r="E68" s="369" t="str">
        <f t="shared" ca="1" si="701"/>
        <v>986058</v>
      </c>
      <c r="F68" s="367" t="s">
        <v>472</v>
      </c>
      <c r="G68" s="414"/>
      <c r="H68" s="1683" t="str">
        <f t="shared" ca="1" si="702"/>
        <v></v>
      </c>
      <c r="I68" s="1683" t="str">
        <f t="shared" ca="1" si="703"/>
        <v>i</v>
      </c>
      <c r="J68" s="1713" t="str">
        <f t="shared" ca="1" si="704"/>
        <v></v>
      </c>
      <c r="K68" s="1716" t="str">
        <f t="shared" ca="1" si="704"/>
        <v></v>
      </c>
      <c r="L68" s="1717" t="str">
        <f t="shared" ca="1" si="705"/>
        <v></v>
      </c>
      <c r="M68" s="1786" t="str">
        <f t="shared" ca="1" si="706"/>
        <v>Unit</v>
      </c>
      <c r="N68" s="1136">
        <v>2.5000000000000001E-2</v>
      </c>
      <c r="O68" s="1136"/>
      <c r="P68" s="418">
        <f t="shared" ca="1" si="654"/>
        <v>2.5483421933663781E-2</v>
      </c>
      <c r="Q68" s="391">
        <f t="shared" si="707"/>
        <v>420</v>
      </c>
      <c r="R68" s="391">
        <f t="shared" ca="1" si="708"/>
        <v>-7.9674233965641372</v>
      </c>
      <c r="S68" s="883"/>
      <c r="T68" s="883"/>
      <c r="U68" s="375">
        <f t="shared" ca="1" si="709"/>
        <v>-1.77193963107883E-2</v>
      </c>
      <c r="V68" s="391">
        <f t="shared" si="710"/>
        <v>0</v>
      </c>
      <c r="W68" s="367" t="str">
        <f t="shared" ca="1" si="711"/>
        <v>USD</v>
      </c>
      <c r="X68" s="887">
        <f t="shared" ca="1" si="712"/>
        <v>175.73</v>
      </c>
      <c r="Y68" s="1041">
        <f t="shared" ca="1" si="712"/>
        <v>0</v>
      </c>
      <c r="Z68" s="1042">
        <f t="shared" ca="1" si="713"/>
        <v>0.86199999999999999</v>
      </c>
      <c r="AA68" s="197">
        <v>120</v>
      </c>
      <c r="AB68" s="312" t="str">
        <f t="shared" ca="1" si="714"/>
        <v/>
      </c>
      <c r="AC68" s="411"/>
      <c r="AD68" s="199">
        <f t="shared" ca="1" si="715"/>
        <v>21087.599999999999</v>
      </c>
      <c r="AE68" s="199">
        <f t="shared" ca="1" si="716"/>
        <v>18177.511199999997</v>
      </c>
      <c r="AF68" s="216">
        <f t="shared" ca="1" si="292"/>
        <v>2.5854770901680115E-2</v>
      </c>
      <c r="AG68" s="202">
        <f t="shared" ca="1" si="717"/>
        <v>-3.9672565110583982</v>
      </c>
      <c r="AH68" s="203">
        <f t="shared" ca="1" si="718"/>
        <v>-697.16598668829226</v>
      </c>
      <c r="AI68" s="203">
        <f t="shared" ca="1" si="719"/>
        <v>-600.9570805253079</v>
      </c>
      <c r="AJ68" s="204">
        <f t="shared" ca="1" si="720"/>
        <v>-8.5477090168011374E-4</v>
      </c>
      <c r="AK68" s="205"/>
      <c r="AL68" s="206">
        <f t="shared" ca="1" si="721"/>
        <v>0</v>
      </c>
      <c r="AM68" s="206">
        <f t="shared" ca="1" si="722"/>
        <v>0</v>
      </c>
      <c r="AN68" s="207">
        <f t="shared" ca="1" si="299"/>
        <v>0</v>
      </c>
      <c r="AO68" s="391">
        <f t="shared" si="723"/>
        <v>120</v>
      </c>
      <c r="AP68" s="391">
        <f t="shared" ca="1" si="724"/>
        <v>21087.599999999999</v>
      </c>
      <c r="AQ68" s="391">
        <f t="shared" ca="1" si="725"/>
        <v>18177.511199999997</v>
      </c>
      <c r="AR68" s="886">
        <f t="shared" ca="1" si="26"/>
        <v>2.5854770901680115E-2</v>
      </c>
      <c r="AS68" s="1007" t="str">
        <f t="shared" ca="1" si="15"/>
        <v>V</v>
      </c>
      <c r="AT68" s="197">
        <v>200</v>
      </c>
      <c r="AU68" s="312" t="str">
        <f t="shared" ca="1" si="726"/>
        <v/>
      </c>
      <c r="AV68" s="411"/>
      <c r="AW68" s="199">
        <f t="shared" ca="1" si="727"/>
        <v>35146</v>
      </c>
      <c r="AX68" s="199">
        <f t="shared" ca="1" si="728"/>
        <v>30295.851999999999</v>
      </c>
      <c r="AY68" s="216">
        <f t="shared" ca="1" si="307"/>
        <v>2.608928150590303E-2</v>
      </c>
      <c r="AZ68" s="202">
        <f t="shared" ca="1" si="729"/>
        <v>-8.35041398634581</v>
      </c>
      <c r="BA68" s="203">
        <f t="shared" ca="1" si="730"/>
        <v>-1467.4182498205491</v>
      </c>
      <c r="BB68" s="203">
        <f t="shared" ca="1" si="731"/>
        <v>-1264.9145313453134</v>
      </c>
      <c r="BC68" s="204">
        <f t="shared" ca="1" si="732"/>
        <v>-1.0892815059030288E-3</v>
      </c>
      <c r="BD68" s="205"/>
      <c r="BE68" s="206">
        <f t="shared" ca="1" si="733"/>
        <v>0</v>
      </c>
      <c r="BF68" s="206">
        <f t="shared" ca="1" si="734"/>
        <v>0</v>
      </c>
      <c r="BG68" s="207">
        <f t="shared" ca="1" si="314"/>
        <v>0</v>
      </c>
      <c r="BH68" s="391">
        <f t="shared" si="735"/>
        <v>200</v>
      </c>
      <c r="BI68" s="391">
        <f t="shared" ca="1" si="736"/>
        <v>35146</v>
      </c>
      <c r="BJ68" s="391">
        <f t="shared" ca="1" si="737"/>
        <v>30295.851999999999</v>
      </c>
      <c r="BK68" s="886">
        <f t="shared" ca="1" si="72"/>
        <v>2.608928150590303E-2</v>
      </c>
      <c r="BL68" s="1007" t="str">
        <f t="shared" ca="1" si="17"/>
        <v>V</v>
      </c>
      <c r="BM68" s="197">
        <v>100</v>
      </c>
      <c r="BN68" s="312" t="str">
        <f t="shared" ca="1" si="738"/>
        <v/>
      </c>
      <c r="BO68" s="411"/>
      <c r="BP68" s="199">
        <f t="shared" ca="1" si="739"/>
        <v>17573</v>
      </c>
      <c r="BQ68" s="199">
        <f t="shared" ca="1" si="740"/>
        <v>15147.925999999999</v>
      </c>
      <c r="BR68" s="216">
        <f t="shared" ca="1" si="6"/>
        <v>2.3957777479760984E-2</v>
      </c>
      <c r="BS68" s="202">
        <f t="shared" ca="1" si="741"/>
        <v>4.3502471008400709</v>
      </c>
      <c r="BT68" s="203">
        <f t="shared" ca="1" si="742"/>
        <v>764.46892303062555</v>
      </c>
      <c r="BU68" s="203">
        <f t="shared" ca="1" si="743"/>
        <v>658.97221165239921</v>
      </c>
      <c r="BV68" s="204">
        <f t="shared" ca="1" si="744"/>
        <v>1.0422225202390174E-3</v>
      </c>
      <c r="BW68" s="205"/>
      <c r="BX68" s="206">
        <f t="shared" ca="1" si="745"/>
        <v>0</v>
      </c>
      <c r="BY68" s="206">
        <f t="shared" ca="1" si="746"/>
        <v>0</v>
      </c>
      <c r="BZ68" s="207">
        <f t="shared" ca="1" si="7"/>
        <v>0</v>
      </c>
      <c r="CA68" s="391">
        <f t="shared" si="747"/>
        <v>100</v>
      </c>
      <c r="CB68" s="391">
        <f t="shared" ca="1" si="748"/>
        <v>17573</v>
      </c>
      <c r="CC68" s="391">
        <f t="shared" ca="1" si="749"/>
        <v>15147.925999999999</v>
      </c>
      <c r="CD68" s="886">
        <f t="shared" ca="1" si="76"/>
        <v>2.3957777479760984E-2</v>
      </c>
      <c r="CE68" s="1007" t="str">
        <f t="shared" ca="1" si="19"/>
        <v>V</v>
      </c>
      <c r="CF68" s="197"/>
      <c r="CG68" s="312" t="str">
        <f t="shared" ca="1" si="750"/>
        <v/>
      </c>
      <c r="CH68" s="411"/>
      <c r="CI68" s="199">
        <f t="shared" ca="1" si="751"/>
        <v>0</v>
      </c>
      <c r="CJ68" s="199">
        <f t="shared" ca="1" si="752"/>
        <v>0</v>
      </c>
      <c r="CK68" s="216">
        <f t="shared" ca="1" si="334"/>
        <v>0</v>
      </c>
      <c r="CL68" s="202">
        <f t="shared" ca="1" si="753"/>
        <v>0</v>
      </c>
      <c r="CM68" s="203">
        <f t="shared" ca="1" si="754"/>
        <v>0</v>
      </c>
      <c r="CN68" s="203">
        <f t="shared" ca="1" si="755"/>
        <v>0</v>
      </c>
      <c r="CO68" s="204">
        <f t="shared" ca="1" si="756"/>
        <v>0</v>
      </c>
      <c r="CP68" s="205"/>
      <c r="CQ68" s="206">
        <f t="shared" ca="1" si="757"/>
        <v>0</v>
      </c>
      <c r="CR68" s="206">
        <f t="shared" ca="1" si="758"/>
        <v>0</v>
      </c>
      <c r="CS68" s="207">
        <f t="shared" ca="1" si="341"/>
        <v>0</v>
      </c>
      <c r="CT68" s="391">
        <f t="shared" si="759"/>
        <v>0</v>
      </c>
      <c r="CU68" s="391">
        <f t="shared" ca="1" si="760"/>
        <v>0</v>
      </c>
      <c r="CV68" s="391">
        <f t="shared" ca="1" si="761"/>
        <v>0</v>
      </c>
      <c r="CW68" s="886">
        <f t="shared" ca="1" si="345"/>
        <v>0</v>
      </c>
      <c r="CX68" s="1007" t="str">
        <f t="shared" ca="1" si="21"/>
        <v/>
      </c>
    </row>
    <row r="69" spans="1:102" hidden="1" outlineLevel="1" x14ac:dyDescent="0.2">
      <c r="A69" s="367"/>
      <c r="B69" s="367"/>
      <c r="C69" s="367" t="str">
        <f t="shared" ca="1" si="700"/>
        <v>US81369Y8030:USD</v>
      </c>
      <c r="D69" s="368" t="str">
        <f t="shared" ca="1" si="701"/>
        <v>US81369Y8030</v>
      </c>
      <c r="E69" s="369" t="str">
        <f t="shared" ca="1" si="701"/>
        <v>986053</v>
      </c>
      <c r="F69" s="367" t="s">
        <v>414</v>
      </c>
      <c r="G69" s="414"/>
      <c r="H69" s="1683" t="str">
        <f t="shared" ca="1" si="702"/>
        <v></v>
      </c>
      <c r="I69" s="1683" t="str">
        <f t="shared" ca="1" si="703"/>
        <v>i</v>
      </c>
      <c r="J69" s="1713" t="str">
        <f t="shared" ca="1" si="704"/>
        <v></v>
      </c>
      <c r="K69" s="1716" t="str">
        <f t="shared" ca="1" si="704"/>
        <v></v>
      </c>
      <c r="L69" s="1717" t="str">
        <f t="shared" ca="1" si="705"/>
        <v></v>
      </c>
      <c r="M69" s="1786" t="str">
        <f t="shared" ca="1" si="706"/>
        <v>Unit</v>
      </c>
      <c r="N69" s="1136"/>
      <c r="O69" s="1136"/>
      <c r="P69" s="418">
        <f t="shared" ca="1" si="654"/>
        <v>0</v>
      </c>
      <c r="Q69" s="391">
        <f t="shared" si="707"/>
        <v>0</v>
      </c>
      <c r="R69" s="391">
        <f t="shared" ca="1" si="708"/>
        <v>0</v>
      </c>
      <c r="S69" s="883"/>
      <c r="T69" s="883"/>
      <c r="U69" s="375">
        <f t="shared" ca="1" si="709"/>
        <v>-1.53052080719739E-2</v>
      </c>
      <c r="V69" s="391">
        <f t="shared" si="710"/>
        <v>0</v>
      </c>
      <c r="W69" s="367" t="str">
        <f t="shared" ca="1" si="711"/>
        <v>USD</v>
      </c>
      <c r="X69" s="887">
        <f t="shared" ca="1" si="712"/>
        <v>137.36000000000001</v>
      </c>
      <c r="Y69" s="1041">
        <f t="shared" ca="1" si="712"/>
        <v>0</v>
      </c>
      <c r="Z69" s="1042">
        <f t="shared" ref="Z69" ca="1" si="762">_xlfn.NUMBERVALUE(OFFSET(Origine,MATCH(W69&amp;"/"&amp;MRif,LUKB_Name,0),MATCH("Price",Intestazioni,0)-1,1,1))</f>
        <v>0.86199999999999999</v>
      </c>
      <c r="AA69" s="197">
        <f>130+-130</f>
        <v>0</v>
      </c>
      <c r="AB69" s="312" t="str">
        <f t="shared" ref="AB69" ca="1" si="763">IFERROR($X69/AC69-1,"")</f>
        <v/>
      </c>
      <c r="AC69" s="411"/>
      <c r="AD69" s="199">
        <f t="shared" ref="AD69" ca="1" si="764">AA69*$X69</f>
        <v>0</v>
      </c>
      <c r="AE69" s="199">
        <f t="shared" ref="AE69" ca="1" si="765">AD69*$Z69</f>
        <v>0</v>
      </c>
      <c r="AF69" s="216">
        <f t="shared" ref="AF69" ca="1" si="766">IFERROR(AE69/AA$4,0)</f>
        <v>0</v>
      </c>
      <c r="AG69" s="202">
        <f t="shared" ref="AG69" ca="1" si="767">AH69/$X69</f>
        <v>0</v>
      </c>
      <c r="AH69" s="203">
        <f t="shared" ref="AH69" ca="1" si="768">AI69/$Z69</f>
        <v>0</v>
      </c>
      <c r="AI69" s="203">
        <f t="shared" ref="AI69" ca="1" si="769">AJ69*AA$4</f>
        <v>0</v>
      </c>
      <c r="AJ69" s="204">
        <f t="shared" ref="AJ69" ca="1" si="770">$N69-AF69</f>
        <v>0</v>
      </c>
      <c r="AK69" s="205"/>
      <c r="AL69" s="206">
        <f t="shared" ref="AL69" ca="1" si="771">AK69*$X69</f>
        <v>0</v>
      </c>
      <c r="AM69" s="206">
        <f t="shared" ref="AM69" ca="1" si="772">AL69*$Z69</f>
        <v>0</v>
      </c>
      <c r="AN69" s="207">
        <f t="shared" ref="AN69" ca="1" si="773">IFERROR(AM69/AA$4,0)</f>
        <v>0</v>
      </c>
      <c r="AO69" s="391">
        <f t="shared" ref="AO69" si="774">AA69+AK69</f>
        <v>0</v>
      </c>
      <c r="AP69" s="391">
        <f t="shared" ref="AP69" ca="1" si="775">AD69+IF($T69="",AL69)</f>
        <v>0</v>
      </c>
      <c r="AQ69" s="391">
        <f t="shared" ref="AQ69" ca="1" si="776">AP69*$Z69</f>
        <v>0</v>
      </c>
      <c r="AR69" s="886">
        <f t="shared" ref="AR69" ca="1" si="777">IFERROR(AQ69/AA$4,0)</f>
        <v>0</v>
      </c>
      <c r="AS69" s="1007" t="str">
        <f t="shared" ref="AS69" ca="1" si="778">IF(SUM(AF69,AN69,AR69)&lt;&gt;0,"V","")</f>
        <v/>
      </c>
      <c r="AT69" s="197">
        <f>220+-220</f>
        <v>0</v>
      </c>
      <c r="AU69" s="312" t="str">
        <f t="shared" ref="AU69" ca="1" si="779">IFERROR($X69/AV69-1,"")</f>
        <v/>
      </c>
      <c r="AV69" s="411"/>
      <c r="AW69" s="199">
        <f t="shared" ref="AW69" ca="1" si="780">AT69*$X69</f>
        <v>0</v>
      </c>
      <c r="AX69" s="199">
        <f t="shared" ref="AX69" ca="1" si="781">AW69*$Z69</f>
        <v>0</v>
      </c>
      <c r="AY69" s="216">
        <f t="shared" ref="AY69" ca="1" si="782">IFERROR(AX69/AT$4,0)</f>
        <v>0</v>
      </c>
      <c r="AZ69" s="202">
        <f t="shared" ref="AZ69" ca="1" si="783">BA69/$X69</f>
        <v>0</v>
      </c>
      <c r="BA69" s="203">
        <f t="shared" ref="BA69" ca="1" si="784">BB69/$Z69</f>
        <v>0</v>
      </c>
      <c r="BB69" s="203">
        <f t="shared" ref="BB69" ca="1" si="785">BC69*AT$4</f>
        <v>0</v>
      </c>
      <c r="BC69" s="204">
        <f t="shared" ref="BC69" ca="1" si="786">$N69-AY69</f>
        <v>0</v>
      </c>
      <c r="BD69" s="205"/>
      <c r="BE69" s="206">
        <f t="shared" ref="BE69" ca="1" si="787">BD69*$X69</f>
        <v>0</v>
      </c>
      <c r="BF69" s="206">
        <f t="shared" ref="BF69" ca="1" si="788">BE69*$Z69</f>
        <v>0</v>
      </c>
      <c r="BG69" s="207">
        <f t="shared" ref="BG69" ca="1" si="789">IFERROR(BF69/AT$4,0)</f>
        <v>0</v>
      </c>
      <c r="BH69" s="391">
        <f t="shared" ref="BH69" si="790">AT69+BD69</f>
        <v>0</v>
      </c>
      <c r="BI69" s="391">
        <f t="shared" ref="BI69" ca="1" si="791">AW69+IF($T69="",BE69)</f>
        <v>0</v>
      </c>
      <c r="BJ69" s="391">
        <f t="shared" ref="BJ69" ca="1" si="792">BI69*$Z69</f>
        <v>0</v>
      </c>
      <c r="BK69" s="886">
        <f t="shared" ref="BK69" ca="1" si="793">IFERROR(BJ69/AT$4,0)</f>
        <v>0</v>
      </c>
      <c r="BL69" s="1007" t="str">
        <f t="shared" ref="BL69" ca="1" si="794">IF(SUM(AY69,BG69,BK69)&lt;&gt;0,"V","")</f>
        <v/>
      </c>
      <c r="BM69" s="197">
        <f>120+-120</f>
        <v>0</v>
      </c>
      <c r="BN69" s="312" t="str">
        <f t="shared" ref="BN69" ca="1" si="795">IFERROR($X69/BO69-1,"")</f>
        <v/>
      </c>
      <c r="BO69" s="411"/>
      <c r="BP69" s="199">
        <f t="shared" ref="BP69" ca="1" si="796">BM69*$X69</f>
        <v>0</v>
      </c>
      <c r="BQ69" s="199">
        <f t="shared" ref="BQ69" ca="1" si="797">BP69*$Z69</f>
        <v>0</v>
      </c>
      <c r="BR69" s="216">
        <f t="shared" ref="BR69" ca="1" si="798">IFERROR(BQ69/BM$4,0)</f>
        <v>0</v>
      </c>
      <c r="BS69" s="202">
        <f t="shared" ref="BS69" ca="1" si="799">BT69/$X69</f>
        <v>0</v>
      </c>
      <c r="BT69" s="203">
        <f t="shared" ref="BT69" ca="1" si="800">BU69/$Z69</f>
        <v>0</v>
      </c>
      <c r="BU69" s="203">
        <f t="shared" ref="BU69" ca="1" si="801">BV69*BM$4</f>
        <v>0</v>
      </c>
      <c r="BV69" s="204">
        <f t="shared" ref="BV69" ca="1" si="802">$N69-BR69</f>
        <v>0</v>
      </c>
      <c r="BW69" s="205"/>
      <c r="BX69" s="206">
        <f t="shared" ref="BX69" ca="1" si="803">BW69*$X69</f>
        <v>0</v>
      </c>
      <c r="BY69" s="206">
        <f t="shared" ref="BY69" ca="1" si="804">BX69*$Z69</f>
        <v>0</v>
      </c>
      <c r="BZ69" s="207">
        <f t="shared" ref="BZ69" ca="1" si="805">IFERROR(BY69/BM$4,0)</f>
        <v>0</v>
      </c>
      <c r="CA69" s="391">
        <f t="shared" ref="CA69" si="806">BM69+BW69</f>
        <v>0</v>
      </c>
      <c r="CB69" s="391">
        <f t="shared" ref="CB69" ca="1" si="807">BP69+IF($T69="",BX69)</f>
        <v>0</v>
      </c>
      <c r="CC69" s="391">
        <f t="shared" ref="CC69" ca="1" si="808">CB69*$Z69</f>
        <v>0</v>
      </c>
      <c r="CD69" s="886">
        <f t="shared" ref="CD69" ca="1" si="809">IFERROR(CC69/BM$4,0)</f>
        <v>0</v>
      </c>
      <c r="CE69" s="1007" t="str">
        <f t="shared" ref="CE69" ca="1" si="810">IF(SUM(BR69,BZ69,CD69)&lt;&gt;0,"V","")</f>
        <v/>
      </c>
      <c r="CF69" s="197"/>
      <c r="CG69" s="312" t="str">
        <f t="shared" ref="CG69" ca="1" si="811">IFERROR($X69/CH69-1,"")</f>
        <v/>
      </c>
      <c r="CH69" s="411"/>
      <c r="CI69" s="199">
        <f t="shared" ref="CI69" ca="1" si="812">CF69*$X69</f>
        <v>0</v>
      </c>
      <c r="CJ69" s="199">
        <f t="shared" ref="CJ69" ca="1" si="813">CI69*$Z69</f>
        <v>0</v>
      </c>
      <c r="CK69" s="216">
        <f t="shared" ref="CK69" ca="1" si="814">IFERROR(CJ69/CF$4,0)</f>
        <v>0</v>
      </c>
      <c r="CL69" s="202">
        <f t="shared" ref="CL69" ca="1" si="815">CM69/$X69</f>
        <v>0</v>
      </c>
      <c r="CM69" s="203">
        <f t="shared" ref="CM69" ca="1" si="816">CN69/$Z69</f>
        <v>0</v>
      </c>
      <c r="CN69" s="203">
        <f t="shared" ref="CN69" ca="1" si="817">CO69*CF$4</f>
        <v>0</v>
      </c>
      <c r="CO69" s="204">
        <f t="shared" ref="CO69" ca="1" si="818">$O69-CK69</f>
        <v>0</v>
      </c>
      <c r="CP69" s="205"/>
      <c r="CQ69" s="206">
        <f t="shared" ref="CQ69" ca="1" si="819">CP69*$X69</f>
        <v>0</v>
      </c>
      <c r="CR69" s="206">
        <f t="shared" ref="CR69" ca="1" si="820">CQ69*$Z69</f>
        <v>0</v>
      </c>
      <c r="CS69" s="207">
        <f t="shared" ref="CS69" ca="1" si="821">IFERROR(CR69/CF$4,0)</f>
        <v>0</v>
      </c>
      <c r="CT69" s="391">
        <f t="shared" ref="CT69" si="822">CF69+CP69</f>
        <v>0</v>
      </c>
      <c r="CU69" s="391">
        <f t="shared" ref="CU69" ca="1" si="823">CI69+IF($T69="",CQ69)</f>
        <v>0</v>
      </c>
      <c r="CV69" s="391">
        <f t="shared" ref="CV69" ca="1" si="824">CU69*$Z69</f>
        <v>0</v>
      </c>
      <c r="CW69" s="886">
        <f t="shared" ref="CW69" ca="1" si="825">IFERROR(CV69/CF$4,0)</f>
        <v>0</v>
      </c>
      <c r="CX69" s="1007" t="str">
        <f t="shared" ref="CX69" ca="1" si="826">IF(SUM(CK69,CS69,CW69)&lt;&gt;0,"V","")</f>
        <v/>
      </c>
    </row>
    <row r="70" spans="1:102" hidden="1" outlineLevel="1" x14ac:dyDescent="0.2">
      <c r="A70" s="367"/>
      <c r="B70" s="367"/>
      <c r="C70" s="367" t="str">
        <f t="shared" ca="1" si="700"/>
        <v>US81369Y8865:USD</v>
      </c>
      <c r="D70" s="368" t="str">
        <f t="shared" ca="1" si="701"/>
        <v>US81369Y8865</v>
      </c>
      <c r="E70" s="369" t="str">
        <f t="shared" ca="1" si="701"/>
        <v>986060</v>
      </c>
      <c r="F70" s="367" t="s">
        <v>430</v>
      </c>
      <c r="G70" s="414"/>
      <c r="H70" s="1683" t="str">
        <f t="shared" ca="1" si="702"/>
        <v></v>
      </c>
      <c r="I70" s="1683" t="str">
        <f t="shared" ca="1" si="703"/>
        <v>i</v>
      </c>
      <c r="J70" s="1713" t="str">
        <f t="shared" ca="1" si="704"/>
        <v></v>
      </c>
      <c r="K70" s="1716" t="str">
        <f t="shared" ca="1" si="704"/>
        <v></v>
      </c>
      <c r="L70" s="1717" t="str">
        <f t="shared" ca="1" si="705"/>
        <v></v>
      </c>
      <c r="M70" s="1786" t="str">
        <f t="shared" ca="1" si="706"/>
        <v>Unit</v>
      </c>
      <c r="N70" s="1136">
        <v>2.5000000000000001E-2</v>
      </c>
      <c r="O70" s="1136"/>
      <c r="P70" s="418">
        <f t="shared" ca="1" si="654"/>
        <v>2.3909875027012084E-2</v>
      </c>
      <c r="Q70" s="391">
        <f t="shared" si="707"/>
        <v>1480</v>
      </c>
      <c r="R70" s="391">
        <f t="shared" ca="1" si="708"/>
        <v>67.477766328741026</v>
      </c>
      <c r="S70" s="883"/>
      <c r="T70" s="883"/>
      <c r="U70" s="375">
        <f t="shared" ca="1" si="709"/>
        <v>-1.2244036309900801E-2</v>
      </c>
      <c r="V70" s="391">
        <f t="shared" si="710"/>
        <v>0</v>
      </c>
      <c r="W70" s="367" t="str">
        <f t="shared" ca="1" si="711"/>
        <v>USD</v>
      </c>
      <c r="X70" s="887">
        <f t="shared" ca="1" si="712"/>
        <v>46.79</v>
      </c>
      <c r="Y70" s="1041">
        <f t="shared" ca="1" si="712"/>
        <v>0</v>
      </c>
      <c r="Z70" s="1042">
        <f t="shared" ref="Z70" ca="1" si="827">_xlfn.NUMBERVALUE(OFFSET(Origine,MATCH(W70&amp;"/"&amp;MRif,LUKB_Name,0),MATCH("Price",Intestazioni,0)-1,1,1))</f>
        <v>0.86199999999999999</v>
      </c>
      <c r="AA70" s="197">
        <f>440</f>
        <v>440</v>
      </c>
      <c r="AB70" s="312">
        <f t="shared" ref="AB70" ca="1" si="828">IFERROR($X70/AC70-1,"")</f>
        <v>2.733560215171793E-2</v>
      </c>
      <c r="AC70" s="411">
        <v>45.545000000000002</v>
      </c>
      <c r="AD70" s="199">
        <f t="shared" ref="AD70" ca="1" si="829">AA70*$X70</f>
        <v>20587.599999999999</v>
      </c>
      <c r="AE70" s="199">
        <f t="shared" ref="AE70" ca="1" si="830">AD70*$Z70</f>
        <v>17746.511199999997</v>
      </c>
      <c r="AF70" s="216">
        <f t="shared" ref="AF70" ca="1" si="831">IFERROR(AE70/AA$4,0)</f>
        <v>2.5241738339850411E-2</v>
      </c>
      <c r="AG70" s="202">
        <f t="shared" ref="AG70" ca="1" si="832">AH70/$X70</f>
        <v>-4.2138488285593541</v>
      </c>
      <c r="AH70" s="203">
        <f t="shared" ref="AH70" ca="1" si="833">AI70/$Z70</f>
        <v>-197.16598668829218</v>
      </c>
      <c r="AI70" s="203">
        <f t="shared" ref="AI70" ca="1" si="834">AJ70*AA$4</f>
        <v>-169.95708052530784</v>
      </c>
      <c r="AJ70" s="204">
        <f t="shared" ref="AJ70" ca="1" si="835">$N70-AF70</f>
        <v>-2.4173833985040999E-4</v>
      </c>
      <c r="AK70" s="205"/>
      <c r="AL70" s="206">
        <f t="shared" ref="AL70" ca="1" si="836">AK70*$X70</f>
        <v>0</v>
      </c>
      <c r="AM70" s="206">
        <f t="shared" ref="AM70" ca="1" si="837">AL70*$Z70</f>
        <v>0</v>
      </c>
      <c r="AN70" s="207">
        <f t="shared" ref="AN70" ca="1" si="838">IFERROR(AM70/AA$4,0)</f>
        <v>0</v>
      </c>
      <c r="AO70" s="391">
        <f t="shared" ref="AO70" si="839">AA70+AK70</f>
        <v>440</v>
      </c>
      <c r="AP70" s="391">
        <f t="shared" ref="AP70" ca="1" si="840">AD70+IF($T70="",AL70)</f>
        <v>20587.599999999999</v>
      </c>
      <c r="AQ70" s="391">
        <f t="shared" ref="AQ70" ca="1" si="841">AP70*$Z70</f>
        <v>17746.511199999997</v>
      </c>
      <c r="AR70" s="886">
        <f t="shared" ref="AR70" ca="1" si="842">IFERROR(AQ70/AA$4,0)</f>
        <v>2.5241738339850411E-2</v>
      </c>
      <c r="AS70" s="1007" t="str">
        <f t="shared" ref="AS70" ca="1" si="843">IF(SUM(AF70,AN70,AR70)&lt;&gt;0,"V","")</f>
        <v>V</v>
      </c>
      <c r="AT70" s="197">
        <f>650</f>
        <v>650</v>
      </c>
      <c r="AU70" s="312">
        <f t="shared" ref="AU70" ca="1" si="844">IFERROR($X70/AV70-1,"")</f>
        <v>2.733560215171793E-2</v>
      </c>
      <c r="AV70" s="411">
        <v>45.545000000000002</v>
      </c>
      <c r="AW70" s="199">
        <f t="shared" ref="AW70" ca="1" si="845">AT70*$X70</f>
        <v>30413.5</v>
      </c>
      <c r="AX70" s="199">
        <f t="shared" ref="AX70" ca="1" si="846">AW70*$Z70</f>
        <v>26216.436999999998</v>
      </c>
      <c r="AY70" s="216">
        <f t="shared" ref="AY70" ca="1" si="847">IFERROR(AX70/AT$4,0)</f>
        <v>2.2576292126551576E-2</v>
      </c>
      <c r="AZ70" s="202">
        <f t="shared" ref="AZ70" ca="1" si="848">BA70/$X70</f>
        <v>69.781614665087744</v>
      </c>
      <c r="BA70" s="203">
        <f t="shared" ref="BA70" ca="1" si="849">BB70/$Z70</f>
        <v>3265.0817501794554</v>
      </c>
      <c r="BB70" s="203">
        <f t="shared" ref="BB70" ca="1" si="850">BC70*AT$4</f>
        <v>2814.5004686546904</v>
      </c>
      <c r="BC70" s="204">
        <f t="shared" ref="BC70" ca="1" si="851">$N70-AY70</f>
        <v>2.4237078734484253E-3</v>
      </c>
      <c r="BD70" s="205"/>
      <c r="BE70" s="206">
        <f t="shared" ref="BE70" ca="1" si="852">BD70*$X70</f>
        <v>0</v>
      </c>
      <c r="BF70" s="206">
        <f t="shared" ref="BF70" ca="1" si="853">BE70*$Z70</f>
        <v>0</v>
      </c>
      <c r="BG70" s="207">
        <f t="shared" ref="BG70" ca="1" si="854">IFERROR(BF70/AT$4,0)</f>
        <v>0</v>
      </c>
      <c r="BH70" s="391">
        <f t="shared" ref="BH70" si="855">AT70+BD70</f>
        <v>650</v>
      </c>
      <c r="BI70" s="391">
        <f t="shared" ref="BI70" ca="1" si="856">AW70+IF($T70="",BE70)</f>
        <v>30413.5</v>
      </c>
      <c r="BJ70" s="391">
        <f t="shared" ref="BJ70" ca="1" si="857">BI70*$Z70</f>
        <v>26216.436999999998</v>
      </c>
      <c r="BK70" s="886">
        <f t="shared" ref="BK70" ca="1" si="858">IFERROR(BJ70/AT$4,0)</f>
        <v>2.2576292126551576E-2</v>
      </c>
      <c r="BL70" s="1007" t="str">
        <f t="shared" ref="BL70" ca="1" si="859">IF(SUM(AY70,BG70,BK70)&lt;&gt;0,"V","")</f>
        <v>V</v>
      </c>
      <c r="BM70" s="197">
        <f>390</f>
        <v>390</v>
      </c>
      <c r="BN70" s="312">
        <f t="shared" ref="BN70" ca="1" si="860">IFERROR($X70/BO70-1,"")</f>
        <v>2.733560215171793E-2</v>
      </c>
      <c r="BO70" s="411">
        <v>45.545000000000002</v>
      </c>
      <c r="BP70" s="199">
        <f t="shared" ref="BP70" ca="1" si="861">BM70*$X70</f>
        <v>18248.099999999999</v>
      </c>
      <c r="BQ70" s="199">
        <f t="shared" ref="BQ70" ca="1" si="862">BP70*$Z70</f>
        <v>15729.862199999998</v>
      </c>
      <c r="BR70" s="216">
        <f t="shared" ref="BR70" ca="1" si="863">IFERROR(BQ70/BM$4,0)</f>
        <v>2.4878160770979704E-2</v>
      </c>
      <c r="BS70" s="202">
        <f t="shared" ref="BS70" ca="1" si="864">BT70/$X70</f>
        <v>1.9100004922126292</v>
      </c>
      <c r="BT70" s="203">
        <f t="shared" ref="BT70" ca="1" si="865">BU70/$Z70</f>
        <v>89.36892303062892</v>
      </c>
      <c r="BU70" s="203">
        <f t="shared" ref="BU70" ca="1" si="866">BV70*BM$4</f>
        <v>77.036011652402124</v>
      </c>
      <c r="BV70" s="204">
        <f t="shared" ref="BV70" ca="1" si="867">$N70-BR70</f>
        <v>1.2183922902029784E-4</v>
      </c>
      <c r="BW70" s="205"/>
      <c r="BX70" s="206">
        <f t="shared" ref="BX70" ca="1" si="868">BW70*$X70</f>
        <v>0</v>
      </c>
      <c r="BY70" s="206">
        <f t="shared" ref="BY70" ca="1" si="869">BX70*$Z70</f>
        <v>0</v>
      </c>
      <c r="BZ70" s="207">
        <f t="shared" ref="BZ70" ca="1" si="870">IFERROR(BY70/BM$4,0)</f>
        <v>0</v>
      </c>
      <c r="CA70" s="391">
        <f t="shared" ref="CA70" si="871">BM70+BW70</f>
        <v>390</v>
      </c>
      <c r="CB70" s="391">
        <f t="shared" ref="CB70" ca="1" si="872">BP70+IF($T70="",BX70)</f>
        <v>18248.099999999999</v>
      </c>
      <c r="CC70" s="391">
        <f t="shared" ref="CC70" ca="1" si="873">CB70*$Z70</f>
        <v>15729.862199999998</v>
      </c>
      <c r="CD70" s="886">
        <f t="shared" ref="CD70" ca="1" si="874">IFERROR(CC70/BM$4,0)</f>
        <v>2.4878160770979704E-2</v>
      </c>
      <c r="CE70" s="1007" t="str">
        <f t="shared" ref="CE70" ca="1" si="875">IF(SUM(BR70,BZ70,CD70)&lt;&gt;0,"V","")</f>
        <v>V</v>
      </c>
      <c r="CF70" s="197"/>
      <c r="CG70" s="312" t="str">
        <f t="shared" ref="CG70" ca="1" si="876">IFERROR($X70/CH70-1,"")</f>
        <v/>
      </c>
      <c r="CH70" s="411"/>
      <c r="CI70" s="199">
        <f t="shared" ref="CI70" ca="1" si="877">CF70*$X70</f>
        <v>0</v>
      </c>
      <c r="CJ70" s="199">
        <f t="shared" ref="CJ70" ca="1" si="878">CI70*$Z70</f>
        <v>0</v>
      </c>
      <c r="CK70" s="216">
        <f t="shared" ref="CK70" ca="1" si="879">IFERROR(CJ70/CF$4,0)</f>
        <v>0</v>
      </c>
      <c r="CL70" s="202">
        <f t="shared" ref="CL70" ca="1" si="880">CM70/$X70</f>
        <v>0</v>
      </c>
      <c r="CM70" s="203">
        <f t="shared" ref="CM70" ca="1" si="881">CN70/$Z70</f>
        <v>0</v>
      </c>
      <c r="CN70" s="203">
        <f t="shared" ref="CN70" ca="1" si="882">CO70*CF$4</f>
        <v>0</v>
      </c>
      <c r="CO70" s="204">
        <f t="shared" ref="CO70" ca="1" si="883">$O70-CK70</f>
        <v>0</v>
      </c>
      <c r="CP70" s="205"/>
      <c r="CQ70" s="206">
        <f t="shared" ref="CQ70" ca="1" si="884">CP70*$X70</f>
        <v>0</v>
      </c>
      <c r="CR70" s="206">
        <f t="shared" ref="CR70" ca="1" si="885">CQ70*$Z70</f>
        <v>0</v>
      </c>
      <c r="CS70" s="207">
        <f t="shared" ref="CS70" ca="1" si="886">IFERROR(CR70/CF$4,0)</f>
        <v>0</v>
      </c>
      <c r="CT70" s="391">
        <f t="shared" ref="CT70" si="887">CF70+CP70</f>
        <v>0</v>
      </c>
      <c r="CU70" s="391">
        <f t="shared" ref="CU70" ca="1" si="888">CI70+IF($T70="",CQ70)</f>
        <v>0</v>
      </c>
      <c r="CV70" s="391">
        <f t="shared" ref="CV70" ca="1" si="889">CU70*$Z70</f>
        <v>0</v>
      </c>
      <c r="CW70" s="886">
        <f t="shared" ref="CW70" ca="1" si="890">IFERROR(CV70/CF$4,0)</f>
        <v>0</v>
      </c>
      <c r="CX70" s="1007" t="str">
        <f t="shared" ref="CX70" ca="1" si="891">IF(SUM(CK70,CS70,CW70)&lt;&gt;0,"V","")</f>
        <v/>
      </c>
    </row>
    <row r="71" spans="1:102" hidden="1" outlineLevel="1" x14ac:dyDescent="0.2">
      <c r="A71" s="367"/>
      <c r="B71" s="367"/>
      <c r="C71" s="367" t="str">
        <f t="shared" ca="1" si="700"/>
        <v>IE00B5BMR087:USD</v>
      </c>
      <c r="D71" s="368" t="str">
        <f t="shared" ca="1" si="701"/>
        <v>IE00B5BMR087</v>
      </c>
      <c r="E71" s="369" t="str">
        <f t="shared" ca="1" si="701"/>
        <v>10737041</v>
      </c>
      <c r="F71" s="367" t="s">
        <v>399</v>
      </c>
      <c r="G71" s="414"/>
      <c r="H71" s="1683" t="str">
        <f t="shared" ca="1" si="702"/>
        <v></v>
      </c>
      <c r="I71" s="1683" t="str">
        <f t="shared" ca="1" si="703"/>
        <v>i</v>
      </c>
      <c r="J71" s="1713" t="str">
        <f t="shared" ca="1" si="704"/>
        <v></v>
      </c>
      <c r="K71" s="1716" t="str">
        <f t="shared" ca="1" si="704"/>
        <v></v>
      </c>
      <c r="L71" s="1717" t="str">
        <f t="shared" ca="1" si="705"/>
        <v></v>
      </c>
      <c r="M71" s="1786" t="str">
        <f t="shared" ca="1" si="706"/>
        <v>Unit</v>
      </c>
      <c r="N71" s="1136"/>
      <c r="O71" s="1136">
        <v>0.1</v>
      </c>
      <c r="P71" s="418">
        <f t="shared" ca="1" si="654"/>
        <v>0</v>
      </c>
      <c r="Q71" s="391">
        <f t="shared" si="707"/>
        <v>15</v>
      </c>
      <c r="R71" s="391">
        <f t="shared" ca="1" si="708"/>
        <v>10.439270285630734</v>
      </c>
      <c r="S71" s="883"/>
      <c r="T71" s="883"/>
      <c r="U71" s="375">
        <f t="shared" ca="1" si="709"/>
        <v>-1.10837605907714E-2</v>
      </c>
      <c r="V71" s="391">
        <f t="shared" si="710"/>
        <v>0</v>
      </c>
      <c r="W71" s="367" t="str">
        <f t="shared" ca="1" si="711"/>
        <v>USD</v>
      </c>
      <c r="X71" s="887">
        <f t="shared" ca="1" si="712"/>
        <v>727.16</v>
      </c>
      <c r="Y71" s="1041">
        <f t="shared" ca="1" si="712"/>
        <v>0</v>
      </c>
      <c r="Z71" s="1042">
        <f t="shared" ca="1" si="713"/>
        <v>0.86199999999999999</v>
      </c>
      <c r="AA71" s="197"/>
      <c r="AB71" s="312" t="str">
        <f t="shared" ca="1" si="714"/>
        <v/>
      </c>
      <c r="AC71" s="411"/>
      <c r="AD71" s="199">
        <f t="shared" ca="1" si="715"/>
        <v>0</v>
      </c>
      <c r="AE71" s="199">
        <f t="shared" ca="1" si="716"/>
        <v>0</v>
      </c>
      <c r="AF71" s="216">
        <f t="shared" ca="1" si="292"/>
        <v>0</v>
      </c>
      <c r="AG71" s="202">
        <f t="shared" ca="1" si="717"/>
        <v>0</v>
      </c>
      <c r="AH71" s="203">
        <f t="shared" ca="1" si="718"/>
        <v>0</v>
      </c>
      <c r="AI71" s="203">
        <f t="shared" ca="1" si="719"/>
        <v>0</v>
      </c>
      <c r="AJ71" s="204">
        <f t="shared" ca="1" si="720"/>
        <v>0</v>
      </c>
      <c r="AK71" s="205"/>
      <c r="AL71" s="206">
        <f t="shared" ca="1" si="721"/>
        <v>0</v>
      </c>
      <c r="AM71" s="206">
        <f t="shared" ca="1" si="722"/>
        <v>0</v>
      </c>
      <c r="AN71" s="207">
        <f t="shared" ca="1" si="299"/>
        <v>0</v>
      </c>
      <c r="AO71" s="391">
        <f t="shared" si="723"/>
        <v>0</v>
      </c>
      <c r="AP71" s="391">
        <f t="shared" ca="1" si="724"/>
        <v>0</v>
      </c>
      <c r="AQ71" s="391">
        <f t="shared" ca="1" si="725"/>
        <v>0</v>
      </c>
      <c r="AR71" s="886">
        <f t="shared" ca="1" si="26"/>
        <v>0</v>
      </c>
      <c r="AS71" s="1007" t="str">
        <f t="shared" ca="1" si="15"/>
        <v/>
      </c>
      <c r="AT71" s="197"/>
      <c r="AU71" s="312" t="str">
        <f t="shared" ca="1" si="726"/>
        <v/>
      </c>
      <c r="AV71" s="411"/>
      <c r="AW71" s="199">
        <f t="shared" ca="1" si="727"/>
        <v>0</v>
      </c>
      <c r="AX71" s="199">
        <f t="shared" ca="1" si="728"/>
        <v>0</v>
      </c>
      <c r="AY71" s="216">
        <f t="shared" ca="1" si="307"/>
        <v>0</v>
      </c>
      <c r="AZ71" s="202">
        <f t="shared" ca="1" si="729"/>
        <v>0</v>
      </c>
      <c r="BA71" s="203">
        <f t="shared" ca="1" si="730"/>
        <v>0</v>
      </c>
      <c r="BB71" s="203">
        <f t="shared" ca="1" si="731"/>
        <v>0</v>
      </c>
      <c r="BC71" s="204">
        <f t="shared" ca="1" si="732"/>
        <v>0</v>
      </c>
      <c r="BD71" s="205"/>
      <c r="BE71" s="206">
        <f t="shared" ca="1" si="733"/>
        <v>0</v>
      </c>
      <c r="BF71" s="206">
        <f t="shared" ca="1" si="734"/>
        <v>0</v>
      </c>
      <c r="BG71" s="207">
        <f t="shared" ca="1" si="314"/>
        <v>0</v>
      </c>
      <c r="BH71" s="391">
        <f t="shared" si="735"/>
        <v>0</v>
      </c>
      <c r="BI71" s="391">
        <f t="shared" ca="1" si="736"/>
        <v>0</v>
      </c>
      <c r="BJ71" s="391">
        <f t="shared" ca="1" si="737"/>
        <v>0</v>
      </c>
      <c r="BK71" s="886">
        <f t="shared" ca="1" si="72"/>
        <v>0</v>
      </c>
      <c r="BL71" s="1007" t="str">
        <f t="shared" ca="1" si="17"/>
        <v/>
      </c>
      <c r="BM71" s="197"/>
      <c r="BN71" s="312" t="str">
        <f t="shared" ca="1" si="738"/>
        <v/>
      </c>
      <c r="BO71" s="411"/>
      <c r="BP71" s="199">
        <f t="shared" ca="1" si="739"/>
        <v>0</v>
      </c>
      <c r="BQ71" s="199">
        <f t="shared" ca="1" si="740"/>
        <v>0</v>
      </c>
      <c r="BR71" s="216">
        <f t="shared" ca="1" si="6"/>
        <v>0</v>
      </c>
      <c r="BS71" s="202">
        <f t="shared" ca="1" si="741"/>
        <v>0</v>
      </c>
      <c r="BT71" s="203">
        <f t="shared" ca="1" si="742"/>
        <v>0</v>
      </c>
      <c r="BU71" s="203">
        <f t="shared" ca="1" si="743"/>
        <v>0</v>
      </c>
      <c r="BV71" s="204">
        <f t="shared" ca="1" si="744"/>
        <v>0</v>
      </c>
      <c r="BW71" s="205"/>
      <c r="BX71" s="206">
        <f t="shared" ca="1" si="745"/>
        <v>0</v>
      </c>
      <c r="BY71" s="206">
        <f t="shared" ca="1" si="746"/>
        <v>0</v>
      </c>
      <c r="BZ71" s="207">
        <f t="shared" ca="1" si="7"/>
        <v>0</v>
      </c>
      <c r="CA71" s="391">
        <f t="shared" si="747"/>
        <v>0</v>
      </c>
      <c r="CB71" s="391">
        <f t="shared" ca="1" si="748"/>
        <v>0</v>
      </c>
      <c r="CC71" s="391">
        <f t="shared" ca="1" si="749"/>
        <v>0</v>
      </c>
      <c r="CD71" s="886">
        <f t="shared" ca="1" si="76"/>
        <v>0</v>
      </c>
      <c r="CE71" s="1007" t="str">
        <f t="shared" ca="1" si="19"/>
        <v/>
      </c>
      <c r="CF71" s="197">
        <f>25+-10</f>
        <v>15</v>
      </c>
      <c r="CG71" s="312">
        <f t="shared" ca="1" si="750"/>
        <v>0.16848516012919612</v>
      </c>
      <c r="CH71" s="411">
        <v>622.30999999999995</v>
      </c>
      <c r="CI71" s="199">
        <f t="shared" ca="1" si="751"/>
        <v>10907.4</v>
      </c>
      <c r="CJ71" s="199">
        <f t="shared" ca="1" si="752"/>
        <v>9402.1787999999997</v>
      </c>
      <c r="CK71" s="216">
        <f t="shared" ca="1" si="334"/>
        <v>5.8963955457765976E-2</v>
      </c>
      <c r="CL71" s="202">
        <f t="shared" ca="1" si="753"/>
        <v>10.439270285630734</v>
      </c>
      <c r="CM71" s="203">
        <f t="shared" ca="1" si="754"/>
        <v>7591.0197808992434</v>
      </c>
      <c r="CN71" s="203">
        <f t="shared" ca="1" si="755"/>
        <v>6543.459051135148</v>
      </c>
      <c r="CO71" s="204">
        <f t="shared" ca="1" si="756"/>
        <v>4.1036044542234029E-2</v>
      </c>
      <c r="CP71" s="205"/>
      <c r="CQ71" s="206">
        <f t="shared" ca="1" si="757"/>
        <v>0</v>
      </c>
      <c r="CR71" s="206">
        <f t="shared" ca="1" si="758"/>
        <v>0</v>
      </c>
      <c r="CS71" s="207">
        <f t="shared" ca="1" si="341"/>
        <v>0</v>
      </c>
      <c r="CT71" s="391">
        <f t="shared" si="759"/>
        <v>15</v>
      </c>
      <c r="CU71" s="391">
        <f t="shared" ca="1" si="760"/>
        <v>10907.4</v>
      </c>
      <c r="CV71" s="391">
        <f t="shared" ca="1" si="761"/>
        <v>9402.1787999999997</v>
      </c>
      <c r="CW71" s="886">
        <f t="shared" ca="1" si="345"/>
        <v>5.8963955457765976E-2</v>
      </c>
      <c r="CX71" s="1007" t="str">
        <f t="shared" ca="1" si="21"/>
        <v>V</v>
      </c>
    </row>
    <row r="72" spans="1:102" hidden="1" outlineLevel="1" x14ac:dyDescent="0.2">
      <c r="A72" s="367"/>
      <c r="B72" s="367"/>
      <c r="C72" s="367" t="str">
        <f t="shared" ca="1" si="700"/>
        <v>IE00B53SZB19:USD:LSS</v>
      </c>
      <c r="D72" s="368" t="str">
        <f t="shared" ca="1" si="701"/>
        <v>IE00B53SZB19</v>
      </c>
      <c r="E72" s="369" t="str">
        <f t="shared" ca="1" si="701"/>
        <v>10737617</v>
      </c>
      <c r="F72" s="367" t="s">
        <v>510</v>
      </c>
      <c r="G72" s="414"/>
      <c r="H72" s="1683" t="str">
        <f t="shared" ca="1" si="702"/>
        <v></v>
      </c>
      <c r="I72" s="1683" t="str">
        <f t="shared" ca="1" si="703"/>
        <v>i</v>
      </c>
      <c r="J72" s="1713" t="str">
        <f t="shared" ca="1" si="704"/>
        <v></v>
      </c>
      <c r="K72" s="1716" t="str">
        <f t="shared" ca="1" si="704"/>
        <v></v>
      </c>
      <c r="L72" s="1717" t="str">
        <f t="shared" ca="1" si="705"/>
        <v></v>
      </c>
      <c r="M72" s="1786" t="str">
        <f t="shared" ca="1" si="706"/>
        <v>Unit</v>
      </c>
      <c r="N72" s="1136"/>
      <c r="O72" s="1136"/>
      <c r="P72" s="418">
        <f t="shared" ca="1" si="654"/>
        <v>0</v>
      </c>
      <c r="Q72" s="391">
        <f t="shared" si="707"/>
        <v>0</v>
      </c>
      <c r="R72" s="391">
        <f t="shared" ca="1" si="708"/>
        <v>0</v>
      </c>
      <c r="S72" s="883"/>
      <c r="T72" s="883"/>
      <c r="U72" s="375">
        <f t="shared" ca="1" si="709"/>
        <v>-1.12201963534362E-2</v>
      </c>
      <c r="V72" s="391">
        <f t="shared" si="710"/>
        <v>0</v>
      </c>
      <c r="W72" s="367" t="str">
        <f t="shared" ca="1" si="711"/>
        <v>USD</v>
      </c>
      <c r="X72" s="887">
        <f t="shared" ca="1" si="712"/>
        <v>1410</v>
      </c>
      <c r="Y72" s="1041">
        <f t="shared" ca="1" si="712"/>
        <v>0</v>
      </c>
      <c r="Z72" s="1042">
        <f t="shared" ca="1" si="713"/>
        <v>0.86199999999999999</v>
      </c>
      <c r="AA72" s="197">
        <f>35+-15+-20</f>
        <v>0</v>
      </c>
      <c r="AB72" s="312" t="str">
        <f t="shared" ca="1" si="714"/>
        <v/>
      </c>
      <c r="AC72" s="411"/>
      <c r="AD72" s="199">
        <f t="shared" ref="AD72:AD73" ca="1" si="892">AA72*$X72</f>
        <v>0</v>
      </c>
      <c r="AE72" s="199">
        <f t="shared" ref="AE72:AE73" ca="1" si="893">AD72*$Z72</f>
        <v>0</v>
      </c>
      <c r="AF72" s="216">
        <f t="shared" ref="AF72:AF73" ca="1" si="894">IFERROR(AE72/AA$4,0)</f>
        <v>0</v>
      </c>
      <c r="AG72" s="202">
        <f t="shared" ref="AG72:AG73" ca="1" si="895">AH72/$X72</f>
        <v>0</v>
      </c>
      <c r="AH72" s="203">
        <f t="shared" ref="AH72:AH73" ca="1" si="896">AI72/$Z72</f>
        <v>0</v>
      </c>
      <c r="AI72" s="203">
        <f t="shared" ref="AI72:AI73" ca="1" si="897">AJ72*AA$4</f>
        <v>0</v>
      </c>
      <c r="AJ72" s="204">
        <f t="shared" ref="AJ72:AJ73" ca="1" si="898">$N72-AF72</f>
        <v>0</v>
      </c>
      <c r="AK72" s="205"/>
      <c r="AL72" s="206">
        <f t="shared" ref="AL72:AL73" ca="1" si="899">AK72*$X72</f>
        <v>0</v>
      </c>
      <c r="AM72" s="206">
        <f t="shared" ref="AM72:AM73" ca="1" si="900">AL72*$Z72</f>
        <v>0</v>
      </c>
      <c r="AN72" s="207">
        <f t="shared" ref="AN72:AN73" ca="1" si="901">IFERROR(AM72/AA$4,0)</f>
        <v>0</v>
      </c>
      <c r="AO72" s="391">
        <f t="shared" ref="AO72" si="902">AA72+AK72</f>
        <v>0</v>
      </c>
      <c r="AP72" s="391">
        <f t="shared" ca="1" si="724"/>
        <v>0</v>
      </c>
      <c r="AQ72" s="391">
        <f t="shared" ref="AQ72:AQ73" ca="1" si="903">AP72*$Z72</f>
        <v>0</v>
      </c>
      <c r="AR72" s="886">
        <f t="shared" ref="AR72:AR73" ca="1" si="904">IFERROR(AQ72/AA$4,0)</f>
        <v>0</v>
      </c>
      <c r="AS72" s="1007" t="str">
        <f t="shared" ref="AS72:AS73" ca="1" si="905">IF(SUM(AF72,AN72,AR72)&lt;&gt;0,"V","")</f>
        <v/>
      </c>
      <c r="AT72" s="197">
        <f>60+-30+-30</f>
        <v>0</v>
      </c>
      <c r="AU72" s="312" t="str">
        <f t="shared" ca="1" si="726"/>
        <v/>
      </c>
      <c r="AV72" s="411"/>
      <c r="AW72" s="199">
        <f t="shared" ref="AW72:AW73" ca="1" si="906">AT72*$X72</f>
        <v>0</v>
      </c>
      <c r="AX72" s="199">
        <f t="shared" ref="AX72:AX73" ca="1" si="907">AW72*$Z72</f>
        <v>0</v>
      </c>
      <c r="AY72" s="216">
        <f t="shared" ref="AY72:AY73" ca="1" si="908">IFERROR(AX72/AT$4,0)</f>
        <v>0</v>
      </c>
      <c r="AZ72" s="202">
        <f t="shared" ref="AZ72:AZ73" ca="1" si="909">BA72/$X72</f>
        <v>0</v>
      </c>
      <c r="BA72" s="203">
        <f t="shared" ref="BA72:BA73" ca="1" si="910">BB72/$Z72</f>
        <v>0</v>
      </c>
      <c r="BB72" s="203">
        <f t="shared" ref="BB72:BB73" ca="1" si="911">BC72*AT$4</f>
        <v>0</v>
      </c>
      <c r="BC72" s="204">
        <f t="shared" ref="BC72:BC73" ca="1" si="912">$N72-AY72</f>
        <v>0</v>
      </c>
      <c r="BD72" s="205"/>
      <c r="BE72" s="206">
        <f t="shared" ref="BE72:BE73" ca="1" si="913">BD72*$X72</f>
        <v>0</v>
      </c>
      <c r="BF72" s="206">
        <f t="shared" ref="BF72:BF73" ca="1" si="914">BE72*$Z72</f>
        <v>0</v>
      </c>
      <c r="BG72" s="207">
        <f t="shared" ref="BG72:BG73" ca="1" si="915">IFERROR(BF72/AT$4,0)</f>
        <v>0</v>
      </c>
      <c r="BH72" s="391">
        <f t="shared" ref="BH72" si="916">AT72+BD72</f>
        <v>0</v>
      </c>
      <c r="BI72" s="391">
        <f t="shared" ca="1" si="736"/>
        <v>0</v>
      </c>
      <c r="BJ72" s="391">
        <f t="shared" ref="BJ72:BJ73" ca="1" si="917">BI72*$Z72</f>
        <v>0</v>
      </c>
      <c r="BK72" s="886">
        <f t="shared" ref="BK72:BK73" ca="1" si="918">IFERROR(BJ72/AT$4,0)</f>
        <v>0</v>
      </c>
      <c r="BL72" s="1007" t="str">
        <f t="shared" ref="BL72:BL73" ca="1" si="919">IF(SUM(AY72,BG72,BK72)&lt;&gt;0,"V","")</f>
        <v/>
      </c>
      <c r="BM72" s="197">
        <f>30+-15+-15</f>
        <v>0</v>
      </c>
      <c r="BN72" s="312" t="str">
        <f t="shared" ca="1" si="738"/>
        <v/>
      </c>
      <c r="BO72" s="411"/>
      <c r="BP72" s="199">
        <f t="shared" ref="BP72:BP73" ca="1" si="920">BM72*$X72</f>
        <v>0</v>
      </c>
      <c r="BQ72" s="199">
        <f t="shared" ref="BQ72:BQ73" ca="1" si="921">BP72*$Z72</f>
        <v>0</v>
      </c>
      <c r="BR72" s="216">
        <f t="shared" ref="BR72:BR73" ca="1" si="922">IFERROR(BQ72/BM$4,0)</f>
        <v>0</v>
      </c>
      <c r="BS72" s="202">
        <f t="shared" ref="BS72:BS73" ca="1" si="923">BT72/$X72</f>
        <v>0</v>
      </c>
      <c r="BT72" s="203">
        <f t="shared" ref="BT72:BT73" ca="1" si="924">BU72/$Z72</f>
        <v>0</v>
      </c>
      <c r="BU72" s="203">
        <f t="shared" ref="BU72:BU73" ca="1" si="925">BV72*BM$4</f>
        <v>0</v>
      </c>
      <c r="BV72" s="204">
        <f t="shared" ref="BV72:BV73" ca="1" si="926">$N72-BR72</f>
        <v>0</v>
      </c>
      <c r="BW72" s="205"/>
      <c r="BX72" s="206">
        <f t="shared" ref="BX72:BX73" ca="1" si="927">BW72*$X72</f>
        <v>0</v>
      </c>
      <c r="BY72" s="206">
        <f t="shared" ref="BY72:BY73" ca="1" si="928">BX72*$Z72</f>
        <v>0</v>
      </c>
      <c r="BZ72" s="207">
        <f t="shared" ref="BZ72:BZ73" ca="1" si="929">IFERROR(BY72/BM$4,0)</f>
        <v>0</v>
      </c>
      <c r="CA72" s="391">
        <f t="shared" ref="CA72" si="930">BM72+BW72</f>
        <v>0</v>
      </c>
      <c r="CB72" s="391">
        <f t="shared" ca="1" si="748"/>
        <v>0</v>
      </c>
      <c r="CC72" s="391">
        <f t="shared" ref="CC72:CC73" ca="1" si="931">CB72*$Z72</f>
        <v>0</v>
      </c>
      <c r="CD72" s="886">
        <f t="shared" ref="CD72:CD73" ca="1" si="932">IFERROR(CC72/BM$4,0)</f>
        <v>0</v>
      </c>
      <c r="CE72" s="1007" t="str">
        <f t="shared" ref="CE72:CE73" ca="1" si="933">IF(SUM(BR72,BZ72,CD72)&lt;&gt;0,"V","")</f>
        <v/>
      </c>
      <c r="CF72" s="197">
        <f>15+-5+-10</f>
        <v>0</v>
      </c>
      <c r="CG72" s="312" t="str">
        <f t="shared" ca="1" si="750"/>
        <v/>
      </c>
      <c r="CH72" s="411"/>
      <c r="CI72" s="199">
        <f t="shared" ref="CI72:CI73" ca="1" si="934">CF72*$X72</f>
        <v>0</v>
      </c>
      <c r="CJ72" s="199">
        <f t="shared" ref="CJ72:CJ73" ca="1" si="935">CI72*$Z72</f>
        <v>0</v>
      </c>
      <c r="CK72" s="216">
        <f t="shared" ref="CK72:CK73" ca="1" si="936">IFERROR(CJ72/CF$4,0)</f>
        <v>0</v>
      </c>
      <c r="CL72" s="202">
        <f t="shared" ref="CL72:CL73" ca="1" si="937">CM72/$X72</f>
        <v>0</v>
      </c>
      <c r="CM72" s="203">
        <f t="shared" ref="CM72:CM73" ca="1" si="938">CN72/$Z72</f>
        <v>0</v>
      </c>
      <c r="CN72" s="203">
        <f t="shared" ref="CN72:CN73" ca="1" si="939">CO72*CF$4</f>
        <v>0</v>
      </c>
      <c r="CO72" s="204">
        <f t="shared" ca="1" si="756"/>
        <v>0</v>
      </c>
      <c r="CP72" s="205"/>
      <c r="CQ72" s="206">
        <f t="shared" ref="CQ72:CQ73" ca="1" si="940">CP72*$X72</f>
        <v>0</v>
      </c>
      <c r="CR72" s="206">
        <f t="shared" ref="CR72:CR73" ca="1" si="941">CQ72*$Z72</f>
        <v>0</v>
      </c>
      <c r="CS72" s="207">
        <f t="shared" ref="CS72:CS73" ca="1" si="942">IFERROR(CR72/CF$4,0)</f>
        <v>0</v>
      </c>
      <c r="CT72" s="391">
        <f t="shared" ref="CT72" si="943">CF72+CP72</f>
        <v>0</v>
      </c>
      <c r="CU72" s="391">
        <f t="shared" ca="1" si="760"/>
        <v>0</v>
      </c>
      <c r="CV72" s="391">
        <f t="shared" ref="CV72:CV73" ca="1" si="944">CU72*$Z72</f>
        <v>0</v>
      </c>
      <c r="CW72" s="886">
        <f t="shared" ref="CW72:CW73" ca="1" si="945">IFERROR(CV72/CF$4,0)</f>
        <v>0</v>
      </c>
      <c r="CX72" s="1007" t="str">
        <f t="shared" ref="CX72:CX73" ca="1" si="946">IF(SUM(CK72,CS72,CW72)&lt;&gt;0,"V","")</f>
        <v/>
      </c>
    </row>
    <row r="73" spans="1:102" hidden="1" outlineLevel="1" x14ac:dyDescent="0.2">
      <c r="A73" s="367"/>
      <c r="B73" s="367"/>
      <c r="C73" s="367" t="str">
        <f t="shared" ca="1" si="700"/>
        <v>IE00BYVTMS52:EUR:TGT</v>
      </c>
      <c r="D73" s="368" t="str">
        <f t="shared" ca="1" si="701"/>
        <v>IE00BYVTMS52</v>
      </c>
      <c r="E73" s="369" t="str">
        <f t="shared" ca="1" si="701"/>
        <v>37407902</v>
      </c>
      <c r="F73" s="367" t="s">
        <v>390</v>
      </c>
      <c r="G73" s="414"/>
      <c r="H73" s="1683" t="str">
        <f t="shared" ca="1" si="702"/>
        <v></v>
      </c>
      <c r="I73" s="1683" t="str">
        <f t="shared" ca="1" si="703"/>
        <v>i</v>
      </c>
      <c r="J73" s="1713" t="str">
        <f t="shared" ca="1" si="704"/>
        <v></v>
      </c>
      <c r="K73" s="1716" t="str">
        <f t="shared" ca="1" si="704"/>
        <v></v>
      </c>
      <c r="L73" s="1717" t="str">
        <f t="shared" ca="1" si="705"/>
        <v></v>
      </c>
      <c r="M73" s="1786" t="str">
        <f t="shared" ca="1" si="706"/>
        <v>Unit</v>
      </c>
      <c r="N73" s="1136"/>
      <c r="O73" s="1136"/>
      <c r="P73" s="418">
        <f t="shared" ca="1" si="654"/>
        <v>0</v>
      </c>
      <c r="Q73" s="391">
        <f t="shared" si="707"/>
        <v>0</v>
      </c>
      <c r="R73" s="391">
        <f t="shared" ca="1" si="708"/>
        <v>0</v>
      </c>
      <c r="S73" s="883"/>
      <c r="T73" s="883"/>
      <c r="U73" s="375">
        <f t="shared" ca="1" si="709"/>
        <v>-2.4679967708453501E-2</v>
      </c>
      <c r="V73" s="391">
        <f t="shared" si="710"/>
        <v>0</v>
      </c>
      <c r="W73" s="367" t="str">
        <f t="shared" ca="1" si="711"/>
        <v>EUR</v>
      </c>
      <c r="X73" s="887">
        <f t="shared" ca="1" si="712"/>
        <v>422.85</v>
      </c>
      <c r="Y73" s="1041">
        <f t="shared" ca="1" si="712"/>
        <v>0</v>
      </c>
      <c r="Z73" s="1042">
        <f t="shared" ref="Z73" ca="1" si="947">_xlfn.NUMBERVALUE(OFFSET(Origine,MATCH(W73&amp;"/"&amp;MRif,LUKB_Name,0),MATCH("Price",Intestazioni,0)-1,1,1))</f>
        <v>1</v>
      </c>
      <c r="AA73" s="197">
        <f>40+-40</f>
        <v>0</v>
      </c>
      <c r="AB73" s="312" t="str">
        <f t="shared" ref="AB73" ca="1" si="948">IFERROR($X73/AC73-1,"")</f>
        <v/>
      </c>
      <c r="AC73" s="411"/>
      <c r="AD73" s="199">
        <f t="shared" ca="1" si="892"/>
        <v>0</v>
      </c>
      <c r="AE73" s="199">
        <f t="shared" ca="1" si="893"/>
        <v>0</v>
      </c>
      <c r="AF73" s="216">
        <f t="shared" ca="1" si="894"/>
        <v>0</v>
      </c>
      <c r="AG73" s="202">
        <f t="shared" ca="1" si="895"/>
        <v>0</v>
      </c>
      <c r="AH73" s="203">
        <f t="shared" ca="1" si="896"/>
        <v>0</v>
      </c>
      <c r="AI73" s="203">
        <f t="shared" ca="1" si="897"/>
        <v>0</v>
      </c>
      <c r="AJ73" s="204">
        <f t="shared" ca="1" si="898"/>
        <v>0</v>
      </c>
      <c r="AK73" s="205"/>
      <c r="AL73" s="206">
        <f t="shared" ca="1" si="899"/>
        <v>0</v>
      </c>
      <c r="AM73" s="206">
        <f t="shared" ca="1" si="900"/>
        <v>0</v>
      </c>
      <c r="AN73" s="207">
        <f t="shared" ca="1" si="901"/>
        <v>0</v>
      </c>
      <c r="AO73" s="391">
        <f t="shared" ref="AO73:AO78" si="949">AA73+AK73</f>
        <v>0</v>
      </c>
      <c r="AP73" s="391">
        <f t="shared" ca="1" si="724"/>
        <v>0</v>
      </c>
      <c r="AQ73" s="391">
        <f t="shared" ca="1" si="903"/>
        <v>0</v>
      </c>
      <c r="AR73" s="886">
        <f t="shared" ca="1" si="904"/>
        <v>0</v>
      </c>
      <c r="AS73" s="1007" t="str">
        <f t="shared" ca="1" si="905"/>
        <v/>
      </c>
      <c r="AT73" s="197">
        <f>65+-65</f>
        <v>0</v>
      </c>
      <c r="AU73" s="312" t="str">
        <f t="shared" ref="AU73" ca="1" si="950">IFERROR($X73/AV73-1,"")</f>
        <v/>
      </c>
      <c r="AV73" s="411"/>
      <c r="AW73" s="199">
        <f t="shared" ca="1" si="906"/>
        <v>0</v>
      </c>
      <c r="AX73" s="199">
        <f t="shared" ca="1" si="907"/>
        <v>0</v>
      </c>
      <c r="AY73" s="216">
        <f t="shared" ca="1" si="908"/>
        <v>0</v>
      </c>
      <c r="AZ73" s="202">
        <f t="shared" ca="1" si="909"/>
        <v>0</v>
      </c>
      <c r="BA73" s="203">
        <f t="shared" ca="1" si="910"/>
        <v>0</v>
      </c>
      <c r="BB73" s="203">
        <f t="shared" ca="1" si="911"/>
        <v>0</v>
      </c>
      <c r="BC73" s="204">
        <f t="shared" ca="1" si="912"/>
        <v>0</v>
      </c>
      <c r="BD73" s="205"/>
      <c r="BE73" s="206">
        <f t="shared" ca="1" si="913"/>
        <v>0</v>
      </c>
      <c r="BF73" s="206">
        <f t="shared" ca="1" si="914"/>
        <v>0</v>
      </c>
      <c r="BG73" s="207">
        <f t="shared" ca="1" si="915"/>
        <v>0</v>
      </c>
      <c r="BH73" s="391">
        <f t="shared" ref="BH73:BH78" si="951">AT73+BD73</f>
        <v>0</v>
      </c>
      <c r="BI73" s="391">
        <f t="shared" ca="1" si="736"/>
        <v>0</v>
      </c>
      <c r="BJ73" s="391">
        <f t="shared" ca="1" si="917"/>
        <v>0</v>
      </c>
      <c r="BK73" s="886">
        <f t="shared" ca="1" si="918"/>
        <v>0</v>
      </c>
      <c r="BL73" s="1007" t="str">
        <f t="shared" ca="1" si="919"/>
        <v/>
      </c>
      <c r="BM73" s="197">
        <f>35+-35</f>
        <v>0</v>
      </c>
      <c r="BN73" s="312" t="str">
        <f t="shared" ref="BN73" ca="1" si="952">IFERROR($X73/BO73-1,"")</f>
        <v/>
      </c>
      <c r="BO73" s="411"/>
      <c r="BP73" s="199">
        <f t="shared" ca="1" si="920"/>
        <v>0</v>
      </c>
      <c r="BQ73" s="199">
        <f t="shared" ca="1" si="921"/>
        <v>0</v>
      </c>
      <c r="BR73" s="216">
        <f t="shared" ca="1" si="922"/>
        <v>0</v>
      </c>
      <c r="BS73" s="202">
        <f t="shared" ca="1" si="923"/>
        <v>0</v>
      </c>
      <c r="BT73" s="203">
        <f t="shared" ca="1" si="924"/>
        <v>0</v>
      </c>
      <c r="BU73" s="203">
        <f t="shared" ca="1" si="925"/>
        <v>0</v>
      </c>
      <c r="BV73" s="204">
        <f t="shared" ca="1" si="926"/>
        <v>0</v>
      </c>
      <c r="BW73" s="205"/>
      <c r="BX73" s="206">
        <f t="shared" ca="1" si="927"/>
        <v>0</v>
      </c>
      <c r="BY73" s="206">
        <f t="shared" ca="1" si="928"/>
        <v>0</v>
      </c>
      <c r="BZ73" s="207">
        <f t="shared" ca="1" si="929"/>
        <v>0</v>
      </c>
      <c r="CA73" s="391">
        <f t="shared" ref="CA73:CA78" si="953">BM73+BW73</f>
        <v>0</v>
      </c>
      <c r="CB73" s="391">
        <f t="shared" ca="1" si="748"/>
        <v>0</v>
      </c>
      <c r="CC73" s="391">
        <f t="shared" ca="1" si="931"/>
        <v>0</v>
      </c>
      <c r="CD73" s="886">
        <f t="shared" ca="1" si="932"/>
        <v>0</v>
      </c>
      <c r="CE73" s="1007" t="str">
        <f t="shared" ca="1" si="933"/>
        <v/>
      </c>
      <c r="CF73" s="197">
        <f>20+-20</f>
        <v>0</v>
      </c>
      <c r="CG73" s="312" t="str">
        <f t="shared" ref="CG73" ca="1" si="954">IFERROR($X73/CH73-1,"")</f>
        <v/>
      </c>
      <c r="CH73" s="411"/>
      <c r="CI73" s="199">
        <f t="shared" ca="1" si="934"/>
        <v>0</v>
      </c>
      <c r="CJ73" s="199">
        <f t="shared" ca="1" si="935"/>
        <v>0</v>
      </c>
      <c r="CK73" s="216">
        <f t="shared" ca="1" si="936"/>
        <v>0</v>
      </c>
      <c r="CL73" s="202">
        <f t="shared" ca="1" si="937"/>
        <v>0</v>
      </c>
      <c r="CM73" s="203">
        <f t="shared" ca="1" si="938"/>
        <v>0</v>
      </c>
      <c r="CN73" s="203">
        <f t="shared" ca="1" si="939"/>
        <v>0</v>
      </c>
      <c r="CO73" s="204">
        <f t="shared" ref="CO73" ca="1" si="955">$O73-CK73</f>
        <v>0</v>
      </c>
      <c r="CP73" s="205"/>
      <c r="CQ73" s="206">
        <f t="shared" ca="1" si="940"/>
        <v>0</v>
      </c>
      <c r="CR73" s="206">
        <f t="shared" ca="1" si="941"/>
        <v>0</v>
      </c>
      <c r="CS73" s="207">
        <f t="shared" ca="1" si="942"/>
        <v>0</v>
      </c>
      <c r="CT73" s="391">
        <f t="shared" ref="CT73:CT78" si="956">CF73+CP73</f>
        <v>0</v>
      </c>
      <c r="CU73" s="391">
        <f t="shared" ca="1" si="760"/>
        <v>0</v>
      </c>
      <c r="CV73" s="391">
        <f t="shared" ca="1" si="944"/>
        <v>0</v>
      </c>
      <c r="CW73" s="886">
        <f t="shared" ca="1" si="945"/>
        <v>0</v>
      </c>
      <c r="CX73" s="1007" t="str">
        <f t="shared" ca="1" si="946"/>
        <v/>
      </c>
    </row>
    <row r="74" spans="1:102" hidden="1" outlineLevel="1" x14ac:dyDescent="0.2">
      <c r="A74" s="367"/>
      <c r="B74" s="367"/>
      <c r="C74" s="367" t="str">
        <f t="shared" ca="1" si="700"/>
        <v>IE00B6SPMN59:USD</v>
      </c>
      <c r="D74" s="368" t="str">
        <f t="shared" ca="1" si="701"/>
        <v>IE00B6SPMN59</v>
      </c>
      <c r="E74" s="369" t="str">
        <f t="shared" ca="1" si="701"/>
        <v>20023273</v>
      </c>
      <c r="F74" s="367" t="s">
        <v>488</v>
      </c>
      <c r="G74" s="414"/>
      <c r="H74" s="1683" t="str">
        <f t="shared" ca="1" si="702"/>
        <v></v>
      </c>
      <c r="I74" s="1683" t="str">
        <f t="shared" ca="1" si="703"/>
        <v>i</v>
      </c>
      <c r="J74" s="1713" t="str">
        <f t="shared" ca="1" si="704"/>
        <v></v>
      </c>
      <c r="K74" s="1716" t="str">
        <f t="shared" ca="1" si="704"/>
        <v></v>
      </c>
      <c r="L74" s="1717" t="str">
        <f t="shared" ca="1" si="705"/>
        <v></v>
      </c>
      <c r="M74" s="1786" t="str">
        <f t="shared" ca="1" si="706"/>
        <v>Unit</v>
      </c>
      <c r="N74" s="1136"/>
      <c r="O74" s="1136"/>
      <c r="P74" s="418">
        <f t="shared" ca="1" si="654"/>
        <v>0</v>
      </c>
      <c r="Q74" s="391">
        <f t="shared" si="707"/>
        <v>0</v>
      </c>
      <c r="R74" s="391">
        <f t="shared" ca="1" si="708"/>
        <v>0</v>
      </c>
      <c r="S74" s="883"/>
      <c r="T74" s="883"/>
      <c r="U74" s="375">
        <f t="shared" ca="1" si="709"/>
        <v>-9.9045888232620009E-3</v>
      </c>
      <c r="V74" s="391">
        <f t="shared" si="710"/>
        <v>0</v>
      </c>
      <c r="W74" s="367" t="str">
        <f t="shared" ca="1" si="711"/>
        <v>USD</v>
      </c>
      <c r="X74" s="887">
        <f t="shared" ca="1" si="712"/>
        <v>108.97</v>
      </c>
      <c r="Y74" s="1041">
        <f t="shared" ca="1" si="712"/>
        <v>0</v>
      </c>
      <c r="Z74" s="1042">
        <f t="shared" ca="1" si="713"/>
        <v>0.86199999999999999</v>
      </c>
      <c r="AA74" s="197"/>
      <c r="AB74" s="312" t="str">
        <f t="shared" ca="1" si="714"/>
        <v/>
      </c>
      <c r="AC74" s="411"/>
      <c r="AD74" s="199">
        <f t="shared" ca="1" si="715"/>
        <v>0</v>
      </c>
      <c r="AE74" s="199">
        <f t="shared" ca="1" si="716"/>
        <v>0</v>
      </c>
      <c r="AF74" s="216">
        <f t="shared" ca="1" si="292"/>
        <v>0</v>
      </c>
      <c r="AG74" s="202">
        <f t="shared" ca="1" si="717"/>
        <v>0</v>
      </c>
      <c r="AH74" s="203">
        <f t="shared" ca="1" si="718"/>
        <v>0</v>
      </c>
      <c r="AI74" s="203">
        <f t="shared" ca="1" si="719"/>
        <v>0</v>
      </c>
      <c r="AJ74" s="204">
        <f t="shared" ca="1" si="720"/>
        <v>0</v>
      </c>
      <c r="AK74" s="205"/>
      <c r="AL74" s="206">
        <f t="shared" ca="1" si="721"/>
        <v>0</v>
      </c>
      <c r="AM74" s="206">
        <f t="shared" ca="1" si="722"/>
        <v>0</v>
      </c>
      <c r="AN74" s="207">
        <f t="shared" ca="1" si="299"/>
        <v>0</v>
      </c>
      <c r="AO74" s="391">
        <f t="shared" si="949"/>
        <v>0</v>
      </c>
      <c r="AP74" s="391">
        <f t="shared" ca="1" si="724"/>
        <v>0</v>
      </c>
      <c r="AQ74" s="391">
        <f t="shared" ca="1" si="725"/>
        <v>0</v>
      </c>
      <c r="AR74" s="886">
        <f t="shared" ca="1" si="26"/>
        <v>0</v>
      </c>
      <c r="AS74" s="1007" t="str">
        <f t="shared" ref="AS74:AS118" ca="1" si="957">IF(SUM(AF74,AN74,AR74)&lt;&gt;0,"V","")</f>
        <v/>
      </c>
      <c r="AT74" s="197"/>
      <c r="AU74" s="312" t="str">
        <f t="shared" ca="1" si="726"/>
        <v/>
      </c>
      <c r="AV74" s="411"/>
      <c r="AW74" s="199">
        <f t="shared" ca="1" si="727"/>
        <v>0</v>
      </c>
      <c r="AX74" s="199">
        <f t="shared" ca="1" si="728"/>
        <v>0</v>
      </c>
      <c r="AY74" s="216">
        <f t="shared" ca="1" si="307"/>
        <v>0</v>
      </c>
      <c r="AZ74" s="202">
        <f t="shared" ca="1" si="729"/>
        <v>0</v>
      </c>
      <c r="BA74" s="203">
        <f t="shared" ca="1" si="730"/>
        <v>0</v>
      </c>
      <c r="BB74" s="203">
        <f t="shared" ca="1" si="731"/>
        <v>0</v>
      </c>
      <c r="BC74" s="204">
        <f t="shared" ca="1" si="732"/>
        <v>0</v>
      </c>
      <c r="BD74" s="205"/>
      <c r="BE74" s="206">
        <f t="shared" ca="1" si="733"/>
        <v>0</v>
      </c>
      <c r="BF74" s="206">
        <f t="shared" ca="1" si="734"/>
        <v>0</v>
      </c>
      <c r="BG74" s="207">
        <f t="shared" ca="1" si="314"/>
        <v>0</v>
      </c>
      <c r="BH74" s="391">
        <f t="shared" si="951"/>
        <v>0</v>
      </c>
      <c r="BI74" s="391">
        <f t="shared" ca="1" si="736"/>
        <v>0</v>
      </c>
      <c r="BJ74" s="391">
        <f t="shared" ca="1" si="737"/>
        <v>0</v>
      </c>
      <c r="BK74" s="886">
        <f t="shared" ca="1" si="72"/>
        <v>0</v>
      </c>
      <c r="BL74" s="1007" t="str">
        <f t="shared" ref="BL74:BL118" ca="1" si="958">IF(SUM(AY74,BG74,BK74)&lt;&gt;0,"V","")</f>
        <v/>
      </c>
      <c r="BM74" s="197">
        <f>1000+-300+-250+-450</f>
        <v>0</v>
      </c>
      <c r="BN74" s="312" t="str">
        <f t="shared" ca="1" si="738"/>
        <v/>
      </c>
      <c r="BO74" s="411"/>
      <c r="BP74" s="199">
        <f t="shared" ca="1" si="739"/>
        <v>0</v>
      </c>
      <c r="BQ74" s="199">
        <f t="shared" ca="1" si="740"/>
        <v>0</v>
      </c>
      <c r="BR74" s="216">
        <f t="shared" ca="1" si="6"/>
        <v>0</v>
      </c>
      <c r="BS74" s="202">
        <f t="shared" ca="1" si="741"/>
        <v>0</v>
      </c>
      <c r="BT74" s="203">
        <f t="shared" ca="1" si="742"/>
        <v>0</v>
      </c>
      <c r="BU74" s="203">
        <f t="shared" ca="1" si="743"/>
        <v>0</v>
      </c>
      <c r="BV74" s="204">
        <f t="shared" ca="1" si="744"/>
        <v>0</v>
      </c>
      <c r="BW74" s="205"/>
      <c r="BX74" s="206">
        <f t="shared" ca="1" si="745"/>
        <v>0</v>
      </c>
      <c r="BY74" s="206">
        <f t="shared" ca="1" si="746"/>
        <v>0</v>
      </c>
      <c r="BZ74" s="207">
        <f t="shared" ca="1" si="7"/>
        <v>0</v>
      </c>
      <c r="CA74" s="391">
        <f t="shared" si="953"/>
        <v>0</v>
      </c>
      <c r="CB74" s="391">
        <f t="shared" ca="1" si="748"/>
        <v>0</v>
      </c>
      <c r="CC74" s="391">
        <f t="shared" ca="1" si="749"/>
        <v>0</v>
      </c>
      <c r="CD74" s="886">
        <f t="shared" ca="1" si="76"/>
        <v>0</v>
      </c>
      <c r="CE74" s="1007" t="str">
        <f t="shared" ref="CE74:CE118" ca="1" si="959">IF(SUM(BR74,BZ74,CD74)&lt;&gt;0,"V","")</f>
        <v/>
      </c>
      <c r="CF74" s="197"/>
      <c r="CG74" s="312" t="str">
        <f t="shared" ca="1" si="750"/>
        <v/>
      </c>
      <c r="CH74" s="411"/>
      <c r="CI74" s="199">
        <f t="shared" ca="1" si="751"/>
        <v>0</v>
      </c>
      <c r="CJ74" s="199">
        <f t="shared" ca="1" si="752"/>
        <v>0</v>
      </c>
      <c r="CK74" s="216">
        <f t="shared" ca="1" si="334"/>
        <v>0</v>
      </c>
      <c r="CL74" s="202">
        <f t="shared" ca="1" si="753"/>
        <v>0</v>
      </c>
      <c r="CM74" s="203">
        <f t="shared" ca="1" si="754"/>
        <v>0</v>
      </c>
      <c r="CN74" s="203">
        <f t="shared" ca="1" si="755"/>
        <v>0</v>
      </c>
      <c r="CO74" s="204">
        <f t="shared" ca="1" si="756"/>
        <v>0</v>
      </c>
      <c r="CP74" s="205"/>
      <c r="CQ74" s="206">
        <f t="shared" ca="1" si="757"/>
        <v>0</v>
      </c>
      <c r="CR74" s="206">
        <f t="shared" ca="1" si="758"/>
        <v>0</v>
      </c>
      <c r="CS74" s="207">
        <f t="shared" ca="1" si="341"/>
        <v>0</v>
      </c>
      <c r="CT74" s="391">
        <f t="shared" si="956"/>
        <v>0</v>
      </c>
      <c r="CU74" s="391">
        <f t="shared" ca="1" si="760"/>
        <v>0</v>
      </c>
      <c r="CV74" s="391">
        <f t="shared" ca="1" si="761"/>
        <v>0</v>
      </c>
      <c r="CW74" s="886">
        <f t="shared" ca="1" si="345"/>
        <v>0</v>
      </c>
      <c r="CX74" s="1007" t="str">
        <f t="shared" ref="CX74:CX118" ca="1" si="960">IF(SUM(CK74,CS74,CW74)&lt;&gt;0,"V","")</f>
        <v/>
      </c>
    </row>
    <row r="75" spans="1:102" hidden="1" outlineLevel="1" x14ac:dyDescent="0.2">
      <c r="A75" s="367"/>
      <c r="B75" s="367"/>
      <c r="C75" s="367" t="str">
        <f t="shared" ca="1" si="700"/>
        <v>IE000MLMNYS0:USD</v>
      </c>
      <c r="D75" s="368" t="str">
        <f t="shared" ca="1" si="701"/>
        <v>IE000MLMNYS0</v>
      </c>
      <c r="E75" s="369" t="str">
        <f t="shared" ca="1" si="701"/>
        <v>119553349</v>
      </c>
      <c r="F75" s="367" t="s">
        <v>452</v>
      </c>
      <c r="G75" s="414"/>
      <c r="H75" s="1683" t="str">
        <f t="shared" ca="1" si="702"/>
        <v></v>
      </c>
      <c r="I75" s="1683" t="str">
        <f t="shared" ca="1" si="703"/>
        <v>i</v>
      </c>
      <c r="J75" s="1713" t="str">
        <f t="shared" ca="1" si="704"/>
        <v></v>
      </c>
      <c r="K75" s="1716" t="str">
        <f t="shared" ca="1" si="704"/>
        <v></v>
      </c>
      <c r="L75" s="1717" t="str">
        <f t="shared" ca="1" si="705"/>
        <v></v>
      </c>
      <c r="M75" s="1786" t="str">
        <f t="shared" ca="1" si="706"/>
        <v>Unit</v>
      </c>
      <c r="N75" s="1136"/>
      <c r="O75" s="1136"/>
      <c r="P75" s="418">
        <f t="shared" ca="1" si="654"/>
        <v>0</v>
      </c>
      <c r="Q75" s="391">
        <f t="shared" si="707"/>
        <v>0</v>
      </c>
      <c r="R75" s="391">
        <f t="shared" ca="1" si="708"/>
        <v>0</v>
      </c>
      <c r="S75" s="883"/>
      <c r="T75" s="883"/>
      <c r="U75" s="375">
        <f t="shared" ca="1" si="709"/>
        <v>-1.41592920353982E-2</v>
      </c>
      <c r="V75" s="391">
        <f t="shared" si="710"/>
        <v>0</v>
      </c>
      <c r="W75" s="367" t="str">
        <f t="shared" ca="1" si="711"/>
        <v>USD</v>
      </c>
      <c r="X75" s="887">
        <f t="shared" ca="1" si="712"/>
        <v>7.2450000000000001</v>
      </c>
      <c r="Y75" s="1041">
        <f t="shared" ca="1" si="712"/>
        <v>0</v>
      </c>
      <c r="Z75" s="1042">
        <f t="shared" ca="1" si="713"/>
        <v>0.86199999999999999</v>
      </c>
      <c r="AA75" s="197"/>
      <c r="AB75" s="312" t="str">
        <f t="shared" ref="AB75" ca="1" si="961">IFERROR($X75/AC75-1,"")</f>
        <v/>
      </c>
      <c r="AC75" s="411"/>
      <c r="AD75" s="199">
        <f t="shared" ref="AD75" ca="1" si="962">AA75*$X75</f>
        <v>0</v>
      </c>
      <c r="AE75" s="199">
        <f t="shared" ref="AE75" ca="1" si="963">AD75*$Z75</f>
        <v>0</v>
      </c>
      <c r="AF75" s="216">
        <f t="shared" ref="AF75" ca="1" si="964">IFERROR(AE75/AA$4,0)</f>
        <v>0</v>
      </c>
      <c r="AG75" s="202">
        <f t="shared" ref="AG75" ca="1" si="965">AH75/$X75</f>
        <v>0</v>
      </c>
      <c r="AH75" s="203">
        <f t="shared" ref="AH75" ca="1" si="966">AI75/$Z75</f>
        <v>0</v>
      </c>
      <c r="AI75" s="203">
        <f t="shared" ref="AI75" ca="1" si="967">AJ75*AA$4</f>
        <v>0</v>
      </c>
      <c r="AJ75" s="204">
        <f t="shared" ref="AJ75" ca="1" si="968">$N75-AF75</f>
        <v>0</v>
      </c>
      <c r="AK75" s="205"/>
      <c r="AL75" s="206">
        <f t="shared" ref="AL75" ca="1" si="969">AK75*$X75</f>
        <v>0</v>
      </c>
      <c r="AM75" s="206">
        <f t="shared" ref="AM75" ca="1" si="970">AL75*$Z75</f>
        <v>0</v>
      </c>
      <c r="AN75" s="207">
        <f t="shared" ref="AN75" ca="1" si="971">IFERROR(AM75/AA$4,0)</f>
        <v>0</v>
      </c>
      <c r="AO75" s="391">
        <f t="shared" si="949"/>
        <v>0</v>
      </c>
      <c r="AP75" s="391">
        <f t="shared" ref="AP75" ca="1" si="972">AD75+IF($T75="",AL75)</f>
        <v>0</v>
      </c>
      <c r="AQ75" s="391">
        <f t="shared" ref="AQ75" ca="1" si="973">AP75*$Z75</f>
        <v>0</v>
      </c>
      <c r="AR75" s="886">
        <f t="shared" ref="AR75" ca="1" si="974">IFERROR(AQ75/AA$4,0)</f>
        <v>0</v>
      </c>
      <c r="AS75" s="1007" t="str">
        <f t="shared" ref="AS75" ca="1" si="975">IF(SUM(AF75,AN75,AR75)&lt;&gt;0,"V","")</f>
        <v/>
      </c>
      <c r="AT75" s="197"/>
      <c r="AU75" s="312" t="str">
        <f t="shared" ref="AU75" ca="1" si="976">IFERROR($X75/AV75-1,"")</f>
        <v/>
      </c>
      <c r="AV75" s="411"/>
      <c r="AW75" s="199">
        <f t="shared" ref="AW75" ca="1" si="977">AT75*$X75</f>
        <v>0</v>
      </c>
      <c r="AX75" s="199">
        <f t="shared" ref="AX75" ca="1" si="978">AW75*$Z75</f>
        <v>0</v>
      </c>
      <c r="AY75" s="216">
        <f t="shared" ref="AY75" ca="1" si="979">IFERROR(AX75/AT$4,0)</f>
        <v>0</v>
      </c>
      <c r="AZ75" s="202">
        <f t="shared" ref="AZ75" ca="1" si="980">BA75/$X75</f>
        <v>0</v>
      </c>
      <c r="BA75" s="203">
        <f t="shared" ref="BA75" ca="1" si="981">BB75/$Z75</f>
        <v>0</v>
      </c>
      <c r="BB75" s="203">
        <f t="shared" ref="BB75" ca="1" si="982">BC75*AT$4</f>
        <v>0</v>
      </c>
      <c r="BC75" s="204">
        <f t="shared" ref="BC75" ca="1" si="983">$N75-AY75</f>
        <v>0</v>
      </c>
      <c r="BD75" s="205"/>
      <c r="BE75" s="206">
        <f t="shared" ref="BE75" ca="1" si="984">BD75*$X75</f>
        <v>0</v>
      </c>
      <c r="BF75" s="206">
        <f t="shared" ref="BF75" ca="1" si="985">BE75*$Z75</f>
        <v>0</v>
      </c>
      <c r="BG75" s="207">
        <f t="shared" ref="BG75" ca="1" si="986">IFERROR(BF75/AT$4,0)</f>
        <v>0</v>
      </c>
      <c r="BH75" s="391">
        <f t="shared" si="951"/>
        <v>0</v>
      </c>
      <c r="BI75" s="391">
        <f t="shared" ref="BI75" ca="1" si="987">AW75+IF($T75="",BE75)</f>
        <v>0</v>
      </c>
      <c r="BJ75" s="391">
        <f t="shared" ref="BJ75" ca="1" si="988">BI75*$Z75</f>
        <v>0</v>
      </c>
      <c r="BK75" s="886">
        <f t="shared" ref="BK75" ca="1" si="989">IFERROR(BJ75/AT$4,0)</f>
        <v>0</v>
      </c>
      <c r="BL75" s="1007" t="str">
        <f t="shared" ref="BL75" ca="1" si="990">IF(SUM(AY75,BG75,BK75)&lt;&gt;0,"V","")</f>
        <v/>
      </c>
      <c r="BM75" s="197"/>
      <c r="BN75" s="312" t="str">
        <f t="shared" ref="BN75" ca="1" si="991">IFERROR($X75/BO75-1,"")</f>
        <v/>
      </c>
      <c r="BO75" s="411"/>
      <c r="BP75" s="199">
        <f t="shared" ref="BP75" ca="1" si="992">BM75*$X75</f>
        <v>0</v>
      </c>
      <c r="BQ75" s="199">
        <f t="shared" ref="BQ75" ca="1" si="993">BP75*$Z75</f>
        <v>0</v>
      </c>
      <c r="BR75" s="216">
        <f t="shared" ref="BR75" ca="1" si="994">IFERROR(BQ75/BM$4,0)</f>
        <v>0</v>
      </c>
      <c r="BS75" s="202">
        <f t="shared" ref="BS75" ca="1" si="995">BT75/$X75</f>
        <v>0</v>
      </c>
      <c r="BT75" s="203">
        <f t="shared" ref="BT75" ca="1" si="996">BU75/$Z75</f>
        <v>0</v>
      </c>
      <c r="BU75" s="203">
        <f t="shared" ref="BU75" ca="1" si="997">BV75*BM$4</f>
        <v>0</v>
      </c>
      <c r="BV75" s="204">
        <f t="shared" ref="BV75" ca="1" si="998">$N75-BR75</f>
        <v>0</v>
      </c>
      <c r="BW75" s="205"/>
      <c r="BX75" s="206">
        <f t="shared" ref="BX75" ca="1" si="999">BW75*$X75</f>
        <v>0</v>
      </c>
      <c r="BY75" s="206">
        <f t="shared" ref="BY75" ca="1" si="1000">BX75*$Z75</f>
        <v>0</v>
      </c>
      <c r="BZ75" s="207">
        <f t="shared" ref="BZ75" ca="1" si="1001">IFERROR(BY75/BM$4,0)</f>
        <v>0</v>
      </c>
      <c r="CA75" s="391">
        <f t="shared" si="953"/>
        <v>0</v>
      </c>
      <c r="CB75" s="391">
        <f t="shared" ref="CB75" ca="1" si="1002">BP75+IF($T75="",BX75)</f>
        <v>0</v>
      </c>
      <c r="CC75" s="391">
        <f t="shared" ref="CC75" ca="1" si="1003">CB75*$Z75</f>
        <v>0</v>
      </c>
      <c r="CD75" s="886">
        <f t="shared" ref="CD75" ca="1" si="1004">IFERROR(CC75/BM$4,0)</f>
        <v>0</v>
      </c>
      <c r="CE75" s="1007" t="str">
        <f t="shared" ref="CE75" ca="1" si="1005">IF(SUM(BR75,BZ75,CD75)&lt;&gt;0,"V","")</f>
        <v/>
      </c>
      <c r="CF75" s="197"/>
      <c r="CG75" s="312" t="str">
        <f t="shared" ref="CG75" ca="1" si="1006">IFERROR($X75/CH75-1,"")</f>
        <v/>
      </c>
      <c r="CH75" s="411"/>
      <c r="CI75" s="199">
        <f t="shared" ref="CI75" ca="1" si="1007">CF75*$X75</f>
        <v>0</v>
      </c>
      <c r="CJ75" s="199">
        <f t="shared" ref="CJ75" ca="1" si="1008">CI75*$Z75</f>
        <v>0</v>
      </c>
      <c r="CK75" s="216">
        <f t="shared" ref="CK75" ca="1" si="1009">IFERROR(CJ75/CF$4,0)</f>
        <v>0</v>
      </c>
      <c r="CL75" s="202">
        <f t="shared" ref="CL75" ca="1" si="1010">CM75/$X75</f>
        <v>0</v>
      </c>
      <c r="CM75" s="203">
        <f t="shared" ref="CM75" ca="1" si="1011">CN75/$Z75</f>
        <v>0</v>
      </c>
      <c r="CN75" s="203">
        <f t="shared" ref="CN75" ca="1" si="1012">CO75*CF$4</f>
        <v>0</v>
      </c>
      <c r="CO75" s="204">
        <f t="shared" ca="1" si="756"/>
        <v>0</v>
      </c>
      <c r="CP75" s="205"/>
      <c r="CQ75" s="206">
        <f t="shared" ref="CQ75" ca="1" si="1013">CP75*$X75</f>
        <v>0</v>
      </c>
      <c r="CR75" s="206">
        <f t="shared" ref="CR75" ca="1" si="1014">CQ75*$Z75</f>
        <v>0</v>
      </c>
      <c r="CS75" s="207">
        <f t="shared" ref="CS75" ca="1" si="1015">IFERROR(CR75/CF$4,0)</f>
        <v>0</v>
      </c>
      <c r="CT75" s="391">
        <f t="shared" si="956"/>
        <v>0</v>
      </c>
      <c r="CU75" s="391">
        <f t="shared" ref="CU75" ca="1" si="1016">CI75+IF($T75="",CQ75)</f>
        <v>0</v>
      </c>
      <c r="CV75" s="391">
        <f t="shared" ref="CV75" ca="1" si="1017">CU75*$Z75</f>
        <v>0</v>
      </c>
      <c r="CW75" s="886">
        <f t="shared" ref="CW75" ca="1" si="1018">IFERROR(CV75/CF$4,0)</f>
        <v>0</v>
      </c>
      <c r="CX75" s="1007" t="str">
        <f t="shared" ref="CX75" ca="1" si="1019">IF(SUM(CK75,CS75,CW75)&lt;&gt;0,"V","")</f>
        <v/>
      </c>
    </row>
    <row r="76" spans="1:102" hidden="1" outlineLevel="1" x14ac:dyDescent="0.2">
      <c r="A76" s="367"/>
      <c r="B76" s="367"/>
      <c r="C76" s="367" t="str">
        <f t="shared" ca="1" si="700"/>
        <v>IE00B3ZW0K18:EUR</v>
      </c>
      <c r="D76" s="368" t="str">
        <f ca="1">OFFSET(Origine,MATCH($F76,Descrizioni,0),MATCH(D$16,Intestazioni,0)-1,1,1)</f>
        <v>IE00B3ZW0K18</v>
      </c>
      <c r="E76" s="369" t="s">
        <v>844</v>
      </c>
      <c r="F76" s="367" t="s">
        <v>439</v>
      </c>
      <c r="G76" s="414"/>
      <c r="H76" s="1683" t="str">
        <f t="shared" ca="1" si="702"/>
        <v></v>
      </c>
      <c r="I76" s="1683" t="str">
        <f t="shared" ca="1" si="703"/>
        <v>i</v>
      </c>
      <c r="J76" s="1713" t="str">
        <f t="shared" ca="1" si="704"/>
        <v></v>
      </c>
      <c r="K76" s="1716" t="str">
        <f t="shared" ca="1" si="704"/>
        <v></v>
      </c>
      <c r="L76" s="1717" t="str">
        <f t="shared" ca="1" si="705"/>
        <v></v>
      </c>
      <c r="M76" s="1786" t="str">
        <f t="shared" ca="1" si="706"/>
        <v>Unit</v>
      </c>
      <c r="N76" s="1136"/>
      <c r="O76" s="1136"/>
      <c r="P76" s="418">
        <f t="shared" ca="1" si="654"/>
        <v>0</v>
      </c>
      <c r="Q76" s="391">
        <f t="shared" si="707"/>
        <v>0</v>
      </c>
      <c r="R76" s="391">
        <f t="shared" ca="1" si="708"/>
        <v>0</v>
      </c>
      <c r="S76" s="891"/>
      <c r="T76" s="891"/>
      <c r="U76" s="375">
        <f t="shared" ca="1" si="709"/>
        <v>-1.1222473178995001E-2</v>
      </c>
      <c r="V76" s="391">
        <f t="shared" si="710"/>
        <v>0</v>
      </c>
      <c r="W76" s="367" t="str">
        <f t="shared" ca="1" si="711"/>
        <v>EUR</v>
      </c>
      <c r="X76" s="887">
        <f t="shared" ca="1" si="712"/>
        <v>140.09</v>
      </c>
      <c r="Y76" s="1041">
        <f t="shared" ca="1" si="712"/>
        <v>0</v>
      </c>
      <c r="Z76" s="1042">
        <f t="shared" ca="1" si="713"/>
        <v>1</v>
      </c>
      <c r="AA76" s="197"/>
      <c r="AB76" s="312" t="str">
        <f t="shared" ca="1" si="714"/>
        <v/>
      </c>
      <c r="AC76" s="411"/>
      <c r="AD76" s="199">
        <f t="shared" ca="1" si="715"/>
        <v>0</v>
      </c>
      <c r="AE76" s="199">
        <f t="shared" ca="1" si="716"/>
        <v>0</v>
      </c>
      <c r="AF76" s="216">
        <f ca="1">IFERROR(AE76/AA$4,0)</f>
        <v>0</v>
      </c>
      <c r="AG76" s="202">
        <f t="shared" ca="1" si="717"/>
        <v>0</v>
      </c>
      <c r="AH76" s="203">
        <f t="shared" ca="1" si="718"/>
        <v>0</v>
      </c>
      <c r="AI76" s="203">
        <f t="shared" ca="1" si="719"/>
        <v>0</v>
      </c>
      <c r="AJ76" s="204">
        <f t="shared" ca="1" si="720"/>
        <v>0</v>
      </c>
      <c r="AK76" s="205"/>
      <c r="AL76" s="206">
        <f t="shared" ca="1" si="721"/>
        <v>0</v>
      </c>
      <c r="AM76" s="206">
        <f t="shared" ca="1" si="722"/>
        <v>0</v>
      </c>
      <c r="AN76" s="207">
        <f ca="1">IFERROR(AM76/AA$4,0)</f>
        <v>0</v>
      </c>
      <c r="AO76" s="391">
        <f t="shared" si="949"/>
        <v>0</v>
      </c>
      <c r="AP76" s="391">
        <f ca="1">AD76+IF($T76="",AL76)</f>
        <v>0</v>
      </c>
      <c r="AQ76" s="391">
        <f t="shared" ca="1" si="725"/>
        <v>0</v>
      </c>
      <c r="AR76" s="886">
        <f ca="1">IFERROR(AQ76/AA$4,0)</f>
        <v>0</v>
      </c>
      <c r="AS76" s="1007" t="str">
        <f t="shared" ca="1" si="957"/>
        <v/>
      </c>
      <c r="AT76" s="197"/>
      <c r="AU76" s="312" t="str">
        <f t="shared" ca="1" si="726"/>
        <v/>
      </c>
      <c r="AV76" s="411"/>
      <c r="AW76" s="199">
        <f t="shared" ca="1" si="727"/>
        <v>0</v>
      </c>
      <c r="AX76" s="199">
        <f t="shared" ca="1" si="728"/>
        <v>0</v>
      </c>
      <c r="AY76" s="216">
        <f ca="1">IFERROR(AX76/AT$4,0)</f>
        <v>0</v>
      </c>
      <c r="AZ76" s="202">
        <f t="shared" ca="1" si="729"/>
        <v>0</v>
      </c>
      <c r="BA76" s="203">
        <f t="shared" ca="1" si="730"/>
        <v>0</v>
      </c>
      <c r="BB76" s="203">
        <f t="shared" ca="1" si="731"/>
        <v>0</v>
      </c>
      <c r="BC76" s="204">
        <f t="shared" ca="1" si="732"/>
        <v>0</v>
      </c>
      <c r="BD76" s="205"/>
      <c r="BE76" s="206">
        <f t="shared" ca="1" si="733"/>
        <v>0</v>
      </c>
      <c r="BF76" s="206">
        <f t="shared" ca="1" si="734"/>
        <v>0</v>
      </c>
      <c r="BG76" s="207">
        <f ca="1">IFERROR(BF76/AT$4,0)</f>
        <v>0</v>
      </c>
      <c r="BH76" s="391">
        <f t="shared" si="951"/>
        <v>0</v>
      </c>
      <c r="BI76" s="391">
        <f ca="1">AW76+IF($T76="",BE76)</f>
        <v>0</v>
      </c>
      <c r="BJ76" s="391">
        <f t="shared" ca="1" si="737"/>
        <v>0</v>
      </c>
      <c r="BK76" s="886">
        <f ca="1">IFERROR(BJ76/AT$4,0)</f>
        <v>0</v>
      </c>
      <c r="BL76" s="1007" t="str">
        <f t="shared" ca="1" si="958"/>
        <v/>
      </c>
      <c r="BM76" s="197">
        <f>220+-220</f>
        <v>0</v>
      </c>
      <c r="BN76" s="312" t="str">
        <f t="shared" ca="1" si="738"/>
        <v/>
      </c>
      <c r="BO76" s="411"/>
      <c r="BP76" s="199">
        <f t="shared" ca="1" si="739"/>
        <v>0</v>
      </c>
      <c r="BQ76" s="199">
        <f t="shared" ca="1" si="740"/>
        <v>0</v>
      </c>
      <c r="BR76" s="216">
        <f t="shared" ca="1" si="6"/>
        <v>0</v>
      </c>
      <c r="BS76" s="202">
        <f t="shared" ca="1" si="741"/>
        <v>0</v>
      </c>
      <c r="BT76" s="203">
        <f t="shared" ca="1" si="742"/>
        <v>0</v>
      </c>
      <c r="BU76" s="203">
        <f t="shared" ca="1" si="743"/>
        <v>0</v>
      </c>
      <c r="BV76" s="204">
        <f t="shared" ca="1" si="744"/>
        <v>0</v>
      </c>
      <c r="BW76" s="205"/>
      <c r="BX76" s="206">
        <f t="shared" ca="1" si="745"/>
        <v>0</v>
      </c>
      <c r="BY76" s="206">
        <f t="shared" ca="1" si="746"/>
        <v>0</v>
      </c>
      <c r="BZ76" s="207">
        <f t="shared" ca="1" si="7"/>
        <v>0</v>
      </c>
      <c r="CA76" s="391">
        <f t="shared" si="953"/>
        <v>0</v>
      </c>
      <c r="CB76" s="391">
        <f ca="1">BP76+IF($T76="",BX76)</f>
        <v>0</v>
      </c>
      <c r="CC76" s="391">
        <f t="shared" ca="1" si="749"/>
        <v>0</v>
      </c>
      <c r="CD76" s="886">
        <f t="shared" ca="1" si="76"/>
        <v>0</v>
      </c>
      <c r="CE76" s="1007" t="str">
        <f t="shared" ca="1" si="959"/>
        <v/>
      </c>
      <c r="CF76" s="197"/>
      <c r="CG76" s="312" t="str">
        <f t="shared" ca="1" si="750"/>
        <v/>
      </c>
      <c r="CH76" s="411"/>
      <c r="CI76" s="199">
        <f t="shared" ca="1" si="751"/>
        <v>0</v>
      </c>
      <c r="CJ76" s="199">
        <f t="shared" ca="1" si="752"/>
        <v>0</v>
      </c>
      <c r="CK76" s="216">
        <f t="shared" ca="1" si="334"/>
        <v>0</v>
      </c>
      <c r="CL76" s="202">
        <f t="shared" ca="1" si="753"/>
        <v>0</v>
      </c>
      <c r="CM76" s="203">
        <f t="shared" ca="1" si="754"/>
        <v>0</v>
      </c>
      <c r="CN76" s="203">
        <f t="shared" ca="1" si="755"/>
        <v>0</v>
      </c>
      <c r="CO76" s="204">
        <f t="shared" ca="1" si="756"/>
        <v>0</v>
      </c>
      <c r="CP76" s="205"/>
      <c r="CQ76" s="206">
        <f t="shared" ca="1" si="757"/>
        <v>0</v>
      </c>
      <c r="CR76" s="206">
        <f t="shared" ca="1" si="758"/>
        <v>0</v>
      </c>
      <c r="CS76" s="207">
        <f t="shared" ca="1" si="341"/>
        <v>0</v>
      </c>
      <c r="CT76" s="391">
        <f t="shared" si="956"/>
        <v>0</v>
      </c>
      <c r="CU76" s="391">
        <f ca="1">CI76+IF($T76="",CQ76)</f>
        <v>0</v>
      </c>
      <c r="CV76" s="391">
        <f t="shared" ca="1" si="761"/>
        <v>0</v>
      </c>
      <c r="CW76" s="886">
        <f t="shared" ca="1" si="345"/>
        <v>0</v>
      </c>
      <c r="CX76" s="1007" t="str">
        <f t="shared" ca="1" si="960"/>
        <v/>
      </c>
    </row>
    <row r="77" spans="1:102" hidden="1" outlineLevel="1" x14ac:dyDescent="0.2">
      <c r="A77" s="367"/>
      <c r="B77" s="367"/>
      <c r="C77" s="367" t="str">
        <f t="shared" ca="1" si="700"/>
        <v>IE00BD4TYG73:EUR</v>
      </c>
      <c r="D77" s="368" t="str">
        <f ca="1">OFFSET(Origine,MATCH($F77,Descrizioni,0),MATCH(D$16,Intestazioni,0)-1,1,1)</f>
        <v>IE00BD4TYG73</v>
      </c>
      <c r="E77" s="369" t="str">
        <f ca="1">OFFSET(Origine,MATCH($F77,Descrizioni,0),MATCH(E$16,Intestazioni,0)-1,1,1)</f>
        <v>22374957</v>
      </c>
      <c r="F77" s="367" t="s">
        <v>858</v>
      </c>
      <c r="G77" s="414"/>
      <c r="H77" s="1683" t="str">
        <f t="shared" ca="1" si="702"/>
        <v></v>
      </c>
      <c r="I77" s="1683" t="str">
        <f t="shared" ca="1" si="703"/>
        <v>i</v>
      </c>
      <c r="J77" s="1713" t="str">
        <f t="shared" ca="1" si="704"/>
        <v></v>
      </c>
      <c r="K77" s="1716" t="str">
        <f t="shared" ca="1" si="704"/>
        <v></v>
      </c>
      <c r="L77" s="1717" t="str">
        <f t="shared" ca="1" si="705"/>
        <v></v>
      </c>
      <c r="M77" s="1786" t="str">
        <f t="shared" ca="1" si="706"/>
        <v>Unit</v>
      </c>
      <c r="N77" s="1136"/>
      <c r="O77" s="1136"/>
      <c r="P77" s="418">
        <f t="shared" ca="1" si="654"/>
        <v>0</v>
      </c>
      <c r="Q77" s="391">
        <f t="shared" si="707"/>
        <v>0</v>
      </c>
      <c r="R77" s="391">
        <f t="shared" ca="1" si="708"/>
        <v>0</v>
      </c>
      <c r="S77" s="883"/>
      <c r="T77" s="883"/>
      <c r="U77" s="375">
        <f t="shared" ca="1" si="709"/>
        <v>9.4663810259142996E-3</v>
      </c>
      <c r="V77" s="391">
        <f t="shared" si="710"/>
        <v>0</v>
      </c>
      <c r="W77" s="367" t="str">
        <f t="shared" ca="1" si="711"/>
        <v>EUR</v>
      </c>
      <c r="X77" s="887">
        <f t="shared" ca="1" si="712"/>
        <v>51.762500000000003</v>
      </c>
      <c r="Y77" s="1041">
        <f t="shared" ca="1" si="712"/>
        <v>0</v>
      </c>
      <c r="Z77" s="1042">
        <f t="shared" ref="Z77" ca="1" si="1020">_xlfn.NUMBERVALUE(OFFSET(Origine,MATCH(W77&amp;"/"&amp;MRif,LUKB_Name,0),MATCH("Price",Intestazioni,0)-1,1,1))</f>
        <v>1</v>
      </c>
      <c r="AA77" s="197">
        <f>1190+-1190</f>
        <v>0</v>
      </c>
      <c r="AB77" s="312" t="str">
        <f t="shared" ref="AB77" ca="1" si="1021">IFERROR($X77/AC77-1,"")</f>
        <v/>
      </c>
      <c r="AC77" s="411"/>
      <c r="AD77" s="199">
        <f t="shared" ref="AD77" ca="1" si="1022">AA77*$X77</f>
        <v>0</v>
      </c>
      <c r="AE77" s="199">
        <f t="shared" ref="AE77" ca="1" si="1023">AD77*$Z77</f>
        <v>0</v>
      </c>
      <c r="AF77" s="216">
        <f t="shared" ref="AF77" ca="1" si="1024">IFERROR(AE77/AA$4,0)</f>
        <v>0</v>
      </c>
      <c r="AG77" s="202">
        <f t="shared" ref="AG77" ca="1" si="1025">AH77/$X77</f>
        <v>0</v>
      </c>
      <c r="AH77" s="203">
        <f t="shared" ref="AH77" ca="1" si="1026">AI77/$Z77</f>
        <v>0</v>
      </c>
      <c r="AI77" s="203">
        <f t="shared" ref="AI77" ca="1" si="1027">AJ77*AA$4</f>
        <v>0</v>
      </c>
      <c r="AJ77" s="204">
        <f t="shared" ref="AJ77" ca="1" si="1028">$N77-AF77</f>
        <v>0</v>
      </c>
      <c r="AK77" s="205"/>
      <c r="AL77" s="206">
        <f t="shared" ref="AL77" ca="1" si="1029">AK77*$X77</f>
        <v>0</v>
      </c>
      <c r="AM77" s="206">
        <f t="shared" ref="AM77" ca="1" si="1030">AL77*$Z77</f>
        <v>0</v>
      </c>
      <c r="AN77" s="207">
        <f t="shared" ref="AN77" ca="1" si="1031">IFERROR(AM77/AA$4,0)</f>
        <v>0</v>
      </c>
      <c r="AO77" s="391">
        <f t="shared" si="949"/>
        <v>0</v>
      </c>
      <c r="AP77" s="391">
        <f ca="1">AD77+IF($T77="",AL77)</f>
        <v>0</v>
      </c>
      <c r="AQ77" s="391">
        <f t="shared" ref="AQ77" ca="1" si="1032">AP77*$Z77</f>
        <v>0</v>
      </c>
      <c r="AR77" s="886">
        <f t="shared" ref="AR77" ca="1" si="1033">IFERROR(AQ77/AA$4,0)</f>
        <v>0</v>
      </c>
      <c r="AS77" s="1007" t="str">
        <f t="shared" ref="AS77" ca="1" si="1034">IF(SUM(AF77,AN77,AR77)&lt;&gt;0,"V","")</f>
        <v/>
      </c>
      <c r="AT77" s="197"/>
      <c r="AU77" s="312" t="str">
        <f t="shared" ref="AU77" ca="1" si="1035">IFERROR($X77/AV77-1,"")</f>
        <v/>
      </c>
      <c r="AV77" s="411"/>
      <c r="AW77" s="199">
        <f t="shared" ref="AW77" ca="1" si="1036">AT77*$X77</f>
        <v>0</v>
      </c>
      <c r="AX77" s="199">
        <f t="shared" ref="AX77" ca="1" si="1037">AW77*$Z77</f>
        <v>0</v>
      </c>
      <c r="AY77" s="216">
        <f t="shared" ref="AY77" ca="1" si="1038">IFERROR(AX77/AT$4,0)</f>
        <v>0</v>
      </c>
      <c r="AZ77" s="202">
        <f t="shared" ref="AZ77" ca="1" si="1039">BA77/$X77</f>
        <v>0</v>
      </c>
      <c r="BA77" s="203">
        <f t="shared" ref="BA77" ca="1" si="1040">BB77/$Z77</f>
        <v>0</v>
      </c>
      <c r="BB77" s="203">
        <f t="shared" ref="BB77" ca="1" si="1041">BC77*AT$4</f>
        <v>0</v>
      </c>
      <c r="BC77" s="204">
        <f t="shared" ref="BC77" ca="1" si="1042">$N77-AY77</f>
        <v>0</v>
      </c>
      <c r="BD77" s="205"/>
      <c r="BE77" s="206">
        <f t="shared" ref="BE77" ca="1" si="1043">BD77*$X77</f>
        <v>0</v>
      </c>
      <c r="BF77" s="206">
        <f t="shared" ref="BF77" ca="1" si="1044">BE77*$Z77</f>
        <v>0</v>
      </c>
      <c r="BG77" s="207">
        <f t="shared" ref="BG77" ca="1" si="1045">IFERROR(BF77/AT$4,0)</f>
        <v>0</v>
      </c>
      <c r="BH77" s="391">
        <f t="shared" si="951"/>
        <v>0</v>
      </c>
      <c r="BI77" s="391">
        <f ca="1">AW77+IF($T77="",BE77)</f>
        <v>0</v>
      </c>
      <c r="BJ77" s="391">
        <f t="shared" ref="BJ77" ca="1" si="1046">BI77*$Z77</f>
        <v>0</v>
      </c>
      <c r="BK77" s="886">
        <f t="shared" ref="BK77" ca="1" si="1047">IFERROR(BJ77/AT$4,0)</f>
        <v>0</v>
      </c>
      <c r="BL77" s="1007" t="str">
        <f t="shared" ref="BL77" ca="1" si="1048">IF(SUM(AY77,BG77,BK77)&lt;&gt;0,"V","")</f>
        <v/>
      </c>
      <c r="BM77" s="197">
        <f>450+-450</f>
        <v>0</v>
      </c>
      <c r="BN77" s="312" t="str">
        <f t="shared" ref="BN77" ca="1" si="1049">IFERROR($X77/BO77-1,"")</f>
        <v/>
      </c>
      <c r="BO77" s="411"/>
      <c r="BP77" s="199">
        <f t="shared" ref="BP77" ca="1" si="1050">BM77*$X77</f>
        <v>0</v>
      </c>
      <c r="BQ77" s="199">
        <f t="shared" ref="BQ77" ca="1" si="1051">BP77*$Z77</f>
        <v>0</v>
      </c>
      <c r="BR77" s="216">
        <f t="shared" ref="BR77" ca="1" si="1052">IFERROR(BQ77/BM$4,0)</f>
        <v>0</v>
      </c>
      <c r="BS77" s="202">
        <f t="shared" ref="BS77" ca="1" si="1053">BT77/$X77</f>
        <v>0</v>
      </c>
      <c r="BT77" s="203">
        <f t="shared" ref="BT77" ca="1" si="1054">BU77/$Z77</f>
        <v>0</v>
      </c>
      <c r="BU77" s="203">
        <f t="shared" ref="BU77" ca="1" si="1055">BV77*BM$4</f>
        <v>0</v>
      </c>
      <c r="BV77" s="204">
        <f t="shared" ref="BV77" ca="1" si="1056">$N77-BR77</f>
        <v>0</v>
      </c>
      <c r="BW77" s="205"/>
      <c r="BX77" s="206">
        <f t="shared" ref="BX77" ca="1" si="1057">BW77*$X77</f>
        <v>0</v>
      </c>
      <c r="BY77" s="206">
        <f t="shared" ref="BY77" ca="1" si="1058">BX77*$Z77</f>
        <v>0</v>
      </c>
      <c r="BZ77" s="207">
        <f t="shared" ref="BZ77" ca="1" si="1059">IFERROR(BY77/BM$4,0)</f>
        <v>0</v>
      </c>
      <c r="CA77" s="391">
        <f t="shared" si="953"/>
        <v>0</v>
      </c>
      <c r="CB77" s="391">
        <f ca="1">BP77+IF($T77="",BX77)</f>
        <v>0</v>
      </c>
      <c r="CC77" s="391">
        <f t="shared" ref="CC77" ca="1" si="1060">CB77*$Z77</f>
        <v>0</v>
      </c>
      <c r="CD77" s="886">
        <f t="shared" ref="CD77" ca="1" si="1061">IFERROR(CC77/BM$4,0)</f>
        <v>0</v>
      </c>
      <c r="CE77" s="1007" t="str">
        <f t="shared" ref="CE77" ca="1" si="1062">IF(SUM(BR77,BZ77,CD77)&lt;&gt;0,"V","")</f>
        <v/>
      </c>
      <c r="CF77" s="197"/>
      <c r="CG77" s="312" t="str">
        <f t="shared" ref="CG77" ca="1" si="1063">IFERROR($X77/CH77-1,"")</f>
        <v/>
      </c>
      <c r="CH77" s="411"/>
      <c r="CI77" s="199">
        <f t="shared" ref="CI77" ca="1" si="1064">CF77*$X77</f>
        <v>0</v>
      </c>
      <c r="CJ77" s="199">
        <f t="shared" ref="CJ77" ca="1" si="1065">CI77*$Z77</f>
        <v>0</v>
      </c>
      <c r="CK77" s="216">
        <f t="shared" ref="CK77" ca="1" si="1066">IFERROR(CJ77/CF$4,0)</f>
        <v>0</v>
      </c>
      <c r="CL77" s="202">
        <f t="shared" ref="CL77" ca="1" si="1067">CM77/$X77</f>
        <v>0</v>
      </c>
      <c r="CM77" s="203">
        <f t="shared" ref="CM77" ca="1" si="1068">CN77/$Z77</f>
        <v>0</v>
      </c>
      <c r="CN77" s="203">
        <f t="shared" ref="CN77" ca="1" si="1069">CO77*CF$4</f>
        <v>0</v>
      </c>
      <c r="CO77" s="204">
        <f t="shared" ref="CO77" ca="1" si="1070">$O77-CK77</f>
        <v>0</v>
      </c>
      <c r="CP77" s="205"/>
      <c r="CQ77" s="206">
        <f t="shared" ref="CQ77" ca="1" si="1071">CP77*$X77</f>
        <v>0</v>
      </c>
      <c r="CR77" s="206">
        <f t="shared" ref="CR77" ca="1" si="1072">CQ77*$Z77</f>
        <v>0</v>
      </c>
      <c r="CS77" s="207">
        <f t="shared" ref="CS77" ca="1" si="1073">IFERROR(CR77/CF$4,0)</f>
        <v>0</v>
      </c>
      <c r="CT77" s="391">
        <f t="shared" si="956"/>
        <v>0</v>
      </c>
      <c r="CU77" s="391">
        <f ca="1">CI77+IF($T77="",CQ77)</f>
        <v>0</v>
      </c>
      <c r="CV77" s="391">
        <f t="shared" ref="CV77" ca="1" si="1074">CU77*$Z77</f>
        <v>0</v>
      </c>
      <c r="CW77" s="886">
        <f t="shared" ref="CW77" ca="1" si="1075">IFERROR(CV77/CF$4,0)</f>
        <v>0</v>
      </c>
      <c r="CX77" s="1007" t="str">
        <f t="shared" ref="CX77" ca="1" si="1076">IF(SUM(CK77,CS77,CW77)&lt;&gt;0,"V","")</f>
        <v/>
      </c>
    </row>
    <row r="78" spans="1:102" hidden="1" outlineLevel="1" x14ac:dyDescent="0.2">
      <c r="A78" s="367"/>
      <c r="B78" s="367"/>
      <c r="C78" s="367" t="str">
        <f t="shared" ca="1" si="700"/>
        <v>IE0002EI5AG0:EUR</v>
      </c>
      <c r="D78" s="368" t="str">
        <f ca="1">OFFSET(Origine,MATCH($F78,Descrizioni,0),MATCH(D$16,Intestazioni,0)-1,1,1)</f>
        <v>IE0002EI5AG0</v>
      </c>
      <c r="E78" s="369" t="str">
        <f ca="1">OFFSET(Origine,MATCH($F78,Descrizioni,0),MATCH(E$16,Intestazioni,0)-1,1,1)</f>
        <v>114399815</v>
      </c>
      <c r="F78" s="367" t="s">
        <v>4439</v>
      </c>
      <c r="G78" s="414"/>
      <c r="H78" s="1683" t="str">
        <f t="shared" ca="1" si="702"/>
        <v></v>
      </c>
      <c r="I78" s="1683" t="str">
        <f t="shared" ca="1" si="703"/>
        <v>i</v>
      </c>
      <c r="J78" s="1713" t="str">
        <f t="shared" ca="1" si="704"/>
        <v></v>
      </c>
      <c r="K78" s="1716" t="str">
        <f t="shared" ca="1" si="704"/>
        <v></v>
      </c>
      <c r="L78" s="1717" t="str">
        <f t="shared" ca="1" si="705"/>
        <v></v>
      </c>
      <c r="M78" s="1786" t="str">
        <f t="shared" ca="1" si="706"/>
        <v>Unit</v>
      </c>
      <c r="N78" s="1136">
        <v>2.5000000000000001E-2</v>
      </c>
      <c r="O78" s="1136">
        <v>0.05</v>
      </c>
      <c r="P78" s="418">
        <f t="shared" ca="1" si="654"/>
        <v>2.4785189841035806E-2</v>
      </c>
      <c r="Q78" s="391">
        <f t="shared" si="707"/>
        <v>6040</v>
      </c>
      <c r="R78" s="391">
        <f t="shared" ca="1" si="708"/>
        <v>45.700218342499134</v>
      </c>
      <c r="S78" s="883"/>
      <c r="T78" s="883"/>
      <c r="U78" s="375">
        <f t="shared" ca="1" si="709"/>
        <v>-4.4758133930109002E-3</v>
      </c>
      <c r="V78" s="391">
        <f t="shared" si="710"/>
        <v>0</v>
      </c>
      <c r="W78" s="367" t="str">
        <f t="shared" ca="1" si="711"/>
        <v>EUR</v>
      </c>
      <c r="X78" s="887">
        <f t="shared" ca="1" si="712"/>
        <v>11.566000000000001</v>
      </c>
      <c r="Y78" s="1041">
        <f t="shared" ca="1" si="712"/>
        <v>0</v>
      </c>
      <c r="Z78" s="1042">
        <f t="shared" ca="1" si="713"/>
        <v>1</v>
      </c>
      <c r="AA78" s="197">
        <f>1500</f>
        <v>1500</v>
      </c>
      <c r="AB78" s="312">
        <f t="shared" ca="1" si="714"/>
        <v>-2.1826714863734109E-3</v>
      </c>
      <c r="AC78" s="411">
        <v>11.5913</v>
      </c>
      <c r="AD78" s="199">
        <f t="shared" ca="1" si="715"/>
        <v>17349</v>
      </c>
      <c r="AE78" s="199">
        <f t="shared" ca="1" si="716"/>
        <v>17349</v>
      </c>
      <c r="AF78" s="216">
        <f t="shared" ca="1" si="292"/>
        <v>2.4676338550309814E-2</v>
      </c>
      <c r="AG78" s="202">
        <f t="shared" ca="1" si="717"/>
        <v>19.674400784600415</v>
      </c>
      <c r="AH78" s="203">
        <f t="shared" ca="1" si="718"/>
        <v>227.55411947468841</v>
      </c>
      <c r="AI78" s="203">
        <f t="shared" ca="1" si="719"/>
        <v>227.55411947468841</v>
      </c>
      <c r="AJ78" s="204">
        <f t="shared" ca="1" si="720"/>
        <v>3.2366144969018726E-4</v>
      </c>
      <c r="AK78" s="205"/>
      <c r="AL78" s="206">
        <f t="shared" ca="1" si="721"/>
        <v>0</v>
      </c>
      <c r="AM78" s="206">
        <f t="shared" ca="1" si="722"/>
        <v>0</v>
      </c>
      <c r="AN78" s="207">
        <f t="shared" ca="1" si="299"/>
        <v>0</v>
      </c>
      <c r="AO78" s="391">
        <f t="shared" si="949"/>
        <v>1500</v>
      </c>
      <c r="AP78" s="391">
        <f ca="1">AD78+IF($T78="",AL78)</f>
        <v>17349</v>
      </c>
      <c r="AQ78" s="391">
        <f t="shared" ca="1" si="725"/>
        <v>17349</v>
      </c>
      <c r="AR78" s="886">
        <f t="shared" ca="1" si="26"/>
        <v>2.4676338550309814E-2</v>
      </c>
      <c r="AS78" s="1007" t="str">
        <f t="shared" ca="1" si="957"/>
        <v>V</v>
      </c>
      <c r="AT78" s="197">
        <f>2500</f>
        <v>2500</v>
      </c>
      <c r="AU78" s="312">
        <f t="shared" ca="1" si="726"/>
        <v>-2.1826714863734109E-3</v>
      </c>
      <c r="AV78" s="411">
        <v>11.5913</v>
      </c>
      <c r="AW78" s="199">
        <f t="shared" ca="1" si="727"/>
        <v>28915</v>
      </c>
      <c r="AX78" s="199">
        <f t="shared" ca="1" si="728"/>
        <v>28915</v>
      </c>
      <c r="AY78" s="216">
        <f t="shared" ca="1" si="307"/>
        <v>2.4900160416125156E-2</v>
      </c>
      <c r="AZ78" s="202">
        <f t="shared" ca="1" si="729"/>
        <v>10.023990027207798</v>
      </c>
      <c r="BA78" s="203">
        <f t="shared" ca="1" si="730"/>
        <v>115.9374686546854</v>
      </c>
      <c r="BB78" s="203">
        <f t="shared" ca="1" si="731"/>
        <v>115.9374686546854</v>
      </c>
      <c r="BC78" s="204">
        <f t="shared" ca="1" si="732"/>
        <v>9.9839583874845178E-5</v>
      </c>
      <c r="BD78" s="205"/>
      <c r="BE78" s="206">
        <f t="shared" ca="1" si="733"/>
        <v>0</v>
      </c>
      <c r="BF78" s="206">
        <f t="shared" ca="1" si="734"/>
        <v>0</v>
      </c>
      <c r="BG78" s="207">
        <f t="shared" ca="1" si="314"/>
        <v>0</v>
      </c>
      <c r="BH78" s="391">
        <f t="shared" si="951"/>
        <v>2500</v>
      </c>
      <c r="BI78" s="391">
        <f ca="1">AW78+IF($T78="",BE78)</f>
        <v>28915</v>
      </c>
      <c r="BJ78" s="391">
        <f t="shared" ca="1" si="737"/>
        <v>28915</v>
      </c>
      <c r="BK78" s="886">
        <f t="shared" ca="1" si="72"/>
        <v>2.4900160416125156E-2</v>
      </c>
      <c r="BL78" s="1007" t="str">
        <f t="shared" ca="1" si="958"/>
        <v>V</v>
      </c>
      <c r="BM78" s="197">
        <f>1350</f>
        <v>1350</v>
      </c>
      <c r="BN78" s="312">
        <f t="shared" ca="1" si="738"/>
        <v>-2.1826714863734109E-3</v>
      </c>
      <c r="BO78" s="411">
        <v>11.5913</v>
      </c>
      <c r="BP78" s="199">
        <f t="shared" ca="1" si="739"/>
        <v>15614.1</v>
      </c>
      <c r="BQ78" s="199">
        <f t="shared" ca="1" si="740"/>
        <v>15614.1</v>
      </c>
      <c r="BR78" s="216">
        <f t="shared" ca="1" si="6"/>
        <v>2.4695072668478577E-2</v>
      </c>
      <c r="BS78" s="202">
        <f t="shared" ca="1" si="741"/>
        <v>16.669394056060689</v>
      </c>
      <c r="BT78" s="203">
        <f t="shared" ca="1" si="742"/>
        <v>192.79821165239795</v>
      </c>
      <c r="BU78" s="203">
        <f t="shared" ca="1" si="743"/>
        <v>192.79821165239795</v>
      </c>
      <c r="BV78" s="204">
        <f t="shared" ca="1" si="744"/>
        <v>3.0492733152142487E-4</v>
      </c>
      <c r="BW78" s="205"/>
      <c r="BX78" s="206">
        <f t="shared" ca="1" si="745"/>
        <v>0</v>
      </c>
      <c r="BY78" s="206">
        <f t="shared" ca="1" si="746"/>
        <v>0</v>
      </c>
      <c r="BZ78" s="207">
        <f t="shared" ca="1" si="7"/>
        <v>0</v>
      </c>
      <c r="CA78" s="391">
        <f t="shared" si="953"/>
        <v>1350</v>
      </c>
      <c r="CB78" s="391">
        <f ca="1">BP78+IF($T78="",BX78)</f>
        <v>15614.1</v>
      </c>
      <c r="CC78" s="391">
        <f t="shared" ca="1" si="749"/>
        <v>15614.1</v>
      </c>
      <c r="CD78" s="886">
        <f t="shared" ca="1" si="76"/>
        <v>2.4695072668478577E-2</v>
      </c>
      <c r="CE78" s="1007" t="str">
        <f t="shared" ca="1" si="959"/>
        <v>V</v>
      </c>
      <c r="CF78" s="197">
        <f>690</f>
        <v>690</v>
      </c>
      <c r="CG78" s="312">
        <f t="shared" ca="1" si="750"/>
        <v>-2.1826714863734109E-3</v>
      </c>
      <c r="CH78" s="411">
        <v>11.5913</v>
      </c>
      <c r="CI78" s="199">
        <f t="shared" ca="1" si="751"/>
        <v>7980.5400000000009</v>
      </c>
      <c r="CJ78" s="199">
        <f t="shared" ca="1" si="752"/>
        <v>7980.5400000000009</v>
      </c>
      <c r="CK78" s="216">
        <f t="shared" ca="1" si="334"/>
        <v>5.0048421232844427E-2</v>
      </c>
      <c r="CL78" s="202">
        <f t="shared" ca="1" si="753"/>
        <v>-0.66756652536977223</v>
      </c>
      <c r="CM78" s="203">
        <f t="shared" ca="1" si="754"/>
        <v>-7.7210744324267857</v>
      </c>
      <c r="CN78" s="203">
        <f t="shared" ca="1" si="755"/>
        <v>-7.7210744324267857</v>
      </c>
      <c r="CO78" s="204">
        <f t="shared" ca="1" si="756"/>
        <v>-4.8421232844424178E-5</v>
      </c>
      <c r="CP78" s="205"/>
      <c r="CQ78" s="206">
        <f t="shared" ca="1" si="757"/>
        <v>0</v>
      </c>
      <c r="CR78" s="206">
        <f t="shared" ca="1" si="758"/>
        <v>0</v>
      </c>
      <c r="CS78" s="207">
        <f t="shared" ca="1" si="341"/>
        <v>0</v>
      </c>
      <c r="CT78" s="391">
        <f t="shared" si="956"/>
        <v>690</v>
      </c>
      <c r="CU78" s="391">
        <f ca="1">CI78+IF($T78="",CQ78)</f>
        <v>7980.5400000000009</v>
      </c>
      <c r="CV78" s="391">
        <f t="shared" ca="1" si="761"/>
        <v>7980.5400000000009</v>
      </c>
      <c r="CW78" s="886">
        <f t="shared" ca="1" si="345"/>
        <v>5.0048421232844427E-2</v>
      </c>
      <c r="CX78" s="1007" t="str">
        <f t="shared" ca="1" si="960"/>
        <v>V</v>
      </c>
    </row>
    <row r="79" spans="1:102" collapsed="1" x14ac:dyDescent="0.2">
      <c r="A79" s="346"/>
      <c r="B79" s="346" t="s">
        <v>463</v>
      </c>
      <c r="C79" s="346"/>
      <c r="D79" s="347"/>
      <c r="E79" s="348"/>
      <c r="F79" s="346"/>
      <c r="G79" s="349"/>
      <c r="H79" s="1750"/>
      <c r="I79" s="1750"/>
      <c r="J79" s="1750"/>
      <c r="K79" s="1750"/>
      <c r="L79" s="1750"/>
      <c r="M79" s="1785"/>
      <c r="N79" s="1134">
        <f>SUM(N$80:N$81)</f>
        <v>7.5000000000000011E-2</v>
      </c>
      <c r="O79" s="1134"/>
      <c r="P79" s="351">
        <f t="shared" ca="1" si="654"/>
        <v>5.5446648779254745E-2</v>
      </c>
      <c r="Q79" s="421"/>
      <c r="R79" s="421"/>
      <c r="S79" s="871"/>
      <c r="T79" s="871"/>
      <c r="U79" s="353"/>
      <c r="V79" s="421">
        <f>COUNTIF(V80:V81,"&lt;&gt;0")</f>
        <v>1</v>
      </c>
      <c r="W79" s="346"/>
      <c r="X79" s="873"/>
      <c r="Y79" s="873"/>
      <c r="Z79" s="1037"/>
      <c r="AA79" s="357"/>
      <c r="AB79" s="359"/>
      <c r="AC79" s="1135"/>
      <c r="AD79" s="359"/>
      <c r="AE79" s="360">
        <f ca="1">SUM(AE$80:AE$81)</f>
        <v>37233.4</v>
      </c>
      <c r="AF79" s="361">
        <f t="shared" ca="1" si="292"/>
        <v>5.2958901595429445E-2</v>
      </c>
      <c r="AG79" s="362"/>
      <c r="AH79" s="359"/>
      <c r="AI79" s="360">
        <f ca="1">SUM(AI$80:AI$81)</f>
        <v>15496.262358424065</v>
      </c>
      <c r="AJ79" s="363">
        <f ca="1">IFERROR(AI79/AA$4,0)</f>
        <v>2.2041098404570556E-2</v>
      </c>
      <c r="AK79" s="362"/>
      <c r="AL79" s="359"/>
      <c r="AM79" s="360">
        <f ca="1">SUM(AM$80:AM$81)</f>
        <v>18260.0046</v>
      </c>
      <c r="AN79" s="363">
        <f t="shared" ca="1" si="299"/>
        <v>2.5972105334014325E-2</v>
      </c>
      <c r="AO79" s="359"/>
      <c r="AP79" s="359"/>
      <c r="AQ79" s="360">
        <f ca="1">SUM(AQ$80:AQ$81)</f>
        <v>37233.4</v>
      </c>
      <c r="AR79" s="876">
        <f t="shared" ca="1" si="26"/>
        <v>5.2958901595429445E-2</v>
      </c>
      <c r="AS79" s="1007" t="str">
        <f t="shared" ca="1" si="957"/>
        <v>V</v>
      </c>
      <c r="AT79" s="357"/>
      <c r="AU79" s="359"/>
      <c r="AV79" s="1135"/>
      <c r="AW79" s="359"/>
      <c r="AX79" s="360">
        <f ca="1">SUM(AX$80:AX$81)</f>
        <v>69233.350000000006</v>
      </c>
      <c r="AY79" s="361">
        <f t="shared" ca="1" si="307"/>
        <v>5.9620318905265042E-2</v>
      </c>
      <c r="AZ79" s="362"/>
      <c r="BA79" s="359"/>
      <c r="BB79" s="360">
        <f ca="1">SUM(BB$80:BB$81)</f>
        <v>17859.462405964056</v>
      </c>
      <c r="BC79" s="363">
        <f ca="1">IFERROR(BB79/AT$4,0)</f>
        <v>1.5379681094734964E-2</v>
      </c>
      <c r="BD79" s="362"/>
      <c r="BE79" s="359"/>
      <c r="BF79" s="360">
        <f ca="1">SUM(BF$80:BF$81)</f>
        <v>26375.5622</v>
      </c>
      <c r="BG79" s="363">
        <f t="shared" ca="1" si="314"/>
        <v>2.2713322837471447E-2</v>
      </c>
      <c r="BH79" s="359"/>
      <c r="BI79" s="359"/>
      <c r="BJ79" s="360">
        <f ca="1">SUM(BJ$80:BJ$81)</f>
        <v>69233.350000000006</v>
      </c>
      <c r="BK79" s="876">
        <f t="shared" ca="1" si="72"/>
        <v>5.9620318905265042E-2</v>
      </c>
      <c r="BL79" s="1007" t="str">
        <f t="shared" ca="1" si="958"/>
        <v>V</v>
      </c>
      <c r="BM79" s="357"/>
      <c r="BN79" s="359"/>
      <c r="BO79" s="1135"/>
      <c r="BP79" s="359"/>
      <c r="BQ79" s="360">
        <f ca="1">SUM(BQ$80:BQ$81)</f>
        <v>31960.000000000004</v>
      </c>
      <c r="BR79" s="361">
        <f t="shared" ca="1" si="6"/>
        <v>5.0547551410877051E-2</v>
      </c>
      <c r="BS79" s="362"/>
      <c r="BT79" s="359"/>
      <c r="BU79" s="360">
        <f ca="1">SUM(BU$80:BU$81)</f>
        <v>15460.694634957192</v>
      </c>
      <c r="BV79" s="363">
        <f ca="1">IFERROR(BU79/BM$4,0)</f>
        <v>2.445244858912295E-2</v>
      </c>
      <c r="BW79" s="362"/>
      <c r="BX79" s="359"/>
      <c r="BY79" s="360">
        <f ca="1">SUM(BY$80:BY$81)</f>
        <v>16231.115199999998</v>
      </c>
      <c r="BZ79" s="363">
        <f t="shared" ca="1" si="7"/>
        <v>2.5670936483975837E-2</v>
      </c>
      <c r="CA79" s="359"/>
      <c r="CB79" s="359"/>
      <c r="CC79" s="360">
        <f ca="1">SUM(CC$80:CC$81)</f>
        <v>31960.000000000004</v>
      </c>
      <c r="CD79" s="876">
        <f t="shared" ca="1" si="76"/>
        <v>5.0547551410877051E-2</v>
      </c>
      <c r="CE79" s="1007" t="str">
        <f t="shared" ca="1" si="959"/>
        <v>V</v>
      </c>
      <c r="CF79" s="357"/>
      <c r="CG79" s="359"/>
      <c r="CH79" s="1135"/>
      <c r="CI79" s="359"/>
      <c r="CJ79" s="360">
        <f ca="1">SUM(CJ$80:CJ$81)</f>
        <v>7790.2500000000009</v>
      </c>
      <c r="CK79" s="361">
        <f t="shared" ca="1" si="334"/>
        <v>4.8855054107762919E-2</v>
      </c>
      <c r="CL79" s="362"/>
      <c r="CM79" s="359"/>
      <c r="CN79" s="360">
        <f ca="1">SUM(CN$80:CN$81)</f>
        <v>-1411.9948595459416</v>
      </c>
      <c r="CO79" s="363">
        <f ca="1">IFERROR(CN79/CF$4,0)</f>
        <v>-8.8550541077629177E-3</v>
      </c>
      <c r="CP79" s="362"/>
      <c r="CQ79" s="359"/>
      <c r="CR79" s="360">
        <f ca="1">SUM(CR$80:CR$81)</f>
        <v>4057.7787999999996</v>
      </c>
      <c r="CS79" s="363">
        <f t="shared" ca="1" si="341"/>
        <v>2.5447579067595167E-2</v>
      </c>
      <c r="CT79" s="359"/>
      <c r="CU79" s="359"/>
      <c r="CV79" s="360">
        <f ca="1">SUM(CV$80:CV$81)</f>
        <v>7790.2500000000009</v>
      </c>
      <c r="CW79" s="876">
        <f t="shared" ca="1" si="345"/>
        <v>4.8855054107762919E-2</v>
      </c>
      <c r="CX79" s="1007" t="str">
        <f t="shared" ca="1" si="960"/>
        <v>V</v>
      </c>
    </row>
    <row r="80" spans="1:102" hidden="1" outlineLevel="1" x14ac:dyDescent="0.2">
      <c r="A80" s="367"/>
      <c r="B80" s="367"/>
      <c r="C80" s="367" t="str">
        <f t="shared" ref="C80:E81" ca="1" si="1077">OFFSET(Origine,MATCH($F80,Descrizioni,0),MATCH(C$16,Intestazioni,0)-1,1,1)</f>
        <v>IE00B52MJY50:USD</v>
      </c>
      <c r="D80" s="368" t="str">
        <f t="shared" ca="1" si="1077"/>
        <v>IE00B52MJY50</v>
      </c>
      <c r="E80" s="369" t="str">
        <f t="shared" ca="1" si="1077"/>
        <v>10737120</v>
      </c>
      <c r="F80" s="367" t="s">
        <v>770</v>
      </c>
      <c r="G80" s="414"/>
      <c r="H80" s="1683" t="str">
        <f ca="1">HYPERLINK(OFFSET(Origine,MATCH($F80,Descrizioni,0),MATCH(H$16,Intestazioni,0)-1,1,1),"")</f>
        <v></v>
      </c>
      <c r="I80" s="1683" t="str">
        <f ca="1">HYPERLINK(OFFSET(Origine,MATCH($F80,Descrizioni,0),MATCH(I$16,Intestazioni,0)-1,1,1),"i")</f>
        <v>i</v>
      </c>
      <c r="J80" s="1713" t="str">
        <f t="shared" ref="J80:K81" ca="1" si="1078">HYPERLINK(OFFSET(Origine,MATCH($F80,Descrizioni,0),MATCH(J$16,Intestazioni,0)-1,1,1),"")</f>
        <v></v>
      </c>
      <c r="K80" s="1716" t="str">
        <f t="shared" ca="1" si="1078"/>
        <v></v>
      </c>
      <c r="L80" s="1717" t="str">
        <f ca="1">IFERROR(HYPERLINK("https://www.marketscreener.com/mods_a/charts/TV/inc_dyna_graph.php?c="&amp;OFFSET(Origine,MATCH($F80,Descrizioni,0),MATCH(L$16,Intestazioni,0)-1,1,1)&amp;"&amp;style=TradingView.CANDLES&amp;showAT=1",""),"")</f>
        <v></v>
      </c>
      <c r="M80" s="1786" t="str">
        <f ca="1">(OFFSET(Origine,MATCH($F80,Descrizioni,0),MATCH(M$16,Intestazioni,0)-1,1,1))</f>
        <v>Unit</v>
      </c>
      <c r="N80" s="1136">
        <v>2.5000000000000001E-2</v>
      </c>
      <c r="O80" s="1136"/>
      <c r="P80" s="418">
        <f t="shared" ca="1" si="654"/>
        <v>0</v>
      </c>
      <c r="Q80" s="391">
        <f>SUMIF($AA$16:$CW$16,"I_Pos",$AA80:$CW80)</f>
        <v>0</v>
      </c>
      <c r="R80" s="391">
        <f ca="1">SUMIF($AA$16:$CW$16,"P_Pos",$AA80:$CW80)</f>
        <v>307.62834977491514</v>
      </c>
      <c r="S80" s="883"/>
      <c r="T80" s="883" t="s">
        <v>4446</v>
      </c>
      <c r="U80" s="375">
        <f ca="1">OFFSET(Origine,MATCH($C80,smo_ids,0),MATCH(U$16,Intestazioni,0)-1,1,1)</f>
        <v>-2.8480620794980899E-2</v>
      </c>
      <c r="V80" s="391">
        <f>SUMIF($AA$16:$CW$16,"O_Pos",$AA80:$CW80)</f>
        <v>320</v>
      </c>
      <c r="W80" s="367" t="str">
        <f ca="1">OFFSET(Origine,MATCH($F80,Descrizioni,0),MATCH(W$16,Intestazioni,0)-1,1,1)</f>
        <v>USD</v>
      </c>
      <c r="X80" s="887">
        <f t="shared" ref="X80:Y81" ca="1" si="1079">_xlfn.NUMBERVALUE(OFFSET(Origine,MATCH($F80,Descrizioni,0),MATCH(X$16,Intestazioni,0)-1,1,1))</f>
        <v>235.37</v>
      </c>
      <c r="Y80" s="1041">
        <f t="shared" ca="1" si="1079"/>
        <v>0</v>
      </c>
      <c r="Z80" s="1042">
        <f ca="1">_xlfn.NUMBERVALUE(OFFSET(Origine,MATCH(W80&amp;"/"&amp;MRif,LUKB_Name,0),MATCH("Price",Intestazioni,0)-1,1,1))</f>
        <v>0.86199999999999999</v>
      </c>
      <c r="AA80" s="197"/>
      <c r="AB80" s="312" t="str">
        <f ca="1">IFERROR($X80/AC80-1,"")</f>
        <v/>
      </c>
      <c r="AC80" s="411"/>
      <c r="AD80" s="199">
        <f ca="1">AA80*$X80</f>
        <v>0</v>
      </c>
      <c r="AE80" s="199">
        <f ca="1">AD80*$Z80</f>
        <v>0</v>
      </c>
      <c r="AF80" s="216">
        <f ca="1">IFERROR(AE80/AA$4,0)</f>
        <v>0</v>
      </c>
      <c r="AG80" s="202">
        <f ca="1">AH80/$X80</f>
        <v>86.631405928162906</v>
      </c>
      <c r="AH80" s="203">
        <f ca="1">AI80/$Z80</f>
        <v>20390.434013311704</v>
      </c>
      <c r="AI80" s="203">
        <f ca="1">AJ80*AA$4</f>
        <v>17576.554119474687</v>
      </c>
      <c r="AJ80" s="204">
        <f ca="1">$N80-AF80</f>
        <v>2.5000000000000001E-2</v>
      </c>
      <c r="AK80" s="205">
        <v>90</v>
      </c>
      <c r="AL80" s="206">
        <f ca="1">AK80*$X80</f>
        <v>21183.3</v>
      </c>
      <c r="AM80" s="206">
        <f ca="1">AL80*$Z80</f>
        <v>18260.0046</v>
      </c>
      <c r="AN80" s="207">
        <f ca="1">IFERROR(AM80/AA$4,0)</f>
        <v>2.5972105334014325E-2</v>
      </c>
      <c r="AO80" s="391">
        <f>AA80+AK80</f>
        <v>90</v>
      </c>
      <c r="AP80" s="391">
        <f t="shared" ref="AP80" ca="1" si="1080">AD80+IF($T80="",AL80)</f>
        <v>0</v>
      </c>
      <c r="AQ80" s="391">
        <f ca="1">AP80*$Z80</f>
        <v>0</v>
      </c>
      <c r="AR80" s="886">
        <f t="shared" ref="AR80" ca="1" si="1081">IFERROR(AQ80/AA$4,0)</f>
        <v>0</v>
      </c>
      <c r="AS80" s="1007" t="str">
        <f t="shared" ref="AS80" ca="1" si="1082">IF(SUM(AF80,AN80,AR80)&lt;&gt;0,"V","")</f>
        <v>V</v>
      </c>
      <c r="AT80" s="197"/>
      <c r="AU80" s="312" t="str">
        <f ca="1">IFERROR($X80/AV80-1,"")</f>
        <v/>
      </c>
      <c r="AV80" s="411"/>
      <c r="AW80" s="199">
        <f ca="1">AT80*$X80</f>
        <v>0</v>
      </c>
      <c r="AX80" s="199">
        <f ca="1">AW80*$Z80</f>
        <v>0</v>
      </c>
      <c r="AY80" s="216">
        <f ca="1">IFERROR(AX80/AT$4,0)</f>
        <v>0</v>
      </c>
      <c r="AZ80" s="202">
        <f ca="1">BA80/$X80</f>
        <v>143.08782661417959</v>
      </c>
      <c r="BA80" s="203">
        <f ca="1">BB80/$Z80</f>
        <v>33678.581750179452</v>
      </c>
      <c r="BB80" s="203">
        <f ca="1">BC80*AT$4</f>
        <v>29030.937468654687</v>
      </c>
      <c r="BC80" s="204">
        <f ca="1">$N80-AY80</f>
        <v>2.5000000000000001E-2</v>
      </c>
      <c r="BD80" s="205">
        <v>130</v>
      </c>
      <c r="BE80" s="206">
        <f ca="1">BD80*$X80</f>
        <v>30598.100000000002</v>
      </c>
      <c r="BF80" s="206">
        <f ca="1">BE80*$Z80</f>
        <v>26375.5622</v>
      </c>
      <c r="BG80" s="207">
        <f ca="1">IFERROR(BF80/AT$4,0)</f>
        <v>2.2713322837471447E-2</v>
      </c>
      <c r="BH80" s="391">
        <f>AT80+BD80</f>
        <v>130</v>
      </c>
      <c r="BI80" s="391">
        <f t="shared" ref="BI80" ca="1" si="1083">AW80+IF($T80="",BE80)</f>
        <v>0</v>
      </c>
      <c r="BJ80" s="391">
        <f ca="1">BI80*$Z80</f>
        <v>0</v>
      </c>
      <c r="BK80" s="886">
        <f t="shared" ref="BK80" ca="1" si="1084">IFERROR(BJ80/AT$4,0)</f>
        <v>0</v>
      </c>
      <c r="BL80" s="1007" t="str">
        <f t="shared" ref="BL80" ca="1" si="1085">IF(SUM(AY80,BG80,BK80)&lt;&gt;0,"V","")</f>
        <v>V</v>
      </c>
      <c r="BM80" s="197"/>
      <c r="BN80" s="312" t="str">
        <f ca="1">IFERROR($X80/BO80-1,"")</f>
        <v/>
      </c>
      <c r="BO80" s="411"/>
      <c r="BP80" s="199">
        <f ca="1">BM80*$X80</f>
        <v>0</v>
      </c>
      <c r="BQ80" s="199">
        <f ca="1">BP80*$Z80</f>
        <v>0</v>
      </c>
      <c r="BR80" s="216">
        <f t="shared" ref="BR80" ca="1" si="1086">IFERROR(BQ80/BM$4,0)</f>
        <v>0</v>
      </c>
      <c r="BS80" s="202">
        <f ca="1">BT80/$X80</f>
        <v>77.909117232572655</v>
      </c>
      <c r="BT80" s="203">
        <f ca="1">BU80/$Z80</f>
        <v>18337.468923030625</v>
      </c>
      <c r="BU80" s="203">
        <f ca="1">BV80*BM$4</f>
        <v>15806.898211652398</v>
      </c>
      <c r="BV80" s="204">
        <f ca="1">$N80-BR80</f>
        <v>2.5000000000000001E-2</v>
      </c>
      <c r="BW80" s="205">
        <v>80</v>
      </c>
      <c r="BX80" s="206">
        <f ca="1">BW80*$X80</f>
        <v>18829.599999999999</v>
      </c>
      <c r="BY80" s="206">
        <f ca="1">BX80*$Z80</f>
        <v>16231.115199999998</v>
      </c>
      <c r="BZ80" s="207">
        <f t="shared" ref="BZ80" ca="1" si="1087">IFERROR(BY80/BM$4,0)</f>
        <v>2.5670936483975837E-2</v>
      </c>
      <c r="CA80" s="391">
        <f>BM80+BW80</f>
        <v>80</v>
      </c>
      <c r="CB80" s="391">
        <f t="shared" ref="CB80" ca="1" si="1088">BP80+IF($T80="",BX80)</f>
        <v>0</v>
      </c>
      <c r="CC80" s="391">
        <f ca="1">CB80*$Z80</f>
        <v>0</v>
      </c>
      <c r="CD80" s="886">
        <f t="shared" ref="CD80" ca="1" si="1089">IFERROR(CC80/BM$4,0)</f>
        <v>0</v>
      </c>
      <c r="CE80" s="1007" t="str">
        <f t="shared" ref="CE80" ca="1" si="1090">IF(SUM(BR80,BZ80,CD80)&lt;&gt;0,"V","")</f>
        <v>V</v>
      </c>
      <c r="CF80" s="197"/>
      <c r="CG80" s="312" t="str">
        <f ca="1">IFERROR($X80/CH80-1,"")</f>
        <v/>
      </c>
      <c r="CH80" s="411"/>
      <c r="CI80" s="199">
        <f ca="1">CF80*$X80</f>
        <v>0</v>
      </c>
      <c r="CJ80" s="199">
        <f ca="1">CI80*$Z80</f>
        <v>0</v>
      </c>
      <c r="CK80" s="216">
        <f t="shared" ref="CK80" ca="1" si="1091">IFERROR(CJ80/CF$4,0)</f>
        <v>0</v>
      </c>
      <c r="CL80" s="202">
        <f ca="1">CM80/$X80</f>
        <v>0</v>
      </c>
      <c r="CM80" s="203">
        <f ca="1">CN80/$Z80</f>
        <v>0</v>
      </c>
      <c r="CN80" s="203">
        <f ca="1">CO80*CF$4</f>
        <v>0</v>
      </c>
      <c r="CO80" s="204">
        <f ca="1">$O80-CK80</f>
        <v>0</v>
      </c>
      <c r="CP80" s="205">
        <v>20</v>
      </c>
      <c r="CQ80" s="206">
        <f ca="1">CP80*$X80</f>
        <v>4707.3999999999996</v>
      </c>
      <c r="CR80" s="206">
        <f ca="1">CQ80*$Z80</f>
        <v>4057.7787999999996</v>
      </c>
      <c r="CS80" s="207">
        <f t="shared" ref="CS80" ca="1" si="1092">IFERROR(CR80/CF$4,0)</f>
        <v>2.5447579067595167E-2</v>
      </c>
      <c r="CT80" s="391">
        <f>CF80+CP80</f>
        <v>20</v>
      </c>
      <c r="CU80" s="391">
        <f t="shared" ref="CU80" ca="1" si="1093">CI80+IF($T80="",CQ80)</f>
        <v>0</v>
      </c>
      <c r="CV80" s="391">
        <f ca="1">CU80*$Z80</f>
        <v>0</v>
      </c>
      <c r="CW80" s="886">
        <f t="shared" ref="CW80" ca="1" si="1094">IFERROR(CV80/CF$4,0)</f>
        <v>0</v>
      </c>
      <c r="CX80" s="1007" t="str">
        <f t="shared" ref="CX80" ca="1" si="1095">IF(SUM(CK80,CS80,CW80)&lt;&gt;0,"V","")</f>
        <v>V</v>
      </c>
    </row>
    <row r="81" spans="1:102" hidden="1" outlineLevel="1" x14ac:dyDescent="0.2">
      <c r="A81" s="367"/>
      <c r="B81" s="367"/>
      <c r="C81" s="367" t="str">
        <f t="shared" ca="1" si="1077"/>
        <v>LU1169822266:EUR</v>
      </c>
      <c r="D81" s="368" t="str">
        <f t="shared" ca="1" si="1077"/>
        <v>LU1169822266</v>
      </c>
      <c r="E81" s="369" t="str">
        <f t="shared" ca="1" si="1077"/>
        <v>26751446</v>
      </c>
      <c r="F81" s="367" t="s">
        <v>487</v>
      </c>
      <c r="G81" s="414"/>
      <c r="H81" s="1683" t="str">
        <f ca="1">HYPERLINK(OFFSET(Origine,MATCH($F81,Descrizioni,0),MATCH(H$16,Intestazioni,0)-1,1,1),"")</f>
        <v></v>
      </c>
      <c r="I81" s="1683" t="str">
        <f ca="1">HYPERLINK(OFFSET(Origine,MATCH($F81,Descrizioni,0),MATCH(I$16,Intestazioni,0)-1,1,1),"i")</f>
        <v>i</v>
      </c>
      <c r="J81" s="1713" t="str">
        <f t="shared" ca="1" si="1078"/>
        <v></v>
      </c>
      <c r="K81" s="1716" t="str">
        <f t="shared" ca="1" si="1078"/>
        <v></v>
      </c>
      <c r="L81" s="1717" t="str">
        <f ca="1">IFERROR(HYPERLINK("https://www.marketscreener.com/mods_a/charts/TV/inc_dyna_graph.php?c="&amp;OFFSET(Origine,MATCH($F81,Descrizioni,0),MATCH(L$16,Intestazioni,0)-1,1,1)&amp;"&amp;style=TradingView.CANDLES&amp;showAT=1",""),"")</f>
        <v></v>
      </c>
      <c r="M81" s="1786" t="str">
        <f ca="1">(OFFSET(Origine,MATCH($F81,Descrizioni,0),MATCH(M$16,Intestazioni,0)-1,1,1))</f>
        <v>Unit</v>
      </c>
      <c r="N81" s="1136">
        <v>0.05</v>
      </c>
      <c r="O81" s="1136">
        <v>0.04</v>
      </c>
      <c r="P81" s="418">
        <v>3.5000000000000003E-2</v>
      </c>
      <c r="Q81" s="391">
        <f>SUMIF($AA$16:$CW$16,"I_Pos",$AA81:$CW81)</f>
        <v>3660</v>
      </c>
      <c r="R81" s="391">
        <f ca="1">SUMIF($AA$16:$CW$16,"P_Pos",$AA81:$CW81)</f>
        <v>-375.71877997452827</v>
      </c>
      <c r="S81" s="883"/>
      <c r="T81" s="883"/>
      <c r="U81" s="375">
        <f ca="1">OFFSET(Origine,MATCH($C81,smo_ids,0),MATCH(U$16,Intestazioni,0)-1,1,1)</f>
        <v>-2.3824068417837602E-2</v>
      </c>
      <c r="V81" s="391">
        <f>SUMIF($AA$16:$CW$16,"O_Pos",$AA81:$CW81)</f>
        <v>0</v>
      </c>
      <c r="W81" s="367" t="str">
        <f ca="1">OFFSET(Origine,MATCH($F81,Descrizioni,0),MATCH(W$16,Intestazioni,0)-1,1,1)</f>
        <v>EUR</v>
      </c>
      <c r="X81" s="887">
        <f t="shared" ca="1" si="1079"/>
        <v>39.950000000000003</v>
      </c>
      <c r="Y81" s="1041">
        <f t="shared" ca="1" si="1079"/>
        <v>0</v>
      </c>
      <c r="Z81" s="1042">
        <f ca="1">_xlfn.NUMBERVALUE(OFFSET(Origine,MATCH(W81&amp;"/"&amp;MRif,LUKB_Name,0),MATCH("Price",Intestazioni,0)-1,1,1))</f>
        <v>1</v>
      </c>
      <c r="AA81" s="197">
        <v>932</v>
      </c>
      <c r="AB81" s="312">
        <f ca="1">IFERROR($X81/AC81-1,"")</f>
        <v>1.6991054779342218</v>
      </c>
      <c r="AC81" s="411">
        <v>14.8012</v>
      </c>
      <c r="AD81" s="199">
        <f ca="1">AA81*$X81</f>
        <v>37233.4</v>
      </c>
      <c r="AE81" s="199">
        <f ca="1">AD81*$Z81</f>
        <v>37233.4</v>
      </c>
      <c r="AF81" s="216">
        <f t="shared" ca="1" si="292"/>
        <v>5.2958901595429445E-2</v>
      </c>
      <c r="AG81" s="202">
        <f ca="1">AH81/$X81</f>
        <v>-52.072384506899205</v>
      </c>
      <c r="AH81" s="203">
        <f ca="1">AI81/$Z81</f>
        <v>-2080.2917610506233</v>
      </c>
      <c r="AI81" s="203">
        <f ca="1">AJ81*AA$4</f>
        <v>-2080.2917610506233</v>
      </c>
      <c r="AJ81" s="204">
        <f ca="1">$N81-AF81</f>
        <v>-2.9589015954294418E-3</v>
      </c>
      <c r="AK81" s="205"/>
      <c r="AL81" s="206">
        <f ca="1">AK81*$X81</f>
        <v>0</v>
      </c>
      <c r="AM81" s="206">
        <f ca="1">AL81*$Z81</f>
        <v>0</v>
      </c>
      <c r="AN81" s="207">
        <f t="shared" ca="1" si="299"/>
        <v>0</v>
      </c>
      <c r="AO81" s="391">
        <f>AA81+AK81</f>
        <v>932</v>
      </c>
      <c r="AP81" s="391">
        <f t="shared" ref="AP81:AP118" ca="1" si="1096">AD81+IF($T81="",AL81)</f>
        <v>37233.4</v>
      </c>
      <c r="AQ81" s="391">
        <f ca="1">AP81*$Z81</f>
        <v>37233.4</v>
      </c>
      <c r="AR81" s="886">
        <f t="shared" ca="1" si="26"/>
        <v>5.2958901595429445E-2</v>
      </c>
      <c r="AS81" s="1007" t="str">
        <f t="shared" ca="1" si="957"/>
        <v>V</v>
      </c>
      <c r="AT81" s="197">
        <v>1733</v>
      </c>
      <c r="AU81" s="312">
        <f ca="1">IFERROR($X81/AV81-1,"")</f>
        <v>1.7553814427301382</v>
      </c>
      <c r="AV81" s="411">
        <v>14.498900000000001</v>
      </c>
      <c r="AW81" s="199">
        <f ca="1">AT81*$X81</f>
        <v>69233.350000000006</v>
      </c>
      <c r="AX81" s="199">
        <f ca="1">AW81*$Z81</f>
        <v>69233.350000000006</v>
      </c>
      <c r="AY81" s="216">
        <f t="shared" ca="1" si="307"/>
        <v>5.9620318905265042E-2</v>
      </c>
      <c r="AZ81" s="202">
        <f ca="1">BA81/$X81</f>
        <v>-279.63642209488444</v>
      </c>
      <c r="BA81" s="203">
        <f ca="1">BB81/$Z81</f>
        <v>-11171.475062690633</v>
      </c>
      <c r="BB81" s="203">
        <f ca="1">BC81*AT$4</f>
        <v>-11171.475062690633</v>
      </c>
      <c r="BC81" s="204">
        <f ca="1">$N81-AY81</f>
        <v>-9.6203189052650392E-3</v>
      </c>
      <c r="BD81" s="205"/>
      <c r="BE81" s="206">
        <f ca="1">BD81*$X81</f>
        <v>0</v>
      </c>
      <c r="BF81" s="206">
        <f ca="1">BE81*$Z81</f>
        <v>0</v>
      </c>
      <c r="BG81" s="207">
        <f t="shared" ca="1" si="314"/>
        <v>0</v>
      </c>
      <c r="BH81" s="391">
        <f>AT81+BD81</f>
        <v>1733</v>
      </c>
      <c r="BI81" s="391">
        <f t="shared" ref="BI81:BI118" ca="1" si="1097">AW81+IF($T81="",BE81)</f>
        <v>69233.350000000006</v>
      </c>
      <c r="BJ81" s="391">
        <f ca="1">BI81*$Z81</f>
        <v>69233.350000000006</v>
      </c>
      <c r="BK81" s="886">
        <f t="shared" ca="1" si="72"/>
        <v>5.9620318905265042E-2</v>
      </c>
      <c r="BL81" s="1007" t="str">
        <f t="shared" ca="1" si="958"/>
        <v>V</v>
      </c>
      <c r="BM81" s="197">
        <f>1011+-211</f>
        <v>800</v>
      </c>
      <c r="BN81" s="312">
        <f ca="1">IFERROR($X81/BO81-1,"")</f>
        <v>2.1104017440049834</v>
      </c>
      <c r="BO81" s="411">
        <v>12.843999999999999</v>
      </c>
      <c r="BP81" s="199">
        <f ca="1">BM81*$X81</f>
        <v>31960.000000000004</v>
      </c>
      <c r="BQ81" s="199">
        <f ca="1">BP81*$Z81</f>
        <v>31960.000000000004</v>
      </c>
      <c r="BR81" s="216">
        <f t="shared" ref="BR81:BR118" ca="1" si="1098">IFERROR(BQ81/BM$4,0)</f>
        <v>5.0547551410877051E-2</v>
      </c>
      <c r="BS81" s="202">
        <f ca="1">BT81/$X81</f>
        <v>-8.6659218196547236</v>
      </c>
      <c r="BT81" s="203">
        <f ca="1">BU81/$Z81</f>
        <v>-346.20357669520627</v>
      </c>
      <c r="BU81" s="203">
        <f ca="1">BV81*BM$4</f>
        <v>-346.20357669520627</v>
      </c>
      <c r="BV81" s="204">
        <f ca="1">$N81-BR81</f>
        <v>-5.4755141087704795E-4</v>
      </c>
      <c r="BW81" s="205"/>
      <c r="BX81" s="206">
        <f ca="1">BW81*$X81</f>
        <v>0</v>
      </c>
      <c r="BY81" s="206">
        <f ca="1">BX81*$Z81</f>
        <v>0</v>
      </c>
      <c r="BZ81" s="207">
        <f t="shared" ref="BZ81:BZ118" ca="1" si="1099">IFERROR(BY81/BM$4,0)</f>
        <v>0</v>
      </c>
      <c r="CA81" s="391">
        <f>BM81+BW81</f>
        <v>800</v>
      </c>
      <c r="CB81" s="391">
        <f t="shared" ref="CB81:CB118" ca="1" si="1100">BP81+IF($T81="",BX81)</f>
        <v>31960.000000000004</v>
      </c>
      <c r="CC81" s="391">
        <f ca="1">CB81*$Z81</f>
        <v>31960.000000000004</v>
      </c>
      <c r="CD81" s="886">
        <f t="shared" ca="1" si="76"/>
        <v>5.0547551410877051E-2</v>
      </c>
      <c r="CE81" s="1007" t="str">
        <f t="shared" ca="1" si="959"/>
        <v>V</v>
      </c>
      <c r="CF81" s="197">
        <f>195</f>
        <v>195</v>
      </c>
      <c r="CG81" s="312">
        <f ca="1">IFERROR($X81/CH81-1,"")</f>
        <v>0.47471391657438189</v>
      </c>
      <c r="CH81" s="411">
        <v>27.09</v>
      </c>
      <c r="CI81" s="199">
        <f ca="1">CF81*$X81</f>
        <v>7790.2500000000009</v>
      </c>
      <c r="CJ81" s="199">
        <f ca="1">CI81*$Z81</f>
        <v>7790.2500000000009</v>
      </c>
      <c r="CK81" s="216">
        <f t="shared" ca="1" si="334"/>
        <v>4.8855054107762919E-2</v>
      </c>
      <c r="CL81" s="202">
        <f ca="1">CM81/$X81</f>
        <v>-35.344051553089898</v>
      </c>
      <c r="CM81" s="203">
        <f ca="1">CN81/$Z81</f>
        <v>-1411.9948595459416</v>
      </c>
      <c r="CN81" s="203">
        <f ca="1">CO81*CF$4</f>
        <v>-1411.9948595459416</v>
      </c>
      <c r="CO81" s="204">
        <f ca="1">$O81-CK81</f>
        <v>-8.8550541077629177E-3</v>
      </c>
      <c r="CP81" s="205"/>
      <c r="CQ81" s="206">
        <f ca="1">CP81*$X81</f>
        <v>0</v>
      </c>
      <c r="CR81" s="206">
        <f ca="1">CQ81*$Z81</f>
        <v>0</v>
      </c>
      <c r="CS81" s="207">
        <f t="shared" ca="1" si="341"/>
        <v>0</v>
      </c>
      <c r="CT81" s="391">
        <f>CF81+CP81</f>
        <v>195</v>
      </c>
      <c r="CU81" s="391">
        <f t="shared" ref="CU81:CU118" ca="1" si="1101">CI81+IF($T81="",CQ81)</f>
        <v>7790.2500000000009</v>
      </c>
      <c r="CV81" s="391">
        <f ca="1">CU81*$Z81</f>
        <v>7790.2500000000009</v>
      </c>
      <c r="CW81" s="886">
        <f t="shared" ca="1" si="345"/>
        <v>4.8855054107762919E-2</v>
      </c>
      <c r="CX81" s="1007" t="str">
        <f t="shared" ca="1" si="960"/>
        <v>V</v>
      </c>
    </row>
    <row r="82" spans="1:102" collapsed="1" x14ac:dyDescent="0.2">
      <c r="A82" s="346"/>
      <c r="B82" s="346" t="s">
        <v>420</v>
      </c>
      <c r="C82" s="346"/>
      <c r="D82" s="347"/>
      <c r="E82" s="348"/>
      <c r="F82" s="346"/>
      <c r="G82" s="349"/>
      <c r="H82" s="1750"/>
      <c r="I82" s="1750"/>
      <c r="J82" s="1750"/>
      <c r="K82" s="1750"/>
      <c r="L82" s="1750"/>
      <c r="M82" s="1785"/>
      <c r="N82" s="1134">
        <f>SUM(N$83:N$91)</f>
        <v>0.05</v>
      </c>
      <c r="O82" s="1134"/>
      <c r="P82" s="351">
        <f t="shared" ca="1" si="654"/>
        <v>6.7754707661417932E-2</v>
      </c>
      <c r="Q82" s="421"/>
      <c r="R82" s="421"/>
      <c r="S82" s="871"/>
      <c r="T82" s="871"/>
      <c r="U82" s="353"/>
      <c r="V82" s="421">
        <f>COUNTIF(V83:V91,"&lt;&gt;0")</f>
        <v>0</v>
      </c>
      <c r="W82" s="346"/>
      <c r="X82" s="873"/>
      <c r="Y82" s="873"/>
      <c r="Z82" s="1037"/>
      <c r="AA82" s="357"/>
      <c r="AB82" s="359"/>
      <c r="AC82" s="1135"/>
      <c r="AD82" s="359"/>
      <c r="AE82" s="360">
        <f ca="1">SUM(AE$83:AE$91)</f>
        <v>48451.256519999995</v>
      </c>
      <c r="AF82" s="361">
        <f t="shared" ca="1" si="292"/>
        <v>6.8914612316296364E-2</v>
      </c>
      <c r="AG82" s="362"/>
      <c r="AH82" s="359"/>
      <c r="AI82" s="360">
        <f ca="1">SUM(AI$83:AI$91)</f>
        <v>-13298.148281050619</v>
      </c>
      <c r="AJ82" s="363">
        <f ca="1">IFERROR(AI82/AA$4,0)</f>
        <v>-1.8914612316296361E-2</v>
      </c>
      <c r="AK82" s="362"/>
      <c r="AL82" s="359"/>
      <c r="AM82" s="360">
        <f ca="1">SUM(AM$83:AM$91)</f>
        <v>0</v>
      </c>
      <c r="AN82" s="363">
        <f t="shared" ca="1" si="299"/>
        <v>0</v>
      </c>
      <c r="AO82" s="359"/>
      <c r="AP82" s="359"/>
      <c r="AQ82" s="360">
        <f ca="1">SUM(AQ$83:AQ$91)</f>
        <v>48451.256519999995</v>
      </c>
      <c r="AR82" s="876">
        <f t="shared" ca="1" si="26"/>
        <v>6.8914612316296364E-2</v>
      </c>
      <c r="AS82" s="1007" t="str">
        <f t="shared" ca="1" si="957"/>
        <v>V</v>
      </c>
      <c r="AT82" s="357"/>
      <c r="AU82" s="359"/>
      <c r="AV82" s="1135"/>
      <c r="AW82" s="359"/>
      <c r="AX82" s="360">
        <f ca="1">SUM(AX$83:AX$91)</f>
        <v>79268.470089999988</v>
      </c>
      <c r="AY82" s="361">
        <f t="shared" ca="1" si="307"/>
        <v>6.8262065404870079E-2</v>
      </c>
      <c r="AZ82" s="362"/>
      <c r="BA82" s="359"/>
      <c r="BB82" s="360">
        <f ca="1">SUM(BB$83:BB$91)</f>
        <v>-21206.595152690625</v>
      </c>
      <c r="BC82" s="363">
        <f ca="1">IFERROR(BB82/AT$4,0)</f>
        <v>-1.826206540487009E-2</v>
      </c>
      <c r="BD82" s="362"/>
      <c r="BE82" s="359"/>
      <c r="BF82" s="360">
        <f ca="1">SUM(BF$83:BF$91)</f>
        <v>0</v>
      </c>
      <c r="BG82" s="363">
        <f t="shared" ca="1" si="314"/>
        <v>0</v>
      </c>
      <c r="BH82" s="359"/>
      <c r="BI82" s="359"/>
      <c r="BJ82" s="360">
        <f ca="1">SUM(BJ$83:BJ$91)</f>
        <v>79268.470089999988</v>
      </c>
      <c r="BK82" s="876">
        <f t="shared" ca="1" si="72"/>
        <v>6.8262065404870079E-2</v>
      </c>
      <c r="BL82" s="1007" t="str">
        <f t="shared" ca="1" si="958"/>
        <v>V</v>
      </c>
      <c r="BM82" s="357"/>
      <c r="BN82" s="359"/>
      <c r="BO82" s="1135"/>
      <c r="BP82" s="359"/>
      <c r="BQ82" s="360">
        <f ca="1">SUM(BQ$83:BQ$91)</f>
        <v>41435.022779999999</v>
      </c>
      <c r="BR82" s="361">
        <f t="shared" ca="1" si="1098"/>
        <v>6.5533133422494103E-2</v>
      </c>
      <c r="BS82" s="362"/>
      <c r="BT82" s="359"/>
      <c r="BU82" s="360">
        <f ca="1">SUM(BU$83:BU$91)</f>
        <v>-9821.2263566951988</v>
      </c>
      <c r="BV82" s="363">
        <f ca="1">IFERROR(BU82/BM$4,0)</f>
        <v>-1.5533133422494093E-2</v>
      </c>
      <c r="BW82" s="362"/>
      <c r="BX82" s="359"/>
      <c r="BY82" s="360">
        <f ca="1">SUM(BY$83:BY$91)</f>
        <v>0</v>
      </c>
      <c r="BZ82" s="363">
        <f t="shared" ca="1" si="1099"/>
        <v>0</v>
      </c>
      <c r="CA82" s="359"/>
      <c r="CB82" s="359"/>
      <c r="CC82" s="360">
        <f ca="1">SUM(CC$83:CC$91)</f>
        <v>41435.022779999999</v>
      </c>
      <c r="CD82" s="876">
        <f t="shared" ca="1" si="76"/>
        <v>6.5533133422494103E-2</v>
      </c>
      <c r="CE82" s="1007" t="str">
        <f t="shared" ca="1" si="959"/>
        <v>V</v>
      </c>
      <c r="CF82" s="357"/>
      <c r="CG82" s="359"/>
      <c r="CH82" s="1135"/>
      <c r="CI82" s="359"/>
      <c r="CJ82" s="360">
        <f ca="1">SUM(CJ$83:CJ$91)</f>
        <v>10334.087</v>
      </c>
      <c r="CK82" s="361">
        <f t="shared" ca="1" si="334"/>
        <v>6.480823844412302E-2</v>
      </c>
      <c r="CL82" s="362"/>
      <c r="CM82" s="359"/>
      <c r="CN82" s="360">
        <f ca="1">SUM(CN$83:CN$91)</f>
        <v>-2361.2680744324257</v>
      </c>
      <c r="CO82" s="363">
        <f ca="1">IFERROR(CN82/CF$4,0)</f>
        <v>-1.4808238444123014E-2</v>
      </c>
      <c r="CP82" s="362"/>
      <c r="CQ82" s="359"/>
      <c r="CR82" s="360">
        <f ca="1">SUM(CR$83:CR$91)</f>
        <v>0</v>
      </c>
      <c r="CS82" s="363">
        <f t="shared" ca="1" si="341"/>
        <v>0</v>
      </c>
      <c r="CT82" s="359"/>
      <c r="CU82" s="359"/>
      <c r="CV82" s="360">
        <f ca="1">SUM(CV$83:CV$91)</f>
        <v>10334.087</v>
      </c>
      <c r="CW82" s="876">
        <f t="shared" ca="1" si="345"/>
        <v>6.480823844412302E-2</v>
      </c>
      <c r="CX82" s="1007" t="str">
        <f t="shared" ca="1" si="960"/>
        <v>V</v>
      </c>
    </row>
    <row r="83" spans="1:102" ht="12.6" hidden="1" customHeight="1" outlineLevel="1" x14ac:dyDescent="0.2">
      <c r="A83" s="367"/>
      <c r="B83" s="367"/>
      <c r="C83" s="367" t="str">
        <f t="shared" ref="C83:C91" ca="1" si="1102">OFFSET(Origine,MATCH($F83,Descrizioni,0),MATCH(C$16,Intestazioni,0)-1,1,1)</f>
        <v>US46138E8003:USD:P</v>
      </c>
      <c r="D83" s="368" t="str">
        <f t="shared" ref="D83:E91" ca="1" si="1103">OFFSET(Origine,MATCH($F83,Descrizioni,0),MATCH(D$16,Intestazioni,0)-1,1,1)</f>
        <v>US46138E8003</v>
      </c>
      <c r="E83" s="369" t="str">
        <f t="shared" ca="1" si="1103"/>
        <v>41970675</v>
      </c>
      <c r="F83" s="367" t="s">
        <v>4254</v>
      </c>
      <c r="G83" s="414"/>
      <c r="H83" s="1683" t="str">
        <f t="shared" ref="H83:H91" ca="1" si="1104">HYPERLINK(OFFSET(Origine,MATCH($F83,Descrizioni,0),MATCH(H$16,Intestazioni,0)-1,1,1),"")</f>
        <v></v>
      </c>
      <c r="I83" s="1683" t="str">
        <f t="shared" ref="I83:I91" ca="1" si="1105">HYPERLINK(OFFSET(Origine,MATCH($F83,Descrizioni,0),MATCH(I$16,Intestazioni,0)-1,1,1),"i")</f>
        <v>i</v>
      </c>
      <c r="J83" s="1713" t="str">
        <f t="shared" ref="J83:K91" ca="1" si="1106">HYPERLINK(OFFSET(Origine,MATCH($F83,Descrizioni,0),MATCH(J$16,Intestazioni,0)-1,1,1),"")</f>
        <v></v>
      </c>
      <c r="K83" s="1716" t="str">
        <f t="shared" ca="1" si="1106"/>
        <v></v>
      </c>
      <c r="L83" s="1717" t="str">
        <f t="shared" ref="L83:L91" ca="1" si="1107">IFERROR(HYPERLINK("https://www.marketscreener.com/mods_a/charts/TV/inc_dyna_graph.php?c="&amp;OFFSET(Origine,MATCH($F83,Descrizioni,0),MATCH(L$16,Intestazioni,0)-1,1,1)&amp;"&amp;style=TradingView.CANDLES&amp;showAT=1",""),"")</f>
        <v></v>
      </c>
      <c r="M83" s="1786" t="str">
        <f t="shared" ref="M83:M91" ca="1" si="1108">(OFFSET(Origine,MATCH($F83,Descrizioni,0),MATCH(M$16,Intestazioni,0)-1,1,1))</f>
        <v>Unit</v>
      </c>
      <c r="N83" s="1136">
        <v>2.5000000000000001E-2</v>
      </c>
      <c r="O83" s="1136">
        <v>2.5000000000000001E-2</v>
      </c>
      <c r="P83" s="418">
        <f t="shared" ca="1" si="654"/>
        <v>2.0691542773915182E-2</v>
      </c>
      <c r="Q83" s="391">
        <f t="shared" ref="Q83:Q91" si="1109">SUMIF($AA$16:$CW$16,"I_Pos",$AA83:$CW83)</f>
        <v>1345</v>
      </c>
      <c r="R83" s="391">
        <f t="shared" ref="R83:R91" ca="1" si="1110">SUMIF($AA$16:$CW$16,"P_Pos",$AA83:$CW83)</f>
        <v>255.31348564966447</v>
      </c>
      <c r="S83" s="883"/>
      <c r="T83" s="883"/>
      <c r="U83" s="375">
        <f t="shared" ref="U83:U91" ca="1" si="1111">OFFSET(Origine,MATCH($C83,smo_ids,0),MATCH(U$16,Intestazioni,0)-1,1,1)</f>
        <v>-5.7470139024867903E-2</v>
      </c>
      <c r="V83" s="391">
        <f t="shared" ref="V83:V91" si="1112">SUMIF($AA$16:$CW$16,"O_Pos",$AA83:$CW83)</f>
        <v>0</v>
      </c>
      <c r="W83" s="367" t="str">
        <f t="shared" ref="W83:W91" ca="1" si="1113">OFFSET(Origine,MATCH($F83,Descrizioni,0),MATCH(W$16,Intestazioni,0)-1,1,1)</f>
        <v>USD</v>
      </c>
      <c r="X83" s="887">
        <f ca="1">_xlfn.NUMBERVALUE(OFFSET(Origine,MATCH($F83,Descrizioni,0),MATCH(X$16,Intestazioni,0)-1,1,1))</f>
        <v>48.134999999999998</v>
      </c>
      <c r="Y83" s="1041">
        <f t="shared" ref="X83:Y91" ca="1" si="1114">_xlfn.NUMBERVALUE(OFFSET(Origine,MATCH($F83,Descrizioni,0),MATCH(Y$16,Intestazioni,0)-1,1,1))</f>
        <v>0</v>
      </c>
      <c r="Z83" s="1042">
        <f t="shared" ref="Z83:Z89" ca="1" si="1115">_xlfn.NUMBERVALUE(OFFSET(Origine,MATCH(W83&amp;"/"&amp;MRif,LUKB_Name,0),MATCH("Price",Intestazioni,0)-1,1,1))</f>
        <v>0.86199999999999999</v>
      </c>
      <c r="AA83" s="197">
        <f>360</f>
        <v>360</v>
      </c>
      <c r="AB83" s="312">
        <f t="shared" ref="AB83:AB89" ca="1" si="1116">IFERROR($X83/AC83-1,"")</f>
        <v>-7.7343300747556132E-2</v>
      </c>
      <c r="AC83" s="411">
        <v>52.17</v>
      </c>
      <c r="AD83" s="199">
        <f t="shared" ref="AD83:AD89" ca="1" si="1117">AA83*$X83</f>
        <v>17328.599999999999</v>
      </c>
      <c r="AE83" s="199">
        <f t="shared" ref="AE83:AE89" ca="1" si="1118">AD83*$Z83</f>
        <v>14937.253199999999</v>
      </c>
      <c r="AF83" s="216">
        <f t="shared" ca="1" si="292"/>
        <v>2.1245992101844406E-2</v>
      </c>
      <c r="AG83" s="202">
        <f t="shared" ref="AG83:AG89" ca="1" si="1119">AH83/$X83</f>
        <v>63.609307433503794</v>
      </c>
      <c r="AH83" s="203">
        <f t="shared" ref="AH83:AH89" ca="1" si="1120">AI83/$Z83</f>
        <v>3061.8340133117049</v>
      </c>
      <c r="AI83" s="203">
        <f t="shared" ref="AI83:AI89" ca="1" si="1121">AJ83*AA$4</f>
        <v>2639.3009194746896</v>
      </c>
      <c r="AJ83" s="204">
        <f t="shared" ref="AJ83:AJ89" ca="1" si="1122">$N83-AF83</f>
        <v>3.7540078981555952E-3</v>
      </c>
      <c r="AK83" s="205"/>
      <c r="AL83" s="206">
        <f t="shared" ref="AL83:AL89" ca="1" si="1123">AK83*$X83</f>
        <v>0</v>
      </c>
      <c r="AM83" s="206">
        <f t="shared" ref="AM83:AM89" ca="1" si="1124">AL83*$Z83</f>
        <v>0</v>
      </c>
      <c r="AN83" s="207">
        <f t="shared" ca="1" si="299"/>
        <v>0</v>
      </c>
      <c r="AO83" s="391">
        <f t="shared" ref="AO83:AO89" si="1125">AA83+AK83</f>
        <v>360</v>
      </c>
      <c r="AP83" s="391">
        <f t="shared" ca="1" si="1096"/>
        <v>17328.599999999999</v>
      </c>
      <c r="AQ83" s="391">
        <f t="shared" ref="AQ83:AQ89" ca="1" si="1126">AP83*$Z83</f>
        <v>14937.253199999999</v>
      </c>
      <c r="AR83" s="886">
        <f t="shared" ca="1" si="26"/>
        <v>2.1245992101844406E-2</v>
      </c>
      <c r="AS83" s="1007" t="str">
        <f t="shared" ca="1" si="957"/>
        <v>V</v>
      </c>
      <c r="AT83" s="197">
        <f>585</f>
        <v>585</v>
      </c>
      <c r="AU83" s="312">
        <f t="shared" ref="AU83:AU89" ca="1" si="1127">IFERROR($X83/AV83-1,"")</f>
        <v>-7.7343300747556132E-2</v>
      </c>
      <c r="AV83" s="411">
        <v>52.17</v>
      </c>
      <c r="AW83" s="199">
        <f t="shared" ref="AW83:AW89" ca="1" si="1128">AT83*$X83</f>
        <v>28158.974999999999</v>
      </c>
      <c r="AX83" s="199">
        <f t="shared" ref="AX83:AX89" ca="1" si="1129">AW83*$Z83</f>
        <v>24273.03645</v>
      </c>
      <c r="AY83" s="216">
        <f t="shared" ca="1" si="307"/>
        <v>2.0902732194067197E-2</v>
      </c>
      <c r="AZ83" s="202">
        <f t="shared" ref="AZ83:AZ89" ca="1" si="1130">BA83/$X83</f>
        <v>114.66929988946617</v>
      </c>
      <c r="BA83" s="203">
        <f t="shared" ref="BA83:BA89" ca="1" si="1131">BB83/$Z83</f>
        <v>5519.6067501794541</v>
      </c>
      <c r="BB83" s="203">
        <f t="shared" ref="BB83:BB89" ca="1" si="1132">BC83*AT$4</f>
        <v>4757.9010186546893</v>
      </c>
      <c r="BC83" s="204">
        <f t="shared" ref="BC83:BC89" ca="1" si="1133">$N83-AY83</f>
        <v>4.0972678059328048E-3</v>
      </c>
      <c r="BD83" s="205"/>
      <c r="BE83" s="206">
        <f t="shared" ref="BE83:BE89" ca="1" si="1134">BD83*$X83</f>
        <v>0</v>
      </c>
      <c r="BF83" s="206">
        <f t="shared" ref="BF83:BF89" ca="1" si="1135">BE83*$Z83</f>
        <v>0</v>
      </c>
      <c r="BG83" s="207">
        <f t="shared" ca="1" si="314"/>
        <v>0</v>
      </c>
      <c r="BH83" s="391">
        <f t="shared" ref="BH83:BH89" si="1136">AT83+BD83</f>
        <v>585</v>
      </c>
      <c r="BI83" s="391">
        <f t="shared" ca="1" si="1097"/>
        <v>28158.974999999999</v>
      </c>
      <c r="BJ83" s="391">
        <f t="shared" ref="BJ83:BJ89" ca="1" si="1137">BI83*$Z83</f>
        <v>24273.03645</v>
      </c>
      <c r="BK83" s="886">
        <f t="shared" ca="1" si="72"/>
        <v>2.0902732194067197E-2</v>
      </c>
      <c r="BL83" s="1007" t="str">
        <f t="shared" ca="1" si="958"/>
        <v>V</v>
      </c>
      <c r="BM83" s="197">
        <f>300</f>
        <v>300</v>
      </c>
      <c r="BN83" s="312">
        <f t="shared" ref="BN83:BN89" ca="1" si="1138">IFERROR($X83/BO83-1,"")</f>
        <v>-7.7343300747556132E-2</v>
      </c>
      <c r="BO83" s="411">
        <v>52.17</v>
      </c>
      <c r="BP83" s="199">
        <f t="shared" ref="BP83:BP89" ca="1" si="1139">BM83*$X83</f>
        <v>14440.5</v>
      </c>
      <c r="BQ83" s="199">
        <f t="shared" ref="BQ83:BQ89" ca="1" si="1140">BP83*$Z83</f>
        <v>12447.710999999999</v>
      </c>
      <c r="BR83" s="216">
        <f t="shared" ca="1" si="1098"/>
        <v>1.9687149928668324E-2</v>
      </c>
      <c r="BS83" s="202">
        <f t="shared" ref="BS83:BS89" ca="1" si="1141">BT83/$X83</f>
        <v>80.959154939869691</v>
      </c>
      <c r="BT83" s="203">
        <f t="shared" ref="BT83:BT89" ca="1" si="1142">BU83/$Z83</f>
        <v>3896.9689230306271</v>
      </c>
      <c r="BU83" s="203">
        <f t="shared" ref="BU83:BU89" ca="1" si="1143">BV83*BM$4</f>
        <v>3359.1872116524005</v>
      </c>
      <c r="BV83" s="204">
        <f t="shared" ref="BV83:BV89" ca="1" si="1144">$N83-BR83</f>
        <v>5.3128500713316776E-3</v>
      </c>
      <c r="BW83" s="205"/>
      <c r="BX83" s="206">
        <f ca="1">BW83*$X83</f>
        <v>0</v>
      </c>
      <c r="BY83" s="206">
        <f ca="1">BX83*$Z83</f>
        <v>0</v>
      </c>
      <c r="BZ83" s="207">
        <f ca="1">IFERROR(BY83/BM$4,0)</f>
        <v>0</v>
      </c>
      <c r="CA83" s="391">
        <f>BM90+BW83</f>
        <v>0</v>
      </c>
      <c r="CB83" s="391">
        <f t="shared" ca="1" si="1100"/>
        <v>14440.5</v>
      </c>
      <c r="CC83" s="391">
        <f t="shared" ref="CC83:CC89" ca="1" si="1145">CB83*$Z83</f>
        <v>12447.710999999999</v>
      </c>
      <c r="CD83" s="886">
        <f t="shared" ca="1" si="76"/>
        <v>1.9687149928668324E-2</v>
      </c>
      <c r="CE83" s="1007" t="str">
        <f t="shared" ca="1" si="959"/>
        <v>V</v>
      </c>
      <c r="CF83" s="197">
        <f>100</f>
        <v>100</v>
      </c>
      <c r="CG83" s="312">
        <f t="shared" ref="CG83:CG89" ca="1" si="1146">IFERROR($X83/CH83-1,"")</f>
        <v>-7.7343300747556132E-2</v>
      </c>
      <c r="CH83" s="411">
        <v>52.17</v>
      </c>
      <c r="CI83" s="199">
        <f t="shared" ref="CI83:CI89" ca="1" si="1147">CF83*$X83</f>
        <v>4813.5</v>
      </c>
      <c r="CJ83" s="199">
        <f t="shared" ref="CJ83:CJ89" ca="1" si="1148">CI83*$Z83</f>
        <v>4149.2370000000001</v>
      </c>
      <c r="CK83" s="216">
        <f t="shared" ca="1" si="334"/>
        <v>2.6021141573239866E-2</v>
      </c>
      <c r="CL83" s="202">
        <f t="shared" ref="CL83:CL89" ca="1" si="1149">CM83/$X83</f>
        <v>-3.924276613175214</v>
      </c>
      <c r="CM83" s="203">
        <f t="shared" ref="CM83:CM89" ca="1" si="1150">CN83/$Z83</f>
        <v>-188.89505477518892</v>
      </c>
      <c r="CN83" s="203">
        <f t="shared" ref="CN83:CN89" ca="1" si="1151">CO83*CF$4</f>
        <v>-162.82753721621285</v>
      </c>
      <c r="CO83" s="204">
        <f t="shared" ref="CO83:CO89" ca="1" si="1152">$O83-CK83</f>
        <v>-1.021141573239865E-3</v>
      </c>
      <c r="CP83" s="205"/>
      <c r="CQ83" s="206">
        <f t="shared" ref="CQ83:CQ89" ca="1" si="1153">CP83*$X83</f>
        <v>0</v>
      </c>
      <c r="CR83" s="206">
        <f t="shared" ref="CR83:CR89" ca="1" si="1154">CQ83*$Z83</f>
        <v>0</v>
      </c>
      <c r="CS83" s="207">
        <f t="shared" ca="1" si="341"/>
        <v>0</v>
      </c>
      <c r="CT83" s="391">
        <f t="shared" ref="CT83:CT89" si="1155">CF83+CP83</f>
        <v>100</v>
      </c>
      <c r="CU83" s="391">
        <f t="shared" ca="1" si="1101"/>
        <v>4813.5</v>
      </c>
      <c r="CV83" s="391">
        <f t="shared" ref="CV83:CV89" ca="1" si="1156">CU83*$Z83</f>
        <v>4149.2370000000001</v>
      </c>
      <c r="CW83" s="886">
        <f t="shared" ca="1" si="345"/>
        <v>2.6021141573239866E-2</v>
      </c>
      <c r="CX83" s="1007" t="str">
        <f t="shared" ca="1" si="960"/>
        <v>V</v>
      </c>
    </row>
    <row r="84" spans="1:102" ht="12.6" hidden="1" customHeight="1" outlineLevel="1" x14ac:dyDescent="0.2">
      <c r="A84" s="367"/>
      <c r="B84" s="367"/>
      <c r="C84" s="367" t="str">
        <f t="shared" ref="C84:E85" ca="1" si="1157">OFFSET(Origine,MATCH($F84,Descrizioni,0),MATCH(C$16,Intestazioni,0)-1,1,1)</f>
        <v>IE00BJ5JPG56:USD:P</v>
      </c>
      <c r="D84" s="368" t="str">
        <f t="shared" ca="1" si="1157"/>
        <v>IE00BJ5JPG56</v>
      </c>
      <c r="E84" s="369" t="str">
        <f t="shared" ca="1" si="1157"/>
        <v>47256616</v>
      </c>
      <c r="F84" s="367" t="s">
        <v>850</v>
      </c>
      <c r="G84" s="414"/>
      <c r="H84" s="1683" t="str">
        <f t="shared" ca="1" si="1104"/>
        <v></v>
      </c>
      <c r="I84" s="1683" t="str">
        <f ca="1">HYPERLINK(OFFSET(Origine,MATCH($F84,Descrizioni,0),MATCH(I$16,Intestazioni,0)-1,1,1),"i")</f>
        <v>i</v>
      </c>
      <c r="J84" s="1713" t="str">
        <f ca="1">HYPERLINK(OFFSET(Origine,MATCH($F84,Descrizioni,0),MATCH(J$16,Intestazioni,0)-1,1,1),"")</f>
        <v></v>
      </c>
      <c r="K84" s="1716" t="str">
        <f ca="1">HYPERLINK(OFFSET(Origine,MATCH($F84,Descrizioni,0),MATCH(K$16,Intestazioni,0)-1,1,1),"")</f>
        <v></v>
      </c>
      <c r="L84" s="1717" t="str">
        <f ca="1">IFERROR(HYPERLINK("https://www.marketscreener.com/mods_a/charts/TV/inc_dyna_graph.php?c="&amp;OFFSET(Origine,MATCH($F84,Descrizioni,0),MATCH(L$16,Intestazioni,0)-1,1,1)&amp;"&amp;style=TradingView.CANDLES&amp;showAT=1",""),"")</f>
        <v></v>
      </c>
      <c r="M84" s="1786" t="str">
        <f ca="1">(OFFSET(Origine,MATCH($F84,Descrizioni,0),MATCH(M$16,Intestazioni,0)-1,1,1))</f>
        <v>Unit</v>
      </c>
      <c r="N84" s="1136"/>
      <c r="O84" s="1136"/>
      <c r="P84" s="418">
        <f ca="1">SUMIF($AA$16:$CD$16,"I_Ctrlv",$AA84:$CD84)/$Q$2</f>
        <v>0</v>
      </c>
      <c r="Q84" s="391">
        <f>SUMIF($AA$16:$CW$16,"I_Pos",$AA84:$CW84)</f>
        <v>0</v>
      </c>
      <c r="R84" s="391">
        <f ca="1">SUMIF($AA$16:$CW$16,"P_Pos",$AA84:$CW84)</f>
        <v>0</v>
      </c>
      <c r="S84" s="883"/>
      <c r="T84" s="883"/>
      <c r="U84" s="375">
        <f ca="1">OFFSET(Origine,MATCH($C84,smo_ids,0),MATCH(U$16,Intestazioni,0)-1,1,1)</f>
        <v>-3.0145704237146197E-2</v>
      </c>
      <c r="V84" s="391">
        <f>SUMIF($AA$16:$CW$16,"O_Pos",$AA84:$CW84)</f>
        <v>0</v>
      </c>
      <c r="W84" s="367" t="str">
        <f ca="1">OFFSET(Origine,MATCH($F84,Descrizioni,0),MATCH(W$16,Intestazioni,0)-1,1,1)</f>
        <v>USD</v>
      </c>
      <c r="X84" s="887">
        <f ca="1">_xlfn.NUMBERVALUE(OFFSET(Origine,MATCH($F84,Descrizioni,0),MATCH(X$16,Intestazioni,0)-1,1,1))</f>
        <v>5.7910000000000004</v>
      </c>
      <c r="Y84" s="1041">
        <f ca="1">_xlfn.NUMBERVALUE(OFFSET(Origine,MATCH($F84,Descrizioni,0),MATCH(Y$16,Intestazioni,0)-1,1,1))</f>
        <v>0</v>
      </c>
      <c r="Z84" s="1042">
        <f ca="1">_xlfn.NUMBERVALUE(OFFSET(Origine,MATCH(W84&amp;"/"&amp;MRif,LUKB_Name,0),MATCH("Price",Intestazioni,0)-1,1,1))</f>
        <v>0.86199999999999999</v>
      </c>
      <c r="AA84" s="197"/>
      <c r="AB84" s="312" t="str">
        <f ca="1">IFERROR($X84/AC84-1,"")</f>
        <v/>
      </c>
      <c r="AC84" s="411"/>
      <c r="AD84" s="199">
        <f ca="1">AA84*$X84</f>
        <v>0</v>
      </c>
      <c r="AE84" s="199">
        <f ca="1">AD84*$Z84</f>
        <v>0</v>
      </c>
      <c r="AF84" s="216">
        <f ca="1">IFERROR(AE84/AA$4,0)</f>
        <v>0</v>
      </c>
      <c r="AG84" s="202">
        <f ca="1">AH84/$X84</f>
        <v>0</v>
      </c>
      <c r="AH84" s="203">
        <f ca="1">AI84/$Z84</f>
        <v>0</v>
      </c>
      <c r="AI84" s="203">
        <f ca="1">AJ84*AA$4</f>
        <v>0</v>
      </c>
      <c r="AJ84" s="204">
        <f ca="1">$N84-AF84</f>
        <v>0</v>
      </c>
      <c r="AK84" s="205"/>
      <c r="AL84" s="206">
        <f ca="1">AK84*$X84</f>
        <v>0</v>
      </c>
      <c r="AM84" s="206">
        <f ca="1">AL84*$Z84</f>
        <v>0</v>
      </c>
      <c r="AN84" s="207">
        <f ca="1">IFERROR(AM84/AA$4,0)</f>
        <v>0</v>
      </c>
      <c r="AO84" s="391">
        <f>AA84+AK84</f>
        <v>0</v>
      </c>
      <c r="AP84" s="391">
        <f ca="1">AD84+IF($T84="",AL84)</f>
        <v>0</v>
      </c>
      <c r="AQ84" s="391">
        <f ca="1">AP84*$Z84</f>
        <v>0</v>
      </c>
      <c r="AR84" s="886">
        <f ca="1">IFERROR(AQ84/AA$4,0)</f>
        <v>0</v>
      </c>
      <c r="AS84" s="1007" t="str">
        <f ca="1">IF(SUM(AF84,AN84,AR84)&lt;&gt;0,"V","")</f>
        <v/>
      </c>
      <c r="AT84" s="197"/>
      <c r="AU84" s="312" t="str">
        <f ca="1">IFERROR($X84/AV84-1,"")</f>
        <v/>
      </c>
      <c r="AV84" s="411"/>
      <c r="AW84" s="199">
        <f ca="1">AT84*$X84</f>
        <v>0</v>
      </c>
      <c r="AX84" s="199">
        <f ca="1">AW84*$Z84</f>
        <v>0</v>
      </c>
      <c r="AY84" s="216">
        <f ca="1">IFERROR(AX84/AT$4,0)</f>
        <v>0</v>
      </c>
      <c r="AZ84" s="202">
        <f ca="1">BA84/$X84</f>
        <v>0</v>
      </c>
      <c r="BA84" s="203">
        <f ca="1">BB84/$Z84</f>
        <v>0</v>
      </c>
      <c r="BB84" s="203">
        <f ca="1">BC84*AT$4</f>
        <v>0</v>
      </c>
      <c r="BC84" s="204">
        <f ca="1">$N84-AY84</f>
        <v>0</v>
      </c>
      <c r="BD84" s="205"/>
      <c r="BE84" s="206">
        <f ca="1">BD84*$X84</f>
        <v>0</v>
      </c>
      <c r="BF84" s="206">
        <f ca="1">BE84*$Z84</f>
        <v>0</v>
      </c>
      <c r="BG84" s="207">
        <f ca="1">IFERROR(BF84/AT$4,0)</f>
        <v>0</v>
      </c>
      <c r="BH84" s="391">
        <f>AT84+BD84</f>
        <v>0</v>
      </c>
      <c r="BI84" s="391">
        <f ca="1">AW84+IF($T84="",BE84)</f>
        <v>0</v>
      </c>
      <c r="BJ84" s="391">
        <f ca="1">BI84*$Z84</f>
        <v>0</v>
      </c>
      <c r="BK84" s="886">
        <f ca="1">IFERROR(BJ84/AT$4,0)</f>
        <v>0</v>
      </c>
      <c r="BL84" s="1007" t="str">
        <f ca="1">IF(SUM(AY84,BG84,BK84)&lt;&gt;0,"V","")</f>
        <v/>
      </c>
      <c r="BM84" s="197">
        <f t="shared" ref="BM84:BM89" si="1158">50+-50</f>
        <v>0</v>
      </c>
      <c r="BN84" s="312" t="str">
        <f ca="1">IFERROR($X84/BO84-1,"")</f>
        <v/>
      </c>
      <c r="BO84" s="411"/>
      <c r="BP84" s="199">
        <f ca="1">BM84*$X84</f>
        <v>0</v>
      </c>
      <c r="BQ84" s="199">
        <f ca="1">BP84*$Z84</f>
        <v>0</v>
      </c>
      <c r="BR84" s="216">
        <f ca="1">IFERROR(BQ84/BM$4,0)</f>
        <v>0</v>
      </c>
      <c r="BS84" s="202">
        <f ca="1">BT84/$X84</f>
        <v>0</v>
      </c>
      <c r="BT84" s="203">
        <f ca="1">BU84/$Z84</f>
        <v>0</v>
      </c>
      <c r="BU84" s="203">
        <f ca="1">BV84*BM$4</f>
        <v>0</v>
      </c>
      <c r="BV84" s="204">
        <f ca="1">$N84-BR84</f>
        <v>0</v>
      </c>
      <c r="BW84" s="205"/>
      <c r="BX84" s="206">
        <f ca="1">BW84*$X84</f>
        <v>0</v>
      </c>
      <c r="BY84" s="206">
        <f ca="1">BX84*$Z84</f>
        <v>0</v>
      </c>
      <c r="BZ84" s="207">
        <f ca="1">IFERROR(BY84/BM$4,0)</f>
        <v>0</v>
      </c>
      <c r="CA84" s="391">
        <f>BM84+BW84</f>
        <v>0</v>
      </c>
      <c r="CB84" s="391">
        <f ca="1">BP84+IF($T84="",BX84)</f>
        <v>0</v>
      </c>
      <c r="CC84" s="391">
        <f ca="1">CB84*$Z84</f>
        <v>0</v>
      </c>
      <c r="CD84" s="886">
        <f ca="1">IFERROR(CC84/BM$4,0)</f>
        <v>0</v>
      </c>
      <c r="CE84" s="1007" t="str">
        <f ca="1">IF(SUM(BR84,BZ84,CD84)&lt;&gt;0,"V","")</f>
        <v/>
      </c>
      <c r="CF84" s="197"/>
      <c r="CG84" s="312" t="str">
        <f ca="1">IFERROR($X84/CH84-1,"")</f>
        <v/>
      </c>
      <c r="CH84" s="411"/>
      <c r="CI84" s="199">
        <f ca="1">CF84*$X84</f>
        <v>0</v>
      </c>
      <c r="CJ84" s="199">
        <f ca="1">CI84*$Z84</f>
        <v>0</v>
      </c>
      <c r="CK84" s="216">
        <f ca="1">IFERROR(CJ84/CF$4,0)</f>
        <v>0</v>
      </c>
      <c r="CL84" s="202">
        <f ca="1">CM84/$X84</f>
        <v>0</v>
      </c>
      <c r="CM84" s="203">
        <f ca="1">CN84/$Z84</f>
        <v>0</v>
      </c>
      <c r="CN84" s="203">
        <f ca="1">CO84*CF$4</f>
        <v>0</v>
      </c>
      <c r="CO84" s="204">
        <f ca="1">$O84-CK84</f>
        <v>0</v>
      </c>
      <c r="CP84" s="205"/>
      <c r="CQ84" s="206">
        <f ca="1">CP84*$X84</f>
        <v>0</v>
      </c>
      <c r="CR84" s="206">
        <f ca="1">CQ84*$Z84</f>
        <v>0</v>
      </c>
      <c r="CS84" s="207">
        <f ca="1">IFERROR(CR84/CF$4,0)</f>
        <v>0</v>
      </c>
      <c r="CT84" s="391">
        <f>CF84+CP84</f>
        <v>0</v>
      </c>
      <c r="CU84" s="391">
        <f ca="1">CI84+IF($T84="",CQ84)</f>
        <v>0</v>
      </c>
      <c r="CV84" s="391">
        <f ca="1">CU84*$Z84</f>
        <v>0</v>
      </c>
      <c r="CW84" s="886">
        <f ca="1">IFERROR(CV84/CF$4,0)</f>
        <v>0</v>
      </c>
      <c r="CX84" s="1007" t="str">
        <f ca="1">IF(SUM(CK84,CS84,CW84)&lt;&gt;0,"V","")</f>
        <v/>
      </c>
    </row>
    <row r="85" spans="1:102" ht="12.6" hidden="1" customHeight="1" outlineLevel="1" x14ac:dyDescent="0.2">
      <c r="A85" s="367"/>
      <c r="B85" s="367"/>
      <c r="C85" s="367" t="str">
        <f t="shared" ca="1" si="1157"/>
        <v>DE000A0Q4R85:USD</v>
      </c>
      <c r="D85" s="368" t="str">
        <f t="shared" ca="1" si="1157"/>
        <v>DE000A0Q4R85</v>
      </c>
      <c r="E85" s="369" t="str">
        <f t="shared" ca="1" si="1157"/>
        <v>43398616</v>
      </c>
      <c r="F85" s="367" t="s">
        <v>827</v>
      </c>
      <c r="G85" s="414"/>
      <c r="H85" s="1683" t="str">
        <f t="shared" ca="1" si="1104"/>
        <v></v>
      </c>
      <c r="I85" s="1683" t="str">
        <f ca="1">HYPERLINK(OFFSET(Origine,MATCH($F85,Descrizioni,0),MATCH(I$16,Intestazioni,0)-1,1,1),"i")</f>
        <v>i</v>
      </c>
      <c r="J85" s="1713" t="str">
        <f ca="1">HYPERLINK(OFFSET(Origine,MATCH($F85,Descrizioni,0),MATCH(J$16,Intestazioni,0)-1,1,1),"")</f>
        <v></v>
      </c>
      <c r="K85" s="1716" t="str">
        <f ca="1">HYPERLINK(OFFSET(Origine,MATCH($F85,Descrizioni,0),MATCH(K$16,Intestazioni,0)-1,1,1),"")</f>
        <v></v>
      </c>
      <c r="L85" s="1717" t="str">
        <f ca="1">IFERROR(HYPERLINK("https://www.marketscreener.com/mods_a/charts/TV/inc_dyna_graph.php?c="&amp;OFFSET(Origine,MATCH($F85,Descrizioni,0),MATCH(L$16,Intestazioni,0)-1,1,1)&amp;"&amp;style=TradingView.CANDLES&amp;showAT=1",""),"")</f>
        <v></v>
      </c>
      <c r="M85" s="1786" t="str">
        <f ca="1">(OFFSET(Origine,MATCH($F85,Descrizioni,0),MATCH(M$16,Intestazioni,0)-1,1,1))</f>
        <v>Unit</v>
      </c>
      <c r="N85" s="1136"/>
      <c r="O85" s="1136"/>
      <c r="P85" s="418">
        <f ca="1">SUMIF($AA$16:$CD$16,"I_Ctrlv",$AA85:$CD85)/$Q$2</f>
        <v>0</v>
      </c>
      <c r="Q85" s="391">
        <f>SUMIF($AA$16:$CW$16,"I_Pos",$AA85:$CW85)</f>
        <v>0</v>
      </c>
      <c r="R85" s="391">
        <f ca="1">SUMIF($AA$16:$CW$16,"P_Pos",$AA85:$CW85)</f>
        <v>0</v>
      </c>
      <c r="S85" s="883"/>
      <c r="T85" s="883"/>
      <c r="U85" s="375">
        <f ca="1">OFFSET(Origine,MATCH($C85,smo_ids,0),MATCH(U$16,Intestazioni,0)-1,1,1)</f>
        <v>-1.7827605219628898E-2</v>
      </c>
      <c r="V85" s="391">
        <f>SUMIF($AA$16:$CW$16,"O_Pos",$AA85:$CW85)</f>
        <v>0</v>
      </c>
      <c r="W85" s="367" t="str">
        <f ca="1">OFFSET(Origine,MATCH($F85,Descrizioni,0),MATCH(W$16,Intestazioni,0)-1,1,1)</f>
        <v>USD</v>
      </c>
      <c r="X85" s="887">
        <f ca="1">_xlfn.NUMBERVALUE(OFFSET(Origine,MATCH($F85,Descrizioni,0),MATCH(X$16,Intestazioni,0)-1,1,1))</f>
        <v>53.44</v>
      </c>
      <c r="Y85" s="1041">
        <f ca="1">_xlfn.NUMBERVALUE(OFFSET(Origine,MATCH($F85,Descrizioni,0),MATCH(Y$16,Intestazioni,0)-1,1,1))</f>
        <v>0</v>
      </c>
      <c r="Z85" s="1042">
        <f ca="1">_xlfn.NUMBERVALUE(OFFSET(Origine,MATCH(W85&amp;"/"&amp;MRif,LUKB_Name,0),MATCH("Price",Intestazioni,0)-1,1,1))</f>
        <v>0.86199999999999999</v>
      </c>
      <c r="AA85" s="197"/>
      <c r="AB85" s="312" t="str">
        <f ca="1">IFERROR($X85/AC85-1,"")</f>
        <v/>
      </c>
      <c r="AC85" s="411"/>
      <c r="AD85" s="199">
        <f ca="1">AA85*$X85</f>
        <v>0</v>
      </c>
      <c r="AE85" s="199">
        <f ca="1">AD85*$Z85</f>
        <v>0</v>
      </c>
      <c r="AF85" s="216">
        <f ca="1">IFERROR(AE85/AA$4,0)</f>
        <v>0</v>
      </c>
      <c r="AG85" s="202">
        <f ca="1">AH85/$X85</f>
        <v>0</v>
      </c>
      <c r="AH85" s="203">
        <f ca="1">AI85/$Z85</f>
        <v>0</v>
      </c>
      <c r="AI85" s="203">
        <f ca="1">AJ85*AA$4</f>
        <v>0</v>
      </c>
      <c r="AJ85" s="204">
        <f ca="1">$N85-AF85</f>
        <v>0</v>
      </c>
      <c r="AK85" s="205"/>
      <c r="AL85" s="206">
        <f ca="1">AK85*$X85</f>
        <v>0</v>
      </c>
      <c r="AM85" s="206">
        <f ca="1">AL85*$Z85</f>
        <v>0</v>
      </c>
      <c r="AN85" s="207">
        <f ca="1">IFERROR(AM85/AA$4,0)</f>
        <v>0</v>
      </c>
      <c r="AO85" s="391">
        <f>AA85+AK85</f>
        <v>0</v>
      </c>
      <c r="AP85" s="391">
        <f ca="1">AD85+IF($T85="",AL85)</f>
        <v>0</v>
      </c>
      <c r="AQ85" s="391">
        <f ca="1">AP85*$Z85</f>
        <v>0</v>
      </c>
      <c r="AR85" s="886">
        <f ca="1">IFERROR(AQ85/AA$4,0)</f>
        <v>0</v>
      </c>
      <c r="AS85" s="1007" t="str">
        <f ca="1">IF(SUM(AF85,AN85,AR85)&lt;&gt;0,"V","")</f>
        <v/>
      </c>
      <c r="AT85" s="197"/>
      <c r="AU85" s="312" t="str">
        <f ca="1">IFERROR($X85/AV85-1,"")</f>
        <v/>
      </c>
      <c r="AV85" s="411"/>
      <c r="AW85" s="199">
        <f ca="1">AT85*$X85</f>
        <v>0</v>
      </c>
      <c r="AX85" s="199">
        <f ca="1">AW85*$Z85</f>
        <v>0</v>
      </c>
      <c r="AY85" s="216">
        <f ca="1">IFERROR(AX85/AT$4,0)</f>
        <v>0</v>
      </c>
      <c r="AZ85" s="202">
        <f ca="1">BA85/$X85</f>
        <v>0</v>
      </c>
      <c r="BA85" s="203">
        <f ca="1">BB85/$Z85</f>
        <v>0</v>
      </c>
      <c r="BB85" s="203">
        <f ca="1">BC85*AT$4</f>
        <v>0</v>
      </c>
      <c r="BC85" s="204">
        <f ca="1">$N85-AY85</f>
        <v>0</v>
      </c>
      <c r="BD85" s="205"/>
      <c r="BE85" s="206">
        <f ca="1">BD85*$X85</f>
        <v>0</v>
      </c>
      <c r="BF85" s="206">
        <f ca="1">BE85*$Z85</f>
        <v>0</v>
      </c>
      <c r="BG85" s="207">
        <f ca="1">IFERROR(BF85/AT$4,0)</f>
        <v>0</v>
      </c>
      <c r="BH85" s="391">
        <f>AT85+BD85</f>
        <v>0</v>
      </c>
      <c r="BI85" s="391">
        <f ca="1">AW85+IF($T85="",BE85)</f>
        <v>0</v>
      </c>
      <c r="BJ85" s="391">
        <f ca="1">BI85*$Z85</f>
        <v>0</v>
      </c>
      <c r="BK85" s="886">
        <f ca="1">IFERROR(BJ85/AT$4,0)</f>
        <v>0</v>
      </c>
      <c r="BL85" s="1007" t="str">
        <f ca="1">IF(SUM(AY85,BG85,BK85)&lt;&gt;0,"V","")</f>
        <v/>
      </c>
      <c r="BM85" s="197">
        <f t="shared" si="1158"/>
        <v>0</v>
      </c>
      <c r="BN85" s="312" t="str">
        <f ca="1">IFERROR($X85/BO85-1,"")</f>
        <v/>
      </c>
      <c r="BO85" s="411"/>
      <c r="BP85" s="199">
        <f ca="1">BM85*$X85</f>
        <v>0</v>
      </c>
      <c r="BQ85" s="199">
        <f ca="1">BP85*$Z85</f>
        <v>0</v>
      </c>
      <c r="BR85" s="216">
        <f ca="1">IFERROR(BQ85/BM$4,0)</f>
        <v>0</v>
      </c>
      <c r="BS85" s="202">
        <f ca="1">BT85/$X85</f>
        <v>0</v>
      </c>
      <c r="BT85" s="203">
        <f ca="1">BU85/$Z85</f>
        <v>0</v>
      </c>
      <c r="BU85" s="203">
        <f ca="1">BV85*BM$4</f>
        <v>0</v>
      </c>
      <c r="BV85" s="204">
        <f ca="1">$N85-BR85</f>
        <v>0</v>
      </c>
      <c r="BW85" s="205"/>
      <c r="BX85" s="206">
        <f ca="1">BW85*$X85</f>
        <v>0</v>
      </c>
      <c r="BY85" s="206">
        <f ca="1">BX85*$Z85</f>
        <v>0</v>
      </c>
      <c r="BZ85" s="207">
        <f ca="1">IFERROR(BY85/BM$4,0)</f>
        <v>0</v>
      </c>
      <c r="CA85" s="391">
        <f>BM85+BW85</f>
        <v>0</v>
      </c>
      <c r="CB85" s="391">
        <f ca="1">BP85+IF($T85="",BX85)</f>
        <v>0</v>
      </c>
      <c r="CC85" s="391">
        <f ca="1">CB85*$Z85</f>
        <v>0</v>
      </c>
      <c r="CD85" s="886">
        <f ca="1">IFERROR(CC85/BM$4,0)</f>
        <v>0</v>
      </c>
      <c r="CE85" s="1007" t="str">
        <f ca="1">IF(SUM(BR85,BZ85,CD85)&lt;&gt;0,"V","")</f>
        <v/>
      </c>
      <c r="CF85" s="197"/>
      <c r="CG85" s="312" t="str">
        <f ca="1">IFERROR($X85/CH85-1,"")</f>
        <v/>
      </c>
      <c r="CH85" s="411"/>
      <c r="CI85" s="199">
        <f ca="1">CF85*$X85</f>
        <v>0</v>
      </c>
      <c r="CJ85" s="199">
        <f ca="1">CI85*$Z85</f>
        <v>0</v>
      </c>
      <c r="CK85" s="216">
        <f ca="1">IFERROR(CJ85/CF$4,0)</f>
        <v>0</v>
      </c>
      <c r="CL85" s="202">
        <f ca="1">CM85/$X85</f>
        <v>0</v>
      </c>
      <c r="CM85" s="203">
        <f ca="1">CN85/$Z85</f>
        <v>0</v>
      </c>
      <c r="CN85" s="203">
        <f ca="1">CO85*CF$4</f>
        <v>0</v>
      </c>
      <c r="CO85" s="204">
        <f ca="1">$O85-CK85</f>
        <v>0</v>
      </c>
      <c r="CP85" s="205"/>
      <c r="CQ85" s="206">
        <f ca="1">CP85*$X85</f>
        <v>0</v>
      </c>
      <c r="CR85" s="206">
        <f ca="1">CQ85*$Z85</f>
        <v>0</v>
      </c>
      <c r="CS85" s="207">
        <f ca="1">IFERROR(CR85/CF$4,0)</f>
        <v>0</v>
      </c>
      <c r="CT85" s="391">
        <f>CF85+CP85</f>
        <v>0</v>
      </c>
      <c r="CU85" s="391">
        <f ca="1">CI85+IF($T85="",CQ85)</f>
        <v>0</v>
      </c>
      <c r="CV85" s="391">
        <f ca="1">CU85*$Z85</f>
        <v>0</v>
      </c>
      <c r="CW85" s="886">
        <f ca="1">IFERROR(CV85/CF$4,0)</f>
        <v>0</v>
      </c>
      <c r="CX85" s="1007" t="str">
        <f ca="1">IF(SUM(CK85,CS85,CW85)&lt;&gt;0,"V","")</f>
        <v/>
      </c>
    </row>
    <row r="86" spans="1:102" ht="12.6" hidden="1" customHeight="1" outlineLevel="1" x14ac:dyDescent="0.2">
      <c r="A86" s="367"/>
      <c r="B86" s="367"/>
      <c r="C86" s="367" t="str">
        <f t="shared" ca="1" si="1102"/>
        <v>LU0390135332:USD</v>
      </c>
      <c r="D86" s="368" t="str">
        <f t="shared" ca="1" si="1103"/>
        <v>LU0390135332</v>
      </c>
      <c r="E86" s="369" t="str">
        <f t="shared" ca="1" si="1103"/>
        <v>4613240</v>
      </c>
      <c r="F86" s="367" t="s">
        <v>422</v>
      </c>
      <c r="G86" s="414"/>
      <c r="H86" s="1683" t="str">
        <f t="shared" ca="1" si="1104"/>
        <v></v>
      </c>
      <c r="I86" s="1683" t="str">
        <f t="shared" ca="1" si="1105"/>
        <v>i</v>
      </c>
      <c r="J86" s="1713" t="str">
        <f t="shared" ca="1" si="1106"/>
        <v></v>
      </c>
      <c r="K86" s="1716" t="str">
        <f t="shared" ca="1" si="1106"/>
        <v></v>
      </c>
      <c r="L86" s="1717" t="str">
        <f t="shared" ca="1" si="1107"/>
        <v></v>
      </c>
      <c r="M86" s="1786" t="str">
        <f t="shared" ca="1" si="1108"/>
        <v>Unit</v>
      </c>
      <c r="N86" s="1141">
        <v>2.5000000000000001E-2</v>
      </c>
      <c r="O86" s="1141">
        <v>2.5000000000000001E-2</v>
      </c>
      <c r="P86" s="418">
        <f t="shared" ca="1" si="654"/>
        <v>2.5021066936802134E-2</v>
      </c>
      <c r="Q86" s="391">
        <f t="shared" si="1109"/>
        <v>1110</v>
      </c>
      <c r="R86" s="391">
        <f t="shared" ca="1" si="1110"/>
        <v>-36.395963320605006</v>
      </c>
      <c r="S86" s="883"/>
      <c r="T86" s="883"/>
      <c r="U86" s="375">
        <f t="shared" ca="1" si="1111"/>
        <v>-1.9272826681246538E-2</v>
      </c>
      <c r="V86" s="391">
        <f t="shared" si="1112"/>
        <v>0</v>
      </c>
      <c r="W86" s="367" t="str">
        <f t="shared" ca="1" si="1113"/>
        <v>USD</v>
      </c>
      <c r="X86" s="887">
        <f t="shared" ca="1" si="1114"/>
        <v>71.75</v>
      </c>
      <c r="Y86" s="1041">
        <f t="shared" ca="1" si="1114"/>
        <v>0</v>
      </c>
      <c r="Z86" s="1042">
        <f t="shared" ca="1" si="1115"/>
        <v>0.86199999999999999</v>
      </c>
      <c r="AA86" s="197">
        <f>150+-150+150+150</f>
        <v>300</v>
      </c>
      <c r="AB86" s="312">
        <f t="shared" ca="1" si="1116"/>
        <v>0.28691241462434713</v>
      </c>
      <c r="AC86" s="411">
        <v>55.753599999999999</v>
      </c>
      <c r="AD86" s="199">
        <f t="shared" ca="1" si="1117"/>
        <v>21525</v>
      </c>
      <c r="AE86" s="199">
        <f t="shared" ca="1" si="1118"/>
        <v>18554.55</v>
      </c>
      <c r="AF86" s="216">
        <f t="shared" ca="1" si="292"/>
        <v>2.6391051786768743E-2</v>
      </c>
      <c r="AG86" s="202">
        <f t="shared" ca="1" si="1119"/>
        <v>-15.812766364993649</v>
      </c>
      <c r="AH86" s="203">
        <f t="shared" ca="1" si="1120"/>
        <v>-1134.5659866882943</v>
      </c>
      <c r="AI86" s="203">
        <f t="shared" ca="1" si="1121"/>
        <v>-977.99588052530976</v>
      </c>
      <c r="AJ86" s="204">
        <f t="shared" ca="1" si="1122"/>
        <v>-1.3910517867687412E-3</v>
      </c>
      <c r="AK86" s="205"/>
      <c r="AL86" s="206">
        <f t="shared" ca="1" si="1123"/>
        <v>0</v>
      </c>
      <c r="AM86" s="206">
        <f t="shared" ca="1" si="1124"/>
        <v>0</v>
      </c>
      <c r="AN86" s="207">
        <f t="shared" ca="1" si="299"/>
        <v>0</v>
      </c>
      <c r="AO86" s="391">
        <f t="shared" si="1125"/>
        <v>300</v>
      </c>
      <c r="AP86" s="391">
        <f t="shared" ca="1" si="1096"/>
        <v>21525</v>
      </c>
      <c r="AQ86" s="391">
        <f t="shared" ca="1" si="1126"/>
        <v>18554.55</v>
      </c>
      <c r="AR86" s="886">
        <f t="shared" ref="AR86:AR118" ca="1" si="1159">IFERROR(AQ86/AA$4,0)</f>
        <v>2.6391051786768743E-2</v>
      </c>
      <c r="AS86" s="1007" t="str">
        <f t="shared" ca="1" si="957"/>
        <v>V</v>
      </c>
      <c r="AT86" s="197">
        <f>640+-140+-60</f>
        <v>440</v>
      </c>
      <c r="AU86" s="312">
        <f t="shared" ca="1" si="1127"/>
        <v>0.35435621361642355</v>
      </c>
      <c r="AV86" s="411">
        <v>52.977200000000003</v>
      </c>
      <c r="AW86" s="199">
        <f t="shared" ca="1" si="1128"/>
        <v>31570</v>
      </c>
      <c r="AX86" s="199">
        <f t="shared" ca="1" si="1129"/>
        <v>27213.34</v>
      </c>
      <c r="AY86" s="216">
        <f t="shared" ca="1" si="307"/>
        <v>2.3434775426545231E-2</v>
      </c>
      <c r="AZ86" s="202">
        <f t="shared" ca="1" si="1130"/>
        <v>29.387898957204872</v>
      </c>
      <c r="BA86" s="203">
        <f t="shared" ca="1" si="1131"/>
        <v>2108.5817501794495</v>
      </c>
      <c r="BB86" s="203">
        <f t="shared" ca="1" si="1132"/>
        <v>1817.5974686546856</v>
      </c>
      <c r="BC86" s="204">
        <f t="shared" ca="1" si="1133"/>
        <v>1.5652245734547703E-3</v>
      </c>
      <c r="BD86" s="205"/>
      <c r="BE86" s="206">
        <f t="shared" ca="1" si="1134"/>
        <v>0</v>
      </c>
      <c r="BF86" s="206">
        <f t="shared" ca="1" si="1135"/>
        <v>0</v>
      </c>
      <c r="BG86" s="207">
        <f t="shared" ca="1" si="314"/>
        <v>0</v>
      </c>
      <c r="BH86" s="391">
        <f t="shared" si="1136"/>
        <v>440</v>
      </c>
      <c r="BI86" s="391">
        <f t="shared" ca="1" si="1097"/>
        <v>31570</v>
      </c>
      <c r="BJ86" s="391">
        <f t="shared" ca="1" si="1137"/>
        <v>27213.34</v>
      </c>
      <c r="BK86" s="886">
        <f t="shared" ref="BK86:BK118" ca="1" si="1160">IFERROR(BJ86/AT$4,0)</f>
        <v>2.3434775426545231E-2</v>
      </c>
      <c r="BL86" s="1007" t="str">
        <f t="shared" ca="1" si="958"/>
        <v>V</v>
      </c>
      <c r="BM86" s="197">
        <f>400+-130</f>
        <v>270</v>
      </c>
      <c r="BN86" s="312">
        <f t="shared" ca="1" si="1138"/>
        <v>0.42361111111111116</v>
      </c>
      <c r="BO86" s="411">
        <v>50.4</v>
      </c>
      <c r="BP86" s="199">
        <f t="shared" ca="1" si="1139"/>
        <v>19372.5</v>
      </c>
      <c r="BQ86" s="199">
        <f t="shared" ca="1" si="1140"/>
        <v>16699.095000000001</v>
      </c>
      <c r="BR86" s="216">
        <f t="shared" ca="1" si="1098"/>
        <v>2.6411087704243424E-2</v>
      </c>
      <c r="BS86" s="202">
        <f t="shared" ca="1" si="1141"/>
        <v>-14.425520236506976</v>
      </c>
      <c r="BT86" s="203">
        <f t="shared" ca="1" si="1142"/>
        <v>-1035.0310769693756</v>
      </c>
      <c r="BU86" s="203">
        <f t="shared" ca="1" si="1143"/>
        <v>-892.19678834760168</v>
      </c>
      <c r="BV86" s="204">
        <f t="shared" ca="1" si="1144"/>
        <v>-1.4110877042434224E-3</v>
      </c>
      <c r="BW86" s="205"/>
      <c r="BX86" s="206">
        <f t="shared" ref="BX86:BX89" ca="1" si="1161">BW86*$X86</f>
        <v>0</v>
      </c>
      <c r="BY86" s="206">
        <f t="shared" ref="BY86:BY89" ca="1" si="1162">BX86*$Z86</f>
        <v>0</v>
      </c>
      <c r="BZ86" s="207">
        <f t="shared" ca="1" si="1099"/>
        <v>0</v>
      </c>
      <c r="CA86" s="391">
        <f t="shared" ref="CA86:CA89" si="1163">BM86+BW86</f>
        <v>270</v>
      </c>
      <c r="CB86" s="391">
        <f t="shared" ca="1" si="1100"/>
        <v>19372.5</v>
      </c>
      <c r="CC86" s="391">
        <f t="shared" ca="1" si="1145"/>
        <v>16699.095000000001</v>
      </c>
      <c r="CD86" s="886">
        <f t="shared" ref="CD86:CD118" ca="1" si="1164">IFERROR(CC86/BM$4,0)</f>
        <v>2.6411087704243424E-2</v>
      </c>
      <c r="CE86" s="1007" t="str">
        <f t="shared" ca="1" si="959"/>
        <v>V</v>
      </c>
      <c r="CF86" s="197">
        <f>100</f>
        <v>100</v>
      </c>
      <c r="CG86" s="312">
        <f t="shared" ca="1" si="1146"/>
        <v>0.19244083914596311</v>
      </c>
      <c r="CH86" s="411">
        <v>60.170699999999997</v>
      </c>
      <c r="CI86" s="199">
        <f t="shared" ca="1" si="1147"/>
        <v>7175</v>
      </c>
      <c r="CJ86" s="199">
        <f t="shared" ca="1" si="1148"/>
        <v>6184.85</v>
      </c>
      <c r="CK86" s="216">
        <f t="shared" ca="1" si="334"/>
        <v>3.878709687088315E-2</v>
      </c>
      <c r="CL86" s="202">
        <f t="shared" ca="1" si="1149"/>
        <v>-35.545575676309248</v>
      </c>
      <c r="CM86" s="203">
        <f t="shared" ca="1" si="1150"/>
        <v>-2550.3950547751888</v>
      </c>
      <c r="CN86" s="203">
        <f t="shared" ca="1" si="1151"/>
        <v>-2198.4405372162128</v>
      </c>
      <c r="CO86" s="204">
        <f t="shared" ca="1" si="1152"/>
        <v>-1.3787096870883149E-2</v>
      </c>
      <c r="CP86" s="205"/>
      <c r="CQ86" s="206">
        <f t="shared" ca="1" si="1153"/>
        <v>0</v>
      </c>
      <c r="CR86" s="206">
        <f t="shared" ca="1" si="1154"/>
        <v>0</v>
      </c>
      <c r="CS86" s="207">
        <f t="shared" ca="1" si="341"/>
        <v>0</v>
      </c>
      <c r="CT86" s="391">
        <f t="shared" si="1155"/>
        <v>100</v>
      </c>
      <c r="CU86" s="391">
        <f t="shared" ca="1" si="1101"/>
        <v>7175</v>
      </c>
      <c r="CV86" s="391">
        <f t="shared" ca="1" si="1156"/>
        <v>6184.85</v>
      </c>
      <c r="CW86" s="886">
        <f t="shared" ca="1" si="345"/>
        <v>3.878709687088315E-2</v>
      </c>
      <c r="CX86" s="1007" t="str">
        <f t="shared" ca="1" si="960"/>
        <v>V</v>
      </c>
    </row>
    <row r="87" spans="1:102" ht="12.6" hidden="1" customHeight="1" outlineLevel="1" x14ac:dyDescent="0.2">
      <c r="A87" s="367"/>
      <c r="B87" s="367"/>
      <c r="C87" s="367" t="str">
        <f t="shared" ref="C87:E88" ca="1" si="1165">OFFSET(Origine,MATCH($F87,Descrizioni,0),MATCH(C$16,Intestazioni,0)-1,1,1)</f>
        <v>LU0292107991:USD</v>
      </c>
      <c r="D87" s="368" t="str">
        <f t="shared" ca="1" si="1165"/>
        <v>LU0292107991</v>
      </c>
      <c r="E87" s="369" t="str">
        <f t="shared" ca="1" si="1165"/>
        <v>3067298</v>
      </c>
      <c r="F87" s="367" t="s">
        <v>465</v>
      </c>
      <c r="G87" s="414"/>
      <c r="H87" s="1683" t="str">
        <f t="shared" ca="1" si="1104"/>
        <v></v>
      </c>
      <c r="I87" s="1683" t="str">
        <f ca="1">HYPERLINK(OFFSET(Origine,MATCH($F87,Descrizioni,0),MATCH(I$16,Intestazioni,0)-1,1,1),"i")</f>
        <v>i</v>
      </c>
      <c r="J87" s="1713" t="str">
        <f ca="1">HYPERLINK(OFFSET(Origine,MATCH($F87,Descrizioni,0),MATCH(J$16,Intestazioni,0)-1,1,1),"")</f>
        <v></v>
      </c>
      <c r="K87" s="1716" t="str">
        <f ca="1">HYPERLINK(OFFSET(Origine,MATCH($F87,Descrizioni,0),MATCH(K$16,Intestazioni,0)-1,1,1),"")</f>
        <v></v>
      </c>
      <c r="L87" s="1717" t="str">
        <f ca="1">IFERROR(HYPERLINK("https://www.marketscreener.com/mods_a/charts/TV/inc_dyna_graph.php?c="&amp;OFFSET(Origine,MATCH($F87,Descrizioni,0),MATCH(L$16,Intestazioni,0)-1,1,1)&amp;"&amp;style=TradingView.CANDLES&amp;showAT=1",""),"")</f>
        <v></v>
      </c>
      <c r="M87" s="1786" t="str">
        <f ca="1">(OFFSET(Origine,MATCH($F87,Descrizioni,0),MATCH(M$16,Intestazioni,0)-1,1,1))</f>
        <v>Unit</v>
      </c>
      <c r="N87" s="1141"/>
      <c r="O87" s="1141"/>
      <c r="P87" s="418">
        <f ca="1">SUMIF($AA$16:$CD$16,"I_Ctrlv",$AA87:$CD87)/$Q$2</f>
        <v>0</v>
      </c>
      <c r="Q87" s="391">
        <f>SUMIF($AA$16:$CW$16,"I_Pos",$AA87:$CW87)</f>
        <v>0</v>
      </c>
      <c r="R87" s="391">
        <f ca="1">SUMIF($AA$16:$CW$16,"P_Pos",$AA87:$CW87)</f>
        <v>0</v>
      </c>
      <c r="S87" s="883"/>
      <c r="T87" s="883"/>
      <c r="U87" s="375">
        <f ca="1">OFFSET(Origine,MATCH($C87,smo_ids,0),MATCH(U$16,Intestazioni,0)-1,1,1)</f>
        <v>-4.4256534153305598E-2</v>
      </c>
      <c r="V87" s="391">
        <f>SUMIF($AA$16:$CW$16,"O_Pos",$AA87:$CW87)</f>
        <v>0</v>
      </c>
      <c r="W87" s="367" t="str">
        <f ca="1">OFFSET(Origine,MATCH($F87,Descrizioni,0),MATCH(W$16,Intestazioni,0)-1,1,1)</f>
        <v>USD</v>
      </c>
      <c r="X87" s="887">
        <f ca="1">_xlfn.NUMBERVALUE(OFFSET(Origine,MATCH($F87,Descrizioni,0),MATCH(X$16,Intestazioni,0)-1,1,1))</f>
        <v>86.364999999999995</v>
      </c>
      <c r="Y87" s="1041">
        <f ca="1">_xlfn.NUMBERVALUE(OFFSET(Origine,MATCH($F87,Descrizioni,0),MATCH(Y$16,Intestazioni,0)-1,1,1))</f>
        <v>0</v>
      </c>
      <c r="Z87" s="1042">
        <f ca="1">_xlfn.NUMBERVALUE(OFFSET(Origine,MATCH(W87&amp;"/"&amp;MRif,LUKB_Name,0),MATCH("Price",Intestazioni,0)-1,1,1))</f>
        <v>0.86199999999999999</v>
      </c>
      <c r="AA87" s="197">
        <f>200+-200</f>
        <v>0</v>
      </c>
      <c r="AB87" s="312" t="str">
        <f ca="1">IFERROR($X87/AC87-1,"")</f>
        <v/>
      </c>
      <c r="AC87" s="1008"/>
      <c r="AD87" s="199">
        <f ca="1">AA87*$X87</f>
        <v>0</v>
      </c>
      <c r="AE87" s="199">
        <f ca="1">AD87*$Z87</f>
        <v>0</v>
      </c>
      <c r="AF87" s="216">
        <f ca="1">IFERROR(AE87/AA$4,0)</f>
        <v>0</v>
      </c>
      <c r="AG87" s="202">
        <f ca="1">AH87/$X87</f>
        <v>0</v>
      </c>
      <c r="AH87" s="203">
        <f ca="1">AI87/$Z87</f>
        <v>0</v>
      </c>
      <c r="AI87" s="203">
        <f ca="1">AJ87*AA$4</f>
        <v>0</v>
      </c>
      <c r="AJ87" s="204">
        <f ca="1">$N87-AF87</f>
        <v>0</v>
      </c>
      <c r="AK87" s="205"/>
      <c r="AL87" s="206">
        <f ca="1">AK87*$X87</f>
        <v>0</v>
      </c>
      <c r="AM87" s="206">
        <f ca="1">AL87*$Z87</f>
        <v>0</v>
      </c>
      <c r="AN87" s="207">
        <f ca="1">IFERROR(AM87/AA$4,0)</f>
        <v>0</v>
      </c>
      <c r="AO87" s="391">
        <f t="shared" ref="AO87" si="1166">AA87+AK87</f>
        <v>0</v>
      </c>
      <c r="AP87" s="391">
        <f ca="1">AD87+IF($T87="",AL87)</f>
        <v>0</v>
      </c>
      <c r="AQ87" s="391">
        <f ca="1">AP87*$Z87</f>
        <v>0</v>
      </c>
      <c r="AR87" s="886">
        <f ca="1">IFERROR(AQ87/AA$4,0)</f>
        <v>0</v>
      </c>
      <c r="AS87" s="1007" t="str">
        <f t="shared" ref="AS87" ca="1" si="1167">IF(SUM(AF87,AN87,AR87)&lt;&gt;0,"V","")</f>
        <v/>
      </c>
      <c r="AT87" s="197">
        <f>350+-350</f>
        <v>0</v>
      </c>
      <c r="AU87" s="312" t="str">
        <f ca="1">IFERROR($X87/AV87-1,"")</f>
        <v/>
      </c>
      <c r="AV87" s="1008"/>
      <c r="AW87" s="199">
        <f ca="1">AT87*$X87</f>
        <v>0</v>
      </c>
      <c r="AX87" s="199">
        <f ca="1">AW87*$Z87</f>
        <v>0</v>
      </c>
      <c r="AY87" s="216">
        <f ca="1">IFERROR(AX87/AT$4,0)</f>
        <v>0</v>
      </c>
      <c r="AZ87" s="202">
        <f ca="1">BA87/$X87</f>
        <v>0</v>
      </c>
      <c r="BA87" s="203">
        <f ca="1">BB87/$Z87</f>
        <v>0</v>
      </c>
      <c r="BB87" s="203">
        <f ca="1">BC87*AT$4</f>
        <v>0</v>
      </c>
      <c r="BC87" s="204">
        <f ca="1">$N87-AY87</f>
        <v>0</v>
      </c>
      <c r="BD87" s="205"/>
      <c r="BE87" s="206">
        <f ca="1">BD87*$X87</f>
        <v>0</v>
      </c>
      <c r="BF87" s="206">
        <f ca="1">BE87*$Z87</f>
        <v>0</v>
      </c>
      <c r="BG87" s="207">
        <f ca="1">IFERROR(BF87/AT$4,0)</f>
        <v>0</v>
      </c>
      <c r="BH87" s="391">
        <f t="shared" ref="BH87" si="1168">AT87+BD87</f>
        <v>0</v>
      </c>
      <c r="BI87" s="391">
        <f ca="1">AW87+IF($T87="",BE87)</f>
        <v>0</v>
      </c>
      <c r="BJ87" s="391">
        <f ca="1">BI87*$Z87</f>
        <v>0</v>
      </c>
      <c r="BK87" s="886">
        <f ca="1">IFERROR(BJ87/AT$4,0)</f>
        <v>0</v>
      </c>
      <c r="BL87" s="1007" t="str">
        <f t="shared" ref="BL87" ca="1" si="1169">IF(SUM(AY87,BG87,BK87)&lt;&gt;0,"V","")</f>
        <v/>
      </c>
      <c r="BM87" s="197">
        <f>250+-250</f>
        <v>0</v>
      </c>
      <c r="BN87" s="312" t="str">
        <f ca="1">IFERROR($X87/BO87-1,"")</f>
        <v/>
      </c>
      <c r="BO87" s="1008"/>
      <c r="BP87" s="199">
        <f ca="1">BM87*$X87</f>
        <v>0</v>
      </c>
      <c r="BQ87" s="199">
        <f ca="1">BP87*$Z87</f>
        <v>0</v>
      </c>
      <c r="BR87" s="216">
        <f ca="1">IFERROR(BQ87/BM$4,0)</f>
        <v>0</v>
      </c>
      <c r="BS87" s="202">
        <f ca="1">BT87/$X87</f>
        <v>0</v>
      </c>
      <c r="BT87" s="203">
        <f ca="1">BU87/$Z87</f>
        <v>0</v>
      </c>
      <c r="BU87" s="203">
        <f ca="1">BV87*BM$4</f>
        <v>0</v>
      </c>
      <c r="BV87" s="204">
        <f ca="1">$N87-BR87</f>
        <v>0</v>
      </c>
      <c r="BW87" s="205"/>
      <c r="BX87" s="206">
        <f ca="1">BW87*$X87</f>
        <v>0</v>
      </c>
      <c r="BY87" s="206">
        <f ca="1">BX87*$Z87</f>
        <v>0</v>
      </c>
      <c r="BZ87" s="207">
        <f ca="1">IFERROR(BY87/BM$4,0)</f>
        <v>0</v>
      </c>
      <c r="CA87" s="391">
        <f>BM87+BW87</f>
        <v>0</v>
      </c>
      <c r="CB87" s="391">
        <f ca="1">BP87+IF($T87="",BX87)</f>
        <v>0</v>
      </c>
      <c r="CC87" s="391">
        <f ca="1">CB87*$Z87</f>
        <v>0</v>
      </c>
      <c r="CD87" s="886">
        <f ca="1">IFERROR(CC87/BM$4,0)</f>
        <v>0</v>
      </c>
      <c r="CE87" s="1007" t="str">
        <f t="shared" ref="CE87" ca="1" si="1170">IF(SUM(BR87,BZ87,CD87)&lt;&gt;0,"V","")</f>
        <v/>
      </c>
      <c r="CF87" s="197">
        <f>90+-90</f>
        <v>0</v>
      </c>
      <c r="CG87" s="312" t="str">
        <f ca="1">IFERROR($X87/CH87-1,"")</f>
        <v/>
      </c>
      <c r="CH87" s="1008"/>
      <c r="CI87" s="199">
        <f ca="1">CF87*$X87</f>
        <v>0</v>
      </c>
      <c r="CJ87" s="199">
        <f ca="1">CI87*$Z87</f>
        <v>0</v>
      </c>
      <c r="CK87" s="216">
        <f ca="1">IFERROR(CJ87/CF$4,0)</f>
        <v>0</v>
      </c>
      <c r="CL87" s="202">
        <f ca="1">CM87/$X87</f>
        <v>0</v>
      </c>
      <c r="CM87" s="203">
        <f ca="1">CN87/$Z87</f>
        <v>0</v>
      </c>
      <c r="CN87" s="203">
        <f ca="1">CO87*CF$4</f>
        <v>0</v>
      </c>
      <c r="CO87" s="204">
        <f ca="1">$O87-CK87</f>
        <v>0</v>
      </c>
      <c r="CP87" s="205"/>
      <c r="CQ87" s="206">
        <f ca="1">CP87*$X87</f>
        <v>0</v>
      </c>
      <c r="CR87" s="206">
        <f ca="1">CQ87*$Z87</f>
        <v>0</v>
      </c>
      <c r="CS87" s="207">
        <f ca="1">IFERROR(CR87/CF$4,0)</f>
        <v>0</v>
      </c>
      <c r="CT87" s="391">
        <f t="shared" ref="CT87" si="1171">CF87+CP87</f>
        <v>0</v>
      </c>
      <c r="CU87" s="391">
        <f ca="1">CI87+IF($T87="",CQ87)</f>
        <v>0</v>
      </c>
      <c r="CV87" s="391">
        <f ca="1">CU87*$Z87</f>
        <v>0</v>
      </c>
      <c r="CW87" s="886">
        <f ca="1">IFERROR(CV87/CF$4,0)</f>
        <v>0</v>
      </c>
      <c r="CX87" s="1007" t="str">
        <f t="shared" ref="CX87" ca="1" si="1172">IF(SUM(CK87,CS87,CW87)&lt;&gt;0,"V","")</f>
        <v/>
      </c>
    </row>
    <row r="88" spans="1:102" ht="12.6" hidden="1" customHeight="1" outlineLevel="1" x14ac:dyDescent="0.2">
      <c r="A88" s="367"/>
      <c r="B88" s="367"/>
      <c r="C88" s="367" t="str">
        <f t="shared" ca="1" si="1165"/>
        <v>LU1900066462:EUR</v>
      </c>
      <c r="D88" s="368" t="str">
        <f t="shared" ca="1" si="1165"/>
        <v>LU1900066462</v>
      </c>
      <c r="E88" s="369" t="str">
        <f t="shared" ca="1" si="1165"/>
        <v>45209801</v>
      </c>
      <c r="F88" s="367" t="s">
        <v>773</v>
      </c>
      <c r="G88" s="414"/>
      <c r="H88" s="1683" t="str">
        <f t="shared" ca="1" si="1104"/>
        <v></v>
      </c>
      <c r="I88" s="1683" t="str">
        <f ca="1">HYPERLINK(OFFSET(Origine,MATCH($F88,Descrizioni,0),MATCH(I$16,Intestazioni,0)-1,1,1),"i")</f>
        <v>i</v>
      </c>
      <c r="J88" s="1713" t="str">
        <f ca="1">HYPERLINK(OFFSET(Origine,MATCH($F88,Descrizioni,0),MATCH(J$16,Intestazioni,0)-1,1,1),"")</f>
        <v></v>
      </c>
      <c r="K88" s="1716" t="str">
        <f ca="1">HYPERLINK(OFFSET(Origine,MATCH($F88,Descrizioni,0),MATCH(K$16,Intestazioni,0)-1,1,1),"")</f>
        <v></v>
      </c>
      <c r="L88" s="1717" t="str">
        <f ca="1">IFERROR(HYPERLINK("https://www.marketscreener.com/mods_a/charts/TV/inc_dyna_graph.php?c="&amp;OFFSET(Origine,MATCH($F88,Descrizioni,0),MATCH(L$16,Intestazioni,0)-1,1,1)&amp;"&amp;style=TradingView.CANDLES&amp;showAT=1",""),"")</f>
        <v></v>
      </c>
      <c r="M88" s="1786" t="str">
        <f ca="1">(OFFSET(Origine,MATCH($F88,Descrizioni,0),MATCH(M$16,Intestazioni,0)-1,1,1))</f>
        <v>Unit</v>
      </c>
      <c r="N88" s="1136"/>
      <c r="O88" s="1136"/>
      <c r="P88" s="418">
        <f ca="1">SUMIF($AA$16:$CD$16,"I_Ctrlv",$AA88:$CD88)/$Q$2</f>
        <v>0</v>
      </c>
      <c r="Q88" s="391">
        <f>SUMIF($AA$16:$CW$16,"I_Pos",$AA88:$CW88)</f>
        <v>0</v>
      </c>
      <c r="R88" s="391">
        <f ca="1">SUMIF($AA$16:$CW$16,"P_Pos",$AA88:$CW88)</f>
        <v>0</v>
      </c>
      <c r="S88" s="883"/>
      <c r="T88" s="883"/>
      <c r="U88" s="375">
        <f ca="1">OFFSET(Origine,MATCH($C88,smo_ids,0),MATCH(U$16,Intestazioni,0)-1,1,1)</f>
        <v>-1.48203968852049E-2</v>
      </c>
      <c r="V88" s="391">
        <f>SUMIF($AA$16:$CW$16,"O_Pos",$AA88:$CW88)</f>
        <v>0</v>
      </c>
      <c r="W88" s="367" t="str">
        <f ca="1">OFFSET(Origine,MATCH($F88,Descrizioni,0),MATCH(W$16,Intestazioni,0)-1,1,1)</f>
        <v>EUR</v>
      </c>
      <c r="X88" s="887">
        <f ca="1">_xlfn.NUMBERVALUE(OFFSET(Origine,MATCH($F88,Descrizioni,0),MATCH(X$16,Intestazioni,0)-1,1,1))</f>
        <v>39.22</v>
      </c>
      <c r="Y88" s="1041">
        <f ca="1">_xlfn.NUMBERVALUE(OFFSET(Origine,MATCH($F88,Descrizioni,0),MATCH(Y$16,Intestazioni,0)-1,1,1))</f>
        <v>0</v>
      </c>
      <c r="Z88" s="1042">
        <f ca="1">_xlfn.NUMBERVALUE(OFFSET(Origine,MATCH(W88&amp;"/"&amp;MRif,LUKB_Name,0),MATCH("Price",Intestazioni,0)-1,1,1))</f>
        <v>1</v>
      </c>
      <c r="AA88" s="197"/>
      <c r="AB88" s="312" t="str">
        <f ca="1">IFERROR($X88/AC88-1,"")</f>
        <v/>
      </c>
      <c r="AC88" s="411"/>
      <c r="AD88" s="199">
        <f ca="1">AA88*$X88</f>
        <v>0</v>
      </c>
      <c r="AE88" s="199">
        <f ca="1">AD88*$Z88</f>
        <v>0</v>
      </c>
      <c r="AF88" s="216">
        <f ca="1">IFERROR(AE88/AA$4,0)</f>
        <v>0</v>
      </c>
      <c r="AG88" s="202">
        <f ca="1">AH88/$X88</f>
        <v>0</v>
      </c>
      <c r="AH88" s="203">
        <f ca="1">AI88/$Z88</f>
        <v>0</v>
      </c>
      <c r="AI88" s="203">
        <f ca="1">AJ88*AA$4</f>
        <v>0</v>
      </c>
      <c r="AJ88" s="204">
        <f ca="1">$N88-AF88</f>
        <v>0</v>
      </c>
      <c r="AK88" s="205"/>
      <c r="AL88" s="206">
        <f ca="1">AK88*$X88</f>
        <v>0</v>
      </c>
      <c r="AM88" s="206">
        <f ca="1">AL88*$Z88</f>
        <v>0</v>
      </c>
      <c r="AN88" s="207">
        <f ca="1">IFERROR(AM88/AA$4,0)</f>
        <v>0</v>
      </c>
      <c r="AO88" s="391">
        <f>AA88+AK88</f>
        <v>0</v>
      </c>
      <c r="AP88" s="391">
        <f ca="1">AD88+IF($T88="",AL88)</f>
        <v>0</v>
      </c>
      <c r="AQ88" s="391">
        <f ca="1">AP88*$Z88</f>
        <v>0</v>
      </c>
      <c r="AR88" s="886">
        <f ca="1">IFERROR(AQ88/AA$4,0)</f>
        <v>0</v>
      </c>
      <c r="AS88" s="1007" t="str">
        <f ca="1">IF(SUM(AF88,AN88,AR88)&lt;&gt;0,"V","")</f>
        <v/>
      </c>
      <c r="AT88" s="197"/>
      <c r="AU88" s="312" t="str">
        <f ca="1">IFERROR($X88/AV88-1,"")</f>
        <v/>
      </c>
      <c r="AV88" s="411"/>
      <c r="AW88" s="199">
        <f ca="1">AT88*$X88</f>
        <v>0</v>
      </c>
      <c r="AX88" s="199">
        <f ca="1">AW88*$Z88</f>
        <v>0</v>
      </c>
      <c r="AY88" s="216">
        <f ca="1">IFERROR(AX88/AT$4,0)</f>
        <v>0</v>
      </c>
      <c r="AZ88" s="202">
        <f ca="1">BA88/$X88</f>
        <v>0</v>
      </c>
      <c r="BA88" s="203">
        <f ca="1">BB88/$Z88</f>
        <v>0</v>
      </c>
      <c r="BB88" s="203">
        <f ca="1">BC88*AT$4</f>
        <v>0</v>
      </c>
      <c r="BC88" s="204">
        <f ca="1">$N88-AY88</f>
        <v>0</v>
      </c>
      <c r="BD88" s="205"/>
      <c r="BE88" s="206">
        <f ca="1">BD88*$X88</f>
        <v>0</v>
      </c>
      <c r="BF88" s="206">
        <f ca="1">BE88*$Z88</f>
        <v>0</v>
      </c>
      <c r="BG88" s="207">
        <f ca="1">IFERROR(BF88/AT$4,0)</f>
        <v>0</v>
      </c>
      <c r="BH88" s="391">
        <f>AT88+BD88</f>
        <v>0</v>
      </c>
      <c r="BI88" s="391">
        <f ca="1">AW88+IF($T88="",BE88)</f>
        <v>0</v>
      </c>
      <c r="BJ88" s="391">
        <f ca="1">BI88*$Z88</f>
        <v>0</v>
      </c>
      <c r="BK88" s="886">
        <f ca="1">IFERROR(BJ88/AT$4,0)</f>
        <v>0</v>
      </c>
      <c r="BL88" s="1007" t="str">
        <f ca="1">IF(SUM(AY88,BG88,BK88)&lt;&gt;0,"V","")</f>
        <v/>
      </c>
      <c r="BM88" s="197"/>
      <c r="BN88" s="312" t="str">
        <f ca="1">IFERROR($X88/BO88-1,"")</f>
        <v/>
      </c>
      <c r="BO88" s="411"/>
      <c r="BP88" s="199">
        <f ca="1">BM88*$X88</f>
        <v>0</v>
      </c>
      <c r="BQ88" s="199">
        <f ca="1">BP88*$Z88</f>
        <v>0</v>
      </c>
      <c r="BR88" s="216">
        <f ca="1">IFERROR(BQ88/BM$4,0)</f>
        <v>0</v>
      </c>
      <c r="BS88" s="202">
        <f ca="1">BT88/$X88</f>
        <v>0</v>
      </c>
      <c r="BT88" s="203">
        <f ca="1">BU88/$Z88</f>
        <v>0</v>
      </c>
      <c r="BU88" s="203">
        <f ca="1">BV88*BM$4</f>
        <v>0</v>
      </c>
      <c r="BV88" s="204">
        <f ca="1">$N88-BR88</f>
        <v>0</v>
      </c>
      <c r="BW88" s="205"/>
      <c r="BX88" s="206">
        <f ca="1">BW88*$X88</f>
        <v>0</v>
      </c>
      <c r="BY88" s="206">
        <f ca="1">BX88*$Z88</f>
        <v>0</v>
      </c>
      <c r="BZ88" s="207">
        <f ca="1">IFERROR(BY88/BM$4,0)</f>
        <v>0</v>
      </c>
      <c r="CA88" s="391">
        <f>BM88+BW88</f>
        <v>0</v>
      </c>
      <c r="CB88" s="391">
        <f ca="1">BP88+IF($T88="",BX88)</f>
        <v>0</v>
      </c>
      <c r="CC88" s="391">
        <f ca="1">CB88*$Z88</f>
        <v>0</v>
      </c>
      <c r="CD88" s="886">
        <f ca="1">IFERROR(CC88/BM$4,0)</f>
        <v>0</v>
      </c>
      <c r="CE88" s="1007" t="str">
        <f ca="1">IF(SUM(BR88,BZ88,CD88)&lt;&gt;0,"V","")</f>
        <v/>
      </c>
      <c r="CF88" s="197"/>
      <c r="CG88" s="312" t="str">
        <f ca="1">IFERROR($X88/CH88-1,"")</f>
        <v/>
      </c>
      <c r="CH88" s="411"/>
      <c r="CI88" s="199">
        <f ca="1">CF88*$X88</f>
        <v>0</v>
      </c>
      <c r="CJ88" s="199">
        <f ca="1">CI88*$Z88</f>
        <v>0</v>
      </c>
      <c r="CK88" s="216">
        <f ca="1">IFERROR(CJ88/CF$4,0)</f>
        <v>0</v>
      </c>
      <c r="CL88" s="202">
        <f ca="1">CM88/$X88</f>
        <v>0</v>
      </c>
      <c r="CM88" s="203">
        <f ca="1">CN88/$Z88</f>
        <v>0</v>
      </c>
      <c r="CN88" s="203">
        <f ca="1">CO88*CF$4</f>
        <v>0</v>
      </c>
      <c r="CO88" s="204">
        <f ca="1">$O88-CK88</f>
        <v>0</v>
      </c>
      <c r="CP88" s="205"/>
      <c r="CQ88" s="206">
        <f ca="1">CP88*$X88</f>
        <v>0</v>
      </c>
      <c r="CR88" s="206">
        <f ca="1">CQ88*$Z88</f>
        <v>0</v>
      </c>
      <c r="CS88" s="207">
        <f ca="1">IFERROR(CR88/CF$4,0)</f>
        <v>0</v>
      </c>
      <c r="CT88" s="391">
        <f>CF88+CP88</f>
        <v>0</v>
      </c>
      <c r="CU88" s="391">
        <f ca="1">CI88+IF($T88="",CQ88)</f>
        <v>0</v>
      </c>
      <c r="CV88" s="391">
        <f ca="1">CU88*$Z88</f>
        <v>0</v>
      </c>
      <c r="CW88" s="886">
        <f ca="1">IFERROR(CV88/CF$4,0)</f>
        <v>0</v>
      </c>
      <c r="CX88" s="1007" t="str">
        <f ca="1">IF(SUM(CK88,CS88,CW88)&lt;&gt;0,"V","")</f>
        <v/>
      </c>
    </row>
    <row r="89" spans="1:102" ht="12.6" hidden="1" customHeight="1" outlineLevel="1" x14ac:dyDescent="0.2">
      <c r="A89" s="367"/>
      <c r="B89" s="367"/>
      <c r="C89" s="367" t="str">
        <f t="shared" ca="1" si="1102"/>
        <v>IE00B27YCK28:USD</v>
      </c>
      <c r="D89" s="368" t="str">
        <f t="shared" ca="1" si="1103"/>
        <v>IE00B27YCK28</v>
      </c>
      <c r="E89" s="369" t="str">
        <f t="shared" ca="1" si="1103"/>
        <v>3477137</v>
      </c>
      <c r="F89" s="367" t="s">
        <v>774</v>
      </c>
      <c r="G89" s="414"/>
      <c r="H89" s="1683" t="str">
        <f t="shared" ca="1" si="1104"/>
        <v></v>
      </c>
      <c r="I89" s="1683" t="str">
        <f t="shared" ca="1" si="1105"/>
        <v>i</v>
      </c>
      <c r="J89" s="1713" t="str">
        <f t="shared" ca="1" si="1106"/>
        <v></v>
      </c>
      <c r="K89" s="1716" t="str">
        <f t="shared" ca="1" si="1106"/>
        <v></v>
      </c>
      <c r="L89" s="1717" t="str">
        <f t="shared" ca="1" si="1107"/>
        <v></v>
      </c>
      <c r="M89" s="1786" t="str">
        <f t="shared" ca="1" si="1108"/>
        <v>Unit</v>
      </c>
      <c r="N89" s="1136"/>
      <c r="O89" s="1136"/>
      <c r="P89" s="418">
        <f t="shared" ca="1" si="654"/>
        <v>0</v>
      </c>
      <c r="Q89" s="391">
        <f t="shared" si="1109"/>
        <v>0</v>
      </c>
      <c r="R89" s="391">
        <f t="shared" ca="1" si="1110"/>
        <v>0</v>
      </c>
      <c r="S89" s="883"/>
      <c r="T89" s="883"/>
      <c r="U89" s="375">
        <f t="shared" ca="1" si="1111"/>
        <v>-4.8007246376811794E-2</v>
      </c>
      <c r="V89" s="391">
        <f t="shared" si="1112"/>
        <v>0</v>
      </c>
      <c r="W89" s="367" t="str">
        <f t="shared" ca="1" si="1113"/>
        <v>USD</v>
      </c>
      <c r="X89" s="887">
        <f t="shared" ca="1" si="1114"/>
        <v>21.02</v>
      </c>
      <c r="Y89" s="1041">
        <f t="shared" ca="1" si="1114"/>
        <v>0</v>
      </c>
      <c r="Z89" s="1042">
        <f t="shared" ca="1" si="1115"/>
        <v>0.86199999999999999</v>
      </c>
      <c r="AA89" s="197">
        <f>380+-380</f>
        <v>0</v>
      </c>
      <c r="AB89" s="312" t="str">
        <f t="shared" ca="1" si="1116"/>
        <v/>
      </c>
      <c r="AC89" s="411"/>
      <c r="AD89" s="199">
        <f t="shared" ca="1" si="1117"/>
        <v>0</v>
      </c>
      <c r="AE89" s="199">
        <f t="shared" ca="1" si="1118"/>
        <v>0</v>
      </c>
      <c r="AF89" s="216">
        <f t="shared" ca="1" si="292"/>
        <v>0</v>
      </c>
      <c r="AG89" s="202">
        <f t="shared" ca="1" si="1119"/>
        <v>0</v>
      </c>
      <c r="AH89" s="203">
        <f t="shared" ca="1" si="1120"/>
        <v>0</v>
      </c>
      <c r="AI89" s="203">
        <f t="shared" ca="1" si="1121"/>
        <v>0</v>
      </c>
      <c r="AJ89" s="204">
        <f t="shared" ca="1" si="1122"/>
        <v>0</v>
      </c>
      <c r="AK89" s="205"/>
      <c r="AL89" s="206">
        <f t="shared" ca="1" si="1123"/>
        <v>0</v>
      </c>
      <c r="AM89" s="206">
        <f t="shared" ca="1" si="1124"/>
        <v>0</v>
      </c>
      <c r="AN89" s="207">
        <f t="shared" ca="1" si="299"/>
        <v>0</v>
      </c>
      <c r="AO89" s="391">
        <f t="shared" si="1125"/>
        <v>0</v>
      </c>
      <c r="AP89" s="391">
        <f t="shared" ca="1" si="1096"/>
        <v>0</v>
      </c>
      <c r="AQ89" s="391">
        <f t="shared" ca="1" si="1126"/>
        <v>0</v>
      </c>
      <c r="AR89" s="886">
        <f t="shared" ca="1" si="1159"/>
        <v>0</v>
      </c>
      <c r="AS89" s="1007" t="str">
        <f t="shared" ca="1" si="957"/>
        <v/>
      </c>
      <c r="AT89" s="197">
        <f>1600+-800+-800</f>
        <v>0</v>
      </c>
      <c r="AU89" s="312" t="str">
        <f t="shared" ca="1" si="1127"/>
        <v/>
      </c>
      <c r="AV89" s="411"/>
      <c r="AW89" s="199">
        <f t="shared" ca="1" si="1128"/>
        <v>0</v>
      </c>
      <c r="AX89" s="199">
        <f t="shared" ca="1" si="1129"/>
        <v>0</v>
      </c>
      <c r="AY89" s="216">
        <f t="shared" ca="1" si="307"/>
        <v>0</v>
      </c>
      <c r="AZ89" s="202">
        <f t="shared" ca="1" si="1130"/>
        <v>0</v>
      </c>
      <c r="BA89" s="203">
        <f t="shared" ca="1" si="1131"/>
        <v>0</v>
      </c>
      <c r="BB89" s="203">
        <f t="shared" ca="1" si="1132"/>
        <v>0</v>
      </c>
      <c r="BC89" s="204">
        <f t="shared" ca="1" si="1133"/>
        <v>0</v>
      </c>
      <c r="BD89" s="205"/>
      <c r="BE89" s="206">
        <f t="shared" ca="1" si="1134"/>
        <v>0</v>
      </c>
      <c r="BF89" s="206">
        <f t="shared" ca="1" si="1135"/>
        <v>0</v>
      </c>
      <c r="BG89" s="207">
        <f t="shared" ca="1" si="314"/>
        <v>0</v>
      </c>
      <c r="BH89" s="391">
        <f t="shared" si="1136"/>
        <v>0</v>
      </c>
      <c r="BI89" s="391">
        <f t="shared" ca="1" si="1097"/>
        <v>0</v>
      </c>
      <c r="BJ89" s="391">
        <f t="shared" ca="1" si="1137"/>
        <v>0</v>
      </c>
      <c r="BK89" s="886">
        <f t="shared" ca="1" si="1160"/>
        <v>0</v>
      </c>
      <c r="BL89" s="1007" t="str">
        <f t="shared" ca="1" si="958"/>
        <v/>
      </c>
      <c r="BM89" s="197">
        <f t="shared" si="1158"/>
        <v>0</v>
      </c>
      <c r="BN89" s="312" t="str">
        <f t="shared" ca="1" si="1138"/>
        <v/>
      </c>
      <c r="BO89" s="411"/>
      <c r="BP89" s="199">
        <f t="shared" ca="1" si="1139"/>
        <v>0</v>
      </c>
      <c r="BQ89" s="199">
        <f t="shared" ca="1" si="1140"/>
        <v>0</v>
      </c>
      <c r="BR89" s="216">
        <f t="shared" ca="1" si="1098"/>
        <v>0</v>
      </c>
      <c r="BS89" s="202">
        <f t="shared" ca="1" si="1141"/>
        <v>0</v>
      </c>
      <c r="BT89" s="203">
        <f t="shared" ca="1" si="1142"/>
        <v>0</v>
      </c>
      <c r="BU89" s="203">
        <f t="shared" ca="1" si="1143"/>
        <v>0</v>
      </c>
      <c r="BV89" s="204">
        <f t="shared" ca="1" si="1144"/>
        <v>0</v>
      </c>
      <c r="BW89" s="205"/>
      <c r="BX89" s="206">
        <f t="shared" ca="1" si="1161"/>
        <v>0</v>
      </c>
      <c r="BY89" s="206">
        <f t="shared" ca="1" si="1162"/>
        <v>0</v>
      </c>
      <c r="BZ89" s="207">
        <f t="shared" ca="1" si="1099"/>
        <v>0</v>
      </c>
      <c r="CA89" s="391">
        <f t="shared" si="1163"/>
        <v>0</v>
      </c>
      <c r="CB89" s="391">
        <f t="shared" ca="1" si="1100"/>
        <v>0</v>
      </c>
      <c r="CC89" s="391">
        <f t="shared" ca="1" si="1145"/>
        <v>0</v>
      </c>
      <c r="CD89" s="886">
        <f t="shared" ca="1" si="1164"/>
        <v>0</v>
      </c>
      <c r="CE89" s="1007" t="str">
        <f t="shared" ca="1" si="959"/>
        <v/>
      </c>
      <c r="CF89" s="197"/>
      <c r="CG89" s="312" t="str">
        <f t="shared" ca="1" si="1146"/>
        <v/>
      </c>
      <c r="CH89" s="411"/>
      <c r="CI89" s="199">
        <f t="shared" ca="1" si="1147"/>
        <v>0</v>
      </c>
      <c r="CJ89" s="199">
        <f t="shared" ca="1" si="1148"/>
        <v>0</v>
      </c>
      <c r="CK89" s="216">
        <f t="shared" ca="1" si="334"/>
        <v>0</v>
      </c>
      <c r="CL89" s="202">
        <f t="shared" ca="1" si="1149"/>
        <v>0</v>
      </c>
      <c r="CM89" s="203">
        <f t="shared" ca="1" si="1150"/>
        <v>0</v>
      </c>
      <c r="CN89" s="203">
        <f t="shared" ca="1" si="1151"/>
        <v>0</v>
      </c>
      <c r="CO89" s="204">
        <f t="shared" ca="1" si="1152"/>
        <v>0</v>
      </c>
      <c r="CP89" s="205"/>
      <c r="CQ89" s="206">
        <f t="shared" ca="1" si="1153"/>
        <v>0</v>
      </c>
      <c r="CR89" s="206">
        <f t="shared" ca="1" si="1154"/>
        <v>0</v>
      </c>
      <c r="CS89" s="207">
        <f t="shared" ca="1" si="341"/>
        <v>0</v>
      </c>
      <c r="CT89" s="391">
        <f t="shared" si="1155"/>
        <v>0</v>
      </c>
      <c r="CU89" s="391">
        <f t="shared" ca="1" si="1101"/>
        <v>0</v>
      </c>
      <c r="CV89" s="391">
        <f t="shared" ca="1" si="1156"/>
        <v>0</v>
      </c>
      <c r="CW89" s="886">
        <f t="shared" ca="1" si="345"/>
        <v>0</v>
      </c>
      <c r="CX89" s="1007" t="str">
        <f t="shared" ca="1" si="960"/>
        <v/>
      </c>
    </row>
    <row r="90" spans="1:102" ht="12.6" hidden="1" customHeight="1" outlineLevel="1" x14ac:dyDescent="0.2">
      <c r="A90" s="367"/>
      <c r="B90" s="367"/>
      <c r="C90" s="367" t="str">
        <f ca="1">OFFSET(Origine,MATCH($F90,Descrizioni,0),MATCH(C$16,Intestazioni,0)-1,1,1)</f>
        <v>LU0346390940:USD</v>
      </c>
      <c r="D90" s="368" t="str">
        <f ca="1">OFFSET(Origine,MATCH($F90,Descrizioni,0),MATCH(D$16,Intestazioni,0)-1,1,1)</f>
        <v>LU0346390940</v>
      </c>
      <c r="E90" s="369" t="str">
        <f ca="1">OFFSET(Origine,MATCH($F90,Descrizioni,0),MATCH(E$16,Intestazioni,0)-1,1,1)</f>
        <v>3913456</v>
      </c>
      <c r="F90" s="367" t="s">
        <v>860</v>
      </c>
      <c r="G90" s="414"/>
      <c r="H90" s="1683" t="str">
        <f t="shared" ca="1" si="1104"/>
        <v></v>
      </c>
      <c r="I90" s="1683" t="str">
        <f ca="1">HYPERLINK(OFFSET(Origine,MATCH($F90,Descrizioni,0),MATCH(I$16,Intestazioni,0)-1,1,1),"i")</f>
        <v>i</v>
      </c>
      <c r="J90" s="1713" t="str">
        <f ca="1">HYPERLINK(OFFSET(Origine,MATCH($F90,Descrizioni,0),MATCH(J$16,Intestazioni,0)-1,1,1),"")</f>
        <v></v>
      </c>
      <c r="K90" s="1716" t="str">
        <f ca="1">HYPERLINK(OFFSET(Origine,MATCH($F90,Descrizioni,0),MATCH(K$16,Intestazioni,0)-1,1,1),"")</f>
        <v></v>
      </c>
      <c r="L90" s="1717" t="str">
        <f ca="1">IFERROR(HYPERLINK("https://www.marketscreener.com/mods_a/charts/TV/inc_dyna_graph.php?c="&amp;OFFSET(Origine,MATCH($F90,Descrizioni,0),MATCH(L$16,Intestazioni,0)-1,1,1)&amp;"&amp;style=TradingView.CANDLES&amp;showAT=1",""),"")</f>
        <v></v>
      </c>
      <c r="M90" s="1786" t="str">
        <f ca="1">(OFFSET(Origine,MATCH($F90,Descrizioni,0),MATCH(M$16,Intestazioni,0)-1,1,1))</f>
        <v>Unit</v>
      </c>
      <c r="N90" s="1136"/>
      <c r="O90" s="1136"/>
      <c r="P90" s="418">
        <f ca="1">SUMIF($AA$16:$CD$16,"I_Ctrlv",$AA90:$CD90)/$Q$2</f>
        <v>0</v>
      </c>
      <c r="Q90" s="391">
        <f>SUMIF($AA$16:$CW$16,"I_Pos",$AA90:$CW90)</f>
        <v>0</v>
      </c>
      <c r="R90" s="391">
        <f ca="1">SUMIF($AA$16:$CW$16,"P_Pos",$AA90:$CW90)</f>
        <v>0</v>
      </c>
      <c r="S90" s="883"/>
      <c r="T90" s="883"/>
      <c r="U90" s="375">
        <f ca="1">OFFSET(Origine,MATCH($C90,smo_ids,0),MATCH(U$16,Intestazioni,0)-1,1,1)</f>
        <v>-1.1340623734305433E-2</v>
      </c>
      <c r="V90" s="391">
        <f>SUMIF($AA$16:$CW$16,"O_Pos",$AA90:$CW90)</f>
        <v>0</v>
      </c>
      <c r="W90" s="367" t="str">
        <f ca="1">OFFSET(Origine,MATCH($F90,Descrizioni,0),MATCH(W$16,Intestazioni,0)-1,1,1)</f>
        <v>USD</v>
      </c>
      <c r="X90" s="887">
        <f ca="1">_xlfn.NUMBERVALUE(OFFSET(Origine,MATCH($F90,Descrizioni,0),MATCH(X$16,Intestazioni,0)-1,1,1))</f>
        <v>24.41</v>
      </c>
      <c r="Y90" s="1041">
        <f ca="1">_xlfn.NUMBERVALUE(OFFSET(Origine,MATCH($F90,Descrizioni,0),MATCH(Y$16,Intestazioni,0)-1,1,1))</f>
        <v>0</v>
      </c>
      <c r="Z90" s="1042">
        <f ca="1">_xlfn.NUMBERVALUE(OFFSET(Origine,MATCH(W90&amp;"/"&amp;MRif,LUKB_Name,0),MATCH("Price",Intestazioni,0)-1,1,1))</f>
        <v>0.86199999999999999</v>
      </c>
      <c r="AA90" s="197"/>
      <c r="AB90" s="312" t="str">
        <f ca="1">IFERROR($X90/AC90-1,"")</f>
        <v/>
      </c>
      <c r="AC90" s="411"/>
      <c r="AD90" s="199">
        <f ca="1">AA90*$X90</f>
        <v>0</v>
      </c>
      <c r="AE90" s="199">
        <f ca="1">AD90*$Z90</f>
        <v>0</v>
      </c>
      <c r="AF90" s="216">
        <f ca="1">IFERROR(AE90/AA$4,0)</f>
        <v>0</v>
      </c>
      <c r="AG90" s="202">
        <f ca="1">AH90/$X90</f>
        <v>0</v>
      </c>
      <c r="AH90" s="203">
        <f ca="1">AI90/$Z90</f>
        <v>0</v>
      </c>
      <c r="AI90" s="203">
        <f ca="1">AJ90*AA$4</f>
        <v>0</v>
      </c>
      <c r="AJ90" s="204">
        <f ca="1">$N90-AF90</f>
        <v>0</v>
      </c>
      <c r="AK90" s="205"/>
      <c r="AL90" s="206">
        <f ca="1">AK90*$X90</f>
        <v>0</v>
      </c>
      <c r="AM90" s="206">
        <f ca="1">AL90*$Z90</f>
        <v>0</v>
      </c>
      <c r="AN90" s="207">
        <f ca="1">IFERROR(AM90/AA$4,0)</f>
        <v>0</v>
      </c>
      <c r="AO90" s="391">
        <f>AA90+AK90</f>
        <v>0</v>
      </c>
      <c r="AP90" s="391">
        <f ca="1">AD90+IF($T90="",AL90)</f>
        <v>0</v>
      </c>
      <c r="AQ90" s="391">
        <f ca="1">AP90*$Z90</f>
        <v>0</v>
      </c>
      <c r="AR90" s="886">
        <f ca="1">IFERROR(AQ90/AA$4,0)</f>
        <v>0</v>
      </c>
      <c r="AS90" s="1007" t="str">
        <f ca="1">IF(SUM(AF90,AN90,AR90)&lt;&gt;0,"V","")</f>
        <v/>
      </c>
      <c r="AT90" s="197"/>
      <c r="AU90" s="312" t="str">
        <f ca="1">IFERROR($X90/AV90-1,"")</f>
        <v/>
      </c>
      <c r="AV90" s="411"/>
      <c r="AW90" s="199">
        <f ca="1">AT90*$X90</f>
        <v>0</v>
      </c>
      <c r="AX90" s="199">
        <f ca="1">AW90*$Z90</f>
        <v>0</v>
      </c>
      <c r="AY90" s="216">
        <f ca="1">IFERROR(AX90/AT$4,0)</f>
        <v>0</v>
      </c>
      <c r="AZ90" s="202">
        <f ca="1">BA90/$X90</f>
        <v>0</v>
      </c>
      <c r="BA90" s="203">
        <f ca="1">BB90/$Z90</f>
        <v>0</v>
      </c>
      <c r="BB90" s="203">
        <f ca="1">BC90*AT$4</f>
        <v>0</v>
      </c>
      <c r="BC90" s="204">
        <f ca="1">$N90-AY90</f>
        <v>0</v>
      </c>
      <c r="BD90" s="205"/>
      <c r="BE90" s="206">
        <f ca="1">BD90*$X90</f>
        <v>0</v>
      </c>
      <c r="BF90" s="206">
        <f ca="1">BE90*$Z90</f>
        <v>0</v>
      </c>
      <c r="BG90" s="207">
        <f ca="1">IFERROR(BF90/AT$4,0)</f>
        <v>0</v>
      </c>
      <c r="BH90" s="391">
        <f>AT90+BD90</f>
        <v>0</v>
      </c>
      <c r="BI90" s="391">
        <f ca="1">AW90+IF($T90="",BE90)</f>
        <v>0</v>
      </c>
      <c r="BJ90" s="391">
        <f ca="1">BI90*$Z90</f>
        <v>0</v>
      </c>
      <c r="BK90" s="886">
        <f ca="1">IFERROR(BJ90/AT$4,0)</f>
        <v>0</v>
      </c>
      <c r="BL90" s="1007" t="str">
        <f ca="1">IF(SUM(AY90,BG90,BK90)&lt;&gt;0,"V","")</f>
        <v/>
      </c>
      <c r="BM90" s="197">
        <f t="shared" ref="BM90" si="1173">50+-50</f>
        <v>0</v>
      </c>
      <c r="BN90" s="312" t="str">
        <f ca="1">IFERROR($X90/BO90-1,"")</f>
        <v/>
      </c>
      <c r="BO90" s="411"/>
      <c r="BP90" s="199">
        <f ca="1">BM90*$X90</f>
        <v>0</v>
      </c>
      <c r="BQ90" s="199">
        <f ca="1">BP90*$Z90</f>
        <v>0</v>
      </c>
      <c r="BR90" s="216">
        <f ca="1">IFERROR(BQ90/BM$4,0)</f>
        <v>0</v>
      </c>
      <c r="BS90" s="202">
        <f ca="1">BT90/$X90</f>
        <v>0</v>
      </c>
      <c r="BT90" s="203">
        <f ca="1">BU90/$Z90</f>
        <v>0</v>
      </c>
      <c r="BU90" s="203">
        <f ca="1">BV90*BM$4</f>
        <v>0</v>
      </c>
      <c r="BV90" s="204">
        <f ca="1">$N90-BR90</f>
        <v>0</v>
      </c>
      <c r="BW90" s="205"/>
      <c r="BX90" s="206">
        <f ca="1">BW90*$X90</f>
        <v>0</v>
      </c>
      <c r="BY90" s="206">
        <f ca="1">BX90*$Z90</f>
        <v>0</v>
      </c>
      <c r="BZ90" s="207">
        <f ca="1">IFERROR(BY90/BM$4,0)</f>
        <v>0</v>
      </c>
      <c r="CA90" s="391">
        <f>BM88+BW90</f>
        <v>0</v>
      </c>
      <c r="CB90" s="391">
        <f ca="1">BP90+IF($T90="",BX90)</f>
        <v>0</v>
      </c>
      <c r="CC90" s="391">
        <f ca="1">CB90*$Z90</f>
        <v>0</v>
      </c>
      <c r="CD90" s="886">
        <f ca="1">IFERROR(CC90/BM$4,0)</f>
        <v>0</v>
      </c>
      <c r="CE90" s="1007" t="str">
        <f ca="1">IF(SUM(BR90,BZ90,CD90)&lt;&gt;0,"V","")</f>
        <v/>
      </c>
      <c r="CF90" s="197"/>
      <c r="CG90" s="312" t="str">
        <f ca="1">IFERROR($X90/CH90-1,"")</f>
        <v/>
      </c>
      <c r="CH90" s="411"/>
      <c r="CI90" s="199">
        <f ca="1">CF90*$X90</f>
        <v>0</v>
      </c>
      <c r="CJ90" s="199">
        <f ca="1">CI90*$Z90</f>
        <v>0</v>
      </c>
      <c r="CK90" s="216">
        <f ca="1">IFERROR(CJ90/CF$4,0)</f>
        <v>0</v>
      </c>
      <c r="CL90" s="202">
        <f ca="1">CM90/$X90</f>
        <v>0</v>
      </c>
      <c r="CM90" s="203">
        <f ca="1">CN90/$Z90</f>
        <v>0</v>
      </c>
      <c r="CN90" s="203">
        <f ca="1">CO90*CF$4</f>
        <v>0</v>
      </c>
      <c r="CO90" s="204">
        <f ca="1">$O90-CK90</f>
        <v>0</v>
      </c>
      <c r="CP90" s="205"/>
      <c r="CQ90" s="206">
        <f ca="1">CP90*$X90</f>
        <v>0</v>
      </c>
      <c r="CR90" s="206">
        <f ca="1">CQ90*$Z90</f>
        <v>0</v>
      </c>
      <c r="CS90" s="207">
        <f ca="1">IFERROR(CR90/CF$4,0)</f>
        <v>0</v>
      </c>
      <c r="CT90" s="391">
        <f>CF90+CP90</f>
        <v>0</v>
      </c>
      <c r="CU90" s="391">
        <f ca="1">CI90+IF($T90="",CQ90)</f>
        <v>0</v>
      </c>
      <c r="CV90" s="391">
        <f ca="1">CU90*$Z90</f>
        <v>0</v>
      </c>
      <c r="CW90" s="886">
        <f ca="1">IFERROR(CV90/CF$4,0)</f>
        <v>0</v>
      </c>
      <c r="CX90" s="1007" t="str">
        <f ca="1">IF(SUM(CK90,CS90,CW90)&lt;&gt;0,"V","")</f>
        <v/>
      </c>
    </row>
    <row r="91" spans="1:102" ht="12.6" hidden="1" customHeight="1" outlineLevel="1" x14ac:dyDescent="0.2">
      <c r="A91" s="367"/>
      <c r="B91" s="367"/>
      <c r="C91" s="367" t="str">
        <f t="shared" ca="1" si="1102"/>
        <v>LU0407233740:EUR</v>
      </c>
      <c r="D91" s="368" t="str">
        <f t="shared" ca="1" si="1103"/>
        <v>LU0407233740</v>
      </c>
      <c r="E91" s="369" t="str">
        <f t="shared" ca="1" si="1103"/>
        <v>4937198</v>
      </c>
      <c r="F91" s="367" t="s">
        <v>848</v>
      </c>
      <c r="G91" s="414"/>
      <c r="H91" s="1683" t="str">
        <f t="shared" ca="1" si="1104"/>
        <v></v>
      </c>
      <c r="I91" s="1683" t="str">
        <f t="shared" ca="1" si="1105"/>
        <v>i</v>
      </c>
      <c r="J91" s="1713" t="str">
        <f t="shared" ca="1" si="1106"/>
        <v></v>
      </c>
      <c r="K91" s="1716" t="str">
        <f t="shared" ca="1" si="1106"/>
        <v></v>
      </c>
      <c r="L91" s="1717" t="str">
        <f t="shared" ca="1" si="1107"/>
        <v></v>
      </c>
      <c r="M91" s="1786" t="str">
        <f t="shared" ca="1" si="1108"/>
        <v>Unit</v>
      </c>
      <c r="N91" s="1136"/>
      <c r="O91" s="1136"/>
      <c r="P91" s="418">
        <f t="shared" ca="1" si="654"/>
        <v>2.2042097950700626E-2</v>
      </c>
      <c r="Q91" s="391">
        <f t="shared" si="1109"/>
        <v>124.90299999999999</v>
      </c>
      <c r="R91" s="391">
        <f t="shared" ca="1" si="1110"/>
        <v>-124.90299999999999</v>
      </c>
      <c r="S91" s="883"/>
      <c r="T91" s="883"/>
      <c r="U91" s="375">
        <f t="shared" ca="1" si="1111"/>
        <v>-8.8411959236012836E-3</v>
      </c>
      <c r="V91" s="391">
        <f t="shared" si="1112"/>
        <v>0</v>
      </c>
      <c r="W91" s="367" t="str">
        <f t="shared" ca="1" si="1113"/>
        <v>EUR</v>
      </c>
      <c r="X91" s="887">
        <f t="shared" ca="1" si="1114"/>
        <v>440.58</v>
      </c>
      <c r="Y91" s="1041">
        <f t="shared" ca="1" si="1114"/>
        <v>0</v>
      </c>
      <c r="Z91" s="1042">
        <f t="shared" ref="Z91" ca="1" si="1174">_xlfn.NUMBERVALUE(OFFSET(Origine,MATCH(W91&amp;"/"&amp;MRif,LUKB_Name,0),MATCH("Price",Intestazioni,0)-1,1,1))</f>
        <v>1</v>
      </c>
      <c r="AA91" s="1142">
        <v>33.954000000000001</v>
      </c>
      <c r="AB91" s="312">
        <f t="shared" ref="AB91" ca="1" si="1175">IFERROR($X91/AC91-1,"")</f>
        <v>6.9439795403918758E-2</v>
      </c>
      <c r="AC91" s="411">
        <v>411.97269999999997</v>
      </c>
      <c r="AD91" s="199">
        <f t="shared" ref="AD91" ca="1" si="1176">AA91*$X91</f>
        <v>14959.453320000001</v>
      </c>
      <c r="AE91" s="199">
        <f t="shared" ref="AE91" ca="1" si="1177">AD91*$Z91</f>
        <v>14959.453320000001</v>
      </c>
      <c r="AF91" s="216">
        <f t="shared" ref="AF91" ca="1" si="1178">IFERROR(AE91/AA$4,0)</f>
        <v>2.1277568427683215E-2</v>
      </c>
      <c r="AG91" s="202">
        <f t="shared" ref="AG91" ca="1" si="1179">AH91/$X91</f>
        <v>-33.954000000000001</v>
      </c>
      <c r="AH91" s="203">
        <f t="shared" ref="AH91" ca="1" si="1180">AI91/$Z91</f>
        <v>-14959.453319999999</v>
      </c>
      <c r="AI91" s="203">
        <f t="shared" ref="AI91" ca="1" si="1181">AJ91*AA$4</f>
        <v>-14959.453319999999</v>
      </c>
      <c r="AJ91" s="204">
        <f t="shared" ref="AJ91" ca="1" si="1182">$N91-AF91</f>
        <v>-2.1277568427683215E-2</v>
      </c>
      <c r="AK91" s="205"/>
      <c r="AL91" s="206">
        <f t="shared" ref="AL91" ca="1" si="1183">AK91*$X91</f>
        <v>0</v>
      </c>
      <c r="AM91" s="206">
        <f t="shared" ref="AM91" ca="1" si="1184">AL91*$Z91</f>
        <v>0</v>
      </c>
      <c r="AN91" s="207">
        <f t="shared" ref="AN91" ca="1" si="1185">IFERROR(AM91/AA$4,0)</f>
        <v>0</v>
      </c>
      <c r="AO91" s="391">
        <f t="shared" ref="AO91" si="1186">AA91+AK91</f>
        <v>33.954000000000001</v>
      </c>
      <c r="AP91" s="391">
        <f t="shared" ref="AP91" ca="1" si="1187">AD91+IF($T91="",AL91)</f>
        <v>14959.453320000001</v>
      </c>
      <c r="AQ91" s="391">
        <f t="shared" ref="AQ91" ca="1" si="1188">AP91*$Z91</f>
        <v>14959.453320000001</v>
      </c>
      <c r="AR91" s="886">
        <f t="shared" ref="AR91" ca="1" si="1189">IFERROR(AQ91/AA$4,0)</f>
        <v>2.1277568427683215E-2</v>
      </c>
      <c r="AS91" s="1007" t="str">
        <f t="shared" ref="AS91" ca="1" si="1190">IF(SUM(AF91,AN91,AR91)&lt;&gt;0,"V","")</f>
        <v>V</v>
      </c>
      <c r="AT91" s="1142">
        <v>63.058</v>
      </c>
      <c r="AU91" s="312">
        <f t="shared" ref="AU91" ca="1" si="1191">IFERROR($X91/AV91-1,"")</f>
        <v>3.3727415808159966E-2</v>
      </c>
      <c r="AV91" s="411">
        <v>426.20519999999999</v>
      </c>
      <c r="AW91" s="199">
        <f t="shared" ref="AW91" ca="1" si="1192">AT91*$X91</f>
        <v>27782.093639999999</v>
      </c>
      <c r="AX91" s="199">
        <f t="shared" ref="AX91" ca="1" si="1193">AW91*$Z91</f>
        <v>27782.093639999999</v>
      </c>
      <c r="AY91" s="216">
        <f t="shared" ref="AY91" ca="1" si="1194">IFERROR(AX91/AT$4,0)</f>
        <v>2.3924557784257665E-2</v>
      </c>
      <c r="AZ91" s="202">
        <f t="shared" ref="AZ91" ca="1" si="1195">BA91/$X91</f>
        <v>-63.058</v>
      </c>
      <c r="BA91" s="203">
        <f t="shared" ref="BA91" ca="1" si="1196">BB91/$Z91</f>
        <v>-27782.093639999999</v>
      </c>
      <c r="BB91" s="203">
        <f t="shared" ref="BB91" ca="1" si="1197">BC91*AT$4</f>
        <v>-27782.093639999999</v>
      </c>
      <c r="BC91" s="204">
        <f t="shared" ref="BC91" ca="1" si="1198">$N91-AY91</f>
        <v>-2.3924557784257665E-2</v>
      </c>
      <c r="BD91" s="205"/>
      <c r="BE91" s="206">
        <f t="shared" ref="BE91" ca="1" si="1199">BD91*$X91</f>
        <v>0</v>
      </c>
      <c r="BF91" s="206">
        <f t="shared" ref="BF91" ca="1" si="1200">BE91*$Z91</f>
        <v>0</v>
      </c>
      <c r="BG91" s="207">
        <f t="shared" ref="BG91" ca="1" si="1201">IFERROR(BF91/AT$4,0)</f>
        <v>0</v>
      </c>
      <c r="BH91" s="391">
        <f t="shared" ref="BH91" si="1202">AT91+BD91</f>
        <v>63.058</v>
      </c>
      <c r="BI91" s="391">
        <f t="shared" ref="BI91" ca="1" si="1203">AW91+IF($T91="",BE91)</f>
        <v>27782.093639999999</v>
      </c>
      <c r="BJ91" s="391">
        <f t="shared" ref="BJ91" ca="1" si="1204">BI91*$Z91</f>
        <v>27782.093639999999</v>
      </c>
      <c r="BK91" s="886">
        <f t="shared" ref="BK91" ca="1" si="1205">IFERROR(BJ91/AT$4,0)</f>
        <v>2.3924557784257665E-2</v>
      </c>
      <c r="BL91" s="1007" t="str">
        <f t="shared" ref="BL91" ca="1" si="1206">IF(SUM(AY91,BG91,BK91)&lt;&gt;0,"V","")</f>
        <v>V</v>
      </c>
      <c r="BM91" s="1142">
        <v>27.890999999999998</v>
      </c>
      <c r="BN91" s="312">
        <f t="shared" ref="BN91" ca="1" si="1207">IFERROR($X91/BO91-1,"")</f>
        <v>0.11515525812232341</v>
      </c>
      <c r="BO91" s="411">
        <v>395.084</v>
      </c>
      <c r="BP91" s="199">
        <f t="shared" ref="BP91" ca="1" si="1208">BM91*$X91</f>
        <v>12288.216779999999</v>
      </c>
      <c r="BQ91" s="199">
        <f t="shared" ref="BQ91" ca="1" si="1209">BP91*$Z91</f>
        <v>12288.216779999999</v>
      </c>
      <c r="BR91" s="216">
        <f t="shared" ref="BR91" ca="1" si="1210">IFERROR(BQ91/BM$4,0)</f>
        <v>1.9434895789582348E-2</v>
      </c>
      <c r="BS91" s="202">
        <f t="shared" ref="BS91" ca="1" si="1211">BT91/$X91</f>
        <v>-27.890999999999995</v>
      </c>
      <c r="BT91" s="203">
        <f t="shared" ref="BT91" ca="1" si="1212">BU91/$Z91</f>
        <v>-12288.216779999997</v>
      </c>
      <c r="BU91" s="203">
        <f t="shared" ref="BU91" ca="1" si="1213">BV91*BM$4</f>
        <v>-12288.216779999997</v>
      </c>
      <c r="BV91" s="204">
        <f t="shared" ref="BV91" ca="1" si="1214">$N91-BR91</f>
        <v>-1.9434895789582348E-2</v>
      </c>
      <c r="BW91" s="205"/>
      <c r="BX91" s="206">
        <f t="shared" ref="BX91" ca="1" si="1215">BW91*$X91</f>
        <v>0</v>
      </c>
      <c r="BY91" s="206">
        <f t="shared" ref="BY91" ca="1" si="1216">BX91*$Z91</f>
        <v>0</v>
      </c>
      <c r="BZ91" s="207">
        <f t="shared" ref="BZ91" ca="1" si="1217">IFERROR(BY91/BM$4,0)</f>
        <v>0</v>
      </c>
      <c r="CA91" s="391">
        <f>BM92+BW91</f>
        <v>0</v>
      </c>
      <c r="CB91" s="391">
        <f t="shared" ref="CB91" ca="1" si="1218">BP91+IF($T91="",BX91)</f>
        <v>12288.216779999999</v>
      </c>
      <c r="CC91" s="391">
        <f t="shared" ref="CC91" ca="1" si="1219">CB91*$Z91</f>
        <v>12288.216779999999</v>
      </c>
      <c r="CD91" s="886">
        <f t="shared" ref="CD91" ca="1" si="1220">IFERROR(CC91/BM$4,0)</f>
        <v>1.9434895789582348E-2</v>
      </c>
      <c r="CE91" s="1007" t="str">
        <f t="shared" ref="CE91" ca="1" si="1221">IF(SUM(BR91,BZ91,CD91)&lt;&gt;0,"V","")</f>
        <v>V</v>
      </c>
      <c r="CF91" s="1142"/>
      <c r="CG91" s="312" t="str">
        <f t="shared" ref="CG91" ca="1" si="1222">IFERROR($X91/CH91-1,"")</f>
        <v/>
      </c>
      <c r="CH91" s="411"/>
      <c r="CI91" s="199">
        <f t="shared" ref="CI91" ca="1" si="1223">CF91*$X91</f>
        <v>0</v>
      </c>
      <c r="CJ91" s="199">
        <f t="shared" ref="CJ91" ca="1" si="1224">CI91*$Z91</f>
        <v>0</v>
      </c>
      <c r="CK91" s="216">
        <f t="shared" ref="CK91" ca="1" si="1225">IFERROR(CJ91/CF$4,0)</f>
        <v>0</v>
      </c>
      <c r="CL91" s="202">
        <f t="shared" ref="CL91" ca="1" si="1226">CM91/$X91</f>
        <v>0</v>
      </c>
      <c r="CM91" s="203">
        <f t="shared" ref="CM91" ca="1" si="1227">CN91/$Z91</f>
        <v>0</v>
      </c>
      <c r="CN91" s="203">
        <f t="shared" ref="CN91" ca="1" si="1228">CO91*CF$4</f>
        <v>0</v>
      </c>
      <c r="CO91" s="204">
        <f t="shared" ref="CO91" ca="1" si="1229">$O91-CK91</f>
        <v>0</v>
      </c>
      <c r="CP91" s="205"/>
      <c r="CQ91" s="206">
        <f t="shared" ref="CQ91" ca="1" si="1230">CP91*$X91</f>
        <v>0</v>
      </c>
      <c r="CR91" s="206">
        <f t="shared" ref="CR91" ca="1" si="1231">CQ91*$Z91</f>
        <v>0</v>
      </c>
      <c r="CS91" s="207">
        <f t="shared" ref="CS91" ca="1" si="1232">IFERROR(CR91/CF$4,0)</f>
        <v>0</v>
      </c>
      <c r="CT91" s="391">
        <f t="shared" ref="CT91" si="1233">CF91+CP91</f>
        <v>0</v>
      </c>
      <c r="CU91" s="391">
        <f t="shared" ref="CU91" ca="1" si="1234">CI91+IF($T91="",CQ91)</f>
        <v>0</v>
      </c>
      <c r="CV91" s="391">
        <f t="shared" ref="CV91" ca="1" si="1235">CU91*$Z91</f>
        <v>0</v>
      </c>
      <c r="CW91" s="886">
        <f t="shared" ref="CW91" ca="1" si="1236">IFERROR(CV91/CF$4,0)</f>
        <v>0</v>
      </c>
      <c r="CX91" s="1007" t="str">
        <f t="shared" ref="CX91" ca="1" si="1237">IF(SUM(CK91,CS91,CW91)&lt;&gt;0,"V","")</f>
        <v/>
      </c>
    </row>
    <row r="92" spans="1:102" collapsed="1" x14ac:dyDescent="0.2">
      <c r="A92" s="346"/>
      <c r="B92" s="346" t="s">
        <v>423</v>
      </c>
      <c r="C92" s="346"/>
      <c r="D92" s="1140"/>
      <c r="E92" s="348"/>
      <c r="F92" s="346"/>
      <c r="G92" s="349"/>
      <c r="H92" s="1750"/>
      <c r="I92" s="1750"/>
      <c r="J92" s="1750"/>
      <c r="K92" s="1750"/>
      <c r="L92" s="1750"/>
      <c r="M92" s="1785"/>
      <c r="N92" s="1134">
        <f>SUM(N93:N94)</f>
        <v>2.5000000000000001E-2</v>
      </c>
      <c r="O92" s="1134"/>
      <c r="P92" s="351">
        <f t="shared" ref="P92:P117" ca="1" si="1238">SUMIF($AA$16:$CD$16,"I_Ctrlv",$AA92:$CD92)/$Q$2</f>
        <v>2.6074114883130526E-2</v>
      </c>
      <c r="Q92" s="421"/>
      <c r="R92" s="421"/>
      <c r="S92" s="871"/>
      <c r="T92" s="871"/>
      <c r="U92" s="353"/>
      <c r="V92" s="421">
        <f>COUNTIF(V93:V94,"&lt;&gt;0")</f>
        <v>0</v>
      </c>
      <c r="W92" s="346"/>
      <c r="X92" s="873"/>
      <c r="Y92" s="873"/>
      <c r="Z92" s="1037"/>
      <c r="AA92" s="357"/>
      <c r="AB92" s="359"/>
      <c r="AC92" s="1135"/>
      <c r="AD92" s="359"/>
      <c r="AE92" s="360">
        <f ca="1">SUM(AE$93:AE$94)</f>
        <v>18598.856800000001</v>
      </c>
      <c r="AF92" s="361">
        <f t="shared" ca="1" si="292"/>
        <v>2.6454071534124841E-2</v>
      </c>
      <c r="AG92" s="362"/>
      <c r="AH92" s="359"/>
      <c r="AI92" s="360">
        <f ca="1">SUM(AI$93:AI$94)</f>
        <v>-1022.302680525313</v>
      </c>
      <c r="AJ92" s="363">
        <f ca="1">IFERROR(AI92/AA$4,0)</f>
        <v>-1.4540715341248393E-3</v>
      </c>
      <c r="AK92" s="362"/>
      <c r="AL92" s="359"/>
      <c r="AM92" s="360">
        <f ca="1">SUM(AM$93:AM$94)</f>
        <v>0</v>
      </c>
      <c r="AN92" s="363">
        <f t="shared" ca="1" si="299"/>
        <v>0</v>
      </c>
      <c r="AO92" s="359"/>
      <c r="AP92" s="359"/>
      <c r="AQ92" s="360">
        <f ca="1">SUM(AQ$93:AQ$94)</f>
        <v>18598.856800000001</v>
      </c>
      <c r="AR92" s="876">
        <f t="shared" ca="1" si="1159"/>
        <v>2.6454071534124841E-2</v>
      </c>
      <c r="AS92" s="1007" t="str">
        <f t="shared" ca="1" si="957"/>
        <v>V</v>
      </c>
      <c r="AT92" s="357"/>
      <c r="AU92" s="359"/>
      <c r="AV92" s="1135"/>
      <c r="AW92" s="359"/>
      <c r="AX92" s="360">
        <f ca="1">SUM(AX$93:AX$94)</f>
        <v>30086.385999999999</v>
      </c>
      <c r="AY92" s="361">
        <f t="shared" ca="1" si="307"/>
        <v>2.5908899800845996E-2</v>
      </c>
      <c r="AZ92" s="362"/>
      <c r="BA92" s="359"/>
      <c r="BB92" s="360">
        <f ca="1">SUM(BB$93:BB$94)</f>
        <v>-1055.448531345311</v>
      </c>
      <c r="BC92" s="363">
        <f ca="1">IFERROR(BB92/AT$4,0)</f>
        <v>-9.0889980084599489E-4</v>
      </c>
      <c r="BD92" s="362"/>
      <c r="BE92" s="359"/>
      <c r="BF92" s="360">
        <f ca="1">SUM(BF$93:BF$94)</f>
        <v>0</v>
      </c>
      <c r="BG92" s="363">
        <f t="shared" ca="1" si="314"/>
        <v>0</v>
      </c>
      <c r="BH92" s="359"/>
      <c r="BI92" s="359"/>
      <c r="BJ92" s="360">
        <f ca="1">SUM(BJ$93:BJ$94)</f>
        <v>30086.385999999999</v>
      </c>
      <c r="BK92" s="876">
        <f t="shared" ca="1" si="1160"/>
        <v>2.5908899800845996E-2</v>
      </c>
      <c r="BL92" s="1007" t="str">
        <f t="shared" ca="1" si="958"/>
        <v>V</v>
      </c>
      <c r="BM92" s="357"/>
      <c r="BN92" s="359"/>
      <c r="BO92" s="1135"/>
      <c r="BP92" s="359"/>
      <c r="BQ92" s="360">
        <f ca="1">SUM(BQ$93:BQ$94)</f>
        <v>16410.756000000001</v>
      </c>
      <c r="BR92" s="361">
        <f t="shared" ca="1" si="1098"/>
        <v>2.5955054211556913E-2</v>
      </c>
      <c r="BS92" s="362"/>
      <c r="BT92" s="359"/>
      <c r="BU92" s="360">
        <f ca="1">SUM(BU$93:BU$94)</f>
        <v>-603.85778834760129</v>
      </c>
      <c r="BV92" s="363">
        <f ca="1">IFERROR(BU92/BM$4,0)</f>
        <v>-9.5505421155691131E-4</v>
      </c>
      <c r="BW92" s="362"/>
      <c r="BX92" s="359"/>
      <c r="BY92" s="360">
        <f ca="1">SUM(BY$93:BY$94)</f>
        <v>0</v>
      </c>
      <c r="BZ92" s="363">
        <f t="shared" ca="1" si="1099"/>
        <v>0</v>
      </c>
      <c r="CA92" s="359"/>
      <c r="CB92" s="359"/>
      <c r="CC92" s="360">
        <f ca="1">SUM(CC$93:CC$94)</f>
        <v>16410.756000000001</v>
      </c>
      <c r="CD92" s="876">
        <f t="shared" ca="1" si="1164"/>
        <v>2.5955054211556913E-2</v>
      </c>
      <c r="CE92" s="1007" t="str">
        <f t="shared" ca="1" si="959"/>
        <v>V</v>
      </c>
      <c r="CF92" s="357"/>
      <c r="CG92" s="359"/>
      <c r="CH92" s="1135"/>
      <c r="CI92" s="359"/>
      <c r="CJ92" s="360">
        <f ca="1">SUM(CJ$93:CJ$94)</f>
        <v>0</v>
      </c>
      <c r="CK92" s="361">
        <f t="shared" ca="1" si="334"/>
        <v>0</v>
      </c>
      <c r="CL92" s="362"/>
      <c r="CM92" s="359"/>
      <c r="CN92" s="360">
        <f ca="1">SUM(CN$93:CN$94)</f>
        <v>0</v>
      </c>
      <c r="CO92" s="363">
        <f ca="1">IFERROR(CN92/CF$4,0)</f>
        <v>0</v>
      </c>
      <c r="CP92" s="362"/>
      <c r="CQ92" s="359"/>
      <c r="CR92" s="360">
        <f ca="1">SUM(CR$93:CR$94)</f>
        <v>0</v>
      </c>
      <c r="CS92" s="363">
        <f t="shared" ca="1" si="341"/>
        <v>0</v>
      </c>
      <c r="CT92" s="359"/>
      <c r="CU92" s="359"/>
      <c r="CV92" s="360">
        <f ca="1">SUM(CV$93:CV$94)</f>
        <v>0</v>
      </c>
      <c r="CW92" s="876">
        <f t="shared" ca="1" si="345"/>
        <v>0</v>
      </c>
      <c r="CX92" s="1007" t="str">
        <f t="shared" ca="1" si="960"/>
        <v/>
      </c>
    </row>
    <row r="93" spans="1:102" ht="12.6" hidden="1" customHeight="1" outlineLevel="1" x14ac:dyDescent="0.2">
      <c r="A93" s="367"/>
      <c r="B93" s="367"/>
      <c r="C93" s="367" t="str">
        <f t="shared" ref="C93:E94" ca="1" si="1239">OFFSET(Origine,MATCH($F93,Descrizioni,0),MATCH(C$16,Intestazioni,0)-1,1,1)</f>
        <v>LU0390136736:USD</v>
      </c>
      <c r="D93" s="368" t="str">
        <f t="shared" ca="1" si="1239"/>
        <v>LU0390136736</v>
      </c>
      <c r="E93" s="369" t="str">
        <f t="shared" ca="1" si="1239"/>
        <v>4613685</v>
      </c>
      <c r="F93" s="367" t="s">
        <v>424</v>
      </c>
      <c r="G93" s="414"/>
      <c r="H93" s="1683" t="str">
        <f ca="1">HYPERLINK(OFFSET(Origine,MATCH($F93,Descrizioni,0),MATCH(H$16,Intestazioni,0)-1,1,1),"")</f>
        <v></v>
      </c>
      <c r="I93" s="1683" t="str">
        <f ca="1">HYPERLINK(OFFSET(Origine,MATCH($F93,Descrizioni,0),MATCH(I$16,Intestazioni,0)-1,1,1),"i")</f>
        <v>i</v>
      </c>
      <c r="J93" s="1713" t="str">
        <f ca="1">HYPERLINK(OFFSET(Origine,MATCH($F93,Descrizioni,0),MATCH(J$16,Intestazioni,0)-1,1,1),"")</f>
        <v></v>
      </c>
      <c r="K93" s="1716" t="str">
        <f ca="1">HYPERLINK(OFFSET(Origine,MATCH($F93,Descrizioni,0),MATCH(K$16,Intestazioni,0)-1,1,1),"")</f>
        <v></v>
      </c>
      <c r="L93" s="1717" t="str">
        <f ca="1">IFERROR(HYPERLINK("https://www.marketscreener.com/mods_a/charts/TV/inc_dyna_graph.php?c="&amp;OFFSET(Origine,MATCH($F93,Descrizioni,0),MATCH(L$16,Intestazioni,0)-1,1,1)&amp;"&amp;style=TradingView.CANDLES&amp;showAT=1",""),"")</f>
        <v></v>
      </c>
      <c r="M93" s="1786" t="str">
        <f ca="1">(OFFSET(Origine,MATCH($F93,Descrizioni,0),MATCH(M$16,Intestazioni,0)-1,1,1))</f>
        <v>Unit</v>
      </c>
      <c r="N93" s="1136">
        <v>2.5000000000000001E-2</v>
      </c>
      <c r="O93" s="1143"/>
      <c r="P93" s="418">
        <f t="shared" ca="1" si="1238"/>
        <v>2.6074114883130526E-2</v>
      </c>
      <c r="Q93" s="391">
        <f>SUMIF($AA$16:$CW$16,"I_Pos",$AA93:$CW93)</f>
        <v>2380</v>
      </c>
      <c r="R93" s="391">
        <f ca="1">SUMIF($AA$16:$CW$16,"P_Pos",$AA93:$CW93)</f>
        <v>-98.043344263416927</v>
      </c>
      <c r="S93" s="883"/>
      <c r="T93" s="883"/>
      <c r="U93" s="375">
        <f ca="1">OFFSET(Origine,MATCH($C93,smo_ids,0),MATCH(U$16,Intestazioni,0)-1,1,1)</f>
        <v>3.7096088435374201E-2</v>
      </c>
      <c r="V93" s="391">
        <f>SUMIF($AA$16:$CW$16,"O_Pos",$AA93:$CW93)</f>
        <v>0</v>
      </c>
      <c r="W93" s="367" t="str">
        <f ca="1">OFFSET(Origine,MATCH($F93,Descrizioni,0),MATCH(W$16,Intestazioni,0)-1,1,1)</f>
        <v>USD</v>
      </c>
      <c r="X93" s="887">
        <f t="shared" ref="X93:Y94" ca="1" si="1240">_xlfn.NUMBERVALUE(OFFSET(Origine,MATCH($F93,Descrizioni,0),MATCH(X$16,Intestazioni,0)-1,1,1))</f>
        <v>31.73</v>
      </c>
      <c r="Y93" s="1041">
        <f ca="1">_xlfn.NUMBERVALUE(OFFSET(Origine,MATCH($F93,Descrizioni,0),MATCH(Y$16,Intestazioni,0)-1,1,1))</f>
        <v>0</v>
      </c>
      <c r="Z93" s="1042">
        <f ca="1">_xlfn.NUMBERVALUE(OFFSET(Origine,MATCH(W93&amp;"/"&amp;MRif,LUKB_Name,0),MATCH("Price",Intestazioni,0)-1,1,1))</f>
        <v>0.86199999999999999</v>
      </c>
      <c r="AA93" s="197">
        <f>1165+535+530+-960+-590</f>
        <v>680</v>
      </c>
      <c r="AB93" s="312">
        <f ca="1">IFERROR($X93/AC93-1,"")</f>
        <v>0.67773524248641093</v>
      </c>
      <c r="AC93" s="411">
        <v>18.912400000000002</v>
      </c>
      <c r="AD93" s="199">
        <f ca="1">AA93*$X93</f>
        <v>21576.400000000001</v>
      </c>
      <c r="AE93" s="199">
        <f ca="1">AD93*$Z93</f>
        <v>18598.856800000001</v>
      </c>
      <c r="AF93" s="216">
        <f t="shared" ca="1" si="292"/>
        <v>2.6454071534124841E-2</v>
      </c>
      <c r="AG93" s="202">
        <f ca="1">AH93/$X93</f>
        <v>-37.376803866634042</v>
      </c>
      <c r="AH93" s="203">
        <f ca="1">AI93/$Z93</f>
        <v>-1185.9659866882982</v>
      </c>
      <c r="AI93" s="203">
        <f ca="1">AJ93*AA$4</f>
        <v>-1022.302680525313</v>
      </c>
      <c r="AJ93" s="204">
        <f ca="1">$N93-AF93</f>
        <v>-1.4540715341248393E-3</v>
      </c>
      <c r="AK93" s="205"/>
      <c r="AL93" s="206">
        <f ca="1">AK93*$X93</f>
        <v>0</v>
      </c>
      <c r="AM93" s="206">
        <f ca="1">AL93*$Z93</f>
        <v>0</v>
      </c>
      <c r="AN93" s="207">
        <f t="shared" ca="1" si="299"/>
        <v>0</v>
      </c>
      <c r="AO93" s="391">
        <f>AA93+AK93</f>
        <v>680</v>
      </c>
      <c r="AP93" s="391">
        <f t="shared" ca="1" si="1096"/>
        <v>21576.400000000001</v>
      </c>
      <c r="AQ93" s="391">
        <f ca="1">AP93*$Z93</f>
        <v>18598.856800000001</v>
      </c>
      <c r="AR93" s="886">
        <f t="shared" ca="1" si="1159"/>
        <v>2.6454071534124841E-2</v>
      </c>
      <c r="AS93" s="1007" t="str">
        <f t="shared" ca="1" si="957"/>
        <v>V</v>
      </c>
      <c r="AT93" s="197">
        <f>3135+840+-1825+-1050</f>
        <v>1100</v>
      </c>
      <c r="AU93" s="312">
        <f ca="1">IFERROR($X93/AV93-1,"")</f>
        <v>0.60614313048584179</v>
      </c>
      <c r="AV93" s="411">
        <v>19.755400000000002</v>
      </c>
      <c r="AW93" s="199">
        <f ca="1">AT93*$X93</f>
        <v>34903</v>
      </c>
      <c r="AX93" s="199">
        <f ca="1">AW93*$Z93</f>
        <v>30086.385999999999</v>
      </c>
      <c r="AY93" s="216">
        <f t="shared" ca="1" si="307"/>
        <v>2.5908899800845996E-2</v>
      </c>
      <c r="AZ93" s="202">
        <f ca="1">BA93/$X93</f>
        <v>-38.588662143729792</v>
      </c>
      <c r="BA93" s="203">
        <f ca="1">BB93/$Z93</f>
        <v>-1224.4182498205464</v>
      </c>
      <c r="BB93" s="203">
        <f ca="1">BC93*AT$4</f>
        <v>-1055.448531345311</v>
      </c>
      <c r="BC93" s="204">
        <f ca="1">$N93-AY93</f>
        <v>-9.0889980084599489E-4</v>
      </c>
      <c r="BD93" s="205"/>
      <c r="BE93" s="206">
        <f ca="1">BD93*$X93</f>
        <v>0</v>
      </c>
      <c r="BF93" s="206">
        <f ca="1">BE93*$Z93</f>
        <v>0</v>
      </c>
      <c r="BG93" s="207">
        <f t="shared" ca="1" si="314"/>
        <v>0</v>
      </c>
      <c r="BH93" s="391">
        <f>AT93+BD93</f>
        <v>1100</v>
      </c>
      <c r="BI93" s="391">
        <f t="shared" ca="1" si="1097"/>
        <v>34903</v>
      </c>
      <c r="BJ93" s="391">
        <f ca="1">BI93*$Z93</f>
        <v>30086.385999999999</v>
      </c>
      <c r="BK93" s="886">
        <f t="shared" ca="1" si="1160"/>
        <v>2.5908899800845996E-2</v>
      </c>
      <c r="BL93" s="1007" t="str">
        <f t="shared" ca="1" si="958"/>
        <v>V</v>
      </c>
      <c r="BM93" s="197">
        <f>2000+-350+-480+-570</f>
        <v>600</v>
      </c>
      <c r="BN93" s="312">
        <f ca="1">IFERROR($X93/BO93-1,"")</f>
        <v>0.52401536983669539</v>
      </c>
      <c r="BO93" s="411">
        <v>20.82</v>
      </c>
      <c r="BP93" s="199">
        <f ca="1">BM93*$X93</f>
        <v>19038</v>
      </c>
      <c r="BQ93" s="199">
        <f ca="1">BP93*$Z93</f>
        <v>16410.756000000001</v>
      </c>
      <c r="BR93" s="216">
        <f t="shared" ca="1" si="1098"/>
        <v>2.5955054211556913E-2</v>
      </c>
      <c r="BS93" s="202">
        <f ca="1">BT93/$X93</f>
        <v>-22.077878253053104</v>
      </c>
      <c r="BT93" s="203">
        <f ca="1">BU93/$Z93</f>
        <v>-700.53107696937502</v>
      </c>
      <c r="BU93" s="203">
        <f ca="1">BV93*BM$4</f>
        <v>-603.85778834760129</v>
      </c>
      <c r="BV93" s="204">
        <f ca="1">$N93-BR93</f>
        <v>-9.550542115569112E-4</v>
      </c>
      <c r="BW93" s="205"/>
      <c r="BX93" s="206">
        <f ca="1">BW93*$X93</f>
        <v>0</v>
      </c>
      <c r="BY93" s="206">
        <f ca="1">BX93*$Z93</f>
        <v>0</v>
      </c>
      <c r="BZ93" s="207">
        <f t="shared" ca="1" si="1099"/>
        <v>0</v>
      </c>
      <c r="CA93" s="391">
        <f>BM93+BW93</f>
        <v>600</v>
      </c>
      <c r="CB93" s="391">
        <f t="shared" ca="1" si="1100"/>
        <v>19038</v>
      </c>
      <c r="CC93" s="391">
        <f ca="1">CB93*$Z93</f>
        <v>16410.756000000001</v>
      </c>
      <c r="CD93" s="886">
        <f t="shared" ca="1" si="1164"/>
        <v>2.5955054211556913E-2</v>
      </c>
      <c r="CE93" s="1007" t="str">
        <f t="shared" ca="1" si="959"/>
        <v>V</v>
      </c>
      <c r="CF93" s="197"/>
      <c r="CG93" s="312" t="str">
        <f ca="1">IFERROR($X93/CH93-1,"")</f>
        <v/>
      </c>
      <c r="CH93" s="411"/>
      <c r="CI93" s="199">
        <f ca="1">CF93*$X93</f>
        <v>0</v>
      </c>
      <c r="CJ93" s="199">
        <f ca="1">CI93*$Z93</f>
        <v>0</v>
      </c>
      <c r="CK93" s="216">
        <f t="shared" ca="1" si="334"/>
        <v>0</v>
      </c>
      <c r="CL93" s="202">
        <f ca="1">CM93/$X93</f>
        <v>0</v>
      </c>
      <c r="CM93" s="203">
        <f ca="1">CN93/$Z93</f>
        <v>0</v>
      </c>
      <c r="CN93" s="203">
        <f ca="1">CO93*CF$4</f>
        <v>0</v>
      </c>
      <c r="CO93" s="204">
        <f ca="1">$O93-CK93</f>
        <v>0</v>
      </c>
      <c r="CP93" s="205"/>
      <c r="CQ93" s="206">
        <f ca="1">CP93*$X93</f>
        <v>0</v>
      </c>
      <c r="CR93" s="206">
        <f ca="1">CQ93*$Z93</f>
        <v>0</v>
      </c>
      <c r="CS93" s="207">
        <f t="shared" ca="1" si="341"/>
        <v>0</v>
      </c>
      <c r="CT93" s="391">
        <f>CF93+CP93</f>
        <v>0</v>
      </c>
      <c r="CU93" s="391">
        <f t="shared" ca="1" si="1101"/>
        <v>0</v>
      </c>
      <c r="CV93" s="391">
        <f ca="1">CU93*$Z93</f>
        <v>0</v>
      </c>
      <c r="CW93" s="886">
        <f t="shared" ca="1" si="345"/>
        <v>0</v>
      </c>
      <c r="CX93" s="1007" t="str">
        <f t="shared" ca="1" si="960"/>
        <v/>
      </c>
    </row>
    <row r="94" spans="1:102" ht="12.6" hidden="1" customHeight="1" outlineLevel="1" x14ac:dyDescent="0.2">
      <c r="A94" s="367"/>
      <c r="B94" s="367"/>
      <c r="C94" s="367" t="str">
        <f t="shared" ca="1" si="1239"/>
        <v>LU2128486979:USD</v>
      </c>
      <c r="D94" s="368" t="str">
        <f t="shared" ca="1" si="1239"/>
        <v>LU2128486979</v>
      </c>
      <c r="E94" s="369" t="str">
        <f t="shared" ca="1" si="1239"/>
        <v>56356692</v>
      </c>
      <c r="F94" s="367" t="s">
        <v>777</v>
      </c>
      <c r="G94" s="414"/>
      <c r="H94" s="1683" t="str">
        <f ca="1">HYPERLINK(OFFSET(Origine,MATCH($F94,Descrizioni,0),MATCH(H$16,Intestazioni,0)-1,1,1),"")</f>
        <v></v>
      </c>
      <c r="I94" s="1683" t="str">
        <f t="shared" ref="I94" ca="1" si="1241">HYPERLINK(OFFSET(Origine,MATCH($F94,Descrizioni,0),MATCH(I$16,Intestazioni,0)-1,1,1),"i")</f>
        <v>i</v>
      </c>
      <c r="J94" s="1713" t="str">
        <f t="shared" ref="J94:K94" ca="1" si="1242">HYPERLINK(OFFSET(Origine,MATCH($F94,Descrizioni,0),MATCH(J$16,Intestazioni,0)-1,1,1),"")</f>
        <v></v>
      </c>
      <c r="K94" s="1716" t="str">
        <f t="shared" ca="1" si="1242"/>
        <v></v>
      </c>
      <c r="L94" s="1717" t="str">
        <f ca="1">IFERROR(HYPERLINK("https://www.marketscreener.com/mods_a/charts/TV/inc_dyna_graph.php?c="&amp;OFFSET(Origine,MATCH($F94,Descrizioni,0),MATCH(L$16,Intestazioni,0)-1,1,1)&amp;"&amp;style=TradingView.CANDLES&amp;showAT=1",""),"")</f>
        <v></v>
      </c>
      <c r="M94" s="1786" t="str">
        <f ca="1">(OFFSET(Origine,MATCH($F94,Descrizioni,0),MATCH(M$16,Intestazioni,0)-1,1,1))</f>
        <v>Unit</v>
      </c>
      <c r="N94" s="1141"/>
      <c r="O94" s="1141"/>
      <c r="P94" s="418">
        <f t="shared" ca="1" si="1238"/>
        <v>0</v>
      </c>
      <c r="Q94" s="391">
        <f>SUMIF($AA$16:$CW$16,"I_Pos",$AA94:$CW94)</f>
        <v>0</v>
      </c>
      <c r="R94" s="391">
        <f ca="1">SUMIF($AA$16:$CW$16,"P_Pos",$AA94:$CW94)</f>
        <v>0</v>
      </c>
      <c r="S94" s="883"/>
      <c r="T94" s="883"/>
      <c r="U94" s="375">
        <f ca="1">OFFSET(Origine,MATCH($C94,smo_ids,0),MATCH(U$16,Intestazioni,0)-1,1,1)</f>
        <v>-3.1762667529723752E-2</v>
      </c>
      <c r="V94" s="391">
        <f>SUMIF($AA$16:$CW$16,"O_Pos",$AA94:$CW94)</f>
        <v>0</v>
      </c>
      <c r="W94" s="367" t="str">
        <f t="shared" ref="W94" ca="1" si="1243">OFFSET(Origine,MATCH($F94,Descrizioni,0),MATCH(W$16,Intestazioni,0)-1,1,1)</f>
        <v>USD</v>
      </c>
      <c r="X94" s="887">
        <f t="shared" ca="1" si="1240"/>
        <v>408.06130000000002</v>
      </c>
      <c r="Y94" s="1041">
        <f t="shared" ca="1" si="1240"/>
        <v>0</v>
      </c>
      <c r="Z94" s="1042">
        <f ca="1">_xlfn.NUMBERVALUE(OFFSET(Origine,MATCH(W94&amp;"/"&amp;MRif,LUKB_Name,0),MATCH("Price",Intestazioni,0)-1,1,1))</f>
        <v>0.86199999999999999</v>
      </c>
      <c r="AA94" s="197"/>
      <c r="AB94" s="312" t="str">
        <f ca="1">IFERROR($X94/AC94-1,"")</f>
        <v/>
      </c>
      <c r="AC94" s="411"/>
      <c r="AD94" s="199">
        <f t="shared" ref="AD94" ca="1" si="1244">AA94*$X94</f>
        <v>0</v>
      </c>
      <c r="AE94" s="199">
        <f t="shared" ref="AE94" ca="1" si="1245">AD94*$Z94</f>
        <v>0</v>
      </c>
      <c r="AF94" s="216">
        <f t="shared" ca="1" si="292"/>
        <v>0</v>
      </c>
      <c r="AG94" s="202">
        <f t="shared" ref="AG94" ca="1" si="1246">AH94/$X94</f>
        <v>0</v>
      </c>
      <c r="AH94" s="203">
        <f t="shared" ref="AH94" ca="1" si="1247">AI94/$Z94</f>
        <v>0</v>
      </c>
      <c r="AI94" s="203">
        <f t="shared" ref="AI94" ca="1" si="1248">AJ94*AA$4</f>
        <v>0</v>
      </c>
      <c r="AJ94" s="204">
        <f t="shared" ref="AJ94" ca="1" si="1249">$N94-AF94</f>
        <v>0</v>
      </c>
      <c r="AK94" s="205"/>
      <c r="AL94" s="206">
        <f t="shared" ref="AL94" ca="1" si="1250">AK94*$X94</f>
        <v>0</v>
      </c>
      <c r="AM94" s="206">
        <f t="shared" ref="AM94" ca="1" si="1251">AL94*$Z94</f>
        <v>0</v>
      </c>
      <c r="AN94" s="207">
        <f t="shared" ca="1" si="299"/>
        <v>0</v>
      </c>
      <c r="AO94" s="391">
        <f>AA94+AK94</f>
        <v>0</v>
      </c>
      <c r="AP94" s="391">
        <f t="shared" ca="1" si="1096"/>
        <v>0</v>
      </c>
      <c r="AQ94" s="391">
        <f t="shared" ref="AQ94" ca="1" si="1252">AP94*$Z94</f>
        <v>0</v>
      </c>
      <c r="AR94" s="886">
        <f t="shared" ca="1" si="1159"/>
        <v>0</v>
      </c>
      <c r="AS94" s="1007" t="str">
        <f t="shared" ca="1" si="957"/>
        <v/>
      </c>
      <c r="AT94" s="197"/>
      <c r="AU94" s="312" t="str">
        <f ca="1">IFERROR($X94/AV94-1,"")</f>
        <v/>
      </c>
      <c r="AV94" s="411"/>
      <c r="AW94" s="199">
        <f t="shared" ref="AW94" ca="1" si="1253">AT94*$X94</f>
        <v>0</v>
      </c>
      <c r="AX94" s="199">
        <f t="shared" ref="AX94" ca="1" si="1254">AW94*$Z94</f>
        <v>0</v>
      </c>
      <c r="AY94" s="216">
        <f t="shared" ca="1" si="307"/>
        <v>0</v>
      </c>
      <c r="AZ94" s="202">
        <f t="shared" ref="AZ94" ca="1" si="1255">BA94/$X94</f>
        <v>0</v>
      </c>
      <c r="BA94" s="203">
        <f t="shared" ref="BA94" ca="1" si="1256">BB94/$Z94</f>
        <v>0</v>
      </c>
      <c r="BB94" s="203">
        <f t="shared" ref="BB94" ca="1" si="1257">BC94*AT$4</f>
        <v>0</v>
      </c>
      <c r="BC94" s="204">
        <f t="shared" ref="BC94" ca="1" si="1258">$N94-AY94</f>
        <v>0</v>
      </c>
      <c r="BD94" s="205"/>
      <c r="BE94" s="206">
        <f t="shared" ref="BE94" ca="1" si="1259">BD94*$X94</f>
        <v>0</v>
      </c>
      <c r="BF94" s="206">
        <f t="shared" ref="BF94" ca="1" si="1260">BE94*$Z94</f>
        <v>0</v>
      </c>
      <c r="BG94" s="207">
        <f t="shared" ca="1" si="314"/>
        <v>0</v>
      </c>
      <c r="BH94" s="391">
        <f>AT94+BD94</f>
        <v>0</v>
      </c>
      <c r="BI94" s="391">
        <f t="shared" ca="1" si="1097"/>
        <v>0</v>
      </c>
      <c r="BJ94" s="391">
        <f t="shared" ref="BJ94" ca="1" si="1261">BI94*$Z94</f>
        <v>0</v>
      </c>
      <c r="BK94" s="886">
        <f t="shared" ca="1" si="1160"/>
        <v>0</v>
      </c>
      <c r="BL94" s="1007" t="str">
        <f t="shared" ca="1" si="958"/>
        <v/>
      </c>
      <c r="BM94" s="197">
        <f>50+-50</f>
        <v>0</v>
      </c>
      <c r="BN94" s="312" t="str">
        <f ca="1">IFERROR($X94/BO94-1,"")</f>
        <v/>
      </c>
      <c r="BO94" s="411"/>
      <c r="BP94" s="199">
        <f t="shared" ref="BP94" ca="1" si="1262">BM94*$X94</f>
        <v>0</v>
      </c>
      <c r="BQ94" s="199">
        <f t="shared" ref="BQ94" ca="1" si="1263">BP94*$Z94</f>
        <v>0</v>
      </c>
      <c r="BR94" s="216">
        <f t="shared" ca="1" si="1098"/>
        <v>0</v>
      </c>
      <c r="BS94" s="202">
        <f t="shared" ref="BS94" ca="1" si="1264">BT94/$X94</f>
        <v>0</v>
      </c>
      <c r="BT94" s="203">
        <f t="shared" ref="BT94" ca="1" si="1265">BU94/$Z94</f>
        <v>0</v>
      </c>
      <c r="BU94" s="203">
        <f t="shared" ref="BU94" ca="1" si="1266">BV94*BM$4</f>
        <v>0</v>
      </c>
      <c r="BV94" s="204">
        <f t="shared" ref="BV94" ca="1" si="1267">$N94-BR94</f>
        <v>0</v>
      </c>
      <c r="BW94" s="205"/>
      <c r="BX94" s="206">
        <f t="shared" ref="BX94" ca="1" si="1268">BW94*$X94</f>
        <v>0</v>
      </c>
      <c r="BY94" s="206">
        <f t="shared" ref="BY94" ca="1" si="1269">BX94*$Z94</f>
        <v>0</v>
      </c>
      <c r="BZ94" s="207">
        <f t="shared" ca="1" si="1099"/>
        <v>0</v>
      </c>
      <c r="CA94" s="391">
        <f>BM94+BW94</f>
        <v>0</v>
      </c>
      <c r="CB94" s="391">
        <f t="shared" ca="1" si="1100"/>
        <v>0</v>
      </c>
      <c r="CC94" s="391">
        <f t="shared" ref="CC94" ca="1" si="1270">CB94*$Z94</f>
        <v>0</v>
      </c>
      <c r="CD94" s="886">
        <f t="shared" ca="1" si="1164"/>
        <v>0</v>
      </c>
      <c r="CE94" s="1007" t="str">
        <f t="shared" ca="1" si="959"/>
        <v/>
      </c>
      <c r="CF94" s="197"/>
      <c r="CG94" s="312" t="str">
        <f ca="1">IFERROR($X94/CH94-1,"")</f>
        <v/>
      </c>
      <c r="CH94" s="411"/>
      <c r="CI94" s="199">
        <f t="shared" ref="CI94" ca="1" si="1271">CF94*$X94</f>
        <v>0</v>
      </c>
      <c r="CJ94" s="199">
        <f t="shared" ref="CJ94" ca="1" si="1272">CI94*$Z94</f>
        <v>0</v>
      </c>
      <c r="CK94" s="216">
        <f t="shared" ca="1" si="334"/>
        <v>0</v>
      </c>
      <c r="CL94" s="202">
        <f t="shared" ref="CL94" ca="1" si="1273">CM94/$X94</f>
        <v>0</v>
      </c>
      <c r="CM94" s="203">
        <f t="shared" ref="CM94" ca="1" si="1274">CN94/$Z94</f>
        <v>0</v>
      </c>
      <c r="CN94" s="203">
        <f t="shared" ref="CN94" ca="1" si="1275">CO94*CF$4</f>
        <v>0</v>
      </c>
      <c r="CO94" s="204">
        <f ca="1">$O94-CK94</f>
        <v>0</v>
      </c>
      <c r="CP94" s="205"/>
      <c r="CQ94" s="206">
        <f t="shared" ref="CQ94" ca="1" si="1276">CP94*$X94</f>
        <v>0</v>
      </c>
      <c r="CR94" s="206">
        <f t="shared" ref="CR94" ca="1" si="1277">CQ94*$Z94</f>
        <v>0</v>
      </c>
      <c r="CS94" s="207">
        <f t="shared" ca="1" si="341"/>
        <v>0</v>
      </c>
      <c r="CT94" s="391">
        <f>CF94+CP94</f>
        <v>0</v>
      </c>
      <c r="CU94" s="391">
        <f t="shared" ca="1" si="1101"/>
        <v>0</v>
      </c>
      <c r="CV94" s="391">
        <f t="shared" ref="CV94" ca="1" si="1278">CU94*$Z94</f>
        <v>0</v>
      </c>
      <c r="CW94" s="886">
        <f t="shared" ca="1" si="345"/>
        <v>0</v>
      </c>
      <c r="CX94" s="1007" t="str">
        <f t="shared" ca="1" si="960"/>
        <v/>
      </c>
    </row>
    <row r="95" spans="1:102" collapsed="1" x14ac:dyDescent="0.2">
      <c r="A95" s="346"/>
      <c r="B95" s="346" t="s">
        <v>491</v>
      </c>
      <c r="C95" s="346"/>
      <c r="D95" s="1140"/>
      <c r="E95" s="348"/>
      <c r="F95" s="346"/>
      <c r="G95" s="349"/>
      <c r="H95" s="1750"/>
      <c r="I95" s="1750"/>
      <c r="J95" s="1750"/>
      <c r="K95" s="1750"/>
      <c r="L95" s="1750"/>
      <c r="M95" s="1785"/>
      <c r="N95" s="1134">
        <f>SUM(N96:N97)</f>
        <v>2.5000000000000001E-2</v>
      </c>
      <c r="O95" s="1134"/>
      <c r="P95" s="351">
        <f t="shared" ca="1" si="1238"/>
        <v>2.4305488764152013E-2</v>
      </c>
      <c r="Q95" s="421"/>
      <c r="R95" s="421"/>
      <c r="S95" s="871" t="s">
        <v>718</v>
      </c>
      <c r="T95" s="871"/>
      <c r="U95" s="353"/>
      <c r="V95" s="421">
        <f>COUNTIF(V96:V97,"&lt;&gt;0")</f>
        <v>0</v>
      </c>
      <c r="W95" s="346"/>
      <c r="X95" s="873"/>
      <c r="Y95" s="873"/>
      <c r="Z95" s="1037"/>
      <c r="AA95" s="357"/>
      <c r="AB95" s="359"/>
      <c r="AC95" s="1135"/>
      <c r="AD95" s="359"/>
      <c r="AE95" s="360">
        <f ca="1">SUM(AE$96:AE$97)</f>
        <v>18048.556</v>
      </c>
      <c r="AF95" s="361">
        <f t="shared" ca="1" si="292"/>
        <v>2.5671351559180672E-2</v>
      </c>
      <c r="AG95" s="362"/>
      <c r="AH95" s="359"/>
      <c r="AI95" s="360">
        <f ca="1">SUM(AI$96:AI$97)</f>
        <v>-472.00188052531121</v>
      </c>
      <c r="AJ95" s="363">
        <f ca="1">IFERROR(AI95/AA$4,0)</f>
        <v>-6.713515591806711E-4</v>
      </c>
      <c r="AK95" s="362"/>
      <c r="AL95" s="359"/>
      <c r="AM95" s="360">
        <f ca="1">SUM(AM$96:AM$97)</f>
        <v>0</v>
      </c>
      <c r="AN95" s="363">
        <f t="shared" ca="1" si="299"/>
        <v>0</v>
      </c>
      <c r="AO95" s="359"/>
      <c r="AP95" s="359"/>
      <c r="AQ95" s="360">
        <f ca="1">SUM(AQ$96:AQ$97)</f>
        <v>18048.556</v>
      </c>
      <c r="AR95" s="876">
        <f t="shared" ca="1" si="1159"/>
        <v>2.5671351559180672E-2</v>
      </c>
      <c r="AS95" s="1007" t="str">
        <f t="shared" ca="1" si="957"/>
        <v>V</v>
      </c>
      <c r="AT95" s="357"/>
      <c r="AU95" s="359"/>
      <c r="AV95" s="1135"/>
      <c r="AW95" s="359"/>
      <c r="AX95" s="360">
        <f ca="1">SUM(AX$96:AX$97)</f>
        <v>26450.47</v>
      </c>
      <c r="AY95" s="361">
        <f t="shared" ca="1" si="307"/>
        <v>2.2777829710596782E-2</v>
      </c>
      <c r="AZ95" s="362"/>
      <c r="BA95" s="359"/>
      <c r="BB95" s="360">
        <f ca="1">SUM(BB$96:BB$97)</f>
        <v>2580.4674686546855</v>
      </c>
      <c r="BC95" s="363">
        <f ca="1">IFERROR(BB95/AT$4,0)</f>
        <v>2.2221702894032191E-3</v>
      </c>
      <c r="BD95" s="362"/>
      <c r="BE95" s="359"/>
      <c r="BF95" s="360">
        <f ca="1">SUM(BF$96:BF$97)</f>
        <v>0</v>
      </c>
      <c r="BG95" s="363">
        <f t="shared" ca="1" si="314"/>
        <v>0</v>
      </c>
      <c r="BH95" s="359"/>
      <c r="BI95" s="359"/>
      <c r="BJ95" s="360">
        <f ca="1">SUM(BJ$96:BJ$97)</f>
        <v>26450.47</v>
      </c>
      <c r="BK95" s="876">
        <f t="shared" ca="1" si="1160"/>
        <v>2.2777829710596782E-2</v>
      </c>
      <c r="BL95" s="1007" t="str">
        <f t="shared" ca="1" si="958"/>
        <v>V</v>
      </c>
      <c r="BM95" s="357"/>
      <c r="BN95" s="359"/>
      <c r="BO95" s="1135"/>
      <c r="BP95" s="359"/>
      <c r="BQ95" s="360">
        <f ca="1">SUM(BQ$96:BQ$97)</f>
        <v>16181.464</v>
      </c>
      <c r="BR95" s="361">
        <f t="shared" ca="1" si="1098"/>
        <v>2.5592408743531168E-2</v>
      </c>
      <c r="BS95" s="362"/>
      <c r="BT95" s="359"/>
      <c r="BU95" s="360">
        <f ca="1">SUM(BU$96:BU$97)</f>
        <v>-374.56578834760148</v>
      </c>
      <c r="BV95" s="363">
        <f ca="1">IFERROR(BU95/BM$4,0)</f>
        <v>-5.9240874353116632E-4</v>
      </c>
      <c r="BW95" s="362"/>
      <c r="BX95" s="359"/>
      <c r="BY95" s="360">
        <f ca="1">SUM(BY$96:BY$97)</f>
        <v>0</v>
      </c>
      <c r="BZ95" s="363">
        <f t="shared" ca="1" si="1099"/>
        <v>0</v>
      </c>
      <c r="CA95" s="359"/>
      <c r="CB95" s="359"/>
      <c r="CC95" s="360">
        <f ca="1">SUM(CC$96:CC$97)</f>
        <v>16181.464</v>
      </c>
      <c r="CD95" s="876">
        <f t="shared" ca="1" si="1164"/>
        <v>2.5592408743531168E-2</v>
      </c>
      <c r="CE95" s="1007" t="str">
        <f t="shared" ca="1" si="959"/>
        <v>V</v>
      </c>
      <c r="CF95" s="357"/>
      <c r="CG95" s="359"/>
      <c r="CH95" s="1135"/>
      <c r="CI95" s="359"/>
      <c r="CJ95" s="360">
        <f ca="1">SUM(CJ$96:CJ$97)</f>
        <v>4045.366</v>
      </c>
      <c r="CK95" s="361">
        <f t="shared" ca="1" si="334"/>
        <v>2.5369734580495417E-2</v>
      </c>
      <c r="CL95" s="362"/>
      <c r="CM95" s="359"/>
      <c r="CN95" s="360">
        <f ca="1">SUM(CN$96:CN$97)</f>
        <v>-58.956537216212752</v>
      </c>
      <c r="CO95" s="363">
        <f ca="1">IFERROR(CN95/CF$4,0)</f>
        <v>-3.6973458049541566E-4</v>
      </c>
      <c r="CP95" s="362"/>
      <c r="CQ95" s="359"/>
      <c r="CR95" s="360">
        <f ca="1">SUM(CR$96:CR$97)</f>
        <v>0</v>
      </c>
      <c r="CS95" s="363">
        <f t="shared" ca="1" si="341"/>
        <v>0</v>
      </c>
      <c r="CT95" s="359"/>
      <c r="CU95" s="359"/>
      <c r="CV95" s="360">
        <f ca="1">SUM(CV$96:CV$97)</f>
        <v>4045.366</v>
      </c>
      <c r="CW95" s="876">
        <f t="shared" ca="1" si="345"/>
        <v>2.5369734580495417E-2</v>
      </c>
      <c r="CX95" s="1007" t="str">
        <f t="shared" ca="1" si="960"/>
        <v>V</v>
      </c>
    </row>
    <row r="96" spans="1:102" ht="12.6" hidden="1" customHeight="1" outlineLevel="1" x14ac:dyDescent="0.2">
      <c r="A96" s="367"/>
      <c r="B96" s="367"/>
      <c r="C96" s="367" t="str">
        <f t="shared" ref="C96:E97" ca="1" si="1279">OFFSET(Origine,MATCH($F96,Descrizioni,0),MATCH(C$16,Intestazioni,0)-1,1,1)</f>
        <v>LU0692855462:EUR</v>
      </c>
      <c r="D96" s="368" t="str">
        <f t="shared" ca="1" si="1279"/>
        <v>LU0692855462</v>
      </c>
      <c r="E96" s="369" t="str">
        <f t="shared" ca="1" si="1279"/>
        <v>14207583</v>
      </c>
      <c r="F96" s="367" t="s">
        <v>861</v>
      </c>
      <c r="G96" s="414"/>
      <c r="H96" s="1683" t="str">
        <f ca="1">HYPERLINK(OFFSET(Origine,MATCH($F96,Descrizioni,0),MATCH(H$16,Intestazioni,0)-1,1,1),"")</f>
        <v></v>
      </c>
      <c r="I96" s="1683" t="str">
        <f ca="1">HYPERLINK(OFFSET(Origine,MATCH($F96,Descrizioni,0),MATCH(I$16,Intestazioni,0)-1,1,1),"i")</f>
        <v>i</v>
      </c>
      <c r="J96" s="1713" t="str">
        <f ca="1">HYPERLINK(OFFSET(Origine,MATCH($F96,Descrizioni,0),MATCH(J$16,Intestazioni,0)-1,1,1),"")</f>
        <v></v>
      </c>
      <c r="K96" s="1716" t="str">
        <f ca="1">HYPERLINK(OFFSET(Origine,MATCH($F96,Descrizioni,0),MATCH(K$16,Intestazioni,0)-1,1,1),"")</f>
        <v></v>
      </c>
      <c r="L96" s="1717" t="str">
        <f ca="1">IFERROR(HYPERLINK("https://www.marketscreener.com/mods_a/charts/TV/inc_dyna_graph.php?c="&amp;OFFSET(Origine,MATCH($F96,Descrizioni,0),MATCH(L$16,Intestazioni,0)-1,1,1)&amp;"&amp;style=TradingView.CANDLES&amp;showAT=1",""),"")</f>
        <v></v>
      </c>
      <c r="M96" s="1786" t="str">
        <f ca="1">(OFFSET(Origine,MATCH($F96,Descrizioni,0),MATCH(M$16,Intestazioni,0)-1,1,1))</f>
        <v>Unit</v>
      </c>
      <c r="N96" s="1136"/>
      <c r="O96" s="1136"/>
      <c r="P96" s="418">
        <f t="shared" ca="1" si="1238"/>
        <v>0</v>
      </c>
      <c r="Q96" s="391">
        <f>SUMIF($AA$16:$CW$16,"I_Pos",$AA96:$CW96)</f>
        <v>0</v>
      </c>
      <c r="R96" s="391">
        <f ca="1">SUMIF($AA$16:$CW$16,"P_Pos",$AA96:$CW96)</f>
        <v>0</v>
      </c>
      <c r="S96" s="883"/>
      <c r="T96" s="883"/>
      <c r="U96" s="375">
        <f ca="1">OFFSET(Origine,MATCH($C96,smo_ids,0),MATCH(U$16,Intestazioni,0)-1,1,1)</f>
        <v>-2.4362281456004149E-3</v>
      </c>
      <c r="V96" s="391">
        <f>SUMIF($AA$16:$CW$16,"O_Pos",$AA96:$CW96)</f>
        <v>0</v>
      </c>
      <c r="W96" s="367" t="str">
        <f ca="1">OFFSET(Origine,MATCH($F96,Descrizioni,0),MATCH(W$16,Intestazioni,0)-1,1,1)</f>
        <v>EUR</v>
      </c>
      <c r="X96" s="887">
        <f ca="1">_xlfn.NUMBERVALUE(OFFSET(Origine,MATCH($F96,Descrizioni,0),MATCH(X$16,Intestazioni,0)-1,1,1))</f>
        <v>208.83</v>
      </c>
      <c r="Y96" s="1041">
        <f ca="1">_xlfn.NUMBERVALUE(OFFSET(Origine,MATCH($F96,Descrizioni,0),MATCH(Y$16,Intestazioni,0)-1,1,1))</f>
        <v>0</v>
      </c>
      <c r="Z96" s="1042">
        <f ca="1">_xlfn.NUMBERVALUE(OFFSET(Origine,MATCH(W96&amp;"/"&amp;MRif,LUKB_Name,0),MATCH("Price",Intestazioni,0)-1,1,1))</f>
        <v>1</v>
      </c>
      <c r="AA96" s="197"/>
      <c r="AB96" s="312" t="str">
        <f ca="1">IFERROR($X96/AC96-1,"")</f>
        <v/>
      </c>
      <c r="AC96" s="411"/>
      <c r="AD96" s="199">
        <f ca="1">AA96*$X96</f>
        <v>0</v>
      </c>
      <c r="AE96" s="199">
        <f ca="1">AD96*$Z96</f>
        <v>0</v>
      </c>
      <c r="AF96" s="216">
        <f t="shared" ca="1" si="292"/>
        <v>0</v>
      </c>
      <c r="AG96" s="202">
        <f ca="1">AH96/$X96</f>
        <v>0</v>
      </c>
      <c r="AH96" s="203">
        <f ca="1">AI96/$Z96</f>
        <v>0</v>
      </c>
      <c r="AI96" s="203">
        <f ca="1">AJ96*AA$4</f>
        <v>0</v>
      </c>
      <c r="AJ96" s="204">
        <f ca="1">$N96-AF96</f>
        <v>0</v>
      </c>
      <c r="AK96" s="205"/>
      <c r="AL96" s="206">
        <f ca="1">AK96*$X96</f>
        <v>0</v>
      </c>
      <c r="AM96" s="206">
        <f ca="1">AL96*$Z96</f>
        <v>0</v>
      </c>
      <c r="AN96" s="207">
        <f t="shared" ca="1" si="299"/>
        <v>0</v>
      </c>
      <c r="AO96" s="391">
        <f>AA96+AK96</f>
        <v>0</v>
      </c>
      <c r="AP96" s="391">
        <f t="shared" ca="1" si="1096"/>
        <v>0</v>
      </c>
      <c r="AQ96" s="391">
        <f ca="1">AP96*$Z96</f>
        <v>0</v>
      </c>
      <c r="AR96" s="886">
        <f t="shared" ca="1" si="1159"/>
        <v>0</v>
      </c>
      <c r="AS96" s="1007" t="str">
        <f t="shared" ca="1" si="957"/>
        <v/>
      </c>
      <c r="AT96" s="197"/>
      <c r="AU96" s="312" t="str">
        <f ca="1">IFERROR($X96/AV96-1,"")</f>
        <v/>
      </c>
      <c r="AV96" s="411"/>
      <c r="AW96" s="199">
        <f ca="1">AT96*$X96</f>
        <v>0</v>
      </c>
      <c r="AX96" s="199">
        <f ca="1">AW96*$Z96</f>
        <v>0</v>
      </c>
      <c r="AY96" s="216">
        <f t="shared" ca="1" si="307"/>
        <v>0</v>
      </c>
      <c r="AZ96" s="202">
        <f ca="1">BA96/$X96</f>
        <v>0</v>
      </c>
      <c r="BA96" s="203">
        <f ca="1">BB96/$Z96</f>
        <v>0</v>
      </c>
      <c r="BB96" s="203">
        <f ca="1">BC96*AT$4</f>
        <v>0</v>
      </c>
      <c r="BC96" s="204">
        <f ca="1">$N96-AY96</f>
        <v>0</v>
      </c>
      <c r="BD96" s="205"/>
      <c r="BE96" s="206">
        <f ca="1">BD96*$X96</f>
        <v>0</v>
      </c>
      <c r="BF96" s="206">
        <f ca="1">BE96*$Z96</f>
        <v>0</v>
      </c>
      <c r="BG96" s="207">
        <f t="shared" ca="1" si="314"/>
        <v>0</v>
      </c>
      <c r="BH96" s="391">
        <f>AT96+BD96</f>
        <v>0</v>
      </c>
      <c r="BI96" s="391">
        <f t="shared" ca="1" si="1097"/>
        <v>0</v>
      </c>
      <c r="BJ96" s="391">
        <f ca="1">BI96*$Z96</f>
        <v>0</v>
      </c>
      <c r="BK96" s="886">
        <f t="shared" ca="1" si="1160"/>
        <v>0</v>
      </c>
      <c r="BL96" s="1007" t="str">
        <f t="shared" ca="1" si="958"/>
        <v/>
      </c>
      <c r="BM96" s="197"/>
      <c r="BN96" s="312" t="str">
        <f ca="1">IFERROR($X96/BO96-1,"")</f>
        <v/>
      </c>
      <c r="BO96" s="411"/>
      <c r="BP96" s="199">
        <f ca="1">BM96*$X96</f>
        <v>0</v>
      </c>
      <c r="BQ96" s="199">
        <f ca="1">BP96*$Z96</f>
        <v>0</v>
      </c>
      <c r="BR96" s="216">
        <f t="shared" ca="1" si="1098"/>
        <v>0</v>
      </c>
      <c r="BS96" s="202">
        <f ca="1">BT96/$X96</f>
        <v>0</v>
      </c>
      <c r="BT96" s="203">
        <f ca="1">BU96/$Z96</f>
        <v>0</v>
      </c>
      <c r="BU96" s="203">
        <f ca="1">BV96*BM$4</f>
        <v>0</v>
      </c>
      <c r="BV96" s="204">
        <f ca="1">$N96-BR96</f>
        <v>0</v>
      </c>
      <c r="BW96" s="205"/>
      <c r="BX96" s="206">
        <f ca="1">BW96*$X96</f>
        <v>0</v>
      </c>
      <c r="BY96" s="206">
        <f ca="1">BX96*$Z96</f>
        <v>0</v>
      </c>
      <c r="BZ96" s="207">
        <f t="shared" ca="1" si="1099"/>
        <v>0</v>
      </c>
      <c r="CA96" s="391">
        <f>BM96+BW96</f>
        <v>0</v>
      </c>
      <c r="CB96" s="391">
        <f t="shared" ca="1" si="1100"/>
        <v>0</v>
      </c>
      <c r="CC96" s="391">
        <f ca="1">CB96*$Z96</f>
        <v>0</v>
      </c>
      <c r="CD96" s="886">
        <f t="shared" ca="1" si="1164"/>
        <v>0</v>
      </c>
      <c r="CE96" s="1007" t="str">
        <f t="shared" ca="1" si="959"/>
        <v/>
      </c>
      <c r="CF96" s="197"/>
      <c r="CG96" s="312" t="str">
        <f ca="1">IFERROR($X96/CH96-1,"")</f>
        <v/>
      </c>
      <c r="CH96" s="411"/>
      <c r="CI96" s="199">
        <f ca="1">CF96*$X96</f>
        <v>0</v>
      </c>
      <c r="CJ96" s="199">
        <f ca="1">CI96*$Z96</f>
        <v>0</v>
      </c>
      <c r="CK96" s="216">
        <f t="shared" ca="1" si="334"/>
        <v>0</v>
      </c>
      <c r="CL96" s="202">
        <f ca="1">CM96/$X96</f>
        <v>0</v>
      </c>
      <c r="CM96" s="203">
        <f ca="1">CN96/$Z96</f>
        <v>0</v>
      </c>
      <c r="CN96" s="203">
        <f ca="1">CO96*CF$4</f>
        <v>0</v>
      </c>
      <c r="CO96" s="204">
        <f ca="1">$O96-CK96</f>
        <v>0</v>
      </c>
      <c r="CP96" s="205"/>
      <c r="CQ96" s="206">
        <f ca="1">CP96*$X96</f>
        <v>0</v>
      </c>
      <c r="CR96" s="206">
        <f ca="1">CQ96*$Z96</f>
        <v>0</v>
      </c>
      <c r="CS96" s="207">
        <f t="shared" ca="1" si="341"/>
        <v>0</v>
      </c>
      <c r="CT96" s="391">
        <f>CF96+CP96</f>
        <v>0</v>
      </c>
      <c r="CU96" s="391">
        <f t="shared" ca="1" si="1101"/>
        <v>0</v>
      </c>
      <c r="CV96" s="391">
        <f ca="1">CU96*$Z96</f>
        <v>0</v>
      </c>
      <c r="CW96" s="886">
        <f t="shared" ca="1" si="345"/>
        <v>0</v>
      </c>
      <c r="CX96" s="1007" t="str">
        <f t="shared" ca="1" si="960"/>
        <v/>
      </c>
    </row>
    <row r="97" spans="1:102" ht="12.6" hidden="1" customHeight="1" outlineLevel="1" x14ac:dyDescent="0.2">
      <c r="A97" s="367"/>
      <c r="B97" s="367"/>
      <c r="C97" s="367" t="str">
        <f t="shared" ca="1" si="1279"/>
        <v>IE000YYE6WK5:USD</v>
      </c>
      <c r="D97" s="368" t="str">
        <f t="shared" ca="1" si="1279"/>
        <v>IE000YYE6WK5</v>
      </c>
      <c r="E97" s="369" t="str">
        <f t="shared" ca="1" si="1279"/>
        <v>125816101</v>
      </c>
      <c r="F97" s="367" t="s">
        <v>4473</v>
      </c>
      <c r="G97" s="414"/>
      <c r="H97" s="1683" t="str">
        <f ca="1">HYPERLINK(OFFSET(Origine,MATCH($F97,Descrizioni,0),MATCH(H$16,Intestazioni,0)-1,1,1),"")</f>
        <v></v>
      </c>
      <c r="I97" s="1683" t="str">
        <f ca="1">HYPERLINK(OFFSET(Origine,MATCH($F97,Descrizioni,0),MATCH(I$16,Intestazioni,0)-1,1,1),"i")</f>
        <v>i</v>
      </c>
      <c r="J97" s="1713" t="str">
        <f ca="1">HYPERLINK(OFFSET(Origine,MATCH($F97,Descrizioni,0),MATCH(J$16,Intestazioni,0)-1,1,1),"")</f>
        <v></v>
      </c>
      <c r="K97" s="1716" t="str">
        <f ca="1">HYPERLINK(OFFSET(Origine,MATCH($F97,Descrizioni,0),MATCH(K$16,Intestazioni,0)-1,1,1),"")</f>
        <v></v>
      </c>
      <c r="L97" s="1717" t="str">
        <f ca="1">IFERROR(HYPERLINK("https://www.marketscreener.com/mods_a/charts/TV/inc_dyna_graph.php?c="&amp;OFFSET(Origine,MATCH($F97,Descrizioni,0),MATCH(L$16,Intestazioni,0)-1,1,1)&amp;"&amp;style=TradingView.CANDLES&amp;showAT=1",""),"")</f>
        <v></v>
      </c>
      <c r="M97" s="1786" t="str">
        <f ca="1">(OFFSET(Origine,MATCH($F97,Descrizioni,0),MATCH(M$16,Intestazioni,0)-1,1,1))</f>
        <v>Unit</v>
      </c>
      <c r="N97" s="1136">
        <v>2.5000000000000001E-2</v>
      </c>
      <c r="O97" s="1136">
        <v>2.5000000000000001E-2</v>
      </c>
      <c r="P97" s="418">
        <f t="shared" ca="1" si="1238"/>
        <v>2.4305488764152013E-2</v>
      </c>
      <c r="Q97" s="391">
        <f>SUMIF($AA$16:$CW$16,"I_Pos",$AA97:$CW97)</f>
        <v>1040</v>
      </c>
      <c r="R97" s="391">
        <f ca="1">SUMIF($AA$16:$CW$16,"P_Pos",$AA97:$CW97)</f>
        <v>26.912598777653589</v>
      </c>
      <c r="S97" s="883"/>
      <c r="T97" s="883"/>
      <c r="U97" s="375">
        <f ca="1">OFFSET(Origine,MATCH($C97,smo_ids,0),MATCH(U$16,Intestazioni,0)-1,1,1)</f>
        <v>3.7536493813430001E-3</v>
      </c>
      <c r="V97" s="391">
        <f>SUMIF($AA$16:$CW$16,"O_Pos",$AA97:$CW97)</f>
        <v>0</v>
      </c>
      <c r="W97" s="367" t="str">
        <f ca="1">OFFSET(Origine,MATCH($F97,Descrizioni,0),MATCH(W$16,Intestazioni,0)-1,1,1)</f>
        <v>USD</v>
      </c>
      <c r="X97" s="887">
        <f ca="1">_xlfn.NUMBERVALUE(OFFSET(Origine,MATCH($F97,Descrizioni,0),MATCH(X$16,Intestazioni,0)-1,1,1))</f>
        <v>72.2</v>
      </c>
      <c r="Y97" s="1041">
        <f ca="1">_xlfn.NUMBERVALUE(OFFSET(Origine,MATCH($F97,Descrizioni,0),MATCH(Y$16,Intestazioni,0)-1,1,1))</f>
        <v>0</v>
      </c>
      <c r="Z97" s="1042">
        <f ca="1">_xlfn.NUMBERVALUE(OFFSET(Origine,MATCH(W97&amp;"/"&amp;MRif,LUKB_Name,0),MATCH("Price",Intestazioni,0)-1,1,1))</f>
        <v>0.86199999999999999</v>
      </c>
      <c r="AA97" s="197">
        <f>290</f>
        <v>290</v>
      </c>
      <c r="AB97" s="312">
        <f ca="1">IFERROR($X97/AC97-1,"")</f>
        <v>1.0194287505211896E-2</v>
      </c>
      <c r="AC97" s="411">
        <v>71.471400000000003</v>
      </c>
      <c r="AD97" s="199">
        <f ca="1">AA97*$X97</f>
        <v>20938</v>
      </c>
      <c r="AE97" s="199">
        <f ca="1">AD97*$Z97</f>
        <v>18048.556</v>
      </c>
      <c r="AF97" s="216">
        <f t="shared" ca="1" si="292"/>
        <v>2.5671351559180672E-2</v>
      </c>
      <c r="AG97" s="202">
        <f ca="1">AH97/$X97</f>
        <v>-7.5840164361259843</v>
      </c>
      <c r="AH97" s="203">
        <f ca="1">AI97/$Z97</f>
        <v>-547.56598668829611</v>
      </c>
      <c r="AI97" s="203">
        <f ca="1">AJ97*AA$4</f>
        <v>-472.00188052531121</v>
      </c>
      <c r="AJ97" s="204">
        <f ca="1">$N97-AF97</f>
        <v>-6.713515591806711E-4</v>
      </c>
      <c r="AK97" s="205"/>
      <c r="AL97" s="206">
        <f ca="1">AK97*$X97</f>
        <v>0</v>
      </c>
      <c r="AM97" s="206">
        <f ca="1">AL97*$Z97</f>
        <v>0</v>
      </c>
      <c r="AN97" s="207">
        <f t="shared" ca="1" si="299"/>
        <v>0</v>
      </c>
      <c r="AO97" s="391">
        <f>AA97+AK97</f>
        <v>290</v>
      </c>
      <c r="AP97" s="391">
        <f t="shared" ca="1" si="1096"/>
        <v>20938</v>
      </c>
      <c r="AQ97" s="391">
        <f ca="1">AP97*$Z97</f>
        <v>18048.556</v>
      </c>
      <c r="AR97" s="886">
        <f t="shared" ca="1" si="1159"/>
        <v>2.5671351559180672E-2</v>
      </c>
      <c r="AS97" s="1007" t="str">
        <f t="shared" ca="1" si="957"/>
        <v>V</v>
      </c>
      <c r="AT97" s="197">
        <f>425</f>
        <v>425</v>
      </c>
      <c r="AU97" s="312">
        <f ca="1">IFERROR($X97/AV97-1,"")</f>
        <v>1.0194287505211896E-2</v>
      </c>
      <c r="AV97" s="411">
        <v>71.471400000000003</v>
      </c>
      <c r="AW97" s="199">
        <f ca="1">AT97*$X97</f>
        <v>30685</v>
      </c>
      <c r="AX97" s="199">
        <f ca="1">AW97*$Z97</f>
        <v>26450.47</v>
      </c>
      <c r="AY97" s="216">
        <f t="shared" ca="1" si="307"/>
        <v>2.2777829710596782E-2</v>
      </c>
      <c r="AZ97" s="202">
        <f ca="1">BA97/$X97</f>
        <v>41.462351110518689</v>
      </c>
      <c r="BA97" s="203">
        <f ca="1">BB97/$Z97</f>
        <v>2993.5817501794495</v>
      </c>
      <c r="BB97" s="203">
        <f ca="1">BC97*AT$4</f>
        <v>2580.4674686546855</v>
      </c>
      <c r="BC97" s="204">
        <f ca="1">$N97-AY97</f>
        <v>2.2221702894032191E-3</v>
      </c>
      <c r="BD97" s="205"/>
      <c r="BE97" s="206">
        <f ca="1">BD97*$X97</f>
        <v>0</v>
      </c>
      <c r="BF97" s="206">
        <f ca="1">BE97*$Z97</f>
        <v>0</v>
      </c>
      <c r="BG97" s="207">
        <f t="shared" ca="1" si="314"/>
        <v>0</v>
      </c>
      <c r="BH97" s="391">
        <f>AT97+BD97</f>
        <v>425</v>
      </c>
      <c r="BI97" s="391">
        <f t="shared" ca="1" si="1097"/>
        <v>30685</v>
      </c>
      <c r="BJ97" s="391">
        <f ca="1">BI97*$Z97</f>
        <v>26450.47</v>
      </c>
      <c r="BK97" s="886">
        <f t="shared" ca="1" si="1160"/>
        <v>2.2777829710596782E-2</v>
      </c>
      <c r="BL97" s="1007" t="str">
        <f t="shared" ca="1" si="958"/>
        <v>V</v>
      </c>
      <c r="BM97" s="197">
        <f>260</f>
        <v>260</v>
      </c>
      <c r="BN97" s="312">
        <f ca="1">IFERROR($X97/BO97-1,"")</f>
        <v>1.0194287505211896E-2</v>
      </c>
      <c r="BO97" s="411">
        <v>71.471400000000003</v>
      </c>
      <c r="BP97" s="199">
        <f ca="1">BM97*$X97</f>
        <v>18772</v>
      </c>
      <c r="BQ97" s="199">
        <f ca="1">BP97*$Z97</f>
        <v>16181.464</v>
      </c>
      <c r="BR97" s="216">
        <f t="shared" ca="1" si="1098"/>
        <v>2.5592408743531168E-2</v>
      </c>
      <c r="BS97" s="202">
        <f ca="1">BT97/$X97</f>
        <v>-6.0184359691049201</v>
      </c>
      <c r="BT97" s="203">
        <f ca="1">BU97/$Z97</f>
        <v>-434.53107696937525</v>
      </c>
      <c r="BU97" s="203">
        <f ca="1">BV97*BM$4</f>
        <v>-374.56578834760148</v>
      </c>
      <c r="BV97" s="204">
        <f ca="1">$N97-BR97</f>
        <v>-5.9240874353116632E-4</v>
      </c>
      <c r="BW97" s="205"/>
      <c r="BX97" s="206">
        <f ca="1">BW97*$X97</f>
        <v>0</v>
      </c>
      <c r="BY97" s="206">
        <f ca="1">BX97*$Z97</f>
        <v>0</v>
      </c>
      <c r="BZ97" s="207">
        <f t="shared" ca="1" si="1099"/>
        <v>0</v>
      </c>
      <c r="CA97" s="391">
        <f>BM97+BW97</f>
        <v>260</v>
      </c>
      <c r="CB97" s="391">
        <f t="shared" ca="1" si="1100"/>
        <v>18772</v>
      </c>
      <c r="CC97" s="391">
        <f ca="1">CB97*$Z97</f>
        <v>16181.464</v>
      </c>
      <c r="CD97" s="886">
        <f t="shared" ca="1" si="1164"/>
        <v>2.5592408743531168E-2</v>
      </c>
      <c r="CE97" s="1007" t="str">
        <f t="shared" ca="1" si="959"/>
        <v>V</v>
      </c>
      <c r="CF97" s="197">
        <f>65</f>
        <v>65</v>
      </c>
      <c r="CG97" s="312">
        <f ca="1">IFERROR($X97/CH97-1,"")</f>
        <v>1.0194287505211896E-2</v>
      </c>
      <c r="CH97" s="411">
        <v>71.471400000000003</v>
      </c>
      <c r="CI97" s="199">
        <f ca="1">CF97*$X97</f>
        <v>4693</v>
      </c>
      <c r="CJ97" s="199">
        <f ca="1">CI97*$Z97</f>
        <v>4045.366</v>
      </c>
      <c r="CK97" s="216">
        <f t="shared" ca="1" si="334"/>
        <v>2.5369734580495417E-2</v>
      </c>
      <c r="CL97" s="202">
        <f ca="1">CM97/$X97</f>
        <v>-0.94729992763419402</v>
      </c>
      <c r="CM97" s="203">
        <f ca="1">CN97/$Z97</f>
        <v>-68.395054775188811</v>
      </c>
      <c r="CN97" s="203">
        <f ca="1">CO97*CF$4</f>
        <v>-58.956537216212752</v>
      </c>
      <c r="CO97" s="204">
        <f ca="1">$O97-CK97</f>
        <v>-3.6973458049541566E-4</v>
      </c>
      <c r="CP97" s="205"/>
      <c r="CQ97" s="206">
        <f ca="1">CP97*$X97</f>
        <v>0</v>
      </c>
      <c r="CR97" s="206">
        <f ca="1">CQ97*$Z97</f>
        <v>0</v>
      </c>
      <c r="CS97" s="207">
        <f t="shared" ca="1" si="341"/>
        <v>0</v>
      </c>
      <c r="CT97" s="391">
        <f>CF97+CP97</f>
        <v>65</v>
      </c>
      <c r="CU97" s="391">
        <f t="shared" ca="1" si="1101"/>
        <v>4693</v>
      </c>
      <c r="CV97" s="391">
        <f ca="1">CU97*$Z97</f>
        <v>4045.366</v>
      </c>
      <c r="CW97" s="886">
        <f t="shared" ca="1" si="345"/>
        <v>2.5369734580495417E-2</v>
      </c>
      <c r="CX97" s="1007" t="str">
        <f t="shared" ca="1" si="960"/>
        <v>V</v>
      </c>
    </row>
    <row r="98" spans="1:102" collapsed="1" x14ac:dyDescent="0.2">
      <c r="A98" s="435" t="s">
        <v>577</v>
      </c>
      <c r="B98" s="435"/>
      <c r="C98" s="435"/>
      <c r="D98" s="436"/>
      <c r="E98" s="437"/>
      <c r="F98" s="435"/>
      <c r="G98" s="438"/>
      <c r="H98" s="1755"/>
      <c r="I98" s="1755"/>
      <c r="J98" s="1755"/>
      <c r="K98" s="1755"/>
      <c r="L98" s="1755"/>
      <c r="M98" s="1788"/>
      <c r="N98" s="1144">
        <f>SUM(N$99,N$101)</f>
        <v>0</v>
      </c>
      <c r="O98" s="1144"/>
      <c r="P98" s="1145">
        <f t="shared" ca="1" si="1238"/>
        <v>0</v>
      </c>
      <c r="Q98" s="441"/>
      <c r="R98" s="441"/>
      <c r="S98" s="893" t="s">
        <v>718</v>
      </c>
      <c r="T98" s="893"/>
      <c r="U98" s="442"/>
      <c r="V98" s="441">
        <f>SUM(V101,V99)</f>
        <v>0</v>
      </c>
      <c r="W98" s="435"/>
      <c r="X98" s="895"/>
      <c r="Y98" s="895"/>
      <c r="Z98" s="1049"/>
      <c r="AA98" s="453"/>
      <c r="AB98" s="897"/>
      <c r="AC98" s="1146"/>
      <c r="AD98" s="447"/>
      <c r="AE98" s="448" cm="1">
        <f t="array" aca="1" ref="AE98" ca="1">SUM(IF($B$99:$B$102="",AE$99:AE$102))</f>
        <v>0</v>
      </c>
      <c r="AF98" s="449">
        <f t="shared" ca="1" si="292"/>
        <v>0</v>
      </c>
      <c r="AG98" s="450"/>
      <c r="AH98" s="451"/>
      <c r="AI98" s="448" cm="1">
        <f t="array" aca="1" ref="AI98" ca="1">SUM(IF($B$99:$B$102="",AI$99:AI$102))</f>
        <v>0</v>
      </c>
      <c r="AJ98" s="452">
        <f ca="1">IFERROR(AI98/AA$4,0)</f>
        <v>0</v>
      </c>
      <c r="AK98" s="450"/>
      <c r="AL98" s="451"/>
      <c r="AM98" s="448" cm="1">
        <f t="array" aca="1" ref="AM98" ca="1">SUM(IF($B$99:$B$102="",AM$99:AM$102))</f>
        <v>0</v>
      </c>
      <c r="AN98" s="452">
        <f t="shared" ca="1" si="299"/>
        <v>0</v>
      </c>
      <c r="AO98" s="451"/>
      <c r="AP98" s="451"/>
      <c r="AQ98" s="448" cm="1">
        <f t="array" aca="1" ref="AQ98" ca="1">SUM(IF($B$99:$B$102="",AQ$99:AQ$102))</f>
        <v>0</v>
      </c>
      <c r="AR98" s="903">
        <f t="shared" ca="1" si="1159"/>
        <v>0</v>
      </c>
      <c r="AS98" s="1007" t="str">
        <f t="shared" ca="1" si="957"/>
        <v/>
      </c>
      <c r="AT98" s="453"/>
      <c r="AU98" s="897"/>
      <c r="AV98" s="1146"/>
      <c r="AW98" s="447"/>
      <c r="AX98" s="448" cm="1">
        <f t="array" aca="1" ref="AX98" ca="1">SUM(IF($B$99:$B$102="",AX$99:AX$102))</f>
        <v>0</v>
      </c>
      <c r="AY98" s="449">
        <f t="shared" ca="1" si="307"/>
        <v>0</v>
      </c>
      <c r="AZ98" s="450"/>
      <c r="BA98" s="451"/>
      <c r="BB98" s="448" cm="1">
        <f t="array" aca="1" ref="BB98" ca="1">SUM(IF($B$99:$B$102="",BB$99:BB$102))</f>
        <v>0</v>
      </c>
      <c r="BC98" s="452">
        <f ca="1">IFERROR(BB98/AT$4,0)</f>
        <v>0</v>
      </c>
      <c r="BD98" s="450"/>
      <c r="BE98" s="451"/>
      <c r="BF98" s="448" cm="1">
        <f t="array" aca="1" ref="BF98" ca="1">SUM(IF($B$99:$B$102="",BF$99:BF$102))</f>
        <v>0</v>
      </c>
      <c r="BG98" s="452">
        <f t="shared" ca="1" si="314"/>
        <v>0</v>
      </c>
      <c r="BH98" s="451"/>
      <c r="BI98" s="451"/>
      <c r="BJ98" s="448" cm="1">
        <f t="array" aca="1" ref="BJ98" ca="1">SUM(IF($B$99:$B$102="",BJ$99:BJ$102))</f>
        <v>0</v>
      </c>
      <c r="BK98" s="903">
        <f t="shared" ca="1" si="1160"/>
        <v>0</v>
      </c>
      <c r="BL98" s="1007" t="str">
        <f t="shared" ca="1" si="958"/>
        <v/>
      </c>
      <c r="BM98" s="453"/>
      <c r="BN98" s="897"/>
      <c r="BO98" s="1146"/>
      <c r="BP98" s="447"/>
      <c r="BQ98" s="448" cm="1">
        <f t="array" aca="1" ref="BQ98" ca="1">SUM(IF($B$99:$B$102="",BQ$99:BQ$102))</f>
        <v>0</v>
      </c>
      <c r="BR98" s="449">
        <f t="shared" ca="1" si="1098"/>
        <v>0</v>
      </c>
      <c r="BS98" s="450"/>
      <c r="BT98" s="451"/>
      <c r="BU98" s="448" cm="1">
        <f t="array" aca="1" ref="BU98" ca="1">SUM(IF($B$99:$B$102="",BU$99:BU$102))</f>
        <v>0</v>
      </c>
      <c r="BV98" s="452">
        <f ca="1">IFERROR(BU98/BM$4,0)</f>
        <v>0</v>
      </c>
      <c r="BW98" s="450"/>
      <c r="BX98" s="451"/>
      <c r="BY98" s="448" cm="1">
        <f t="array" aca="1" ref="BY98" ca="1">SUM(IF($B$99:$B$102="",BY$99:BY$102))</f>
        <v>0</v>
      </c>
      <c r="BZ98" s="452">
        <f t="shared" ca="1" si="1099"/>
        <v>0</v>
      </c>
      <c r="CA98" s="451"/>
      <c r="CB98" s="451"/>
      <c r="CC98" s="448" cm="1">
        <f t="array" aca="1" ref="CC98" ca="1">SUM(IF($B$99:$B$102="",CC$99:CC$102))</f>
        <v>0</v>
      </c>
      <c r="CD98" s="903">
        <f t="shared" ca="1" si="1164"/>
        <v>0</v>
      </c>
      <c r="CE98" s="1007" t="str">
        <f t="shared" ca="1" si="959"/>
        <v/>
      </c>
      <c r="CF98" s="453"/>
      <c r="CG98" s="897"/>
      <c r="CH98" s="1146"/>
      <c r="CI98" s="447"/>
      <c r="CJ98" s="448" cm="1">
        <f t="array" aca="1" ref="CJ98" ca="1">SUM(IF($B$99:$B$102="",CJ$99:CJ$102))</f>
        <v>0</v>
      </c>
      <c r="CK98" s="449">
        <f t="shared" ca="1" si="334"/>
        <v>0</v>
      </c>
      <c r="CL98" s="450"/>
      <c r="CM98" s="451"/>
      <c r="CN98" s="448" cm="1">
        <f t="array" aca="1" ref="CN98" ca="1">SUM(IF($B$99:$B$102="",CN$99:CN$102))</f>
        <v>0</v>
      </c>
      <c r="CO98" s="452">
        <f ca="1">IFERROR(CN98/CF$4,0)</f>
        <v>0</v>
      </c>
      <c r="CP98" s="450"/>
      <c r="CQ98" s="451"/>
      <c r="CR98" s="448" cm="1">
        <f t="array" aca="1" ref="CR98" ca="1">SUM(IF($B$99:$B$102="",CR$99:CR$102))</f>
        <v>0</v>
      </c>
      <c r="CS98" s="452">
        <f t="shared" ca="1" si="341"/>
        <v>0</v>
      </c>
      <c r="CT98" s="451"/>
      <c r="CU98" s="451"/>
      <c r="CV98" s="448" cm="1">
        <f t="array" aca="1" ref="CV98" ca="1">SUM(IF($B$99:$B$102="",CV$99:CV$102))</f>
        <v>0</v>
      </c>
      <c r="CW98" s="903">
        <f t="shared" ca="1" si="345"/>
        <v>0</v>
      </c>
      <c r="CX98" s="1007" t="str">
        <f t="shared" ca="1" si="960"/>
        <v/>
      </c>
    </row>
    <row r="99" spans="1:102" ht="12" hidden="1" customHeight="1" outlineLevel="1" x14ac:dyDescent="0.2">
      <c r="A99" s="456"/>
      <c r="B99" s="456" t="s">
        <v>397</v>
      </c>
      <c r="C99" s="456"/>
      <c r="D99" s="457"/>
      <c r="E99" s="458"/>
      <c r="F99" s="456"/>
      <c r="G99" s="459"/>
      <c r="H99" s="1806"/>
      <c r="I99" s="1806"/>
      <c r="J99" s="1806"/>
      <c r="K99" s="1806"/>
      <c r="L99" s="1806"/>
      <c r="M99" s="1789"/>
      <c r="N99" s="1148">
        <f>SUM(N$100)</f>
        <v>0</v>
      </c>
      <c r="O99" s="1148"/>
      <c r="P99" s="461">
        <f t="shared" ca="1" si="1238"/>
        <v>0</v>
      </c>
      <c r="Q99" s="462"/>
      <c r="R99" s="462"/>
      <c r="S99" s="1147" t="s">
        <v>718</v>
      </c>
      <c r="T99" s="1147"/>
      <c r="U99" s="463"/>
      <c r="V99" s="462">
        <f>COUNTIF(V100,"&lt;&gt;0")</f>
        <v>0</v>
      </c>
      <c r="W99" s="456"/>
      <c r="X99" s="907"/>
      <c r="Y99" s="907"/>
      <c r="Z99" s="1052"/>
      <c r="AA99" s="475"/>
      <c r="AB99" s="909"/>
      <c r="AC99" s="1149"/>
      <c r="AD99" s="456"/>
      <c r="AE99" s="469">
        <f ca="1">SUM(AE$100)</f>
        <v>0</v>
      </c>
      <c r="AF99" s="470">
        <f t="shared" ca="1" si="292"/>
        <v>0</v>
      </c>
      <c r="AG99" s="471"/>
      <c r="AH99" s="456"/>
      <c r="AI99" s="469">
        <f ca="1">SUM(AI$100)</f>
        <v>0</v>
      </c>
      <c r="AJ99" s="472">
        <f ca="1">IFERROR(AI99/AA$4,0)</f>
        <v>0</v>
      </c>
      <c r="AK99" s="471"/>
      <c r="AL99" s="456"/>
      <c r="AM99" s="469">
        <f ca="1">SUM(AM$100)</f>
        <v>0</v>
      </c>
      <c r="AN99" s="472">
        <f t="shared" ca="1" si="299"/>
        <v>0</v>
      </c>
      <c r="AO99" s="475"/>
      <c r="AP99" s="909"/>
      <c r="AQ99" s="1149">
        <f ca="1">SUM(AQ$100)</f>
        <v>0</v>
      </c>
      <c r="AR99" s="470">
        <f t="shared" ca="1" si="1159"/>
        <v>0</v>
      </c>
      <c r="AS99" s="1007" t="str">
        <f t="shared" ca="1" si="957"/>
        <v/>
      </c>
      <c r="AT99" s="475"/>
      <c r="AU99" s="909"/>
      <c r="AV99" s="1149"/>
      <c r="AW99" s="456"/>
      <c r="AX99" s="469">
        <f ca="1">SUM(AX$100)</f>
        <v>0</v>
      </c>
      <c r="AY99" s="470">
        <f t="shared" ca="1" si="307"/>
        <v>0</v>
      </c>
      <c r="AZ99" s="471"/>
      <c r="BA99" s="456"/>
      <c r="BB99" s="469">
        <f ca="1">SUM(BB$100)</f>
        <v>0</v>
      </c>
      <c r="BC99" s="472">
        <f ca="1">IFERROR(BB99/AT$4,0)</f>
        <v>0</v>
      </c>
      <c r="BD99" s="471"/>
      <c r="BE99" s="456"/>
      <c r="BF99" s="469">
        <f ca="1">SUM(BF$100)</f>
        <v>0</v>
      </c>
      <c r="BG99" s="472">
        <f t="shared" ca="1" si="314"/>
        <v>0</v>
      </c>
      <c r="BH99" s="475"/>
      <c r="BI99" s="909"/>
      <c r="BJ99" s="1149">
        <f ca="1">SUM(BJ$100)</f>
        <v>0</v>
      </c>
      <c r="BK99" s="470">
        <f t="shared" ca="1" si="1160"/>
        <v>0</v>
      </c>
      <c r="BL99" s="1007" t="str">
        <f t="shared" ca="1" si="958"/>
        <v/>
      </c>
      <c r="BM99" s="475"/>
      <c r="BN99" s="909"/>
      <c r="BO99" s="1149"/>
      <c r="BP99" s="456"/>
      <c r="BQ99" s="469">
        <f ca="1">SUM(BQ$100)</f>
        <v>0</v>
      </c>
      <c r="BR99" s="470">
        <f t="shared" ca="1" si="1098"/>
        <v>0</v>
      </c>
      <c r="BS99" s="471"/>
      <c r="BT99" s="456"/>
      <c r="BU99" s="469">
        <f ca="1">SUM(BU$100)</f>
        <v>0</v>
      </c>
      <c r="BV99" s="472">
        <f ca="1">IFERROR(BU99/BM$4,0)</f>
        <v>0</v>
      </c>
      <c r="BW99" s="471"/>
      <c r="BX99" s="456"/>
      <c r="BY99" s="469">
        <f ca="1">SUM(BY$100)</f>
        <v>0</v>
      </c>
      <c r="BZ99" s="472">
        <f t="shared" ca="1" si="1099"/>
        <v>0</v>
      </c>
      <c r="CA99" s="475"/>
      <c r="CB99" s="909"/>
      <c r="CC99" s="1149">
        <f ca="1">SUM(CC$100)</f>
        <v>0</v>
      </c>
      <c r="CD99" s="470">
        <f t="shared" ca="1" si="1164"/>
        <v>0</v>
      </c>
      <c r="CE99" s="1007" t="str">
        <f t="shared" ca="1" si="959"/>
        <v/>
      </c>
      <c r="CF99" s="475"/>
      <c r="CG99" s="909"/>
      <c r="CH99" s="1149"/>
      <c r="CI99" s="456"/>
      <c r="CJ99" s="469">
        <f ca="1">SUM(CJ$100)</f>
        <v>0</v>
      </c>
      <c r="CK99" s="470">
        <f t="shared" ca="1" si="334"/>
        <v>0</v>
      </c>
      <c r="CL99" s="471"/>
      <c r="CM99" s="456"/>
      <c r="CN99" s="469">
        <f ca="1">SUM(CN$100)</f>
        <v>0</v>
      </c>
      <c r="CO99" s="472">
        <f ca="1">IFERROR(CN99/CF$4,0)</f>
        <v>0</v>
      </c>
      <c r="CP99" s="471"/>
      <c r="CQ99" s="456"/>
      <c r="CR99" s="469">
        <f ca="1">SUM(CR$100)</f>
        <v>0</v>
      </c>
      <c r="CS99" s="472">
        <f t="shared" ca="1" si="341"/>
        <v>0</v>
      </c>
      <c r="CT99" s="475"/>
      <c r="CU99" s="909"/>
      <c r="CV99" s="1149">
        <f ca="1">SUM(CV$100)</f>
        <v>0</v>
      </c>
      <c r="CW99" s="470">
        <f t="shared" ca="1" si="345"/>
        <v>0</v>
      </c>
      <c r="CX99" s="1007" t="str">
        <f t="shared" ca="1" si="960"/>
        <v/>
      </c>
    </row>
    <row r="100" spans="1:102" ht="12.6" hidden="1" customHeight="1" outlineLevel="1" x14ac:dyDescent="0.2">
      <c r="A100" s="478"/>
      <c r="B100" s="478"/>
      <c r="C100" s="478" t="str">
        <f ca="1">OFFSET(Origine,MATCH($F100,Descrizioni,0),MATCH(C$16,Intestazioni,0)-1,1,1)</f>
        <v>CH0014420829:CHF</v>
      </c>
      <c r="D100" s="479" t="str">
        <f ca="1">OFFSET(Origine,MATCH($F100,Descrizioni,0),MATCH(D$16,Intestazioni,0)-1,1,1)</f>
        <v>CH0014420829</v>
      </c>
      <c r="E100" s="480" t="str">
        <f ca="1">OFFSET(Origine,MATCH($F100,Descrizioni,0),MATCH(E$16,Intestazioni,0)-1,1,1)</f>
        <v>1442082</v>
      </c>
      <c r="F100" s="478" t="s">
        <v>578</v>
      </c>
      <c r="G100" s="481"/>
      <c r="H100" s="1790" t="str">
        <f ca="1">HYPERLINK(OFFSET(Origine,MATCH($F100,Descrizioni,0),MATCH(H$16,Intestazioni,0)-1,1,1),"")</f>
        <v></v>
      </c>
      <c r="I100" s="1790" t="str">
        <f ca="1">HYPERLINK(OFFSET(Origine,MATCH($F100,Descrizioni,0),MATCH(I$16,Intestazioni,0)-1,1,1),"i")</f>
        <v>i</v>
      </c>
      <c r="J100" s="1791" t="str">
        <f ca="1">HYPERLINK(OFFSET(Origine,MATCH($F100,Descrizioni,0),MATCH(J$16,Intestazioni,0)-1,1,1),"")</f>
        <v></v>
      </c>
      <c r="K100" s="1726" t="str">
        <f ca="1">HYPERLINK(OFFSET(Origine,MATCH($F100,Descrizioni,0),MATCH(K$16,Intestazioni,0)-1,1,1),"")</f>
        <v></v>
      </c>
      <c r="L100" s="1725" t="str">
        <f ca="1">IFERROR(HYPERLINK("https://www.marketscreener.com/mods_a/charts/TV/inc_dyna_graph.php?c="&amp;OFFSET(Origine,MATCH($F100,Descrizioni,0),MATCH(L$16,Intestazioni,0)-1,1,1)&amp;"&amp;style=TradingView.CANDLES&amp;showAT=1",""),"")</f>
        <v></v>
      </c>
      <c r="M100" s="1792" t="str">
        <f ca="1">(OFFSET(Origine,MATCH($F100,Descrizioni,0),MATCH(M$16,Intestazioni,0)-1,1,1))</f>
        <v>Unit</v>
      </c>
      <c r="N100" s="1150"/>
      <c r="O100" s="1150"/>
      <c r="P100" s="483">
        <f t="shared" ca="1" si="1238"/>
        <v>0</v>
      </c>
      <c r="Q100" s="484">
        <f>SUMIF($AA$16:$CW$16,"I_Pos",$AA100:$CW100)</f>
        <v>0</v>
      </c>
      <c r="R100" s="484">
        <f ca="1">SUMIF($AA$16:$CW$16,"P_Pos",$AA100:$CW100)</f>
        <v>0</v>
      </c>
      <c r="S100" s="915"/>
      <c r="T100" s="915"/>
      <c r="U100" s="485">
        <f ca="1">OFFSET(Origine,MATCH($C100,smo_ids,0),MATCH(U$16,Intestazioni,0)-1,1,1)</f>
        <v>-1.9230769230768998E-3</v>
      </c>
      <c r="V100" s="484">
        <f>SUMIF($AA$16:$CW$16,"O_Pos",$AA100:$CW100)</f>
        <v>0</v>
      </c>
      <c r="W100" s="478" t="str">
        <f ca="1">OFFSET(Origine,MATCH($F100,Descrizioni,0),MATCH(W$16,Intestazioni,0)-1,1,1)</f>
        <v>CHF</v>
      </c>
      <c r="X100" s="916">
        <f ca="1">_xlfn.NUMBERVALUE(OFFSET(Origine,MATCH($F100,Descrizioni,0),MATCH(X$16,Intestazioni,0)-1,1,1))</f>
        <v>103.8</v>
      </c>
      <c r="Y100" s="1057">
        <f ca="1">_xlfn.NUMBERVALUE(OFFSET(Origine,MATCH($F100,Descrizioni,0),MATCH(Y$16,Intestazioni,0)-1,1,1))</f>
        <v>0</v>
      </c>
      <c r="Z100" s="1058">
        <f ca="1">_xlfn.NUMBERVALUE(OFFSET(Origine,MATCH(W100&amp;"/"&amp;MRif,LUKB_Name,0),MATCH("Price",Intestazioni,0)-1,1,1))</f>
        <v>1.10173835</v>
      </c>
      <c r="AA100" s="197"/>
      <c r="AB100" s="312" t="str">
        <f ca="1">IFERROR($X100/AC100-1,"")</f>
        <v/>
      </c>
      <c r="AC100" s="411"/>
      <c r="AD100" s="199">
        <f ca="1">AA100*$X100</f>
        <v>0</v>
      </c>
      <c r="AE100" s="199">
        <f ca="1">AD100*$Z100</f>
        <v>0</v>
      </c>
      <c r="AF100" s="216">
        <f t="shared" ca="1" si="292"/>
        <v>0</v>
      </c>
      <c r="AG100" s="202">
        <f ca="1">AH100/$X100</f>
        <v>0</v>
      </c>
      <c r="AH100" s="203">
        <f ca="1">AI100/$Z100</f>
        <v>0</v>
      </c>
      <c r="AI100" s="203">
        <f ca="1">AJ100*AA$4</f>
        <v>0</v>
      </c>
      <c r="AJ100" s="204">
        <f ca="1">$N100-AF100</f>
        <v>0</v>
      </c>
      <c r="AK100" s="205"/>
      <c r="AL100" s="206">
        <f ca="1">AK100*$X100</f>
        <v>0</v>
      </c>
      <c r="AM100" s="206">
        <f ca="1">AL100*$Z100</f>
        <v>0</v>
      </c>
      <c r="AN100" s="207">
        <f t="shared" ca="1" si="299"/>
        <v>0</v>
      </c>
      <c r="AO100" s="541">
        <f>AA100+AK100</f>
        <v>0</v>
      </c>
      <c r="AP100" s="541">
        <f t="shared" ca="1" si="1096"/>
        <v>0</v>
      </c>
      <c r="AQ100" s="541">
        <f ca="1">AP100*$Z100</f>
        <v>0</v>
      </c>
      <c r="AR100" s="918">
        <f t="shared" ca="1" si="1159"/>
        <v>0</v>
      </c>
      <c r="AS100" s="1007" t="str">
        <f t="shared" ca="1" si="957"/>
        <v/>
      </c>
      <c r="AT100" s="197"/>
      <c r="AU100" s="312" t="str">
        <f ca="1">IFERROR($X100/AV100-1,"")</f>
        <v/>
      </c>
      <c r="AV100" s="411"/>
      <c r="AW100" s="199">
        <f ca="1">AT100*$X100</f>
        <v>0</v>
      </c>
      <c r="AX100" s="199">
        <f ca="1">AW100*$Z100</f>
        <v>0</v>
      </c>
      <c r="AY100" s="216">
        <f t="shared" ca="1" si="307"/>
        <v>0</v>
      </c>
      <c r="AZ100" s="202">
        <f ca="1">BA100/$X100</f>
        <v>0</v>
      </c>
      <c r="BA100" s="203">
        <f ca="1">BB100/$Z100</f>
        <v>0</v>
      </c>
      <c r="BB100" s="203">
        <f ca="1">BC100*AT$4</f>
        <v>0</v>
      </c>
      <c r="BC100" s="204">
        <f ca="1">$N100-AY100</f>
        <v>0</v>
      </c>
      <c r="BD100" s="205"/>
      <c r="BE100" s="206">
        <f ca="1">BD100*$X100</f>
        <v>0</v>
      </c>
      <c r="BF100" s="206">
        <f ca="1">BE100*$Z100</f>
        <v>0</v>
      </c>
      <c r="BG100" s="207">
        <f t="shared" ca="1" si="314"/>
        <v>0</v>
      </c>
      <c r="BH100" s="541">
        <f>AT100+BD100</f>
        <v>0</v>
      </c>
      <c r="BI100" s="541">
        <f t="shared" ref="BI100" ca="1" si="1280">AW100+IF($T100="",BE100)</f>
        <v>0</v>
      </c>
      <c r="BJ100" s="541">
        <f ca="1">BI100*$Z100</f>
        <v>0</v>
      </c>
      <c r="BK100" s="918">
        <f t="shared" ca="1" si="1160"/>
        <v>0</v>
      </c>
      <c r="BL100" s="1007" t="str">
        <f t="shared" ca="1" si="958"/>
        <v/>
      </c>
      <c r="BM100" s="197"/>
      <c r="BN100" s="312" t="str">
        <f ca="1">IFERROR($X100/BO100-1,"")</f>
        <v/>
      </c>
      <c r="BO100" s="411"/>
      <c r="BP100" s="199">
        <f ca="1">BM100*$X100</f>
        <v>0</v>
      </c>
      <c r="BQ100" s="199">
        <f ca="1">BP100*$Z100</f>
        <v>0</v>
      </c>
      <c r="BR100" s="216">
        <f t="shared" ca="1" si="1098"/>
        <v>0</v>
      </c>
      <c r="BS100" s="202">
        <f ca="1">BT100/$X100</f>
        <v>0</v>
      </c>
      <c r="BT100" s="203">
        <f ca="1">BU100/$Z100</f>
        <v>0</v>
      </c>
      <c r="BU100" s="203">
        <f ca="1">BV100*BM$4</f>
        <v>0</v>
      </c>
      <c r="BV100" s="204">
        <f ca="1">$N100-BR100</f>
        <v>0</v>
      </c>
      <c r="BW100" s="205"/>
      <c r="BX100" s="206">
        <f ca="1">BW100*$X100</f>
        <v>0</v>
      </c>
      <c r="BY100" s="206">
        <f ca="1">BX100*$Z100</f>
        <v>0</v>
      </c>
      <c r="BZ100" s="207">
        <f t="shared" ca="1" si="1099"/>
        <v>0</v>
      </c>
      <c r="CA100" s="541">
        <f>BM100+BW100</f>
        <v>0</v>
      </c>
      <c r="CB100" s="541">
        <f t="shared" ref="CB100" ca="1" si="1281">BP100+IF($T100="",BX100)</f>
        <v>0</v>
      </c>
      <c r="CC100" s="541">
        <f ca="1">CB100*$Z100</f>
        <v>0</v>
      </c>
      <c r="CD100" s="918">
        <f t="shared" ca="1" si="1164"/>
        <v>0</v>
      </c>
      <c r="CE100" s="1007" t="str">
        <f t="shared" ca="1" si="959"/>
        <v/>
      </c>
      <c r="CF100" s="197"/>
      <c r="CG100" s="312" t="str">
        <f ca="1">IFERROR($X100/CH100-1,"")</f>
        <v/>
      </c>
      <c r="CH100" s="411"/>
      <c r="CI100" s="199">
        <f ca="1">CF100*$X100</f>
        <v>0</v>
      </c>
      <c r="CJ100" s="199">
        <f ca="1">CI100*$Z100</f>
        <v>0</v>
      </c>
      <c r="CK100" s="216">
        <f t="shared" ca="1" si="334"/>
        <v>0</v>
      </c>
      <c r="CL100" s="202">
        <f ca="1">CM100/$X100</f>
        <v>0</v>
      </c>
      <c r="CM100" s="203">
        <f ca="1">CN100/$Z100</f>
        <v>0</v>
      </c>
      <c r="CN100" s="203">
        <f ca="1">CO100*CF$4</f>
        <v>0</v>
      </c>
      <c r="CO100" s="204">
        <f ca="1">$N100-CK100</f>
        <v>0</v>
      </c>
      <c r="CP100" s="205"/>
      <c r="CQ100" s="206">
        <f ca="1">CP100*$X100</f>
        <v>0</v>
      </c>
      <c r="CR100" s="206">
        <f ca="1">CQ100*$Z100</f>
        <v>0</v>
      </c>
      <c r="CS100" s="207">
        <f t="shared" ca="1" si="341"/>
        <v>0</v>
      </c>
      <c r="CT100" s="541">
        <f>CF100+CP100</f>
        <v>0</v>
      </c>
      <c r="CU100" s="541">
        <f t="shared" ref="CU100" ca="1" si="1282">CI100+IF($T100="",CQ100)</f>
        <v>0</v>
      </c>
      <c r="CV100" s="541">
        <f ca="1">CU100*$Z100</f>
        <v>0</v>
      </c>
      <c r="CW100" s="918">
        <f t="shared" ca="1" si="345"/>
        <v>0</v>
      </c>
      <c r="CX100" s="1007" t="str">
        <f t="shared" ca="1" si="960"/>
        <v/>
      </c>
    </row>
    <row r="101" spans="1:102" ht="12" hidden="1" customHeight="1" outlineLevel="1" x14ac:dyDescent="0.2">
      <c r="A101" s="456"/>
      <c r="B101" s="456" t="s">
        <v>782</v>
      </c>
      <c r="C101" s="456"/>
      <c r="D101" s="457"/>
      <c r="E101" s="458"/>
      <c r="F101" s="456"/>
      <c r="G101" s="459"/>
      <c r="H101" s="1806"/>
      <c r="I101" s="1806"/>
      <c r="J101" s="1806"/>
      <c r="K101" s="1806"/>
      <c r="L101" s="1806"/>
      <c r="M101" s="1789"/>
      <c r="N101" s="1148">
        <f>SUM(N$102)</f>
        <v>0</v>
      </c>
      <c r="O101" s="1148"/>
      <c r="P101" s="461">
        <f t="shared" ca="1" si="1238"/>
        <v>0</v>
      </c>
      <c r="Q101" s="462"/>
      <c r="R101" s="462"/>
      <c r="S101" s="1147" t="s">
        <v>718</v>
      </c>
      <c r="T101" s="1147"/>
      <c r="U101" s="463"/>
      <c r="V101" s="462">
        <f>COUNTIF(V102,"&lt;&gt;0")</f>
        <v>0</v>
      </c>
      <c r="W101" s="456"/>
      <c r="X101" s="907"/>
      <c r="Y101" s="907"/>
      <c r="Z101" s="1052"/>
      <c r="AA101" s="475"/>
      <c r="AB101" s="909"/>
      <c r="AC101" s="1149"/>
      <c r="AD101" s="456"/>
      <c r="AE101" s="469">
        <f ca="1">SUM(AE$102)</f>
        <v>0</v>
      </c>
      <c r="AF101" s="470">
        <f t="shared" ca="1" si="292"/>
        <v>0</v>
      </c>
      <c r="AG101" s="471"/>
      <c r="AH101" s="456"/>
      <c r="AI101" s="469">
        <f ca="1">SUM(AI$102)</f>
        <v>0</v>
      </c>
      <c r="AJ101" s="472">
        <f ca="1">IFERROR(AI101/AA$4,0)</f>
        <v>0</v>
      </c>
      <c r="AK101" s="471"/>
      <c r="AL101" s="456"/>
      <c r="AM101" s="469">
        <f ca="1">SUM(AM$102)</f>
        <v>0</v>
      </c>
      <c r="AN101" s="472">
        <f t="shared" ca="1" si="299"/>
        <v>0</v>
      </c>
      <c r="AO101" s="456"/>
      <c r="AP101" s="456"/>
      <c r="AQ101" s="469">
        <f ca="1">SUM(AQ$102)</f>
        <v>0</v>
      </c>
      <c r="AR101" s="914">
        <f t="shared" ca="1" si="1159"/>
        <v>0</v>
      </c>
      <c r="AS101" s="1007" t="str">
        <f t="shared" ca="1" si="957"/>
        <v/>
      </c>
      <c r="AT101" s="475"/>
      <c r="AU101" s="909"/>
      <c r="AV101" s="1149"/>
      <c r="AW101" s="456"/>
      <c r="AX101" s="469">
        <f ca="1">SUM(AX$102)</f>
        <v>0</v>
      </c>
      <c r="AY101" s="470">
        <f t="shared" ca="1" si="307"/>
        <v>0</v>
      </c>
      <c r="AZ101" s="471"/>
      <c r="BA101" s="456"/>
      <c r="BB101" s="469">
        <f ca="1">SUM(BB$102)</f>
        <v>0</v>
      </c>
      <c r="BC101" s="472">
        <f ca="1">IFERROR(BB101/AT$4,0)</f>
        <v>0</v>
      </c>
      <c r="BD101" s="471"/>
      <c r="BE101" s="456"/>
      <c r="BF101" s="469">
        <f ca="1">SUM(BF$102)</f>
        <v>0</v>
      </c>
      <c r="BG101" s="472">
        <f t="shared" ca="1" si="314"/>
        <v>0</v>
      </c>
      <c r="BH101" s="456"/>
      <c r="BI101" s="456"/>
      <c r="BJ101" s="469">
        <f ca="1">SUM(BJ$102)</f>
        <v>0</v>
      </c>
      <c r="BK101" s="914">
        <f t="shared" ca="1" si="1160"/>
        <v>0</v>
      </c>
      <c r="BL101" s="1007" t="str">
        <f t="shared" ca="1" si="958"/>
        <v/>
      </c>
      <c r="BM101" s="475"/>
      <c r="BN101" s="909"/>
      <c r="BO101" s="1149"/>
      <c r="BP101" s="456"/>
      <c r="BQ101" s="469">
        <f ca="1">SUM(BQ$102)</f>
        <v>0</v>
      </c>
      <c r="BR101" s="470">
        <f t="shared" ca="1" si="1098"/>
        <v>0</v>
      </c>
      <c r="BS101" s="471"/>
      <c r="BT101" s="456"/>
      <c r="BU101" s="469">
        <f ca="1">SUM(BU$102)</f>
        <v>0</v>
      </c>
      <c r="BV101" s="472">
        <f ca="1">IFERROR(BU101/BM$4,0)</f>
        <v>0</v>
      </c>
      <c r="BW101" s="471"/>
      <c r="BX101" s="456"/>
      <c r="BY101" s="469">
        <f ca="1">SUM(BY$102)</f>
        <v>0</v>
      </c>
      <c r="BZ101" s="472">
        <f t="shared" ca="1" si="1099"/>
        <v>0</v>
      </c>
      <c r="CA101" s="456"/>
      <c r="CB101" s="456"/>
      <c r="CC101" s="469">
        <f ca="1">SUM(CC$102)</f>
        <v>0</v>
      </c>
      <c r="CD101" s="914">
        <f t="shared" ca="1" si="1164"/>
        <v>0</v>
      </c>
      <c r="CE101" s="1007" t="str">
        <f t="shared" ca="1" si="959"/>
        <v/>
      </c>
      <c r="CF101" s="475"/>
      <c r="CG101" s="909"/>
      <c r="CH101" s="1149"/>
      <c r="CI101" s="456"/>
      <c r="CJ101" s="469">
        <f ca="1">SUM(CJ$102)</f>
        <v>0</v>
      </c>
      <c r="CK101" s="470">
        <f t="shared" ca="1" si="334"/>
        <v>0</v>
      </c>
      <c r="CL101" s="471"/>
      <c r="CM101" s="456"/>
      <c r="CN101" s="469">
        <f ca="1">SUM(CN$102)</f>
        <v>0</v>
      </c>
      <c r="CO101" s="472">
        <f ca="1">IFERROR(CN101/CF$4,0)</f>
        <v>0</v>
      </c>
      <c r="CP101" s="471"/>
      <c r="CQ101" s="456"/>
      <c r="CR101" s="469">
        <f ca="1">SUM(CR$102)</f>
        <v>0</v>
      </c>
      <c r="CS101" s="472">
        <f t="shared" ca="1" si="341"/>
        <v>0</v>
      </c>
      <c r="CT101" s="456"/>
      <c r="CU101" s="456"/>
      <c r="CV101" s="469">
        <f ca="1">SUM(CV$102)</f>
        <v>0</v>
      </c>
      <c r="CW101" s="914">
        <f t="shared" ca="1" si="345"/>
        <v>0</v>
      </c>
      <c r="CX101" s="1007" t="str">
        <f t="shared" ca="1" si="960"/>
        <v/>
      </c>
    </row>
    <row r="102" spans="1:102" ht="12.6" hidden="1" customHeight="1" outlineLevel="1" x14ac:dyDescent="0.2">
      <c r="A102" s="478"/>
      <c r="B102" s="478"/>
      <c r="C102" s="478" t="str">
        <f ca="1">OFFSET(Origine,MATCH($F102,Descrizioni,0),MATCH(C$16,Intestazioni,0)-1,1,1)</f>
        <v>IE00BSJCQV56:EUR</v>
      </c>
      <c r="D102" s="479" t="str">
        <f ca="1">OFFSET(Origine,MATCH($F102,Descrizioni,0),MATCH(D$16,Intestazioni,0)-1,1,1)</f>
        <v>IE00BSJCQV56</v>
      </c>
      <c r="E102" s="480" t="str">
        <f ca="1">OFFSET(Origine,MATCH($F102,Descrizioni,0),MATCH(E$16,Intestazioni,0)-1,1,1)</f>
        <v>29091268</v>
      </c>
      <c r="F102" s="478" t="s">
        <v>783</v>
      </c>
      <c r="G102" s="481"/>
      <c r="H102" s="1790" t="str">
        <f ca="1">HYPERLINK(OFFSET(Origine,MATCH($F102,Descrizioni,0),MATCH(H$16,Intestazioni,0)-1,1,1),"")</f>
        <v></v>
      </c>
      <c r="I102" s="1790" t="str">
        <f ca="1">HYPERLINK(OFFSET(Origine,MATCH($F102,Descrizioni,0),MATCH(I$16,Intestazioni,0)-1,1,1),"i")</f>
        <v>i</v>
      </c>
      <c r="J102" s="1791" t="str">
        <f ca="1">HYPERLINK(OFFSET(Origine,MATCH($F102,Descrizioni,0),MATCH(J$16,Intestazioni,0)-1,1,1),"")</f>
        <v></v>
      </c>
      <c r="K102" s="1726" t="str">
        <f ca="1">HYPERLINK(OFFSET(Origine,MATCH($F102,Descrizioni,0),MATCH(K$16,Intestazioni,0)-1,1,1),"")</f>
        <v></v>
      </c>
      <c r="L102" s="1725" t="str">
        <f ca="1">IFERROR(HYPERLINK("https://www.marketscreener.com/mods_a/charts/TV/inc_dyna_graph.php?c="&amp;OFFSET(Origine,MATCH($F102,Descrizioni,0),MATCH(L$16,Intestazioni,0)-1,1,1)&amp;"&amp;style=TradingView.CANDLES&amp;showAT=1",""),"")</f>
        <v></v>
      </c>
      <c r="M102" s="1792" t="str">
        <f ca="1">(OFFSET(Origine,MATCH($F102,Descrizioni,0),MATCH(M$16,Intestazioni,0)-1,1,1))</f>
        <v>Unit</v>
      </c>
      <c r="N102" s="1150"/>
      <c r="O102" s="1150"/>
      <c r="P102" s="483">
        <f t="shared" ca="1" si="1238"/>
        <v>0</v>
      </c>
      <c r="Q102" s="484">
        <f>SUMIF($AA$16:$CW$16,"I_Pos",$AA102:$CW102)</f>
        <v>0</v>
      </c>
      <c r="R102" s="484">
        <f ca="1">SUMIF($AA$16:$CW$16,"P_Pos",$AA102:$CW102)</f>
        <v>0</v>
      </c>
      <c r="S102" s="915"/>
      <c r="T102" s="915"/>
      <c r="U102" s="485">
        <f ca="1">OFFSET(Origine,MATCH($C102,smo_ids,0),MATCH(U$16,Intestazioni,0)-1,1,1)</f>
        <v>-2.50917992656059E-2</v>
      </c>
      <c r="V102" s="484">
        <f>SUMIF($AA$16:$CW$16,"O_Pos",$AA102:$CW102)</f>
        <v>0</v>
      </c>
      <c r="W102" s="478" t="str">
        <f ca="1">OFFSET(Origine,MATCH($F102,Descrizioni,0),MATCH(W$16,Intestazioni,0)-1,1,1)</f>
        <v>EUR</v>
      </c>
      <c r="X102" s="916">
        <f ca="1">_xlfn.NUMBERVALUE(OFFSET(Origine,MATCH($F102,Descrizioni,0),MATCH(X$16,Intestazioni,0)-1,1,1))</f>
        <v>31.88</v>
      </c>
      <c r="Y102" s="1057">
        <f ca="1">_xlfn.NUMBERVALUE(OFFSET(Origine,MATCH($F102,Descrizioni,0),MATCH(Y$16,Intestazioni,0)-1,1,1))</f>
        <v>0</v>
      </c>
      <c r="Z102" s="1058">
        <f ca="1">_xlfn.NUMBERVALUE(OFFSET(Origine,MATCH(W102&amp;"/"&amp;MRif,LUKB_Name,0),MATCH("Price",Intestazioni,0)-1,1,1))</f>
        <v>1</v>
      </c>
      <c r="AA102" s="197">
        <f>470+480+-950</f>
        <v>0</v>
      </c>
      <c r="AB102" s="312" t="str">
        <f ca="1">IFERROR($X102/AC102-1,"")</f>
        <v/>
      </c>
      <c r="AC102" s="411"/>
      <c r="AD102" s="199">
        <f ca="1">AA102*$X102</f>
        <v>0</v>
      </c>
      <c r="AE102" s="199">
        <f ca="1">AD102*$Z102</f>
        <v>0</v>
      </c>
      <c r="AF102" s="216">
        <f t="shared" ca="1" si="292"/>
        <v>0</v>
      </c>
      <c r="AG102" s="202">
        <f ca="1">AH102/$X102</f>
        <v>0</v>
      </c>
      <c r="AH102" s="203">
        <f ca="1">AI102/$Z102</f>
        <v>0</v>
      </c>
      <c r="AI102" s="203">
        <f ca="1">AJ102*AA$4</f>
        <v>0</v>
      </c>
      <c r="AJ102" s="204">
        <f ca="1">$N102-AF102</f>
        <v>0</v>
      </c>
      <c r="AK102" s="205"/>
      <c r="AL102" s="206">
        <f ca="1">AK102*$X102</f>
        <v>0</v>
      </c>
      <c r="AM102" s="206">
        <f ca="1">AL102*$Z102</f>
        <v>0</v>
      </c>
      <c r="AN102" s="207">
        <f t="shared" ca="1" si="299"/>
        <v>0</v>
      </c>
      <c r="AO102" s="541">
        <f>AA102+AK102</f>
        <v>0</v>
      </c>
      <c r="AP102" s="541">
        <f t="shared" ca="1" si="1096"/>
        <v>0</v>
      </c>
      <c r="AQ102" s="541">
        <f ca="1">AP102*$Z102</f>
        <v>0</v>
      </c>
      <c r="AR102" s="918">
        <f t="shared" ca="1" si="1159"/>
        <v>0</v>
      </c>
      <c r="AS102" s="1007" t="str">
        <f t="shared" ca="1" si="957"/>
        <v/>
      </c>
      <c r="AT102" s="197">
        <f>470+480+-950</f>
        <v>0</v>
      </c>
      <c r="AU102" s="312" t="str">
        <f ca="1">IFERROR($X102/AV102-1,"")</f>
        <v/>
      </c>
      <c r="AV102" s="411"/>
      <c r="AW102" s="199">
        <f ca="1">AT102*$X102</f>
        <v>0</v>
      </c>
      <c r="AX102" s="199">
        <f ca="1">AW102*$Z102</f>
        <v>0</v>
      </c>
      <c r="AY102" s="216">
        <f t="shared" ca="1" si="307"/>
        <v>0</v>
      </c>
      <c r="AZ102" s="202">
        <f ca="1">BA102/$X102</f>
        <v>0</v>
      </c>
      <c r="BA102" s="203">
        <f ca="1">BB102/$Z102</f>
        <v>0</v>
      </c>
      <c r="BB102" s="203">
        <f ca="1">BC102*AT$4</f>
        <v>0</v>
      </c>
      <c r="BC102" s="204">
        <f ca="1">$N102-AY102</f>
        <v>0</v>
      </c>
      <c r="BD102" s="205"/>
      <c r="BE102" s="206">
        <f ca="1">BD102*$X102</f>
        <v>0</v>
      </c>
      <c r="BF102" s="206">
        <f ca="1">BE102*$Z102</f>
        <v>0</v>
      </c>
      <c r="BG102" s="207">
        <f t="shared" ca="1" si="314"/>
        <v>0</v>
      </c>
      <c r="BH102" s="541">
        <f>AT102+BD102</f>
        <v>0</v>
      </c>
      <c r="BI102" s="541">
        <f t="shared" ref="BI102" ca="1" si="1283">AW102+IF($T102="",BE102)</f>
        <v>0</v>
      </c>
      <c r="BJ102" s="541">
        <f ca="1">BI102*$Z102</f>
        <v>0</v>
      </c>
      <c r="BK102" s="918">
        <f t="shared" ca="1" si="1160"/>
        <v>0</v>
      </c>
      <c r="BL102" s="1007" t="str">
        <f t="shared" ca="1" si="958"/>
        <v/>
      </c>
      <c r="BM102" s="197">
        <f>470+480+-950</f>
        <v>0</v>
      </c>
      <c r="BN102" s="312" t="str">
        <f ca="1">IFERROR($X102/BO102-1,"")</f>
        <v/>
      </c>
      <c r="BO102" s="411"/>
      <c r="BP102" s="199">
        <f ca="1">BM102*$X102</f>
        <v>0</v>
      </c>
      <c r="BQ102" s="199">
        <f ca="1">BP102*$Z102</f>
        <v>0</v>
      </c>
      <c r="BR102" s="216">
        <f t="shared" ca="1" si="1098"/>
        <v>0</v>
      </c>
      <c r="BS102" s="202">
        <f ca="1">BT102/$X102</f>
        <v>0</v>
      </c>
      <c r="BT102" s="203">
        <f ca="1">BU102/$Z102</f>
        <v>0</v>
      </c>
      <c r="BU102" s="203">
        <f ca="1">BV102*BM$4</f>
        <v>0</v>
      </c>
      <c r="BV102" s="204">
        <f ca="1">$N102-BR102</f>
        <v>0</v>
      </c>
      <c r="BW102" s="205"/>
      <c r="BX102" s="206">
        <f ca="1">BW102*$X102</f>
        <v>0</v>
      </c>
      <c r="BY102" s="206">
        <f ca="1">BX102*$Z102</f>
        <v>0</v>
      </c>
      <c r="BZ102" s="207">
        <f t="shared" ca="1" si="1099"/>
        <v>0</v>
      </c>
      <c r="CA102" s="541">
        <f>BM102+BW102</f>
        <v>0</v>
      </c>
      <c r="CB102" s="541">
        <f t="shared" ref="CB102" ca="1" si="1284">BP102+IF($T102="",BX102)</f>
        <v>0</v>
      </c>
      <c r="CC102" s="541">
        <f ca="1">CB102*$Z102</f>
        <v>0</v>
      </c>
      <c r="CD102" s="918">
        <f t="shared" ca="1" si="1164"/>
        <v>0</v>
      </c>
      <c r="CE102" s="1007" t="str">
        <f t="shared" ca="1" si="959"/>
        <v/>
      </c>
      <c r="CF102" s="197">
        <f>470+480+-950</f>
        <v>0</v>
      </c>
      <c r="CG102" s="312" t="str">
        <f ca="1">IFERROR($X102/CH102-1,"")</f>
        <v/>
      </c>
      <c r="CH102" s="411"/>
      <c r="CI102" s="199">
        <f ca="1">CF102*$X102</f>
        <v>0</v>
      </c>
      <c r="CJ102" s="199">
        <f ca="1">CI102*$Z102</f>
        <v>0</v>
      </c>
      <c r="CK102" s="216">
        <f t="shared" ca="1" si="334"/>
        <v>0</v>
      </c>
      <c r="CL102" s="202">
        <f ca="1">CM102/$X102</f>
        <v>0</v>
      </c>
      <c r="CM102" s="203">
        <f ca="1">CN102/$Z102</f>
        <v>0</v>
      </c>
      <c r="CN102" s="203">
        <f ca="1">CO102*CF$4</f>
        <v>0</v>
      </c>
      <c r="CO102" s="204">
        <f ca="1">$N102-CK102</f>
        <v>0</v>
      </c>
      <c r="CP102" s="205"/>
      <c r="CQ102" s="206">
        <f ca="1">CP102*$X102</f>
        <v>0</v>
      </c>
      <c r="CR102" s="206">
        <f ca="1">CQ102*$Z102</f>
        <v>0</v>
      </c>
      <c r="CS102" s="207">
        <f t="shared" ca="1" si="341"/>
        <v>0</v>
      </c>
      <c r="CT102" s="541">
        <f>CF102+CP102</f>
        <v>0</v>
      </c>
      <c r="CU102" s="541">
        <f t="shared" ref="CU102" ca="1" si="1285">CI102+IF($T102="",CQ102)</f>
        <v>0</v>
      </c>
      <c r="CV102" s="541">
        <f ca="1">CU102*$Z102</f>
        <v>0</v>
      </c>
      <c r="CW102" s="918">
        <f t="shared" ca="1" si="345"/>
        <v>0</v>
      </c>
      <c r="CX102" s="1007" t="str">
        <f t="shared" ca="1" si="960"/>
        <v/>
      </c>
    </row>
    <row r="103" spans="1:102" x14ac:dyDescent="0.2">
      <c r="A103" s="492" t="s">
        <v>393</v>
      </c>
      <c r="B103" s="492"/>
      <c r="C103" s="492"/>
      <c r="D103" s="493"/>
      <c r="E103" s="494"/>
      <c r="F103" s="492"/>
      <c r="G103" s="495"/>
      <c r="H103" s="1759"/>
      <c r="I103" s="1759"/>
      <c r="J103" s="1759"/>
      <c r="K103" s="1759"/>
      <c r="L103" s="1759"/>
      <c r="M103" s="1794"/>
      <c r="N103" s="1151">
        <f>SUMIF($B$104:$B$118,"&gt;A",N$104:N$118)</f>
        <v>0.1</v>
      </c>
      <c r="O103" s="1151"/>
      <c r="P103" s="1152">
        <f t="shared" ca="1" si="1238"/>
        <v>0.15699941462111772</v>
      </c>
      <c r="Q103" s="499"/>
      <c r="R103" s="499"/>
      <c r="S103" s="920"/>
      <c r="T103" s="920"/>
      <c r="U103" s="500"/>
      <c r="V103" s="499">
        <f>SUMIF($B$104:$B$118,"&gt;A",V$104:V$118)</f>
        <v>0</v>
      </c>
      <c r="W103" s="492"/>
      <c r="X103" s="922"/>
      <c r="Y103" s="922"/>
      <c r="Z103" s="1061"/>
      <c r="AA103" s="924"/>
      <c r="AB103" s="924"/>
      <c r="AC103" s="1153"/>
      <c r="AD103" s="492"/>
      <c r="AE103" s="511" cm="1">
        <f t="array" aca="1" ref="AE103" ca="1">SUM(IF($B$104:$B$118="",AE$104:AE$118))</f>
        <v>108770.08600000001</v>
      </c>
      <c r="AF103" s="505">
        <f t="shared" ca="1" si="292"/>
        <v>0.15470905909748769</v>
      </c>
      <c r="AG103" s="492"/>
      <c r="AH103" s="492"/>
      <c r="AI103" s="511" cm="1">
        <f t="array" aca="1" ref="AI103" ca="1">SUM(IF($B$104:$B$118="",AI$104:AI$118))</f>
        <v>-38463.869522101246</v>
      </c>
      <c r="AJ103" s="505">
        <f ca="1">IFERROR(AI103/AA$4,0)</f>
        <v>-5.4709059097487675E-2</v>
      </c>
      <c r="AK103" s="496"/>
      <c r="AL103" s="496"/>
      <c r="AM103" s="511" cm="1">
        <f t="array" aca="1" ref="AM103" ca="1">SUM(IF($B$104:$B$118="",AM$104:AM$118))</f>
        <v>0</v>
      </c>
      <c r="AN103" s="505">
        <f t="shared" ca="1" si="299"/>
        <v>0</v>
      </c>
      <c r="AO103" s="496"/>
      <c r="AP103" s="496"/>
      <c r="AQ103" s="511" cm="1">
        <f t="array" aca="1" ref="AQ103" ca="1">SUM(IF($B$104:$B$118="",AQ$104:AQ$118))</f>
        <v>108770.08600000001</v>
      </c>
      <c r="AR103" s="505">
        <f t="shared" ca="1" si="1159"/>
        <v>0.15470905909748769</v>
      </c>
      <c r="AS103" s="1007" t="str">
        <f t="shared" ca="1" si="957"/>
        <v>V</v>
      </c>
      <c r="AT103" s="924"/>
      <c r="AU103" s="924"/>
      <c r="AV103" s="1153"/>
      <c r="AW103" s="492"/>
      <c r="AX103" s="511" cm="1">
        <f t="array" aca="1" ref="AX103" ca="1">SUM(IF($B$104:$B$118="",AX$104:AX$118))</f>
        <v>185504.18059999999</v>
      </c>
      <c r="AY103" s="505">
        <f t="shared" ca="1" si="307"/>
        <v>0.15974697751346539</v>
      </c>
      <c r="AZ103" s="492"/>
      <c r="BA103" s="492"/>
      <c r="BB103" s="511" cm="1">
        <f t="array" aca="1" ref="BB103" ca="1">SUM(IF($B$104:$B$118="",BB$104:BB$118))</f>
        <v>-69380.430725381244</v>
      </c>
      <c r="BC103" s="505">
        <f ca="1">IFERROR(BB103/AT$4,0)</f>
        <v>-5.9746977513465381E-2</v>
      </c>
      <c r="BD103" s="496"/>
      <c r="BE103" s="496"/>
      <c r="BF103" s="511" cm="1">
        <f t="array" aca="1" ref="BF103" ca="1">SUM(IF($B$104:$B$118="",BF$104:BF$118))</f>
        <v>0</v>
      </c>
      <c r="BG103" s="505">
        <f t="shared" ca="1" si="314"/>
        <v>0</v>
      </c>
      <c r="BH103" s="496"/>
      <c r="BI103" s="496"/>
      <c r="BJ103" s="511" cm="1">
        <f t="array" aca="1" ref="BJ103" ca="1">SUM(IF($B$104:$B$118="",BJ$104:BJ$118))</f>
        <v>185504.18059999999</v>
      </c>
      <c r="BK103" s="505">
        <f t="shared" ca="1" si="1160"/>
        <v>0.15974697751346539</v>
      </c>
      <c r="BL103" s="1007" t="str">
        <f t="shared" ca="1" si="958"/>
        <v>V</v>
      </c>
      <c r="BM103" s="924"/>
      <c r="BN103" s="924"/>
      <c r="BO103" s="1153"/>
      <c r="BP103" s="492"/>
      <c r="BQ103" s="511" cm="1">
        <f t="array" aca="1" ref="BQ103" ca="1">SUM(IF($B$104:$B$118="",BQ$104:BQ$118))</f>
        <v>97686.639899999995</v>
      </c>
      <c r="BR103" s="505">
        <f t="shared" ca="1" si="1098"/>
        <v>0.15450001415835676</v>
      </c>
      <c r="BS103" s="492"/>
      <c r="BT103" s="492"/>
      <c r="BU103" s="511" cm="1">
        <f t="array" aca="1" ref="BU103" ca="1">SUM(IF($B$104:$B$118="",BU$104:BU$118))</f>
        <v>-34459.047053390401</v>
      </c>
      <c r="BV103" s="505">
        <f ca="1">IFERROR(BU103/BM$4,0)</f>
        <v>-5.4500014158356772E-2</v>
      </c>
      <c r="BW103" s="496"/>
      <c r="BX103" s="496"/>
      <c r="BY103" s="511" cm="1">
        <f t="array" aca="1" ref="BY103" ca="1">SUM(IF($B$104:$B$118="",BY$104:BY$118))</f>
        <v>0</v>
      </c>
      <c r="BZ103" s="505">
        <f t="shared" ca="1" si="1099"/>
        <v>0</v>
      </c>
      <c r="CA103" s="496"/>
      <c r="CB103" s="496"/>
      <c r="CC103" s="511" cm="1">
        <f t="array" aca="1" ref="CC103" ca="1">SUM(IF($B$104:$B$118="",CC$104:CC$118))</f>
        <v>97686.639899999995</v>
      </c>
      <c r="CD103" s="505">
        <f t="shared" ca="1" si="1164"/>
        <v>0.15450001415835676</v>
      </c>
      <c r="CE103" s="1007" t="str">
        <f t="shared" ca="1" si="959"/>
        <v>V</v>
      </c>
      <c r="CF103" s="924"/>
      <c r="CG103" s="924"/>
      <c r="CH103" s="1153"/>
      <c r="CI103" s="492"/>
      <c r="CJ103" s="511" cm="1">
        <f t="array" aca="1" ref="CJ103" ca="1">SUM(IF($B$104:$B$118="",CJ$104:CJ$118))</f>
        <v>30829.744999999999</v>
      </c>
      <c r="CK103" s="505">
        <f t="shared" ca="1" si="334"/>
        <v>0.19334281442874532</v>
      </c>
      <c r="CL103" s="492"/>
      <c r="CM103" s="492"/>
      <c r="CN103" s="511" cm="1">
        <f t="array" aca="1" ref="CN103" ca="1">SUM(IF($B$104:$B$118="",CN$104:CN$118))</f>
        <v>-30829.744999999999</v>
      </c>
      <c r="CO103" s="505">
        <f ca="1">IFERROR(CN103/CF$4,0)</f>
        <v>-0.19334281442874532</v>
      </c>
      <c r="CP103" s="496"/>
      <c r="CQ103" s="496"/>
      <c r="CR103" s="511" cm="1">
        <f t="array" aca="1" ref="CR103" ca="1">SUM(IF($B$104:$B$118="",CR$104:CR$118))</f>
        <v>0</v>
      </c>
      <c r="CS103" s="505">
        <f t="shared" ca="1" si="341"/>
        <v>0</v>
      </c>
      <c r="CT103" s="496"/>
      <c r="CU103" s="496"/>
      <c r="CV103" s="511" cm="1">
        <f t="array" aca="1" ref="CV103" ca="1">SUM(IF($B$104:$B$118="",CV$104:CV$118))</f>
        <v>30829.744999999999</v>
      </c>
      <c r="CW103" s="505">
        <f t="shared" ca="1" si="345"/>
        <v>0.19334281442874532</v>
      </c>
      <c r="CX103" s="1007" t="str">
        <f t="shared" ca="1" si="960"/>
        <v>V</v>
      </c>
    </row>
    <row r="104" spans="1:102" collapsed="1" x14ac:dyDescent="0.2">
      <c r="A104" s="514"/>
      <c r="B104" s="514" t="s">
        <v>539</v>
      </c>
      <c r="C104" s="514"/>
      <c r="D104" s="515"/>
      <c r="E104" s="516"/>
      <c r="F104" s="514"/>
      <c r="G104" s="517"/>
      <c r="H104" s="1807"/>
      <c r="I104" s="1807"/>
      <c r="J104" s="1807"/>
      <c r="K104" s="1807"/>
      <c r="L104" s="1807"/>
      <c r="M104" s="1795"/>
      <c r="N104" s="1155">
        <f>SUM(N105:N107)</f>
        <v>0</v>
      </c>
      <c r="O104" s="1155"/>
      <c r="P104" s="519">
        <f t="shared" ca="1" si="1238"/>
        <v>0</v>
      </c>
      <c r="Q104" s="520"/>
      <c r="R104" s="520"/>
      <c r="S104" s="1154" t="s">
        <v>718</v>
      </c>
      <c r="T104" s="1154"/>
      <c r="U104" s="521"/>
      <c r="V104" s="520">
        <f>COUNTIF(V105:V107,"&lt;&gt;0")</f>
        <v>0</v>
      </c>
      <c r="W104" s="514"/>
      <c r="X104" s="930"/>
      <c r="Y104" s="930"/>
      <c r="Z104" s="1064"/>
      <c r="AA104" s="531"/>
      <c r="AB104" s="932"/>
      <c r="AC104" s="1156"/>
      <c r="AD104" s="514"/>
      <c r="AE104" s="527">
        <f ca="1">SUM(AE$105:AE$107)</f>
        <v>0</v>
      </c>
      <c r="AF104" s="528">
        <f t="shared" ca="1" si="292"/>
        <v>0</v>
      </c>
      <c r="AG104" s="529"/>
      <c r="AH104" s="514"/>
      <c r="AI104" s="527">
        <f ca="1">SUM(AI$105:AI$107)</f>
        <v>0</v>
      </c>
      <c r="AJ104" s="530">
        <f ca="1">IFERROR(AI104/AA$4,0)</f>
        <v>0</v>
      </c>
      <c r="AK104" s="529"/>
      <c r="AL104" s="514"/>
      <c r="AM104" s="527">
        <f ca="1">SUM(AM$105:AM$107)</f>
        <v>0</v>
      </c>
      <c r="AN104" s="530">
        <f t="shared" ca="1" si="299"/>
        <v>0</v>
      </c>
      <c r="AO104" s="514"/>
      <c r="AP104" s="514"/>
      <c r="AQ104" s="527">
        <f ca="1">SUM(AQ$105:AQ$107)</f>
        <v>0</v>
      </c>
      <c r="AR104" s="937">
        <f t="shared" ca="1" si="1159"/>
        <v>0</v>
      </c>
      <c r="AS104" s="1007" t="str">
        <f t="shared" ca="1" si="957"/>
        <v/>
      </c>
      <c r="AT104" s="531"/>
      <c r="AU104" s="932"/>
      <c r="AV104" s="1156"/>
      <c r="AW104" s="514"/>
      <c r="AX104" s="527">
        <f ca="1">SUM(AX$105:AX$107)</f>
        <v>0</v>
      </c>
      <c r="AY104" s="528">
        <f t="shared" ca="1" si="307"/>
        <v>0</v>
      </c>
      <c r="AZ104" s="529"/>
      <c r="BA104" s="514"/>
      <c r="BB104" s="527">
        <f ca="1">SUM(BB$105:BB$107)</f>
        <v>0</v>
      </c>
      <c r="BC104" s="530">
        <f ca="1">IFERROR(BB104/AT$4,0)</f>
        <v>0</v>
      </c>
      <c r="BD104" s="529"/>
      <c r="BE104" s="514"/>
      <c r="BF104" s="527">
        <f ca="1">SUM(BF$105:BF$107)</f>
        <v>0</v>
      </c>
      <c r="BG104" s="530">
        <f t="shared" ca="1" si="314"/>
        <v>0</v>
      </c>
      <c r="BH104" s="514"/>
      <c r="BI104" s="514"/>
      <c r="BJ104" s="527">
        <f ca="1">SUM(BJ$105:BJ$107)</f>
        <v>0</v>
      </c>
      <c r="BK104" s="937">
        <f t="shared" ca="1" si="1160"/>
        <v>0</v>
      </c>
      <c r="BL104" s="1007" t="str">
        <f t="shared" ca="1" si="958"/>
        <v/>
      </c>
      <c r="BM104" s="531"/>
      <c r="BN104" s="932"/>
      <c r="BO104" s="1156"/>
      <c r="BP104" s="514"/>
      <c r="BQ104" s="527">
        <f ca="1">SUM(BQ$105:BQ$107)</f>
        <v>0</v>
      </c>
      <c r="BR104" s="528">
        <f t="shared" ca="1" si="1098"/>
        <v>0</v>
      </c>
      <c r="BS104" s="529"/>
      <c r="BT104" s="514"/>
      <c r="BU104" s="527">
        <f ca="1">SUM(BU$105:BU$107)</f>
        <v>0</v>
      </c>
      <c r="BV104" s="530">
        <f ca="1">IFERROR(BU104/BM$4,0)</f>
        <v>0</v>
      </c>
      <c r="BW104" s="529"/>
      <c r="BX104" s="514"/>
      <c r="BY104" s="527">
        <f ca="1">SUM(BY$105:BY$107)</f>
        <v>0</v>
      </c>
      <c r="BZ104" s="530">
        <f t="shared" ca="1" si="1099"/>
        <v>0</v>
      </c>
      <c r="CA104" s="514"/>
      <c r="CB104" s="514"/>
      <c r="CC104" s="527">
        <f ca="1">SUM(CC$105:CC$107)</f>
        <v>0</v>
      </c>
      <c r="CD104" s="937">
        <f t="shared" ca="1" si="1164"/>
        <v>0</v>
      </c>
      <c r="CE104" s="1007" t="str">
        <f t="shared" ca="1" si="959"/>
        <v/>
      </c>
      <c r="CF104" s="531"/>
      <c r="CG104" s="932"/>
      <c r="CH104" s="1156"/>
      <c r="CI104" s="514"/>
      <c r="CJ104" s="527">
        <f ca="1">SUM(CJ$105:CJ$107)</f>
        <v>0</v>
      </c>
      <c r="CK104" s="528">
        <f t="shared" ca="1" si="334"/>
        <v>0</v>
      </c>
      <c r="CL104" s="529"/>
      <c r="CM104" s="514"/>
      <c r="CN104" s="527">
        <f ca="1">SUM(CN$105:CN$107)</f>
        <v>0</v>
      </c>
      <c r="CO104" s="530">
        <f ca="1">IFERROR(CN104/CF$4,0)</f>
        <v>0</v>
      </c>
      <c r="CP104" s="529"/>
      <c r="CQ104" s="514"/>
      <c r="CR104" s="527">
        <f ca="1">SUM(CR$105:CR$107)</f>
        <v>0</v>
      </c>
      <c r="CS104" s="530">
        <f t="shared" ca="1" si="341"/>
        <v>0</v>
      </c>
      <c r="CT104" s="514"/>
      <c r="CU104" s="514"/>
      <c r="CV104" s="527">
        <f ca="1">SUM(CV$105:CV$107)</f>
        <v>0</v>
      </c>
      <c r="CW104" s="937">
        <f t="shared" ca="1" si="345"/>
        <v>0</v>
      </c>
      <c r="CX104" s="1007" t="str">
        <f t="shared" ca="1" si="960"/>
        <v/>
      </c>
    </row>
    <row r="105" spans="1:102" ht="12.6" hidden="1" customHeight="1" outlineLevel="1" x14ac:dyDescent="0.2">
      <c r="A105" s="535"/>
      <c r="B105" s="535"/>
      <c r="C105" s="535" t="str">
        <f t="shared" ref="C105:E107" ca="1" si="1286">OFFSET(Origine,MATCH($F105,Descrizioni,0),MATCH(C$16,Intestazioni,0)-1,1,1)</f>
        <v>IE00BDFL4P12:USD</v>
      </c>
      <c r="D105" s="536" t="str">
        <f t="shared" ca="1" si="1286"/>
        <v>IE00BDFL4P12</v>
      </c>
      <c r="E105" s="537" t="str">
        <f t="shared" ca="1" si="1286"/>
        <v>36082553</v>
      </c>
      <c r="F105" s="535" t="s">
        <v>540</v>
      </c>
      <c r="G105" s="538"/>
      <c r="H105" s="1690" t="str">
        <f ca="1">HYPERLINK(OFFSET(Origine,MATCH($F105,Descrizioni,0),MATCH(H$16,Intestazioni,0)-1,1,1),"")</f>
        <v></v>
      </c>
      <c r="I105" s="1690" t="str">
        <f ca="1">HYPERLINK(OFFSET(Origine,MATCH($F105,Descrizioni,0),MATCH(I$16,Intestazioni,0)-1,1,1),"i")</f>
        <v>i</v>
      </c>
      <c r="J105" s="1729" t="str">
        <f t="shared" ref="J105:K111" ca="1" si="1287">HYPERLINK(OFFSET(Origine,MATCH($F105,Descrizioni,0),MATCH(J$16,Intestazioni,0)-1,1,1),"")</f>
        <v></v>
      </c>
      <c r="K105" s="1730" t="str">
        <f t="shared" ca="1" si="1287"/>
        <v></v>
      </c>
      <c r="L105" s="1731" t="str">
        <f ca="1">IFERROR(HYPERLINK("https://www.marketscreener.com/mods_a/charts/TV/inc_dyna_graph.php?c="&amp;OFFSET(Origine,MATCH($F105,Descrizioni,0),MATCH(L$16,Intestazioni,0)-1,1,1)&amp;"&amp;style=TradingView.CANDLES&amp;showAT=1",""),"")</f>
        <v></v>
      </c>
      <c r="M105" s="1796" t="str">
        <f ca="1">(OFFSET(Origine,MATCH($F105,Descrizioni,0),MATCH(M$16,Intestazioni,0)-1,1,1))</f>
        <v>Unit</v>
      </c>
      <c r="N105" s="1157"/>
      <c r="O105" s="1157"/>
      <c r="P105" s="540">
        <f t="shared" ca="1" si="1238"/>
        <v>0</v>
      </c>
      <c r="Q105" s="541">
        <f>SUMIF($AA$16:$CW$16,"I_Pos",$AA105:$CW105)</f>
        <v>0</v>
      </c>
      <c r="R105" s="541">
        <f ca="1">SUMIF($AA$16:$CW$16,"P_Pos",$AA105:$CW105)</f>
        <v>0</v>
      </c>
      <c r="S105" s="939"/>
      <c r="T105" s="939"/>
      <c r="U105" s="542">
        <f ca="1">OFFSET(Origine,MATCH($C105,smo_ids,0),MATCH(U$16,Intestazioni,0)-1,1,1)</f>
        <v>1.4096185737977001E-2</v>
      </c>
      <c r="V105" s="541">
        <f>SUMIF($AA$16:$CW$16,"O_Pos",$AA105:$CW105)</f>
        <v>0</v>
      </c>
      <c r="W105" s="535" t="str">
        <f ca="1">OFFSET(Origine,MATCH($F105,Descrizioni,0),MATCH(W$16,Intestazioni,0)-1,1,1)</f>
        <v>USD</v>
      </c>
      <c r="X105" s="940">
        <f t="shared" ref="X105:Y107" ca="1" si="1288">_xlfn.NUMBERVALUE(OFFSET(Origine,MATCH($F105,Descrizioni,0),MATCH(X$16,Intestazioni,0)-1,1,1))</f>
        <v>9.1724999999999994</v>
      </c>
      <c r="Y105" s="1068">
        <f t="shared" ca="1" si="1288"/>
        <v>0</v>
      </c>
      <c r="Z105" s="1069">
        <f ca="1">_xlfn.NUMBERVALUE(OFFSET(Origine,MATCH(W105&amp;"/"&amp;MRif,LUKB_Name,0),MATCH("Price",Intestazioni,0)-1,1,1))</f>
        <v>0.86199999999999999</v>
      </c>
      <c r="AA105" s="197"/>
      <c r="AB105" s="312" t="str">
        <f ca="1">IFERROR($X105/AC105-1,"")</f>
        <v/>
      </c>
      <c r="AC105" s="411"/>
      <c r="AD105" s="199">
        <f ca="1">AA105*$X105</f>
        <v>0</v>
      </c>
      <c r="AE105" s="199">
        <f ca="1">AD105*$Z105</f>
        <v>0</v>
      </c>
      <c r="AF105" s="216">
        <f t="shared" ca="1" si="292"/>
        <v>0</v>
      </c>
      <c r="AG105" s="202">
        <f ca="1">AH105/$X105</f>
        <v>0</v>
      </c>
      <c r="AH105" s="203">
        <f ca="1">AI105/$Z105</f>
        <v>0</v>
      </c>
      <c r="AI105" s="203">
        <f ca="1">AJ105*AA$4</f>
        <v>0</v>
      </c>
      <c r="AJ105" s="204">
        <f ca="1">$N105-AF105</f>
        <v>0</v>
      </c>
      <c r="AK105" s="205"/>
      <c r="AL105" s="206">
        <f ca="1">AK105*$X105</f>
        <v>0</v>
      </c>
      <c r="AM105" s="206">
        <f ca="1">AL105*$Z105</f>
        <v>0</v>
      </c>
      <c r="AN105" s="207">
        <f t="shared" ca="1" si="299"/>
        <v>0</v>
      </c>
      <c r="AO105" s="541">
        <f>AA105+AK105</f>
        <v>0</v>
      </c>
      <c r="AP105" s="541">
        <f t="shared" ca="1" si="1096"/>
        <v>0</v>
      </c>
      <c r="AQ105" s="541">
        <f ca="1">AP105*$Z105</f>
        <v>0</v>
      </c>
      <c r="AR105" s="918">
        <f t="shared" ca="1" si="1159"/>
        <v>0</v>
      </c>
      <c r="AS105" s="1007" t="str">
        <f t="shared" ca="1" si="957"/>
        <v/>
      </c>
      <c r="AT105" s="197"/>
      <c r="AU105" s="312" t="str">
        <f ca="1">IFERROR($X105/AV105-1,"")</f>
        <v/>
      </c>
      <c r="AV105" s="411"/>
      <c r="AW105" s="199">
        <f ca="1">AT105*$X105</f>
        <v>0</v>
      </c>
      <c r="AX105" s="199">
        <f ca="1">AW105*$Z105</f>
        <v>0</v>
      </c>
      <c r="AY105" s="216">
        <f t="shared" ca="1" si="307"/>
        <v>0</v>
      </c>
      <c r="AZ105" s="202">
        <f ca="1">BA105/$X105</f>
        <v>0</v>
      </c>
      <c r="BA105" s="203">
        <f ca="1">BB105/$Z105</f>
        <v>0</v>
      </c>
      <c r="BB105" s="203">
        <f ca="1">BC105*AT$4</f>
        <v>0</v>
      </c>
      <c r="BC105" s="204">
        <f ca="1">$N105-AY105</f>
        <v>0</v>
      </c>
      <c r="BD105" s="205"/>
      <c r="BE105" s="206">
        <f ca="1">BD105*$X105</f>
        <v>0</v>
      </c>
      <c r="BF105" s="206">
        <f ca="1">BE105*$Z105</f>
        <v>0</v>
      </c>
      <c r="BG105" s="207">
        <f t="shared" ca="1" si="314"/>
        <v>0</v>
      </c>
      <c r="BH105" s="541">
        <f>AT105+BD105</f>
        <v>0</v>
      </c>
      <c r="BI105" s="541">
        <f t="shared" ca="1" si="1097"/>
        <v>0</v>
      </c>
      <c r="BJ105" s="541">
        <f ca="1">BI105*$Z105</f>
        <v>0</v>
      </c>
      <c r="BK105" s="918">
        <f t="shared" ca="1" si="1160"/>
        <v>0</v>
      </c>
      <c r="BL105" s="1007" t="str">
        <f t="shared" ca="1" si="958"/>
        <v/>
      </c>
      <c r="BM105" s="197"/>
      <c r="BN105" s="312" t="str">
        <f ca="1">IFERROR($X105/BO105-1,"")</f>
        <v/>
      </c>
      <c r="BO105" s="411"/>
      <c r="BP105" s="199">
        <f ca="1">BM105*$X105</f>
        <v>0</v>
      </c>
      <c r="BQ105" s="199">
        <f ca="1">BP105*$Z105</f>
        <v>0</v>
      </c>
      <c r="BR105" s="216">
        <f t="shared" ca="1" si="1098"/>
        <v>0</v>
      </c>
      <c r="BS105" s="202">
        <f ca="1">BT105/$X105</f>
        <v>0</v>
      </c>
      <c r="BT105" s="203">
        <f ca="1">BU105/$Z105</f>
        <v>0</v>
      </c>
      <c r="BU105" s="203">
        <f ca="1">BV105*BM$4</f>
        <v>0</v>
      </c>
      <c r="BV105" s="204">
        <f ca="1">$N105-BR105</f>
        <v>0</v>
      </c>
      <c r="BW105" s="205"/>
      <c r="BX105" s="206">
        <f ca="1">BW105*$X105</f>
        <v>0</v>
      </c>
      <c r="BY105" s="206">
        <f ca="1">BX105*$Z105</f>
        <v>0</v>
      </c>
      <c r="BZ105" s="207">
        <f t="shared" ca="1" si="1099"/>
        <v>0</v>
      </c>
      <c r="CA105" s="541">
        <f>BM105+BW105</f>
        <v>0</v>
      </c>
      <c r="CB105" s="541">
        <f t="shared" ca="1" si="1100"/>
        <v>0</v>
      </c>
      <c r="CC105" s="541">
        <f ca="1">CB105*$Z105</f>
        <v>0</v>
      </c>
      <c r="CD105" s="918">
        <f t="shared" ca="1" si="1164"/>
        <v>0</v>
      </c>
      <c r="CE105" s="1007" t="str">
        <f t="shared" ca="1" si="959"/>
        <v/>
      </c>
      <c r="CF105" s="197">
        <f>875+-875</f>
        <v>0</v>
      </c>
      <c r="CG105" s="312" t="str">
        <f ca="1">IFERROR($X105/CH105-1,"")</f>
        <v/>
      </c>
      <c r="CH105" s="411"/>
      <c r="CI105" s="199">
        <f ca="1">CF105*$X105</f>
        <v>0</v>
      </c>
      <c r="CJ105" s="199">
        <f ca="1">CI105*$Z105</f>
        <v>0</v>
      </c>
      <c r="CK105" s="216">
        <f t="shared" ca="1" si="334"/>
        <v>0</v>
      </c>
      <c r="CL105" s="202">
        <f ca="1">CM105/$X105</f>
        <v>0</v>
      </c>
      <c r="CM105" s="203">
        <f ca="1">CN105/$Z105</f>
        <v>0</v>
      </c>
      <c r="CN105" s="203">
        <f ca="1">CO105*CF$4</f>
        <v>0</v>
      </c>
      <c r="CO105" s="204">
        <f ca="1">$O105-CK105</f>
        <v>0</v>
      </c>
      <c r="CP105" s="205"/>
      <c r="CQ105" s="206">
        <f ca="1">CP105*$X105</f>
        <v>0</v>
      </c>
      <c r="CR105" s="206">
        <f ca="1">CQ105*$Z105</f>
        <v>0</v>
      </c>
      <c r="CS105" s="207">
        <f t="shared" ca="1" si="341"/>
        <v>0</v>
      </c>
      <c r="CT105" s="541">
        <f>CF105+CP105</f>
        <v>0</v>
      </c>
      <c r="CU105" s="541">
        <f t="shared" ca="1" si="1101"/>
        <v>0</v>
      </c>
      <c r="CV105" s="541">
        <f ca="1">CU105*$Z105</f>
        <v>0</v>
      </c>
      <c r="CW105" s="918">
        <f t="shared" ca="1" si="345"/>
        <v>0</v>
      </c>
      <c r="CX105" s="1007" t="str">
        <f t="shared" ca="1" si="960"/>
        <v/>
      </c>
    </row>
    <row r="106" spans="1:102" ht="12.6" hidden="1" customHeight="1" outlineLevel="1" x14ac:dyDescent="0.2">
      <c r="A106" s="535"/>
      <c r="B106" s="535"/>
      <c r="C106" s="535" t="str">
        <f t="shared" ca="1" si="1286"/>
        <v>IE00B53H0131:USD</v>
      </c>
      <c r="D106" s="536" t="str">
        <f t="shared" ca="1" si="1286"/>
        <v>IE00B53H0131</v>
      </c>
      <c r="E106" s="537" t="str">
        <f t="shared" ca="1" si="1286"/>
        <v>11926603</v>
      </c>
      <c r="F106" s="535" t="s">
        <v>786</v>
      </c>
      <c r="G106" s="538"/>
      <c r="H106" s="1690" t="str">
        <f ca="1">HYPERLINK(OFFSET(Origine,MATCH($F106,Descrizioni,0),MATCH(H$16,Intestazioni,0)-1,1,1),"")</f>
        <v></v>
      </c>
      <c r="I106" s="1690" t="str">
        <f ca="1">HYPERLINK(OFFSET(Origine,MATCH($F106,Descrizioni,0),MATCH(I$16,Intestazioni,0)-1,1,1),"i")</f>
        <v>i</v>
      </c>
      <c r="J106" s="1729" t="str">
        <f t="shared" ca="1" si="1287"/>
        <v></v>
      </c>
      <c r="K106" s="1730" t="str">
        <f t="shared" ca="1" si="1287"/>
        <v></v>
      </c>
      <c r="L106" s="1731" t="str">
        <f ca="1">IFERROR(HYPERLINK("https://www.marketscreener.com/mods_a/charts/TV/inc_dyna_graph.php?c="&amp;OFFSET(Origine,MATCH($F106,Descrizioni,0),MATCH(L$16,Intestazioni,0)-1,1,1)&amp;"&amp;style=TradingView.CANDLES&amp;showAT=1",""),"")</f>
        <v></v>
      </c>
      <c r="M106" s="1796" t="str">
        <f ca="1">(OFFSET(Origine,MATCH($F106,Descrizioni,0),MATCH(M$16,Intestazioni,0)-1,1,1))</f>
        <v>Unit</v>
      </c>
      <c r="N106" s="1157"/>
      <c r="O106" s="1157"/>
      <c r="P106" s="540">
        <f t="shared" ca="1" si="1238"/>
        <v>0</v>
      </c>
      <c r="Q106" s="541">
        <f>SUMIF($AA$16:$CW$16,"I_Pos",$AA106:$CW106)</f>
        <v>0</v>
      </c>
      <c r="R106" s="541">
        <f ca="1">SUMIF($AA$16:$CW$16,"P_Pos",$AA106:$CW106)</f>
        <v>0</v>
      </c>
      <c r="S106" s="939"/>
      <c r="T106" s="939"/>
      <c r="U106" s="542">
        <f ca="1">OFFSET(Origine,MATCH($C106,smo_ids,0),MATCH(U$16,Intestazioni,0)-1,1,1)</f>
        <v>1.41093474426808E-2</v>
      </c>
      <c r="V106" s="541">
        <f>SUMIF($AA$16:$CW$16,"O_Pos",$AA106:$CW106)</f>
        <v>0</v>
      </c>
      <c r="W106" s="535" t="str">
        <f ca="1">OFFSET(Origine,MATCH($F106,Descrizioni,0),MATCH(W$16,Intestazioni,0)-1,1,1)</f>
        <v>USD</v>
      </c>
      <c r="X106" s="940">
        <f t="shared" ca="1" si="1288"/>
        <v>126.5</v>
      </c>
      <c r="Y106" s="1068">
        <f t="shared" ca="1" si="1288"/>
        <v>0</v>
      </c>
      <c r="Z106" s="1069">
        <f ca="1">_xlfn.NUMBERVALUE(OFFSET(Origine,MATCH(W106&amp;"/"&amp;MRif,LUKB_Name,0),MATCH("Price",Intestazioni,0)-1,1,1))</f>
        <v>0.86199999999999999</v>
      </c>
      <c r="AA106" s="197"/>
      <c r="AB106" s="312" t="str">
        <f ca="1">IFERROR($X106/AC106-1,"")</f>
        <v/>
      </c>
      <c r="AC106" s="411"/>
      <c r="AD106" s="199">
        <f ca="1">AA106*$X106</f>
        <v>0</v>
      </c>
      <c r="AE106" s="199">
        <f ca="1">AD106*$Z106</f>
        <v>0</v>
      </c>
      <c r="AF106" s="216">
        <f t="shared" ca="1" si="292"/>
        <v>0</v>
      </c>
      <c r="AG106" s="202">
        <f ca="1">AH106/$X106</f>
        <v>0</v>
      </c>
      <c r="AH106" s="203">
        <f ca="1">AI106/$Z106</f>
        <v>0</v>
      </c>
      <c r="AI106" s="203">
        <f ca="1">AJ106*AA$4</f>
        <v>0</v>
      </c>
      <c r="AJ106" s="204">
        <f ca="1">$N106-AF106</f>
        <v>0</v>
      </c>
      <c r="AK106" s="205"/>
      <c r="AL106" s="206">
        <f ca="1">AK106*$X106</f>
        <v>0</v>
      </c>
      <c r="AM106" s="206">
        <f ca="1">AL106*$Z106</f>
        <v>0</v>
      </c>
      <c r="AN106" s="207">
        <f t="shared" ca="1" si="299"/>
        <v>0</v>
      </c>
      <c r="AO106" s="541">
        <f>AA106+AK106</f>
        <v>0</v>
      </c>
      <c r="AP106" s="541">
        <f t="shared" ca="1" si="1096"/>
        <v>0</v>
      </c>
      <c r="AQ106" s="541">
        <f ca="1">AP106*$Z106</f>
        <v>0</v>
      </c>
      <c r="AR106" s="918">
        <f t="shared" ca="1" si="1159"/>
        <v>0</v>
      </c>
      <c r="AS106" s="1007" t="str">
        <f t="shared" ca="1" si="957"/>
        <v/>
      </c>
      <c r="AT106" s="197"/>
      <c r="AU106" s="312" t="str">
        <f ca="1">IFERROR($X106/AV106-1,"")</f>
        <v/>
      </c>
      <c r="AV106" s="411"/>
      <c r="AW106" s="199">
        <f ca="1">AT106*$X106</f>
        <v>0</v>
      </c>
      <c r="AX106" s="199">
        <f ca="1">AW106*$Z106</f>
        <v>0</v>
      </c>
      <c r="AY106" s="216">
        <f t="shared" ca="1" si="307"/>
        <v>0</v>
      </c>
      <c r="AZ106" s="202">
        <f ca="1">BA106/$X106</f>
        <v>0</v>
      </c>
      <c r="BA106" s="203">
        <f ca="1">BB106/$Z106</f>
        <v>0</v>
      </c>
      <c r="BB106" s="203">
        <f ca="1">BC106*AT$4</f>
        <v>0</v>
      </c>
      <c r="BC106" s="204">
        <f ca="1">$N106-AY106</f>
        <v>0</v>
      </c>
      <c r="BD106" s="205"/>
      <c r="BE106" s="206">
        <f ca="1">BD106*$X106</f>
        <v>0</v>
      </c>
      <c r="BF106" s="206">
        <f ca="1">BE106*$Z106</f>
        <v>0</v>
      </c>
      <c r="BG106" s="207">
        <f t="shared" ca="1" si="314"/>
        <v>0</v>
      </c>
      <c r="BH106" s="541">
        <f>AT106+BD106</f>
        <v>0</v>
      </c>
      <c r="BI106" s="541">
        <f t="shared" ca="1" si="1097"/>
        <v>0</v>
      </c>
      <c r="BJ106" s="541">
        <f ca="1">BI106*$Z106</f>
        <v>0</v>
      </c>
      <c r="BK106" s="918">
        <f t="shared" ca="1" si="1160"/>
        <v>0</v>
      </c>
      <c r="BL106" s="1007" t="str">
        <f t="shared" ca="1" si="958"/>
        <v/>
      </c>
      <c r="BM106" s="197"/>
      <c r="BN106" s="312" t="str">
        <f ca="1">IFERROR($X106/BO106-1,"")</f>
        <v/>
      </c>
      <c r="BO106" s="411"/>
      <c r="BP106" s="199">
        <f ca="1">BM106*$X106</f>
        <v>0</v>
      </c>
      <c r="BQ106" s="199">
        <f ca="1">BP106*$Z106</f>
        <v>0</v>
      </c>
      <c r="BR106" s="216">
        <f t="shared" ca="1" si="1098"/>
        <v>0</v>
      </c>
      <c r="BS106" s="202">
        <f ca="1">BT106/$X106</f>
        <v>0</v>
      </c>
      <c r="BT106" s="203">
        <f ca="1">BU106/$Z106</f>
        <v>0</v>
      </c>
      <c r="BU106" s="203">
        <f ca="1">BV106*BM$4</f>
        <v>0</v>
      </c>
      <c r="BV106" s="204">
        <f ca="1">$N106-BR106</f>
        <v>0</v>
      </c>
      <c r="BW106" s="205"/>
      <c r="BX106" s="206">
        <f ca="1">BW106*$X106</f>
        <v>0</v>
      </c>
      <c r="BY106" s="206">
        <f ca="1">BX106*$Z106</f>
        <v>0</v>
      </c>
      <c r="BZ106" s="207">
        <f t="shared" ca="1" si="1099"/>
        <v>0</v>
      </c>
      <c r="CA106" s="541">
        <f>BM106+BW106</f>
        <v>0</v>
      </c>
      <c r="CB106" s="541">
        <f t="shared" ca="1" si="1100"/>
        <v>0</v>
      </c>
      <c r="CC106" s="541">
        <f ca="1">CB106*$Z106</f>
        <v>0</v>
      </c>
      <c r="CD106" s="918">
        <f t="shared" ca="1" si="1164"/>
        <v>0</v>
      </c>
      <c r="CE106" s="1007" t="str">
        <f t="shared" ca="1" si="959"/>
        <v/>
      </c>
      <c r="CF106" s="197"/>
      <c r="CG106" s="312" t="str">
        <f ca="1">IFERROR($X106/CH106-1,"")</f>
        <v/>
      </c>
      <c r="CH106" s="411"/>
      <c r="CI106" s="199">
        <f ca="1">CF106*$X106</f>
        <v>0</v>
      </c>
      <c r="CJ106" s="199">
        <f ca="1">CI106*$Z106</f>
        <v>0</v>
      </c>
      <c r="CK106" s="216">
        <f t="shared" ca="1" si="334"/>
        <v>0</v>
      </c>
      <c r="CL106" s="202">
        <f ca="1">CM106/$X106</f>
        <v>0</v>
      </c>
      <c r="CM106" s="203">
        <f ca="1">CN106/$Z106</f>
        <v>0</v>
      </c>
      <c r="CN106" s="203">
        <f ca="1">CO106*CF$4</f>
        <v>0</v>
      </c>
      <c r="CO106" s="204">
        <f ca="1">$O106-CK106</f>
        <v>0</v>
      </c>
      <c r="CP106" s="205"/>
      <c r="CQ106" s="206">
        <f ca="1">CP106*$X106</f>
        <v>0</v>
      </c>
      <c r="CR106" s="206">
        <f ca="1">CQ106*$Z106</f>
        <v>0</v>
      </c>
      <c r="CS106" s="207">
        <f t="shared" ca="1" si="341"/>
        <v>0</v>
      </c>
      <c r="CT106" s="541">
        <f>CF106+CP106</f>
        <v>0</v>
      </c>
      <c r="CU106" s="541">
        <f t="shared" ca="1" si="1101"/>
        <v>0</v>
      </c>
      <c r="CV106" s="541">
        <f ca="1">CU106*$Z106</f>
        <v>0</v>
      </c>
      <c r="CW106" s="918">
        <f t="shared" ca="1" si="345"/>
        <v>0</v>
      </c>
      <c r="CX106" s="1007" t="str">
        <f t="shared" ca="1" si="960"/>
        <v/>
      </c>
    </row>
    <row r="107" spans="1:102" ht="12.6" hidden="1" customHeight="1" outlineLevel="1" x14ac:dyDescent="0.2">
      <c r="A107" s="535"/>
      <c r="B107" s="535"/>
      <c r="C107" s="535" t="str">
        <f t="shared" ca="1" si="1286"/>
        <v>IE00BFXR6159:USD</v>
      </c>
      <c r="D107" s="536" t="str">
        <f t="shared" ca="1" si="1286"/>
        <v>IE00BFXR6159</v>
      </c>
      <c r="E107" s="537" t="str">
        <f t="shared" ca="1" si="1286"/>
        <v>112547249</v>
      </c>
      <c r="F107" s="535" t="s">
        <v>787</v>
      </c>
      <c r="G107" s="538"/>
      <c r="H107" s="1690" t="str">
        <f ca="1">HYPERLINK(OFFSET(Origine,MATCH($F107,Descrizioni,0),MATCH(H$16,Intestazioni,0)-1,1,1),"")</f>
        <v></v>
      </c>
      <c r="I107" s="1690" t="str">
        <f ca="1">HYPERLINK(OFFSET(Origine,MATCH($F107,Descrizioni,0),MATCH(I$16,Intestazioni,0)-1,1,1),"i")</f>
        <v>i</v>
      </c>
      <c r="J107" s="1729" t="str">
        <f t="shared" ca="1" si="1287"/>
        <v></v>
      </c>
      <c r="K107" s="1730" t="str">
        <f t="shared" ca="1" si="1287"/>
        <v></v>
      </c>
      <c r="L107" s="1731" t="str">
        <f ca="1">IFERROR(HYPERLINK("https://www.marketscreener.com/mods_a/charts/TV/inc_dyna_graph.php?c="&amp;OFFSET(Origine,MATCH($F107,Descrizioni,0),MATCH(L$16,Intestazioni,0)-1,1,1)&amp;"&amp;style=TradingView.CANDLES&amp;showAT=1",""),"")</f>
        <v></v>
      </c>
      <c r="M107" s="1796" t="str">
        <f ca="1">(OFFSET(Origine,MATCH($F107,Descrizioni,0),MATCH(M$16,Intestazioni,0)-1,1,1))</f>
        <v>Unit</v>
      </c>
      <c r="N107" s="1157"/>
      <c r="O107" s="1157"/>
      <c r="P107" s="540">
        <f t="shared" ca="1" si="1238"/>
        <v>0</v>
      </c>
      <c r="Q107" s="541">
        <f>SUMIF($AA$16:$CW$16,"I_Pos",$AA107:$CW107)</f>
        <v>0</v>
      </c>
      <c r="R107" s="541">
        <f ca="1">SUMIF($AA$16:$CW$16,"P_Pos",$AA107:$CW107)</f>
        <v>0</v>
      </c>
      <c r="S107" s="939"/>
      <c r="T107" s="939"/>
      <c r="U107" s="542">
        <f ca="1">OFFSET(Origine,MATCH($C107,smo_ids,0),MATCH(U$16,Intestazioni,0)-1,1,1)</f>
        <v>9.7828680505846997E-3</v>
      </c>
      <c r="V107" s="541">
        <f>SUMIF($AA$16:$CW$16,"O_Pos",$AA107:$CW107)</f>
        <v>0</v>
      </c>
      <c r="W107" s="535" t="str">
        <f ca="1">OFFSET(Origine,MATCH($F107,Descrizioni,0),MATCH(W$16,Intestazioni,0)-1,1,1)</f>
        <v>USD</v>
      </c>
      <c r="X107" s="940">
        <f t="shared" ca="1" si="1288"/>
        <v>16.881</v>
      </c>
      <c r="Y107" s="1068">
        <f t="shared" ca="1" si="1288"/>
        <v>0</v>
      </c>
      <c r="Z107" s="1069">
        <f ca="1">_xlfn.NUMBERVALUE(OFFSET(Origine,MATCH(W107&amp;"/"&amp;MRif,LUKB_Name,0),MATCH("Price",Intestazioni,0)-1,1,1))</f>
        <v>0.86199999999999999</v>
      </c>
      <c r="AA107" s="197"/>
      <c r="AB107" s="312" t="str">
        <f ca="1">IFERROR($X107/AC107-1,"")</f>
        <v/>
      </c>
      <c r="AC107" s="411"/>
      <c r="AD107" s="199">
        <f ca="1">AA107*$X107</f>
        <v>0</v>
      </c>
      <c r="AE107" s="199">
        <f ca="1">AD107*$Z107</f>
        <v>0</v>
      </c>
      <c r="AF107" s="216">
        <f t="shared" ca="1" si="292"/>
        <v>0</v>
      </c>
      <c r="AG107" s="202">
        <f ca="1">AH107/$X107</f>
        <v>0</v>
      </c>
      <c r="AH107" s="203">
        <f ca="1">AI107/$Z107</f>
        <v>0</v>
      </c>
      <c r="AI107" s="203">
        <f ca="1">AJ107*AA$4</f>
        <v>0</v>
      </c>
      <c r="AJ107" s="204">
        <f ca="1">$N107-AF107</f>
        <v>0</v>
      </c>
      <c r="AK107" s="205"/>
      <c r="AL107" s="206">
        <f ca="1">AK107*$X107</f>
        <v>0</v>
      </c>
      <c r="AM107" s="206">
        <f ca="1">AL107*$Z107</f>
        <v>0</v>
      </c>
      <c r="AN107" s="207">
        <f t="shared" ca="1" si="299"/>
        <v>0</v>
      </c>
      <c r="AO107" s="541">
        <f>AA107+AK107</f>
        <v>0</v>
      </c>
      <c r="AP107" s="541">
        <f t="shared" ca="1" si="1096"/>
        <v>0</v>
      </c>
      <c r="AQ107" s="541">
        <f ca="1">AP107*$Z107</f>
        <v>0</v>
      </c>
      <c r="AR107" s="918">
        <f t="shared" ca="1" si="1159"/>
        <v>0</v>
      </c>
      <c r="AS107" s="1007" t="str">
        <f t="shared" ca="1" si="957"/>
        <v/>
      </c>
      <c r="AT107" s="197"/>
      <c r="AU107" s="312" t="str">
        <f ca="1">IFERROR($X107/AV107-1,"")</f>
        <v/>
      </c>
      <c r="AV107" s="411"/>
      <c r="AW107" s="199">
        <f ca="1">AT107*$X107</f>
        <v>0</v>
      </c>
      <c r="AX107" s="199">
        <f ca="1">AW107*$Z107</f>
        <v>0</v>
      </c>
      <c r="AY107" s="216">
        <f t="shared" ca="1" si="307"/>
        <v>0</v>
      </c>
      <c r="AZ107" s="202">
        <f ca="1">BA107/$X107</f>
        <v>0</v>
      </c>
      <c r="BA107" s="203">
        <f ca="1">BB107/$Z107</f>
        <v>0</v>
      </c>
      <c r="BB107" s="203">
        <f ca="1">BC107*AT$4</f>
        <v>0</v>
      </c>
      <c r="BC107" s="204">
        <f ca="1">$N107-AY107</f>
        <v>0</v>
      </c>
      <c r="BD107" s="205"/>
      <c r="BE107" s="206">
        <f ca="1">BD107*$X107</f>
        <v>0</v>
      </c>
      <c r="BF107" s="206">
        <f ca="1">BE107*$Z107</f>
        <v>0</v>
      </c>
      <c r="BG107" s="207">
        <f t="shared" ca="1" si="314"/>
        <v>0</v>
      </c>
      <c r="BH107" s="541">
        <f>AT107+BD107</f>
        <v>0</v>
      </c>
      <c r="BI107" s="541">
        <f t="shared" ca="1" si="1097"/>
        <v>0</v>
      </c>
      <c r="BJ107" s="541">
        <f ca="1">BI107*$Z107</f>
        <v>0</v>
      </c>
      <c r="BK107" s="918">
        <f t="shared" ca="1" si="1160"/>
        <v>0</v>
      </c>
      <c r="BL107" s="1007" t="str">
        <f t="shared" ca="1" si="958"/>
        <v/>
      </c>
      <c r="BM107" s="197"/>
      <c r="BN107" s="312" t="str">
        <f ca="1">IFERROR($X107/BO107-1,"")</f>
        <v/>
      </c>
      <c r="BO107" s="411"/>
      <c r="BP107" s="199">
        <f ca="1">BM107*$X107</f>
        <v>0</v>
      </c>
      <c r="BQ107" s="199">
        <f ca="1">BP107*$Z107</f>
        <v>0</v>
      </c>
      <c r="BR107" s="216">
        <f t="shared" ca="1" si="1098"/>
        <v>0</v>
      </c>
      <c r="BS107" s="202">
        <f ca="1">BT107/$X107</f>
        <v>0</v>
      </c>
      <c r="BT107" s="203">
        <f ca="1">BU107/$Z107</f>
        <v>0</v>
      </c>
      <c r="BU107" s="203">
        <f ca="1">BV107*BM$4</f>
        <v>0</v>
      </c>
      <c r="BV107" s="204">
        <f ca="1">$N107-BR107</f>
        <v>0</v>
      </c>
      <c r="BW107" s="205"/>
      <c r="BX107" s="206">
        <f ca="1">BW107*$X107</f>
        <v>0</v>
      </c>
      <c r="BY107" s="206">
        <f ca="1">BX107*$Z107</f>
        <v>0</v>
      </c>
      <c r="BZ107" s="207">
        <f t="shared" ca="1" si="1099"/>
        <v>0</v>
      </c>
      <c r="CA107" s="541">
        <f>BM107+BW107</f>
        <v>0</v>
      </c>
      <c r="CB107" s="541">
        <f t="shared" ca="1" si="1100"/>
        <v>0</v>
      </c>
      <c r="CC107" s="541">
        <f ca="1">CB107*$Z107</f>
        <v>0</v>
      </c>
      <c r="CD107" s="918">
        <f t="shared" ca="1" si="1164"/>
        <v>0</v>
      </c>
      <c r="CE107" s="1007" t="str">
        <f t="shared" ca="1" si="959"/>
        <v/>
      </c>
      <c r="CF107" s="197"/>
      <c r="CG107" s="312" t="str">
        <f ca="1">IFERROR($X107/CH107-1,"")</f>
        <v/>
      </c>
      <c r="CH107" s="411"/>
      <c r="CI107" s="199">
        <f ca="1">CF107*$X107</f>
        <v>0</v>
      </c>
      <c r="CJ107" s="199">
        <f ca="1">CI107*$Z107</f>
        <v>0</v>
      </c>
      <c r="CK107" s="216">
        <f t="shared" ca="1" si="334"/>
        <v>0</v>
      </c>
      <c r="CL107" s="202">
        <f ca="1">CM107/$X107</f>
        <v>0</v>
      </c>
      <c r="CM107" s="203">
        <f ca="1">CN107/$Z107</f>
        <v>0</v>
      </c>
      <c r="CN107" s="203">
        <f ca="1">CO107*CF$4</f>
        <v>0</v>
      </c>
      <c r="CO107" s="204">
        <f ca="1">$O107-CK107</f>
        <v>0</v>
      </c>
      <c r="CP107" s="205"/>
      <c r="CQ107" s="206">
        <f ca="1">CP107*$X107</f>
        <v>0</v>
      </c>
      <c r="CR107" s="206">
        <f ca="1">CQ107*$Z107</f>
        <v>0</v>
      </c>
      <c r="CS107" s="207">
        <f t="shared" ca="1" si="341"/>
        <v>0</v>
      </c>
      <c r="CT107" s="541">
        <f>CF107+CP107</f>
        <v>0</v>
      </c>
      <c r="CU107" s="541">
        <f t="shared" ca="1" si="1101"/>
        <v>0</v>
      </c>
      <c r="CV107" s="541">
        <f ca="1">CU107*$Z107</f>
        <v>0</v>
      </c>
      <c r="CW107" s="918">
        <f t="shared" ca="1" si="345"/>
        <v>0</v>
      </c>
      <c r="CX107" s="1007" t="str">
        <f t="shared" ca="1" si="960"/>
        <v/>
      </c>
    </row>
    <row r="108" spans="1:102" collapsed="1" x14ac:dyDescent="0.2">
      <c r="A108" s="514"/>
      <c r="B108" s="514" t="s">
        <v>394</v>
      </c>
      <c r="C108" s="514"/>
      <c r="D108" s="515"/>
      <c r="E108" s="516"/>
      <c r="F108" s="514"/>
      <c r="G108" s="517"/>
      <c r="H108" s="1807"/>
      <c r="I108" s="1807"/>
      <c r="J108" s="1807"/>
      <c r="K108" s="1807"/>
      <c r="L108" s="1807"/>
      <c r="M108" s="1795"/>
      <c r="N108" s="1155">
        <f>SUM(N109:N111)</f>
        <v>0.1</v>
      </c>
      <c r="O108" s="1155"/>
      <c r="P108" s="519">
        <f t="shared" ca="1" si="1238"/>
        <v>0.15699941462111772</v>
      </c>
      <c r="Q108" s="520"/>
      <c r="R108" s="520"/>
      <c r="S108" s="1154"/>
      <c r="T108" s="1154"/>
      <c r="U108" s="521"/>
      <c r="V108" s="520">
        <f>COUNTIF(V109:V111,"&lt;&gt;0")</f>
        <v>0</v>
      </c>
      <c r="W108" s="514"/>
      <c r="X108" s="930"/>
      <c r="Y108" s="930"/>
      <c r="Z108" s="1064"/>
      <c r="AA108" s="531"/>
      <c r="AB108" s="932"/>
      <c r="AC108" s="1156"/>
      <c r="AD108" s="514"/>
      <c r="AE108" s="527">
        <f ca="1">SUM(AE$109:AE$111)</f>
        <v>108770.08600000001</v>
      </c>
      <c r="AF108" s="528">
        <f t="shared" ca="1" si="292"/>
        <v>0.15470905909748769</v>
      </c>
      <c r="AG108" s="529"/>
      <c r="AH108" s="514"/>
      <c r="AI108" s="527">
        <f ca="1">SUM(AI$109:AI$111)</f>
        <v>-38463.869522101246</v>
      </c>
      <c r="AJ108" s="530">
        <f ca="1">IFERROR(AI108/AA$4,0)</f>
        <v>-5.4709059097487675E-2</v>
      </c>
      <c r="AK108" s="529"/>
      <c r="AL108" s="514"/>
      <c r="AM108" s="527">
        <f ca="1">SUM(AM$109:AM$111)</f>
        <v>0</v>
      </c>
      <c r="AN108" s="530">
        <f t="shared" ca="1" si="299"/>
        <v>0</v>
      </c>
      <c r="AO108" s="514"/>
      <c r="AP108" s="514"/>
      <c r="AQ108" s="527">
        <f ca="1">SUM(AQ$109:AQ$111)</f>
        <v>108770.08600000001</v>
      </c>
      <c r="AR108" s="937">
        <f t="shared" ca="1" si="1159"/>
        <v>0.15470905909748769</v>
      </c>
      <c r="AS108" s="1007" t="str">
        <f t="shared" ca="1" si="957"/>
        <v>V</v>
      </c>
      <c r="AT108" s="531"/>
      <c r="AU108" s="932"/>
      <c r="AV108" s="1156"/>
      <c r="AW108" s="514"/>
      <c r="AX108" s="527">
        <f ca="1">SUM(AX$109:AX$111)</f>
        <v>185504.18059999999</v>
      </c>
      <c r="AY108" s="528">
        <f t="shared" ca="1" si="307"/>
        <v>0.15974697751346539</v>
      </c>
      <c r="AZ108" s="529"/>
      <c r="BA108" s="514"/>
      <c r="BB108" s="527">
        <f ca="1">SUM(BB$109:BB$111)</f>
        <v>-69380.430725381244</v>
      </c>
      <c r="BC108" s="530">
        <f ca="1">IFERROR(BB108/AT$4,0)</f>
        <v>-5.9746977513465381E-2</v>
      </c>
      <c r="BD108" s="529"/>
      <c r="BE108" s="514"/>
      <c r="BF108" s="527">
        <f ca="1">SUM(BF$109:BF$111)</f>
        <v>0</v>
      </c>
      <c r="BG108" s="530">
        <f t="shared" ca="1" si="314"/>
        <v>0</v>
      </c>
      <c r="BH108" s="514"/>
      <c r="BI108" s="514"/>
      <c r="BJ108" s="527">
        <f ca="1">SUM(BJ$109:BJ$111)</f>
        <v>185504.18059999999</v>
      </c>
      <c r="BK108" s="937">
        <f t="shared" ca="1" si="1160"/>
        <v>0.15974697751346539</v>
      </c>
      <c r="BL108" s="1007" t="str">
        <f t="shared" ca="1" si="958"/>
        <v>V</v>
      </c>
      <c r="BM108" s="531"/>
      <c r="BN108" s="932"/>
      <c r="BO108" s="1156"/>
      <c r="BP108" s="514"/>
      <c r="BQ108" s="527">
        <f ca="1">SUM(BQ$109:BQ$111)</f>
        <v>97686.639899999995</v>
      </c>
      <c r="BR108" s="528">
        <f t="shared" ca="1" si="1098"/>
        <v>0.15450001415835676</v>
      </c>
      <c r="BS108" s="529"/>
      <c r="BT108" s="514"/>
      <c r="BU108" s="527">
        <f ca="1">SUM(BU$109:BU$111)</f>
        <v>-34459.047053390401</v>
      </c>
      <c r="BV108" s="530">
        <f ca="1">IFERROR(BU108/BM$4,0)</f>
        <v>-5.4500014158356772E-2</v>
      </c>
      <c r="BW108" s="529"/>
      <c r="BX108" s="514"/>
      <c r="BY108" s="527">
        <f ca="1">SUM(BY$109:BY$111)</f>
        <v>0</v>
      </c>
      <c r="BZ108" s="530">
        <f t="shared" ca="1" si="1099"/>
        <v>0</v>
      </c>
      <c r="CA108" s="514"/>
      <c r="CB108" s="514"/>
      <c r="CC108" s="527">
        <f ca="1">SUM(CC$109:CC$111)</f>
        <v>97686.639899999995</v>
      </c>
      <c r="CD108" s="937">
        <f t="shared" ca="1" si="1164"/>
        <v>0.15450001415835676</v>
      </c>
      <c r="CE108" s="1007" t="str">
        <f t="shared" ca="1" si="959"/>
        <v>V</v>
      </c>
      <c r="CF108" s="531"/>
      <c r="CG108" s="932"/>
      <c r="CH108" s="1156"/>
      <c r="CI108" s="514"/>
      <c r="CJ108" s="527">
        <f ca="1">SUM(CJ$109:CJ$111)</f>
        <v>30829.744999999999</v>
      </c>
      <c r="CK108" s="528">
        <f t="shared" ca="1" si="334"/>
        <v>0.19334281442874532</v>
      </c>
      <c r="CL108" s="529"/>
      <c r="CM108" s="514"/>
      <c r="CN108" s="527">
        <f ca="1">SUM(CN$109:CN$111)</f>
        <v>-30829.744999999999</v>
      </c>
      <c r="CO108" s="530">
        <f ca="1">IFERROR(CN108/CF$4,0)</f>
        <v>-0.19334281442874532</v>
      </c>
      <c r="CP108" s="529"/>
      <c r="CQ108" s="514"/>
      <c r="CR108" s="527">
        <f ca="1">SUM(CR$109:CR$111)</f>
        <v>0</v>
      </c>
      <c r="CS108" s="530">
        <f t="shared" ca="1" si="341"/>
        <v>0</v>
      </c>
      <c r="CT108" s="514"/>
      <c r="CU108" s="514"/>
      <c r="CV108" s="527">
        <f ca="1">SUM(CV$109:CV$111)</f>
        <v>30829.744999999999</v>
      </c>
      <c r="CW108" s="937">
        <f t="shared" ca="1" si="345"/>
        <v>0.19334281442874532</v>
      </c>
      <c r="CX108" s="1007" t="str">
        <f t="shared" ca="1" si="960"/>
        <v>V</v>
      </c>
    </row>
    <row r="109" spans="1:102" hidden="1" outlineLevel="1" x14ac:dyDescent="0.2">
      <c r="A109" s="535"/>
      <c r="B109" s="535"/>
      <c r="C109" s="535" t="str">
        <f t="shared" ref="C109:E111" ca="1" si="1289">OFFSET(Origine,MATCH($F109,Descrizioni,0),MATCH(C$16,Intestazioni,0)-1,1,1)</f>
        <v>CH0106027144:EUR</v>
      </c>
      <c r="D109" s="536" t="str">
        <f t="shared" ca="1" si="1289"/>
        <v>CH0106027144</v>
      </c>
      <c r="E109" s="537" t="str">
        <f t="shared" ca="1" si="1289"/>
        <v>10602714</v>
      </c>
      <c r="F109" s="535" t="s">
        <v>582</v>
      </c>
      <c r="G109" s="538"/>
      <c r="H109" s="1690" t="str">
        <f ca="1">HYPERLINK(OFFSET(Origine,MATCH($F109,Descrizioni,0),MATCH(H$16,Intestazioni,0)-1,1,1),"")</f>
        <v></v>
      </c>
      <c r="I109" s="1690" t="str">
        <f ca="1">HYPERLINK(OFFSET(Origine,MATCH($F109,Descrizioni,0),MATCH(I$16,Intestazioni,0)-1,1,1),"i")</f>
        <v>i</v>
      </c>
      <c r="J109" s="1729" t="str">
        <f t="shared" ca="1" si="1287"/>
        <v></v>
      </c>
      <c r="K109" s="1730" t="str">
        <f t="shared" ca="1" si="1287"/>
        <v></v>
      </c>
      <c r="L109" s="1731" t="str">
        <f ca="1">IFERROR(HYPERLINK("https://www.marketscreener.com/mods_a/charts/TV/inc_dyna_graph.php?c="&amp;OFFSET(Origine,MATCH($F109,Descrizioni,0),MATCH(L$16,Intestazioni,0)-1,1,1)&amp;"&amp;style=TradingView.CANDLES&amp;showAT=1",""),"")</f>
        <v></v>
      </c>
      <c r="M109" s="1796" t="str">
        <f ca="1">(OFFSET(Origine,MATCH($F109,Descrizioni,0),MATCH(M$16,Intestazioni,0)-1,1,1))</f>
        <v>Unit</v>
      </c>
      <c r="N109" s="1157">
        <v>0.05</v>
      </c>
      <c r="O109" s="1157"/>
      <c r="P109" s="540">
        <f t="shared" ca="1" si="1238"/>
        <v>6.3730575797664973E-2</v>
      </c>
      <c r="Q109" s="541">
        <f>SUMIF($AA$16:$CW$16,"I_Pos",$AA109:$CW109)</f>
        <v>1305</v>
      </c>
      <c r="R109" s="541">
        <f ca="1">SUMIF($AA$16:$CW$16,"P_Pos",$AA109:$CW109)</f>
        <v>-359.61390791000019</v>
      </c>
      <c r="S109" s="939"/>
      <c r="T109" s="939"/>
      <c r="U109" s="542">
        <f ca="1">OFFSET(Origine,MATCH($C109,smo_ids,0),MATCH(U$16,Intestazioni,0)-1,1,1)</f>
        <v>-2.7974087161366498E-2</v>
      </c>
      <c r="V109" s="541">
        <f>SUMIF($AA$16:$CW$16,"O_Pos",$AA109:$CW109)</f>
        <v>0</v>
      </c>
      <c r="W109" s="535" t="str">
        <f ca="1">OFFSET(Origine,MATCH($F109,Descrizioni,0),MATCH(W$16,Intestazioni,0)-1,1,1)</f>
        <v>EUR</v>
      </c>
      <c r="X109" s="940">
        <f t="shared" ref="X109:Y111" ca="1" si="1290">_xlfn.NUMBERVALUE(OFFSET(Origine,MATCH($F109,Descrizioni,0),MATCH(X$16,Intestazioni,0)-1,1,1))</f>
        <v>132.04</v>
      </c>
      <c r="Y109" s="1068">
        <f t="shared" ca="1" si="1290"/>
        <v>0</v>
      </c>
      <c r="Z109" s="1069">
        <f ca="1">_xlfn.NUMBERVALUE(OFFSET(Origine,MATCH(W109&amp;"/"&amp;MRif,LUKB_Name,0),MATCH("Price",Intestazioni,0)-1,1,1))</f>
        <v>1</v>
      </c>
      <c r="AA109" s="197">
        <f>330+120</f>
        <v>450</v>
      </c>
      <c r="AB109" s="312">
        <f ca="1">IFERROR($X109/AC109-1,"")</f>
        <v>1.9621586697655218</v>
      </c>
      <c r="AC109" s="411">
        <v>44.575600000000001</v>
      </c>
      <c r="AD109" s="199">
        <f ca="1">AA109*$X109</f>
        <v>59418</v>
      </c>
      <c r="AE109" s="199">
        <f ca="1">AD109*$Z109</f>
        <v>59418</v>
      </c>
      <c r="AF109" s="216">
        <f t="shared" ca="1" si="292"/>
        <v>8.451315257261563E-2</v>
      </c>
      <c r="AG109" s="202">
        <f ca="1">AH109/$X109</f>
        <v>-183.76924993222227</v>
      </c>
      <c r="AH109" s="203">
        <f ca="1">AI109/$Z109</f>
        <v>-24264.891761050625</v>
      </c>
      <c r="AI109" s="203">
        <f ca="1">AJ109*AA$4</f>
        <v>-24264.891761050625</v>
      </c>
      <c r="AJ109" s="204">
        <f ca="1">$N109-AF109</f>
        <v>-3.4513152572615627E-2</v>
      </c>
      <c r="AK109" s="205"/>
      <c r="AL109" s="206">
        <f ca="1">AK109*$X109</f>
        <v>0</v>
      </c>
      <c r="AM109" s="206">
        <f ca="1">AL109*$Z109</f>
        <v>0</v>
      </c>
      <c r="AN109" s="207">
        <f t="shared" ca="1" si="299"/>
        <v>0</v>
      </c>
      <c r="AO109" s="541">
        <f>AA109+AK109</f>
        <v>450</v>
      </c>
      <c r="AP109" s="541">
        <f t="shared" ca="1" si="1096"/>
        <v>59418</v>
      </c>
      <c r="AQ109" s="541">
        <f ca="1">AP109*$Z109</f>
        <v>59418</v>
      </c>
      <c r="AR109" s="918">
        <f t="shared" ca="1" si="1159"/>
        <v>8.451315257261563E-2</v>
      </c>
      <c r="AS109" s="1007" t="str">
        <f t="shared" ca="1" si="957"/>
        <v>V</v>
      </c>
      <c r="AT109" s="197">
        <v>620</v>
      </c>
      <c r="AU109" s="312">
        <f ca="1">IFERROR($X109/AV109-1,"")</f>
        <v>2.1174227668189491</v>
      </c>
      <c r="AV109" s="411">
        <v>42.355499999999999</v>
      </c>
      <c r="AW109" s="199">
        <f ca="1">AT109*$X109</f>
        <v>81864.799999999988</v>
      </c>
      <c r="AX109" s="199">
        <f ca="1">AW109*$Z109</f>
        <v>81864.799999999988</v>
      </c>
      <c r="AY109" s="216">
        <f t="shared" ca="1" si="307"/>
        <v>7.0497895640117658E-2</v>
      </c>
      <c r="AZ109" s="202">
        <f ca="1">BA109/$X109</f>
        <v>-180.27056242570893</v>
      </c>
      <c r="BA109" s="203">
        <f ca="1">BB109/$Z109</f>
        <v>-23802.925062690607</v>
      </c>
      <c r="BB109" s="203">
        <f ca="1">BC109*AT$4</f>
        <v>-23802.925062690607</v>
      </c>
      <c r="BC109" s="204">
        <f ca="1">$N109-AY109</f>
        <v>-2.0497895640117655E-2</v>
      </c>
      <c r="BD109" s="205"/>
      <c r="BE109" s="206">
        <f ca="1">BD109*$X109</f>
        <v>0</v>
      </c>
      <c r="BF109" s="206">
        <f ca="1">BE109*$Z109</f>
        <v>0</v>
      </c>
      <c r="BG109" s="207">
        <f t="shared" ca="1" si="314"/>
        <v>0</v>
      </c>
      <c r="BH109" s="541">
        <f>AT109+BD109</f>
        <v>620</v>
      </c>
      <c r="BI109" s="541">
        <f t="shared" ca="1" si="1097"/>
        <v>81864.799999999988</v>
      </c>
      <c r="BJ109" s="541">
        <f ca="1">BI109*$Z109</f>
        <v>81864.799999999988</v>
      </c>
      <c r="BK109" s="918">
        <f t="shared" ca="1" si="1160"/>
        <v>7.0497895640117658E-2</v>
      </c>
      <c r="BL109" s="1007" t="str">
        <f t="shared" ca="1" si="958"/>
        <v>V</v>
      </c>
      <c r="BM109" s="197">
        <f>135</f>
        <v>135</v>
      </c>
      <c r="BN109" s="312">
        <f ca="1">IFERROR($X109/BO109-1,"")</f>
        <v>1.6456213631321326E-2</v>
      </c>
      <c r="BO109" s="411">
        <v>129.9023</v>
      </c>
      <c r="BP109" s="199">
        <f ca="1">BM109*$X109</f>
        <v>17825.399999999998</v>
      </c>
      <c r="BQ109" s="199">
        <f ca="1">BP109*$Z109</f>
        <v>17825.399999999998</v>
      </c>
      <c r="BR109" s="216">
        <f t="shared" ca="1" si="1098"/>
        <v>2.8192438138906369E-2</v>
      </c>
      <c r="BS109" s="202">
        <f ca="1">BT109/$X109</f>
        <v>104.42590444793095</v>
      </c>
      <c r="BT109" s="203">
        <f ca="1">BU109/$Z109</f>
        <v>13788.396423304801</v>
      </c>
      <c r="BU109" s="203">
        <f ca="1">BV109*BM$4</f>
        <v>13788.396423304801</v>
      </c>
      <c r="BV109" s="204">
        <f ca="1">$N109-BR109</f>
        <v>2.1807561861093634E-2</v>
      </c>
      <c r="BW109" s="205"/>
      <c r="BX109" s="206">
        <f ca="1">BW109*$X109</f>
        <v>0</v>
      </c>
      <c r="BY109" s="206">
        <f ca="1">BX109*$Z109</f>
        <v>0</v>
      </c>
      <c r="BZ109" s="207">
        <f t="shared" ca="1" si="1099"/>
        <v>0</v>
      </c>
      <c r="CA109" s="541">
        <f>BM109+BW109</f>
        <v>135</v>
      </c>
      <c r="CB109" s="541">
        <f t="shared" ca="1" si="1100"/>
        <v>17825.399999999998</v>
      </c>
      <c r="CC109" s="541">
        <f ca="1">CB109*$Z109</f>
        <v>17825.399999999998</v>
      </c>
      <c r="CD109" s="918">
        <f t="shared" ca="1" si="1164"/>
        <v>2.8192438138906369E-2</v>
      </c>
      <c r="CE109" s="1007" t="str">
        <f t="shared" ca="1" si="959"/>
        <v>V</v>
      </c>
      <c r="CF109" s="197">
        <f>100</f>
        <v>100</v>
      </c>
      <c r="CG109" s="312">
        <f ca="1">IFERROR($X109/CH109-1,"")</f>
        <v>1.4927882073975622</v>
      </c>
      <c r="CH109" s="411">
        <v>52.968800000000002</v>
      </c>
      <c r="CI109" s="199">
        <f ca="1">CF109*$X109</f>
        <v>13204</v>
      </c>
      <c r="CJ109" s="199">
        <f ca="1">CI109*$Z109</f>
        <v>13204</v>
      </c>
      <c r="CK109" s="216">
        <f t="shared" ca="1" si="334"/>
        <v>8.2806345680677962E-2</v>
      </c>
      <c r="CL109" s="202">
        <f ca="1">CM109/$X109</f>
        <v>-100</v>
      </c>
      <c r="CM109" s="203">
        <f ca="1">CN109/$Z109</f>
        <v>-13204</v>
      </c>
      <c r="CN109" s="203">
        <f ca="1">CO109*CF$4</f>
        <v>-13204</v>
      </c>
      <c r="CO109" s="204">
        <f ca="1">$O109-CK109</f>
        <v>-8.2806345680677962E-2</v>
      </c>
      <c r="CP109" s="205"/>
      <c r="CQ109" s="206">
        <f ca="1">CP109*$X109</f>
        <v>0</v>
      </c>
      <c r="CR109" s="206">
        <f ca="1">CQ109*$Z109</f>
        <v>0</v>
      </c>
      <c r="CS109" s="207">
        <f t="shared" ca="1" si="341"/>
        <v>0</v>
      </c>
      <c r="CT109" s="541">
        <f>CF109+CP109</f>
        <v>100</v>
      </c>
      <c r="CU109" s="541">
        <f t="shared" ca="1" si="1101"/>
        <v>13204</v>
      </c>
      <c r="CV109" s="541">
        <f ca="1">CU109*$Z109</f>
        <v>13204</v>
      </c>
      <c r="CW109" s="918">
        <f t="shared" ca="1" si="345"/>
        <v>8.2806345680677962E-2</v>
      </c>
      <c r="CX109" s="1007" t="str">
        <f t="shared" ca="1" si="960"/>
        <v>V</v>
      </c>
    </row>
    <row r="110" spans="1:102" hidden="1" outlineLevel="1" x14ac:dyDescent="0.2">
      <c r="A110" s="535"/>
      <c r="B110" s="535"/>
      <c r="C110" s="535" t="str">
        <f t="shared" ca="1" si="1289"/>
        <v>JE00B1VS3770:USD:LSS</v>
      </c>
      <c r="D110" s="536" t="str">
        <f t="shared" ca="1" si="1289"/>
        <v>JE00B1VS3770</v>
      </c>
      <c r="E110" s="537" t="str">
        <f t="shared" ca="1" si="1289"/>
        <v>3068233</v>
      </c>
      <c r="F110" s="535" t="s">
        <v>862</v>
      </c>
      <c r="G110" s="538"/>
      <c r="H110" s="1690" t="str">
        <f ca="1">HYPERLINK(OFFSET(Origine,MATCH($F110,Descrizioni,0),MATCH(H$16,Intestazioni,0)-1,1,1),"")</f>
        <v></v>
      </c>
      <c r="I110" s="1690" t="str">
        <f ca="1">HYPERLINK(OFFSET(Origine,MATCH($F110,Descrizioni,0),MATCH(I$16,Intestazioni,0)-1,1,1),"i")</f>
        <v>i</v>
      </c>
      <c r="J110" s="1729" t="str">
        <f t="shared" ca="1" si="1287"/>
        <v></v>
      </c>
      <c r="K110" s="1730" t="str">
        <f t="shared" ca="1" si="1287"/>
        <v></v>
      </c>
      <c r="L110" s="1731" t="str">
        <f ca="1">IFERROR(HYPERLINK("https://www.marketscreener.com/mods_a/charts/TV/inc_dyna_graph.php?c="&amp;OFFSET(Origine,MATCH($F110,Descrizioni,0),MATCH(L$16,Intestazioni,0)-1,1,1)&amp;"&amp;style=TradingView.CANDLES&amp;showAT=1",""),"")</f>
        <v></v>
      </c>
      <c r="M110" s="1796" t="str">
        <f ca="1">(OFFSET(Origine,MATCH($F110,Descrizioni,0),MATCH(M$16,Intestazioni,0)-1,1,1))</f>
        <v>Unit</v>
      </c>
      <c r="N110" s="1157"/>
      <c r="O110" s="1157"/>
      <c r="P110" s="540">
        <f t="shared" ca="1" si="1238"/>
        <v>3.1988312373230646E-2</v>
      </c>
      <c r="Q110" s="541">
        <f>SUMIF($AA$16:$CW$16,"I_Pos",$AA110:$CW110)</f>
        <v>195</v>
      </c>
      <c r="R110" s="541">
        <f ca="1">SUMIF($AA$16:$CW$16,"P_Pos",$AA110:$CW110)</f>
        <v>-195</v>
      </c>
      <c r="S110" s="1158"/>
      <c r="T110" s="1158"/>
      <c r="U110" s="542">
        <f ca="1">OFFSET(Origine,MATCH($C110,smo_ids,0),MATCH(U$16,Intestazioni,0)-1,1,1)</f>
        <v>-3.6991243716555905E-2</v>
      </c>
      <c r="V110" s="541">
        <f>SUMIF($AA$16:$CW$16,"O_Pos",$AA110:$CW110)</f>
        <v>0</v>
      </c>
      <c r="W110" s="535" t="str">
        <f ca="1">OFFSET(Origine,MATCH($F110,Descrizioni,0),MATCH(W$16,Intestazioni,0)-1,1,1)</f>
        <v>USD</v>
      </c>
      <c r="X110" s="940">
        <f t="shared" ca="1" si="1290"/>
        <v>475.11</v>
      </c>
      <c r="Y110" s="1068">
        <f t="shared" ca="1" si="1290"/>
        <v>0</v>
      </c>
      <c r="Z110" s="1069">
        <f ca="1">_xlfn.NUMBERVALUE(OFFSET(Origine,MATCH(W110&amp;"/"&amp;MRif,LUKB_Name,0),MATCH("Price",Intestazioni,0)-1,1,1))</f>
        <v>0.86199999999999999</v>
      </c>
      <c r="AA110" s="197"/>
      <c r="AB110" s="312" t="str">
        <f ca="1">IFERROR($X110/AC110-1,"")</f>
        <v/>
      </c>
      <c r="AC110" s="411"/>
      <c r="AD110" s="199">
        <f ca="1">AA110*$X110</f>
        <v>0</v>
      </c>
      <c r="AE110" s="199">
        <f ca="1">AD110*$Z110</f>
        <v>0</v>
      </c>
      <c r="AF110" s="216">
        <f t="shared" ca="1" si="292"/>
        <v>0</v>
      </c>
      <c r="AG110" s="202">
        <f ca="1">AH110/$X110</f>
        <v>0</v>
      </c>
      <c r="AH110" s="203">
        <f ca="1">AI110/$Z110</f>
        <v>0</v>
      </c>
      <c r="AI110" s="203">
        <f ca="1">AJ110*AA$4</f>
        <v>0</v>
      </c>
      <c r="AJ110" s="204">
        <f ca="1">$N110-AF110</f>
        <v>0</v>
      </c>
      <c r="AK110" s="205"/>
      <c r="AL110" s="206">
        <f ca="1">AK110*$X110</f>
        <v>0</v>
      </c>
      <c r="AM110" s="206">
        <f ca="1">AL110*$Z110</f>
        <v>0</v>
      </c>
      <c r="AN110" s="207">
        <f t="shared" ca="1" si="299"/>
        <v>0</v>
      </c>
      <c r="AO110" s="541">
        <f>AA110+AK110</f>
        <v>0</v>
      </c>
      <c r="AP110" s="541">
        <f t="shared" ca="1" si="1096"/>
        <v>0</v>
      </c>
      <c r="AQ110" s="541">
        <f ca="1">AP110*$Z110</f>
        <v>0</v>
      </c>
      <c r="AR110" s="918">
        <f t="shared" ca="1" si="1159"/>
        <v>0</v>
      </c>
      <c r="AS110" s="1007" t="str">
        <f t="shared" ca="1" si="957"/>
        <v/>
      </c>
      <c r="AT110" s="197"/>
      <c r="AU110" s="312" t="str">
        <f ca="1">IFERROR($X110/AV110-1,"")</f>
        <v/>
      </c>
      <c r="AV110" s="411"/>
      <c r="AW110" s="199">
        <f ca="1">AT110*$X110</f>
        <v>0</v>
      </c>
      <c r="AX110" s="199">
        <f ca="1">AW110*$Z110</f>
        <v>0</v>
      </c>
      <c r="AY110" s="216">
        <f t="shared" ca="1" si="307"/>
        <v>0</v>
      </c>
      <c r="AZ110" s="202">
        <f ca="1">BA110/$X110</f>
        <v>0</v>
      </c>
      <c r="BA110" s="203">
        <f ca="1">BB110/$Z110</f>
        <v>0</v>
      </c>
      <c r="BB110" s="203">
        <f ca="1">BC110*AT$4</f>
        <v>0</v>
      </c>
      <c r="BC110" s="204">
        <f ca="1">$N110-AY110</f>
        <v>0</v>
      </c>
      <c r="BD110" s="205"/>
      <c r="BE110" s="206">
        <f ca="1">BD110*$X110</f>
        <v>0</v>
      </c>
      <c r="BF110" s="206">
        <f ca="1">BE110*$Z110</f>
        <v>0</v>
      </c>
      <c r="BG110" s="207">
        <f t="shared" ca="1" si="314"/>
        <v>0</v>
      </c>
      <c r="BH110" s="541">
        <f>AT110+BD110</f>
        <v>0</v>
      </c>
      <c r="BI110" s="541">
        <f t="shared" ca="1" si="1097"/>
        <v>0</v>
      </c>
      <c r="BJ110" s="541">
        <f ca="1">BI110*$Z110</f>
        <v>0</v>
      </c>
      <c r="BK110" s="918">
        <f t="shared" ca="1" si="1160"/>
        <v>0</v>
      </c>
      <c r="BL110" s="1007" t="str">
        <f t="shared" ca="1" si="958"/>
        <v/>
      </c>
      <c r="BM110" s="197">
        <f>240+-45</f>
        <v>195</v>
      </c>
      <c r="BN110" s="312">
        <f ca="1">IFERROR($X110/BO110-1,"")</f>
        <v>2.9281521289789167</v>
      </c>
      <c r="BO110" s="411">
        <v>120.95</v>
      </c>
      <c r="BP110" s="199">
        <f ca="1">BM110*$X110</f>
        <v>92646.45</v>
      </c>
      <c r="BQ110" s="199">
        <f ca="1">BP110*$Z110</f>
        <v>79861.2399</v>
      </c>
      <c r="BR110" s="216">
        <f t="shared" ca="1" si="1098"/>
        <v>0.12630757601945042</v>
      </c>
      <c r="BS110" s="202">
        <f ca="1">BT110/$X110</f>
        <v>-195</v>
      </c>
      <c r="BT110" s="203">
        <f ca="1">BU110/$Z110</f>
        <v>-92646.45</v>
      </c>
      <c r="BU110" s="203">
        <f ca="1">BV110*BM$4</f>
        <v>-79861.2399</v>
      </c>
      <c r="BV110" s="204">
        <f ca="1">$N110-BR110</f>
        <v>-0.12630757601945042</v>
      </c>
      <c r="BW110" s="205"/>
      <c r="BX110" s="206">
        <f ca="1">BW110*$X110</f>
        <v>0</v>
      </c>
      <c r="BY110" s="206">
        <f ca="1">BX110*$Z110</f>
        <v>0</v>
      </c>
      <c r="BZ110" s="207">
        <f t="shared" ca="1" si="1099"/>
        <v>0</v>
      </c>
      <c r="CA110" s="541">
        <f>BM110+BW110</f>
        <v>195</v>
      </c>
      <c r="CB110" s="541">
        <f t="shared" ca="1" si="1100"/>
        <v>92646.45</v>
      </c>
      <c r="CC110" s="541">
        <f ca="1">CB110*$Z110</f>
        <v>79861.2399</v>
      </c>
      <c r="CD110" s="918">
        <f t="shared" ca="1" si="1164"/>
        <v>0.12630757601945042</v>
      </c>
      <c r="CE110" s="1007" t="str">
        <f t="shared" ca="1" si="959"/>
        <v>V</v>
      </c>
      <c r="CF110" s="197"/>
      <c r="CG110" s="312" t="str">
        <f ca="1">IFERROR($X110/CH110-1,"")</f>
        <v/>
      </c>
      <c r="CH110" s="411"/>
      <c r="CI110" s="199">
        <f ca="1">CF110*$X110</f>
        <v>0</v>
      </c>
      <c r="CJ110" s="199">
        <f ca="1">CI110*$Z110</f>
        <v>0</v>
      </c>
      <c r="CK110" s="216">
        <f t="shared" ca="1" si="334"/>
        <v>0</v>
      </c>
      <c r="CL110" s="202">
        <f ca="1">CM110/$X110</f>
        <v>0</v>
      </c>
      <c r="CM110" s="203">
        <f ca="1">CN110/$Z110</f>
        <v>0</v>
      </c>
      <c r="CN110" s="203">
        <f ca="1">CO110*CF$4</f>
        <v>0</v>
      </c>
      <c r="CO110" s="204">
        <f ca="1">$O110-CK110</f>
        <v>0</v>
      </c>
      <c r="CP110" s="205"/>
      <c r="CQ110" s="206">
        <f ca="1">CP110*$X110</f>
        <v>0</v>
      </c>
      <c r="CR110" s="206">
        <f ca="1">CQ110*$Z110</f>
        <v>0</v>
      </c>
      <c r="CS110" s="207">
        <f t="shared" ca="1" si="341"/>
        <v>0</v>
      </c>
      <c r="CT110" s="541">
        <f>CF110+CP110</f>
        <v>0</v>
      </c>
      <c r="CU110" s="541">
        <f t="shared" ca="1" si="1101"/>
        <v>0</v>
      </c>
      <c r="CV110" s="541">
        <f ca="1">CU110*$Z110</f>
        <v>0</v>
      </c>
      <c r="CW110" s="918">
        <f t="shared" ca="1" si="345"/>
        <v>0</v>
      </c>
      <c r="CX110" s="1007" t="str">
        <f t="shared" ca="1" si="960"/>
        <v/>
      </c>
    </row>
    <row r="111" spans="1:102" hidden="1" outlineLevel="1" x14ac:dyDescent="0.2">
      <c r="A111" s="535"/>
      <c r="B111" s="535"/>
      <c r="C111" s="535" t="str">
        <f t="shared" ca="1" si="1289"/>
        <v>CH0106027193:USD</v>
      </c>
      <c r="D111" s="536" t="str">
        <f t="shared" ca="1" si="1289"/>
        <v>CH0106027193</v>
      </c>
      <c r="E111" s="537" t="str">
        <f t="shared" ca="1" si="1289"/>
        <v>10602719</v>
      </c>
      <c r="F111" s="535" t="s">
        <v>650</v>
      </c>
      <c r="G111" s="538"/>
      <c r="H111" s="1690" t="str">
        <f ca="1">HYPERLINK(OFFSET(Origine,MATCH($F111,Descrizioni,0),MATCH(H$16,Intestazioni,0)-1,1,1),"")</f>
        <v></v>
      </c>
      <c r="I111" s="1690" t="str">
        <f ca="1">HYPERLINK(OFFSET(Origine,MATCH($F111,Descrizioni,0),MATCH(I$16,Intestazioni,0)-1,1,1),"i")</f>
        <v>i</v>
      </c>
      <c r="J111" s="1729" t="str">
        <f t="shared" ca="1" si="1287"/>
        <v></v>
      </c>
      <c r="K111" s="1730" t="str">
        <f t="shared" ca="1" si="1287"/>
        <v></v>
      </c>
      <c r="L111" s="1731" t="str">
        <f ca="1">IFERROR(HYPERLINK("https://www.marketscreener.com/mods_a/charts/TV/inc_dyna_graph.php?c="&amp;OFFSET(Origine,MATCH($F111,Descrizioni,0),MATCH(L$16,Intestazioni,0)-1,1,1)&amp;"&amp;style=TradingView.CANDLES&amp;showAT=1",""),"")</f>
        <v></v>
      </c>
      <c r="M111" s="1796" t="str">
        <f ca="1">(OFFSET(Origine,MATCH($F111,Descrizioni,0),MATCH(M$16,Intestazioni,0)-1,1,1))</f>
        <v>Unit</v>
      </c>
      <c r="N111" s="1157">
        <v>0.05</v>
      </c>
      <c r="O111" s="1157"/>
      <c r="P111" s="540">
        <f t="shared" ca="1" si="1238"/>
        <v>6.1280526450222118E-2</v>
      </c>
      <c r="Q111" s="541">
        <f>SUMIF($AA$16:$CW$16,"I_Pos",$AA111:$CW111)</f>
        <v>1210</v>
      </c>
      <c r="R111" s="541">
        <f ca="1">SUMIF($AA$16:$CW$16,"P_Pos",$AA111:$CW111)</f>
        <v>-324.72692643939627</v>
      </c>
      <c r="S111" s="939"/>
      <c r="T111" s="939"/>
      <c r="U111" s="542">
        <f ca="1">OFFSET(Origine,MATCH($C111,smo_ids,0),MATCH(U$16,Intestazioni,0)-1,1,1)</f>
        <v>-3.4014408881540004E-2</v>
      </c>
      <c r="V111" s="541">
        <f>SUMIF($AA$16:$CW$16,"O_Pos",$AA111:$CW111)</f>
        <v>0</v>
      </c>
      <c r="W111" s="535" t="str">
        <f ca="1">OFFSET(Origine,MATCH($F111,Descrizioni,0),MATCH(W$16,Intestazioni,0)-1,1,1)</f>
        <v>USD</v>
      </c>
      <c r="X111" s="940">
        <f t="shared" ca="1" si="1290"/>
        <v>163.58000000000001</v>
      </c>
      <c r="Y111" s="1068">
        <f t="shared" ca="1" si="1290"/>
        <v>0</v>
      </c>
      <c r="Z111" s="1069">
        <f ca="1">_xlfn.NUMBERVALUE(OFFSET(Origine,MATCH(W111&amp;"/"&amp;MRif,LUKB_Name,0),MATCH("Price",Intestazioni,0)-1,1,1))</f>
        <v>0.86199999999999999</v>
      </c>
      <c r="AA111" s="197">
        <f>180+170</f>
        <v>350</v>
      </c>
      <c r="AB111" s="312">
        <f ca="1">IFERROR($X111/AC111-1,"")</f>
        <v>2.3102102928558712</v>
      </c>
      <c r="AC111" s="411">
        <v>49.416800000000002</v>
      </c>
      <c r="AD111" s="199">
        <f ca="1">AA111*$X111</f>
        <v>57253.000000000007</v>
      </c>
      <c r="AE111" s="199">
        <f ca="1">AD111*$Z111</f>
        <v>49352.086000000003</v>
      </c>
      <c r="AF111" s="216">
        <f t="shared" ref="AF111:AF117" ca="1" si="1291">IFERROR(AE111/AA$4,0)</f>
        <v>7.0195906524872051E-2</v>
      </c>
      <c r="AG111" s="202">
        <f ca="1">AH111/$X111</f>
        <v>-100.69771349417161</v>
      </c>
      <c r="AH111" s="203">
        <f ca="1">AI111/$Z111</f>
        <v>-16472.131973376592</v>
      </c>
      <c r="AI111" s="203">
        <f ca="1">AJ111*AA$4</f>
        <v>-14198.977761050621</v>
      </c>
      <c r="AJ111" s="204">
        <f ca="1">$N111-AF111</f>
        <v>-2.0195906524872048E-2</v>
      </c>
      <c r="AK111" s="205"/>
      <c r="AL111" s="206">
        <f ca="1">AK111*$X111</f>
        <v>0</v>
      </c>
      <c r="AM111" s="206">
        <f ca="1">AL111*$Z111</f>
        <v>0</v>
      </c>
      <c r="AN111" s="207">
        <f t="shared" ref="AN111:AN117" ca="1" si="1292">IFERROR(AM111/AA$4,0)</f>
        <v>0</v>
      </c>
      <c r="AO111" s="541">
        <f>AA111+AK111</f>
        <v>350</v>
      </c>
      <c r="AP111" s="541">
        <f t="shared" ca="1" si="1096"/>
        <v>57253.000000000007</v>
      </c>
      <c r="AQ111" s="541">
        <f ca="1">AP111*$Z111</f>
        <v>49352.086000000003</v>
      </c>
      <c r="AR111" s="918">
        <f t="shared" ca="1" si="1159"/>
        <v>7.0195906524872051E-2</v>
      </c>
      <c r="AS111" s="1007" t="str">
        <f t="shared" ca="1" si="957"/>
        <v>V</v>
      </c>
      <c r="AT111" s="197">
        <v>735</v>
      </c>
      <c r="AU111" s="312">
        <f ca="1">IFERROR($X111/AV111-1,"")</f>
        <v>2.7313296654166557</v>
      </c>
      <c r="AV111" s="411">
        <v>43.839599999999997</v>
      </c>
      <c r="AW111" s="199">
        <f ca="1">AT111*$X111</f>
        <v>120231.3</v>
      </c>
      <c r="AX111" s="199">
        <f ca="1">AW111*$Z111</f>
        <v>103639.3806</v>
      </c>
      <c r="AY111" s="216">
        <f t="shared" ref="AY111:AY117" ca="1" si="1293">IFERROR(AX111/AT$4,0)</f>
        <v>8.9249081873347721E-2</v>
      </c>
      <c r="AZ111" s="202">
        <f ca="1">BA111/$X111</f>
        <v>-323.23105819562966</v>
      </c>
      <c r="BA111" s="203">
        <f ca="1">BB111/$Z111</f>
        <v>-52874.136499641099</v>
      </c>
      <c r="BB111" s="203">
        <f ca="1">BC111*AT$4</f>
        <v>-45577.50566269063</v>
      </c>
      <c r="BC111" s="204">
        <f ca="1">$N111-AY111</f>
        <v>-3.9249081873347719E-2</v>
      </c>
      <c r="BD111" s="205"/>
      <c r="BE111" s="206">
        <f ca="1">BD111*$X111</f>
        <v>0</v>
      </c>
      <c r="BF111" s="206">
        <f ca="1">BE111*$Z111</f>
        <v>0</v>
      </c>
      <c r="BG111" s="207">
        <f t="shared" ref="BG111:BG117" ca="1" si="1294">IFERROR(BF111/AT$4,0)</f>
        <v>0</v>
      </c>
      <c r="BH111" s="541">
        <f>AT111+BD111</f>
        <v>735</v>
      </c>
      <c r="BI111" s="541">
        <f t="shared" ca="1" si="1097"/>
        <v>120231.3</v>
      </c>
      <c r="BJ111" s="541">
        <f ca="1">BI111*$Z111</f>
        <v>103639.3806</v>
      </c>
      <c r="BK111" s="918">
        <f t="shared" ca="1" si="1160"/>
        <v>8.9249081873347721E-2</v>
      </c>
      <c r="BL111" s="1007" t="str">
        <f t="shared" ca="1" si="958"/>
        <v>V</v>
      </c>
      <c r="BM111" s="197"/>
      <c r="BN111" s="312" t="str">
        <f ca="1">IFERROR($X111/BO111-1,"")</f>
        <v/>
      </c>
      <c r="BO111" s="411"/>
      <c r="BP111" s="199">
        <f ca="1">BM111*$X111</f>
        <v>0</v>
      </c>
      <c r="BQ111" s="199">
        <f ca="1">BP111*$Z111</f>
        <v>0</v>
      </c>
      <c r="BR111" s="216">
        <f t="shared" ca="1" si="1098"/>
        <v>0</v>
      </c>
      <c r="BS111" s="202">
        <f ca="1">BT111/$X111</f>
        <v>224.20184525040497</v>
      </c>
      <c r="BT111" s="203">
        <f ca="1">BU111/$Z111</f>
        <v>36674.93784606125</v>
      </c>
      <c r="BU111" s="203">
        <f ca="1">BV111*BM$4</f>
        <v>31613.796423304797</v>
      </c>
      <c r="BV111" s="204">
        <f ca="1">$N111-BR111</f>
        <v>0.05</v>
      </c>
      <c r="BW111" s="205"/>
      <c r="BX111" s="206">
        <f ca="1">BW111*$X111</f>
        <v>0</v>
      </c>
      <c r="BY111" s="206">
        <f ca="1">BX111*$Z111</f>
        <v>0</v>
      </c>
      <c r="BZ111" s="207">
        <f t="shared" ca="1" si="1099"/>
        <v>0</v>
      </c>
      <c r="CA111" s="541">
        <f>BM111+BW111</f>
        <v>0</v>
      </c>
      <c r="CB111" s="541">
        <f t="shared" ca="1" si="1100"/>
        <v>0</v>
      </c>
      <c r="CC111" s="541">
        <f ca="1">CB111*$Z111</f>
        <v>0</v>
      </c>
      <c r="CD111" s="918">
        <f t="shared" ca="1" si="1164"/>
        <v>0</v>
      </c>
      <c r="CE111" s="1007" t="str">
        <f t="shared" ca="1" si="959"/>
        <v/>
      </c>
      <c r="CF111" s="197">
        <f>125</f>
        <v>125</v>
      </c>
      <c r="CG111" s="312">
        <f ca="1">IFERROR($X111/CH111-1,"")</f>
        <v>1.9197054235339897</v>
      </c>
      <c r="CH111" s="411">
        <v>56.026200000000003</v>
      </c>
      <c r="CI111" s="199">
        <f ca="1">CF111*$X111</f>
        <v>20447.5</v>
      </c>
      <c r="CJ111" s="199">
        <f ca="1">CI111*$Z111</f>
        <v>17625.744999999999</v>
      </c>
      <c r="CK111" s="216">
        <f t="shared" ref="CK111:CK118" ca="1" si="1295">IFERROR(CJ111/CF$4,0)</f>
        <v>0.11053646874806734</v>
      </c>
      <c r="CL111" s="202">
        <f ca="1">CM111/$X111</f>
        <v>-124.99999999999999</v>
      </c>
      <c r="CM111" s="203">
        <f ca="1">CN111/$Z111</f>
        <v>-20447.5</v>
      </c>
      <c r="CN111" s="203">
        <f ca="1">CO111*CF$4</f>
        <v>-17625.744999999999</v>
      </c>
      <c r="CO111" s="204">
        <f ca="1">$O111-CK111</f>
        <v>-0.11053646874806734</v>
      </c>
      <c r="CP111" s="205"/>
      <c r="CQ111" s="206">
        <f ca="1">CP111*$X111</f>
        <v>0</v>
      </c>
      <c r="CR111" s="206">
        <f ca="1">CQ111*$Z111</f>
        <v>0</v>
      </c>
      <c r="CS111" s="207">
        <f t="shared" ref="CS111:CS118" ca="1" si="1296">IFERROR(CR111/CF$4,0)</f>
        <v>0</v>
      </c>
      <c r="CT111" s="541">
        <f>CF111+CP111</f>
        <v>125</v>
      </c>
      <c r="CU111" s="541">
        <f t="shared" ca="1" si="1101"/>
        <v>20447.5</v>
      </c>
      <c r="CV111" s="541">
        <f ca="1">CU111*$Z111</f>
        <v>17625.744999999999</v>
      </c>
      <c r="CW111" s="918">
        <f t="shared" ref="CW111:CW118" ca="1" si="1297">IFERROR(CV111/CF$4,0)</f>
        <v>0.11053646874806734</v>
      </c>
      <c r="CX111" s="1007" t="str">
        <f t="shared" ca="1" si="960"/>
        <v>V</v>
      </c>
    </row>
    <row r="112" spans="1:102" collapsed="1" x14ac:dyDescent="0.2">
      <c r="A112" s="514"/>
      <c r="B112" s="514" t="s">
        <v>514</v>
      </c>
      <c r="C112" s="514"/>
      <c r="D112" s="1159"/>
      <c r="E112" s="516"/>
      <c r="F112" s="514"/>
      <c r="G112" s="517"/>
      <c r="H112" s="1807"/>
      <c r="I112" s="1807"/>
      <c r="J112" s="1807"/>
      <c r="K112" s="1807"/>
      <c r="L112" s="1807"/>
      <c r="M112" s="1795"/>
      <c r="N112" s="1155">
        <f>SUM(N$113:N$113)</f>
        <v>0</v>
      </c>
      <c r="O112" s="1155"/>
      <c r="P112" s="519">
        <f t="shared" ca="1" si="1238"/>
        <v>0</v>
      </c>
      <c r="Q112" s="520"/>
      <c r="R112" s="520"/>
      <c r="S112" s="1154" t="s">
        <v>718</v>
      </c>
      <c r="T112" s="1154"/>
      <c r="U112" s="521"/>
      <c r="V112" s="520">
        <f>COUNTIF(V113,"&lt;&gt;0")</f>
        <v>0</v>
      </c>
      <c r="W112" s="514"/>
      <c r="X112" s="930"/>
      <c r="Y112" s="930"/>
      <c r="Z112" s="1064"/>
      <c r="AA112" s="531"/>
      <c r="AB112" s="932"/>
      <c r="AC112" s="1156"/>
      <c r="AD112" s="514"/>
      <c r="AE112" s="527">
        <f ca="1">SUM(AE$113)</f>
        <v>0</v>
      </c>
      <c r="AF112" s="528">
        <f t="shared" ca="1" si="1291"/>
        <v>0</v>
      </c>
      <c r="AG112" s="529"/>
      <c r="AH112" s="514"/>
      <c r="AI112" s="527">
        <f ca="1">SUM(AI$113)</f>
        <v>0</v>
      </c>
      <c r="AJ112" s="530">
        <f ca="1">IFERROR(AI112/AA$4,0)</f>
        <v>0</v>
      </c>
      <c r="AK112" s="529"/>
      <c r="AL112" s="514"/>
      <c r="AM112" s="527">
        <f ca="1">SUM(AM$113)</f>
        <v>0</v>
      </c>
      <c r="AN112" s="530">
        <f t="shared" ca="1" si="1292"/>
        <v>0</v>
      </c>
      <c r="AO112" s="514"/>
      <c r="AP112" s="514"/>
      <c r="AQ112" s="527">
        <f ca="1">SUM(AQ$113)</f>
        <v>0</v>
      </c>
      <c r="AR112" s="937">
        <f t="shared" ca="1" si="1159"/>
        <v>0</v>
      </c>
      <c r="AS112" s="1007" t="str">
        <f t="shared" ca="1" si="957"/>
        <v/>
      </c>
      <c r="AT112" s="531"/>
      <c r="AU112" s="932"/>
      <c r="AV112" s="1156"/>
      <c r="AW112" s="514"/>
      <c r="AX112" s="527">
        <f ca="1">SUM(AX$113)</f>
        <v>0</v>
      </c>
      <c r="AY112" s="528">
        <f t="shared" ca="1" si="1293"/>
        <v>0</v>
      </c>
      <c r="AZ112" s="529"/>
      <c r="BA112" s="514"/>
      <c r="BB112" s="527">
        <f ca="1">SUM(BB$113)</f>
        <v>0</v>
      </c>
      <c r="BC112" s="530">
        <f ca="1">IFERROR(BB112/AT$4,0)</f>
        <v>0</v>
      </c>
      <c r="BD112" s="529"/>
      <c r="BE112" s="514"/>
      <c r="BF112" s="527">
        <f ca="1">SUM(BF$113)</f>
        <v>0</v>
      </c>
      <c r="BG112" s="530">
        <f t="shared" ca="1" si="1294"/>
        <v>0</v>
      </c>
      <c r="BH112" s="514"/>
      <c r="BI112" s="514"/>
      <c r="BJ112" s="527">
        <f ca="1">SUM(BJ$113)</f>
        <v>0</v>
      </c>
      <c r="BK112" s="937">
        <f t="shared" ca="1" si="1160"/>
        <v>0</v>
      </c>
      <c r="BL112" s="1007" t="str">
        <f t="shared" ca="1" si="958"/>
        <v/>
      </c>
      <c r="BM112" s="531"/>
      <c r="BN112" s="932"/>
      <c r="BO112" s="1156"/>
      <c r="BP112" s="514"/>
      <c r="BQ112" s="527">
        <f ca="1">SUM(BQ$113)</f>
        <v>0</v>
      </c>
      <c r="BR112" s="528">
        <f t="shared" ca="1" si="1098"/>
        <v>0</v>
      </c>
      <c r="BS112" s="529"/>
      <c r="BT112" s="514"/>
      <c r="BU112" s="527">
        <f ca="1">SUM(BU$113)</f>
        <v>0</v>
      </c>
      <c r="BV112" s="530">
        <f ca="1">IFERROR(BU112/BM$4,0)</f>
        <v>0</v>
      </c>
      <c r="BW112" s="529"/>
      <c r="BX112" s="514"/>
      <c r="BY112" s="527">
        <f ca="1">SUM(BY$113)</f>
        <v>0</v>
      </c>
      <c r="BZ112" s="530">
        <f t="shared" ca="1" si="1099"/>
        <v>0</v>
      </c>
      <c r="CA112" s="514"/>
      <c r="CB112" s="514"/>
      <c r="CC112" s="527">
        <f ca="1">SUM(CC$113)</f>
        <v>0</v>
      </c>
      <c r="CD112" s="937">
        <f t="shared" ca="1" si="1164"/>
        <v>0</v>
      </c>
      <c r="CE112" s="1007" t="str">
        <f t="shared" ca="1" si="959"/>
        <v/>
      </c>
      <c r="CF112" s="531"/>
      <c r="CG112" s="932"/>
      <c r="CH112" s="1156"/>
      <c r="CI112" s="514"/>
      <c r="CJ112" s="527">
        <f ca="1">SUM(CJ$113)</f>
        <v>0</v>
      </c>
      <c r="CK112" s="528">
        <f t="shared" ca="1" si="1295"/>
        <v>0</v>
      </c>
      <c r="CL112" s="529"/>
      <c r="CM112" s="514"/>
      <c r="CN112" s="527">
        <f ca="1">SUM(CN$113)</f>
        <v>0</v>
      </c>
      <c r="CO112" s="530">
        <f ca="1">IFERROR(CN112/CF$4,0)</f>
        <v>0</v>
      </c>
      <c r="CP112" s="529"/>
      <c r="CQ112" s="514"/>
      <c r="CR112" s="527">
        <f ca="1">SUM(CR$113)</f>
        <v>0</v>
      </c>
      <c r="CS112" s="530">
        <f t="shared" ca="1" si="1296"/>
        <v>0</v>
      </c>
      <c r="CT112" s="514"/>
      <c r="CU112" s="514"/>
      <c r="CV112" s="527">
        <f ca="1">SUM(CV$113)</f>
        <v>0</v>
      </c>
      <c r="CW112" s="937">
        <f t="shared" ca="1" si="1297"/>
        <v>0</v>
      </c>
      <c r="CX112" s="1007" t="str">
        <f t="shared" ca="1" si="960"/>
        <v/>
      </c>
    </row>
    <row r="113" spans="1:102" ht="12.6" hidden="1" customHeight="1" outlineLevel="1" x14ac:dyDescent="0.2">
      <c r="A113" s="535"/>
      <c r="B113" s="535"/>
      <c r="C113" s="535" t="str">
        <f ca="1">OFFSET(Origine,MATCH($F113,Descrizioni,0),MATCH(C$16,Intestazioni,0)-1,1,1)</f>
        <v>GB00B15KYH63:USD:LSS</v>
      </c>
      <c r="D113" s="536" t="str">
        <f ca="1">OFFSET(Origine,MATCH($F113,Descrizioni,0),MATCH(D$16,Intestazioni,0)-1,1,1)</f>
        <v>GB00B15KYH63</v>
      </c>
      <c r="E113" s="537" t="str">
        <f ca="1">OFFSET(Origine,MATCH($F113,Descrizioni,0),MATCH(E$16,Intestazioni,0)-1,1,1)</f>
        <v>2726117</v>
      </c>
      <c r="F113" s="535" t="s">
        <v>515</v>
      </c>
      <c r="G113" s="538"/>
      <c r="H113" s="1690" t="str">
        <f ca="1">HYPERLINK(OFFSET(Origine,MATCH($F113,Descrizioni,0),MATCH(H$16,Intestazioni,0)-1,1,1),"")</f>
        <v></v>
      </c>
      <c r="I113" s="1690" t="str">
        <f ca="1">HYPERLINK(OFFSET(Origine,MATCH($F113,Descrizioni,0),MATCH(I$16,Intestazioni,0)-1,1,1),"i")</f>
        <v>i</v>
      </c>
      <c r="J113" s="1729" t="str">
        <f ca="1">HYPERLINK(OFFSET(Origine,MATCH($F113,Descrizioni,0),MATCH(J$16,Intestazioni,0)-1,1,1),"")</f>
        <v></v>
      </c>
      <c r="K113" s="1730" t="str">
        <f ca="1">HYPERLINK(OFFSET(Origine,MATCH($F113,Descrizioni,0),MATCH(K$16,Intestazioni,0)-1,1,1),"")</f>
        <v></v>
      </c>
      <c r="L113" s="1731" t="str">
        <f ca="1">IFERROR(HYPERLINK("https://www.marketscreener.com/mods_a/charts/TV/inc_dyna_graph.php?c="&amp;OFFSET(Origine,MATCH($F113,Descrizioni,0),MATCH(L$16,Intestazioni,0)-1,1,1)&amp;"&amp;style=TradingView.CANDLES&amp;showAT=1",""),"")</f>
        <v></v>
      </c>
      <c r="M113" s="1796" t="str">
        <f ca="1">(OFFSET(Origine,MATCH($F113,Descrizioni,0),MATCH(M$16,Intestazioni,0)-1,1,1))</f>
        <v>Unit</v>
      </c>
      <c r="N113" s="1157">
        <v>0</v>
      </c>
      <c r="O113" s="1157"/>
      <c r="P113" s="540">
        <f t="shared" ca="1" si="1238"/>
        <v>0</v>
      </c>
      <c r="Q113" s="541">
        <f>SUMIF($AA$16:$CW$16,"I_Pos",$AA113:$CW113)</f>
        <v>0</v>
      </c>
      <c r="R113" s="541">
        <f ca="1">SUMIF($AA$16:$CW$16,"P_Pos",$AA113:$CW113)</f>
        <v>0</v>
      </c>
      <c r="S113" s="939"/>
      <c r="T113" s="939"/>
      <c r="U113" s="542">
        <f ca="1">OFFSET(Origine,MATCH($C113,smo_ids,0),MATCH(U$16,Intestazioni,0)-1,1,1)</f>
        <v>-1.2560184216035999E-3</v>
      </c>
      <c r="V113" s="541">
        <f>SUMIF($AA$16:$CW$16,"O_Pos",$AA113:$CW113)</f>
        <v>0</v>
      </c>
      <c r="W113" s="535" t="str">
        <f ca="1">OFFSET(Origine,MATCH($F113,Descrizioni,0),MATCH(W$16,Intestazioni,0)-1,1,1)</f>
        <v>USD</v>
      </c>
      <c r="X113" s="940">
        <f ca="1">_xlfn.NUMBERVALUE(OFFSET(Origine,MATCH($F113,Descrizioni,0),MATCH(X$16,Intestazioni,0)-1,1,1))</f>
        <v>5.9637500000000001</v>
      </c>
      <c r="Y113" s="1068">
        <f ca="1">_xlfn.NUMBERVALUE(OFFSET(Origine,MATCH($F113,Descrizioni,0),MATCH(Y$16,Intestazioni,0)-1,1,1))</f>
        <v>0</v>
      </c>
      <c r="Z113" s="1069">
        <f ca="1">_xlfn.NUMBERVALUE(OFFSET(Origine,MATCH(W113&amp;"/"&amp;MRif,LUKB_Name,0),MATCH("Price",Intestazioni,0)-1,1,1))</f>
        <v>0.86199999999999999</v>
      </c>
      <c r="AA113" s="197">
        <f>1730+-1730</f>
        <v>0</v>
      </c>
      <c r="AB113" s="312" t="str">
        <f ca="1">IFERROR($X113/AC113-1,"")</f>
        <v/>
      </c>
      <c r="AC113" s="411"/>
      <c r="AD113" s="199">
        <f ca="1">AA113*$X113</f>
        <v>0</v>
      </c>
      <c r="AE113" s="199">
        <f ca="1">AD113*$Z113</f>
        <v>0</v>
      </c>
      <c r="AF113" s="216">
        <f t="shared" ca="1" si="1291"/>
        <v>0</v>
      </c>
      <c r="AG113" s="202">
        <f ca="1">AH113/$X113</f>
        <v>0</v>
      </c>
      <c r="AH113" s="203">
        <f ca="1">AI113/$Z113</f>
        <v>0</v>
      </c>
      <c r="AI113" s="203">
        <f ca="1">AJ113*AA$4</f>
        <v>0</v>
      </c>
      <c r="AJ113" s="204">
        <f ca="1">$N113-AF113</f>
        <v>0</v>
      </c>
      <c r="AK113" s="205"/>
      <c r="AL113" s="206">
        <f ca="1">AK113*$X113</f>
        <v>0</v>
      </c>
      <c r="AM113" s="206">
        <f ca="1">AL113*$Z113</f>
        <v>0</v>
      </c>
      <c r="AN113" s="207">
        <f t="shared" ca="1" si="1292"/>
        <v>0</v>
      </c>
      <c r="AO113" s="541">
        <f>AA113+AK113</f>
        <v>0</v>
      </c>
      <c r="AP113" s="541">
        <f t="shared" ca="1" si="1096"/>
        <v>0</v>
      </c>
      <c r="AQ113" s="541">
        <f ca="1">AP113*$Z113</f>
        <v>0</v>
      </c>
      <c r="AR113" s="918">
        <f t="shared" ca="1" si="1159"/>
        <v>0</v>
      </c>
      <c r="AS113" s="1007" t="str">
        <f t="shared" ca="1" si="957"/>
        <v/>
      </c>
      <c r="AT113" s="197">
        <f>3000+-3000</f>
        <v>0</v>
      </c>
      <c r="AU113" s="312" t="str">
        <f ca="1">IFERROR($X113/AV113-1,"")</f>
        <v/>
      </c>
      <c r="AV113" s="411"/>
      <c r="AW113" s="199">
        <f ca="1">AT113*$X113</f>
        <v>0</v>
      </c>
      <c r="AX113" s="199">
        <f ca="1">AW113*$Z113</f>
        <v>0</v>
      </c>
      <c r="AY113" s="216">
        <f t="shared" ca="1" si="1293"/>
        <v>0</v>
      </c>
      <c r="AZ113" s="202">
        <f ca="1">BA113/$X113</f>
        <v>0</v>
      </c>
      <c r="BA113" s="203">
        <f ca="1">BB113/$Z113</f>
        <v>0</v>
      </c>
      <c r="BB113" s="203">
        <f ca="1">BC113*AT$4</f>
        <v>0</v>
      </c>
      <c r="BC113" s="204">
        <f ca="1">$N113-AY113</f>
        <v>0</v>
      </c>
      <c r="BD113" s="205"/>
      <c r="BE113" s="206">
        <f ca="1">BD113*$X113</f>
        <v>0</v>
      </c>
      <c r="BF113" s="206">
        <f ca="1">BE113*$Z113</f>
        <v>0</v>
      </c>
      <c r="BG113" s="207">
        <f t="shared" ca="1" si="1294"/>
        <v>0</v>
      </c>
      <c r="BH113" s="541">
        <f>AT113+BD113</f>
        <v>0</v>
      </c>
      <c r="BI113" s="541">
        <f t="shared" ca="1" si="1097"/>
        <v>0</v>
      </c>
      <c r="BJ113" s="541">
        <f ca="1">BI113*$Z113</f>
        <v>0</v>
      </c>
      <c r="BK113" s="918">
        <f t="shared" ca="1" si="1160"/>
        <v>0</v>
      </c>
      <c r="BL113" s="1007" t="str">
        <f t="shared" ca="1" si="958"/>
        <v/>
      </c>
      <c r="BM113" s="197">
        <f>1620+-1620</f>
        <v>0</v>
      </c>
      <c r="BN113" s="312" t="str">
        <f ca="1">IFERROR($X113/BO113-1,"")</f>
        <v/>
      </c>
      <c r="BO113" s="411"/>
      <c r="BP113" s="199">
        <f ca="1">BM113*$X113</f>
        <v>0</v>
      </c>
      <c r="BQ113" s="199">
        <f ca="1">BP113*$Z113</f>
        <v>0</v>
      </c>
      <c r="BR113" s="216">
        <f t="shared" ca="1" si="1098"/>
        <v>0</v>
      </c>
      <c r="BS113" s="202">
        <f ca="1">BT113/$X113</f>
        <v>0</v>
      </c>
      <c r="BT113" s="203">
        <f ca="1">BU113/$Z113</f>
        <v>0</v>
      </c>
      <c r="BU113" s="203">
        <f ca="1">BV113*BM$4</f>
        <v>0</v>
      </c>
      <c r="BV113" s="204">
        <f ca="1">$N113-BR113</f>
        <v>0</v>
      </c>
      <c r="BW113" s="205"/>
      <c r="BX113" s="206">
        <f ca="1">BW113*$X113</f>
        <v>0</v>
      </c>
      <c r="BY113" s="206">
        <f ca="1">BX113*$Z113</f>
        <v>0</v>
      </c>
      <c r="BZ113" s="207">
        <f t="shared" ca="1" si="1099"/>
        <v>0</v>
      </c>
      <c r="CA113" s="541">
        <f>BM113+BW113</f>
        <v>0</v>
      </c>
      <c r="CB113" s="541">
        <f t="shared" ca="1" si="1100"/>
        <v>0</v>
      </c>
      <c r="CC113" s="541">
        <f ca="1">CB113*$Z113</f>
        <v>0</v>
      </c>
      <c r="CD113" s="918">
        <f t="shared" ca="1" si="1164"/>
        <v>0</v>
      </c>
      <c r="CE113" s="1007" t="str">
        <f t="shared" ca="1" si="959"/>
        <v/>
      </c>
      <c r="CF113" s="197"/>
      <c r="CG113" s="312" t="str">
        <f ca="1">IFERROR($X113/CH113-1,"")</f>
        <v/>
      </c>
      <c r="CH113" s="411"/>
      <c r="CI113" s="199">
        <f ca="1">CF113*$X113</f>
        <v>0</v>
      </c>
      <c r="CJ113" s="199">
        <f ca="1">CI113*$Z113</f>
        <v>0</v>
      </c>
      <c r="CK113" s="216">
        <f t="shared" ca="1" si="1295"/>
        <v>0</v>
      </c>
      <c r="CL113" s="202">
        <f ca="1">CM113/$X113</f>
        <v>0</v>
      </c>
      <c r="CM113" s="203">
        <f ca="1">CN113/$Z113</f>
        <v>0</v>
      </c>
      <c r="CN113" s="203">
        <f ca="1">CO113*CF$4</f>
        <v>0</v>
      </c>
      <c r="CO113" s="204">
        <f ca="1">$O113-CK113</f>
        <v>0</v>
      </c>
      <c r="CP113" s="205"/>
      <c r="CQ113" s="206">
        <f ca="1">CP113*$X113</f>
        <v>0</v>
      </c>
      <c r="CR113" s="206">
        <f ca="1">CQ113*$Z113</f>
        <v>0</v>
      </c>
      <c r="CS113" s="207">
        <f t="shared" ca="1" si="1296"/>
        <v>0</v>
      </c>
      <c r="CT113" s="541">
        <f>CF113+CP113</f>
        <v>0</v>
      </c>
      <c r="CU113" s="541">
        <f t="shared" ca="1" si="1101"/>
        <v>0</v>
      </c>
      <c r="CV113" s="541">
        <f ca="1">CU113*$Z113</f>
        <v>0</v>
      </c>
      <c r="CW113" s="918">
        <f t="shared" ca="1" si="1297"/>
        <v>0</v>
      </c>
      <c r="CX113" s="1007" t="str">
        <f t="shared" ca="1" si="960"/>
        <v/>
      </c>
    </row>
    <row r="114" spans="1:102" collapsed="1" x14ac:dyDescent="0.2">
      <c r="A114" s="514"/>
      <c r="B114" s="514" t="s">
        <v>481</v>
      </c>
      <c r="C114" s="514"/>
      <c r="D114" s="1159"/>
      <c r="E114" s="516"/>
      <c r="F114" s="514"/>
      <c r="G114" s="517"/>
      <c r="H114" s="1807"/>
      <c r="I114" s="1807"/>
      <c r="J114" s="1807"/>
      <c r="K114" s="1807"/>
      <c r="L114" s="1807"/>
      <c r="M114" s="1795"/>
      <c r="N114" s="1155">
        <f>SUM(N115:N116)</f>
        <v>0</v>
      </c>
      <c r="O114" s="1155"/>
      <c r="P114" s="519">
        <f t="shared" ca="1" si="1238"/>
        <v>0</v>
      </c>
      <c r="Q114" s="520"/>
      <c r="R114" s="520"/>
      <c r="S114" s="1154" t="s">
        <v>718</v>
      </c>
      <c r="T114" s="1154"/>
      <c r="U114" s="521"/>
      <c r="V114" s="520">
        <f>COUNTIF(V116,"&lt;&gt;0")</f>
        <v>0</v>
      </c>
      <c r="W114" s="514"/>
      <c r="X114" s="930"/>
      <c r="Y114" s="930"/>
      <c r="Z114" s="1064"/>
      <c r="AA114" s="531"/>
      <c r="AB114" s="932"/>
      <c r="AC114" s="1156"/>
      <c r="AD114" s="514"/>
      <c r="AE114" s="527">
        <f ca="1">SUM(AE$115:AE$116)</f>
        <v>0</v>
      </c>
      <c r="AF114" s="528">
        <f t="shared" ca="1" si="1291"/>
        <v>0</v>
      </c>
      <c r="AG114" s="529"/>
      <c r="AH114" s="514"/>
      <c r="AI114" s="527">
        <f ca="1">SUM(AI$115:AI$116)</f>
        <v>0</v>
      </c>
      <c r="AJ114" s="530">
        <f ca="1">IFERROR(AI114/AA$4,0)</f>
        <v>0</v>
      </c>
      <c r="AK114" s="529"/>
      <c r="AL114" s="514"/>
      <c r="AM114" s="527">
        <f ca="1">SUM(AM$115:AM$116)</f>
        <v>0</v>
      </c>
      <c r="AN114" s="530">
        <f t="shared" ca="1" si="1292"/>
        <v>0</v>
      </c>
      <c r="AO114" s="514"/>
      <c r="AP114" s="514"/>
      <c r="AQ114" s="527">
        <f ca="1">SUM(AQ$115:AQ$116)</f>
        <v>0</v>
      </c>
      <c r="AR114" s="937">
        <f t="shared" ca="1" si="1159"/>
        <v>0</v>
      </c>
      <c r="AS114" s="1007" t="str">
        <f t="shared" ca="1" si="957"/>
        <v/>
      </c>
      <c r="AT114" s="531"/>
      <c r="AU114" s="932"/>
      <c r="AV114" s="1156"/>
      <c r="AW114" s="514"/>
      <c r="AX114" s="527">
        <f ca="1">SUM(AX$115:AX$116)</f>
        <v>0</v>
      </c>
      <c r="AY114" s="528">
        <f t="shared" ca="1" si="1293"/>
        <v>0</v>
      </c>
      <c r="AZ114" s="529"/>
      <c r="BA114" s="514"/>
      <c r="BB114" s="527">
        <f ca="1">SUM(BB$115:BB$116)</f>
        <v>0</v>
      </c>
      <c r="BC114" s="530">
        <f ca="1">IFERROR(BB114/AT$4,0)</f>
        <v>0</v>
      </c>
      <c r="BD114" s="529"/>
      <c r="BE114" s="514"/>
      <c r="BF114" s="527">
        <f ca="1">SUM(BF$115:BF$116)</f>
        <v>0</v>
      </c>
      <c r="BG114" s="530">
        <f t="shared" ca="1" si="1294"/>
        <v>0</v>
      </c>
      <c r="BH114" s="514"/>
      <c r="BI114" s="514"/>
      <c r="BJ114" s="527">
        <f ca="1">SUM(BJ$115:BJ$116)</f>
        <v>0</v>
      </c>
      <c r="BK114" s="937">
        <f t="shared" ca="1" si="1160"/>
        <v>0</v>
      </c>
      <c r="BL114" s="1007" t="str">
        <f t="shared" ca="1" si="958"/>
        <v/>
      </c>
      <c r="BM114" s="531"/>
      <c r="BN114" s="932"/>
      <c r="BO114" s="1156"/>
      <c r="BP114" s="514"/>
      <c r="BQ114" s="527">
        <f ca="1">SUM(BQ$115:BQ$116)</f>
        <v>0</v>
      </c>
      <c r="BR114" s="528">
        <f t="shared" ca="1" si="1098"/>
        <v>0</v>
      </c>
      <c r="BS114" s="529"/>
      <c r="BT114" s="514"/>
      <c r="BU114" s="527">
        <f ca="1">SUM(BU$115:BU$116)</f>
        <v>0</v>
      </c>
      <c r="BV114" s="530">
        <f ca="1">IFERROR(BU114/BM$4,0)</f>
        <v>0</v>
      </c>
      <c r="BW114" s="529"/>
      <c r="BX114" s="514"/>
      <c r="BY114" s="527">
        <f ca="1">SUM(BY$115:BY$116)</f>
        <v>0</v>
      </c>
      <c r="BZ114" s="530">
        <f t="shared" ca="1" si="1099"/>
        <v>0</v>
      </c>
      <c r="CA114" s="514"/>
      <c r="CB114" s="514"/>
      <c r="CC114" s="527">
        <f ca="1">SUM(CC$115:CC$116)</f>
        <v>0</v>
      </c>
      <c r="CD114" s="937">
        <f t="shared" ca="1" si="1164"/>
        <v>0</v>
      </c>
      <c r="CE114" s="1007" t="str">
        <f t="shared" ca="1" si="959"/>
        <v/>
      </c>
      <c r="CF114" s="531"/>
      <c r="CG114" s="932"/>
      <c r="CH114" s="1156"/>
      <c r="CI114" s="514"/>
      <c r="CJ114" s="527">
        <f ca="1">SUM(CJ$115:CJ$116)</f>
        <v>0</v>
      </c>
      <c r="CK114" s="528">
        <f t="shared" ca="1" si="1295"/>
        <v>0</v>
      </c>
      <c r="CL114" s="529"/>
      <c r="CM114" s="514"/>
      <c r="CN114" s="527">
        <f ca="1">SUM(CN$115:CN$116)</f>
        <v>0</v>
      </c>
      <c r="CO114" s="530">
        <f ca="1">IFERROR(CN114/CF$4,0)</f>
        <v>0</v>
      </c>
      <c r="CP114" s="529"/>
      <c r="CQ114" s="514"/>
      <c r="CR114" s="527">
        <f ca="1">SUM(CR$115:CR$116)</f>
        <v>0</v>
      </c>
      <c r="CS114" s="530">
        <f t="shared" ca="1" si="1296"/>
        <v>0</v>
      </c>
      <c r="CT114" s="514"/>
      <c r="CU114" s="514"/>
      <c r="CV114" s="527">
        <f ca="1">SUM(CV$115:CV$116)</f>
        <v>0</v>
      </c>
      <c r="CW114" s="937">
        <f t="shared" ca="1" si="1297"/>
        <v>0</v>
      </c>
      <c r="CX114" s="1007" t="str">
        <f t="shared" ca="1" si="960"/>
        <v/>
      </c>
    </row>
    <row r="115" spans="1:102" ht="12.6" hidden="1" customHeight="1" outlineLevel="1" x14ac:dyDescent="0.2">
      <c r="A115" s="535"/>
      <c r="B115" s="535"/>
      <c r="C115" s="535" t="str">
        <f t="shared" ref="C115:E116" ca="1" si="1298">OFFSET(Origine,MATCH($F115,Descrizioni,0),MATCH(C$16,Intestazioni,0)-1,1,1)</f>
        <v>US5007676787:USD</v>
      </c>
      <c r="D115" s="536" t="str">
        <f t="shared" ca="1" si="1298"/>
        <v>US5007676787</v>
      </c>
      <c r="E115" s="537" t="str">
        <f t="shared" ca="1" si="1298"/>
        <v>55988416</v>
      </c>
      <c r="F115" s="535" t="s">
        <v>482</v>
      </c>
      <c r="G115" s="538"/>
      <c r="H115" s="1690" t="str">
        <f ca="1">HYPERLINK(OFFSET(Origine,MATCH($F115,Descrizioni,0),MATCH(H$16,Intestazioni,0)-1,1,1),"")</f>
        <v></v>
      </c>
      <c r="I115" s="1690" t="str">
        <f ca="1">HYPERLINK(OFFSET(Origine,MATCH($F115,Descrizioni,0),MATCH(I$16,Intestazioni,0)-1,1,1),"i")</f>
        <v>i</v>
      </c>
      <c r="J115" s="1729" t="str">
        <f ca="1">HYPERLINK(OFFSET(Origine,MATCH($F115,Descrizioni,0),MATCH(J$16,Intestazioni,0)-1,1,1),"")</f>
        <v></v>
      </c>
      <c r="K115" s="1730" t="str">
        <f ca="1">HYPERLINK(OFFSET(Origine,MATCH($F115,Descrizioni,0),MATCH(K$16,Intestazioni,0)-1,1,1),"")</f>
        <v></v>
      </c>
      <c r="L115" s="1731" t="str">
        <f ca="1">IFERROR(HYPERLINK("https://www.marketscreener.com/mods_a/charts/TV/inc_dyna_graph.php?c="&amp;OFFSET(Origine,MATCH($F115,Descrizioni,0),MATCH(L$16,Intestazioni,0)-1,1,1)&amp;"&amp;style=TradingView.CANDLES&amp;showAT=1",""),"")</f>
        <v></v>
      </c>
      <c r="M115" s="1796" t="str">
        <f ca="1">(OFFSET(Origine,MATCH($F115,Descrizioni,0),MATCH(M$16,Intestazioni,0)-1,1,1))</f>
        <v>Unit</v>
      </c>
      <c r="N115" s="1157"/>
      <c r="O115" s="1157"/>
      <c r="P115" s="540">
        <f t="shared" ca="1" si="1238"/>
        <v>0</v>
      </c>
      <c r="Q115" s="541">
        <f>SUMIF($AA$16:$CW$16,"I_Pos",$AA115:$CW115)</f>
        <v>0</v>
      </c>
      <c r="R115" s="541">
        <f ca="1">SUMIF($AA$16:$CW$16,"P_Pos",$AA115:$CW115)</f>
        <v>0</v>
      </c>
      <c r="S115" s="939"/>
      <c r="T115" s="939"/>
      <c r="U115" s="542">
        <f ca="1">OFFSET(Origine,MATCH($C115,smo_ids,0),MATCH(U$16,Intestazioni,0)-1,1,1)</f>
        <v>1.6687095675859801E-2</v>
      </c>
      <c r="V115" s="541">
        <f>SUMIF($AA$16:$CW$16,"O_Pos",$AA115:$CW115)</f>
        <v>0</v>
      </c>
      <c r="W115" s="535" t="str">
        <f ca="1">OFFSET(Origine,MATCH($F115,Descrizioni,0),MATCH(W$16,Intestazioni,0)-1,1,1)</f>
        <v>USD</v>
      </c>
      <c r="X115" s="940">
        <f ca="1">_xlfn.NUMBERVALUE(OFFSET(Origine,MATCH($F115,Descrizioni,0),MATCH(X$16,Intestazioni,0)-1,1,1))</f>
        <v>29.860099999999999</v>
      </c>
      <c r="Y115" s="1068">
        <f ca="1">_xlfn.NUMBERVALUE(OFFSET(Origine,MATCH($F115,Descrizioni,0),MATCH(Y$16,Intestazioni,0)-1,1,1))</f>
        <v>0</v>
      </c>
      <c r="Z115" s="1069">
        <f ca="1">_xlfn.NUMBERVALUE(OFFSET(Origine,MATCH(W115&amp;"/"&amp;MRif,LUKB_Name,0),MATCH("Price",Intestazioni,0)-1,1,1))</f>
        <v>0.86199999999999999</v>
      </c>
      <c r="AA115" s="197"/>
      <c r="AB115" s="312" t="str">
        <f ca="1">IFERROR($X115/AC115-1,"")</f>
        <v/>
      </c>
      <c r="AC115" s="411"/>
      <c r="AD115" s="199">
        <f ca="1">AA115*$X115</f>
        <v>0</v>
      </c>
      <c r="AE115" s="199">
        <f ca="1">AD115*$Z115</f>
        <v>0</v>
      </c>
      <c r="AF115" s="216">
        <f t="shared" ca="1" si="1291"/>
        <v>0</v>
      </c>
      <c r="AG115" s="202">
        <f ca="1">AH115/$X115</f>
        <v>0</v>
      </c>
      <c r="AH115" s="203">
        <f ca="1">AI115/$Z115</f>
        <v>0</v>
      </c>
      <c r="AI115" s="203">
        <f ca="1">AJ115*AA$4</f>
        <v>0</v>
      </c>
      <c r="AJ115" s="204">
        <f ca="1">$N115-AF115</f>
        <v>0</v>
      </c>
      <c r="AK115" s="205"/>
      <c r="AL115" s="206">
        <f ca="1">AK115*$X115</f>
        <v>0</v>
      </c>
      <c r="AM115" s="206">
        <f ca="1">AL115*$Z115</f>
        <v>0</v>
      </c>
      <c r="AN115" s="207">
        <f t="shared" ca="1" si="1292"/>
        <v>0</v>
      </c>
      <c r="AO115" s="541">
        <f>AA115+AK115</f>
        <v>0</v>
      </c>
      <c r="AP115" s="541">
        <f t="shared" ca="1" si="1096"/>
        <v>0</v>
      </c>
      <c r="AQ115" s="541">
        <f ca="1">AP115*$Z115</f>
        <v>0</v>
      </c>
      <c r="AR115" s="918">
        <f t="shared" ca="1" si="1159"/>
        <v>0</v>
      </c>
      <c r="AS115" s="1007" t="str">
        <f t="shared" ca="1" si="957"/>
        <v/>
      </c>
      <c r="AT115" s="197"/>
      <c r="AU115" s="312" t="str">
        <f ca="1">IFERROR($X115/AV115-1,"")</f>
        <v/>
      </c>
      <c r="AV115" s="411"/>
      <c r="AW115" s="199">
        <f ca="1">AT115*$X115</f>
        <v>0</v>
      </c>
      <c r="AX115" s="199">
        <f ca="1">AW115*$Z115</f>
        <v>0</v>
      </c>
      <c r="AY115" s="216">
        <f t="shared" ca="1" si="1293"/>
        <v>0</v>
      </c>
      <c r="AZ115" s="202">
        <f ca="1">BA115/$X115</f>
        <v>0</v>
      </c>
      <c r="BA115" s="203">
        <f ca="1">BB115/$Z115</f>
        <v>0</v>
      </c>
      <c r="BB115" s="203">
        <f ca="1">BC115*AT$4</f>
        <v>0</v>
      </c>
      <c r="BC115" s="204">
        <f ca="1">$N115-AY115</f>
        <v>0</v>
      </c>
      <c r="BD115" s="205"/>
      <c r="BE115" s="206">
        <f ca="1">BD115*$X115</f>
        <v>0</v>
      </c>
      <c r="BF115" s="206">
        <f ca="1">BE115*$Z115</f>
        <v>0</v>
      </c>
      <c r="BG115" s="207">
        <f t="shared" ca="1" si="1294"/>
        <v>0</v>
      </c>
      <c r="BH115" s="541">
        <f>AT115+BD115</f>
        <v>0</v>
      </c>
      <c r="BI115" s="541">
        <f t="shared" ca="1" si="1097"/>
        <v>0</v>
      </c>
      <c r="BJ115" s="541">
        <f ca="1">BI115*$Z115</f>
        <v>0</v>
      </c>
      <c r="BK115" s="918">
        <f t="shared" ca="1" si="1160"/>
        <v>0</v>
      </c>
      <c r="BL115" s="1007" t="str">
        <f t="shared" ca="1" si="958"/>
        <v/>
      </c>
      <c r="BM115" s="197"/>
      <c r="BN115" s="312" t="str">
        <f ca="1">IFERROR($X115/BO115-1,"")</f>
        <v/>
      </c>
      <c r="BO115" s="411"/>
      <c r="BP115" s="199">
        <f ca="1">BM115*$X115</f>
        <v>0</v>
      </c>
      <c r="BQ115" s="199">
        <f ca="1">BP115*$Z115</f>
        <v>0</v>
      </c>
      <c r="BR115" s="216">
        <f t="shared" ca="1" si="1098"/>
        <v>0</v>
      </c>
      <c r="BS115" s="202">
        <f ca="1">BT115/$X115</f>
        <v>0</v>
      </c>
      <c r="BT115" s="203">
        <f ca="1">BU115/$Z115</f>
        <v>0</v>
      </c>
      <c r="BU115" s="203">
        <f ca="1">BV115*BM$4</f>
        <v>0</v>
      </c>
      <c r="BV115" s="204">
        <f ca="1">$N115-BR115</f>
        <v>0</v>
      </c>
      <c r="BW115" s="205"/>
      <c r="BX115" s="206">
        <f ca="1">BW115*$X115</f>
        <v>0</v>
      </c>
      <c r="BY115" s="206">
        <f ca="1">BX115*$Z115</f>
        <v>0</v>
      </c>
      <c r="BZ115" s="207">
        <f t="shared" ca="1" si="1099"/>
        <v>0</v>
      </c>
      <c r="CA115" s="541">
        <f>BM115+BW115</f>
        <v>0</v>
      </c>
      <c r="CB115" s="541">
        <f t="shared" ca="1" si="1100"/>
        <v>0</v>
      </c>
      <c r="CC115" s="541">
        <f ca="1">CB115*$Z115</f>
        <v>0</v>
      </c>
      <c r="CD115" s="918">
        <f t="shared" ca="1" si="1164"/>
        <v>0</v>
      </c>
      <c r="CE115" s="1007" t="str">
        <f t="shared" ca="1" si="959"/>
        <v/>
      </c>
      <c r="CF115" s="197"/>
      <c r="CG115" s="312" t="str">
        <f ca="1">IFERROR($X115/CH115-1,"")</f>
        <v/>
      </c>
      <c r="CH115" s="411"/>
      <c r="CI115" s="199">
        <f ca="1">CF115*$X115</f>
        <v>0</v>
      </c>
      <c r="CJ115" s="199">
        <f ca="1">CI115*$Z115</f>
        <v>0</v>
      </c>
      <c r="CK115" s="216">
        <f t="shared" ca="1" si="1295"/>
        <v>0</v>
      </c>
      <c r="CL115" s="202">
        <f ca="1">CM115/$X115</f>
        <v>0</v>
      </c>
      <c r="CM115" s="203">
        <f ca="1">CN115/$Z115</f>
        <v>0</v>
      </c>
      <c r="CN115" s="203">
        <f ca="1">CO115*CF$4</f>
        <v>0</v>
      </c>
      <c r="CO115" s="204">
        <f ca="1">$O115-CK115</f>
        <v>0</v>
      </c>
      <c r="CP115" s="205"/>
      <c r="CQ115" s="206">
        <f ca="1">CP115*$X115</f>
        <v>0</v>
      </c>
      <c r="CR115" s="206">
        <f ca="1">CQ115*$Z115</f>
        <v>0</v>
      </c>
      <c r="CS115" s="207">
        <f t="shared" ca="1" si="1296"/>
        <v>0</v>
      </c>
      <c r="CT115" s="541">
        <f>CF115+CP115</f>
        <v>0</v>
      </c>
      <c r="CU115" s="541">
        <f t="shared" ca="1" si="1101"/>
        <v>0</v>
      </c>
      <c r="CV115" s="541">
        <f ca="1">CU115*$Z115</f>
        <v>0</v>
      </c>
      <c r="CW115" s="918">
        <f t="shared" ca="1" si="1297"/>
        <v>0</v>
      </c>
      <c r="CX115" s="1007" t="str">
        <f t="shared" ca="1" si="960"/>
        <v/>
      </c>
    </row>
    <row r="116" spans="1:102" ht="12.6" hidden="1" customHeight="1" outlineLevel="1" x14ac:dyDescent="0.2">
      <c r="A116" s="535"/>
      <c r="B116" s="535"/>
      <c r="C116" s="535" t="str">
        <f t="shared" ca="1" si="1298"/>
        <v>GB00B15KYB02:USD:LSS</v>
      </c>
      <c r="D116" s="536" t="str">
        <f t="shared" ca="1" si="1298"/>
        <v>GB00B15KYB02</v>
      </c>
      <c r="E116" s="537" t="str">
        <f t="shared" ca="1" si="1298"/>
        <v>2726105</v>
      </c>
      <c r="F116" s="535" t="s">
        <v>541</v>
      </c>
      <c r="G116" s="538"/>
      <c r="H116" s="1690" t="str">
        <f ca="1">HYPERLINK(OFFSET(Origine,MATCH($F116,Descrizioni,0),MATCH(H$16,Intestazioni,0)-1,1,1),"")</f>
        <v></v>
      </c>
      <c r="I116" s="1690" t="str">
        <f ca="1">HYPERLINK(OFFSET(Origine,MATCH($F116,Descrizioni,0),MATCH(I$16,Intestazioni,0)-1,1,1),"i")</f>
        <v>i</v>
      </c>
      <c r="J116" s="1729" t="str">
        <f ca="1">HYPERLINK(OFFSET(Origine,MATCH($F116,Descrizioni,0),MATCH(J$16,Intestazioni,0)-1,1,1),"")</f>
        <v></v>
      </c>
      <c r="K116" s="1730" t="str">
        <f ca="1">HYPERLINK(OFFSET(Origine,MATCH($F116,Descrizioni,0),MATCH(K$16,Intestazioni,0)-1,1,1),"")</f>
        <v></v>
      </c>
      <c r="L116" s="1731" t="str">
        <f ca="1">IFERROR(HYPERLINK("https://www.marketscreener.com/mods_a/charts/TV/inc_dyna_graph.php?c="&amp;OFFSET(Origine,MATCH($F116,Descrizioni,0),MATCH(L$16,Intestazioni,0)-1,1,1)&amp;"&amp;style=TradingView.CANDLES&amp;showAT=1",""),"")</f>
        <v></v>
      </c>
      <c r="M116" s="1796" t="str">
        <f ca="1">(OFFSET(Origine,MATCH($F116,Descrizioni,0),MATCH(M$16,Intestazioni,0)-1,1,1))</f>
        <v>Unit</v>
      </c>
      <c r="N116" s="1157"/>
      <c r="O116" s="1157"/>
      <c r="P116" s="540">
        <f t="shared" ca="1" si="1238"/>
        <v>0</v>
      </c>
      <c r="Q116" s="541">
        <f>SUMIF($AA$16:$CW$16,"I_Pos",$AA116:$CW116)</f>
        <v>0</v>
      </c>
      <c r="R116" s="541">
        <f ca="1">SUMIF($AA$16:$CW$16,"P_Pos",$AA116:$CW116)</f>
        <v>0</v>
      </c>
      <c r="S116" s="939"/>
      <c r="T116" s="939"/>
      <c r="U116" s="542">
        <f ca="1">OFFSET(Origine,MATCH($C116,smo_ids,0),MATCH(U$16,Intestazioni,0)-1,1,1)</f>
        <v>7.0912841670964608E-2</v>
      </c>
      <c r="V116" s="541">
        <f>SUMIF($AA$16:$CW$16,"O_Pos",$AA116:$CW116)</f>
        <v>0</v>
      </c>
      <c r="W116" s="535" t="str">
        <f ca="1">OFFSET(Origine,MATCH($F116,Descrizioni,0),MATCH(W$16,Intestazioni,0)-1,1,1)</f>
        <v>USD</v>
      </c>
      <c r="X116" s="940">
        <f ca="1">_xlfn.NUMBERVALUE(OFFSET(Origine,MATCH($F116,Descrizioni,0),MATCH(X$16,Intestazioni,0)-1,1,1))</f>
        <v>4.1529999999999996</v>
      </c>
      <c r="Y116" s="1068">
        <f ca="1">_xlfn.NUMBERVALUE(OFFSET(Origine,MATCH($F116,Descrizioni,0),MATCH(Y$16,Intestazioni,0)-1,1,1))</f>
        <v>0</v>
      </c>
      <c r="Z116" s="1069">
        <f ca="1">_xlfn.NUMBERVALUE(OFFSET(Origine,MATCH(W116&amp;"/"&amp;MRif,LUKB_Name,0),MATCH("Price",Intestazioni,0)-1,1,1))</f>
        <v>0.86199999999999999</v>
      </c>
      <c r="AA116" s="197">
        <f>2000+-2000+3350+-3350</f>
        <v>0</v>
      </c>
      <c r="AB116" s="312" t="str">
        <f ca="1">IFERROR($X116/AC116-1,"")</f>
        <v/>
      </c>
      <c r="AC116" s="411"/>
      <c r="AD116" s="199">
        <f ca="1">AA116*$X116</f>
        <v>0</v>
      </c>
      <c r="AE116" s="199">
        <f ca="1">AD116*$Z116</f>
        <v>0</v>
      </c>
      <c r="AF116" s="216">
        <f t="shared" ca="1" si="1291"/>
        <v>0</v>
      </c>
      <c r="AG116" s="202">
        <f ca="1">AH116/$X116</f>
        <v>0</v>
      </c>
      <c r="AH116" s="203">
        <f ca="1">AI116/$Z116</f>
        <v>0</v>
      </c>
      <c r="AI116" s="203">
        <f ca="1">AJ116*AA$4</f>
        <v>0</v>
      </c>
      <c r="AJ116" s="204">
        <f ca="1">$N116-AF116</f>
        <v>0</v>
      </c>
      <c r="AK116" s="205"/>
      <c r="AL116" s="206">
        <f ca="1">AK116*$X116</f>
        <v>0</v>
      </c>
      <c r="AM116" s="206">
        <f ca="1">AL116*$Z116</f>
        <v>0</v>
      </c>
      <c r="AN116" s="207">
        <f t="shared" ca="1" si="1292"/>
        <v>0</v>
      </c>
      <c r="AO116" s="541">
        <f>AA116+AK116</f>
        <v>0</v>
      </c>
      <c r="AP116" s="541">
        <f t="shared" ca="1" si="1096"/>
        <v>0</v>
      </c>
      <c r="AQ116" s="541">
        <f ca="1">AP116*$Z116</f>
        <v>0</v>
      </c>
      <c r="AR116" s="918">
        <f t="shared" ca="1" si="1159"/>
        <v>0</v>
      </c>
      <c r="AS116" s="1007" t="str">
        <f t="shared" ca="1" si="957"/>
        <v/>
      </c>
      <c r="AT116" s="197">
        <f>5870+-5870</f>
        <v>0</v>
      </c>
      <c r="AU116" s="312" t="str">
        <f ca="1">IFERROR($X116/AV116-1,"")</f>
        <v/>
      </c>
      <c r="AV116" s="411"/>
      <c r="AW116" s="199">
        <f ca="1">AT116*$X116</f>
        <v>0</v>
      </c>
      <c r="AX116" s="199">
        <f ca="1">AW116*$Z116</f>
        <v>0</v>
      </c>
      <c r="AY116" s="216">
        <f t="shared" ca="1" si="1293"/>
        <v>0</v>
      </c>
      <c r="AZ116" s="202">
        <f ca="1">BA116/$X116</f>
        <v>0</v>
      </c>
      <c r="BA116" s="203">
        <f ca="1">BB116/$Z116</f>
        <v>0</v>
      </c>
      <c r="BB116" s="203">
        <f ca="1">BC116*AT$4</f>
        <v>0</v>
      </c>
      <c r="BC116" s="204">
        <f ca="1">$N116-AY116</f>
        <v>0</v>
      </c>
      <c r="BD116" s="205"/>
      <c r="BE116" s="206">
        <f ca="1">BD116*$X116</f>
        <v>0</v>
      </c>
      <c r="BF116" s="206">
        <f ca="1">BE116*$Z116</f>
        <v>0</v>
      </c>
      <c r="BG116" s="207">
        <f t="shared" ca="1" si="1294"/>
        <v>0</v>
      </c>
      <c r="BH116" s="541">
        <f>AT116+BD116</f>
        <v>0</v>
      </c>
      <c r="BI116" s="541">
        <f t="shared" ca="1" si="1097"/>
        <v>0</v>
      </c>
      <c r="BJ116" s="541">
        <f ca="1">BI116*$Z116</f>
        <v>0</v>
      </c>
      <c r="BK116" s="918">
        <f t="shared" ca="1" si="1160"/>
        <v>0</v>
      </c>
      <c r="BL116" s="1007" t="str">
        <f t="shared" ca="1" si="958"/>
        <v/>
      </c>
      <c r="BM116" s="197">
        <f>3115+-3115</f>
        <v>0</v>
      </c>
      <c r="BN116" s="312" t="str">
        <f ca="1">IFERROR($X116/BO116-1,"")</f>
        <v/>
      </c>
      <c r="BO116" s="411"/>
      <c r="BP116" s="199">
        <f ca="1">BM116*$X116</f>
        <v>0</v>
      </c>
      <c r="BQ116" s="199">
        <f ca="1">BP116*$Z116</f>
        <v>0</v>
      </c>
      <c r="BR116" s="216">
        <f t="shared" ca="1" si="1098"/>
        <v>0</v>
      </c>
      <c r="BS116" s="202">
        <f ca="1">BT116/$X116</f>
        <v>0</v>
      </c>
      <c r="BT116" s="203">
        <f ca="1">BU116/$Z116</f>
        <v>0</v>
      </c>
      <c r="BU116" s="203">
        <f ca="1">BV116*BM$4</f>
        <v>0</v>
      </c>
      <c r="BV116" s="204">
        <f ca="1">$N116-BR116</f>
        <v>0</v>
      </c>
      <c r="BW116" s="205"/>
      <c r="BX116" s="206">
        <f ca="1">BW116*$X116</f>
        <v>0</v>
      </c>
      <c r="BY116" s="206">
        <f ca="1">BX116*$Z116</f>
        <v>0</v>
      </c>
      <c r="BZ116" s="207">
        <f t="shared" ca="1" si="1099"/>
        <v>0</v>
      </c>
      <c r="CA116" s="541">
        <f>BM116+BW116</f>
        <v>0</v>
      </c>
      <c r="CB116" s="541">
        <f t="shared" ca="1" si="1100"/>
        <v>0</v>
      </c>
      <c r="CC116" s="541">
        <f ca="1">CB116*$Z116</f>
        <v>0</v>
      </c>
      <c r="CD116" s="918">
        <f t="shared" ca="1" si="1164"/>
        <v>0</v>
      </c>
      <c r="CE116" s="1007" t="str">
        <f t="shared" ca="1" si="959"/>
        <v/>
      </c>
      <c r="CF116" s="197"/>
      <c r="CG116" s="312" t="str">
        <f ca="1">IFERROR($X116/CH116-1,"")</f>
        <v/>
      </c>
      <c r="CH116" s="411"/>
      <c r="CI116" s="199">
        <f ca="1">CF116*$X116</f>
        <v>0</v>
      </c>
      <c r="CJ116" s="199">
        <f ca="1">CI116*$Z116</f>
        <v>0</v>
      </c>
      <c r="CK116" s="216">
        <f t="shared" ca="1" si="1295"/>
        <v>0</v>
      </c>
      <c r="CL116" s="202">
        <f ca="1">CM116/$X116</f>
        <v>0</v>
      </c>
      <c r="CM116" s="203">
        <f ca="1">CN116/$Z116</f>
        <v>0</v>
      </c>
      <c r="CN116" s="203">
        <f ca="1">CO116*CF$4</f>
        <v>0</v>
      </c>
      <c r="CO116" s="204">
        <f ca="1">$O116-CK116</f>
        <v>0</v>
      </c>
      <c r="CP116" s="205"/>
      <c r="CQ116" s="206">
        <f ca="1">CP116*$X116</f>
        <v>0</v>
      </c>
      <c r="CR116" s="206">
        <f ca="1">CQ116*$Z116</f>
        <v>0</v>
      </c>
      <c r="CS116" s="207">
        <f t="shared" ca="1" si="1296"/>
        <v>0</v>
      </c>
      <c r="CT116" s="541">
        <f>CF116+CP116</f>
        <v>0</v>
      </c>
      <c r="CU116" s="541">
        <f t="shared" ca="1" si="1101"/>
        <v>0</v>
      </c>
      <c r="CV116" s="541">
        <f ca="1">CU116*$Z116</f>
        <v>0</v>
      </c>
      <c r="CW116" s="918">
        <f t="shared" ca="1" si="1297"/>
        <v>0</v>
      </c>
      <c r="CX116" s="1007" t="str">
        <f t="shared" ca="1" si="960"/>
        <v/>
      </c>
    </row>
    <row r="117" spans="1:102" collapsed="1" x14ac:dyDescent="0.2">
      <c r="A117" s="514"/>
      <c r="B117" s="514" t="s">
        <v>542</v>
      </c>
      <c r="C117" s="514"/>
      <c r="D117" s="1159"/>
      <c r="E117" s="516"/>
      <c r="F117" s="514"/>
      <c r="G117" s="517"/>
      <c r="H117" s="1807"/>
      <c r="I117" s="1807"/>
      <c r="J117" s="1807"/>
      <c r="K117" s="1807"/>
      <c r="L117" s="1807"/>
      <c r="M117" s="1795"/>
      <c r="N117" s="1155">
        <f>SUM(N$118)</f>
        <v>0</v>
      </c>
      <c r="O117" s="1155"/>
      <c r="P117" s="519">
        <f t="shared" ca="1" si="1238"/>
        <v>0</v>
      </c>
      <c r="Q117" s="520"/>
      <c r="R117" s="520"/>
      <c r="S117" s="1154" t="s">
        <v>718</v>
      </c>
      <c r="T117" s="1154"/>
      <c r="U117" s="521"/>
      <c r="V117" s="520">
        <f>COUNTIF(V118,"&lt;&gt;0")</f>
        <v>0</v>
      </c>
      <c r="W117" s="514"/>
      <c r="X117" s="930"/>
      <c r="Y117" s="930"/>
      <c r="Z117" s="1064"/>
      <c r="AA117" s="531"/>
      <c r="AB117" s="932"/>
      <c r="AC117" s="1156"/>
      <c r="AD117" s="514"/>
      <c r="AE117" s="527">
        <f ca="1">SUM(AE$118)</f>
        <v>0</v>
      </c>
      <c r="AF117" s="528">
        <f t="shared" ca="1" si="1291"/>
        <v>0</v>
      </c>
      <c r="AG117" s="529"/>
      <c r="AH117" s="514"/>
      <c r="AI117" s="527">
        <f ca="1">SUM(AI$118)</f>
        <v>0</v>
      </c>
      <c r="AJ117" s="530">
        <f ca="1">IFERROR(AI117/AA$4,0)</f>
        <v>0</v>
      </c>
      <c r="AK117" s="529"/>
      <c r="AL117" s="514"/>
      <c r="AM117" s="527">
        <f ca="1">SUM(AM$118)</f>
        <v>0</v>
      </c>
      <c r="AN117" s="530">
        <f t="shared" ca="1" si="1292"/>
        <v>0</v>
      </c>
      <c r="AO117" s="514"/>
      <c r="AP117" s="514"/>
      <c r="AQ117" s="527">
        <f ca="1">SUM(AQ$118)</f>
        <v>0</v>
      </c>
      <c r="AR117" s="937">
        <f t="shared" ca="1" si="1159"/>
        <v>0</v>
      </c>
      <c r="AS117" s="1007" t="str">
        <f t="shared" ca="1" si="957"/>
        <v/>
      </c>
      <c r="AT117" s="531"/>
      <c r="AU117" s="932"/>
      <c r="AV117" s="1156"/>
      <c r="AW117" s="514"/>
      <c r="AX117" s="527">
        <f ca="1">SUM(AX$118)</f>
        <v>0</v>
      </c>
      <c r="AY117" s="528">
        <f t="shared" ca="1" si="1293"/>
        <v>0</v>
      </c>
      <c r="AZ117" s="529"/>
      <c r="BA117" s="514"/>
      <c r="BB117" s="527">
        <f ca="1">SUM(BB$118)</f>
        <v>0</v>
      </c>
      <c r="BC117" s="530">
        <f ca="1">IFERROR(BB117/AT$4,0)</f>
        <v>0</v>
      </c>
      <c r="BD117" s="529"/>
      <c r="BE117" s="514"/>
      <c r="BF117" s="527">
        <f ca="1">SUM(BF$118)</f>
        <v>0</v>
      </c>
      <c r="BG117" s="530">
        <f t="shared" ca="1" si="1294"/>
        <v>0</v>
      </c>
      <c r="BH117" s="514"/>
      <c r="BI117" s="514"/>
      <c r="BJ117" s="527">
        <f ca="1">SUM(BJ$118)</f>
        <v>0</v>
      </c>
      <c r="BK117" s="937">
        <f t="shared" ca="1" si="1160"/>
        <v>0</v>
      </c>
      <c r="BL117" s="1007" t="str">
        <f t="shared" ca="1" si="958"/>
        <v/>
      </c>
      <c r="BM117" s="531"/>
      <c r="BN117" s="932"/>
      <c r="BO117" s="1156"/>
      <c r="BP117" s="514"/>
      <c r="BQ117" s="527">
        <f ca="1">SUM(BQ$118)</f>
        <v>0</v>
      </c>
      <c r="BR117" s="528">
        <f t="shared" ca="1" si="1098"/>
        <v>0</v>
      </c>
      <c r="BS117" s="529"/>
      <c r="BT117" s="514"/>
      <c r="BU117" s="527">
        <f ca="1">SUM(BU$118)</f>
        <v>0</v>
      </c>
      <c r="BV117" s="530">
        <f ca="1">IFERROR(BU117/BM$4,0)</f>
        <v>0</v>
      </c>
      <c r="BW117" s="529"/>
      <c r="BX117" s="514"/>
      <c r="BY117" s="527">
        <f ca="1">SUM(BY$118)</f>
        <v>0</v>
      </c>
      <c r="BZ117" s="530">
        <f t="shared" ca="1" si="1099"/>
        <v>0</v>
      </c>
      <c r="CA117" s="514"/>
      <c r="CB117" s="514"/>
      <c r="CC117" s="527">
        <f ca="1">SUM(CC$118)</f>
        <v>0</v>
      </c>
      <c r="CD117" s="937">
        <f t="shared" ca="1" si="1164"/>
        <v>0</v>
      </c>
      <c r="CE117" s="1007" t="str">
        <f t="shared" ca="1" si="959"/>
        <v/>
      </c>
      <c r="CF117" s="531"/>
      <c r="CG117" s="932"/>
      <c r="CH117" s="1156"/>
      <c r="CI117" s="514"/>
      <c r="CJ117" s="527">
        <f ca="1">SUM(CJ$118)</f>
        <v>0</v>
      </c>
      <c r="CK117" s="528">
        <f t="shared" ca="1" si="1295"/>
        <v>0</v>
      </c>
      <c r="CL117" s="529"/>
      <c r="CM117" s="514"/>
      <c r="CN117" s="527">
        <f ca="1">SUM(CN$118)</f>
        <v>0</v>
      </c>
      <c r="CO117" s="530">
        <f ca="1">IFERROR(CN117/CF$4,0)</f>
        <v>0</v>
      </c>
      <c r="CP117" s="529"/>
      <c r="CQ117" s="514"/>
      <c r="CR117" s="527">
        <f ca="1">SUM(CR$118)</f>
        <v>0</v>
      </c>
      <c r="CS117" s="530">
        <f t="shared" ca="1" si="1296"/>
        <v>0</v>
      </c>
      <c r="CT117" s="514"/>
      <c r="CU117" s="514"/>
      <c r="CV117" s="527">
        <f ca="1">SUM(CV$118)</f>
        <v>0</v>
      </c>
      <c r="CW117" s="937">
        <f t="shared" ca="1" si="1297"/>
        <v>0</v>
      </c>
      <c r="CX117" s="1007" t="str">
        <f t="shared" ca="1" si="960"/>
        <v/>
      </c>
    </row>
    <row r="118" spans="1:102" ht="12.6" hidden="1" customHeight="1" outlineLevel="1" x14ac:dyDescent="0.2">
      <c r="A118" s="535"/>
      <c r="B118" s="535"/>
      <c r="C118" s="535" t="str">
        <f ca="1">OFFSET(Origine,MATCH($F118,Descrizioni,0),MATCH(C$16,Intestazioni,0)-1,1,1)</f>
        <v>GB00B15KYG56:USD:LSS</v>
      </c>
      <c r="D118" s="536" t="str">
        <f ca="1">OFFSET(Origine,MATCH($F118,Descrizioni,0),MATCH(D$16,Intestazioni,0)-1,1,1)</f>
        <v>GB00B15KYG56</v>
      </c>
      <c r="E118" s="537" t="str">
        <f ca="1">OFFSET(Origine,MATCH($F118,Descrizioni,0),MATCH(E$16,Intestazioni,0)-1,1,1)</f>
        <v>2726111</v>
      </c>
      <c r="F118" s="535" t="s">
        <v>543</v>
      </c>
      <c r="G118" s="538"/>
      <c r="H118" s="1690" t="str">
        <f ca="1">HYPERLINK(OFFSET(Origine,MATCH($F118,Descrizioni,0),MATCH(H$16,Intestazioni,0)-1,1,1),"")</f>
        <v></v>
      </c>
      <c r="I118" s="1690" t="str">
        <f ca="1">HYPERLINK(OFFSET(Origine,MATCH($F118,Descrizioni,0),MATCH(I$16,Intestazioni,0)-1,1,1),"i")</f>
        <v>i</v>
      </c>
      <c r="J118" s="1729" t="str">
        <f ca="1">HYPERLINK(OFFSET(Origine,MATCH($F118,Descrizioni,0),MATCH(J$16,Intestazioni,0)-1,1,1),"")</f>
        <v></v>
      </c>
      <c r="K118" s="1730" t="str">
        <f ca="1">HYPERLINK(OFFSET(Origine,MATCH($F118,Descrizioni,0),MATCH(K$16,Intestazioni,0)-1,1,1),"")</f>
        <v></v>
      </c>
      <c r="L118" s="1731" t="str">
        <f ca="1">IFERROR(HYPERLINK("https://www.marketscreener.com/mods_a/charts/TV/inc_dyna_graph.php?c="&amp;OFFSET(Origine,MATCH($F118,Descrizioni,0),MATCH(L$16,Intestazioni,0)-1,1,1)&amp;"&amp;style=TradingView.CANDLES&amp;showAT=1",""),"")</f>
        <v></v>
      </c>
      <c r="M118" s="1796" t="str">
        <f ca="1">(OFFSET(Origine,MATCH($F118,Descrizioni,0),MATCH(M$16,Intestazioni,0)-1,1,1))</f>
        <v>Unit</v>
      </c>
      <c r="N118" s="1157"/>
      <c r="O118" s="1157"/>
      <c r="P118" s="540" cm="1">
        <f t="array" aca="1" ref="P118" ca="1">MEDIAN(IF($AA$16:$CW$16="I_Pct",$AA118:$CW118))</f>
        <v>0</v>
      </c>
      <c r="Q118" s="541">
        <f>SUMIF($AA$16:$CW$16,"I_Pos",$AA118:$CW118)</f>
        <v>0</v>
      </c>
      <c r="R118" s="541">
        <f ca="1">SUMIF($AA$16:$CW$16,"P_Pos",$AA118:$CW118)</f>
        <v>0</v>
      </c>
      <c r="S118" s="939"/>
      <c r="T118" s="939"/>
      <c r="U118" s="542">
        <f ca="1">OFFSET(Origine,MATCH($C118,smo_ids,0),MATCH(U$16,Intestazioni,0)-1,1,1)</f>
        <v>-4.5834456726881996E-3</v>
      </c>
      <c r="V118" s="541">
        <f>SUMIF($AA$16:$CW$16,"O_Pos",$AA118:$CW118)</f>
        <v>0</v>
      </c>
      <c r="W118" s="535" t="str">
        <f ca="1">OFFSET(Origine,MATCH($F118,Descrizioni,0),MATCH(W$16,Intestazioni,0)-1,1,1)</f>
        <v>USD</v>
      </c>
      <c r="X118" s="940">
        <f ca="1">_xlfn.NUMBERVALUE(OFFSET(Origine,MATCH($F118,Descrizioni,0),MATCH(X$16,Intestazioni,0)-1,1,1))</f>
        <v>18.46</v>
      </c>
      <c r="Y118" s="1068">
        <f ca="1">_xlfn.NUMBERVALUE(OFFSET(Origine,MATCH($F118,Descrizioni,0),MATCH(Y$16,Intestazioni,0)-1,1,1))</f>
        <v>0</v>
      </c>
      <c r="Z118" s="1069">
        <f ca="1">_xlfn.NUMBERVALUE(OFFSET(Origine,MATCH(W118&amp;"/"&amp;MRif,LUKB_Name,0),MATCH("Price",Intestazioni,0)-1,1,1))</f>
        <v>0.86199999999999999</v>
      </c>
      <c r="AA118" s="197">
        <f>810+-810</f>
        <v>0</v>
      </c>
      <c r="AB118" s="312" t="str">
        <f ca="1">IFERROR($X118/AC118-1,"")</f>
        <v/>
      </c>
      <c r="AC118" s="411"/>
      <c r="AD118" s="199">
        <f ca="1">AA118*$X118</f>
        <v>0</v>
      </c>
      <c r="AE118" s="199">
        <f ca="1">AD118*$Z118</f>
        <v>0</v>
      </c>
      <c r="AF118" s="216">
        <f ca="1">IFERROR(AE118/AA$4,0)</f>
        <v>0</v>
      </c>
      <c r="AG118" s="202">
        <f ca="1">AH118/$X118</f>
        <v>0</v>
      </c>
      <c r="AH118" s="203">
        <f ca="1">AI118/$Z118</f>
        <v>0</v>
      </c>
      <c r="AI118" s="203">
        <f ca="1">AJ118*AA$4</f>
        <v>0</v>
      </c>
      <c r="AJ118" s="204">
        <f ca="1">$N118-AF118</f>
        <v>0</v>
      </c>
      <c r="AK118" s="205"/>
      <c r="AL118" s="206">
        <f ca="1">AK118*$X118</f>
        <v>0</v>
      </c>
      <c r="AM118" s="206">
        <f ca="1">AL118*$Z118</f>
        <v>0</v>
      </c>
      <c r="AN118" s="207">
        <f ca="1">IFERROR(AM118/AA$4,0)</f>
        <v>0</v>
      </c>
      <c r="AO118" s="541">
        <f>AA118+AK118</f>
        <v>0</v>
      </c>
      <c r="AP118" s="541">
        <f t="shared" ca="1" si="1096"/>
        <v>0</v>
      </c>
      <c r="AQ118" s="541">
        <f ca="1">AP118*$Z118</f>
        <v>0</v>
      </c>
      <c r="AR118" s="918">
        <f t="shared" ca="1" si="1159"/>
        <v>0</v>
      </c>
      <c r="AS118" s="1007" t="str">
        <f t="shared" ca="1" si="957"/>
        <v/>
      </c>
      <c r="AT118" s="197">
        <f>1415+-1415</f>
        <v>0</v>
      </c>
      <c r="AU118" s="312" t="str">
        <f ca="1">IFERROR($X118/AV118-1,"")</f>
        <v/>
      </c>
      <c r="AV118" s="411"/>
      <c r="AW118" s="199">
        <f ca="1">AT118*$X118</f>
        <v>0</v>
      </c>
      <c r="AX118" s="199">
        <f ca="1">AW118*$Z118</f>
        <v>0</v>
      </c>
      <c r="AY118" s="216">
        <f ca="1">IFERROR(AX118/AT$4,0)</f>
        <v>0</v>
      </c>
      <c r="AZ118" s="202">
        <f ca="1">BA118/$X118</f>
        <v>0</v>
      </c>
      <c r="BA118" s="203">
        <f ca="1">BB118/$Z118</f>
        <v>0</v>
      </c>
      <c r="BB118" s="203">
        <f ca="1">BC118*AT$4</f>
        <v>0</v>
      </c>
      <c r="BC118" s="204">
        <f ca="1">$N118-AY118</f>
        <v>0</v>
      </c>
      <c r="BD118" s="205"/>
      <c r="BE118" s="206">
        <f ca="1">BD118*$X118</f>
        <v>0</v>
      </c>
      <c r="BF118" s="206">
        <f ca="1">BE118*$Z118</f>
        <v>0</v>
      </c>
      <c r="BG118" s="207">
        <f ca="1">IFERROR(BF118/AT$4,0)</f>
        <v>0</v>
      </c>
      <c r="BH118" s="541">
        <f>AT118+BD118</f>
        <v>0</v>
      </c>
      <c r="BI118" s="541">
        <f t="shared" ca="1" si="1097"/>
        <v>0</v>
      </c>
      <c r="BJ118" s="541">
        <f ca="1">BI118*$Z118</f>
        <v>0</v>
      </c>
      <c r="BK118" s="918">
        <f t="shared" ca="1" si="1160"/>
        <v>0</v>
      </c>
      <c r="BL118" s="1007" t="str">
        <f t="shared" ca="1" si="958"/>
        <v/>
      </c>
      <c r="BM118" s="197">
        <f>750+-750</f>
        <v>0</v>
      </c>
      <c r="BN118" s="312" t="str">
        <f ca="1">IFERROR($X118/BO118-1,"")</f>
        <v/>
      </c>
      <c r="BO118" s="411"/>
      <c r="BP118" s="199">
        <f ca="1">BM118*$X118</f>
        <v>0</v>
      </c>
      <c r="BQ118" s="199">
        <f ca="1">BP118*$Z118</f>
        <v>0</v>
      </c>
      <c r="BR118" s="216">
        <f t="shared" ca="1" si="1098"/>
        <v>0</v>
      </c>
      <c r="BS118" s="202">
        <f ca="1">BT118/$X118</f>
        <v>0</v>
      </c>
      <c r="BT118" s="203">
        <f ca="1">BU118/$Z118</f>
        <v>0</v>
      </c>
      <c r="BU118" s="203">
        <f ca="1">BV118*BM$4</f>
        <v>0</v>
      </c>
      <c r="BV118" s="204">
        <f ca="1">$N118-BR118</f>
        <v>0</v>
      </c>
      <c r="BW118" s="205"/>
      <c r="BX118" s="206">
        <f ca="1">BW118*$X118</f>
        <v>0</v>
      </c>
      <c r="BY118" s="206">
        <f ca="1">BX118*$Z118</f>
        <v>0</v>
      </c>
      <c r="BZ118" s="207">
        <f t="shared" ca="1" si="1099"/>
        <v>0</v>
      </c>
      <c r="CA118" s="541">
        <f>BM118+BW118</f>
        <v>0</v>
      </c>
      <c r="CB118" s="541">
        <f t="shared" ca="1" si="1100"/>
        <v>0</v>
      </c>
      <c r="CC118" s="541">
        <f ca="1">CB118*$Z118</f>
        <v>0</v>
      </c>
      <c r="CD118" s="918">
        <f t="shared" ca="1" si="1164"/>
        <v>0</v>
      </c>
      <c r="CE118" s="1007" t="str">
        <f t="shared" ca="1" si="959"/>
        <v/>
      </c>
      <c r="CF118" s="197"/>
      <c r="CG118" s="312" t="str">
        <f ca="1">IFERROR($X118/CH118-1,"")</f>
        <v/>
      </c>
      <c r="CH118" s="411"/>
      <c r="CI118" s="199">
        <f ca="1">CF118*$X118</f>
        <v>0</v>
      </c>
      <c r="CJ118" s="199">
        <f ca="1">CI118*$Z118</f>
        <v>0</v>
      </c>
      <c r="CK118" s="216">
        <f t="shared" ca="1" si="1295"/>
        <v>0</v>
      </c>
      <c r="CL118" s="202">
        <f ca="1">CM118/$X118</f>
        <v>0</v>
      </c>
      <c r="CM118" s="203">
        <f ca="1">CN118/$Z118</f>
        <v>0</v>
      </c>
      <c r="CN118" s="203">
        <f ca="1">CO118*CF$4</f>
        <v>0</v>
      </c>
      <c r="CO118" s="204">
        <f ca="1">$O118-CK118</f>
        <v>0</v>
      </c>
      <c r="CP118" s="205"/>
      <c r="CQ118" s="206">
        <f ca="1">CP118*$X118</f>
        <v>0</v>
      </c>
      <c r="CR118" s="206">
        <f ca="1">CQ118*$Z118</f>
        <v>0</v>
      </c>
      <c r="CS118" s="207">
        <f t="shared" ca="1" si="1296"/>
        <v>0</v>
      </c>
      <c r="CT118" s="541">
        <f>CF118+CP118</f>
        <v>0</v>
      </c>
      <c r="CU118" s="541">
        <f t="shared" ca="1" si="1101"/>
        <v>0</v>
      </c>
      <c r="CV118" s="541">
        <f ca="1">CU118*$Z118</f>
        <v>0</v>
      </c>
      <c r="CW118" s="918">
        <f t="shared" ca="1" si="1297"/>
        <v>0</v>
      </c>
      <c r="CX118" s="1007" t="str">
        <f t="shared" ca="1" si="960"/>
        <v/>
      </c>
    </row>
    <row r="119" spans="1:102" x14ac:dyDescent="0.2">
      <c r="AA119" s="622"/>
      <c r="AB119" s="622"/>
      <c r="AC119" s="622"/>
      <c r="AD119" s="619"/>
      <c r="AE119" s="619"/>
      <c r="AF119" s="621"/>
      <c r="AG119" s="619"/>
      <c r="AH119" s="619"/>
      <c r="AI119" s="619"/>
      <c r="AJ119" s="621"/>
      <c r="AK119" s="619"/>
      <c r="AL119" s="619"/>
      <c r="AM119" s="619"/>
      <c r="AN119" s="621"/>
      <c r="AO119" s="619"/>
      <c r="AP119" s="619"/>
      <c r="AQ119" s="619"/>
      <c r="AR119" s="621"/>
      <c r="AS119" s="1078" t="s">
        <v>718</v>
      </c>
      <c r="AT119" s="622"/>
      <c r="AU119" s="622"/>
      <c r="AV119" s="622"/>
      <c r="AW119" s="619"/>
      <c r="AX119" s="619"/>
      <c r="AY119" s="621"/>
      <c r="AZ119" s="619"/>
      <c r="BA119" s="619"/>
      <c r="BB119" s="619"/>
      <c r="BC119" s="621"/>
      <c r="BD119" s="619"/>
      <c r="BE119" s="619"/>
      <c r="BF119" s="619"/>
      <c r="BG119" s="621"/>
      <c r="BH119" s="619"/>
      <c r="BI119" s="619"/>
      <c r="BJ119" s="619"/>
      <c r="BK119" s="621"/>
      <c r="BL119" s="1078" t="s">
        <v>718</v>
      </c>
      <c r="BM119" s="622"/>
      <c r="BN119" s="622"/>
      <c r="BO119" s="622"/>
      <c r="BP119" s="619"/>
      <c r="BQ119" s="619"/>
      <c r="BR119" s="621"/>
      <c r="BS119" s="619"/>
      <c r="BT119" s="619"/>
      <c r="BU119" s="619"/>
      <c r="BV119" s="621"/>
      <c r="BW119" s="619"/>
      <c r="BX119" s="619"/>
      <c r="BY119" s="619"/>
      <c r="BZ119" s="621"/>
      <c r="CA119" s="619"/>
      <c r="CB119" s="619"/>
      <c r="CC119" s="619"/>
      <c r="CD119" s="621"/>
      <c r="CE119" s="1078" t="s">
        <v>718</v>
      </c>
      <c r="CF119" s="622"/>
      <c r="CG119" s="622"/>
      <c r="CH119" s="622"/>
      <c r="CI119" s="619"/>
      <c r="CJ119" s="619"/>
      <c r="CK119" s="621"/>
      <c r="CL119" s="619"/>
      <c r="CM119" s="619"/>
      <c r="CN119" s="619"/>
      <c r="CO119" s="621"/>
      <c r="CP119" s="619"/>
      <c r="CQ119" s="619"/>
      <c r="CR119" s="619"/>
      <c r="CS119" s="621"/>
      <c r="CT119" s="619"/>
      <c r="CU119" s="619"/>
      <c r="CV119" s="619"/>
      <c r="CW119" s="621"/>
      <c r="CX119" s="1078" t="s">
        <v>718</v>
      </c>
    </row>
    <row r="120" spans="1:102" x14ac:dyDescent="0.2">
      <c r="A120" s="946" t="s">
        <v>805</v>
      </c>
      <c r="B120" s="946"/>
      <c r="C120" s="946"/>
      <c r="D120" s="627"/>
      <c r="E120" s="628"/>
      <c r="F120" s="946"/>
      <c r="G120" s="1160"/>
      <c r="H120" s="1808"/>
      <c r="I120" s="1808"/>
      <c r="J120" s="1808"/>
      <c r="K120" s="1808"/>
      <c r="L120" s="1808"/>
      <c r="M120" s="1798"/>
      <c r="N120" s="626"/>
      <c r="O120" s="626"/>
      <c r="P120" s="626"/>
      <c r="Q120" s="626"/>
      <c r="R120" s="626"/>
      <c r="S120" s="1161"/>
      <c r="T120" s="1161"/>
      <c r="U120" s="628"/>
      <c r="V120" s="632"/>
      <c r="W120" s="637"/>
      <c r="X120" s="637"/>
      <c r="Y120" s="637"/>
      <c r="Z120" s="947"/>
      <c r="AA120" s="948" t="s">
        <v>381</v>
      </c>
      <c r="AB120" s="641"/>
      <c r="AC120" s="641"/>
      <c r="AD120" s="637" t="s">
        <v>369</v>
      </c>
      <c r="AE120" s="637" t="s">
        <v>366</v>
      </c>
      <c r="AF120" s="638" t="s">
        <v>806</v>
      </c>
      <c r="AG120" s="639" t="s">
        <v>369</v>
      </c>
      <c r="AH120" s="637" t="s">
        <v>381</v>
      </c>
      <c r="AI120" s="637" t="s">
        <v>366</v>
      </c>
      <c r="AJ120" s="640" t="s">
        <v>806</v>
      </c>
      <c r="AK120" s="639" t="s">
        <v>369</v>
      </c>
      <c r="AL120" s="637" t="s">
        <v>381</v>
      </c>
      <c r="AM120" s="637" t="s">
        <v>366</v>
      </c>
      <c r="AN120" s="640" t="s">
        <v>806</v>
      </c>
      <c r="AO120" s="641" t="s">
        <v>369</v>
      </c>
      <c r="AP120" s="637" t="s">
        <v>381</v>
      </c>
      <c r="AQ120" s="637" t="s">
        <v>366</v>
      </c>
      <c r="AR120" s="638" t="s">
        <v>806</v>
      </c>
      <c r="AS120" s="1162" t="s">
        <v>718</v>
      </c>
      <c r="AT120" s="948" t="s">
        <v>381</v>
      </c>
      <c r="AU120" s="641"/>
      <c r="AV120" s="641"/>
      <c r="AW120" s="637" t="s">
        <v>369</v>
      </c>
      <c r="AX120" s="637" t="s">
        <v>366</v>
      </c>
      <c r="AY120" s="638" t="s">
        <v>806</v>
      </c>
      <c r="AZ120" s="639" t="s">
        <v>369</v>
      </c>
      <c r="BA120" s="637" t="s">
        <v>381</v>
      </c>
      <c r="BB120" s="637" t="s">
        <v>366</v>
      </c>
      <c r="BC120" s="640" t="s">
        <v>806</v>
      </c>
      <c r="BD120" s="639" t="s">
        <v>369</v>
      </c>
      <c r="BE120" s="637" t="s">
        <v>381</v>
      </c>
      <c r="BF120" s="637" t="s">
        <v>366</v>
      </c>
      <c r="BG120" s="640" t="s">
        <v>806</v>
      </c>
      <c r="BH120" s="641" t="s">
        <v>369</v>
      </c>
      <c r="BI120" s="637" t="s">
        <v>381</v>
      </c>
      <c r="BJ120" s="637" t="s">
        <v>366</v>
      </c>
      <c r="BK120" s="638" t="s">
        <v>806</v>
      </c>
      <c r="BL120" s="1162" t="s">
        <v>718</v>
      </c>
      <c r="BM120" s="948" t="s">
        <v>381</v>
      </c>
      <c r="BN120" s="641"/>
      <c r="BO120" s="641"/>
      <c r="BP120" s="637" t="s">
        <v>369</v>
      </c>
      <c r="BQ120" s="637" t="s">
        <v>366</v>
      </c>
      <c r="BR120" s="638" t="s">
        <v>806</v>
      </c>
      <c r="BS120" s="639" t="s">
        <v>369</v>
      </c>
      <c r="BT120" s="637" t="s">
        <v>381</v>
      </c>
      <c r="BU120" s="637" t="s">
        <v>366</v>
      </c>
      <c r="BV120" s="640" t="s">
        <v>806</v>
      </c>
      <c r="BW120" s="639" t="s">
        <v>369</v>
      </c>
      <c r="BX120" s="637" t="s">
        <v>381</v>
      </c>
      <c r="BY120" s="637" t="s">
        <v>366</v>
      </c>
      <c r="BZ120" s="640" t="s">
        <v>806</v>
      </c>
      <c r="CA120" s="641" t="s">
        <v>369</v>
      </c>
      <c r="CB120" s="637" t="s">
        <v>381</v>
      </c>
      <c r="CC120" s="637" t="s">
        <v>366</v>
      </c>
      <c r="CD120" s="638" t="s">
        <v>806</v>
      </c>
      <c r="CE120" s="1162" t="s">
        <v>718</v>
      </c>
      <c r="CF120" s="948" t="s">
        <v>381</v>
      </c>
      <c r="CG120" s="641"/>
      <c r="CH120" s="641"/>
      <c r="CI120" s="637" t="s">
        <v>369</v>
      </c>
      <c r="CJ120" s="637" t="s">
        <v>366</v>
      </c>
      <c r="CK120" s="638" t="s">
        <v>806</v>
      </c>
      <c r="CL120" s="639" t="s">
        <v>369</v>
      </c>
      <c r="CM120" s="637" t="s">
        <v>381</v>
      </c>
      <c r="CN120" s="637" t="s">
        <v>366</v>
      </c>
      <c r="CO120" s="640" t="s">
        <v>806</v>
      </c>
      <c r="CP120" s="639" t="s">
        <v>369</v>
      </c>
      <c r="CQ120" s="637" t="s">
        <v>381</v>
      </c>
      <c r="CR120" s="637" t="s">
        <v>366</v>
      </c>
      <c r="CS120" s="640" t="s">
        <v>806</v>
      </c>
      <c r="CT120" s="641" t="s">
        <v>369</v>
      </c>
      <c r="CU120" s="637" t="s">
        <v>381</v>
      </c>
      <c r="CV120" s="637" t="s">
        <v>366</v>
      </c>
      <c r="CW120" s="638" t="s">
        <v>806</v>
      </c>
      <c r="CX120" s="1162" t="s">
        <v>718</v>
      </c>
    </row>
    <row r="121" spans="1:102" s="1163" customFormat="1" x14ac:dyDescent="0.2">
      <c r="B121" s="1163" t="s">
        <v>807</v>
      </c>
      <c r="D121" s="1164"/>
      <c r="E121" s="1165"/>
      <c r="G121" s="611"/>
      <c r="H121" s="1809"/>
      <c r="I121" s="1809"/>
      <c r="J121" s="1809"/>
      <c r="K121" s="1809"/>
      <c r="L121" s="1809"/>
      <c r="M121" s="1810"/>
      <c r="S121" s="1167"/>
      <c r="T121" s="1167"/>
      <c r="U121" s="1166"/>
      <c r="W121" s="1168"/>
      <c r="X121" s="1169"/>
      <c r="Y121" s="1169"/>
      <c r="Z121" s="1170"/>
      <c r="AA121" s="1171">
        <f t="array" aca="1" ref="AA121" ca="1">SUM(IF($W$17:$W$118=AA$120,AF$17:AF$118))</f>
        <v>0.69038533339201058</v>
      </c>
      <c r="AB121" s="1172"/>
      <c r="AC121" s="1172"/>
      <c r="AD121" s="1166">
        <f t="array" aca="1" ref="AD121" ca="1">SUM(IF($W$17:$W$118=AD$120,AF$17:AF$118))</f>
        <v>6.0784958192383637E-2</v>
      </c>
      <c r="AE121" s="1166">
        <f t="array" aca="1" ref="AE121" ca="1">SUM(IF($W$17:$W$118=AE$120,AF$17:AF$118))</f>
        <v>0.2488297084156057</v>
      </c>
      <c r="AF121" s="1173">
        <f t="array" aca="1" ref="AF121" ca="1">SUM(IF($W$17:$W$118=AF$120,AF$17:AF$118))</f>
        <v>0</v>
      </c>
      <c r="AG121" s="1174">
        <f t="array" aca="1" ref="AG121" ca="1">SUM(IF($W$17:$W$118=AG$120,AJ$17:AJ$118))</f>
        <v>1.4215041807616364E-2</v>
      </c>
      <c r="AH121" s="1166">
        <f t="array" aca="1" ref="AH121" ca="1">SUM(IF($W$17:$W$118=AH$120,AJ$17:AJ$118))</f>
        <v>-0.18538533339201058</v>
      </c>
      <c r="AI121" s="1166">
        <f t="array" aca="1" ref="AI121" ca="1">SUM(IF($W$17:$W$118=AI$120,AJ$17:AJ$118))</f>
        <v>1.1702915843943111E-3</v>
      </c>
      <c r="AJ121" s="1173">
        <f t="array" aca="1" ref="AJ121" ca="1">SUM(IF($W$17:$W$118=AJ$120,AJ$17:AJ$118))</f>
        <v>0</v>
      </c>
      <c r="AK121" s="1174">
        <f t="array" aca="1" ref="AK121" ca="1">SUM(IF($W$17:$W$118=AK$120,AN$17:AN$118))</f>
        <v>0</v>
      </c>
      <c r="AL121" s="1166">
        <f t="array" aca="1" ref="AL121" ca="1">SUM(IF($W$17:$W$118=AL$120,AN$17:AN$118))</f>
        <v>0</v>
      </c>
      <c r="AM121" s="1166">
        <f t="array" aca="1" ref="AM121" ca="1">SUM(IF($W$17:$W$118=AM$120,AN$17:AN$118))</f>
        <v>2.5972105334014325E-2</v>
      </c>
      <c r="AN121" s="1173">
        <f t="array" aca="1" ref="AN121" ca="1">SUM(IF($W$17:$W$118=AN$120,AN$17:AN$118))</f>
        <v>0</v>
      </c>
      <c r="AO121" s="1174">
        <f t="array" aca="1" ref="AO121" ca="1">SUM(IF($W$17:$W$118=AO$120,AR$17:AR$118))</f>
        <v>6.0784958192383637E-2</v>
      </c>
      <c r="AP121" s="1166">
        <f t="array" aca="1" ref="AP121" ca="1">SUM(IF($W$17:$W$118=AP$120,AR$17:AR$118))</f>
        <v>0.69038533339201058</v>
      </c>
      <c r="AQ121" s="1166">
        <f t="array" aca="1" ref="AQ121" ca="1">SUM(IF($W$17:$W$118=AQ$120,AR$17:AR$118))</f>
        <v>0.2488297084156057</v>
      </c>
      <c r="AR121" s="1166">
        <f t="array" aca="1" ref="AR121" ca="1">SUM(IF($W$17:$W$118=AR$120,AR$17:AR$118))</f>
        <v>0</v>
      </c>
      <c r="AS121" s="1175" t="s">
        <v>718</v>
      </c>
      <c r="AT121" s="1171">
        <f t="array" aca="1" ref="AT121" ca="1">SUM(IF($W$17:$W$118=AT$120,AY$17:AY$118))</f>
        <v>0.67360990359700801</v>
      </c>
      <c r="AU121" s="1172"/>
      <c r="AV121" s="1172"/>
      <c r="AW121" s="1166">
        <f t="array" aca="1" ref="AW121" ca="1">SUM(IF($W$17:$W$118=AW$120,AY$17:AY$118))</f>
        <v>6.7530290795128317E-2</v>
      </c>
      <c r="AX121" s="1166">
        <f t="array" aca="1" ref="AX121" ca="1">SUM(IF($W$17:$W$118=AX$120,AY$17:AY$118))</f>
        <v>0.25885980560786376</v>
      </c>
      <c r="AY121" s="1173">
        <f t="array" aca="1" ref="AY121" ca="1">SUM(IF($W$17:$W$118=AY$120,AY$17:AY$118))</f>
        <v>0</v>
      </c>
      <c r="AZ121" s="1174">
        <f t="array" aca="1" ref="AZ121" ca="1">SUM(IF($W$17:$W$118=AZ$120,BC$17:BC$118))</f>
        <v>7.4697092048716766E-3</v>
      </c>
      <c r="BA121" s="1166">
        <f t="array" aca="1" ref="BA121" ca="1">SUM(IF($W$17:$W$118=BA$120,BC$17:BC$118))</f>
        <v>-0.168609903597008</v>
      </c>
      <c r="BB121" s="1166">
        <f t="array" aca="1" ref="BB121" ca="1">SUM(IF($W$17:$W$118=BB$120,BC$17:BC$118))</f>
        <v>-8.8598056078637334E-3</v>
      </c>
      <c r="BC121" s="1173">
        <f t="array" aca="1" ref="BC121" ca="1">SUM(IF($W$17:$W$118=BC$120,BC$17:BC$118))</f>
        <v>0</v>
      </c>
      <c r="BD121" s="1174">
        <f t="array" aca="1" ref="BD121" ca="1">SUM(IF($W$17:$W$118=BD$120,BG$17:BG$118))</f>
        <v>0</v>
      </c>
      <c r="BE121" s="1166">
        <f t="array" aca="1" ref="BE121" ca="1">SUM(IF($W$17:$W$118=BE$120,BG$17:BG$118))</f>
        <v>0</v>
      </c>
      <c r="BF121" s="1166">
        <f t="array" aca="1" ref="BF121" ca="1">SUM(IF($W$17:$W$118=BF$120,BG$17:BG$118))</f>
        <v>2.2713322837471447E-2</v>
      </c>
      <c r="BG121" s="1173">
        <f t="array" aca="1" ref="BG121" ca="1">SUM(IF($W$17:$W$118=BG$120,BG$17:BG$118))</f>
        <v>0</v>
      </c>
      <c r="BH121" s="1174">
        <f t="array" aca="1" ref="BH121" ca="1">SUM(IF($W$17:$W$118=BH$120,BK$17:BK$118))</f>
        <v>6.7530290795128317E-2</v>
      </c>
      <c r="BI121" s="1166">
        <f t="array" aca="1" ref="BI121" ca="1">SUM(IF($W$17:$W$118=BI$120,BK$17:BK$118))</f>
        <v>0.67360990359700801</v>
      </c>
      <c r="BJ121" s="1166">
        <f t="array" aca="1" ref="BJ121" ca="1">SUM(IF($W$17:$W$118=BJ$120,BK$17:BK$118))</f>
        <v>0.25885980560786376</v>
      </c>
      <c r="BK121" s="1166">
        <f t="array" aca="1" ref="BK121" ca="1">SUM(IF($W$17:$W$118=BK$120,BK$17:BK$118))</f>
        <v>0</v>
      </c>
      <c r="BL121" s="1175" t="s">
        <v>718</v>
      </c>
      <c r="BM121" s="1171">
        <f t="array" aca="1" ref="BM121" ca="1">SUM(IF($W$17:$W$118=BM$120,BR$17:BR$118))</f>
        <v>0.64238960560654923</v>
      </c>
      <c r="BN121" s="1172"/>
      <c r="BO121" s="1172"/>
      <c r="BP121" s="1166">
        <f t="array" aca="1" ref="BP121" ca="1">SUM(IF($W$17:$W$118=BP$120,BR$17:BR$118))</f>
        <v>5.5039806637383427E-2</v>
      </c>
      <c r="BQ121" s="1166">
        <f t="array" aca="1" ref="BQ121" ca="1">SUM(IF($W$17:$W$118=BQ$120,BR$17:BR$118))</f>
        <v>0.3025705877560676</v>
      </c>
      <c r="BR121" s="1173">
        <f t="array" aca="1" ref="BR121" ca="1">SUM(IF($W$17:$W$118=BR$120,BR$17:BR$118))</f>
        <v>0</v>
      </c>
      <c r="BS121" s="1174">
        <f t="array" aca="1" ref="BS121" ca="1">SUM(IF($W$17:$W$118=BS$120,BV$17:BV$118))</f>
        <v>1.9960193362616573E-2</v>
      </c>
      <c r="BT121" s="1166">
        <f t="array" aca="1" ref="BT121" ca="1">SUM(IF($W$17:$W$118=BT$120,BV$17:BV$118))</f>
        <v>-0.13738960560654903</v>
      </c>
      <c r="BU121" s="1166">
        <f t="array" aca="1" ref="BU121" ca="1">SUM(IF($W$17:$W$118=BU$120,BV$17:BV$118))</f>
        <v>-5.2570587756067585E-2</v>
      </c>
      <c r="BV121" s="1173">
        <f t="array" aca="1" ref="BV121" ca="1">SUM(IF($W$17:$W$118=BV$120,BV$17:BV$118))</f>
        <v>0</v>
      </c>
      <c r="BW121" s="1174">
        <f t="array" aca="1" ref="BW121" ca="1">SUM(IF($W$17:$W$118=BW$120,BZ$17:BZ$118))</f>
        <v>0</v>
      </c>
      <c r="BX121" s="1166">
        <f t="array" aca="1" ref="BX121" ca="1">SUM(IF($W$17:$W$118=BX$120,BZ$17:BZ$118))</f>
        <v>0</v>
      </c>
      <c r="BY121" s="1166">
        <f t="array" aca="1" ref="BY121" ca="1">SUM(IF($W$17:$W$118=BY$120,BZ$17:BZ$118))</f>
        <v>2.5670936483975837E-2</v>
      </c>
      <c r="BZ121" s="1173">
        <f t="array" aca="1" ref="BZ121" ca="1">SUM(IF($W$17:$W$118=BZ$120,BZ$17:BZ$118))</f>
        <v>0</v>
      </c>
      <c r="CA121" s="1174">
        <f t="array" aca="1" ref="CA121" ca="1">SUM(IF($W$17:$W$118=CA$120,CD$17:CD$118))</f>
        <v>5.5039806637383427E-2</v>
      </c>
      <c r="CB121" s="1166">
        <f t="array" aca="1" ref="CB121" ca="1">SUM(IF($W$17:$W$118=CB$120,CD$17:CD$118))</f>
        <v>0.64238960560654923</v>
      </c>
      <c r="CC121" s="1166">
        <f t="array" aca="1" ref="CC121" ca="1">SUM(IF($W$17:$W$118=CC$120,CD$17:CD$118))</f>
        <v>0.3025705877560676</v>
      </c>
      <c r="CD121" s="1166">
        <f t="array" aca="1" ref="CD121" ca="1">SUM(IF($W$17:$W$118=CD$120,CD$17:CD$118))</f>
        <v>0</v>
      </c>
      <c r="CE121" s="1175" t="s">
        <v>718</v>
      </c>
      <c r="CF121" s="1171">
        <f t="array" aca="1" ref="CF121" ca="1">SUM(IF($W$17:$W$118=CF$120,CK$17:CK$118))</f>
        <v>0.6614573612067296</v>
      </c>
      <c r="CG121" s="1172"/>
      <c r="CH121" s="1172"/>
      <c r="CI121" s="1166">
        <f t="array" aca="1" ref="CI121" ca="1">SUM(IF($W$17:$W$118=CI$120,CK$17:CK$118))</f>
        <v>5.6878309530940765E-2</v>
      </c>
      <c r="CJ121" s="1166">
        <f t="array" aca="1" ref="CJ121" ca="1">SUM(IF($W$17:$W$118=CJ$120,CK$17:CK$118))</f>
        <v>0.28166432926232982</v>
      </c>
      <c r="CK121" s="1173">
        <f t="array" aca="1" ref="CK121" ca="1">SUM(IF($W$17:$W$118=CK$120,CK$17:CK$118))</f>
        <v>0</v>
      </c>
      <c r="CL121" s="1174">
        <f t="array" aca="1" ref="CL121" ca="1">SUM(IF($W$17:$W$118=CL$120,CO$17:CO$118))</f>
        <v>-5.6878309530940765E-2</v>
      </c>
      <c r="CM121" s="1166">
        <f t="array" aca="1" ref="CM121" ca="1">SUM(IF($W$17:$W$118=CM$120,CO$17:CO$118))</f>
        <v>-0.42145736120672955</v>
      </c>
      <c r="CN121" s="1166">
        <f t="array" aca="1" ref="CN121" ca="1">SUM(IF($W$17:$W$118=CN$120,CO$17:CO$118))</f>
        <v>-0.10666432926232984</v>
      </c>
      <c r="CO121" s="1173">
        <f t="array" aca="1" ref="CO121" ca="1">SUM(IF($W$17:$W$118=CO$120,CO$17:CO$118))</f>
        <v>0</v>
      </c>
      <c r="CP121" s="1174">
        <f t="array" aca="1" ref="CP121" ca="1">SUM(IF($W$17:$W$118=CP$120,CS$17:CS$118))</f>
        <v>0</v>
      </c>
      <c r="CQ121" s="1166">
        <f t="array" aca="1" ref="CQ121" ca="1">SUM(IF($W$17:$W$118=CQ$120,CS$17:CS$118))</f>
        <v>1.8920535058967389E-2</v>
      </c>
      <c r="CR121" s="1166">
        <f t="array" aca="1" ref="CR121" ca="1">SUM(IF($W$17:$W$118=CR$120,CS$17:CS$118))</f>
        <v>6.5270440086277783E-3</v>
      </c>
      <c r="CS121" s="1173">
        <f t="array" aca="1" ref="CS121" ca="1">SUM(IF($W$17:$W$118=CS$120,CS$17:CS$118))</f>
        <v>0</v>
      </c>
      <c r="CT121" s="1174">
        <f t="array" aca="1" ref="CT121" ca="1">SUM(IF($W$17:$W$118=CT$120,CW$17:CW$118))</f>
        <v>5.6878309530940765E-2</v>
      </c>
      <c r="CU121" s="1166">
        <f t="array" aca="1" ref="CU121" ca="1">SUM(IF($W$17:$W$118=CU$120,CW$17:CW$118))</f>
        <v>0.680377896265697</v>
      </c>
      <c r="CV121" s="1166">
        <f t="array" aca="1" ref="CV121" ca="1">SUM(IF($W$17:$W$118=CV$120,CW$17:CW$118))</f>
        <v>0.26274379420336241</v>
      </c>
      <c r="CW121" s="1166">
        <f t="array" aca="1" ref="CW121" ca="1">SUM(IF($W$17:$W$118=CW$120,CW$17:CW$118))</f>
        <v>0</v>
      </c>
      <c r="CX121" s="1175" t="s">
        <v>718</v>
      </c>
    </row>
    <row r="122" spans="1:102" s="1187" customFormat="1" x14ac:dyDescent="0.2">
      <c r="A122" s="1176"/>
      <c r="B122" s="1176" t="s">
        <v>808</v>
      </c>
      <c r="C122" s="1176"/>
      <c r="D122" s="1177"/>
      <c r="E122" s="1178"/>
      <c r="F122" s="1176"/>
      <c r="G122" s="481"/>
      <c r="H122" s="1811"/>
      <c r="I122" s="1811"/>
      <c r="J122" s="1811"/>
      <c r="K122" s="1811"/>
      <c r="L122" s="1811"/>
      <c r="M122" s="1811"/>
      <c r="N122" s="1176"/>
      <c r="O122" s="1176"/>
      <c r="P122" s="1176"/>
      <c r="Q122" s="1176"/>
      <c r="R122" s="1176"/>
      <c r="S122" s="1179"/>
      <c r="T122" s="1179"/>
      <c r="U122" s="1176"/>
      <c r="V122" s="1176"/>
      <c r="W122" s="1176"/>
      <c r="X122" s="1176"/>
      <c r="Y122" s="1176"/>
      <c r="Z122" s="1180"/>
      <c r="AA122" s="1181">
        <f t="array" aca="1" ref="AA122" ca="1">SUM(IF($W$17:$W$118=AA$120,AE$17:AE$118))</f>
        <v>485383.80702625006</v>
      </c>
      <c r="AB122" s="1182"/>
      <c r="AC122" s="1182"/>
      <c r="AD122" s="1183">
        <f t="array" aca="1" ref="AD122" ca="1">SUM(IF($W$17:$W$118=AD$120,AE$17:AE$118))</f>
        <v>42735.604292737495</v>
      </c>
      <c r="AE122" s="1183">
        <f t="array" aca="1" ref="AE122" ca="1">SUM(IF($W$17:$W$118=AE$120,AE$17:AE$118))</f>
        <v>174942.75345999998</v>
      </c>
      <c r="AF122" s="1183">
        <f t="array" aca="1" ref="AF122" ca="1">SUM(IF($W$17:$W$118=AF$120,AE$17:AE$118))</f>
        <v>0</v>
      </c>
      <c r="AG122" s="1184">
        <f t="array" aca="1" ref="AG122" ca="1">SUM(IF($W$17:$W$118=AG$120,AI$17:AI$118))</f>
        <v>9994.058065686575</v>
      </c>
      <c r="AH122" s="1183">
        <f t="array" aca="1" ref="AH122" ca="1">SUM(IF($W$17:$W$118=AH$120,AI$17:AI$118))</f>
        <v>-130337.41381286128</v>
      </c>
      <c r="AI122" s="1183">
        <f t="array" aca="1" ref="AI122" ca="1">SUM(IF($W$17:$W$118=AI$120,AI$17:AI$118))</f>
        <v>822.78773474689478</v>
      </c>
      <c r="AJ122" s="1185">
        <f t="array" aca="1" ref="AJ122" ca="1">SUM(IF($W$17:$W$118=AJ$120,AI$17:AI$118))</f>
        <v>0</v>
      </c>
      <c r="AK122" s="1184">
        <f t="array" aca="1" ref="AK122" ca="1">SUM(IF($W$17:$W$118=AK$120,AM$17:AM$118))</f>
        <v>0</v>
      </c>
      <c r="AL122" s="1183">
        <f t="array" aca="1" ref="AL122" ca="1">SUM(IF($W$17:$W$118=AL$120,AM$17:AM$118))</f>
        <v>0</v>
      </c>
      <c r="AM122" s="1183">
        <f t="array" aca="1" ref="AM122" ca="1">SUM(IF($W$17:$W$118=AM$120,AM$17:AM$118))</f>
        <v>18260.0046</v>
      </c>
      <c r="AN122" s="1185">
        <f t="array" aca="1" ref="AN122" ca="1">SUM(IF($W$17:$W$118=AN$120,AM$17:AM$118))</f>
        <v>0</v>
      </c>
      <c r="AO122" s="1183">
        <f t="array" aca="1" ref="AO122" ca="1">SUM(IF($W$17:$W$118=AO$120,AQ$17:AQ$118))</f>
        <v>42735.604292737495</v>
      </c>
      <c r="AP122" s="1183">
        <f t="array" aca="1" ref="AP122" ca="1">SUM(IF($W$17:$W$118=AP$120,AQ$17:AQ$118))</f>
        <v>485383.80702625006</v>
      </c>
      <c r="AQ122" s="1183">
        <f t="array" aca="1" ref="AQ122" ca="1">SUM(IF($W$17:$W$118=AQ$120,AQ$17:AQ$118))</f>
        <v>174942.75345999998</v>
      </c>
      <c r="AR122" s="1183">
        <f t="array" aca="1" ref="AR122" ca="1">SUM(IF($W$17:$W$118=AR$120,AQ$17:AQ$118))</f>
        <v>0</v>
      </c>
      <c r="AS122" s="1186" t="s">
        <v>718</v>
      </c>
      <c r="AT122" s="1181">
        <f t="array" aca="1" ref="AT122" ca="1">SUM(IF($W$17:$W$118=AT$120,AX$17:AX$118))</f>
        <v>782221.07958364999</v>
      </c>
      <c r="AU122" s="1182"/>
      <c r="AV122" s="1182"/>
      <c r="AW122" s="1183">
        <f t="array" aca="1" ref="AW122" ca="1">SUM(IF($W$17:$W$118=AW$120,AX$17:AX$118))</f>
        <v>78418.7059725375</v>
      </c>
      <c r="AX122" s="1183">
        <f t="array" aca="1" ref="AX122" ca="1">SUM(IF($W$17:$W$118=AX$120,AX$17:AX$118))</f>
        <v>300597.71319000004</v>
      </c>
      <c r="AY122" s="1183">
        <f t="array" aca="1" ref="AY122" ca="1">SUM(IF($W$17:$W$118=AY$120,AX$17:AX$118))</f>
        <v>0</v>
      </c>
      <c r="AZ122" s="1184">
        <f t="array" aca="1" ref="AZ122" ca="1">SUM(IF($W$17:$W$118=AZ$120,BB$17:BB$118))</f>
        <v>8674.1064334265593</v>
      </c>
      <c r="BA122" s="1183">
        <f t="array" aca="1" ref="BA122" ca="1">SUM(IF($W$17:$W$118=BA$120,BB$17:BB$118))</f>
        <v>-195796.14271682533</v>
      </c>
      <c r="BB122" s="1183">
        <f t="array" aca="1" ref="BB122" ca="1">SUM(IF($W$17:$W$118=BB$120,BB$17:BB$118))</f>
        <v>-10288.338503453131</v>
      </c>
      <c r="BC122" s="1185">
        <f t="array" aca="1" ref="BC122" ca="1">SUM(IF($W$17:$W$118=BC$120,BB$17:BB$118))</f>
        <v>0</v>
      </c>
      <c r="BD122" s="1184">
        <f t="array" aca="1" ref="BD122" ca="1">SUM(IF($W$17:$W$118=BD$120,BF$17:BF$118))</f>
        <v>0</v>
      </c>
      <c r="BE122" s="1183">
        <f t="array" aca="1" ref="BE122" ca="1">SUM(IF($W$17:$W$118=BE$120,BF$17:BF$118))</f>
        <v>0</v>
      </c>
      <c r="BF122" s="1183">
        <f t="array" aca="1" ref="BF122" ca="1">SUM(IF($W$17:$W$118=BF$120,BF$17:BF$118))</f>
        <v>26375.5622</v>
      </c>
      <c r="BG122" s="1185">
        <f t="array" aca="1" ref="BG122" ca="1">SUM(IF($W$17:$W$118=BG$120,BF$17:BF$118))</f>
        <v>0</v>
      </c>
      <c r="BH122" s="1183">
        <f t="array" aca="1" ref="BH122" ca="1">SUM(IF($W$17:$W$118=BH$120,BJ$17:BJ$118))</f>
        <v>78418.7059725375</v>
      </c>
      <c r="BI122" s="1183">
        <f t="array" aca="1" ref="BI122" ca="1">SUM(IF($W$17:$W$118=BI$120,BJ$17:BJ$118))</f>
        <v>782221.07958364999</v>
      </c>
      <c r="BJ122" s="1183">
        <f t="array" aca="1" ref="BJ122" ca="1">SUM(IF($W$17:$W$118=BJ$120,BJ$17:BJ$118))</f>
        <v>300597.71319000004</v>
      </c>
      <c r="BK122" s="1183">
        <f t="array" aca="1" ref="BK122" ca="1">SUM(IF($W$17:$W$118=BK$120,BJ$17:BJ$118))</f>
        <v>0</v>
      </c>
      <c r="BL122" s="1186" t="s">
        <v>718</v>
      </c>
      <c r="BM122" s="1181">
        <f t="array" aca="1" ref="BM122" ca="1">SUM(IF($W$17:$W$118=BM$120,BQ$17:BQ$118))</f>
        <v>406167.48432185006</v>
      </c>
      <c r="BN122" s="1182"/>
      <c r="BO122" s="1182"/>
      <c r="BP122" s="1183">
        <f t="array" aca="1" ref="BP122" ca="1">SUM(IF($W$17:$W$118=BP$120,BQ$17:BQ$118))</f>
        <v>34800.344844245992</v>
      </c>
      <c r="BQ122" s="1183">
        <f t="array" aca="1" ref="BQ122" ca="1">SUM(IF($W$17:$W$118=BQ$120,BQ$17:BQ$118))</f>
        <v>191308.0993</v>
      </c>
      <c r="BR122" s="1183">
        <f t="array" aca="1" ref="BR122" ca="1">SUM(IF($W$17:$W$118=BR$120,BQ$17:BQ$118))</f>
        <v>0</v>
      </c>
      <c r="BS122" s="1184">
        <f t="array" aca="1" ref="BS122" ca="1">SUM(IF($W$17:$W$118=BS$120,BU$17:BU$118))</f>
        <v>12620.349790711198</v>
      </c>
      <c r="BT122" s="1183">
        <f t="array" aca="1" ref="BT122" ca="1">SUM(IF($W$17:$W$118=BT$120,BU$17:BU$118))</f>
        <v>-86868.14044647156</v>
      </c>
      <c r="BU122" s="1183">
        <f t="array" aca="1" ref="BU122" ca="1">SUM(IF($W$17:$W$118=BU$120,BU$17:BU$118))</f>
        <v>-33239.117183476003</v>
      </c>
      <c r="BV122" s="1185">
        <f t="array" aca="1" ref="BV122" ca="1">SUM(IF($W$17:$W$118=BV$120,BU$17:BU$118))</f>
        <v>0</v>
      </c>
      <c r="BW122" s="1184">
        <f t="array" aca="1" ref="BW122" ca="1">SUM(IF($W$17:$W$118=BW$120,BY$17:BY$118))</f>
        <v>0</v>
      </c>
      <c r="BX122" s="1183">
        <f t="array" aca="1" ref="BX122" ca="1">SUM(IF($W$17:$W$118=BX$120,BY$17:BY$118))</f>
        <v>0</v>
      </c>
      <c r="BY122" s="1183">
        <f t="array" aca="1" ref="BY122" ca="1">SUM(IF($W$17:$W$118=BY$120,BY$17:BY$118))</f>
        <v>16231.115199999998</v>
      </c>
      <c r="BZ122" s="1185">
        <f t="array" aca="1" ref="BZ122" ca="1">SUM(IF($W$17:$W$118=BZ$120,BY$17:BY$118))</f>
        <v>0</v>
      </c>
      <c r="CA122" s="1183">
        <f t="array" aca="1" ref="CA122" ca="1">SUM(IF($W$17:$W$118=CA$120,CC$17:CC$118))</f>
        <v>34800.344844245992</v>
      </c>
      <c r="CB122" s="1183">
        <f t="array" aca="1" ref="CB122" ca="1">SUM(IF($W$17:$W$118=CB$120,CC$17:CC$118))</f>
        <v>406167.48432185006</v>
      </c>
      <c r="CC122" s="1183">
        <f t="array" aca="1" ref="CC122" ca="1">SUM(IF($W$17:$W$118=CC$120,CC$17:CC$118))</f>
        <v>191308.0993</v>
      </c>
      <c r="CD122" s="1183">
        <f t="array" aca="1" ref="CD122" ca="1">SUM(IF($W$17:$W$118=CD$120,CC$17:CC$118))</f>
        <v>0</v>
      </c>
      <c r="CE122" s="1186" t="s">
        <v>718</v>
      </c>
      <c r="CF122" s="1181">
        <f t="array" aca="1" ref="CF122" ca="1">SUM(IF($W$17:$W$118=CF$120,CJ$17:CJ$118))</f>
        <v>105473.59535769999</v>
      </c>
      <c r="CG122" s="1182"/>
      <c r="CH122" s="1182"/>
      <c r="CI122" s="1183">
        <f t="array" aca="1" ref="CI122" ca="1">SUM(IF($W$17:$W$118=CI$120,CJ$17:CJ$118))</f>
        <v>9069.6092536515007</v>
      </c>
      <c r="CJ122" s="1183">
        <f t="array" aca="1" ref="CJ122" ca="1">SUM(IF($W$17:$W$118=CJ$120,CJ$17:CJ$118))</f>
        <v>44913.173899999994</v>
      </c>
      <c r="CK122" s="1183">
        <f t="array" aca="1" ref="CK122" ca="1">SUM(IF($W$17:$W$118=CK$120,CJ$17:CJ$118))</f>
        <v>0</v>
      </c>
      <c r="CL122" s="1184">
        <f t="array" aca="1" ref="CL122" ca="1">SUM(IF($W$17:$W$118=CL$120,CN$17:CN$118))</f>
        <v>-9069.6092536515007</v>
      </c>
      <c r="CM122" s="1183">
        <f t="array" aca="1" ref="CM122" ca="1">SUM(IF($W$17:$W$118=CM$120,CN$17:CN$118))</f>
        <v>-67204.064514975646</v>
      </c>
      <c r="CN122" s="1183">
        <f t="array" aca="1" ref="CN122" ca="1">SUM(IF($W$17:$W$118=CN$120,CN$17:CN$118))</f>
        <v>-17008.307660513488</v>
      </c>
      <c r="CO122" s="1185">
        <f t="array" aca="1" ref="CO122" ca="1">SUM(IF($W$17:$W$118=CO$120,CN$17:CN$118))</f>
        <v>0</v>
      </c>
      <c r="CP122" s="1184">
        <f t="array" aca="1" ref="CP122" ca="1">SUM(IF($W$17:$W$118=CP$120,CR$17:CR$118))</f>
        <v>0</v>
      </c>
      <c r="CQ122" s="1183">
        <f t="array" aca="1" ref="CQ122" ca="1">SUM(IF($W$17:$W$118=CQ$120,CR$17:CR$118))</f>
        <v>3017</v>
      </c>
      <c r="CR122" s="1183">
        <f t="array" aca="1" ref="CR122" ca="1">SUM(IF($W$17:$W$118=CR$120,CR$17:CR$118))</f>
        <v>1040.7787999999996</v>
      </c>
      <c r="CS122" s="1185">
        <f t="array" aca="1" ref="CS122" ca="1">SUM(IF($W$17:$W$118=CS$120,CR$17:CR$118))</f>
        <v>0</v>
      </c>
      <c r="CT122" s="1183">
        <f t="array" aca="1" ref="CT122" ca="1">SUM(IF($W$17:$W$118=CT$120,CV$17:CV$118))</f>
        <v>9069.6092536515007</v>
      </c>
      <c r="CU122" s="1183">
        <f t="array" aca="1" ref="CU122" ca="1">SUM(IF($W$17:$W$118=CU$120,CV$17:CV$118))</f>
        <v>108490.59535769999</v>
      </c>
      <c r="CV122" s="1183">
        <f t="array" aca="1" ref="CV122" ca="1">SUM(IF($W$17:$W$118=CV$120,CV$17:CV$118))</f>
        <v>41896.173899999994</v>
      </c>
      <c r="CW122" s="1183">
        <f t="array" aca="1" ref="CW122" ca="1">SUM(IF($W$17:$W$118=CW$120,CV$17:CV$118))</f>
        <v>0</v>
      </c>
      <c r="CX122" s="1186" t="s">
        <v>718</v>
      </c>
    </row>
    <row r="123" spans="1:102" s="1187" customFormat="1" x14ac:dyDescent="0.2">
      <c r="A123" s="1188"/>
      <c r="B123" s="1188" t="s">
        <v>809</v>
      </c>
      <c r="C123" s="1188"/>
      <c r="D123" s="1189"/>
      <c r="E123" s="1190"/>
      <c r="F123" s="1188"/>
      <c r="G123" s="682"/>
      <c r="H123" s="1812"/>
      <c r="I123" s="1812"/>
      <c r="J123" s="1812"/>
      <c r="K123" s="1812"/>
      <c r="L123" s="1812"/>
      <c r="M123" s="1812"/>
      <c r="N123" s="1188"/>
      <c r="O123" s="1188"/>
      <c r="P123" s="1188"/>
      <c r="Q123" s="1188"/>
      <c r="R123" s="1188"/>
      <c r="S123" s="1191"/>
      <c r="T123" s="1191"/>
      <c r="U123" s="1188"/>
      <c r="V123" s="1188"/>
      <c r="W123" s="1188"/>
      <c r="X123" s="1188"/>
      <c r="Y123" s="1188"/>
      <c r="Z123" s="1192"/>
      <c r="AA123" s="1193">
        <f t="array" aca="1" ref="AA123" ca="1">SUM(IF($W$17:$W$118=AA$120,AD$17:AD$118))</f>
        <v>485383.80702625006</v>
      </c>
      <c r="AB123" s="1194"/>
      <c r="AC123" s="1194"/>
      <c r="AD123" s="1195">
        <f t="array" aca="1" ref="AD123" ca="1">SUM(IF($W$17:$W$118=AD$120,AD$17:AD$118))</f>
        <v>38789.25</v>
      </c>
      <c r="AE123" s="1195">
        <f t="array" aca="1" ref="AE123" ca="1">SUM(IF($W$17:$W$118=AE$120,AD$17:AD$118))</f>
        <v>202949.83</v>
      </c>
      <c r="AF123" s="1195">
        <f t="array" aca="1" ref="AF123" ca="1">SUM(IF($W$17:$W$118=AF$120,AD$17:AD$118))</f>
        <v>0</v>
      </c>
      <c r="AG123" s="1196">
        <f t="array" aca="1" ref="AG123" ca="1">SUM(IF($W$17:$W$118=AG$120,AH$17:AH$118))</f>
        <v>9071.1719944091765</v>
      </c>
      <c r="AH123" s="1195">
        <f t="array" aca="1" ref="AH123" ca="1">SUM(IF($W$17:$W$118=AH$120,AH$17:AH$118))</f>
        <v>-130337.41381286128</v>
      </c>
      <c r="AI123" s="1195">
        <f t="array" aca="1" ref="AI123" ca="1">SUM(IF($W$17:$W$118=AI$120,AH$17:AH$118))</f>
        <v>954.51013311704446</v>
      </c>
      <c r="AJ123" s="1197">
        <f t="array" aca="1" ref="AJ123" ca="1">SUM(IF($W$17:$W$118=AJ$120,AH$17:AH$118))</f>
        <v>0</v>
      </c>
      <c r="AK123" s="1196">
        <f t="array" aca="1" ref="AK123" ca="1">SUM(IF($W$17:$W$118=AK$120,AL$17:AL$118))</f>
        <v>0</v>
      </c>
      <c r="AL123" s="1195">
        <f t="array" aca="1" ref="AL123" ca="1">SUM(IF($W$17:$W$118=AL$120,AL$17:AL$118))</f>
        <v>0</v>
      </c>
      <c r="AM123" s="1195">
        <f t="array" aca="1" ref="AM123" ca="1">SUM(IF($W$17:$W$118=AM$120,AL$17:AL$118))</f>
        <v>21183.3</v>
      </c>
      <c r="AN123" s="1197">
        <f t="array" aca="1" ref="AN123" ca="1">SUM(IF($W$17:$W$118=AN$120,AL$17:AL$118))</f>
        <v>0</v>
      </c>
      <c r="AO123" s="1195">
        <f t="array" aca="1" ref="AO123" ca="1">SUM(IF($W$17:$W$118=AO$120,AP$17:AP$118))</f>
        <v>38789.25</v>
      </c>
      <c r="AP123" s="1195">
        <f t="array" aca="1" ref="AP123" ca="1">SUM(IF($W$17:$W$118=AP$120,AP$17:AP$118))</f>
        <v>485383.80702625006</v>
      </c>
      <c r="AQ123" s="1195">
        <f t="array" aca="1" ref="AQ123" ca="1">SUM(IF($W$17:$W$118=AQ$120,AP$17:AP$118))</f>
        <v>202949.83</v>
      </c>
      <c r="AR123" s="1195">
        <f t="array" aca="1" ref="AR123" ca="1">SUM(IF($W$17:$W$118=AR$120,AP$17:AP$118))</f>
        <v>0</v>
      </c>
      <c r="AS123" s="1198" t="s">
        <v>718</v>
      </c>
      <c r="AT123" s="1193">
        <f t="array" aca="1" ref="AT123" ca="1">SUM(IF($W$17:$W$118=AT$120,AW$17:AW$118))</f>
        <v>782221.07958364999</v>
      </c>
      <c r="AU123" s="1194"/>
      <c r="AV123" s="1194"/>
      <c r="AW123" s="1195">
        <f t="array" aca="1" ref="AW123" ca="1">SUM(IF($W$17:$W$118=AW$120,AW$17:AW$118))</f>
        <v>71177.25</v>
      </c>
      <c r="AX123" s="1195">
        <f t="array" aca="1" ref="AX123" ca="1">SUM(IF($W$17:$W$118=AX$120,AW$17:AW$118))</f>
        <v>348721.245</v>
      </c>
      <c r="AY123" s="1195">
        <f t="array" aca="1" ref="AY123" ca="1">SUM(IF($W$17:$W$118=AY$120,AW$17:AW$118))</f>
        <v>0</v>
      </c>
      <c r="AZ123" s="1196">
        <f t="array" aca="1" ref="AZ123" ca="1">SUM(IF($W$17:$W$118=AZ$120,BA$17:BA$118))</f>
        <v>7873.1092853639548</v>
      </c>
      <c r="BA123" s="1195">
        <f t="array" aca="1" ref="BA123" ca="1">SUM(IF($W$17:$W$118=BA$120,BA$17:BA$118))</f>
        <v>-195796.14271682533</v>
      </c>
      <c r="BB123" s="1195">
        <f t="array" aca="1" ref="BB123" ca="1">SUM(IF($W$17:$W$118=BB$120,BA$17:BA$118))</f>
        <v>-11935.427498205478</v>
      </c>
      <c r="BC123" s="1197">
        <f t="array" aca="1" ref="BC123" ca="1">SUM(IF($W$17:$W$118=BC$120,BA$17:BA$118))</f>
        <v>0</v>
      </c>
      <c r="BD123" s="1196">
        <f t="array" aca="1" ref="BD123" ca="1">SUM(IF($W$17:$W$118=BD$120,BE$17:BE$118))</f>
        <v>0</v>
      </c>
      <c r="BE123" s="1195">
        <f t="array" aca="1" ref="BE123" ca="1">SUM(IF($W$17:$W$118=BE$120,BE$17:BE$118))</f>
        <v>0</v>
      </c>
      <c r="BF123" s="1195">
        <f t="array" aca="1" ref="BF123" ca="1">SUM(IF($W$17:$W$118=BF$120,BE$17:BE$118))</f>
        <v>30598.100000000002</v>
      </c>
      <c r="BG123" s="1197">
        <f t="array" aca="1" ref="BG123" ca="1">SUM(IF($W$17:$W$118=BG$120,BE$17:BE$118))</f>
        <v>0</v>
      </c>
      <c r="BH123" s="1195">
        <f t="array" aca="1" ref="BH123" ca="1">SUM(IF($W$17:$W$118=BH$120,BI$17:BI$118))</f>
        <v>71177.25</v>
      </c>
      <c r="BI123" s="1195">
        <f t="array" aca="1" ref="BI123" ca="1">SUM(IF($W$17:$W$118=BI$120,BI$17:BI$118))</f>
        <v>782221.07958364999</v>
      </c>
      <c r="BJ123" s="1195">
        <f t="array" aca="1" ref="BJ123" ca="1">SUM(IF($W$17:$W$118=BJ$120,BI$17:BI$118))</f>
        <v>348721.245</v>
      </c>
      <c r="BK123" s="1195">
        <f t="array" aca="1" ref="BK123" ca="1">SUM(IF($W$17:$W$118=BK$120,BI$17:BI$118))</f>
        <v>0</v>
      </c>
      <c r="BL123" s="1198" t="s">
        <v>718</v>
      </c>
      <c r="BM123" s="1193">
        <f t="array" aca="1" ref="BM123" ca="1">SUM(IF($W$17:$W$118=BM$120,BP$17:BP$118))</f>
        <v>406167.48432185006</v>
      </c>
      <c r="BN123" s="1194"/>
      <c r="BO123" s="1194"/>
      <c r="BP123" s="1195">
        <f t="array" aca="1" ref="BP123" ca="1">SUM(IF($W$17:$W$118=BP$120,BP$17:BP$118))</f>
        <v>31586.76</v>
      </c>
      <c r="BQ123" s="1195">
        <f t="array" aca="1" ref="BQ123" ca="1">SUM(IF($W$17:$W$118=BQ$120,BP$17:BP$118))</f>
        <v>221935.15</v>
      </c>
      <c r="BR123" s="1195">
        <f t="array" aca="1" ref="BR123" ca="1">SUM(IF($W$17:$W$118=BR$120,BP$17:BP$118))</f>
        <v>0</v>
      </c>
      <c r="BS123" s="1196">
        <f t="array" aca="1" ref="BS123" ca="1">SUM(IF($W$17:$W$118=BS$120,BT$17:BT$118))</f>
        <v>11454.942809888753</v>
      </c>
      <c r="BT123" s="1195">
        <f t="array" aca="1" ref="BT123" ca="1">SUM(IF($W$17:$W$118=BT$120,BT$17:BT$118))</f>
        <v>-86868.14044647156</v>
      </c>
      <c r="BU123" s="1195">
        <f t="array" aca="1" ref="BU123" ca="1">SUM(IF($W$17:$W$118=BU$120,BT$17:BT$118))</f>
        <v>-38560.460769693746</v>
      </c>
      <c r="BV123" s="1197">
        <f t="array" aca="1" ref="BV123" ca="1">SUM(IF($W$17:$W$118=BV$120,BT$17:BT$118))</f>
        <v>0</v>
      </c>
      <c r="BW123" s="1196">
        <f t="array" aca="1" ref="BW123" ca="1">SUM(IF($W$17:$W$118=BW$120,BX$17:BX$118))</f>
        <v>0</v>
      </c>
      <c r="BX123" s="1195">
        <f t="array" aca="1" ref="BX123" ca="1">SUM(IF($W$17:$W$118=BX$120,BX$17:BX$118))</f>
        <v>0</v>
      </c>
      <c r="BY123" s="1195">
        <f t="array" aca="1" ref="BY123" ca="1">SUM(IF($W$17:$W$118=BY$120,BX$17:BX$118))</f>
        <v>18829.599999999999</v>
      </c>
      <c r="BZ123" s="1197">
        <f t="array" aca="1" ref="BZ123" ca="1">SUM(IF($W$17:$W$118=BZ$120,BX$17:BX$118))</f>
        <v>0</v>
      </c>
      <c r="CA123" s="1195">
        <f t="array" aca="1" ref="CA123" ca="1">SUM(IF($W$17:$W$118=CA$120,CB$17:CB$118))</f>
        <v>31586.76</v>
      </c>
      <c r="CB123" s="1195">
        <f t="array" aca="1" ref="CB123" ca="1">SUM(IF($W$17:$W$118=CB$120,CB$17:CB$118))</f>
        <v>406167.48432185006</v>
      </c>
      <c r="CC123" s="1195">
        <f t="array" aca="1" ref="CC123" ca="1">SUM(IF($W$17:$W$118=CC$120,CB$17:CB$118))</f>
        <v>221935.15</v>
      </c>
      <c r="CD123" s="1195">
        <f t="array" aca="1" ref="CD123" ca="1">SUM(IF($W$17:$W$118=CD$120,CB$17:CB$118))</f>
        <v>0</v>
      </c>
      <c r="CE123" s="1198" t="s">
        <v>718</v>
      </c>
      <c r="CF123" s="1193">
        <f t="array" aca="1" ref="CF123" ca="1">SUM(IF($W$17:$W$118=CF$120,CI$17:CI$118))</f>
        <v>105473.59535769999</v>
      </c>
      <c r="CG123" s="1194"/>
      <c r="CH123" s="1194"/>
      <c r="CI123" s="1195">
        <f t="array" aca="1" ref="CI123" ca="1">SUM(IF($W$17:$W$118=CI$120,CI$17:CI$118))</f>
        <v>8232.09</v>
      </c>
      <c r="CJ123" s="1195">
        <f t="array" aca="1" ref="CJ123" ca="1">SUM(IF($W$17:$W$118=CJ$120,CI$17:CI$118))</f>
        <v>52103.45</v>
      </c>
      <c r="CK123" s="1195">
        <f t="array" aca="1" ref="CK123" ca="1">SUM(IF($W$17:$W$118=CK$120,CI$17:CI$118))</f>
        <v>0</v>
      </c>
      <c r="CL123" s="1196">
        <f t="array" aca="1" ref="CL123" ca="1">SUM(IF($W$17:$W$118=CL$120,CM$17:CM$118))</f>
        <v>-8232.09</v>
      </c>
      <c r="CM123" s="1195">
        <f t="array" aca="1" ref="CM123" ca="1">SUM(IF($W$17:$W$118=CM$120,CM$17:CM$118))</f>
        <v>-67204.064514975646</v>
      </c>
      <c r="CN123" s="1195">
        <f t="array" aca="1" ref="CN123" ca="1">SUM(IF($W$17:$W$118=CN$120,CM$17:CM$118))</f>
        <v>-19731.215383426323</v>
      </c>
      <c r="CO123" s="1197">
        <f t="array" aca="1" ref="CO123" ca="1">SUM(IF($W$17:$W$118=CO$120,CM$17:CM$118))</f>
        <v>0</v>
      </c>
      <c r="CP123" s="1196">
        <f t="array" aca="1" ref="CP123" ca="1">SUM(IF($W$17:$W$118=CP$120,CQ$17:CQ$118))</f>
        <v>0</v>
      </c>
      <c r="CQ123" s="1195">
        <f t="array" aca="1" ref="CQ123" ca="1">SUM(IF($W$17:$W$118=CQ$120,CQ$17:CQ$118))</f>
        <v>3017</v>
      </c>
      <c r="CR123" s="1195">
        <f t="array" aca="1" ref="CR123" ca="1">SUM(IF($W$17:$W$118=CR$120,CQ$17:CQ$118))</f>
        <v>1207.3999999999996</v>
      </c>
      <c r="CS123" s="1197">
        <f t="array" aca="1" ref="CS123" ca="1">SUM(IF($W$17:$W$118=CS$120,CQ$17:CQ$118))</f>
        <v>0</v>
      </c>
      <c r="CT123" s="1195">
        <f t="array" aca="1" ref="CT123" ca="1">SUM(IF($W$17:$W$118=CT$120,CU$17:CU$118))</f>
        <v>8232.09</v>
      </c>
      <c r="CU123" s="1195">
        <f t="array" aca="1" ref="CU123" ca="1">SUM(IF($W$17:$W$118=CU$120,CU$17:CU$118))</f>
        <v>108490.59535769999</v>
      </c>
      <c r="CV123" s="1195">
        <f t="array" aca="1" ref="CV123" ca="1">SUM(IF($W$17:$W$118=CV$120,CU$17:CU$118))</f>
        <v>48603.45</v>
      </c>
      <c r="CW123" s="1195">
        <f t="array" aca="1" ref="CW123" ca="1">SUM(IF($W$17:$W$118=CW$120,CU$17:CU$118))</f>
        <v>0</v>
      </c>
      <c r="CX123" s="1198" t="s">
        <v>718</v>
      </c>
    </row>
  </sheetData>
  <autoFilter ref="A16:CX123" xr:uid="{9F63AD54-A56F-4C55-8AD6-974AFA8A35E6}"/>
  <dataConsolidate/>
  <mergeCells count="49">
    <mergeCell ref="Q5:R5"/>
    <mergeCell ref="AA5:AR5"/>
    <mergeCell ref="AT5:BK5"/>
    <mergeCell ref="CL15:CO15"/>
    <mergeCell ref="CA15:CD15"/>
    <mergeCell ref="BD15:BG15"/>
    <mergeCell ref="CF15:CK15"/>
    <mergeCell ref="CF4:CW4"/>
    <mergeCell ref="CF5:CW5"/>
    <mergeCell ref="BM4:CD4"/>
    <mergeCell ref="BM5:CD5"/>
    <mergeCell ref="AA12:AR12"/>
    <mergeCell ref="AT12:BK12"/>
    <mergeCell ref="BM12:CD12"/>
    <mergeCell ref="CF12:CW12"/>
    <mergeCell ref="CF8:CW8"/>
    <mergeCell ref="AA8:AR8"/>
    <mergeCell ref="AT8:BK8"/>
    <mergeCell ref="BM8:CD8"/>
    <mergeCell ref="AA4:AR4"/>
    <mergeCell ref="AT4:BK4"/>
    <mergeCell ref="CT15:CW15"/>
    <mergeCell ref="AA11:AR11"/>
    <mergeCell ref="AT11:BK11"/>
    <mergeCell ref="BM11:CD11"/>
    <mergeCell ref="CF11:CW11"/>
    <mergeCell ref="BH15:BK15"/>
    <mergeCell ref="BM15:BR15"/>
    <mergeCell ref="BS15:BV15"/>
    <mergeCell ref="BW15:BZ15"/>
    <mergeCell ref="CP15:CS15"/>
    <mergeCell ref="AA15:AF15"/>
    <mergeCell ref="AG15:AJ15"/>
    <mergeCell ref="AK15:AN15"/>
    <mergeCell ref="AO15:AR15"/>
    <mergeCell ref="AT15:AY15"/>
    <mergeCell ref="AZ15:BC15"/>
    <mergeCell ref="CF1:CW1"/>
    <mergeCell ref="CF2:CW2"/>
    <mergeCell ref="CF3:CW3"/>
    <mergeCell ref="AA1:AR1"/>
    <mergeCell ref="AA2:AR2"/>
    <mergeCell ref="AA3:AR3"/>
    <mergeCell ref="AT1:BK1"/>
    <mergeCell ref="AT2:BK2"/>
    <mergeCell ref="AT3:BK3"/>
    <mergeCell ref="BM1:CD1"/>
    <mergeCell ref="BM2:CD2"/>
    <mergeCell ref="BM3:CD3"/>
  </mergeCells>
  <conditionalFormatting sqref="AG95:AH95 AJ95 AG117:AJ118 AG96:AJ102 AG112:AJ113 AG104:AJ107 AG103:AH103 AJ103 AG93:AJ94 AG92:AH92 AJ92 AG55:AJ59 AG61:AJ65 AG40:AJ50 AZ95:BA95 BC95 AZ117:BC118 AZ96:BC102 AZ112:BC113 AZ104:BC107 AZ103:BA103 BC103 AZ93:BC94 AZ92:BA92 BC92 AZ55:BC59 AZ61:BC65 AZ40:BC50 BS95:BT95 BV95 BS117:BV118 BS96:BV102 BS112:BV113 BS104:BV107 BS103:BT103 BV103 BS93:BV94 BS92:BT92 BV92 BS55:BV59 BS61:BV65 BS40:BV50 CL95:CM95 CO95 CL117:CO118 CL96:CO102 CL112:CO113 CL104:CO107 CL103:CM103 CO103 CL93:CO94 CL92:CM92 CO92 CL55:CO59 CL61:CO65 CL40:CO50 AG67:AJ91 AZ67:BC91 BS67:BV91 CL67:CO91 AG17:AJ37 AZ17:BC37 BS17:BV37 CL17:CO37">
    <cfRule type="expression" dxfId="203" priority="107">
      <formula>ABS($AJ17)&lt;0.01</formula>
    </cfRule>
  </conditionalFormatting>
  <conditionalFormatting sqref="AG116:AJ116">
    <cfRule type="expression" dxfId="202" priority="106">
      <formula>ABS($AJ116)&lt;0.01</formula>
    </cfRule>
  </conditionalFormatting>
  <conditionalFormatting sqref="AG114:AJ114">
    <cfRule type="expression" dxfId="201" priority="105">
      <formula>ABS($BC114)&lt;0.01</formula>
    </cfRule>
  </conditionalFormatting>
  <conditionalFormatting sqref="AG38:AJ39">
    <cfRule type="expression" dxfId="200" priority="100">
      <formula>ABS($AJ38)&lt;0.01</formula>
    </cfRule>
  </conditionalFormatting>
  <conditionalFormatting sqref="AG54:AJ54">
    <cfRule type="expression" dxfId="199" priority="93">
      <formula>ABS($AJ54)&lt;0.01</formula>
    </cfRule>
  </conditionalFormatting>
  <conditionalFormatting sqref="AG60:AJ60">
    <cfRule type="expression" dxfId="198" priority="84">
      <formula>ABS($AJ60)&lt;0.01</formula>
    </cfRule>
  </conditionalFormatting>
  <conditionalFormatting sqref="AG66:AJ66">
    <cfRule type="expression" dxfId="197" priority="81">
      <formula>ABS($AJ66)&lt;0.01</formula>
    </cfRule>
  </conditionalFormatting>
  <conditionalFormatting sqref="AG108:AJ111">
    <cfRule type="expression" dxfId="196" priority="79">
      <formula>ABS($AJ108)&lt;0.01</formula>
    </cfRule>
  </conditionalFormatting>
  <conditionalFormatting sqref="AG115:AJ115">
    <cfRule type="expression" dxfId="195" priority="70">
      <formula>ABS($AJ115)&lt;0.01</formula>
    </cfRule>
  </conditionalFormatting>
  <conditionalFormatting sqref="AB118 AB115:AB116 AB113 AB109:AB111 AB105:AB107 AB102 AB100 AB96:AB97 AB93:AB94 AB80:AB81 AB83:AB91 AU118 AU115:AU116 AU113 AU109:AU111 AU105:AU107 AU102 AU100 AU96:AU97 AU93:AU94 AU80:AU81 AU83:AU91 BN118 BN115:BN116 BN113 BN109:BN111 BN105:BN107 BN102 BN100 BN96:BN97 BN93:BN94 BN80:BN81 BN83:BN91 CG118 CG115:CG116 CG113 CG109:CG111 CG105:CG107 CG102 CG100 CG96:CG97 CG93:CG94 CG80:CG81 CG83:CG91 AB63:AB64 AB60:AB61 AB50:AB58 AB43:AB48 AU63:AU64 AU60:AU61 AU50:AU58 AU43:AU48 BN63:BN64 BN60:BN61 BN50:BN58 BN43:BN48 CG63:CG64 CG60:CG61 CG50:CG58 CG43:CG48 AB66:AB78 AU66:AU78 BN66:BN78 CG66:CG78 AB23:AB40 AU23:AU40 BN23:BN40 CG23:CG40">
    <cfRule type="expression" dxfId="194" priority="59">
      <formula>$W:$W="Pct"</formula>
    </cfRule>
  </conditionalFormatting>
  <conditionalFormatting sqref="AB115:AB116 AB118 AB109:AB111 AB113 AB105:AB107 AB96:AB97 AB102 AB100 AB93:AB94 AB63:AB64 AB60:AB61 AB80:AB81 AB23:AB40 AB83:AB91 AB50:AB58 AB43:AB48 AB66:AB78">
    <cfRule type="dataBar" priority="60">
      <dataBar>
        <cfvo type="min"/>
        <cfvo type="max"/>
        <color rgb="FF63C384"/>
      </dataBar>
      <extLst>
        <ext xmlns:x14="http://schemas.microsoft.com/office/spreadsheetml/2009/9/main" uri="{B025F937-C7B1-47D3-B67F-A62EFF666E3E}">
          <x14:id>{A0880844-E838-43F1-89EB-82045A977264}</x14:id>
        </ext>
      </extLst>
    </cfRule>
  </conditionalFormatting>
  <conditionalFormatting sqref="X18:Y18 X19:X21">
    <cfRule type="expression" dxfId="193" priority="52">
      <formula>$M18="Pct"</formula>
    </cfRule>
  </conditionalFormatting>
  <conditionalFormatting sqref="Y19">
    <cfRule type="expression" dxfId="192" priority="51">
      <formula>$M19="Pct"</formula>
    </cfRule>
  </conditionalFormatting>
  <conditionalFormatting sqref="Y20:Y21">
    <cfRule type="expression" dxfId="191" priority="50">
      <formula>$M20="Pct"</formula>
    </cfRule>
  </conditionalFormatting>
  <conditionalFormatting sqref="A23:CW40">
    <cfRule type="expression" dxfId="190" priority="49">
      <formula>IFERROR(AND($G23&gt;0,$G23-TODAY()&lt;30),FALSE)</formula>
    </cfRule>
  </conditionalFormatting>
  <conditionalFormatting sqref="AG51:AJ51">
    <cfRule type="expression" dxfId="189" priority="44">
      <formula>ABS($AJ51)&lt;0.01</formula>
    </cfRule>
  </conditionalFormatting>
  <conditionalFormatting sqref="AG52:AJ52">
    <cfRule type="expression" dxfId="188" priority="42">
      <formula>ABS($AJ52)&lt;0.01</formula>
    </cfRule>
  </conditionalFormatting>
  <conditionalFormatting sqref="AG53:AJ53">
    <cfRule type="expression" dxfId="187" priority="40">
      <formula>ABS($AJ53)&lt;0.01</formula>
    </cfRule>
  </conditionalFormatting>
  <conditionalFormatting sqref="X22:X118">
    <cfRule type="expression" dxfId="186" priority="38">
      <formula>NOT(_xlfn.ISFORMULA($X22))</formula>
    </cfRule>
  </conditionalFormatting>
  <conditionalFormatting sqref="AZ116:BC116">
    <cfRule type="expression" dxfId="185" priority="37">
      <formula>ABS($AJ116)&lt;0.01</formula>
    </cfRule>
  </conditionalFormatting>
  <conditionalFormatting sqref="AZ114:BC114">
    <cfRule type="expression" dxfId="184" priority="36">
      <formula>ABS($BC114)&lt;0.01</formula>
    </cfRule>
  </conditionalFormatting>
  <conditionalFormatting sqref="AZ38:BC39">
    <cfRule type="expression" dxfId="183" priority="35">
      <formula>ABS($AJ38)&lt;0.01</formula>
    </cfRule>
  </conditionalFormatting>
  <conditionalFormatting sqref="AZ54:BC54">
    <cfRule type="expression" dxfId="182" priority="34">
      <formula>ABS($AJ54)&lt;0.01</formula>
    </cfRule>
  </conditionalFormatting>
  <conditionalFormatting sqref="AZ60:BC60">
    <cfRule type="expression" dxfId="181" priority="33">
      <formula>ABS($AJ60)&lt;0.01</formula>
    </cfRule>
  </conditionalFormatting>
  <conditionalFormatting sqref="AZ66:BC66">
    <cfRule type="expression" dxfId="180" priority="32">
      <formula>ABS($AJ66)&lt;0.01</formula>
    </cfRule>
  </conditionalFormatting>
  <conditionalFormatting sqref="AZ108:BC111">
    <cfRule type="expression" dxfId="179" priority="31">
      <formula>ABS($AJ108)&lt;0.01</formula>
    </cfRule>
  </conditionalFormatting>
  <conditionalFormatting sqref="AZ115:BC115">
    <cfRule type="expression" dxfId="178" priority="30">
      <formula>ABS($AJ115)&lt;0.01</formula>
    </cfRule>
  </conditionalFormatting>
  <conditionalFormatting sqref="AU115:AU116 AU118 AU109:AU111 AU113 AU105:AU107 AU96:AU97 AU102 AU100 AU93:AU94 AU63:AU64 AU60:AU61 AU80:AU81 AU23:AU40 AU83:AU91 AU50:AU58 AU43:AU48 AU66:AU78">
    <cfRule type="dataBar" priority="29">
      <dataBar>
        <cfvo type="min"/>
        <cfvo type="max"/>
        <color rgb="FF63C384"/>
      </dataBar>
      <extLst>
        <ext xmlns:x14="http://schemas.microsoft.com/office/spreadsheetml/2009/9/main" uri="{B025F937-C7B1-47D3-B67F-A62EFF666E3E}">
          <x14:id>{83F598A6-2102-40E4-A002-14475969E274}</x14:id>
        </ext>
      </extLst>
    </cfRule>
  </conditionalFormatting>
  <conditionalFormatting sqref="AZ51:BC51">
    <cfRule type="expression" dxfId="177" priority="28">
      <formula>ABS($AJ51)&lt;0.01</formula>
    </cfRule>
  </conditionalFormatting>
  <conditionalFormatting sqref="AZ52:BC52">
    <cfRule type="expression" dxfId="176" priority="27">
      <formula>ABS($AJ52)&lt;0.01</formula>
    </cfRule>
  </conditionalFormatting>
  <conditionalFormatting sqref="AZ53:BC53">
    <cfRule type="expression" dxfId="175" priority="26">
      <formula>ABS($AJ53)&lt;0.01</formula>
    </cfRule>
  </conditionalFormatting>
  <conditionalFormatting sqref="BS116:BV116">
    <cfRule type="expression" dxfId="174" priority="25">
      <formula>ABS($AJ116)&lt;0.01</formula>
    </cfRule>
  </conditionalFormatting>
  <conditionalFormatting sqref="BS114:BV114">
    <cfRule type="expression" dxfId="173" priority="24">
      <formula>ABS($BC114)&lt;0.01</formula>
    </cfRule>
  </conditionalFormatting>
  <conditionalFormatting sqref="BS38:BV39">
    <cfRule type="expression" dxfId="172" priority="23">
      <formula>ABS($AJ38)&lt;0.01</formula>
    </cfRule>
  </conditionalFormatting>
  <conditionalFormatting sqref="BS54:BV54">
    <cfRule type="expression" dxfId="171" priority="22">
      <formula>ABS($AJ54)&lt;0.01</formula>
    </cfRule>
  </conditionalFormatting>
  <conditionalFormatting sqref="BS60:BV60">
    <cfRule type="expression" dxfId="170" priority="21">
      <formula>ABS($AJ60)&lt;0.01</formula>
    </cfRule>
  </conditionalFormatting>
  <conditionalFormatting sqref="BS66:BV66">
    <cfRule type="expression" dxfId="169" priority="20">
      <formula>ABS($AJ66)&lt;0.01</formula>
    </cfRule>
  </conditionalFormatting>
  <conditionalFormatting sqref="BS108:BV111">
    <cfRule type="expression" dxfId="168" priority="19">
      <formula>ABS($AJ108)&lt;0.01</formula>
    </cfRule>
  </conditionalFormatting>
  <conditionalFormatting sqref="BS115:BV115">
    <cfRule type="expression" dxfId="167" priority="18">
      <formula>ABS($AJ115)&lt;0.01</formula>
    </cfRule>
  </conditionalFormatting>
  <conditionalFormatting sqref="BN115:BN116 BN118 BN109:BN111 BN113 BN105:BN107 BN96:BN97 BN102 BN100 BN93:BN94 BN63:BN64 BN60:BN61 BN80:BN81 BN23:BN40 BN83:BN91 BN50:BN58 BN43:BN48 BN66:BN78">
    <cfRule type="dataBar" priority="17">
      <dataBar>
        <cfvo type="min"/>
        <cfvo type="max"/>
        <color rgb="FF63C384"/>
      </dataBar>
      <extLst>
        <ext xmlns:x14="http://schemas.microsoft.com/office/spreadsheetml/2009/9/main" uri="{B025F937-C7B1-47D3-B67F-A62EFF666E3E}">
          <x14:id>{C5C7F54E-CF49-4A1F-B187-A0522313CFA4}</x14:id>
        </ext>
      </extLst>
    </cfRule>
  </conditionalFormatting>
  <conditionalFormatting sqref="BS51:BV51">
    <cfRule type="expression" dxfId="166" priority="16">
      <formula>ABS($AJ51)&lt;0.01</formula>
    </cfRule>
  </conditionalFormatting>
  <conditionalFormatting sqref="BS52:BV52">
    <cfRule type="expression" dxfId="165" priority="15">
      <formula>ABS($AJ52)&lt;0.01</formula>
    </cfRule>
  </conditionalFormatting>
  <conditionalFormatting sqref="BS53:BV53">
    <cfRule type="expression" dxfId="164" priority="14">
      <formula>ABS($AJ53)&lt;0.01</formula>
    </cfRule>
  </conditionalFormatting>
  <conditionalFormatting sqref="CL116:CO116">
    <cfRule type="expression" dxfId="163" priority="13">
      <formula>ABS($AJ116)&lt;0.01</formula>
    </cfRule>
  </conditionalFormatting>
  <conditionalFormatting sqref="CL114:CO114">
    <cfRule type="expression" dxfId="162" priority="12">
      <formula>ABS($BC114)&lt;0.01</formula>
    </cfRule>
  </conditionalFormatting>
  <conditionalFormatting sqref="CL38:CO39">
    <cfRule type="expression" dxfId="161" priority="11">
      <formula>ABS($AJ38)&lt;0.01</formula>
    </cfRule>
  </conditionalFormatting>
  <conditionalFormatting sqref="CL54:CO54">
    <cfRule type="expression" dxfId="160" priority="10">
      <formula>ABS($AJ54)&lt;0.01</formula>
    </cfRule>
  </conditionalFormatting>
  <conditionalFormatting sqref="CL60:CO60">
    <cfRule type="expression" dxfId="159" priority="9">
      <formula>ABS($AJ60)&lt;0.01</formula>
    </cfRule>
  </conditionalFormatting>
  <conditionalFormatting sqref="CL66:CO66">
    <cfRule type="expression" dxfId="158" priority="8">
      <formula>ABS($AJ66)&lt;0.01</formula>
    </cfRule>
  </conditionalFormatting>
  <conditionalFormatting sqref="CL108:CO111">
    <cfRule type="expression" dxfId="157" priority="7">
      <formula>ABS($AJ108)&lt;0.01</formula>
    </cfRule>
  </conditionalFormatting>
  <conditionalFormatting sqref="CL115:CO115">
    <cfRule type="expression" dxfId="156" priority="6">
      <formula>ABS($AJ115)&lt;0.01</formula>
    </cfRule>
  </conditionalFormatting>
  <conditionalFormatting sqref="CG115:CG116 CG118 CG109:CG111 CG113 CG105:CG107 CG96:CG97 CG102 CG100 CG93:CG94 CG63:CG64 CG60:CG61 CG80:CG81 CG23:CG40 CG83:CG91 CG50:CG58 CG43:CG48 CG66:CG78">
    <cfRule type="dataBar" priority="5">
      <dataBar>
        <cfvo type="min"/>
        <cfvo type="max"/>
        <color rgb="FF63C384"/>
      </dataBar>
      <extLst>
        <ext xmlns:x14="http://schemas.microsoft.com/office/spreadsheetml/2009/9/main" uri="{B025F937-C7B1-47D3-B67F-A62EFF666E3E}">
          <x14:id>{05923E11-7138-4CD2-AC35-D2EAB1EB2922}</x14:id>
        </ext>
      </extLst>
    </cfRule>
  </conditionalFormatting>
  <conditionalFormatting sqref="CL51:CO51">
    <cfRule type="expression" dxfId="155" priority="4">
      <formula>ABS($AJ51)&lt;0.01</formula>
    </cfRule>
  </conditionalFormatting>
  <conditionalFormatting sqref="CL52:CO52">
    <cfRule type="expression" dxfId="154" priority="3">
      <formula>ABS($AJ52)&lt;0.01</formula>
    </cfRule>
  </conditionalFormatting>
  <conditionalFormatting sqref="CL53:CO53">
    <cfRule type="expression" dxfId="153" priority="2">
      <formula>ABS($AJ53)&lt;0.01</formula>
    </cfRule>
  </conditionalFormatting>
  <conditionalFormatting sqref="Z18:Z21">
    <cfRule type="expression" dxfId="152" priority="1">
      <formula>NOT(_xlfn.ISFORMULA($Z18))</formula>
    </cfRule>
  </conditionalFormatting>
  <dataValidations count="1">
    <dataValidation type="list" allowBlank="1" showInputMessage="1" showErrorMessage="1" sqref="F113:G113 F115:G116 F118:G118 F63:G64 F96:G102 F109:G111 F105:G107 F18:G21 F93:G94 S18:S21 F43:G48 F60:G61 F80:G81 F83:G91 F50:G58 F66:G78 F23:F40" xr:uid="{7724A417-B56F-4331-A741-10A449E853FD}">
      <formula1>Descrizioni</formula1>
    </dataValidation>
  </dataValidations>
  <printOptions horizontalCentered="1"/>
  <pageMargins left="0.25" right="0.25" top="0.75" bottom="0.75" header="0.3" footer="0.3"/>
  <pageSetup paperSize="9" scale="98" fitToHeight="0" orientation="portrait" r:id="rId1"/>
  <headerFooter>
    <oddFooter>&amp;LPagina &amp;P di &amp;N&amp;R&amp;D</oddFooter>
  </headerFooter>
  <legacyDrawing r:id="rId2"/>
  <extLst>
    <ext xmlns:x14="http://schemas.microsoft.com/office/spreadsheetml/2009/9/main" uri="{78C0D931-6437-407d-A8EE-F0AAD7539E65}">
      <x14:conditionalFormattings>
        <x14:conditionalFormatting xmlns:xm="http://schemas.microsoft.com/office/excel/2006/main">
          <x14:cfRule type="dataBar" id="{A0880844-E838-43F1-89EB-82045A977264}">
            <x14:dataBar minLength="0" maxLength="100" border="1" negativeBarBorderColorSameAsPositive="0">
              <x14:cfvo type="autoMin"/>
              <x14:cfvo type="autoMax"/>
              <x14:borderColor rgb="FF63C384"/>
              <x14:negativeFillColor rgb="FFFF0000"/>
              <x14:negativeBorderColor rgb="FFFF0000"/>
              <x14:axisColor rgb="FF000000"/>
            </x14:dataBar>
          </x14:cfRule>
          <xm:sqref>AB115:AB116 AB118 AB109:AB111 AB113 AB105:AB107 AB96:AB97 AB102 AB100 AB93:AB94 AB63:AB64 AB60:AB61 AB80:AB81 AB23:AB40 AB83:AB91 AB50:AB58 AB43:AB48 AB66:AB78</xm:sqref>
        </x14:conditionalFormatting>
        <x14:conditionalFormatting xmlns:xm="http://schemas.microsoft.com/office/excel/2006/main">
          <x14:cfRule type="dataBar" id="{83F598A6-2102-40E4-A002-14475969E274}">
            <x14:dataBar minLength="0" maxLength="100" border="1" negativeBarBorderColorSameAsPositive="0">
              <x14:cfvo type="autoMin"/>
              <x14:cfvo type="autoMax"/>
              <x14:borderColor rgb="FF63C384"/>
              <x14:negativeFillColor rgb="FFFF0000"/>
              <x14:negativeBorderColor rgb="FFFF0000"/>
              <x14:axisColor rgb="FF000000"/>
            </x14:dataBar>
          </x14:cfRule>
          <xm:sqref>AU115:AU116 AU118 AU109:AU111 AU113 AU105:AU107 AU96:AU97 AU102 AU100 AU93:AU94 AU63:AU64 AU60:AU61 AU80:AU81 AU23:AU40 AU83:AU91 AU50:AU58 AU43:AU48 AU66:AU78</xm:sqref>
        </x14:conditionalFormatting>
        <x14:conditionalFormatting xmlns:xm="http://schemas.microsoft.com/office/excel/2006/main">
          <x14:cfRule type="dataBar" id="{C5C7F54E-CF49-4A1F-B187-A0522313CFA4}">
            <x14:dataBar minLength="0" maxLength="100" border="1" negativeBarBorderColorSameAsPositive="0">
              <x14:cfvo type="autoMin"/>
              <x14:cfvo type="autoMax"/>
              <x14:borderColor rgb="FF63C384"/>
              <x14:negativeFillColor rgb="FFFF0000"/>
              <x14:negativeBorderColor rgb="FFFF0000"/>
              <x14:axisColor rgb="FF000000"/>
            </x14:dataBar>
          </x14:cfRule>
          <xm:sqref>BN115:BN116 BN118 BN109:BN111 BN113 BN105:BN107 BN96:BN97 BN102 BN100 BN93:BN94 BN63:BN64 BN60:BN61 BN80:BN81 BN23:BN40 BN83:BN91 BN50:BN58 BN43:BN48 BN66:BN78</xm:sqref>
        </x14:conditionalFormatting>
        <x14:conditionalFormatting xmlns:xm="http://schemas.microsoft.com/office/excel/2006/main">
          <x14:cfRule type="dataBar" id="{05923E11-7138-4CD2-AC35-D2EAB1EB2922}">
            <x14:dataBar minLength="0" maxLength="100" border="1" negativeBarBorderColorSameAsPositive="0">
              <x14:cfvo type="autoMin"/>
              <x14:cfvo type="autoMax"/>
              <x14:borderColor rgb="FF63C384"/>
              <x14:negativeFillColor rgb="FFFF0000"/>
              <x14:negativeBorderColor rgb="FFFF0000"/>
              <x14:axisColor rgb="FF000000"/>
            </x14:dataBar>
          </x14:cfRule>
          <xm:sqref>CG115:CG116 CG118 CG109:CG111 CG113 CG105:CG107 CG96:CG97 CG102 CG100 CG93:CG94 CG63:CG64 CG60:CG61 CG80:CG81 CG23:CG40 CG83:CG91 CG50:CG58 CG43:CG48 CG66:CG78</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EC6ED-269C-4C55-8E89-5646232A484C}">
  <sheetPr codeName="AGCO">
    <tabColor theme="6" tint="0.79998168889431442"/>
    <outlinePr summaryBelow="0" summaryRight="0"/>
    <pageSetUpPr fitToPage="1"/>
  </sheetPr>
  <dimension ref="A1:BR178"/>
  <sheetViews>
    <sheetView showGridLines="0" zoomScale="96" zoomScaleNormal="100" workbookViewId="0">
      <pane xSplit="31" ySplit="23" topLeftCell="AF24" activePane="bottomRight" state="frozen"/>
      <selection activeCell="CJ19" sqref="CJ19"/>
      <selection pane="topRight" activeCell="CJ19" sqref="CJ19"/>
      <selection pane="bottomLeft" activeCell="CJ19" sqref="CJ19"/>
      <selection pane="bottomRight" activeCell="AJ27" sqref="AJ27"/>
    </sheetView>
  </sheetViews>
  <sheetFormatPr defaultColWidth="9.28515625" defaultRowHeight="13.5" customHeight="1" outlineLevelRow="2" outlineLevelCol="1" x14ac:dyDescent="0.2"/>
  <cols>
    <col min="1" max="1" width="0.85546875" style="142" customWidth="1"/>
    <col min="2" max="2" width="1.28515625" style="142" customWidth="1" collapsed="1"/>
    <col min="3" max="3" width="17.42578125" style="142" hidden="1" customWidth="1" outlineLevel="1"/>
    <col min="4" max="4" width="13.7109375" style="95" hidden="1" customWidth="1" outlineLevel="1"/>
    <col min="5" max="5" width="8.7109375" style="610" hidden="1" customWidth="1" outlineLevel="1"/>
    <col min="6" max="6" width="59.5703125" style="142" customWidth="1" collapsed="1"/>
    <col min="7" max="7" width="10" style="611" hidden="1" customWidth="1" outlineLevel="1"/>
    <col min="8" max="10" width="2.28515625" style="1694" hidden="1" customWidth="1" outlineLevel="1"/>
    <col min="11" max="12" width="2.5703125" style="1694" hidden="1" customWidth="1" outlineLevel="1"/>
    <col min="13" max="13" width="4.28515625" style="35" hidden="1" customWidth="1" outlineLevel="1"/>
    <col min="14" max="14" width="6.7109375" style="614" hidden="1" customWidth="1" outlineLevel="1"/>
    <col min="15" max="15" width="8.42578125" style="615" hidden="1" customWidth="1" outlineLevel="1"/>
    <col min="16" max="16" width="8.42578125" style="614" hidden="1" customWidth="1" outlineLevel="1"/>
    <col min="17" max="17" width="8.42578125" style="615" hidden="1" customWidth="1" outlineLevel="1"/>
    <col min="18" max="18" width="8.7109375" style="615" hidden="1" customWidth="1" outlineLevel="1"/>
    <col min="19" max="19" width="2.7109375" style="612" customWidth="1" collapsed="1"/>
    <col min="20" max="20" width="9.28515625" style="615" hidden="1" customWidth="1" outlineLevel="1"/>
    <col min="21" max="21" width="6.140625" style="35" hidden="1" customWidth="1" outlineLevel="1"/>
    <col min="22" max="22" width="8.28515625" style="617" hidden="1" customWidth="1" outlineLevel="1"/>
    <col min="23" max="23" width="2.140625" style="617" customWidth="1" collapsed="1"/>
    <col min="24" max="26" width="6.7109375" style="35" hidden="1" customWidth="1" outlineLevel="1"/>
    <col min="27" max="27" width="0.140625" style="35" hidden="1" customWidth="1" outlineLevel="1"/>
    <col min="28" max="28" width="4.140625" style="142" customWidth="1"/>
    <col min="29" max="29" width="10.140625" style="142" customWidth="1"/>
    <col min="30" max="30" width="6.7109375" style="1523" customWidth="1"/>
    <col min="31" max="31" width="6.28515625" style="618" customWidth="1"/>
    <col min="32" max="32" width="8.85546875" style="142" customWidth="1" collapsed="1"/>
    <col min="33" max="33" width="6.85546875" style="142" hidden="1" customWidth="1" outlineLevel="1"/>
    <col min="34" max="34" width="8.85546875" style="1524" hidden="1" customWidth="1" outlineLevel="1"/>
    <col min="35" max="36" width="8.85546875" style="142" customWidth="1"/>
    <col min="37" max="37" width="6.85546875" style="613" customWidth="1"/>
    <col min="38" max="40" width="8.85546875" style="142" hidden="1" customWidth="1"/>
    <col min="41" max="41" width="6.85546875" style="613" hidden="1" customWidth="1"/>
    <col min="42" max="44" width="8.85546875" style="142" hidden="1" customWidth="1"/>
    <col min="45" max="45" width="6.85546875" style="613" hidden="1" customWidth="1"/>
    <col min="46" max="48" width="8.85546875" style="142" hidden="1" customWidth="1"/>
    <col min="49" max="49" width="6.85546875" style="613" hidden="1" customWidth="1"/>
    <col min="50" max="50" width="2.42578125" style="38" hidden="1" customWidth="1"/>
    <col min="51" max="51" width="8.85546875" style="1525" customWidth="1" collapsed="1"/>
    <col min="52" max="52" width="6.85546875" style="142" hidden="1" customWidth="1" outlineLevel="1"/>
    <col min="53" max="53" width="8.85546875" style="1524" hidden="1" customWidth="1" outlineLevel="1"/>
    <col min="54" max="55" width="8.85546875" style="142" customWidth="1"/>
    <col min="56" max="56" width="6.85546875" style="613" customWidth="1" collapsed="1"/>
    <col min="57" max="59" width="8.85546875" style="142" hidden="1" customWidth="1"/>
    <col min="60" max="60" width="6.85546875" style="613" hidden="1" customWidth="1"/>
    <col min="61" max="61" width="8.85546875" style="1526" hidden="1" customWidth="1"/>
    <col min="62" max="63" width="8.85546875" style="142" hidden="1" customWidth="1"/>
    <col min="64" max="64" width="6.85546875" style="613" hidden="1" customWidth="1"/>
    <col min="65" max="67" width="8.85546875" style="142" hidden="1" customWidth="1"/>
    <col min="68" max="68" width="6.85546875" style="613" hidden="1" customWidth="1"/>
    <col min="69" max="69" width="2.42578125" style="38" hidden="1" customWidth="1"/>
    <col min="70" max="70" width="2.42578125" style="38" customWidth="1"/>
    <col min="71" max="16384" width="9.28515625" style="142"/>
  </cols>
  <sheetData>
    <row r="1" spans="1:70" s="34" customFormat="1" ht="13.5" customHeight="1" x14ac:dyDescent="0.2">
      <c r="A1" s="21" t="s">
        <v>651</v>
      </c>
      <c r="B1" s="21"/>
      <c r="C1" s="21"/>
      <c r="D1" s="22"/>
      <c r="E1" s="22"/>
      <c r="F1" s="21"/>
      <c r="G1" s="23"/>
      <c r="H1" s="1700"/>
      <c r="I1" s="1670"/>
      <c r="J1" s="1670"/>
      <c r="K1" s="1670"/>
      <c r="L1" s="1670"/>
      <c r="M1" s="22"/>
      <c r="N1" s="22"/>
      <c r="O1" s="22"/>
      <c r="P1" s="22"/>
      <c r="Q1" s="22"/>
      <c r="R1" s="22"/>
      <c r="S1" s="24"/>
      <c r="T1" s="22"/>
      <c r="U1" s="22"/>
      <c r="V1" s="28"/>
      <c r="W1" s="28"/>
      <c r="X1" s="22"/>
      <c r="Y1" s="22"/>
      <c r="Z1" s="22"/>
      <c r="AA1" s="22"/>
      <c r="AB1" s="22"/>
      <c r="AC1" s="21"/>
      <c r="AD1" s="1199"/>
      <c r="AE1" s="21"/>
      <c r="AF1" s="1971" t="s">
        <v>413</v>
      </c>
      <c r="AG1" s="1971"/>
      <c r="AH1" s="1971"/>
      <c r="AI1" s="1971"/>
      <c r="AJ1" s="1971"/>
      <c r="AK1" s="1971"/>
      <c r="AL1" s="1971"/>
      <c r="AM1" s="1971"/>
      <c r="AN1" s="1971"/>
      <c r="AO1" s="1971"/>
      <c r="AP1" s="1971"/>
      <c r="AQ1" s="1971"/>
      <c r="AR1" s="1971"/>
      <c r="AS1" s="1971"/>
      <c r="AT1" s="1971"/>
      <c r="AU1" s="1971"/>
      <c r="AV1" s="1971"/>
      <c r="AW1" s="1971"/>
      <c r="AX1" s="1200"/>
      <c r="AY1" s="2004" t="s">
        <v>456</v>
      </c>
      <c r="AZ1" s="2005"/>
      <c r="BA1" s="2005"/>
      <c r="BB1" s="2005"/>
      <c r="BC1" s="2005"/>
      <c r="BD1" s="2005"/>
      <c r="BE1" s="2005"/>
      <c r="BF1" s="2005"/>
      <c r="BG1" s="2005"/>
      <c r="BH1" s="2005"/>
      <c r="BI1" s="2005"/>
      <c r="BJ1" s="2005"/>
      <c r="BK1" s="2005"/>
      <c r="BL1" s="2005"/>
      <c r="BM1" s="2005"/>
      <c r="BN1" s="2005"/>
      <c r="BO1" s="2005"/>
      <c r="BP1" s="2005"/>
      <c r="BQ1" s="1200"/>
      <c r="BR1" s="1200"/>
    </row>
    <row r="2" spans="1:70" s="34" customFormat="1" ht="13.5" customHeight="1" x14ac:dyDescent="0.2">
      <c r="A2" s="21" t="s">
        <v>653</v>
      </c>
      <c r="B2" s="36"/>
      <c r="C2" s="36"/>
      <c r="D2" s="22"/>
      <c r="E2" s="22"/>
      <c r="F2" s="36"/>
      <c r="G2" s="37"/>
      <c r="H2" s="1671"/>
      <c r="I2" s="1671"/>
      <c r="J2" s="1671"/>
      <c r="K2" s="1671"/>
      <c r="L2" s="1671"/>
      <c r="M2" s="22"/>
      <c r="N2" s="757"/>
      <c r="O2" s="40"/>
      <c r="P2" s="22"/>
      <c r="Q2" s="40"/>
      <c r="R2" s="40"/>
      <c r="S2" s="38"/>
      <c r="T2" s="40"/>
      <c r="U2" s="22"/>
      <c r="V2" s="42"/>
      <c r="W2" s="42"/>
      <c r="X2" s="22"/>
      <c r="Y2" s="22"/>
      <c r="Z2" s="22"/>
      <c r="AA2" s="22"/>
      <c r="AB2" s="36"/>
      <c r="AC2" s="36"/>
      <c r="AD2" s="1201"/>
      <c r="AE2" s="36"/>
      <c r="AF2" s="1958" t="s">
        <v>863</v>
      </c>
      <c r="AG2" s="1958"/>
      <c r="AH2" s="1958"/>
      <c r="AI2" s="1958"/>
      <c r="AJ2" s="1958"/>
      <c r="AK2" s="1958"/>
      <c r="AL2" s="1958"/>
      <c r="AM2" s="1958"/>
      <c r="AN2" s="1958"/>
      <c r="AO2" s="1958"/>
      <c r="AP2" s="1958"/>
      <c r="AQ2" s="1958"/>
      <c r="AR2" s="1958"/>
      <c r="AS2" s="1958"/>
      <c r="AT2" s="1958"/>
      <c r="AU2" s="1958"/>
      <c r="AV2" s="1958"/>
      <c r="AW2" s="1958"/>
      <c r="AX2" s="1202"/>
      <c r="AY2" s="2006" t="s">
        <v>864</v>
      </c>
      <c r="AZ2" s="2007"/>
      <c r="BA2" s="2007"/>
      <c r="BB2" s="2007"/>
      <c r="BC2" s="2007"/>
      <c r="BD2" s="2007"/>
      <c r="BE2" s="2007"/>
      <c r="BF2" s="2007"/>
      <c r="BG2" s="2007"/>
      <c r="BH2" s="2007"/>
      <c r="BI2" s="2007"/>
      <c r="BJ2" s="2007"/>
      <c r="BK2" s="2007"/>
      <c r="BL2" s="2007"/>
      <c r="BM2" s="2007"/>
      <c r="BN2" s="2007"/>
      <c r="BO2" s="2007"/>
      <c r="BP2" s="2007"/>
      <c r="BQ2" s="1202"/>
      <c r="BR2" s="1202"/>
    </row>
    <row r="3" spans="1:70" s="34" customFormat="1" ht="13.5" customHeight="1" x14ac:dyDescent="0.2">
      <c r="A3" s="21" t="s">
        <v>661</v>
      </c>
      <c r="B3" s="36"/>
      <c r="C3" s="36"/>
      <c r="D3" s="22"/>
      <c r="E3" s="22"/>
      <c r="F3" s="36"/>
      <c r="G3" s="37"/>
      <c r="H3" s="1671"/>
      <c r="I3" s="1671"/>
      <c r="J3" s="1671"/>
      <c r="K3" s="1671"/>
      <c r="L3" s="1671"/>
      <c r="M3" s="46"/>
      <c r="N3" s="757"/>
      <c r="O3" s="40"/>
      <c r="P3" s="47"/>
      <c r="Q3" s="40"/>
      <c r="R3" s="40"/>
      <c r="S3" s="38"/>
      <c r="T3" s="40"/>
      <c r="U3" s="46"/>
      <c r="V3" s="42"/>
      <c r="W3" s="42"/>
      <c r="X3" s="46"/>
      <c r="Y3" s="46"/>
      <c r="Z3" s="46"/>
      <c r="AA3" s="46"/>
      <c r="AB3" s="36"/>
      <c r="AC3" s="36"/>
      <c r="AD3" s="1201"/>
      <c r="AE3" s="22"/>
      <c r="AF3" s="1931" t="str">
        <f>$O4</f>
        <v>CHF</v>
      </c>
      <c r="AG3" s="1931"/>
      <c r="AH3" s="1931"/>
      <c r="AI3" s="1931"/>
      <c r="AJ3" s="1931"/>
      <c r="AK3" s="1931"/>
      <c r="AL3" s="1931"/>
      <c r="AM3" s="1931"/>
      <c r="AN3" s="1931"/>
      <c r="AO3" s="1931"/>
      <c r="AP3" s="1931"/>
      <c r="AQ3" s="1931"/>
      <c r="AR3" s="1931"/>
      <c r="AS3" s="1931"/>
      <c r="AT3" s="1931"/>
      <c r="AU3" s="1931"/>
      <c r="AV3" s="1931"/>
      <c r="AW3" s="1931"/>
      <c r="AX3" s="1100"/>
      <c r="AY3" s="2002" t="str">
        <f>$O4</f>
        <v>CHF</v>
      </c>
      <c r="AZ3" s="2003"/>
      <c r="BA3" s="2003"/>
      <c r="BB3" s="2003"/>
      <c r="BC3" s="2003"/>
      <c r="BD3" s="2003"/>
      <c r="BE3" s="2003"/>
      <c r="BF3" s="2003"/>
      <c r="BG3" s="2003"/>
      <c r="BH3" s="2003"/>
      <c r="BI3" s="2003"/>
      <c r="BJ3" s="2003"/>
      <c r="BK3" s="2003"/>
      <c r="BL3" s="2003"/>
      <c r="BM3" s="2003"/>
      <c r="BN3" s="2003"/>
      <c r="BO3" s="2003"/>
      <c r="BP3" s="2003"/>
      <c r="BQ3" s="1100"/>
      <c r="BR3" s="1100"/>
    </row>
    <row r="4" spans="1:70" s="34" customFormat="1" ht="13.5" customHeight="1" x14ac:dyDescent="0.2">
      <c r="A4" s="21" t="s">
        <v>5</v>
      </c>
      <c r="B4" s="36"/>
      <c r="C4" s="36"/>
      <c r="D4" s="22"/>
      <c r="E4" s="22"/>
      <c r="F4" s="36"/>
      <c r="G4" s="37"/>
      <c r="H4" s="1671"/>
      <c r="I4" s="1671"/>
      <c r="J4" s="1671"/>
      <c r="K4" s="1671"/>
      <c r="L4" s="1671"/>
      <c r="M4" s="46"/>
      <c r="N4" s="1205"/>
      <c r="O4" s="26" t="s">
        <v>369</v>
      </c>
      <c r="P4" s="105">
        <f ca="1">SUM($AF$4:$BQ$4)</f>
        <v>6549746.7565776883</v>
      </c>
      <c r="Q4" s="754" t="s">
        <v>665</v>
      </c>
      <c r="R4" s="1206"/>
      <c r="S4" s="38"/>
      <c r="T4" s="1206"/>
      <c r="U4" s="46"/>
      <c r="V4" s="42"/>
      <c r="W4" s="42"/>
      <c r="X4" s="46"/>
      <c r="Y4" s="46"/>
      <c r="Z4" s="46"/>
      <c r="AA4" s="22"/>
      <c r="AB4" s="22"/>
      <c r="AC4" s="22"/>
      <c r="AD4" s="1207"/>
      <c r="AE4" s="105"/>
      <c r="AF4" s="1937">
        <f ca="1">SUMIF($A$15:$A$170,"&gt;A",AJ$15:AJ$170)</f>
        <v>5842164.2392857084</v>
      </c>
      <c r="AG4" s="1937"/>
      <c r="AH4" s="1937"/>
      <c r="AI4" s="1937"/>
      <c r="AJ4" s="1937"/>
      <c r="AK4" s="1937"/>
      <c r="AL4" s="1937"/>
      <c r="AM4" s="1937"/>
      <c r="AN4" s="1937"/>
      <c r="AO4" s="1937"/>
      <c r="AP4" s="1937"/>
      <c r="AQ4" s="1937"/>
      <c r="AR4" s="1937"/>
      <c r="AS4" s="1937"/>
      <c r="AT4" s="1937"/>
      <c r="AU4" s="1937"/>
      <c r="AV4" s="1937"/>
      <c r="AW4" s="1937"/>
      <c r="AX4" s="1099"/>
      <c r="AY4" s="2000">
        <f ca="1">SUMIF($A$15:$A$170,"&gt;A",BC$15:BC$170)</f>
        <v>707582.51729197963</v>
      </c>
      <c r="AZ4" s="2001"/>
      <c r="BA4" s="2001"/>
      <c r="BB4" s="2001"/>
      <c r="BC4" s="2001"/>
      <c r="BD4" s="2001"/>
      <c r="BE4" s="2001"/>
      <c r="BF4" s="2001"/>
      <c r="BG4" s="2001"/>
      <c r="BH4" s="2001"/>
      <c r="BI4" s="2001"/>
      <c r="BJ4" s="2001"/>
      <c r="BK4" s="2001"/>
      <c r="BL4" s="2001"/>
      <c r="BM4" s="2001"/>
      <c r="BN4" s="2001"/>
      <c r="BO4" s="2001"/>
      <c r="BP4" s="2001"/>
      <c r="BQ4" s="1099"/>
      <c r="BR4" s="1099"/>
    </row>
    <row r="5" spans="1:70" s="34" customFormat="1" ht="13.5" customHeight="1" outlineLevel="1" x14ac:dyDescent="0.2">
      <c r="A5" s="21" t="s">
        <v>664</v>
      </c>
      <c r="B5" s="36"/>
      <c r="C5" s="36"/>
      <c r="D5" s="64"/>
      <c r="E5" s="65"/>
      <c r="F5" s="36"/>
      <c r="G5" s="37"/>
      <c r="H5" s="1671"/>
      <c r="I5" s="1671"/>
      <c r="J5" s="1671"/>
      <c r="K5" s="1671"/>
      <c r="L5" s="1671"/>
      <c r="M5" s="46"/>
      <c r="N5" s="22"/>
      <c r="O5" s="22"/>
      <c r="P5" s="105">
        <f>SUM(AF5:BQ5)</f>
        <v>6239483.1100000003</v>
      </c>
      <c r="Q5" s="22"/>
      <c r="R5" s="22"/>
      <c r="S5" s="38"/>
      <c r="T5" s="22"/>
      <c r="U5" s="46"/>
      <c r="V5" s="69"/>
      <c r="W5" s="69"/>
      <c r="X5" s="46"/>
      <c r="Y5" s="46"/>
      <c r="Z5" s="46"/>
      <c r="AA5" s="46"/>
      <c r="AB5" s="36"/>
      <c r="AC5" s="36"/>
      <c r="AD5" s="1201"/>
      <c r="AE5" s="36"/>
      <c r="AF5" s="1943">
        <v>5476657.1100000003</v>
      </c>
      <c r="AG5" s="1944"/>
      <c r="AH5" s="1944"/>
      <c r="AI5" s="1944"/>
      <c r="AJ5" s="1944"/>
      <c r="AK5" s="1944"/>
      <c r="AL5" s="1944"/>
      <c r="AM5" s="1944"/>
      <c r="AN5" s="1944"/>
      <c r="AO5" s="1944"/>
      <c r="AP5" s="1944"/>
      <c r="AQ5" s="1944"/>
      <c r="AR5" s="1944"/>
      <c r="AS5" s="1944"/>
      <c r="AT5" s="1944"/>
      <c r="AU5" s="1944"/>
      <c r="AV5" s="1944"/>
      <c r="AW5" s="1944"/>
      <c r="AX5" s="1098"/>
      <c r="AY5" s="2008">
        <v>762826</v>
      </c>
      <c r="AZ5" s="2009"/>
      <c r="BA5" s="2009"/>
      <c r="BB5" s="2009"/>
      <c r="BC5" s="2009"/>
      <c r="BD5" s="2009"/>
      <c r="BE5" s="2009"/>
      <c r="BF5" s="2009"/>
      <c r="BG5" s="2009"/>
      <c r="BH5" s="2009"/>
      <c r="BI5" s="2009"/>
      <c r="BJ5" s="2009"/>
      <c r="BK5" s="2009"/>
      <c r="BL5" s="2009"/>
      <c r="BM5" s="2009"/>
      <c r="BN5" s="2009"/>
      <c r="BO5" s="2009"/>
      <c r="BP5" s="2009"/>
      <c r="BQ5" s="1098"/>
      <c r="BR5" s="1098"/>
    </row>
    <row r="6" spans="1:70" s="34" customFormat="1" ht="13.5" customHeight="1" outlineLevel="1" x14ac:dyDescent="0.2">
      <c r="A6" s="21" t="s">
        <v>865</v>
      </c>
      <c r="B6" s="36"/>
      <c r="C6" s="36"/>
      <c r="D6" s="31"/>
      <c r="E6" s="65"/>
      <c r="F6" s="36"/>
      <c r="G6" s="37"/>
      <c r="H6" s="1671"/>
      <c r="I6" s="1671"/>
      <c r="J6" s="1671"/>
      <c r="K6" s="1671"/>
      <c r="L6" s="1671"/>
      <c r="M6" s="46"/>
      <c r="N6" s="67"/>
      <c r="O6" s="83"/>
      <c r="P6" s="105">
        <f>SUM(AF6:BQ6)</f>
        <v>6453.55</v>
      </c>
      <c r="Q6" s="22"/>
      <c r="R6" s="83"/>
      <c r="S6" s="38"/>
      <c r="T6" s="83"/>
      <c r="U6" s="46"/>
      <c r="V6" s="69"/>
      <c r="W6" s="69"/>
      <c r="X6" s="46"/>
      <c r="Y6" s="46"/>
      <c r="Z6" s="46"/>
      <c r="AA6" s="46"/>
      <c r="AB6" s="36"/>
      <c r="AC6" s="36"/>
      <c r="AD6" s="1201"/>
      <c r="AE6" s="36"/>
      <c r="AF6" s="70">
        <f>5426.6</f>
        <v>5426.6</v>
      </c>
      <c r="AG6" s="75"/>
      <c r="AH6" s="1209"/>
      <c r="AI6" s="75"/>
      <c r="AJ6" s="75"/>
      <c r="AK6" s="84"/>
      <c r="AL6" s="75"/>
      <c r="AM6" s="75"/>
      <c r="AN6" s="75"/>
      <c r="AO6" s="84"/>
      <c r="AP6" s="75"/>
      <c r="AQ6" s="75"/>
      <c r="AR6" s="75"/>
      <c r="AS6" s="84"/>
      <c r="AT6" s="75"/>
      <c r="AU6" s="75"/>
      <c r="AV6" s="75"/>
      <c r="AW6" s="84"/>
      <c r="AX6" s="1098"/>
      <c r="AY6" s="1210">
        <f>1026.95</f>
        <v>1026.95</v>
      </c>
      <c r="AZ6" s="1208"/>
      <c r="BA6" s="1211"/>
      <c r="BB6" s="1208"/>
      <c r="BC6" s="1208"/>
      <c r="BD6" s="86"/>
      <c r="BE6" s="1208"/>
      <c r="BF6" s="1208"/>
      <c r="BG6" s="1208"/>
      <c r="BH6" s="86"/>
      <c r="BI6" s="1212"/>
      <c r="BJ6" s="1208"/>
      <c r="BK6" s="1208"/>
      <c r="BL6" s="86"/>
      <c r="BM6" s="1208"/>
      <c r="BN6" s="1208"/>
      <c r="BO6" s="1208"/>
      <c r="BP6" s="86"/>
      <c r="BQ6" s="1098"/>
      <c r="BR6" s="1098"/>
    </row>
    <row r="7" spans="1:70" s="34" customFormat="1" ht="13.5" customHeight="1" outlineLevel="1" x14ac:dyDescent="0.2">
      <c r="A7" s="21" t="s">
        <v>829</v>
      </c>
      <c r="B7" s="36"/>
      <c r="C7" s="36"/>
      <c r="D7" s="31"/>
      <c r="E7" s="65"/>
      <c r="F7" s="36"/>
      <c r="G7" s="37"/>
      <c r="H7" s="1671"/>
      <c r="I7" s="1671"/>
      <c r="J7" s="1671"/>
      <c r="K7" s="1671"/>
      <c r="L7" s="1671"/>
      <c r="M7" s="46"/>
      <c r="N7" s="67"/>
      <c r="O7" s="83"/>
      <c r="P7" s="105">
        <f>SUM(AF7:BQ7)</f>
        <v>-51364.17</v>
      </c>
      <c r="Q7" s="22"/>
      <c r="R7" s="83"/>
      <c r="S7" s="38"/>
      <c r="T7" s="83"/>
      <c r="U7" s="46"/>
      <c r="V7" s="69"/>
      <c r="W7" s="69"/>
      <c r="X7" s="46"/>
      <c r="Y7" s="46"/>
      <c r="Z7" s="46"/>
      <c r="AA7" s="46"/>
      <c r="AB7" s="36"/>
      <c r="AC7" s="36"/>
      <c r="AD7" s="1201"/>
      <c r="AE7" s="36"/>
      <c r="AF7" s="70">
        <f>AF6-AF8-17176.77</f>
        <v>-11750.17</v>
      </c>
      <c r="AG7" s="75"/>
      <c r="AH7" s="1209"/>
      <c r="AI7" s="75"/>
      <c r="AJ7" s="75"/>
      <c r="AK7" s="84"/>
      <c r="AL7" s="75"/>
      <c r="AM7" s="75"/>
      <c r="AN7" s="75"/>
      <c r="AO7" s="84"/>
      <c r="AP7" s="75"/>
      <c r="AQ7" s="75"/>
      <c r="AR7" s="75"/>
      <c r="AS7" s="84"/>
      <c r="AT7" s="75"/>
      <c r="AU7" s="75"/>
      <c r="AV7" s="75"/>
      <c r="AW7" s="84"/>
      <c r="AX7" s="1098"/>
      <c r="AY7" s="1210">
        <v>-39614</v>
      </c>
      <c r="AZ7" s="1208"/>
      <c r="BA7" s="1211"/>
      <c r="BB7" s="1208"/>
      <c r="BC7" s="1208"/>
      <c r="BD7" s="86"/>
      <c r="BE7" s="1208"/>
      <c r="BF7" s="1208"/>
      <c r="BG7" s="1208"/>
      <c r="BH7" s="86"/>
      <c r="BI7" s="1212"/>
      <c r="BJ7" s="1208"/>
      <c r="BK7" s="1208"/>
      <c r="BL7" s="86"/>
      <c r="BM7" s="1208"/>
      <c r="BN7" s="1208"/>
      <c r="BO7" s="1208"/>
      <c r="BP7" s="86"/>
      <c r="BQ7" s="1098"/>
      <c r="BR7" s="1098"/>
    </row>
    <row r="8" spans="1:70" s="95" customFormat="1" ht="13.5" customHeight="1" outlineLevel="1" x14ac:dyDescent="0.2">
      <c r="A8" s="21" t="s">
        <v>830</v>
      </c>
      <c r="B8" s="36"/>
      <c r="C8" s="36"/>
      <c r="D8" s="94"/>
      <c r="E8" s="58"/>
      <c r="F8" s="36"/>
      <c r="G8" s="37"/>
      <c r="H8" s="1671"/>
      <c r="I8" s="1671"/>
      <c r="J8" s="1671"/>
      <c r="K8" s="1671"/>
      <c r="L8" s="1671"/>
      <c r="M8" s="46"/>
      <c r="N8" s="94"/>
      <c r="O8" s="94"/>
      <c r="P8" s="105">
        <f>SUM(AF8:BQ8)</f>
        <v>0</v>
      </c>
      <c r="Q8" s="94"/>
      <c r="R8" s="94"/>
      <c r="S8" s="38"/>
      <c r="T8" s="94"/>
      <c r="U8" s="46"/>
      <c r="V8" s="94"/>
      <c r="W8" s="94"/>
      <c r="X8" s="46"/>
      <c r="Y8" s="46"/>
      <c r="Z8" s="46"/>
      <c r="AA8" s="46"/>
      <c r="AB8" s="36"/>
      <c r="AC8" s="36"/>
      <c r="AD8" s="1201"/>
      <c r="AE8" s="36"/>
      <c r="AF8" s="70"/>
      <c r="AG8" s="75"/>
      <c r="AH8" s="1209"/>
      <c r="AI8" s="75"/>
      <c r="AJ8" s="75"/>
      <c r="AK8" s="84"/>
      <c r="AL8" s="75"/>
      <c r="AM8" s="75"/>
      <c r="AN8" s="75"/>
      <c r="AO8" s="84"/>
      <c r="AP8" s="75"/>
      <c r="AQ8" s="75"/>
      <c r="AR8" s="75"/>
      <c r="AS8" s="84"/>
      <c r="AT8" s="75"/>
      <c r="AU8" s="75"/>
      <c r="AV8" s="75"/>
      <c r="AW8" s="84"/>
      <c r="AX8" s="1098"/>
      <c r="AY8" s="1210"/>
      <c r="AZ8" s="1208"/>
      <c r="BA8" s="1211"/>
      <c r="BB8" s="1208"/>
      <c r="BC8" s="1208"/>
      <c r="BD8" s="86"/>
      <c r="BE8" s="1208"/>
      <c r="BF8" s="1208"/>
      <c r="BG8" s="1208"/>
      <c r="BH8" s="86"/>
      <c r="BI8" s="1212"/>
      <c r="BJ8" s="1208"/>
      <c r="BK8" s="1208"/>
      <c r="BL8" s="86"/>
      <c r="BM8" s="1208"/>
      <c r="BN8" s="1208"/>
      <c r="BO8" s="1208"/>
      <c r="BP8" s="86"/>
      <c r="BQ8" s="1098"/>
      <c r="BR8" s="1098"/>
    </row>
    <row r="9" spans="1:70" s="34" customFormat="1" ht="13.5" customHeight="1" outlineLevel="1" x14ac:dyDescent="0.2">
      <c r="A9" s="21" t="s">
        <v>669</v>
      </c>
      <c r="B9" s="36"/>
      <c r="C9" s="36"/>
      <c r="D9" s="94"/>
      <c r="E9" s="58"/>
      <c r="F9" s="36"/>
      <c r="G9" s="37"/>
      <c r="H9" s="1671"/>
      <c r="I9" s="1671"/>
      <c r="J9" s="1671"/>
      <c r="K9" s="1671"/>
      <c r="L9" s="1671"/>
      <c r="M9" s="46"/>
      <c r="N9" s="22"/>
      <c r="O9" s="22"/>
      <c r="P9" s="105">
        <f ca="1">SUM(AF9:BQ9)</f>
        <v>368081.36657768773</v>
      </c>
      <c r="Q9" s="22"/>
      <c r="R9" s="22"/>
      <c r="S9" s="38"/>
      <c r="T9" s="22"/>
      <c r="U9" s="46"/>
      <c r="V9" s="22"/>
      <c r="W9" s="22"/>
      <c r="X9" s="46"/>
      <c r="Y9" s="46"/>
      <c r="Z9" s="46"/>
      <c r="AA9" s="46"/>
      <c r="AB9" s="36"/>
      <c r="AC9" s="36"/>
      <c r="AD9" s="1201"/>
      <c r="AE9" s="36"/>
      <c r="AF9" s="70">
        <f ca="1">(AF4-AF5)+(AF6-AF7-AF8)</f>
        <v>382683.89928570809</v>
      </c>
      <c r="AG9" s="75"/>
      <c r="AH9" s="1209"/>
      <c r="AI9" s="75"/>
      <c r="AJ9" s="75"/>
      <c r="AK9" s="84"/>
      <c r="AL9" s="75"/>
      <c r="AM9" s="75"/>
      <c r="AN9" s="75"/>
      <c r="AO9" s="84"/>
      <c r="AP9" s="75"/>
      <c r="AQ9" s="75"/>
      <c r="AR9" s="75"/>
      <c r="AS9" s="84"/>
      <c r="AT9" s="75"/>
      <c r="AU9" s="75"/>
      <c r="AV9" s="75"/>
      <c r="AW9" s="84"/>
      <c r="AX9" s="1098"/>
      <c r="AY9" s="1210">
        <f ca="1">(AY4-AY5)+(AY6-AY7-AY8)</f>
        <v>-14602.532708020372</v>
      </c>
      <c r="AZ9" s="1208"/>
      <c r="BA9" s="1211"/>
      <c r="BB9" s="1208"/>
      <c r="BC9" s="1208"/>
      <c r="BD9" s="86"/>
      <c r="BE9" s="1208"/>
      <c r="BF9" s="1208"/>
      <c r="BG9" s="1208"/>
      <c r="BH9" s="86"/>
      <c r="BI9" s="1212"/>
      <c r="BJ9" s="1208"/>
      <c r="BK9" s="1208"/>
      <c r="BL9" s="86"/>
      <c r="BM9" s="1208"/>
      <c r="BN9" s="1208"/>
      <c r="BO9" s="1208"/>
      <c r="BP9" s="86"/>
      <c r="BQ9" s="1098"/>
      <c r="BR9" s="1098"/>
    </row>
    <row r="10" spans="1:70" s="34" customFormat="1" ht="13.5" customHeight="1" outlineLevel="1" x14ac:dyDescent="0.2">
      <c r="A10" s="1213" t="s">
        <v>670</v>
      </c>
      <c r="B10" s="98"/>
      <c r="C10" s="98"/>
      <c r="D10" s="94"/>
      <c r="E10" s="58"/>
      <c r="F10" s="36"/>
      <c r="G10" s="37"/>
      <c r="H10" s="1671"/>
      <c r="I10" s="1671"/>
      <c r="J10" s="1671"/>
      <c r="K10" s="1671"/>
      <c r="L10" s="1671"/>
      <c r="M10" s="46"/>
      <c r="N10" s="22"/>
      <c r="O10" s="22"/>
      <c r="P10" s="771">
        <f ca="1">P9/(P5+(P8+P7+P6)/2)</f>
        <v>5.9205359605708642E-2</v>
      </c>
      <c r="Q10" s="22"/>
      <c r="R10" s="22"/>
      <c r="S10" s="38"/>
      <c r="T10" s="22"/>
      <c r="U10" s="46"/>
      <c r="V10" s="22"/>
      <c r="W10" s="22"/>
      <c r="X10" s="46"/>
      <c r="Y10" s="46"/>
      <c r="Z10" s="46"/>
      <c r="AA10" s="46"/>
      <c r="AB10" s="36"/>
      <c r="AC10" s="36"/>
      <c r="AD10" s="1201"/>
      <c r="AE10" s="36"/>
      <c r="AF10" s="50">
        <f ca="1">AF9/(AF5+(AF8+AF7+AF6)/2)</f>
        <v>6.9915817327515131E-2</v>
      </c>
      <c r="AG10" s="51"/>
      <c r="AH10" s="1214"/>
      <c r="AI10" s="75"/>
      <c r="AJ10" s="75"/>
      <c r="AK10" s="84"/>
      <c r="AL10" s="75"/>
      <c r="AM10" s="75"/>
      <c r="AN10" s="75"/>
      <c r="AO10" s="84"/>
      <c r="AP10" s="75"/>
      <c r="AQ10" s="75"/>
      <c r="AR10" s="75"/>
      <c r="AS10" s="84"/>
      <c r="AT10" s="75"/>
      <c r="AU10" s="75"/>
      <c r="AV10" s="75"/>
      <c r="AW10" s="84"/>
      <c r="AX10" s="1098"/>
      <c r="AY10" s="1203">
        <f ca="1">AY9/(AY5+(AY8+AY7-AY6)/2)</f>
        <v>-1.9666564377444021E-2</v>
      </c>
      <c r="AZ10" s="1204"/>
      <c r="BA10" s="1215"/>
      <c r="BB10" s="1208"/>
      <c r="BC10" s="1208"/>
      <c r="BD10" s="86"/>
      <c r="BE10" s="1208"/>
      <c r="BF10" s="1208"/>
      <c r="BG10" s="1208"/>
      <c r="BH10" s="86"/>
      <c r="BI10" s="1212"/>
      <c r="BJ10" s="1208"/>
      <c r="BK10" s="1208"/>
      <c r="BL10" s="86"/>
      <c r="BM10" s="1208"/>
      <c r="BN10" s="1208"/>
      <c r="BO10" s="1208"/>
      <c r="BP10" s="86"/>
      <c r="BQ10" s="1098"/>
      <c r="BR10" s="1098"/>
    </row>
    <row r="11" spans="1:70" s="34" customFormat="1" ht="13.5" customHeight="1" outlineLevel="1" x14ac:dyDescent="0.2">
      <c r="A11" s="21" t="s">
        <v>671</v>
      </c>
      <c r="B11" s="36"/>
      <c r="C11" s="36"/>
      <c r="D11" s="94"/>
      <c r="E11" s="58"/>
      <c r="F11" s="36"/>
      <c r="G11" s="37"/>
      <c r="H11" s="1671"/>
      <c r="I11" s="1671"/>
      <c r="J11" s="1671"/>
      <c r="K11" s="1671"/>
      <c r="L11" s="1671"/>
      <c r="M11" s="46"/>
      <c r="N11" s="22"/>
      <c r="O11" s="22"/>
      <c r="P11" s="22"/>
      <c r="Q11" s="22"/>
      <c r="R11" s="22"/>
      <c r="S11" s="38"/>
      <c r="T11" s="22"/>
      <c r="U11" s="46"/>
      <c r="V11" s="22"/>
      <c r="W11" s="22"/>
      <c r="X11" s="46"/>
      <c r="Y11" s="46"/>
      <c r="Z11" s="46"/>
      <c r="AA11" s="46"/>
      <c r="AB11" s="36"/>
      <c r="AC11" s="36"/>
      <c r="AD11" s="1201"/>
      <c r="AE11" s="36"/>
      <c r="AF11" s="1936">
        <f ca="1">AF9-AF6</f>
        <v>377257.29928570811</v>
      </c>
      <c r="AG11" s="1937"/>
      <c r="AH11" s="1937"/>
      <c r="AI11" s="1937"/>
      <c r="AJ11" s="1937"/>
      <c r="AK11" s="1937"/>
      <c r="AL11" s="1937"/>
      <c r="AM11" s="1937"/>
      <c r="AN11" s="1937"/>
      <c r="AO11" s="1937"/>
      <c r="AP11" s="1937"/>
      <c r="AQ11" s="1937"/>
      <c r="AR11" s="1937"/>
      <c r="AS11" s="1937"/>
      <c r="AT11" s="1937"/>
      <c r="AU11" s="1937"/>
      <c r="AV11" s="1937"/>
      <c r="AW11" s="1937"/>
      <c r="AX11" s="1099"/>
      <c r="AY11" s="2000">
        <f ca="1">AY9-AY6</f>
        <v>-15629.482708020372</v>
      </c>
      <c r="AZ11" s="2001"/>
      <c r="BA11" s="2001"/>
      <c r="BB11" s="2001"/>
      <c r="BC11" s="2001"/>
      <c r="BD11" s="2001"/>
      <c r="BE11" s="2001"/>
      <c r="BF11" s="2001"/>
      <c r="BG11" s="2001"/>
      <c r="BH11" s="2001"/>
      <c r="BI11" s="2001"/>
      <c r="BJ11" s="2001"/>
      <c r="BK11" s="2001"/>
      <c r="BL11" s="2001"/>
      <c r="BM11" s="2001"/>
      <c r="BN11" s="2001"/>
      <c r="BO11" s="2001"/>
      <c r="BP11" s="2001"/>
      <c r="BQ11" s="1099"/>
      <c r="BR11" s="1099"/>
    </row>
    <row r="12" spans="1:70" s="1218" customFormat="1" ht="13.5" customHeight="1" outlineLevel="1" x14ac:dyDescent="0.2">
      <c r="A12" s="1213" t="s">
        <v>672</v>
      </c>
      <c r="B12" s="98"/>
      <c r="C12" s="98"/>
      <c r="D12" s="106"/>
      <c r="E12" s="107"/>
      <c r="F12" s="98"/>
      <c r="G12" s="108"/>
      <c r="H12" s="1672"/>
      <c r="I12" s="1672"/>
      <c r="J12" s="1672"/>
      <c r="K12" s="1672"/>
      <c r="L12" s="1672"/>
      <c r="M12" s="98"/>
      <c r="N12" s="107"/>
      <c r="O12" s="107"/>
      <c r="P12" s="107"/>
      <c r="Q12" s="107"/>
      <c r="R12" s="107"/>
      <c r="S12" s="109"/>
      <c r="T12" s="107"/>
      <c r="U12" s="98"/>
      <c r="V12" s="107"/>
      <c r="W12" s="107"/>
      <c r="X12" s="98"/>
      <c r="Y12" s="98"/>
      <c r="Z12" s="98"/>
      <c r="AA12" s="98"/>
      <c r="AB12" s="98"/>
      <c r="AC12" s="114"/>
      <c r="AD12" s="1216"/>
      <c r="AE12" s="114"/>
      <c r="AF12" s="1996">
        <f ca="1">IFERROR(AF11/(AF5+(AF8+AF7+AF6)/2),"")</f>
        <v>6.8924385038313357E-2</v>
      </c>
      <c r="AG12" s="1997"/>
      <c r="AH12" s="1997"/>
      <c r="AI12" s="1997"/>
      <c r="AJ12" s="1997"/>
      <c r="AK12" s="1997"/>
      <c r="AL12" s="1997"/>
      <c r="AM12" s="1997"/>
      <c r="AN12" s="1997"/>
      <c r="AO12" s="1997"/>
      <c r="AP12" s="1997"/>
      <c r="AQ12" s="1997"/>
      <c r="AR12" s="1997"/>
      <c r="AS12" s="1997"/>
      <c r="AT12" s="1997"/>
      <c r="AU12" s="1997"/>
      <c r="AV12" s="1997"/>
      <c r="AW12" s="1997"/>
      <c r="AX12" s="1217"/>
      <c r="AY12" s="1998">
        <f ca="1">IFERROR(AY11/(AY5+(AY8+AY7+AY6)/2),"")</f>
        <v>-2.1020578432731366E-2</v>
      </c>
      <c r="AZ12" s="1999"/>
      <c r="BA12" s="1999"/>
      <c r="BB12" s="1999"/>
      <c r="BC12" s="1999"/>
      <c r="BD12" s="1999"/>
      <c r="BE12" s="1999"/>
      <c r="BF12" s="1999"/>
      <c r="BG12" s="1999"/>
      <c r="BH12" s="1999"/>
      <c r="BI12" s="1999"/>
      <c r="BJ12" s="1999"/>
      <c r="BK12" s="1999"/>
      <c r="BL12" s="1999"/>
      <c r="BM12" s="1999"/>
      <c r="BN12" s="1999"/>
      <c r="BO12" s="1999"/>
      <c r="BP12" s="1999"/>
      <c r="BQ12" s="1217"/>
      <c r="BR12" s="1100"/>
    </row>
    <row r="13" spans="1:70" ht="13.5" customHeight="1" x14ac:dyDescent="0.2">
      <c r="A13" s="775"/>
      <c r="B13" s="775"/>
      <c r="C13" s="775"/>
      <c r="D13" s="776"/>
      <c r="E13" s="777"/>
      <c r="F13" s="775"/>
      <c r="G13" s="778"/>
      <c r="H13" s="1773"/>
      <c r="I13" s="1773"/>
      <c r="J13" s="1773"/>
      <c r="K13" s="1773"/>
      <c r="L13" s="1773"/>
      <c r="M13" s="779"/>
      <c r="N13" s="1219"/>
      <c r="O13" s="780"/>
      <c r="P13" s="1219"/>
      <c r="Q13" s="780"/>
      <c r="R13" s="780"/>
      <c r="S13" s="781"/>
      <c r="T13" s="780"/>
      <c r="U13" s="779"/>
      <c r="V13" s="782"/>
      <c r="W13" s="782"/>
      <c r="X13" s="779"/>
      <c r="Y13" s="779"/>
      <c r="Z13" s="779"/>
      <c r="AA13" s="779"/>
      <c r="AB13" s="775"/>
      <c r="AC13" s="775"/>
      <c r="AD13" s="1220"/>
      <c r="AE13" s="1221"/>
      <c r="AF13" s="1980" t="s">
        <v>673</v>
      </c>
      <c r="AG13" s="1981"/>
      <c r="AH13" s="1981"/>
      <c r="AI13" s="1981"/>
      <c r="AJ13" s="1981"/>
      <c r="AK13" s="1981"/>
      <c r="AL13" s="1990" t="s">
        <v>674</v>
      </c>
      <c r="AM13" s="1991"/>
      <c r="AN13" s="1991"/>
      <c r="AO13" s="1992"/>
      <c r="AP13" s="1985" t="s">
        <v>675</v>
      </c>
      <c r="AQ13" s="1986"/>
      <c r="AR13" s="1986"/>
      <c r="AS13" s="1987"/>
      <c r="AT13" s="1988" t="s">
        <v>676</v>
      </c>
      <c r="AU13" s="1988"/>
      <c r="AV13" s="1988"/>
      <c r="AW13" s="1989"/>
      <c r="AX13" s="1103"/>
      <c r="AY13" s="1980"/>
      <c r="AZ13" s="1981"/>
      <c r="BA13" s="1981"/>
      <c r="BB13" s="1981"/>
      <c r="BC13" s="1981"/>
      <c r="BD13" s="1981"/>
      <c r="BE13" s="1990" t="s">
        <v>674</v>
      </c>
      <c r="BF13" s="1991"/>
      <c r="BG13" s="1991"/>
      <c r="BH13" s="1992"/>
      <c r="BI13" s="1985" t="s">
        <v>675</v>
      </c>
      <c r="BJ13" s="1986"/>
      <c r="BK13" s="1986"/>
      <c r="BL13" s="1987"/>
      <c r="BM13" s="1988" t="s">
        <v>676</v>
      </c>
      <c r="BN13" s="1988"/>
      <c r="BO13" s="1988"/>
      <c r="BP13" s="1989"/>
      <c r="BQ13" s="1103"/>
      <c r="BR13" s="1103"/>
    </row>
    <row r="14" spans="1:70" ht="13.5" customHeight="1" x14ac:dyDescent="0.2">
      <c r="A14" s="1222" t="s">
        <v>677</v>
      </c>
      <c r="B14" s="1222" t="s">
        <v>363</v>
      </c>
      <c r="C14" s="1223" t="s">
        <v>678</v>
      </c>
      <c r="D14" s="1224" t="s">
        <v>679</v>
      </c>
      <c r="E14" s="1224" t="s">
        <v>680</v>
      </c>
      <c r="F14" s="1223" t="s">
        <v>9</v>
      </c>
      <c r="G14" s="146" t="s">
        <v>681</v>
      </c>
      <c r="H14" s="1838" t="s">
        <v>682</v>
      </c>
      <c r="I14" s="1813" t="s">
        <v>683</v>
      </c>
      <c r="J14" s="1813" t="s">
        <v>684</v>
      </c>
      <c r="K14" s="1813" t="s">
        <v>814</v>
      </c>
      <c r="L14" s="1813" t="s">
        <v>686</v>
      </c>
      <c r="M14" s="1223" t="s">
        <v>687</v>
      </c>
      <c r="N14" s="1224" t="s">
        <v>688</v>
      </c>
      <c r="O14" s="1224" t="str">
        <f>"Ctrlv. " &amp; MRif</f>
        <v>Ctrlv. CHF</v>
      </c>
      <c r="P14" s="1224" t="s">
        <v>690</v>
      </c>
      <c r="Q14" s="1224" t="s">
        <v>691</v>
      </c>
      <c r="R14" s="1224" t="s">
        <v>674</v>
      </c>
      <c r="S14" s="784"/>
      <c r="T14" s="1224" t="s">
        <v>692</v>
      </c>
      <c r="U14" s="1225" t="s">
        <v>693</v>
      </c>
      <c r="V14" s="1224" t="s">
        <v>694</v>
      </c>
      <c r="W14" s="1224"/>
      <c r="X14" s="1223" t="s">
        <v>866</v>
      </c>
      <c r="Y14" s="1223" t="s">
        <v>867</v>
      </c>
      <c r="Z14" s="1223" t="s">
        <v>868</v>
      </c>
      <c r="AA14" s="1226" t="s">
        <v>869</v>
      </c>
      <c r="AB14" s="1223" t="s">
        <v>695</v>
      </c>
      <c r="AC14" s="1223" t="s">
        <v>696</v>
      </c>
      <c r="AD14" s="1223" t="s">
        <v>697</v>
      </c>
      <c r="AE14" s="1226" t="s">
        <v>698</v>
      </c>
      <c r="AF14" s="1227" t="s">
        <v>699</v>
      </c>
      <c r="AG14" s="1228" t="s">
        <v>700</v>
      </c>
      <c r="AH14" s="1228" t="s">
        <v>701</v>
      </c>
      <c r="AI14" s="1228" t="s">
        <v>702</v>
      </c>
      <c r="AJ14" s="1228" t="s">
        <v>703</v>
      </c>
      <c r="AK14" s="1228" t="s">
        <v>704</v>
      </c>
      <c r="AL14" s="1229" t="s">
        <v>705</v>
      </c>
      <c r="AM14" s="1230" t="s">
        <v>706</v>
      </c>
      <c r="AN14" s="1230" t="s">
        <v>707</v>
      </c>
      <c r="AO14" s="1231" t="s">
        <v>708</v>
      </c>
      <c r="AP14" s="1232" t="s">
        <v>709</v>
      </c>
      <c r="AQ14" s="1233" t="s">
        <v>710</v>
      </c>
      <c r="AR14" s="1233" t="s">
        <v>711</v>
      </c>
      <c r="AS14" s="1234" t="s">
        <v>712</v>
      </c>
      <c r="AT14" s="1235" t="s">
        <v>713</v>
      </c>
      <c r="AU14" s="1235" t="s">
        <v>714</v>
      </c>
      <c r="AV14" s="1235" t="s">
        <v>715</v>
      </c>
      <c r="AW14" s="1235" t="s">
        <v>716</v>
      </c>
      <c r="AX14" s="997" t="s">
        <v>717</v>
      </c>
      <c r="AY14" s="1227" t="s">
        <v>699</v>
      </c>
      <c r="AZ14" s="1228" t="s">
        <v>700</v>
      </c>
      <c r="BA14" s="1228" t="s">
        <v>701</v>
      </c>
      <c r="BB14" s="1228" t="s">
        <v>702</v>
      </c>
      <c r="BC14" s="1228" t="s">
        <v>703</v>
      </c>
      <c r="BD14" s="1228" t="s">
        <v>704</v>
      </c>
      <c r="BE14" s="1229" t="s">
        <v>705</v>
      </c>
      <c r="BF14" s="1230" t="s">
        <v>706</v>
      </c>
      <c r="BG14" s="1230" t="s">
        <v>707</v>
      </c>
      <c r="BH14" s="1231" t="s">
        <v>708</v>
      </c>
      <c r="BI14" s="1232" t="s">
        <v>709</v>
      </c>
      <c r="BJ14" s="1233" t="s">
        <v>710</v>
      </c>
      <c r="BK14" s="1233" t="s">
        <v>711</v>
      </c>
      <c r="BL14" s="1234" t="s">
        <v>712</v>
      </c>
      <c r="BM14" s="1235" t="s">
        <v>713</v>
      </c>
      <c r="BN14" s="1235" t="s">
        <v>714</v>
      </c>
      <c r="BO14" s="1235" t="s">
        <v>715</v>
      </c>
      <c r="BP14" s="1236" t="s">
        <v>716</v>
      </c>
      <c r="BQ14" s="997" t="s">
        <v>717</v>
      </c>
      <c r="BR14" s="997"/>
    </row>
    <row r="15" spans="1:70" ht="13.5" customHeight="1" x14ac:dyDescent="0.2">
      <c r="A15" s="164" t="s">
        <v>362</v>
      </c>
      <c r="B15" s="164"/>
      <c r="C15" s="164"/>
      <c r="D15" s="165"/>
      <c r="E15" s="166"/>
      <c r="F15" s="164"/>
      <c r="G15" s="167"/>
      <c r="H15" s="1702"/>
      <c r="I15" s="1675"/>
      <c r="J15" s="1675"/>
      <c r="K15" s="1703"/>
      <c r="L15" s="1703"/>
      <c r="M15" s="163"/>
      <c r="N15" s="1237">
        <f>1-SUM($N$24,$N$46,$N$162,$N$132)</f>
        <v>0.35899999999999999</v>
      </c>
      <c r="O15" s="1238" cm="1">
        <f t="array" aca="1" ref="O15" ca="1">SUM(IF($AF$14:$BQ$14="I_ctrlv",AF15:BQ15))</f>
        <v>694357.75281332876</v>
      </c>
      <c r="P15" s="171">
        <f t="shared" ref="P15:P38" ca="1" si="0">SUMIF($AF$14:$BQ$14,"I_Ctrlv",$AF15:$BQ15)/$P$4</f>
        <v>0.10601291601328079</v>
      </c>
      <c r="Q15" s="178"/>
      <c r="R15" s="172"/>
      <c r="S15" s="168"/>
      <c r="T15" s="172"/>
      <c r="U15" s="163"/>
      <c r="V15" s="178">
        <f ca="1">COUNTIF(V16:V23,"&lt;&gt;0")</f>
        <v>1</v>
      </c>
      <c r="W15" s="1238"/>
      <c r="X15" s="1239"/>
      <c r="Y15" s="1239"/>
      <c r="Z15" s="1239"/>
      <c r="AA15" s="1240"/>
      <c r="AB15" s="164"/>
      <c r="AC15" s="174"/>
      <c r="AD15" s="1241"/>
      <c r="AE15" s="175"/>
      <c r="AF15" s="176"/>
      <c r="AG15" s="164"/>
      <c r="AH15" s="1242"/>
      <c r="AI15" s="164"/>
      <c r="AJ15" s="178">
        <f ca="1">SUM(AJ$16:AJ$23)</f>
        <v>564233.59029937605</v>
      </c>
      <c r="AK15" s="179">
        <f t="shared" ref="AK15:AK17" ca="1" si="1">IFERROR(AJ15/AF$4,0)</f>
        <v>9.6579549493863937E-2</v>
      </c>
      <c r="AL15" s="180"/>
      <c r="AM15" s="181"/>
      <c r="AN15" s="178">
        <f ca="1">SUM(AN$16:AN$23)</f>
        <v>1533103.3716041932</v>
      </c>
      <c r="AO15" s="182">
        <f ca="1">IFERROR(AN15/AF$4,0)</f>
        <v>0.26242045050613605</v>
      </c>
      <c r="AP15" s="180"/>
      <c r="AQ15" s="181"/>
      <c r="AR15" s="178">
        <f ca="1">SUM(AR$16:AR$23)</f>
        <v>0</v>
      </c>
      <c r="AS15" s="182">
        <f t="shared" ref="AS15:AS17" ca="1" si="2">IFERROR(AR15/AF$4,0)</f>
        <v>0</v>
      </c>
      <c r="AT15" s="181"/>
      <c r="AU15" s="181"/>
      <c r="AV15" s="178">
        <f ca="1">SUM(AV$16:AV$23)</f>
        <v>613151.09665865102</v>
      </c>
      <c r="AW15" s="179">
        <f ca="1">IFERROR(AV15/AF$4,0)</f>
        <v>0.1049527318207709</v>
      </c>
      <c r="AX15" s="1007" t="str">
        <f ca="1">IF(OR(AK15&lt;&gt;0,AS15&lt;&gt;0),"V","")</f>
        <v>V</v>
      </c>
      <c r="AY15" s="1243"/>
      <c r="AZ15" s="164"/>
      <c r="BA15" s="1242"/>
      <c r="BB15" s="164"/>
      <c r="BC15" s="178">
        <f ca="1">SUM(BC$16:BC$23)</f>
        <v>130124.1625139527</v>
      </c>
      <c r="BD15" s="179">
        <f t="shared" ref="BD15:BD17" ca="1" si="3">IFERROR(BC15/AY$4,0)</f>
        <v>0.18389962913718763</v>
      </c>
      <c r="BE15" s="180"/>
      <c r="BF15" s="181"/>
      <c r="BG15" s="178">
        <f ca="1">SUM(BG$16:BG$23)</f>
        <v>123897.96119386796</v>
      </c>
      <c r="BH15" s="182">
        <f ca="1">IFERROR(BG15/AY$4,0)</f>
        <v>0.17510037086281233</v>
      </c>
      <c r="BI15" s="1244"/>
      <c r="BJ15" s="181"/>
      <c r="BK15" s="178">
        <f ca="1">SUM(BK$16:BK$23)</f>
        <v>0</v>
      </c>
      <c r="BL15" s="182">
        <f t="shared" ref="BL15:BL17" ca="1" si="4">IFERROR(BK15/AY$4,0)</f>
        <v>0</v>
      </c>
      <c r="BM15" s="181"/>
      <c r="BN15" s="181"/>
      <c r="BO15" s="178">
        <f ca="1">SUM(BO$16:BO$23)</f>
        <v>162737.66108050841</v>
      </c>
      <c r="BP15" s="802">
        <f ca="1">IFERROR(BO15/AY$4,0)</f>
        <v>0.22999107115213771</v>
      </c>
      <c r="BQ15" s="1007" t="str">
        <f ca="1">IF(OR(BD15&lt;&gt;0,BL15&lt;&gt;0),"V","")</f>
        <v>V</v>
      </c>
      <c r="BR15" s="1007"/>
    </row>
    <row r="16" spans="1:70" ht="13.5" customHeight="1" outlineLevel="1" x14ac:dyDescent="0.2">
      <c r="A16" s="188"/>
      <c r="B16" s="188"/>
      <c r="C16" s="188" t="s">
        <v>719</v>
      </c>
      <c r="D16" s="189">
        <f t="shared" ref="D16:E20" ca="1" si="5">OFFSET(Origine,MATCH($F16,Descrizioni,0),MATCH(D$14,Intestazioni,0)-1,1,1)</f>
        <v>0</v>
      </c>
      <c r="E16" s="1245" t="str">
        <f t="shared" ca="1" si="5"/>
        <v>35487400</v>
      </c>
      <c r="F16" s="188" t="s">
        <v>391</v>
      </c>
      <c r="G16" s="190"/>
      <c r="H16" s="1676"/>
      <c r="I16" s="1676"/>
      <c r="J16" s="1744"/>
      <c r="K16" s="1704"/>
      <c r="L16" s="1704" t="str">
        <f t="shared" ref="L16:L20" ca="1" si="6">IFERROR(HYPERLINK("https://www.zonebourse.com/mods_a/charts/TV/inc_dyna_graph.php?c="&amp;OFFSET(Origine,MATCH($F16,Descrizioni,0),MATCH(L$14,Intestazioni,0)-1,1,1)&amp;"&amp;style=TradingView.CANDLES&amp;showAT=1",""),"")</f>
        <v></v>
      </c>
      <c r="M16" s="187"/>
      <c r="N16" s="1246">
        <f>1-SUM(N17:N23,N24,N46,N162,N132)</f>
        <v>0.35899999999999999</v>
      </c>
      <c r="O16" s="1247" cm="1">
        <f t="array" aca="1" ref="O16" ca="1">SUM(IF($AF$14:$BQ$14="I_ctrlv",AF16:BQ16))</f>
        <v>596471.83754132886</v>
      </c>
      <c r="P16" s="192">
        <f t="shared" ca="1" si="0"/>
        <v>9.1067923647935312E-2</v>
      </c>
      <c r="Q16" s="193">
        <f t="array" aca="1" ref="Q16" ca="1">SUM(IF($AF$14:$BQ$14="I_pos",AF16:BQ16))</f>
        <v>596471.76</v>
      </c>
      <c r="R16" s="193"/>
      <c r="S16" s="1248"/>
      <c r="T16" s="193"/>
      <c r="U16" s="1249">
        <f t="shared" ref="U16:U20" ca="1" si="7">OFFSET(Origine,MATCH($F16,Descrizioni,0),MATCH(U$14,Intestazioni,0)-1,1,1)</f>
        <v>0</v>
      </c>
      <c r="V16" s="193">
        <f t="array" aca="1" ref="V16" ca="1">SUM(IF($AF$14:$BQ$14="O_Pos",AF16:BQ16))</f>
        <v>0</v>
      </c>
      <c r="W16" s="1247"/>
      <c r="X16" s="803"/>
      <c r="Y16" s="803"/>
      <c r="Z16" s="803"/>
      <c r="AA16" s="1250"/>
      <c r="AB16" s="188" t="str">
        <f t="shared" ref="AB16:AB20" si="8">RIGHT($F16,3)</f>
        <v>CHF</v>
      </c>
      <c r="AC16" s="195">
        <v>1</v>
      </c>
      <c r="AD16" s="1251"/>
      <c r="AE16" s="196">
        <f t="shared" ref="AE16:AE20" ca="1" si="9">_xlfn.NUMBERVALUE(OFFSET(Origine,MATCH(AB16&amp;"/"&amp;MRif,LUKB_Name,0),MATCH("Price",Intestazioni,0)-1,1,1))</f>
        <v>1.0000001300000001</v>
      </c>
      <c r="AF16" s="197">
        <v>492825.97</v>
      </c>
      <c r="AG16" s="200"/>
      <c r="AH16" s="807"/>
      <c r="AI16" s="199">
        <f t="shared" ref="AI16:AI17" si="10">AF16*$AC16</f>
        <v>492825.97</v>
      </c>
      <c r="AJ16" s="200">
        <f ca="1">AI16*$AE16</f>
        <v>492826.03406737611</v>
      </c>
      <c r="AK16" s="201">
        <f t="shared" ca="1" si="1"/>
        <v>8.4356757852400169E-2</v>
      </c>
      <c r="AL16" s="202">
        <f ca="1">AM16/$AC16</f>
        <v>1604510.7192497996</v>
      </c>
      <c r="AM16" s="203">
        <f ca="1">AN16/$AE16</f>
        <v>1604510.7192497996</v>
      </c>
      <c r="AN16" s="203">
        <f t="shared" ref="AN16:AN17" ca="1" si="11">AO16*AF$4</f>
        <v>1604510.9278361932</v>
      </c>
      <c r="AO16" s="204">
        <f ca="1">$N16-AK16</f>
        <v>0.27464324214759983</v>
      </c>
      <c r="AP16" s="205"/>
      <c r="AQ16" s="206" cm="1">
        <f t="array" aca="1" ref="AQ16" ca="1">AP16-SUM(IF($AB$17:$AB$170=$AB16,IF($T$17:$T$170="",AQ$17:AQ$170)))-SUMPRODUCT($AE$17:$AE$20,AP17:AP20)</f>
        <v>48917.5</v>
      </c>
      <c r="AR16" s="206">
        <f ca="1">-SUMIF($T$17:$T$20,"",AR$17:AR$20)</f>
        <v>0</v>
      </c>
      <c r="AS16" s="207">
        <f t="shared" ca="1" si="2"/>
        <v>0</v>
      </c>
      <c r="AT16" s="193">
        <f ca="1">AI16+AQ16</f>
        <v>541743.47</v>
      </c>
      <c r="AU16" s="193">
        <f ca="1">AT16</f>
        <v>541743.47</v>
      </c>
      <c r="AV16" s="193">
        <f ca="1">AU16*$AE16</f>
        <v>541743.54042665113</v>
      </c>
      <c r="AW16" s="208">
        <f t="shared" ref="AW16:AW17" ca="1" si="12">AV16/AF$4</f>
        <v>9.2729940179307135E-2</v>
      </c>
      <c r="AX16" s="1007" t="str">
        <f t="shared" ref="AX16:AX84" ca="1" si="13">IF(OR(AK16&lt;&gt;0,AS16&lt;&gt;0),"V","")</f>
        <v>V</v>
      </c>
      <c r="AY16" s="1252">
        <f>73645.79+30000</f>
        <v>103645.79</v>
      </c>
      <c r="AZ16" s="200"/>
      <c r="BA16" s="807"/>
      <c r="BB16" s="199">
        <f t="shared" ref="BB16:BB17" si="14">AY16*$AC16</f>
        <v>103645.79</v>
      </c>
      <c r="BC16" s="200">
        <f ca="1">BB16*$AE16</f>
        <v>103645.80347395271</v>
      </c>
      <c r="BD16" s="201">
        <f t="shared" ca="1" si="3"/>
        <v>0.14647875115770265</v>
      </c>
      <c r="BE16" s="202">
        <f ca="1">BF16/$AC16</f>
        <v>150376.30068494886</v>
      </c>
      <c r="BF16" s="203">
        <f ca="1">BG16/$AE16</f>
        <v>150376.30068494886</v>
      </c>
      <c r="BG16" s="203">
        <f t="shared" ref="BG16:BG17" ca="1" si="15">BH16*AY$4</f>
        <v>150376.32023386797</v>
      </c>
      <c r="BH16" s="204">
        <f ca="1">$N16-BD16</f>
        <v>0.21252124884229734</v>
      </c>
      <c r="BI16" s="1253"/>
      <c r="BJ16" s="206" cm="1">
        <f t="array" aca="1" ref="BJ16" ca="1">BI16-SUM(IF($AB$17:$AB$170=$AB16,IF($T$17:$T$170="",BJ$17:BJ$170)))-SUMPRODUCT($AE$17:$AE$20,BI17:BI20)</f>
        <v>46218.12083320001</v>
      </c>
      <c r="BK16" s="206">
        <f ca="1">-SUMIF($T$17:$T$20,"",BK$17:BK$20)</f>
        <v>13604.628274999999</v>
      </c>
      <c r="BL16" s="207">
        <f t="shared" ca="1" si="4"/>
        <v>1.9226914094863275E-2</v>
      </c>
      <c r="BM16" s="193">
        <f ca="1">BB16+BJ16</f>
        <v>149863.9108332</v>
      </c>
      <c r="BN16" s="193">
        <f ca="1">BM16</f>
        <v>149863.9108332</v>
      </c>
      <c r="BO16" s="193">
        <f ca="1">BN16*$AE16</f>
        <v>149863.93031550842</v>
      </c>
      <c r="BP16" s="806">
        <f t="shared" ref="BP16:BP23" ca="1" si="16">BO16/AY$4</f>
        <v>0.21179710726751602</v>
      </c>
      <c r="BQ16" s="1007" t="str">
        <f t="shared" ref="BQ16:BQ18" ca="1" si="17">IF(OR(BD16&lt;&gt;0,BL16&lt;&gt;0),"V","")</f>
        <v>V</v>
      </c>
      <c r="BR16" s="1007"/>
    </row>
    <row r="17" spans="1:70" ht="13.5" customHeight="1" outlineLevel="1" x14ac:dyDescent="0.2">
      <c r="A17" s="188"/>
      <c r="B17" s="188"/>
      <c r="C17" s="188" t="s">
        <v>720</v>
      </c>
      <c r="D17" s="189">
        <f t="shared" ca="1" si="5"/>
        <v>0</v>
      </c>
      <c r="E17" s="1245" t="str">
        <f t="shared" ca="1" si="5"/>
        <v>990879</v>
      </c>
      <c r="F17" s="188" t="s">
        <v>427</v>
      </c>
      <c r="G17" s="190"/>
      <c r="H17" s="1815" t="str">
        <f ca="1">HYPERLINK(OFFSET(Origine,MATCH($F17,Descrizioni,0),MATCH(H$14,Intestazioni,0)-1,1,1),"")</f>
        <v></v>
      </c>
      <c r="I17" s="1814" t="str">
        <f t="shared" ref="I17" ca="1" si="18">HYPERLINK(OFFSET(Origine,MATCH($F17,Descrizioni,0),MATCH(I$14,Intestazioni,0)-1,1,1),"i")</f>
        <v>i</v>
      </c>
      <c r="J17" s="1815" t="str">
        <f t="shared" ref="J17:K17" ca="1" si="19">HYPERLINK(OFFSET(Origine,MATCH($F17,Descrizioni,0),MATCH(J$14,Intestazioni,0)-1,1,1),"")</f>
        <v></v>
      </c>
      <c r="K17" s="1816" t="str">
        <f t="shared" ca="1" si="19"/>
        <v></v>
      </c>
      <c r="L17" s="1817" t="str">
        <f t="shared" ca="1" si="6"/>
        <v></v>
      </c>
      <c r="M17" s="187"/>
      <c r="N17" s="1246"/>
      <c r="O17" s="1247" cm="1">
        <f t="array" aca="1" ref="O17" ca="1">SUM(IF($AF$14:$BQ$14="I_ctrlv",AF17:BQ17))</f>
        <v>67464.19040549999</v>
      </c>
      <c r="P17" s="192">
        <f t="shared" ca="1" si="0"/>
        <v>1.0300274638519114E-2</v>
      </c>
      <c r="Q17" s="193">
        <f t="array" aca="1" ref="Q17" ca="1">SUM(IF($AF$14:$BQ$14="I_pos",AF17:BQ17))</f>
        <v>74336.61</v>
      </c>
      <c r="R17" s="193"/>
      <c r="S17" s="1248"/>
      <c r="T17" s="193"/>
      <c r="U17" s="1249">
        <f t="shared" ca="1" si="7"/>
        <v>0</v>
      </c>
      <c r="V17" s="193">
        <f t="array" aca="1" ref="V17" ca="1">SUM(IF($AF$14:$BQ$14="O_Pos",AF17:BQ17))</f>
        <v>25000</v>
      </c>
      <c r="W17" s="1247"/>
      <c r="X17" s="803"/>
      <c r="Y17" s="803"/>
      <c r="Z17" s="803"/>
      <c r="AA17" s="1250"/>
      <c r="AB17" s="188" t="str">
        <f t="shared" si="8"/>
        <v>EUR</v>
      </c>
      <c r="AC17" s="195">
        <v>1</v>
      </c>
      <c r="AD17" s="1251"/>
      <c r="AE17" s="196">
        <f t="shared" ca="1" si="9"/>
        <v>0.90754999999999997</v>
      </c>
      <c r="AF17" s="214">
        <v>49813.71</v>
      </c>
      <c r="AG17" s="199"/>
      <c r="AH17" s="1254"/>
      <c r="AI17" s="199">
        <f t="shared" si="10"/>
        <v>49813.71</v>
      </c>
      <c r="AJ17" s="199">
        <f t="shared" ref="AJ17" ca="1" si="20">AI17*$AE17</f>
        <v>45208.432510499995</v>
      </c>
      <c r="AK17" s="216">
        <f t="shared" ca="1" si="1"/>
        <v>7.7383022213746251E-3</v>
      </c>
      <c r="AL17" s="202">
        <f t="shared" ref="AL17" ca="1" si="21">AM17/$AC17</f>
        <v>-49813.71</v>
      </c>
      <c r="AM17" s="203">
        <f t="shared" ref="AM17" ca="1" si="22">AN17/$AE17</f>
        <v>-49813.71</v>
      </c>
      <c r="AN17" s="203">
        <f t="shared" ca="1" si="11"/>
        <v>-45208.432510499995</v>
      </c>
      <c r="AO17" s="204">
        <f t="shared" ref="AO17" ca="1" si="23">$N17-AK17</f>
        <v>-7.7383022213746251E-3</v>
      </c>
      <c r="AP17" s="205"/>
      <c r="AQ17" s="206" cm="1">
        <f t="array" aca="1" ref="AQ17" ca="1">AP17-SUM(IF($AB$21:$AB$170=$AB17,IF($T$21:$T$170="",AQ$21:AQ$170)))</f>
        <v>0</v>
      </c>
      <c r="AR17" s="206">
        <f t="shared" ref="AR17" ca="1" si="24">AQ17*$AE17</f>
        <v>0</v>
      </c>
      <c r="AS17" s="207">
        <f t="shared" ca="1" si="2"/>
        <v>0</v>
      </c>
      <c r="AT17" s="193">
        <f t="shared" ref="AT17:AT20" ca="1" si="25">AI17+AQ17</f>
        <v>49813.71</v>
      </c>
      <c r="AU17" s="193">
        <f t="shared" ref="AU17" ca="1" si="26">AT17</f>
        <v>49813.71</v>
      </c>
      <c r="AV17" s="193">
        <f t="shared" ref="AV17" ca="1" si="27">AU17*$AE17</f>
        <v>45208.432510499995</v>
      </c>
      <c r="AW17" s="208">
        <f t="shared" ca="1" si="12"/>
        <v>7.7383022213746251E-3</v>
      </c>
      <c r="AX17" s="1007" t="str">
        <f t="shared" ca="1" si="13"/>
        <v>V</v>
      </c>
      <c r="AY17" s="1255">
        <v>24522.9</v>
      </c>
      <c r="AZ17" s="199"/>
      <c r="BA17" s="1254"/>
      <c r="BB17" s="199">
        <f t="shared" si="14"/>
        <v>24522.9</v>
      </c>
      <c r="BC17" s="199">
        <f t="shared" ref="BC17" ca="1" si="28">BB17*$AE17</f>
        <v>22255.757894999999</v>
      </c>
      <c r="BD17" s="216">
        <f t="shared" ca="1" si="3"/>
        <v>3.145323315812832E-2</v>
      </c>
      <c r="BE17" s="202">
        <f t="shared" ref="BE17" ca="1" si="29">BF17/$AC17</f>
        <v>-24522.899999999998</v>
      </c>
      <c r="BF17" s="203">
        <f t="shared" ref="BF17" ca="1" si="30">BG17/$AE17</f>
        <v>-24522.899999999998</v>
      </c>
      <c r="BG17" s="203">
        <f t="shared" ca="1" si="15"/>
        <v>-22255.757894999999</v>
      </c>
      <c r="BH17" s="204">
        <f t="shared" ref="BH17" ca="1" si="31">$N17-BD17</f>
        <v>-3.145323315812832E-2</v>
      </c>
      <c r="BI17" s="1253">
        <v>25000</v>
      </c>
      <c r="BJ17" s="206" cm="1">
        <f t="array" aca="1" ref="BJ17" ca="1">BI17-SUM(IF($AB$21:$AB$170=$AB17,IF($T$21:$T$170="",BJ$21:BJ$170)))</f>
        <v>-14990.5</v>
      </c>
      <c r="BK17" s="206">
        <f t="shared" ref="BK17" ca="1" si="32">BJ17*$AE17</f>
        <v>-13604.628274999999</v>
      </c>
      <c r="BL17" s="207">
        <f t="shared" ca="1" si="4"/>
        <v>-1.9226914094863275E-2</v>
      </c>
      <c r="BM17" s="193">
        <f t="shared" ref="BM17:BM20" ca="1" si="33">BB17+BJ17</f>
        <v>9532.4000000000015</v>
      </c>
      <c r="BN17" s="193">
        <f t="shared" ref="BN17" ca="1" si="34">BM17</f>
        <v>9532.4000000000015</v>
      </c>
      <c r="BO17" s="193">
        <f t="shared" ref="BO17" ca="1" si="35">BN17*$AE17</f>
        <v>8651.1296200000015</v>
      </c>
      <c r="BP17" s="806">
        <f t="shared" ca="1" si="16"/>
        <v>1.2226319063265049E-2</v>
      </c>
      <c r="BQ17" s="1007" t="str">
        <f t="shared" ca="1" si="17"/>
        <v>V</v>
      </c>
      <c r="BR17" s="1007"/>
    </row>
    <row r="18" spans="1:70" ht="13.5" customHeight="1" outlineLevel="1" x14ac:dyDescent="0.2">
      <c r="A18" s="188"/>
      <c r="B18" s="188"/>
      <c r="C18" s="188" t="s">
        <v>721</v>
      </c>
      <c r="D18" s="189" t="str">
        <f t="shared" ca="1" si="5"/>
        <v>XC0009652816</v>
      </c>
      <c r="E18" s="1245" t="str">
        <f t="shared" ca="1" si="5"/>
        <v>275000</v>
      </c>
      <c r="F18" s="188" t="s">
        <v>364</v>
      </c>
      <c r="G18" s="190"/>
      <c r="H18" s="1815" t="str">
        <f ca="1">HYPERLINK(OFFSET(Origine,MATCH($F18,Descrizioni,0),MATCH(H$14,Intestazioni,0)-1,1,1),"")</f>
        <v></v>
      </c>
      <c r="I18" s="1814" t="str">
        <f t="shared" ref="I18" ca="1" si="36">HYPERLINK(OFFSET(Origine,MATCH($F18,Descrizioni,0),MATCH(I$14,Intestazioni,0)-1,1,1),"i")</f>
        <v>i</v>
      </c>
      <c r="J18" s="1815" t="str">
        <f t="shared" ref="J18:K18" ca="1" si="37">HYPERLINK(OFFSET(Origine,MATCH($F18,Descrizioni,0),MATCH(J$14,Intestazioni,0)-1,1,1),"")</f>
        <v></v>
      </c>
      <c r="K18" s="1816" t="str">
        <f t="shared" ca="1" si="37"/>
        <v></v>
      </c>
      <c r="L18" s="1817" t="str">
        <f t="shared" ca="1" si="6"/>
        <v></v>
      </c>
      <c r="M18" s="187"/>
      <c r="N18" s="1246"/>
      <c r="O18" s="1247" cm="1">
        <f t="array" aca="1" ref="O18" ca="1">SUM(IF($AF$14:$BQ$14="I_ctrlv",AF18:BQ18))</f>
        <v>17941.513905</v>
      </c>
      <c r="P18" s="192">
        <f t="shared" ca="1" si="0"/>
        <v>2.7392683368989718E-3</v>
      </c>
      <c r="Q18" s="193">
        <f t="array" aca="1" ref="Q18" ca="1">SUM(IF($AF$14:$BQ$14="I_pos",AF18:BQ18))</f>
        <v>22935.78</v>
      </c>
      <c r="R18" s="193"/>
      <c r="S18" s="1248"/>
      <c r="T18" s="193"/>
      <c r="U18" s="1249">
        <f t="shared" ca="1" si="7"/>
        <v>3.97869E-3</v>
      </c>
      <c r="V18" s="193">
        <f t="array" aca="1" ref="V18" ca="1">SUM(IF($AF$14:$BQ$14="O_Pos",AF18:BQ18))</f>
        <v>0</v>
      </c>
      <c r="W18" s="1247"/>
      <c r="X18" s="803"/>
      <c r="Y18" s="803"/>
      <c r="Z18" s="803"/>
      <c r="AA18" s="1250"/>
      <c r="AB18" s="188" t="str">
        <f t="shared" si="8"/>
        <v>USD</v>
      </c>
      <c r="AC18" s="195">
        <v>1</v>
      </c>
      <c r="AD18" s="1251"/>
      <c r="AE18" s="196">
        <f t="shared" ca="1" si="9"/>
        <v>0.78225</v>
      </c>
      <c r="AF18" s="214">
        <v>17537.759999999998</v>
      </c>
      <c r="AG18" s="199"/>
      <c r="AH18" s="1254"/>
      <c r="AI18" s="199">
        <f>AF18*$AC18</f>
        <v>17537.759999999998</v>
      </c>
      <c r="AJ18" s="199">
        <f ca="1">AI18*$AE18</f>
        <v>13718.912759999999</v>
      </c>
      <c r="AK18" s="216">
        <f t="shared" ref="AK18" ca="1" si="38">IFERROR(AJ18/AF$4,0)</f>
        <v>2.3482586586229454E-3</v>
      </c>
      <c r="AL18" s="202">
        <f ca="1">AM18/$AC18</f>
        <v>-17537.759999999998</v>
      </c>
      <c r="AM18" s="203">
        <f ca="1">AN18/$AE18</f>
        <v>-17537.759999999998</v>
      </c>
      <c r="AN18" s="203">
        <f ca="1">AO18*AF$4</f>
        <v>-13718.912759999997</v>
      </c>
      <c r="AO18" s="204">
        <f ca="1">$N18-AK18</f>
        <v>-2.3482586586229454E-3</v>
      </c>
      <c r="AP18" s="205"/>
      <c r="AQ18" s="206" cm="1">
        <f t="array" aca="1" ref="AQ18" ca="1">AP18-SUM(IF($AB$21:$AB$170=$AB18,IF($T$21:$T$170="",AQ$21:AQ$170)))</f>
        <v>0</v>
      </c>
      <c r="AR18" s="206">
        <f ca="1">AQ18*$AE18</f>
        <v>0</v>
      </c>
      <c r="AS18" s="207">
        <f ca="1">IFERROR(AR18/AF$4,0)</f>
        <v>0</v>
      </c>
      <c r="AT18" s="193">
        <f t="shared" ca="1" si="25"/>
        <v>17537.759999999998</v>
      </c>
      <c r="AU18" s="193">
        <f ca="1">AT18</f>
        <v>17537.759999999998</v>
      </c>
      <c r="AV18" s="193">
        <f ca="1">AU18*$AE18</f>
        <v>13718.912759999999</v>
      </c>
      <c r="AW18" s="208">
        <f ca="1">AV18/AF$4</f>
        <v>2.3482586586229454E-3</v>
      </c>
      <c r="AX18" s="1007" t="str">
        <f t="shared" ca="1" si="13"/>
        <v>V</v>
      </c>
      <c r="AY18" s="1255">
        <v>5398.02</v>
      </c>
      <c r="AZ18" s="199"/>
      <c r="BA18" s="1254"/>
      <c r="BB18" s="199">
        <f>AY18*$AC18</f>
        <v>5398.02</v>
      </c>
      <c r="BC18" s="199">
        <f ca="1">BB18*$AE18</f>
        <v>4222.6011450000005</v>
      </c>
      <c r="BD18" s="216">
        <f ca="1">IFERROR(BC18/AY$4,0)</f>
        <v>5.967644821356673E-3</v>
      </c>
      <c r="BE18" s="202">
        <f ca="1">BF18/$AC18</f>
        <v>-5398.02</v>
      </c>
      <c r="BF18" s="203">
        <f ca="1">BG18/$AE18</f>
        <v>-5398.02</v>
      </c>
      <c r="BG18" s="203">
        <f ca="1">BH18*AY$4</f>
        <v>-4222.6011450000005</v>
      </c>
      <c r="BH18" s="204">
        <f ca="1">$N18-BD18</f>
        <v>-5.967644821356673E-3</v>
      </c>
      <c r="BI18" s="1253"/>
      <c r="BJ18" s="206" cm="1">
        <f t="array" aca="1" ref="BJ18" ca="1">BI18-SUM(IF($AB$21:$AB$170=$AB18,IF($T$21:$T$170="",BJ$21:BJ$170)))</f>
        <v>0</v>
      </c>
      <c r="BK18" s="206">
        <f ca="1">BJ18*$AE18</f>
        <v>0</v>
      </c>
      <c r="BL18" s="207">
        <f ca="1">IFERROR(BK18/AY$4,0)</f>
        <v>0</v>
      </c>
      <c r="BM18" s="193">
        <f t="shared" ca="1" si="33"/>
        <v>5398.02</v>
      </c>
      <c r="BN18" s="193">
        <f ca="1">BM18</f>
        <v>5398.02</v>
      </c>
      <c r="BO18" s="193">
        <f ca="1">BN18*$AE18</f>
        <v>4222.6011450000005</v>
      </c>
      <c r="BP18" s="806">
        <f t="shared" ca="1" si="16"/>
        <v>5.967644821356673E-3</v>
      </c>
      <c r="BQ18" s="1007" t="str">
        <f t="shared" ca="1" si="17"/>
        <v>V</v>
      </c>
      <c r="BR18" s="1007"/>
    </row>
    <row r="19" spans="1:70" ht="13.5" customHeight="1" outlineLevel="1" x14ac:dyDescent="0.2">
      <c r="A19" s="188"/>
      <c r="B19" s="188"/>
      <c r="C19" s="188" t="s">
        <v>722</v>
      </c>
      <c r="D19" s="189" t="str">
        <f t="shared" ca="1" si="5"/>
        <v>GB0008283987</v>
      </c>
      <c r="E19" s="1245" t="str">
        <f t="shared" ca="1" si="5"/>
        <v>947552</v>
      </c>
      <c r="F19" s="188" t="s">
        <v>723</v>
      </c>
      <c r="G19" s="190"/>
      <c r="H19" s="1815" t="str">
        <f ca="1">HYPERLINK(OFFSET(Origine,MATCH($F19,Descrizioni,0),MATCH(H$14,Intestazioni,0)-1,1,1),"")</f>
        <v></v>
      </c>
      <c r="I19" s="1814" t="str">
        <f t="shared" ref="I19:I20" ca="1" si="39">HYPERLINK(OFFSET(Origine,MATCH($F19,Descrizioni,0),MATCH(I$14,Intestazioni,0)-1,1,1),"i")</f>
        <v>i</v>
      </c>
      <c r="J19" s="1815" t="str">
        <f t="shared" ref="J19:K20" ca="1" si="40">HYPERLINK(OFFSET(Origine,MATCH($F19,Descrizioni,0),MATCH(J$14,Intestazioni,0)-1,1,1),"")</f>
        <v></v>
      </c>
      <c r="K19" s="1816" t="str">
        <f t="shared" ca="1" si="40"/>
        <v></v>
      </c>
      <c r="L19" s="1817" t="str">
        <f t="shared" ca="1" si="6"/>
        <v></v>
      </c>
      <c r="M19" s="187"/>
      <c r="N19" s="1246"/>
      <c r="O19" s="1247" cm="1">
        <f t="array" aca="1" ref="O19" ca="1">SUM(IF($AF$14:$BQ$14="I_ctrlv",AF19:BQ19))</f>
        <v>0</v>
      </c>
      <c r="P19" s="192">
        <f t="shared" ca="1" si="0"/>
        <v>0</v>
      </c>
      <c r="Q19" s="193">
        <f t="array" aca="1" ref="Q19" ca="1">SUM(IF($AF$14:$BQ$14="I_pos",AF19:BQ19))</f>
        <v>0</v>
      </c>
      <c r="R19" s="193"/>
      <c r="S19" s="1248"/>
      <c r="T19" s="193"/>
      <c r="U19" s="1249">
        <f t="shared" ca="1" si="7"/>
        <v>2.1744000000000004E-3</v>
      </c>
      <c r="V19" s="193">
        <f t="array" aca="1" ref="V19" ca="1">SUM(IF($AF$14:$BQ$14="O_Pos",AF19:BQ19))</f>
        <v>0</v>
      </c>
      <c r="W19" s="1247"/>
      <c r="X19" s="803"/>
      <c r="Y19" s="803"/>
      <c r="Z19" s="803"/>
      <c r="AA19" s="1250"/>
      <c r="AB19" s="188" t="str">
        <f t="shared" si="8"/>
        <v>GBP</v>
      </c>
      <c r="AC19" s="195">
        <v>1</v>
      </c>
      <c r="AD19" s="1251"/>
      <c r="AE19" s="196">
        <f t="shared" ca="1" si="9"/>
        <v>1.0430999999999999</v>
      </c>
      <c r="AF19" s="214"/>
      <c r="AG19" s="199"/>
      <c r="AH19" s="1254"/>
      <c r="AI19" s="199">
        <f t="shared" ref="AI19" si="41">AF19*$AC19</f>
        <v>0</v>
      </c>
      <c r="AJ19" s="199">
        <f t="shared" ref="AJ19" ca="1" si="42">AI19*$AE19</f>
        <v>0</v>
      </c>
      <c r="AK19" s="216">
        <f t="shared" ref="AK19:AK25" ca="1" si="43">IFERROR(AJ19/AF$4,0)</f>
        <v>0</v>
      </c>
      <c r="AL19" s="202">
        <f t="shared" ref="AL19" ca="1" si="44">AM19/$AC19</f>
        <v>0</v>
      </c>
      <c r="AM19" s="203">
        <f t="shared" ref="AM19" ca="1" si="45">AN19/$AE19</f>
        <v>0</v>
      </c>
      <c r="AN19" s="203">
        <f t="shared" ref="AN19" ca="1" si="46">AO19*AF$4</f>
        <v>0</v>
      </c>
      <c r="AO19" s="204">
        <f t="shared" ref="AO19" ca="1" si="47">$N19-AK19</f>
        <v>0</v>
      </c>
      <c r="AP19" s="205"/>
      <c r="AQ19" s="206" cm="1">
        <f t="array" aca="1" ref="AQ19" ca="1">AP19-SUM(IF($AB$21:$AB$170=$AB19,IF($T$21:$T$170="",AQ$21:AQ$170)))</f>
        <v>0</v>
      </c>
      <c r="AR19" s="206">
        <f t="shared" ref="AR19" ca="1" si="48">AQ19*$AE19</f>
        <v>0</v>
      </c>
      <c r="AS19" s="207">
        <f t="shared" ref="AS19:AS25" ca="1" si="49">IFERROR(AR19/AF$4,0)</f>
        <v>0</v>
      </c>
      <c r="AT19" s="193">
        <f t="shared" ca="1" si="25"/>
        <v>0</v>
      </c>
      <c r="AU19" s="193">
        <f t="shared" ref="AU19" ca="1" si="50">AT19</f>
        <v>0</v>
      </c>
      <c r="AV19" s="193">
        <f t="shared" ref="AV19" ca="1" si="51">AU19*$AE19</f>
        <v>0</v>
      </c>
      <c r="AW19" s="208">
        <f t="shared" ref="AW19" ca="1" si="52">AV19/AF$4</f>
        <v>0</v>
      </c>
      <c r="AX19" s="1007" t="str">
        <f t="shared" ca="1" si="13"/>
        <v/>
      </c>
      <c r="AY19" s="1255"/>
      <c r="AZ19" s="199"/>
      <c r="BA19" s="1254"/>
      <c r="BB19" s="199">
        <f t="shared" ref="BB19" si="53">AY19*$AC19</f>
        <v>0</v>
      </c>
      <c r="BC19" s="199">
        <f t="shared" ref="BC19" ca="1" si="54">BB19*$AE19</f>
        <v>0</v>
      </c>
      <c r="BD19" s="216">
        <f t="shared" ref="BD19:BD25" ca="1" si="55">IFERROR(BC19/AY$4,0)</f>
        <v>0</v>
      </c>
      <c r="BE19" s="202">
        <f t="shared" ref="BE19" ca="1" si="56">BF19/$AC19</f>
        <v>0</v>
      </c>
      <c r="BF19" s="203">
        <f t="shared" ref="BF19" ca="1" si="57">BG19/$AE19</f>
        <v>0</v>
      </c>
      <c r="BG19" s="203">
        <f t="shared" ref="BG19" ca="1" si="58">BH19*AY$4</f>
        <v>0</v>
      </c>
      <c r="BH19" s="204">
        <f t="shared" ref="BH19" ca="1" si="59">$N19-BD19</f>
        <v>0</v>
      </c>
      <c r="BI19" s="1253"/>
      <c r="BJ19" s="206" cm="1">
        <f t="array" aca="1" ref="BJ19" ca="1">BI19-SUM(IF($AB$21:$AB$170=$AB19,IF($T$21:$T$170="",BJ$21:BJ$170)))</f>
        <v>0</v>
      </c>
      <c r="BK19" s="206">
        <f t="shared" ref="BK19:BK23" ca="1" si="60">BJ19*$AE19</f>
        <v>0</v>
      </c>
      <c r="BL19" s="207">
        <f t="shared" ref="BL19:BL23" ca="1" si="61">IFERROR(BK19/AY$4,0)</f>
        <v>0</v>
      </c>
      <c r="BM19" s="193">
        <f t="shared" ca="1" si="33"/>
        <v>0</v>
      </c>
      <c r="BN19" s="193">
        <f t="shared" ref="BN19:BN23" ca="1" si="62">BM19</f>
        <v>0</v>
      </c>
      <c r="BO19" s="193">
        <f t="shared" ref="BO19:BO23" ca="1" si="63">BN19*$AE19</f>
        <v>0</v>
      </c>
      <c r="BP19" s="806">
        <f t="shared" ca="1" si="16"/>
        <v>0</v>
      </c>
      <c r="BQ19" s="1007" t="str">
        <f t="shared" ref="BQ19:BQ37" ca="1" si="64">IF(SUM(BD19,BL19,BP19)&lt;&gt;0,"V","")</f>
        <v/>
      </c>
      <c r="BR19" s="1007"/>
    </row>
    <row r="20" spans="1:70" ht="13.5" customHeight="1" outlineLevel="1" thickBot="1" x14ac:dyDescent="0.25">
      <c r="A20" s="188"/>
      <c r="B20" s="188"/>
      <c r="C20" s="188" t="s">
        <v>724</v>
      </c>
      <c r="D20" s="189" t="str">
        <f t="shared" ca="1" si="5"/>
        <v>XC0001458402</v>
      </c>
      <c r="E20" s="1245" t="str">
        <f t="shared" ca="1" si="5"/>
        <v>968876</v>
      </c>
      <c r="F20" s="188" t="s">
        <v>477</v>
      </c>
      <c r="G20" s="190"/>
      <c r="H20" s="1815" t="str">
        <f ca="1">HYPERLINK(OFFSET(Origine,MATCH($F20,Descrizioni,0),MATCH(H$14,Intestazioni,0)-1,1,1),"")</f>
        <v></v>
      </c>
      <c r="I20" s="1814" t="str">
        <f t="shared" ca="1" si="39"/>
        <v>i</v>
      </c>
      <c r="J20" s="1815" t="str">
        <f t="shared" ca="1" si="40"/>
        <v></v>
      </c>
      <c r="K20" s="1816" t="str">
        <f t="shared" ca="1" si="40"/>
        <v></v>
      </c>
      <c r="L20" s="1817" t="str">
        <f t="shared" ca="1" si="6"/>
        <v></v>
      </c>
      <c r="M20" s="187"/>
      <c r="N20" s="1246"/>
      <c r="O20" s="1247" cm="1">
        <f t="array" aca="1" ref="O20" ca="1">SUM(IF($AF$14:$BQ$14="I_ctrlv",AF20:BQ20))</f>
        <v>12480.210961500001</v>
      </c>
      <c r="P20" s="192">
        <f t="shared" ca="1" si="0"/>
        <v>1.9054493899274118E-3</v>
      </c>
      <c r="Q20" s="193">
        <f t="array" aca="1" ref="Q20" ca="1">SUM(IF($AF$14:$BQ$14="I_pos",AF20:BQ20))</f>
        <v>22689.23</v>
      </c>
      <c r="R20" s="193"/>
      <c r="S20" s="1248"/>
      <c r="T20" s="193"/>
      <c r="U20" s="1249">
        <f t="shared" ca="1" si="7"/>
        <v>-2.5508100000000001E-3</v>
      </c>
      <c r="V20" s="193">
        <f t="array" aca="1" ref="V20" ca="1">SUM(IF($AF$14:$BQ$14="O_Pos",AF20:BQ20))</f>
        <v>0</v>
      </c>
      <c r="W20" s="1247"/>
      <c r="X20" s="803"/>
      <c r="Y20" s="803"/>
      <c r="Z20" s="803"/>
      <c r="AA20" s="1250"/>
      <c r="AB20" s="188" t="str">
        <f t="shared" si="8"/>
        <v>AUD</v>
      </c>
      <c r="AC20" s="195">
        <v>1</v>
      </c>
      <c r="AD20" s="1251"/>
      <c r="AE20" s="196">
        <f t="shared" ca="1" si="9"/>
        <v>0.55005000000000004</v>
      </c>
      <c r="AF20" s="1255">
        <v>22689.23</v>
      </c>
      <c r="AG20" s="199"/>
      <c r="AH20" s="1254"/>
      <c r="AI20" s="199">
        <f t="shared" ref="AI20" si="65">AF20*$AC20</f>
        <v>22689.23</v>
      </c>
      <c r="AJ20" s="199">
        <f t="shared" ref="AJ20" ca="1" si="66">AI20*$AE20</f>
        <v>12480.210961500001</v>
      </c>
      <c r="AK20" s="216">
        <f t="shared" ref="AK20" ca="1" si="67">IFERROR(AJ20/AF$4,0)</f>
        <v>2.1362307614662154E-3</v>
      </c>
      <c r="AL20" s="202">
        <f t="shared" ref="AL20" ca="1" si="68">AM20/$AC20</f>
        <v>-22689.230000000003</v>
      </c>
      <c r="AM20" s="203">
        <f t="shared" ref="AM20" ca="1" si="69">AN20/$AE20</f>
        <v>-22689.230000000003</v>
      </c>
      <c r="AN20" s="203">
        <f t="shared" ref="AN20" ca="1" si="70">AO20*AF$4</f>
        <v>-12480.210961500003</v>
      </c>
      <c r="AO20" s="204">
        <f t="shared" ref="AO20" ca="1" si="71">$N20-AK20</f>
        <v>-2.1362307614662154E-3</v>
      </c>
      <c r="AP20" s="205"/>
      <c r="AQ20" s="206" cm="1">
        <f t="array" aca="1" ref="AQ20" ca="1">AP20-SUM(IF($AB$21:$AB$170=$AB20,IF($T$21:$T$170="",AQ$21:AQ$170)))</f>
        <v>0</v>
      </c>
      <c r="AR20" s="206">
        <f t="shared" ref="AR20:AR23" ca="1" si="72">AQ20*$AE20</f>
        <v>0</v>
      </c>
      <c r="AS20" s="207">
        <f t="shared" ref="AS20:AS23" ca="1" si="73">IFERROR(AR20/AF$4,0)</f>
        <v>0</v>
      </c>
      <c r="AT20" s="193">
        <f t="shared" ca="1" si="25"/>
        <v>22689.23</v>
      </c>
      <c r="AU20" s="193">
        <f t="shared" ref="AU20" ca="1" si="74">AT20</f>
        <v>22689.23</v>
      </c>
      <c r="AV20" s="193">
        <f t="shared" ref="AV20" ca="1" si="75">AU20*$AE20</f>
        <v>12480.210961500001</v>
      </c>
      <c r="AW20" s="208">
        <f t="shared" ref="AW20" ca="1" si="76">AV20/AF$4</f>
        <v>2.1362307614662154E-3</v>
      </c>
      <c r="AX20" s="1007" t="str">
        <f t="shared" ca="1" si="13"/>
        <v>V</v>
      </c>
      <c r="AY20" s="1255"/>
      <c r="AZ20" s="199"/>
      <c r="BA20" s="1254"/>
      <c r="BB20" s="199">
        <f t="shared" ref="BB20" si="77">AY20*$AC20</f>
        <v>0</v>
      </c>
      <c r="BC20" s="199">
        <f t="shared" ref="BC20" ca="1" si="78">BB20*$AE20</f>
        <v>0</v>
      </c>
      <c r="BD20" s="216">
        <f t="shared" ref="BD20" ca="1" si="79">IFERROR(BC20/AY$4,0)</f>
        <v>0</v>
      </c>
      <c r="BE20" s="202">
        <f t="shared" ref="BE20" ca="1" si="80">BF20/$AC20</f>
        <v>0</v>
      </c>
      <c r="BF20" s="203">
        <f t="shared" ref="BF20" ca="1" si="81">BG20/$AE20</f>
        <v>0</v>
      </c>
      <c r="BG20" s="203">
        <f t="shared" ref="BG20" ca="1" si="82">BH20*AY$4</f>
        <v>0</v>
      </c>
      <c r="BH20" s="204">
        <f t="shared" ref="BH20" ca="1" si="83">$N20-BD20</f>
        <v>0</v>
      </c>
      <c r="BI20" s="1253"/>
      <c r="BJ20" s="206" cm="1">
        <f t="array" aca="1" ref="BJ20" ca="1">BI20-SUM(IF($AB$21:$AB$170=$AB20,IF($T$21:$T$170="",BJ$21:BJ$170)))</f>
        <v>0</v>
      </c>
      <c r="BK20" s="206">
        <f t="shared" ca="1" si="60"/>
        <v>0</v>
      </c>
      <c r="BL20" s="207">
        <f t="shared" ca="1" si="61"/>
        <v>0</v>
      </c>
      <c r="BM20" s="193">
        <f t="shared" ca="1" si="33"/>
        <v>0</v>
      </c>
      <c r="BN20" s="193">
        <f t="shared" ca="1" si="62"/>
        <v>0</v>
      </c>
      <c r="BO20" s="193">
        <f t="shared" ca="1" si="63"/>
        <v>0</v>
      </c>
      <c r="BP20" s="806">
        <f t="shared" ca="1" si="16"/>
        <v>0</v>
      </c>
      <c r="BQ20" s="1007" t="str">
        <f ca="1">IF(OR(BD20&lt;&gt;0,BL20&lt;&gt;0),"V","")</f>
        <v/>
      </c>
      <c r="BR20" s="1007"/>
    </row>
    <row r="21" spans="1:70" ht="13.5" customHeight="1" outlineLevel="2" x14ac:dyDescent="0.2">
      <c r="A21" s="224"/>
      <c r="B21" s="224"/>
      <c r="C21" s="224"/>
      <c r="D21" s="225"/>
      <c r="E21" s="1256"/>
      <c r="F21" s="224" t="s">
        <v>870</v>
      </c>
      <c r="G21" s="226"/>
      <c r="H21" s="1819"/>
      <c r="I21" s="1818"/>
      <c r="J21" s="1819"/>
      <c r="K21" s="1820"/>
      <c r="L21" s="1821"/>
      <c r="M21" s="223"/>
      <c r="N21" s="1257"/>
      <c r="O21" s="1258" cm="1">
        <f t="array" aca="1" ref="O21" ca="1">SUM(IF($AF$14:$BQ$14="I_ctrlv",AF21:BQ21))</f>
        <v>0</v>
      </c>
      <c r="P21" s="228">
        <f t="shared" ca="1" si="0"/>
        <v>0</v>
      </c>
      <c r="Q21" s="229">
        <f t="array" aca="1" ref="Q21" ca="1">SUM(IF($AF$14:$BQ$14="I_pos",AF21:BQ21))</f>
        <v>0</v>
      </c>
      <c r="R21" s="229"/>
      <c r="S21" s="1259"/>
      <c r="T21" s="229"/>
      <c r="U21" s="1260"/>
      <c r="V21" s="229">
        <f t="array" aca="1" ref="V21" ca="1">SUM(IF($AF$14:$BQ$14="O_Pos",AF21:BQ21))</f>
        <v>0</v>
      </c>
      <c r="W21" s="1258"/>
      <c r="X21" s="230"/>
      <c r="Y21" s="230"/>
      <c r="Z21" s="230"/>
      <c r="AA21" s="1261"/>
      <c r="AB21" s="224" t="s">
        <v>369</v>
      </c>
      <c r="AC21" s="1262">
        <f ca="1">IFERROR(1+ ((MIN(TODAY(),MID(F21,FIND("-",F21)+2,8))-MID(F21,FIND(" ",F21)+1,8))/360*AD21),"")</f>
        <v>1.0018469444444444</v>
      </c>
      <c r="AD21" s="1263">
        <v>1.09E-2</v>
      </c>
      <c r="AE21" s="232">
        <f t="shared" ref="AE21:AE23" ca="1" si="84">_xlfn.NUMBERVALUE(OFFSET(Origine,MATCH(AB21&amp;"/"&amp;MRif,LUKB_Name,0),MATCH("Price",Intestazioni,0)-1,1,1))</f>
        <v>1.0000001300000001</v>
      </c>
      <c r="AF21" s="233"/>
      <c r="AG21" s="235"/>
      <c r="AH21" s="1264"/>
      <c r="AI21" s="235">
        <f t="shared" ref="AI21" ca="1" si="85">AF21*$AC21</f>
        <v>0</v>
      </c>
      <c r="AJ21" s="235">
        <f t="shared" ref="AJ21" ca="1" si="86">AI21*$AE21</f>
        <v>0</v>
      </c>
      <c r="AK21" s="236">
        <f t="shared" ref="AK21" ca="1" si="87">IFERROR(AJ21/AF$4,0)</f>
        <v>0</v>
      </c>
      <c r="AL21" s="237">
        <f t="shared" ref="AL21" ca="1" si="88">AM21/$AC21</f>
        <v>0</v>
      </c>
      <c r="AM21" s="238">
        <f t="shared" ref="AM21" ca="1" si="89">AN21/$AE21</f>
        <v>0</v>
      </c>
      <c r="AN21" s="238">
        <f t="shared" ref="AN21" ca="1" si="90">AO21*AF$4</f>
        <v>0</v>
      </c>
      <c r="AO21" s="239">
        <f t="shared" ref="AO21" ca="1" si="91">$N21-AK21</f>
        <v>0</v>
      </c>
      <c r="AP21" s="240"/>
      <c r="AQ21" s="241">
        <f t="shared" ref="AQ21:AQ23" ca="1" si="92">AP21*$AC21</f>
        <v>0</v>
      </c>
      <c r="AR21" s="241">
        <f t="shared" ca="1" si="72"/>
        <v>0</v>
      </c>
      <c r="AS21" s="242">
        <f t="shared" ca="1" si="73"/>
        <v>0</v>
      </c>
      <c r="AT21" s="229">
        <f t="shared" ref="AT21:AT23" si="93">AF21+AP21</f>
        <v>0</v>
      </c>
      <c r="AU21" s="229">
        <f t="shared" ref="AU21" si="94">AT21</f>
        <v>0</v>
      </c>
      <c r="AV21" s="229">
        <f t="shared" ref="AV21" ca="1" si="95">AU21*$AE21</f>
        <v>0</v>
      </c>
      <c r="AW21" s="243">
        <f t="shared" ref="AW21" ca="1" si="96">AV21/AF$4</f>
        <v>0</v>
      </c>
      <c r="AX21" s="1007" t="str">
        <f t="shared" ca="1" si="13"/>
        <v/>
      </c>
      <c r="AY21" s="1265"/>
      <c r="AZ21" s="235"/>
      <c r="BA21" s="1264"/>
      <c r="BB21" s="235">
        <f t="shared" ref="BB21" ca="1" si="97">AY21*$AC21</f>
        <v>0</v>
      </c>
      <c r="BC21" s="235">
        <f t="shared" ref="BC21" ca="1" si="98">BB21*$AE21</f>
        <v>0</v>
      </c>
      <c r="BD21" s="236">
        <f t="shared" ref="BD21" ca="1" si="99">IFERROR(BC21/AY$4,0)</f>
        <v>0</v>
      </c>
      <c r="BE21" s="237">
        <f t="shared" ref="BE21" ca="1" si="100">BF21/$AC21</f>
        <v>0</v>
      </c>
      <c r="BF21" s="238">
        <f t="shared" ref="BF21" ca="1" si="101">BG21/$AE21</f>
        <v>0</v>
      </c>
      <c r="BG21" s="238">
        <f t="shared" ref="BG21" ca="1" si="102">BH21*AY$4</f>
        <v>0</v>
      </c>
      <c r="BH21" s="239">
        <f t="shared" ref="BH21" ca="1" si="103">$N21-BD21</f>
        <v>0</v>
      </c>
      <c r="BI21" s="1266"/>
      <c r="BJ21" s="241">
        <f t="shared" ref="BJ21:BJ23" ca="1" si="104">BI21*$AC21</f>
        <v>0</v>
      </c>
      <c r="BK21" s="241">
        <f t="shared" ca="1" si="60"/>
        <v>0</v>
      </c>
      <c r="BL21" s="242">
        <f t="shared" ca="1" si="61"/>
        <v>0</v>
      </c>
      <c r="BM21" s="229">
        <f t="shared" ref="BM21:BM23" si="105">AY21+BI21</f>
        <v>0</v>
      </c>
      <c r="BN21" s="229">
        <f t="shared" si="62"/>
        <v>0</v>
      </c>
      <c r="BO21" s="229">
        <f t="shared" ca="1" si="63"/>
        <v>0</v>
      </c>
      <c r="BP21" s="1267">
        <f t="shared" ca="1" si="16"/>
        <v>0</v>
      </c>
      <c r="BQ21" s="1007" t="str">
        <f t="shared" ca="1" si="64"/>
        <v/>
      </c>
      <c r="BR21" s="1007"/>
    </row>
    <row r="22" spans="1:70" ht="13.5" customHeight="1" outlineLevel="2" x14ac:dyDescent="0.2">
      <c r="A22" s="188"/>
      <c r="B22" s="188"/>
      <c r="C22" s="188"/>
      <c r="D22" s="189"/>
      <c r="E22" s="1245"/>
      <c r="F22" s="188" t="s">
        <v>871</v>
      </c>
      <c r="G22" s="190"/>
      <c r="H22" s="1815"/>
      <c r="I22" s="1814"/>
      <c r="J22" s="1815"/>
      <c r="K22" s="1816"/>
      <c r="L22" s="1817"/>
      <c r="M22" s="187"/>
      <c r="N22" s="1246"/>
      <c r="O22" s="1247" cm="1">
        <f t="array" aca="1" ref="O22" ca="1">SUM(IF($AF$14:$BQ$14="I_ctrlv",AF22:BQ22))</f>
        <v>0</v>
      </c>
      <c r="P22" s="192">
        <f t="shared" ca="1" si="0"/>
        <v>0</v>
      </c>
      <c r="Q22" s="193">
        <f t="array" aca="1" ref="Q22" ca="1">SUM(IF($AF$14:$BQ$14="I_pos",AF22:BQ22))</f>
        <v>0</v>
      </c>
      <c r="R22" s="193"/>
      <c r="S22" s="1248"/>
      <c r="T22" s="193"/>
      <c r="U22" s="1249"/>
      <c r="V22" s="193">
        <f t="array" aca="1" ref="V22" ca="1">SUM(IF($AF$14:$BQ$14="O_Pos",AF22:BQ22))</f>
        <v>0</v>
      </c>
      <c r="W22" s="1247"/>
      <c r="X22" s="803"/>
      <c r="Y22" s="803"/>
      <c r="Z22" s="803"/>
      <c r="AA22" s="1250"/>
      <c r="AB22" s="188" t="s">
        <v>381</v>
      </c>
      <c r="AC22" s="1268">
        <v>1</v>
      </c>
      <c r="AD22" s="1269"/>
      <c r="AE22" s="196">
        <f t="shared" ca="1" si="84"/>
        <v>0.90754999999999997</v>
      </c>
      <c r="AF22" s="214"/>
      <c r="AG22" s="199"/>
      <c r="AH22" s="1254"/>
      <c r="AI22" s="199">
        <f t="shared" ref="AI22:AI23" si="106">AF22*$AC22</f>
        <v>0</v>
      </c>
      <c r="AJ22" s="199">
        <f t="shared" ref="AJ22:AJ23" ca="1" si="107">AI22*$AE22</f>
        <v>0</v>
      </c>
      <c r="AK22" s="216">
        <f t="shared" ref="AK22:AK23" ca="1" si="108">IFERROR(AJ22/AF$4,0)</f>
        <v>0</v>
      </c>
      <c r="AL22" s="202">
        <f t="shared" ref="AL22:AL23" ca="1" si="109">AM22/$AC22</f>
        <v>0</v>
      </c>
      <c r="AM22" s="203">
        <f t="shared" ref="AM22:AM23" ca="1" si="110">AN22/$AE22</f>
        <v>0</v>
      </c>
      <c r="AN22" s="203">
        <f t="shared" ref="AN22:AN23" ca="1" si="111">AO22*AF$4</f>
        <v>0</v>
      </c>
      <c r="AO22" s="204">
        <f t="shared" ref="AO22:AO23" ca="1" si="112">$N22-AK22</f>
        <v>0</v>
      </c>
      <c r="AP22" s="205"/>
      <c r="AQ22" s="206">
        <f t="shared" si="92"/>
        <v>0</v>
      </c>
      <c r="AR22" s="206">
        <f t="shared" ca="1" si="72"/>
        <v>0</v>
      </c>
      <c r="AS22" s="207">
        <f t="shared" ca="1" si="73"/>
        <v>0</v>
      </c>
      <c r="AT22" s="193">
        <f t="shared" si="93"/>
        <v>0</v>
      </c>
      <c r="AU22" s="193">
        <f t="shared" ref="AU22:AU23" si="113">AT22</f>
        <v>0</v>
      </c>
      <c r="AV22" s="193">
        <f t="shared" ref="AV22:AV23" ca="1" si="114">AU22*$AE22</f>
        <v>0</v>
      </c>
      <c r="AW22" s="208">
        <f t="shared" ref="AW22:AW23" ca="1" si="115">AV22/AF$4</f>
        <v>0</v>
      </c>
      <c r="AX22" s="1007" t="str">
        <f t="shared" ca="1" si="13"/>
        <v/>
      </c>
      <c r="AY22" s="1255"/>
      <c r="AZ22" s="199"/>
      <c r="BA22" s="1254"/>
      <c r="BB22" s="199">
        <f t="shared" ref="BB22:BB23" si="116">AY22*$AC22</f>
        <v>0</v>
      </c>
      <c r="BC22" s="199">
        <f t="shared" ref="BC22:BC23" ca="1" si="117">BB22*$AE22</f>
        <v>0</v>
      </c>
      <c r="BD22" s="216">
        <f t="shared" ref="BD22:BD23" ca="1" si="118">IFERROR(BC22/AY$4,0)</f>
        <v>0</v>
      </c>
      <c r="BE22" s="202">
        <f t="shared" ref="BE22:BE23" ca="1" si="119">BF22/$AC22</f>
        <v>0</v>
      </c>
      <c r="BF22" s="203">
        <f t="shared" ref="BF22:BF23" ca="1" si="120">BG22/$AE22</f>
        <v>0</v>
      </c>
      <c r="BG22" s="203">
        <f t="shared" ref="BG22:BG23" ca="1" si="121">BH22*AY$4</f>
        <v>0</v>
      </c>
      <c r="BH22" s="204">
        <f t="shared" ref="BH22:BH23" ca="1" si="122">$N22-BD22</f>
        <v>0</v>
      </c>
      <c r="BI22" s="1253"/>
      <c r="BJ22" s="206">
        <f t="shared" si="104"/>
        <v>0</v>
      </c>
      <c r="BK22" s="206">
        <f t="shared" ca="1" si="60"/>
        <v>0</v>
      </c>
      <c r="BL22" s="207">
        <f t="shared" ca="1" si="61"/>
        <v>0</v>
      </c>
      <c r="BM22" s="193">
        <f t="shared" si="105"/>
        <v>0</v>
      </c>
      <c r="BN22" s="193">
        <f t="shared" si="62"/>
        <v>0</v>
      </c>
      <c r="BO22" s="193">
        <f t="shared" ca="1" si="63"/>
        <v>0</v>
      </c>
      <c r="BP22" s="806">
        <f t="shared" ca="1" si="16"/>
        <v>0</v>
      </c>
      <c r="BQ22" s="1007" t="str">
        <f t="shared" ca="1" si="64"/>
        <v/>
      </c>
      <c r="BR22" s="1007"/>
    </row>
    <row r="23" spans="1:70" ht="13.5" customHeight="1" outlineLevel="2" x14ac:dyDescent="0.2">
      <c r="A23" s="188"/>
      <c r="B23" s="188"/>
      <c r="C23" s="188"/>
      <c r="D23" s="189"/>
      <c r="E23" s="1245"/>
      <c r="F23" s="188" t="s">
        <v>871</v>
      </c>
      <c r="G23" s="190"/>
      <c r="H23" s="1815"/>
      <c r="I23" s="1814"/>
      <c r="J23" s="1815"/>
      <c r="K23" s="1816"/>
      <c r="L23" s="1817"/>
      <c r="M23" s="187"/>
      <c r="N23" s="1246"/>
      <c r="O23" s="1247" cm="1">
        <f t="array" aca="1" ref="O23" ca="1">SUM(IF($AF$14:$BQ$14="I_ctrlv",AF23:BQ23))</f>
        <v>0</v>
      </c>
      <c r="P23" s="192">
        <f t="shared" ca="1" si="0"/>
        <v>0</v>
      </c>
      <c r="Q23" s="193">
        <f t="array" aca="1" ref="Q23" ca="1">SUM(IF($AF$14:$BQ$14="I_pos",AF23:BQ23))</f>
        <v>0</v>
      </c>
      <c r="R23" s="193"/>
      <c r="S23" s="1248"/>
      <c r="T23" s="193"/>
      <c r="U23" s="1249"/>
      <c r="V23" s="193">
        <f t="array" aca="1" ref="V23" ca="1">SUM(IF($AF$14:$BQ$14="O_Pos",AF23:BQ23))</f>
        <v>0</v>
      </c>
      <c r="W23" s="1247"/>
      <c r="X23" s="803"/>
      <c r="Y23" s="803"/>
      <c r="Z23" s="803"/>
      <c r="AA23" s="1250"/>
      <c r="AB23" s="188" t="s">
        <v>366</v>
      </c>
      <c r="AC23" s="1268">
        <v>1</v>
      </c>
      <c r="AD23" s="1269"/>
      <c r="AE23" s="196">
        <f t="shared" ca="1" si="84"/>
        <v>0.78225</v>
      </c>
      <c r="AF23" s="214"/>
      <c r="AG23" s="199"/>
      <c r="AH23" s="1254"/>
      <c r="AI23" s="199">
        <f t="shared" si="106"/>
        <v>0</v>
      </c>
      <c r="AJ23" s="199">
        <f t="shared" ca="1" si="107"/>
        <v>0</v>
      </c>
      <c r="AK23" s="216">
        <f t="shared" ca="1" si="108"/>
        <v>0</v>
      </c>
      <c r="AL23" s="202">
        <f t="shared" ca="1" si="109"/>
        <v>0</v>
      </c>
      <c r="AM23" s="203">
        <f t="shared" ca="1" si="110"/>
        <v>0</v>
      </c>
      <c r="AN23" s="203">
        <f t="shared" ca="1" si="111"/>
        <v>0</v>
      </c>
      <c r="AO23" s="204">
        <f t="shared" ca="1" si="112"/>
        <v>0</v>
      </c>
      <c r="AP23" s="205"/>
      <c r="AQ23" s="206">
        <f t="shared" si="92"/>
        <v>0</v>
      </c>
      <c r="AR23" s="206">
        <f t="shared" ca="1" si="72"/>
        <v>0</v>
      </c>
      <c r="AS23" s="207">
        <f t="shared" ca="1" si="73"/>
        <v>0</v>
      </c>
      <c r="AT23" s="193">
        <f t="shared" si="93"/>
        <v>0</v>
      </c>
      <c r="AU23" s="193">
        <f t="shared" si="113"/>
        <v>0</v>
      </c>
      <c r="AV23" s="193">
        <f t="shared" ca="1" si="114"/>
        <v>0</v>
      </c>
      <c r="AW23" s="208">
        <f t="shared" ca="1" si="115"/>
        <v>0</v>
      </c>
      <c r="AX23" s="1007" t="str">
        <f t="shared" ca="1" si="13"/>
        <v/>
      </c>
      <c r="AY23" s="1255"/>
      <c r="AZ23" s="199"/>
      <c r="BA23" s="1254"/>
      <c r="BB23" s="199">
        <f t="shared" si="116"/>
        <v>0</v>
      </c>
      <c r="BC23" s="199">
        <f t="shared" ca="1" si="117"/>
        <v>0</v>
      </c>
      <c r="BD23" s="216">
        <f t="shared" ca="1" si="118"/>
        <v>0</v>
      </c>
      <c r="BE23" s="202">
        <f t="shared" ca="1" si="119"/>
        <v>0</v>
      </c>
      <c r="BF23" s="203">
        <f t="shared" ca="1" si="120"/>
        <v>0</v>
      </c>
      <c r="BG23" s="203">
        <f t="shared" ca="1" si="121"/>
        <v>0</v>
      </c>
      <c r="BH23" s="204">
        <f t="shared" ca="1" si="122"/>
        <v>0</v>
      </c>
      <c r="BI23" s="1253"/>
      <c r="BJ23" s="206">
        <f t="shared" si="104"/>
        <v>0</v>
      </c>
      <c r="BK23" s="206">
        <f t="shared" ca="1" si="60"/>
        <v>0</v>
      </c>
      <c r="BL23" s="207">
        <f t="shared" ca="1" si="61"/>
        <v>0</v>
      </c>
      <c r="BM23" s="193">
        <f t="shared" si="105"/>
        <v>0</v>
      </c>
      <c r="BN23" s="193">
        <f t="shared" si="62"/>
        <v>0</v>
      </c>
      <c r="BO23" s="193">
        <f t="shared" ca="1" si="63"/>
        <v>0</v>
      </c>
      <c r="BP23" s="806">
        <f t="shared" ca="1" si="16"/>
        <v>0</v>
      </c>
      <c r="BQ23" s="1007" t="str">
        <f t="shared" ca="1" si="64"/>
        <v/>
      </c>
      <c r="BR23" s="1007"/>
    </row>
    <row r="24" spans="1:70" ht="13.5" customHeight="1" x14ac:dyDescent="0.2">
      <c r="A24" s="255" t="s">
        <v>368</v>
      </c>
      <c r="B24" s="255"/>
      <c r="C24" s="255"/>
      <c r="D24" s="256"/>
      <c r="E24" s="257"/>
      <c r="F24" s="255"/>
      <c r="G24" s="258"/>
      <c r="H24" s="1706"/>
      <c r="I24" s="1678"/>
      <c r="J24" s="1678"/>
      <c r="K24" s="1678"/>
      <c r="L24" s="1678"/>
      <c r="M24" s="254"/>
      <c r="N24" s="1270">
        <f>SUM(N$25:N$45)</f>
        <v>0.15</v>
      </c>
      <c r="O24" s="1271" cm="1">
        <f t="array" aca="1" ref="O24" ca="1">SUM(IF($AF$14:$BQ$14="I_ctrlv",AF24:BQ24))</f>
        <v>966801.5081573585</v>
      </c>
      <c r="P24" s="261">
        <f t="shared" ca="1" si="0"/>
        <v>0.14760899071195885</v>
      </c>
      <c r="Q24" s="268"/>
      <c r="R24" s="262"/>
      <c r="S24" s="1010"/>
      <c r="T24" s="262"/>
      <c r="U24" s="254"/>
      <c r="V24" s="268">
        <f ca="1">COUNTIF(V25:V45,"&lt;&gt;0")</f>
        <v>4</v>
      </c>
      <c r="W24" s="1271"/>
      <c r="X24" s="1272"/>
      <c r="Y24" s="1272"/>
      <c r="Z24" s="1272"/>
      <c r="AA24" s="1273"/>
      <c r="AB24" s="255"/>
      <c r="AC24" s="264"/>
      <c r="AD24" s="1274"/>
      <c r="AE24" s="265"/>
      <c r="AF24" s="266"/>
      <c r="AG24" s="255"/>
      <c r="AH24" s="1275"/>
      <c r="AI24" s="255"/>
      <c r="AJ24" s="268">
        <f ca="1">SUM(AJ$25:AJ$45)</f>
        <v>860193.59093808243</v>
      </c>
      <c r="AK24" s="269">
        <f t="shared" ca="1" si="43"/>
        <v>0.14723885801664041</v>
      </c>
      <c r="AL24" s="270"/>
      <c r="AM24" s="259"/>
      <c r="AN24" s="268">
        <f ca="1">SUM(AN$25:AN$45)</f>
        <v>16131.044954773708</v>
      </c>
      <c r="AO24" s="271">
        <f ca="1">IFERROR(AN24/AF$4,0)</f>
        <v>2.7611419833595725E-3</v>
      </c>
      <c r="AP24" s="270"/>
      <c r="AQ24" s="259"/>
      <c r="AR24" s="268">
        <f ca="1">SUM(AR$25:AR$45)</f>
        <v>0</v>
      </c>
      <c r="AS24" s="271">
        <f t="shared" ca="1" si="49"/>
        <v>0</v>
      </c>
      <c r="AT24" s="259"/>
      <c r="AU24" s="259"/>
      <c r="AV24" s="268">
        <f ca="1">SUM(AV$25:AV$45)</f>
        <v>860193.59093808243</v>
      </c>
      <c r="AW24" s="269">
        <f t="shared" ref="AW24:AW25" ca="1" si="123">IFERROR(AV24/AF$4,0)</f>
        <v>0.14723885801664041</v>
      </c>
      <c r="AX24" s="1007" t="str">
        <f t="shared" ca="1" si="13"/>
        <v>V</v>
      </c>
      <c r="AY24" s="1276"/>
      <c r="AZ24" s="255"/>
      <c r="BA24" s="1275"/>
      <c r="BB24" s="255"/>
      <c r="BC24" s="268">
        <f ca="1">SUM(BC$25:BC$45)</f>
        <v>106607.91721927609</v>
      </c>
      <c r="BD24" s="269">
        <f t="shared" ca="1" si="55"/>
        <v>0.15066499611561909</v>
      </c>
      <c r="BE24" s="270"/>
      <c r="BF24" s="259"/>
      <c r="BG24" s="268">
        <f ca="1">SUM(BG$25:BG$45)</f>
        <v>-470.53962547913034</v>
      </c>
      <c r="BH24" s="271">
        <f ca="1">IFERROR(BG24/AY$4,0)</f>
        <v>-6.6499611561907069E-4</v>
      </c>
      <c r="BI24" s="1277"/>
      <c r="BJ24" s="259"/>
      <c r="BK24" s="268">
        <f ca="1">SUM(BK$25:BK$45)</f>
        <v>108812.99331248731</v>
      </c>
      <c r="BL24" s="271">
        <f t="shared" ref="BL24:BL25" ca="1" si="124">IFERROR(BK24/AY$4,0)</f>
        <v>0.15378134797469323</v>
      </c>
      <c r="BM24" s="259"/>
      <c r="BN24" s="259"/>
      <c r="BO24" s="268">
        <f ca="1">SUM(BO$25:BO$45)</f>
        <v>215420.91053176339</v>
      </c>
      <c r="BP24" s="816">
        <f t="shared" ref="BP24:BP38" ca="1" si="125">IFERROR(BO24/AY$4,0)</f>
        <v>0.30444634409031229</v>
      </c>
      <c r="BQ24" s="1007" t="str">
        <f t="shared" ref="BQ24:BQ26" ca="1" si="126">IF(OR(BD24&lt;&gt;0,BL24&lt;&gt;0),"V","")</f>
        <v>V</v>
      </c>
      <c r="BR24" s="1007"/>
    </row>
    <row r="25" spans="1:70" ht="13.5" customHeight="1" outlineLevel="1" x14ac:dyDescent="0.2">
      <c r="A25" s="299"/>
      <c r="B25" s="299"/>
      <c r="C25" s="299" t="str">
        <f t="shared" ref="C25:C45" ca="1" si="127">OFFSET(Origine,MATCH($F25,Descrizioni,0),MATCH(C$14,Intestazioni,0)-1,1,1)</f>
        <v>CH0479514264:CHF</v>
      </c>
      <c r="D25" s="300" t="str">
        <f t="shared" ref="D25:E45" ca="1" si="128">OFFSET(Origine,MATCH($F25,Descrizioni,0),MATCH(D$14,Intestazioni,0)-1,1,1)</f>
        <v>CH0479514264</v>
      </c>
      <c r="E25" s="301" t="str">
        <f t="shared" ca="1" si="128"/>
        <v>47951426</v>
      </c>
      <c r="F25" s="299" t="s">
        <v>523</v>
      </c>
      <c r="G25" s="316">
        <f t="shared" ref="G25:G45" ca="1" si="129">OFFSET(Origine,MATCH($F25,Descrizioni,0),MATCH(G$14,Intestazioni,0)-1,1,1)</f>
        <v>46185</v>
      </c>
      <c r="H25" s="1708" t="str">
        <f t="shared" ref="H25:H38" ca="1" si="130">HYPERLINK(OFFSET(Origine,MATCH($F25,Descrizioni,0),MATCH(H$14,Intestazioni,0)-1,1,1),"")</f>
        <v></v>
      </c>
      <c r="I25" s="1680" t="str">
        <f t="shared" ref="I25:I28" ca="1" si="131">HYPERLINK(OFFSET(Origine,MATCH($F25,Descrizioni,0),MATCH(I$14,Intestazioni,0)-1,1,1),"i")</f>
        <v>i</v>
      </c>
      <c r="J25" s="1708" t="str">
        <f t="shared" ref="J25:K28" ca="1" si="132">HYPERLINK(OFFSET(Origine,MATCH($F25,Descrizioni,0),MATCH(J$14,Intestazioni,0)-1,1,1),"")</f>
        <v></v>
      </c>
      <c r="K25" s="1708" t="str">
        <f t="shared" ca="1" si="132"/>
        <v></v>
      </c>
      <c r="L25" s="1803" t="str">
        <f t="shared" ref="L25:L45" ca="1" si="133">IFERROR(HYPERLINK("https://www.zonebourse.com/mods_a/charts/TV/inc_dyna_graph.php?c="&amp;OFFSET(Origine,MATCH($F25,Descrizioni,0),MATCH(L$14,Intestazioni,0)-1,1,1)&amp;"&amp;style=TradingView.CANDLES&amp;showAT=1",""),"")</f>
        <v></v>
      </c>
      <c r="M25" s="298" t="str">
        <f t="shared" ref="M25:M37" ca="1" si="134">(OFFSET(Origine,MATCH($F25,Descrizioni,0),MATCH(M$14,Intestazioni,0)-1,1,1))</f>
        <v>Pct</v>
      </c>
      <c r="N25" s="1015"/>
      <c r="O25" s="1278" cm="1">
        <f t="array" aca="1" ref="O25" ca="1">SUM(IF($AF$14:$BQ$14="I_ctrlv",AF25:BQ25))</f>
        <v>100125.01301625001</v>
      </c>
      <c r="P25" s="306">
        <f t="shared" ca="1" si="0"/>
        <v>1.5286852566581733E-2</v>
      </c>
      <c r="Q25" s="307">
        <f t="array" aca="1" ref="Q25" ca="1">SUM(IF($AF$14:$BQ$14="I_pos",AF25:BQ25))</f>
        <v>100000</v>
      </c>
      <c r="R25" s="307">
        <f t="array" aca="1" ref="R25" ca="1">SUM(IF($AF$14:$BQ$14="P_Pos",AF25:BQ25))</f>
        <v>-100000.00000000001</v>
      </c>
      <c r="S25" s="1279"/>
      <c r="T25" s="307"/>
      <c r="U25" s="298"/>
      <c r="V25" s="307">
        <f t="array" aca="1" ref="V25" ca="1">SUM(IF($AF$14:$BQ$14="O_Pos",AF25:BQ25))</f>
        <v>0</v>
      </c>
      <c r="W25" s="1278"/>
      <c r="X25" s="1280">
        <f t="shared" ref="X25:AA28" ca="1" si="135">OFFSET(Origine,MATCH($F25,Descrizioni,0),MATCH(X$14,Intestazioni,0)-1,1,1)</f>
        <v>0</v>
      </c>
      <c r="Y25" s="1280">
        <f t="shared" ca="1" si="135"/>
        <v>0</v>
      </c>
      <c r="Z25" s="1280">
        <f t="shared" ca="1" si="135"/>
        <v>0</v>
      </c>
      <c r="AA25" s="1281">
        <f t="shared" ca="1" si="135"/>
        <v>0</v>
      </c>
      <c r="AB25" s="299" t="str">
        <f t="shared" ref="AB25:AB28" ca="1" si="136">OFFSET(Origine,MATCH($F25,Descrizioni,0),MATCH(AB$14,Intestazioni,0)-1,1,1)</f>
        <v>CHF</v>
      </c>
      <c r="AC25" s="309">
        <f t="shared" ref="AC25:AD45" ca="1" si="137">_xlfn.NUMBERVALUE(OFFSET(Origine,MATCH($F25,Descrizioni,0),MATCH(AC$14,Intestazioni,0)-1,1,1))</f>
        <v>1.00125</v>
      </c>
      <c r="AD25" s="1282">
        <f t="shared" ca="1" si="137"/>
        <v>2.7388140800000001E-3</v>
      </c>
      <c r="AE25" s="311">
        <f t="shared" ref="AE25" ca="1" si="138">_xlfn.NUMBERVALUE(OFFSET(Origine,MATCH(AB25&amp;"/"&amp;MRif,LUKB_Name,0),MATCH("Price",Intestazioni,0)-1,1,1))</f>
        <v>1.0000001300000001</v>
      </c>
      <c r="AF25" s="214">
        <f>100000</f>
        <v>100000</v>
      </c>
      <c r="AG25" s="312">
        <f t="shared" ref="AG25" ca="1" si="139">IFERROR($AC25/AH25-1,"")</f>
        <v>2.0746253440717677E-2</v>
      </c>
      <c r="AH25" s="252">
        <v>0.98089999999999999</v>
      </c>
      <c r="AI25" s="199">
        <f t="shared" ref="AI25" ca="1" si="140">AF25*$AC25</f>
        <v>100125</v>
      </c>
      <c r="AJ25" s="199">
        <f t="shared" ref="AJ25" ca="1" si="141">AI25*$AE25</f>
        <v>100125.01301625001</v>
      </c>
      <c r="AK25" s="216">
        <f t="shared" ca="1" si="43"/>
        <v>1.7138342729729864E-2</v>
      </c>
      <c r="AL25" s="202">
        <f t="shared" ref="AL25" ca="1" si="142">AM25/$AC25</f>
        <v>-100000.00000000001</v>
      </c>
      <c r="AM25" s="203">
        <f t="shared" ref="AM25" ca="1" si="143">AN25/$AE25</f>
        <v>-100125.00000000001</v>
      </c>
      <c r="AN25" s="203">
        <f t="shared" ref="AN25" ca="1" si="144">AO25*AF$4</f>
        <v>-100125.01301625003</v>
      </c>
      <c r="AO25" s="204">
        <f t="shared" ref="AO25" ca="1" si="145">$N25-AK25</f>
        <v>-1.7138342729729864E-2</v>
      </c>
      <c r="AP25" s="205"/>
      <c r="AQ25" s="206">
        <f t="shared" ref="AQ25" ca="1" si="146">AP25*$AC25</f>
        <v>0</v>
      </c>
      <c r="AR25" s="206">
        <f t="shared" ref="AR25" ca="1" si="147">AQ25*$AE25</f>
        <v>0</v>
      </c>
      <c r="AS25" s="207">
        <f t="shared" ca="1" si="49"/>
        <v>0</v>
      </c>
      <c r="AT25" s="313">
        <f t="shared" ref="AT25" si="148">AF25+AP25</f>
        <v>100000</v>
      </c>
      <c r="AU25" s="313">
        <f t="shared" ref="AU25" ca="1" si="149">AI25+IF($T25="",AQ25)</f>
        <v>100125</v>
      </c>
      <c r="AV25" s="313">
        <f t="shared" ref="AV25" ca="1" si="150">AU25*$AE25</f>
        <v>100125.01301625001</v>
      </c>
      <c r="AW25" s="314">
        <f t="shared" ca="1" si="123"/>
        <v>1.7138342729729864E-2</v>
      </c>
      <c r="AX25" s="1007" t="str">
        <f t="shared" ref="AX25" ca="1" si="151">IF(OR(AK25&lt;&gt;0,AS25&lt;&gt;0),"V","")</f>
        <v>V</v>
      </c>
      <c r="AY25" s="1255"/>
      <c r="AZ25" s="312" t="str">
        <f t="shared" ref="AZ25" ca="1" si="152">IFERROR($AC25/BA25-1,"")</f>
        <v/>
      </c>
      <c r="BA25" s="252"/>
      <c r="BB25" s="199">
        <f t="shared" ref="BB25" ca="1" si="153">AY25*$AC25</f>
        <v>0</v>
      </c>
      <c r="BC25" s="199">
        <f t="shared" ref="BC25" ca="1" si="154">BB25*$AE25</f>
        <v>0</v>
      </c>
      <c r="BD25" s="216">
        <f t="shared" ca="1" si="55"/>
        <v>0</v>
      </c>
      <c r="BE25" s="202">
        <f t="shared" ref="BE25" ca="1" si="155">BF25/$AC25</f>
        <v>0</v>
      </c>
      <c r="BF25" s="203">
        <f t="shared" ref="BF25" ca="1" si="156">BG25/$AE25</f>
        <v>0</v>
      </c>
      <c r="BG25" s="203">
        <f t="shared" ref="BG25" ca="1" si="157">BH25*AY$4</f>
        <v>0</v>
      </c>
      <c r="BH25" s="204">
        <f t="shared" ref="BH25" ca="1" si="158">$N25-BD25</f>
        <v>0</v>
      </c>
      <c r="BI25" s="1253"/>
      <c r="BJ25" s="206">
        <f t="shared" ref="BJ25" ca="1" si="159">BI25*$AC25</f>
        <v>0</v>
      </c>
      <c r="BK25" s="206">
        <f t="shared" ref="BK25" ca="1" si="160">BJ25*$AE25</f>
        <v>0</v>
      </c>
      <c r="BL25" s="207">
        <f t="shared" ca="1" si="124"/>
        <v>0</v>
      </c>
      <c r="BM25" s="313">
        <f t="shared" ref="BM25" si="161">AY25+BI25</f>
        <v>0</v>
      </c>
      <c r="BN25" s="313">
        <f t="shared" ref="BN25" ca="1" si="162">BB25+IF($T25="",BJ25)</f>
        <v>0</v>
      </c>
      <c r="BO25" s="313">
        <f t="shared" ref="BO25" ca="1" si="163">BN25*$AE25</f>
        <v>0</v>
      </c>
      <c r="BP25" s="843">
        <f t="shared" ref="BP25" ca="1" si="164">IFERROR(BO25/AY$4,0)</f>
        <v>0</v>
      </c>
      <c r="BQ25" s="1007" t="str">
        <f t="shared" ref="BQ25" ca="1" si="165">IF(OR(BD25&lt;&gt;0,BL25&lt;&gt;0),"V","")</f>
        <v/>
      </c>
      <c r="BR25" s="1007"/>
    </row>
    <row r="26" spans="1:70" ht="13.5" customHeight="1" outlineLevel="1" x14ac:dyDescent="0.2">
      <c r="A26" s="299"/>
      <c r="B26" s="299"/>
      <c r="C26" s="299" t="str">
        <f t="shared" ca="1" si="127"/>
        <v>CH0593893933:CHF</v>
      </c>
      <c r="D26" s="300" t="str">
        <f t="shared" ca="1" si="128"/>
        <v>CH0593893933</v>
      </c>
      <c r="E26" s="301" t="str">
        <f t="shared" ca="1" si="128"/>
        <v>59389393</v>
      </c>
      <c r="F26" s="299" t="s">
        <v>522</v>
      </c>
      <c r="G26" s="316">
        <f t="shared" ca="1" si="129"/>
        <v>46268</v>
      </c>
      <c r="H26" s="1708" t="str">
        <f t="shared" ca="1" si="130"/>
        <v></v>
      </c>
      <c r="I26" s="1680" t="str">
        <f t="shared" ca="1" si="131"/>
        <v>i</v>
      </c>
      <c r="J26" s="1708" t="str">
        <f t="shared" ca="1" si="132"/>
        <v></v>
      </c>
      <c r="K26" s="1708" t="str">
        <f t="shared" ca="1" si="132"/>
        <v></v>
      </c>
      <c r="L26" s="1803" t="str">
        <f t="shared" ca="1" si="133"/>
        <v></v>
      </c>
      <c r="M26" s="298" t="str">
        <f t="shared" ca="1" si="134"/>
        <v>Pct</v>
      </c>
      <c r="N26" s="1015"/>
      <c r="O26" s="1278" cm="1">
        <f t="array" aca="1" ref="O26" ca="1">SUM(IF($AF$14:$BQ$14="I_ctrlv",AF26:BQ26))</f>
        <v>50199.006525870012</v>
      </c>
      <c r="P26" s="306">
        <f t="shared" ca="1" si="0"/>
        <v>7.6642667864153455E-3</v>
      </c>
      <c r="Q26" s="307">
        <f t="array" aca="1" ref="Q26" ca="1">SUM(IF($AF$14:$BQ$14="I_pos",AF26:BQ26))</f>
        <v>50000</v>
      </c>
      <c r="R26" s="307">
        <f t="array" aca="1" ref="R26" ca="1">SUM(IF($AF$14:$BQ$14="P_Pos",AF26:BQ26))</f>
        <v>-50000</v>
      </c>
      <c r="S26" s="1279"/>
      <c r="T26" s="307"/>
      <c r="U26" s="298"/>
      <c r="V26" s="307">
        <f t="array" aca="1" ref="V26" ca="1">SUM(IF($AF$14:$BQ$14="O_Pos",AF26:BQ26))</f>
        <v>0</v>
      </c>
      <c r="W26" s="1278"/>
      <c r="X26" s="1280">
        <f t="shared" ca="1" si="135"/>
        <v>0</v>
      </c>
      <c r="Y26" s="1280">
        <f t="shared" ca="1" si="135"/>
        <v>0</v>
      </c>
      <c r="Z26" s="1280">
        <f t="shared" ca="1" si="135"/>
        <v>0</v>
      </c>
      <c r="AA26" s="1281">
        <f t="shared" ca="1" si="135"/>
        <v>0</v>
      </c>
      <c r="AB26" s="299" t="str">
        <f t="shared" ca="1" si="136"/>
        <v>CHF</v>
      </c>
      <c r="AC26" s="309">
        <f t="shared" ca="1" si="137"/>
        <v>1.0039800000000001</v>
      </c>
      <c r="AD26" s="1282">
        <f t="shared" ca="1" si="137"/>
        <v>3.1205176500000002E-3</v>
      </c>
      <c r="AE26" s="311">
        <f t="shared" ref="AE26:AE45" ca="1" si="166">_xlfn.NUMBERVALUE(OFFSET(Origine,MATCH(AB26&amp;"/"&amp;MRif,LUKB_Name,0),MATCH("Price",Intestazioni,0)-1,1,1))</f>
        <v>1.0000001300000001</v>
      </c>
      <c r="AF26" s="214">
        <f>50000</f>
        <v>50000</v>
      </c>
      <c r="AG26" s="312">
        <f t="shared" ref="AG26" ca="1" si="167">IFERROR($AC26/AH26-1,"")</f>
        <v>3.7276578158900842E-2</v>
      </c>
      <c r="AH26" s="252">
        <v>0.96789999999999998</v>
      </c>
      <c r="AI26" s="199">
        <f t="shared" ref="AI26" ca="1" si="168">AF26*$AC26</f>
        <v>50199.000000000007</v>
      </c>
      <c r="AJ26" s="199">
        <f t="shared" ref="AJ26" ca="1" si="169">AI26*$AE26</f>
        <v>50199.006525870012</v>
      </c>
      <c r="AK26" s="216">
        <f t="shared" ref="AK26" ca="1" si="170">IFERROR(AJ26/AF$4,0)</f>
        <v>8.5925359969009681E-3</v>
      </c>
      <c r="AL26" s="202">
        <f t="shared" ref="AL26" ca="1" si="171">AM26/$AC26</f>
        <v>-50000</v>
      </c>
      <c r="AM26" s="203">
        <f t="shared" ref="AM26" ca="1" si="172">AN26/$AE26</f>
        <v>-50199.000000000007</v>
      </c>
      <c r="AN26" s="203">
        <f t="shared" ref="AN26" ca="1" si="173">AO26*AF$4</f>
        <v>-50199.006525870012</v>
      </c>
      <c r="AO26" s="204">
        <f t="shared" ref="AO26" ca="1" si="174">$N26-AK26</f>
        <v>-8.5925359969009681E-3</v>
      </c>
      <c r="AP26" s="205"/>
      <c r="AQ26" s="206">
        <f t="shared" ref="AQ26" ca="1" si="175">AP26*$AC26</f>
        <v>0</v>
      </c>
      <c r="AR26" s="206">
        <f t="shared" ref="AR26" ca="1" si="176">AQ26*$AE26</f>
        <v>0</v>
      </c>
      <c r="AS26" s="207">
        <f t="shared" ref="AS26" ca="1" si="177">IFERROR(AR26/AF$4,0)</f>
        <v>0</v>
      </c>
      <c r="AT26" s="313">
        <f t="shared" ref="AT26" si="178">AF26+AP26</f>
        <v>50000</v>
      </c>
      <c r="AU26" s="313">
        <f t="shared" ref="AU26:AU70" ca="1" si="179">AI26+IF($T26="",AQ26)</f>
        <v>50199.000000000007</v>
      </c>
      <c r="AV26" s="313">
        <f t="shared" ref="AV26" ca="1" si="180">AU26*$AE26</f>
        <v>50199.006525870012</v>
      </c>
      <c r="AW26" s="314">
        <f t="shared" ref="AW26" ca="1" si="181">IFERROR(AV26/AF$4,0)</f>
        <v>8.5925359969009681E-3</v>
      </c>
      <c r="AX26" s="1007" t="str">
        <f t="shared" ca="1" si="13"/>
        <v>V</v>
      </c>
      <c r="AY26" s="1255"/>
      <c r="AZ26" s="312" t="str">
        <f t="shared" ref="AZ26" ca="1" si="182">IFERROR($AC26/BA26-1,"")</f>
        <v/>
      </c>
      <c r="BA26" s="252"/>
      <c r="BB26" s="199">
        <f t="shared" ref="BB26" ca="1" si="183">AY26*$AC26</f>
        <v>0</v>
      </c>
      <c r="BC26" s="199">
        <f t="shared" ref="BC26" ca="1" si="184">BB26*$AE26</f>
        <v>0</v>
      </c>
      <c r="BD26" s="216">
        <f t="shared" ref="BD26" ca="1" si="185">IFERROR(BC26/AY$4,0)</f>
        <v>0</v>
      </c>
      <c r="BE26" s="202">
        <f t="shared" ref="BE26" ca="1" si="186">BF26/$AC26</f>
        <v>0</v>
      </c>
      <c r="BF26" s="203">
        <f t="shared" ref="BF26" ca="1" si="187">BG26/$AE26</f>
        <v>0</v>
      </c>
      <c r="BG26" s="203">
        <f t="shared" ref="BG26" ca="1" si="188">BH26*AY$4</f>
        <v>0</v>
      </c>
      <c r="BH26" s="204">
        <f t="shared" ref="BH26" ca="1" si="189">$N26-BD26</f>
        <v>0</v>
      </c>
      <c r="BI26" s="1253"/>
      <c r="BJ26" s="206">
        <f t="shared" ref="BJ26" ca="1" si="190">BI26*$AC26</f>
        <v>0</v>
      </c>
      <c r="BK26" s="206">
        <f t="shared" ref="BK26" ca="1" si="191">BJ26*$AE26</f>
        <v>0</v>
      </c>
      <c r="BL26" s="207">
        <f t="shared" ref="BL26" ca="1" si="192">IFERROR(BK26/AY$4,0)</f>
        <v>0</v>
      </c>
      <c r="BM26" s="313">
        <f t="shared" ref="BM26" si="193">AY26+BI26</f>
        <v>0</v>
      </c>
      <c r="BN26" s="313">
        <f t="shared" ref="BN26:BN70" ca="1" si="194">BB26+IF($T26="",BJ26)</f>
        <v>0</v>
      </c>
      <c r="BO26" s="313">
        <f t="shared" ref="BO26" ca="1" si="195">BN26*$AE26</f>
        <v>0</v>
      </c>
      <c r="BP26" s="843">
        <f t="shared" ca="1" si="125"/>
        <v>0</v>
      </c>
      <c r="BQ26" s="1007" t="str">
        <f t="shared" ca="1" si="126"/>
        <v/>
      </c>
      <c r="BR26" s="1007"/>
    </row>
    <row r="27" spans="1:70" ht="13.5" customHeight="1" outlineLevel="1" x14ac:dyDescent="0.2">
      <c r="A27" s="299"/>
      <c r="B27" s="299"/>
      <c r="C27" s="299" t="str">
        <f t="shared" ca="1" si="127"/>
        <v>CH0338330431:CHF</v>
      </c>
      <c r="D27" s="300" t="str">
        <f t="shared" ca="1" si="128"/>
        <v>CH0338330431</v>
      </c>
      <c r="E27" s="301" t="str">
        <f t="shared" ca="1" si="128"/>
        <v>33833043</v>
      </c>
      <c r="F27" s="835" t="s">
        <v>614</v>
      </c>
      <c r="G27" s="316">
        <f t="shared" ca="1" si="129"/>
        <v>46307</v>
      </c>
      <c r="H27" s="1708" t="str">
        <f t="shared" ca="1" si="130"/>
        <v></v>
      </c>
      <c r="I27" s="1680" t="str">
        <f t="shared" ca="1" si="131"/>
        <v>i</v>
      </c>
      <c r="J27" s="1708" t="str">
        <f t="shared" ca="1" si="132"/>
        <v></v>
      </c>
      <c r="K27" s="1708" t="str">
        <f t="shared" ca="1" si="132"/>
        <v></v>
      </c>
      <c r="L27" s="1803" t="str">
        <f t="shared" ca="1" si="133"/>
        <v></v>
      </c>
      <c r="M27" s="298" t="str">
        <f t="shared" ca="1" si="134"/>
        <v>Pct</v>
      </c>
      <c r="N27" s="1015">
        <v>2.5000000000000001E-2</v>
      </c>
      <c r="O27" s="1278" cm="1">
        <f t="array" aca="1" ref="O27" ca="1">SUM(IF($AF$14:$BQ$14="I_ctrlv",AF27:BQ27))</f>
        <v>30014.503901785007</v>
      </c>
      <c r="P27" s="306">
        <f t="shared" ca="1" si="0"/>
        <v>4.5825441833521972E-3</v>
      </c>
      <c r="Q27" s="307">
        <f t="array" aca="1" ref="Q27" ca="1">SUM(IF($AF$14:$BQ$14="I_pos",AF27:BQ27))</f>
        <v>30000</v>
      </c>
      <c r="R27" s="307">
        <f t="array" aca="1" ref="R27" ca="1">SUM(IF($AF$14:$BQ$14="P_Pos",AF27:BQ27))</f>
        <v>133664.54309914893</v>
      </c>
      <c r="S27" s="1283"/>
      <c r="T27" s="307"/>
      <c r="U27" s="298"/>
      <c r="V27" s="307">
        <f t="array" aca="1" ref="V27" ca="1">SUM(IF($AF$14:$BQ$14="O_Pos",AF27:BQ27))</f>
        <v>0</v>
      </c>
      <c r="W27" s="1278"/>
      <c r="X27" s="1280">
        <f t="shared" ca="1" si="135"/>
        <v>0</v>
      </c>
      <c r="Y27" s="1280">
        <f t="shared" ca="1" si="135"/>
        <v>0</v>
      </c>
      <c r="Z27" s="1280">
        <f t="shared" ca="1" si="135"/>
        <v>0</v>
      </c>
      <c r="AA27" s="1281">
        <f t="shared" ca="1" si="135"/>
        <v>0</v>
      </c>
      <c r="AB27" s="299" t="str">
        <f t="shared" ca="1" si="136"/>
        <v>CHF</v>
      </c>
      <c r="AC27" s="309">
        <f t="shared" ca="1" si="137"/>
        <v>1.0004833333300001</v>
      </c>
      <c r="AD27" s="1282">
        <f t="shared" ca="1" si="137"/>
        <v>2.3304119299999999E-3</v>
      </c>
      <c r="AE27" s="311">
        <f t="shared" ca="1" si="166"/>
        <v>1.0000001300000001</v>
      </c>
      <c r="AF27" s="214"/>
      <c r="AG27" s="312" t="str">
        <f t="shared" ref="AG27:AG45" ca="1" si="196">IFERROR($AC27/AH27-1,"")</f>
        <v/>
      </c>
      <c r="AH27" s="252"/>
      <c r="AI27" s="199">
        <f t="shared" ref="AI27" ca="1" si="197">AF27*$AC27</f>
        <v>0</v>
      </c>
      <c r="AJ27" s="199">
        <f t="shared" ref="AJ27" ca="1" si="198">AI27*$AE27</f>
        <v>0</v>
      </c>
      <c r="AK27" s="216">
        <f t="shared" ref="AK27" ca="1" si="199">IFERROR(AJ27/AF$4,0)</f>
        <v>0</v>
      </c>
      <c r="AL27" s="202">
        <f t="shared" ref="AL27" ca="1" si="200">AM27/$AC27</f>
        <v>145983.52829025767</v>
      </c>
      <c r="AM27" s="203">
        <f t="shared" ref="AM27" ca="1" si="201">AN27/$AE27</f>
        <v>146054.08699511137</v>
      </c>
      <c r="AN27" s="203">
        <f t="shared" ref="AN27" ca="1" si="202">AO27*AF$4</f>
        <v>146054.1059821427</v>
      </c>
      <c r="AO27" s="204">
        <f t="shared" ref="AO27" ca="1" si="203">$N27-AK27</f>
        <v>2.5000000000000001E-2</v>
      </c>
      <c r="AP27" s="205"/>
      <c r="AQ27" s="206">
        <f t="shared" ref="AQ27" ca="1" si="204">AP27*$AC27</f>
        <v>0</v>
      </c>
      <c r="AR27" s="206">
        <f t="shared" ref="AR27" ca="1" si="205">AQ27*$AE27</f>
        <v>0</v>
      </c>
      <c r="AS27" s="207">
        <f t="shared" ref="AS27" ca="1" si="206">IFERROR(AR27/AF$4,0)</f>
        <v>0</v>
      </c>
      <c r="AT27" s="313">
        <f t="shared" ref="AT27" si="207">AF27+AP27</f>
        <v>0</v>
      </c>
      <c r="AU27" s="313">
        <f t="shared" ca="1" si="179"/>
        <v>0</v>
      </c>
      <c r="AV27" s="313">
        <f t="shared" ref="AV27" ca="1" si="208">AU27*$AE27</f>
        <v>0</v>
      </c>
      <c r="AW27" s="314">
        <f t="shared" ref="AW27" ca="1" si="209">IFERROR(AV27/AF$4,0)</f>
        <v>0</v>
      </c>
      <c r="AX27" s="1007" t="str">
        <f t="shared" ca="1" si="13"/>
        <v/>
      </c>
      <c r="AY27" s="1255">
        <f>30000</f>
        <v>30000</v>
      </c>
      <c r="AZ27" s="312">
        <f t="shared" ref="AZ27:AZ45" ca="1" si="210">IFERROR($AC27/BA27-1,"")</f>
        <v>6.6045107437400219E-2</v>
      </c>
      <c r="BA27" s="252">
        <v>0.9385</v>
      </c>
      <c r="BB27" s="199">
        <f t="shared" ref="BB27" ca="1" si="211">AY27*$AC27</f>
        <v>30014.499999900003</v>
      </c>
      <c r="BC27" s="199">
        <f t="shared" ref="BC27" ca="1" si="212">BB27*$AE27</f>
        <v>30014.503901785007</v>
      </c>
      <c r="BD27" s="216">
        <f t="shared" ref="BD27" ca="1" si="213">IFERROR(BC27/AY$4,0)</f>
        <v>4.2418379720085289E-2</v>
      </c>
      <c r="BE27" s="202">
        <f t="shared" ref="BE27" ca="1" si="214">BF27/$AC27</f>
        <v>-12318.985191108755</v>
      </c>
      <c r="BF27" s="203">
        <f t="shared" ref="BF27" ca="1" si="215">BG27/$AE27</f>
        <v>-12324.939367243396</v>
      </c>
      <c r="BG27" s="203">
        <f t="shared" ref="BG27" ca="1" si="216">BH27*AY$4</f>
        <v>-12324.940969485515</v>
      </c>
      <c r="BH27" s="204">
        <f t="shared" ref="BH27" ca="1" si="217">$N27-BD27</f>
        <v>-1.7418379720085288E-2</v>
      </c>
      <c r="BI27" s="1253"/>
      <c r="BJ27" s="206">
        <f t="shared" ref="BJ27" ca="1" si="218">BI27*$AC27</f>
        <v>0</v>
      </c>
      <c r="BK27" s="206">
        <f t="shared" ref="BK27" ca="1" si="219">BJ27*$AE27</f>
        <v>0</v>
      </c>
      <c r="BL27" s="207">
        <f t="shared" ref="BL27" ca="1" si="220">IFERROR(BK27/AY$4,0)</f>
        <v>0</v>
      </c>
      <c r="BM27" s="313">
        <f t="shared" ref="BM27" si="221">AY27+BI27</f>
        <v>30000</v>
      </c>
      <c r="BN27" s="313">
        <f t="shared" ca="1" si="194"/>
        <v>30014.499999900003</v>
      </c>
      <c r="BO27" s="313">
        <f t="shared" ref="BO27" ca="1" si="222">BN27*$AE27</f>
        <v>30014.503901785007</v>
      </c>
      <c r="BP27" s="843">
        <f t="shared" ca="1" si="125"/>
        <v>4.2418379720085289E-2</v>
      </c>
      <c r="BQ27" s="1007" t="str">
        <f t="shared" ca="1" si="64"/>
        <v>V</v>
      </c>
      <c r="BR27" s="1007"/>
    </row>
    <row r="28" spans="1:70" ht="13.5" customHeight="1" outlineLevel="1" x14ac:dyDescent="0.2">
      <c r="A28" s="299"/>
      <c r="B28" s="299"/>
      <c r="C28" s="299" t="str">
        <f t="shared" ca="1" si="127"/>
        <v>CH1179184424:CHF</v>
      </c>
      <c r="D28" s="300" t="str">
        <f t="shared" ca="1" si="128"/>
        <v>CH1179184424</v>
      </c>
      <c r="E28" s="301" t="str">
        <f t="shared" ca="1" si="128"/>
        <v>117918442</v>
      </c>
      <c r="F28" s="299" t="s">
        <v>446</v>
      </c>
      <c r="G28" s="316">
        <f t="shared" ca="1" si="129"/>
        <v>46505</v>
      </c>
      <c r="H28" s="1708" t="str">
        <f t="shared" ca="1" si="130"/>
        <v></v>
      </c>
      <c r="I28" s="1680" t="str">
        <f t="shared" ca="1" si="131"/>
        <v>i</v>
      </c>
      <c r="J28" s="1708" t="str">
        <f t="shared" ca="1" si="132"/>
        <v></v>
      </c>
      <c r="K28" s="1708" t="str">
        <f t="shared" ca="1" si="132"/>
        <v></v>
      </c>
      <c r="L28" s="1803" t="str">
        <f t="shared" ca="1" si="133"/>
        <v></v>
      </c>
      <c r="M28" s="298" t="str">
        <f t="shared" ca="1" si="134"/>
        <v>Pct</v>
      </c>
      <c r="N28" s="1015">
        <v>2.5000000000000001E-2</v>
      </c>
      <c r="O28" s="1278" cm="1">
        <f t="array" aca="1" ref="O28" ca="1">SUM(IF($AF$14:$BQ$14="I_ctrlv",AF28:BQ28))</f>
        <v>0</v>
      </c>
      <c r="P28" s="306">
        <f t="shared" ca="1" si="0"/>
        <v>0</v>
      </c>
      <c r="Q28" s="307">
        <f t="array" aca="1" ref="Q28" ca="1">SUM(IF($AF$14:$BQ$14="I_pos",AF28:BQ28))</f>
        <v>0</v>
      </c>
      <c r="R28" s="307">
        <f t="array" aca="1" ref="R28" ca="1">SUM(IF($AF$14:$BQ$14="P_Pos",AF28:BQ28))</f>
        <v>161107.30557989137</v>
      </c>
      <c r="S28" s="1279"/>
      <c r="T28" s="307"/>
      <c r="U28" s="298"/>
      <c r="V28" s="307">
        <f t="array" aca="1" ref="V28" ca="1">SUM(IF($AF$14:$BQ$14="O_Pos",AF28:BQ28))</f>
        <v>0</v>
      </c>
      <c r="W28" s="1278"/>
      <c r="X28" s="1280">
        <f t="shared" ca="1" si="135"/>
        <v>0</v>
      </c>
      <c r="Y28" s="1280">
        <f t="shared" ca="1" si="135"/>
        <v>0</v>
      </c>
      <c r="Z28" s="1280">
        <f t="shared" ca="1" si="135"/>
        <v>0</v>
      </c>
      <c r="AA28" s="1281">
        <f t="shared" ca="1" si="135"/>
        <v>0</v>
      </c>
      <c r="AB28" s="299" t="str">
        <f t="shared" ca="1" si="136"/>
        <v>CHF</v>
      </c>
      <c r="AC28" s="309">
        <f t="shared" ca="1" si="137"/>
        <v>1.01636388889</v>
      </c>
      <c r="AD28" s="1282">
        <f t="shared" ca="1" si="137"/>
        <v>1.45465918E-3</v>
      </c>
      <c r="AE28" s="311">
        <f t="shared" ca="1" si="166"/>
        <v>1.0000001300000001</v>
      </c>
      <c r="AF28" s="214">
        <f>100000+-100000</f>
        <v>0</v>
      </c>
      <c r="AG28" s="312" t="str">
        <f t="shared" ca="1" si="196"/>
        <v/>
      </c>
      <c r="AH28" s="252"/>
      <c r="AI28" s="199">
        <f t="shared" ref="AI28:AI45" ca="1" si="223">AF28*$AC28</f>
        <v>0</v>
      </c>
      <c r="AJ28" s="199">
        <f t="shared" ref="AJ28:AJ45" ca="1" si="224">AI28*$AE28</f>
        <v>0</v>
      </c>
      <c r="AK28" s="216">
        <f t="shared" ref="AK28:AK36" ca="1" si="225">IFERROR(AJ28/AF$4,0)</f>
        <v>0</v>
      </c>
      <c r="AL28" s="202">
        <f t="shared" ref="AL28:AL45" ca="1" si="226">AM28/$AC28</f>
        <v>143702.55436231723</v>
      </c>
      <c r="AM28" s="203">
        <f t="shared" ref="AM28:AM45" ca="1" si="227">AN28/$AE28</f>
        <v>146054.08699511137</v>
      </c>
      <c r="AN28" s="203">
        <f t="shared" ref="AN28:AN36" ca="1" si="228">AO28*AF$4</f>
        <v>146054.1059821427</v>
      </c>
      <c r="AO28" s="204">
        <f t="shared" ref="AO28:AO36" ca="1" si="229">$N28-AK28</f>
        <v>2.5000000000000001E-2</v>
      </c>
      <c r="AP28" s="205"/>
      <c r="AQ28" s="206">
        <f t="shared" ref="AQ28:AQ45" ca="1" si="230">AP28*$AC28</f>
        <v>0</v>
      </c>
      <c r="AR28" s="206">
        <f t="shared" ref="AR28:AR45" ca="1" si="231">AQ28*$AE28</f>
        <v>0</v>
      </c>
      <c r="AS28" s="207">
        <f t="shared" ref="AS28:AS36" ca="1" si="232">IFERROR(AR28/AF$4,0)</f>
        <v>0</v>
      </c>
      <c r="AT28" s="313">
        <f>AF28+AP28</f>
        <v>0</v>
      </c>
      <c r="AU28" s="313">
        <f t="shared" ca="1" si="179"/>
        <v>0</v>
      </c>
      <c r="AV28" s="313">
        <f t="shared" ref="AV28:AV45" ca="1" si="233">AU28*$AE28</f>
        <v>0</v>
      </c>
      <c r="AW28" s="314">
        <f t="shared" ref="AW28:AW36" ca="1" si="234">IFERROR(AV28/AF$4,0)</f>
        <v>0</v>
      </c>
      <c r="AX28" s="1007" t="str">
        <f t="shared" ca="1" si="13"/>
        <v/>
      </c>
      <c r="AY28" s="1255"/>
      <c r="AZ28" s="312" t="str">
        <f t="shared" ca="1" si="210"/>
        <v/>
      </c>
      <c r="BA28" s="252"/>
      <c r="BB28" s="199">
        <f t="shared" ref="BB28:BB45" ca="1" si="235">AY28*$AC28</f>
        <v>0</v>
      </c>
      <c r="BC28" s="199">
        <f t="shared" ref="BC28:BC45" ca="1" si="236">BB28*$AE28</f>
        <v>0</v>
      </c>
      <c r="BD28" s="216">
        <f t="shared" ref="BD28:BD36" ca="1" si="237">IFERROR(BC28/AY$4,0)</f>
        <v>0</v>
      </c>
      <c r="BE28" s="202">
        <f t="shared" ref="BE28:BE45" ca="1" si="238">BF28/$AC28</f>
        <v>17404.751217574132</v>
      </c>
      <c r="BF28" s="203">
        <f t="shared" ref="BF28:BF45" ca="1" si="239">BG28/$AE28</f>
        <v>17689.560632656605</v>
      </c>
      <c r="BG28" s="203">
        <f t="shared" ref="BG28:BG36" ca="1" si="240">BH28*AY$4</f>
        <v>17689.56293229949</v>
      </c>
      <c r="BH28" s="204">
        <f t="shared" ref="BH28:BH36" ca="1" si="241">$N28-BD28</f>
        <v>2.5000000000000001E-2</v>
      </c>
      <c r="BI28" s="1253"/>
      <c r="BJ28" s="206">
        <f t="shared" ref="BJ28:BJ45" ca="1" si="242">BI28*$AC28</f>
        <v>0</v>
      </c>
      <c r="BK28" s="206">
        <f t="shared" ref="BK28:BK45" ca="1" si="243">BJ28*$AE28</f>
        <v>0</v>
      </c>
      <c r="BL28" s="207">
        <f t="shared" ref="BL28:BL36" ca="1" si="244">IFERROR(BK28/AY$4,0)</f>
        <v>0</v>
      </c>
      <c r="BM28" s="313">
        <f>AY28+BI28</f>
        <v>0</v>
      </c>
      <c r="BN28" s="313">
        <f t="shared" ca="1" si="194"/>
        <v>0</v>
      </c>
      <c r="BO28" s="313">
        <f t="shared" ref="BO28:BO45" ca="1" si="245">BN28*$AE28</f>
        <v>0</v>
      </c>
      <c r="BP28" s="843">
        <f t="shared" ca="1" si="125"/>
        <v>0</v>
      </c>
      <c r="BQ28" s="1007" t="str">
        <f t="shared" ca="1" si="64"/>
        <v/>
      </c>
      <c r="BR28" s="1007"/>
    </row>
    <row r="29" spans="1:70" ht="13.5" customHeight="1" outlineLevel="1" x14ac:dyDescent="0.2">
      <c r="A29" s="299"/>
      <c r="B29" s="299"/>
      <c r="C29" s="299" t="str">
        <f t="shared" ca="1" si="127"/>
        <v>CH1127263973:CHF</v>
      </c>
      <c r="D29" s="300" t="str">
        <f t="shared" ca="1" si="128"/>
        <v>CH1127263973</v>
      </c>
      <c r="E29" s="301" t="str">
        <f t="shared" ca="1" si="128"/>
        <v>112726397</v>
      </c>
      <c r="F29" s="299" t="s">
        <v>587</v>
      </c>
      <c r="G29" s="316">
        <f t="shared" ca="1" si="129"/>
        <v>46625</v>
      </c>
      <c r="H29" s="1708" t="str">
        <f t="shared" ca="1" si="130"/>
        <v></v>
      </c>
      <c r="I29" s="1680" t="str">
        <f t="shared" ref="I29:I33" ca="1" si="246">HYPERLINK(OFFSET(Origine,MATCH($F29,Descrizioni,0),MATCH(I$14,Intestazioni,0)-1,1,1),"i")</f>
        <v>i</v>
      </c>
      <c r="J29" s="1708" t="str">
        <f t="shared" ref="J29:K33" ca="1" si="247">HYPERLINK(OFFSET(Origine,MATCH($F29,Descrizioni,0),MATCH(J$14,Intestazioni,0)-1,1,1),"")</f>
        <v></v>
      </c>
      <c r="K29" s="1708" t="str">
        <f t="shared" ca="1" si="247"/>
        <v></v>
      </c>
      <c r="L29" s="1803" t="str">
        <f t="shared" ca="1" si="133"/>
        <v></v>
      </c>
      <c r="M29" s="298" t="str">
        <f t="shared" ca="1" si="134"/>
        <v>Pct</v>
      </c>
      <c r="N29" s="1015">
        <v>2.5000000000000001E-2</v>
      </c>
      <c r="O29" s="1278" cm="1">
        <f t="array" aca="1" ref="O29" ca="1">SUM(IF($AF$14:$BQ$14="I_ctrlv",AF29:BQ29))</f>
        <v>129395.42654420328</v>
      </c>
      <c r="P29" s="306">
        <f t="shared" ca="1" si="0"/>
        <v>1.9755790773781572E-2</v>
      </c>
      <c r="Q29" s="307">
        <f t="array" aca="1" ref="Q29" ca="1">SUM(IF($AF$14:$BQ$14="I_pos",AF29:BQ29))</f>
        <v>130000</v>
      </c>
      <c r="R29" s="307">
        <f t="array" aca="1" ref="R29" ca="1">SUM(IF($AF$14:$BQ$14="P_Pos",AF29:BQ29))</f>
        <v>34508.727451859835</v>
      </c>
      <c r="S29" s="1279"/>
      <c r="T29" s="307"/>
      <c r="U29" s="298"/>
      <c r="V29" s="307">
        <f t="array" aca="1" ref="V29" ca="1">SUM(IF($AF$14:$BQ$14="O_Pos",AF29:BQ29))</f>
        <v>0</v>
      </c>
      <c r="W29" s="1278"/>
      <c r="X29" s="1280">
        <f t="shared" ref="X29:AA33" ca="1" si="248">OFFSET(Origine,MATCH($F29,Descrizioni,0),MATCH(X$14,Intestazioni,0)-1,1,1)</f>
        <v>0</v>
      </c>
      <c r="Y29" s="1280">
        <f t="shared" ca="1" si="248"/>
        <v>0</v>
      </c>
      <c r="Z29" s="1280">
        <f t="shared" ca="1" si="248"/>
        <v>0</v>
      </c>
      <c r="AA29" s="1281">
        <f t="shared" ca="1" si="248"/>
        <v>0</v>
      </c>
      <c r="AB29" s="299" t="str">
        <f t="shared" ref="AB29:AB33" ca="1" si="249">OFFSET(Origine,MATCH($F29,Descrizioni,0),MATCH(AB$14,Intestazioni,0)-1,1,1)</f>
        <v>CHF</v>
      </c>
      <c r="AC29" s="309">
        <f t="shared" ca="1" si="137"/>
        <v>0.99534930556000001</v>
      </c>
      <c r="AD29" s="1282">
        <f t="shared" ca="1" si="137"/>
        <v>4.24828784E-3</v>
      </c>
      <c r="AE29" s="311">
        <f t="shared" ca="1" si="166"/>
        <v>1.0000001300000001</v>
      </c>
      <c r="AF29" s="214">
        <f>100000</f>
        <v>100000</v>
      </c>
      <c r="AG29" s="312">
        <f t="shared" ca="1" si="196"/>
        <v>7.247991617120042E-2</v>
      </c>
      <c r="AH29" s="252">
        <v>0.92808199999999996</v>
      </c>
      <c r="AI29" s="199">
        <f t="shared" ref="AI29" ca="1" si="250">AF29*$AC29</f>
        <v>99534.930556000007</v>
      </c>
      <c r="AJ29" s="199">
        <f t="shared" ref="AJ29" ca="1" si="251">AI29*$AE29</f>
        <v>99534.943495540982</v>
      </c>
      <c r="AK29" s="216">
        <f t="shared" ref="AK29" ca="1" si="252">IFERROR(AJ29/AF$4,0)</f>
        <v>1.7037340858412877E-2</v>
      </c>
      <c r="AL29" s="202">
        <f t="shared" ref="AL29" ca="1" si="253">AM29/$AC29</f>
        <v>46736.513683443969</v>
      </c>
      <c r="AM29" s="203">
        <f t="shared" ref="AM29" ca="1" si="254">AN29/$AE29</f>
        <v>46519.156439111393</v>
      </c>
      <c r="AN29" s="203">
        <f t="shared" ref="AN29" ca="1" si="255">AO29*AF$4</f>
        <v>46519.162486601737</v>
      </c>
      <c r="AO29" s="204">
        <f t="shared" ref="AO29" ca="1" si="256">$N29-AK29</f>
        <v>7.9626591415871244E-3</v>
      </c>
      <c r="AP29" s="205"/>
      <c r="AQ29" s="206">
        <f t="shared" ref="AQ29" ca="1" si="257">AP29*$AC29</f>
        <v>0</v>
      </c>
      <c r="AR29" s="206">
        <f t="shared" ref="AR29" ca="1" si="258">AQ29*$AE29</f>
        <v>0</v>
      </c>
      <c r="AS29" s="207">
        <f t="shared" ref="AS29" ca="1" si="259">IFERROR(AR29/AF$4,0)</f>
        <v>0</v>
      </c>
      <c r="AT29" s="313">
        <f t="shared" ref="AT29" si="260">AF29+AP29</f>
        <v>100000</v>
      </c>
      <c r="AU29" s="313">
        <f t="shared" ca="1" si="179"/>
        <v>99534.930556000007</v>
      </c>
      <c r="AV29" s="313">
        <f t="shared" ref="AV29" ca="1" si="261">AU29*$AE29</f>
        <v>99534.943495540982</v>
      </c>
      <c r="AW29" s="314">
        <f t="shared" ref="AW29" ca="1" si="262">IFERROR(AV29/AF$4,0)</f>
        <v>1.7037340858412877E-2</v>
      </c>
      <c r="AX29" s="1007" t="str">
        <f t="shared" ca="1" si="13"/>
        <v>V</v>
      </c>
      <c r="AY29" s="1255">
        <f>30000</f>
        <v>30000</v>
      </c>
      <c r="AZ29" s="312">
        <f t="shared" ca="1" si="210"/>
        <v>7.3152890091644274E-2</v>
      </c>
      <c r="BA29" s="252">
        <v>0.92749999999999999</v>
      </c>
      <c r="BB29" s="199">
        <f t="shared" ref="BB29" ca="1" si="263">AY29*$AC29</f>
        <v>29860.4791668</v>
      </c>
      <c r="BC29" s="199">
        <f t="shared" ref="BC29" ca="1" si="264">BB29*$AE29</f>
        <v>29860.483048662296</v>
      </c>
      <c r="BD29" s="216">
        <f t="shared" ref="BD29" ca="1" si="265">IFERROR(BC29/AY$4,0)</f>
        <v>4.2200707788743387E-2</v>
      </c>
      <c r="BE29" s="202">
        <f t="shared" ref="BE29" ca="1" si="266">BF29/$AC29</f>
        <v>-12227.786231584132</v>
      </c>
      <c r="BF29" s="203">
        <f t="shared" ref="BF29" ca="1" si="267">BG29/$AE29</f>
        <v>-12170.918534143395</v>
      </c>
      <c r="BG29" s="203">
        <f t="shared" ref="BG29" ca="1" si="268">BH29*AY$4</f>
        <v>-12170.920116362806</v>
      </c>
      <c r="BH29" s="204">
        <f t="shared" ref="BH29" ca="1" si="269">$N29-BD29</f>
        <v>-1.7200707788743386E-2</v>
      </c>
      <c r="BI29" s="1253"/>
      <c r="BJ29" s="206">
        <f t="shared" ref="BJ29" ca="1" si="270">BI29*$AC29</f>
        <v>0</v>
      </c>
      <c r="BK29" s="206">
        <f t="shared" ref="BK29" ca="1" si="271">BJ29*$AE29</f>
        <v>0</v>
      </c>
      <c r="BL29" s="207">
        <f t="shared" ref="BL29" ca="1" si="272">IFERROR(BK29/AY$4,0)</f>
        <v>0</v>
      </c>
      <c r="BM29" s="313">
        <f t="shared" ref="BM29" si="273">AY29+BI29</f>
        <v>30000</v>
      </c>
      <c r="BN29" s="313">
        <f t="shared" ca="1" si="194"/>
        <v>29860.4791668</v>
      </c>
      <c r="BO29" s="313">
        <f t="shared" ref="BO29" ca="1" si="274">BN29*$AE29</f>
        <v>29860.483048662296</v>
      </c>
      <c r="BP29" s="843">
        <f t="shared" ca="1" si="125"/>
        <v>4.2200707788743387E-2</v>
      </c>
      <c r="BQ29" s="1007" t="str">
        <f t="shared" ref="BQ29:BQ31" ca="1" si="275">IF(OR(BD29&lt;&gt;0,BL29&lt;&gt;0),"V","")</f>
        <v>V</v>
      </c>
      <c r="BR29" s="1007"/>
    </row>
    <row r="30" spans="1:70" ht="13.5" customHeight="1" outlineLevel="1" x14ac:dyDescent="0.2">
      <c r="A30" s="299"/>
      <c r="B30" s="299"/>
      <c r="C30" s="299" t="str">
        <f t="shared" ca="1" si="127"/>
        <v>CH1120085670:CHF</v>
      </c>
      <c r="D30" s="300" t="str">
        <f t="shared" ca="1" si="128"/>
        <v>CH1120085670</v>
      </c>
      <c r="E30" s="301" t="str">
        <f t="shared" ca="1" si="128"/>
        <v>112008567</v>
      </c>
      <c r="F30" s="299" t="s">
        <v>872</v>
      </c>
      <c r="G30" s="316">
        <f t="shared" ca="1" si="129"/>
        <v>46933</v>
      </c>
      <c r="H30" s="1708" t="str">
        <f t="shared" ca="1" si="130"/>
        <v></v>
      </c>
      <c r="I30" s="1680" t="str">
        <f t="shared" ca="1" si="246"/>
        <v>i</v>
      </c>
      <c r="J30" s="1708" t="str">
        <f t="shared" ca="1" si="247"/>
        <v></v>
      </c>
      <c r="K30" s="1708" t="str">
        <f t="shared" ca="1" si="247"/>
        <v></v>
      </c>
      <c r="L30" s="1803" t="str">
        <f t="shared" ca="1" si="133"/>
        <v></v>
      </c>
      <c r="M30" s="298" t="str">
        <f t="shared" ca="1" si="134"/>
        <v>Pct</v>
      </c>
      <c r="N30" s="1015">
        <v>2.5000000000000001E-2</v>
      </c>
      <c r="O30" s="1278" cm="1">
        <f t="array" aca="1" ref="O30" ca="1">SUM(IF($AF$14:$BQ$14="I_ctrlv",AF30:BQ30))</f>
        <v>99001.679537216667</v>
      </c>
      <c r="P30" s="306">
        <f t="shared" ca="1" si="0"/>
        <v>1.5115344641041677E-2</v>
      </c>
      <c r="Q30" s="307">
        <f t="array" aca="1" ref="Q30" ca="1">SUM(IF($AF$14:$BQ$14="I_pos",AF30:BQ30))</f>
        <v>100000</v>
      </c>
      <c r="R30" s="307">
        <f t="array" aca="1" ref="R30" ca="1">SUM(IF($AF$14:$BQ$14="P_Pos",AF30:BQ30))</f>
        <v>65394.839440969037</v>
      </c>
      <c r="S30" s="1279"/>
      <c r="T30" s="307"/>
      <c r="U30" s="298"/>
      <c r="V30" s="307">
        <f t="array" aca="1" ref="V30" ca="1">SUM(IF($AF$14:$BQ$14="O_Pos",AF30:BQ30))</f>
        <v>0</v>
      </c>
      <c r="W30" s="1278"/>
      <c r="X30" s="1280">
        <f t="shared" ca="1" si="248"/>
        <v>0</v>
      </c>
      <c r="Y30" s="1280">
        <f t="shared" ca="1" si="248"/>
        <v>0</v>
      </c>
      <c r="Z30" s="1280">
        <f t="shared" ca="1" si="248"/>
        <v>0</v>
      </c>
      <c r="AA30" s="1281">
        <f t="shared" ca="1" si="248"/>
        <v>0</v>
      </c>
      <c r="AB30" s="299" t="str">
        <f t="shared" ca="1" si="249"/>
        <v>CHF</v>
      </c>
      <c r="AC30" s="309">
        <f t="shared" ref="AC30:AC38" ca="1" si="276">_xlfn.NUMBERVALUE(OFFSET(Origine,MATCH($F30,Descrizioni,0),MATCH(AC$14,Intestazioni,0)-1,1,1))</f>
        <v>0.99001666666999999</v>
      </c>
      <c r="AD30" s="1282">
        <f t="shared" ca="1" si="137"/>
        <v>5.2003759999999996E-3</v>
      </c>
      <c r="AE30" s="311">
        <f t="shared" ca="1" si="166"/>
        <v>1.0000001300000001</v>
      </c>
      <c r="AF30" s="214">
        <f>100000</f>
        <v>100000</v>
      </c>
      <c r="AG30" s="312">
        <f t="shared" ca="1" si="196"/>
        <v>9.451311754099101E-2</v>
      </c>
      <c r="AH30" s="252">
        <v>0.90452699999999997</v>
      </c>
      <c r="AI30" s="199">
        <f t="shared" ca="1" si="223"/>
        <v>99001.666666999998</v>
      </c>
      <c r="AJ30" s="199">
        <f t="shared" ca="1" si="224"/>
        <v>99001.679537216667</v>
      </c>
      <c r="AK30" s="216">
        <f t="shared" ca="1" si="225"/>
        <v>1.6946062363580709E-2</v>
      </c>
      <c r="AL30" s="202">
        <f t="shared" ca="1" si="226"/>
        <v>47526.897184848385</v>
      </c>
      <c r="AM30" s="203">
        <f t="shared" ca="1" si="227"/>
        <v>47052.420328111402</v>
      </c>
      <c r="AN30" s="203">
        <f t="shared" ca="1" si="228"/>
        <v>47052.426444926052</v>
      </c>
      <c r="AO30" s="204">
        <f t="shared" ca="1" si="229"/>
        <v>8.0539376364192929E-3</v>
      </c>
      <c r="AP30" s="205"/>
      <c r="AQ30" s="206">
        <f t="shared" ca="1" si="230"/>
        <v>0</v>
      </c>
      <c r="AR30" s="206">
        <f t="shared" ca="1" si="231"/>
        <v>0</v>
      </c>
      <c r="AS30" s="207">
        <f t="shared" ca="1" si="232"/>
        <v>0</v>
      </c>
      <c r="AT30" s="313">
        <f>AF30+AP30</f>
        <v>100000</v>
      </c>
      <c r="AU30" s="313">
        <f t="shared" ca="1" si="179"/>
        <v>99001.666666999998</v>
      </c>
      <c r="AV30" s="313">
        <f t="shared" ca="1" si="233"/>
        <v>99001.679537216667</v>
      </c>
      <c r="AW30" s="314">
        <f t="shared" ca="1" si="234"/>
        <v>1.6946062363580709E-2</v>
      </c>
      <c r="AX30" s="1007" t="str">
        <f t="shared" ca="1" si="13"/>
        <v>V</v>
      </c>
      <c r="AY30" s="1255"/>
      <c r="AZ30" s="312" t="str">
        <f t="shared" ca="1" si="210"/>
        <v/>
      </c>
      <c r="BA30" s="252"/>
      <c r="BB30" s="199">
        <f t="shared" ca="1" si="235"/>
        <v>0</v>
      </c>
      <c r="BC30" s="199">
        <f t="shared" ca="1" si="236"/>
        <v>0</v>
      </c>
      <c r="BD30" s="216">
        <f t="shared" ca="1" si="237"/>
        <v>0</v>
      </c>
      <c r="BE30" s="202">
        <f t="shared" ca="1" si="238"/>
        <v>17867.942256120648</v>
      </c>
      <c r="BF30" s="203">
        <f t="shared" ca="1" si="239"/>
        <v>17689.560632656605</v>
      </c>
      <c r="BG30" s="203">
        <f t="shared" ca="1" si="240"/>
        <v>17689.56293229949</v>
      </c>
      <c r="BH30" s="204">
        <f t="shared" ca="1" si="241"/>
        <v>2.5000000000000001E-2</v>
      </c>
      <c r="BI30" s="1253"/>
      <c r="BJ30" s="206">
        <f t="shared" ca="1" si="242"/>
        <v>0</v>
      </c>
      <c r="BK30" s="206">
        <f t="shared" ca="1" si="243"/>
        <v>0</v>
      </c>
      <c r="BL30" s="207">
        <f t="shared" ca="1" si="244"/>
        <v>0</v>
      </c>
      <c r="BM30" s="313">
        <f>AY30+BI30</f>
        <v>0</v>
      </c>
      <c r="BN30" s="313">
        <f t="shared" ca="1" si="194"/>
        <v>0</v>
      </c>
      <c r="BO30" s="313">
        <f t="shared" ca="1" si="245"/>
        <v>0</v>
      </c>
      <c r="BP30" s="843">
        <f t="shared" ca="1" si="125"/>
        <v>0</v>
      </c>
      <c r="BQ30" s="1007" t="str">
        <f t="shared" ca="1" si="275"/>
        <v/>
      </c>
      <c r="BR30" s="1007"/>
    </row>
    <row r="31" spans="1:70" ht="13.5" customHeight="1" outlineLevel="1" x14ac:dyDescent="0.2">
      <c r="A31" s="299"/>
      <c r="B31" s="299"/>
      <c r="C31" s="299" t="str">
        <f t="shared" ca="1" si="127"/>
        <v>CH1118483747:CHF</v>
      </c>
      <c r="D31" s="300" t="str">
        <f t="shared" ca="1" si="128"/>
        <v>CH1118483747</v>
      </c>
      <c r="E31" s="301" t="str">
        <f t="shared" ca="1" si="128"/>
        <v>111848374</v>
      </c>
      <c r="F31" s="299" t="s">
        <v>521</v>
      </c>
      <c r="G31" s="316">
        <f t="shared" ca="1" si="129"/>
        <v>46954</v>
      </c>
      <c r="H31" s="1708" t="str">
        <f t="shared" ca="1" si="130"/>
        <v></v>
      </c>
      <c r="I31" s="1680" t="str">
        <f t="shared" ca="1" si="246"/>
        <v>i</v>
      </c>
      <c r="J31" s="1708" t="str">
        <f t="shared" ca="1" si="247"/>
        <v></v>
      </c>
      <c r="K31" s="1708" t="str">
        <f t="shared" ca="1" si="247"/>
        <v></v>
      </c>
      <c r="L31" s="1803" t="str">
        <f t="shared" ca="1" si="133"/>
        <v></v>
      </c>
      <c r="M31" s="298" t="str">
        <f t="shared" ca="1" si="134"/>
        <v>Pct</v>
      </c>
      <c r="N31" s="1015"/>
      <c r="O31" s="1278" cm="1">
        <f t="array" aca="1" ref="O31" ca="1">SUM(IF($AF$14:$BQ$14="I_ctrlv",AF31:BQ31))</f>
        <v>49922.346767904237</v>
      </c>
      <c r="P31" s="306">
        <f t="shared" ca="1" si="0"/>
        <v>7.6220270223072246E-3</v>
      </c>
      <c r="Q31" s="307">
        <f t="array" aca="1" ref="Q31" ca="1">SUM(IF($AF$14:$BQ$14="I_pos",AF31:BQ31))</f>
        <v>50000</v>
      </c>
      <c r="R31" s="307">
        <f t="array" aca="1" ref="R31" ca="1">SUM(IF($AF$14:$BQ$14="P_Pos",AF31:BQ31))</f>
        <v>-50000</v>
      </c>
      <c r="S31" s="1279"/>
      <c r="T31" s="307"/>
      <c r="U31" s="298"/>
      <c r="V31" s="307">
        <f t="array" aca="1" ref="V31" ca="1">SUM(IF($AF$14:$BQ$14="O_Pos",AF31:BQ31))</f>
        <v>0</v>
      </c>
      <c r="W31" s="1278"/>
      <c r="X31" s="1280">
        <f t="shared" ca="1" si="248"/>
        <v>0</v>
      </c>
      <c r="Y31" s="1280">
        <f t="shared" ca="1" si="248"/>
        <v>0</v>
      </c>
      <c r="Z31" s="1280">
        <f t="shared" ca="1" si="248"/>
        <v>0</v>
      </c>
      <c r="AA31" s="1281">
        <f t="shared" ca="1" si="248"/>
        <v>0</v>
      </c>
      <c r="AB31" s="299" t="str">
        <f t="shared" ca="1" si="249"/>
        <v>CHF</v>
      </c>
      <c r="AC31" s="309">
        <f t="shared" ca="1" si="276"/>
        <v>0.99844680555999998</v>
      </c>
      <c r="AD31" s="1282">
        <f t="shared" ca="1" si="137"/>
        <v>4.5855725599999999E-3</v>
      </c>
      <c r="AE31" s="311">
        <f t="shared" ca="1" si="166"/>
        <v>1.0000001300000001</v>
      </c>
      <c r="AF31" s="214">
        <f>50000</f>
        <v>50000</v>
      </c>
      <c r="AG31" s="312">
        <f t="shared" ref="AG31" ca="1" si="277">IFERROR($AC31/AH31-1,"")</f>
        <v>4.1133269614181511E-2</v>
      </c>
      <c r="AH31" s="252">
        <v>0.95899999999999996</v>
      </c>
      <c r="AI31" s="199">
        <f t="shared" ca="1" si="223"/>
        <v>49922.340277999996</v>
      </c>
      <c r="AJ31" s="199">
        <f t="shared" ca="1" si="224"/>
        <v>49922.346767904237</v>
      </c>
      <c r="AK31" s="216">
        <f t="shared" ca="1" si="225"/>
        <v>8.5451803001704019E-3</v>
      </c>
      <c r="AL31" s="202">
        <f t="shared" ca="1" si="226"/>
        <v>-50000</v>
      </c>
      <c r="AM31" s="203">
        <f t="shared" ca="1" si="227"/>
        <v>-49922.340277999996</v>
      </c>
      <c r="AN31" s="203">
        <f t="shared" ca="1" si="228"/>
        <v>-49922.346767904237</v>
      </c>
      <c r="AO31" s="204">
        <f t="shared" ca="1" si="229"/>
        <v>-8.5451803001704019E-3</v>
      </c>
      <c r="AP31" s="205"/>
      <c r="AQ31" s="206">
        <f t="shared" ca="1" si="230"/>
        <v>0</v>
      </c>
      <c r="AR31" s="206">
        <f t="shared" ca="1" si="231"/>
        <v>0</v>
      </c>
      <c r="AS31" s="207">
        <f t="shared" ca="1" si="232"/>
        <v>0</v>
      </c>
      <c r="AT31" s="313">
        <f t="shared" ref="AT31" si="278">AF31+AP31</f>
        <v>50000</v>
      </c>
      <c r="AU31" s="313">
        <f t="shared" ca="1" si="179"/>
        <v>49922.340277999996</v>
      </c>
      <c r="AV31" s="313">
        <f t="shared" ca="1" si="233"/>
        <v>49922.346767904237</v>
      </c>
      <c r="AW31" s="314">
        <f t="shared" ca="1" si="234"/>
        <v>8.5451803001704019E-3</v>
      </c>
      <c r="AX31" s="1007" t="str">
        <f t="shared" ca="1" si="13"/>
        <v>V</v>
      </c>
      <c r="AY31" s="1255"/>
      <c r="AZ31" s="312" t="str">
        <f t="shared" ref="AZ31" ca="1" si="279">IFERROR($AC31/BA31-1,"")</f>
        <v/>
      </c>
      <c r="BA31" s="252"/>
      <c r="BB31" s="199">
        <f t="shared" ca="1" si="235"/>
        <v>0</v>
      </c>
      <c r="BC31" s="199">
        <f t="shared" ca="1" si="236"/>
        <v>0</v>
      </c>
      <c r="BD31" s="216">
        <f t="shared" ca="1" si="237"/>
        <v>0</v>
      </c>
      <c r="BE31" s="202">
        <f t="shared" ca="1" si="238"/>
        <v>0</v>
      </c>
      <c r="BF31" s="203">
        <f t="shared" ca="1" si="239"/>
        <v>0</v>
      </c>
      <c r="BG31" s="203">
        <f t="shared" ca="1" si="240"/>
        <v>0</v>
      </c>
      <c r="BH31" s="204">
        <f t="shared" ca="1" si="241"/>
        <v>0</v>
      </c>
      <c r="BI31" s="1253"/>
      <c r="BJ31" s="206">
        <f t="shared" ca="1" si="242"/>
        <v>0</v>
      </c>
      <c r="BK31" s="206">
        <f t="shared" ca="1" si="243"/>
        <v>0</v>
      </c>
      <c r="BL31" s="207">
        <f t="shared" ca="1" si="244"/>
        <v>0</v>
      </c>
      <c r="BM31" s="313">
        <f t="shared" ref="BM31" si="280">AY31+BI31</f>
        <v>0</v>
      </c>
      <c r="BN31" s="313">
        <f t="shared" ca="1" si="194"/>
        <v>0</v>
      </c>
      <c r="BO31" s="313">
        <f t="shared" ca="1" si="245"/>
        <v>0</v>
      </c>
      <c r="BP31" s="843">
        <f t="shared" ca="1" si="125"/>
        <v>0</v>
      </c>
      <c r="BQ31" s="1007" t="str">
        <f t="shared" ca="1" si="275"/>
        <v/>
      </c>
      <c r="BR31" s="1007"/>
    </row>
    <row r="32" spans="1:70" ht="13.5" customHeight="1" outlineLevel="1" x14ac:dyDescent="0.2">
      <c r="A32" s="299"/>
      <c r="B32" s="299"/>
      <c r="C32" s="299" t="str">
        <f t="shared" ca="1" si="127"/>
        <v>CH1132966263:CHF</v>
      </c>
      <c r="D32" s="300" t="str">
        <f t="shared" ca="1" si="128"/>
        <v>CH1132966263</v>
      </c>
      <c r="E32" s="301" t="str">
        <f t="shared" ca="1" si="128"/>
        <v>113296626</v>
      </c>
      <c r="F32" s="835" t="s">
        <v>576</v>
      </c>
      <c r="G32" s="316">
        <f t="shared" ca="1" si="129"/>
        <v>47003</v>
      </c>
      <c r="H32" s="1708" t="str">
        <f t="shared" ca="1" si="130"/>
        <v></v>
      </c>
      <c r="I32" s="1680" t="str">
        <f t="shared" ca="1" si="246"/>
        <v>i</v>
      </c>
      <c r="J32" s="1708" t="str">
        <f t="shared" ca="1" si="247"/>
        <v></v>
      </c>
      <c r="K32" s="1708" t="str">
        <f t="shared" ca="1" si="247"/>
        <v></v>
      </c>
      <c r="L32" s="1803" t="str">
        <f t="shared" ca="1" si="133"/>
        <v></v>
      </c>
      <c r="M32" s="298" t="str">
        <f t="shared" ca="1" si="134"/>
        <v>Pct</v>
      </c>
      <c r="N32" s="1015">
        <v>2.5000000000000001E-2</v>
      </c>
      <c r="O32" s="1278" cm="1">
        <f t="array" aca="1" ref="O32" ca="1">SUM(IF($AF$14:$BQ$14="I_ctrlv",AF32:BQ32))</f>
        <v>0</v>
      </c>
      <c r="P32" s="306">
        <f t="shared" ca="1" si="0"/>
        <v>0</v>
      </c>
      <c r="Q32" s="307">
        <f t="array" aca="1" ref="Q32" ca="1">SUM(IF($AF$14:$BQ$14="I_pos",AF32:BQ32))</f>
        <v>0</v>
      </c>
      <c r="R32" s="307">
        <f t="array" aca="1" ref="R32" ca="1">SUM(IF($AF$14:$BQ$14="P_Pos",AF32:BQ32))</f>
        <v>164493.00464968095</v>
      </c>
      <c r="S32" s="1283"/>
      <c r="T32" s="307"/>
      <c r="U32" s="298"/>
      <c r="V32" s="307">
        <f t="array" aca="1" ref="V32" ca="1">SUM(IF($AF$14:$BQ$14="O_Pos",AF32:BQ32))</f>
        <v>0</v>
      </c>
      <c r="W32" s="1278"/>
      <c r="X32" s="1280">
        <f t="shared" ca="1" si="248"/>
        <v>0</v>
      </c>
      <c r="Y32" s="1280">
        <f t="shared" ca="1" si="248"/>
        <v>0</v>
      </c>
      <c r="Z32" s="1280">
        <f t="shared" ca="1" si="248"/>
        <v>0</v>
      </c>
      <c r="AA32" s="1281">
        <f t="shared" ca="1" si="248"/>
        <v>0</v>
      </c>
      <c r="AB32" s="299" t="str">
        <f t="shared" ca="1" si="249"/>
        <v>CHF</v>
      </c>
      <c r="AC32" s="309">
        <f t="shared" ca="1" si="276"/>
        <v>0.99544444444000002</v>
      </c>
      <c r="AD32" s="1282">
        <f t="shared" ca="1" si="137"/>
        <v>6.2088291700000001E-3</v>
      </c>
      <c r="AE32" s="311">
        <f t="shared" ca="1" si="166"/>
        <v>1.0000001300000001</v>
      </c>
      <c r="AF32" s="214"/>
      <c r="AG32" s="312" t="str">
        <f t="shared" ca="1" si="196"/>
        <v/>
      </c>
      <c r="AH32" s="252"/>
      <c r="AI32" s="199">
        <f t="shared" ref="AI32:AI34" ca="1" si="281">AF32*$AC32</f>
        <v>0</v>
      </c>
      <c r="AJ32" s="199">
        <f t="shared" ref="AJ32:AJ34" ca="1" si="282">AI32*$AE32</f>
        <v>0</v>
      </c>
      <c r="AK32" s="216">
        <f t="shared" ref="AK32:AK34" ca="1" si="283">IFERROR(AJ32/AF$4,0)</f>
        <v>0</v>
      </c>
      <c r="AL32" s="202">
        <f t="shared" ref="AL32:AL34" ca="1" si="284">AM32/$AC32</f>
        <v>146722.48944769186</v>
      </c>
      <c r="AM32" s="203">
        <f t="shared" ref="AM32:AM34" ca="1" si="285">AN32/$AE32</f>
        <v>146054.08699511137</v>
      </c>
      <c r="AN32" s="203">
        <f t="shared" ref="AN32:AN34" ca="1" si="286">AO32*AF$4</f>
        <v>146054.1059821427</v>
      </c>
      <c r="AO32" s="204">
        <f t="shared" ref="AO32:AO34" ca="1" si="287">$N32-AK32</f>
        <v>2.5000000000000001E-2</v>
      </c>
      <c r="AP32" s="205"/>
      <c r="AQ32" s="206">
        <f t="shared" ref="AQ32:AQ34" ca="1" si="288">AP32*$AC32</f>
        <v>0</v>
      </c>
      <c r="AR32" s="206">
        <f t="shared" ref="AR32:AR34" ca="1" si="289">AQ32*$AE32</f>
        <v>0</v>
      </c>
      <c r="AS32" s="207">
        <f t="shared" ref="AS32:AS34" ca="1" si="290">IFERROR(AR32/AF$4,0)</f>
        <v>0</v>
      </c>
      <c r="AT32" s="313">
        <f t="shared" ref="AT32" si="291">AF32+AP32</f>
        <v>0</v>
      </c>
      <c r="AU32" s="313">
        <f t="shared" ca="1" si="179"/>
        <v>0</v>
      </c>
      <c r="AV32" s="313">
        <f t="shared" ref="AV32:AV34" ca="1" si="292">AU32*$AE32</f>
        <v>0</v>
      </c>
      <c r="AW32" s="314">
        <f t="shared" ref="AW32:AW34" ca="1" si="293">IFERROR(AV32/AF$4,0)</f>
        <v>0</v>
      </c>
      <c r="AX32" s="1007" t="str">
        <f t="shared" ca="1" si="13"/>
        <v/>
      </c>
      <c r="AY32" s="1255"/>
      <c r="AZ32" s="312" t="str">
        <f t="shared" ca="1" si="210"/>
        <v/>
      </c>
      <c r="BA32" s="252"/>
      <c r="BB32" s="199">
        <f t="shared" ref="BB32:BB34" ca="1" si="294">AY32*$AC32</f>
        <v>0</v>
      </c>
      <c r="BC32" s="199">
        <f t="shared" ref="BC32:BC34" ca="1" si="295">BB32*$AE32</f>
        <v>0</v>
      </c>
      <c r="BD32" s="216">
        <f t="shared" ref="BD32:BD34" ca="1" si="296">IFERROR(BC32/AY$4,0)</f>
        <v>0</v>
      </c>
      <c r="BE32" s="202">
        <f t="shared" ref="BE32:BE34" ca="1" si="297">BF32/$AC32</f>
        <v>17770.515201989092</v>
      </c>
      <c r="BF32" s="203">
        <f t="shared" ref="BF32:BF34" ca="1" si="298">BG32/$AE32</f>
        <v>17689.560632656605</v>
      </c>
      <c r="BG32" s="203">
        <f t="shared" ref="BG32:BG34" ca="1" si="299">BH32*AY$4</f>
        <v>17689.56293229949</v>
      </c>
      <c r="BH32" s="204">
        <f t="shared" ref="BH32:BH34" ca="1" si="300">$N32-BD32</f>
        <v>2.5000000000000001E-2</v>
      </c>
      <c r="BI32" s="1253"/>
      <c r="BJ32" s="206">
        <f t="shared" ref="BJ32:BJ34" ca="1" si="301">BI32*$AC32</f>
        <v>0</v>
      </c>
      <c r="BK32" s="206">
        <f t="shared" ref="BK32:BK34" ca="1" si="302">BJ32*$AE32</f>
        <v>0</v>
      </c>
      <c r="BL32" s="207">
        <f t="shared" ref="BL32:BL34" ca="1" si="303">IFERROR(BK32/AY$4,0)</f>
        <v>0</v>
      </c>
      <c r="BM32" s="313">
        <f t="shared" ref="BM32" si="304">AY32+BI32</f>
        <v>0</v>
      </c>
      <c r="BN32" s="313">
        <f t="shared" ca="1" si="194"/>
        <v>0</v>
      </c>
      <c r="BO32" s="313">
        <f t="shared" ref="BO32:BO34" ca="1" si="305">BN32*$AE32</f>
        <v>0</v>
      </c>
      <c r="BP32" s="843">
        <f t="shared" ca="1" si="125"/>
        <v>0</v>
      </c>
      <c r="BQ32" s="1007" t="str">
        <f t="shared" ca="1" si="64"/>
        <v/>
      </c>
      <c r="BR32" s="1007"/>
    </row>
    <row r="33" spans="1:70" ht="13.5" customHeight="1" outlineLevel="1" x14ac:dyDescent="0.2">
      <c r="A33" s="299"/>
      <c r="B33" s="299"/>
      <c r="C33" s="299" t="str">
        <f t="shared" ca="1" si="127"/>
        <v>CH1112455808:CHF:P</v>
      </c>
      <c r="D33" s="300" t="str">
        <f t="shared" ca="1" si="128"/>
        <v>CH1112455808</v>
      </c>
      <c r="E33" s="301" t="str">
        <f t="shared" ca="1" si="128"/>
        <v>111245580</v>
      </c>
      <c r="F33" s="835" t="s">
        <v>372</v>
      </c>
      <c r="G33" s="316">
        <f t="shared" ca="1" si="129"/>
        <v>47084</v>
      </c>
      <c r="H33" s="1708" t="str">
        <f t="shared" ca="1" si="130"/>
        <v></v>
      </c>
      <c r="I33" s="1680" t="str">
        <f t="shared" ca="1" si="246"/>
        <v>i</v>
      </c>
      <c r="J33" s="1708" t="str">
        <f t="shared" ca="1" si="247"/>
        <v></v>
      </c>
      <c r="K33" s="1708" t="str">
        <f t="shared" ca="1" si="247"/>
        <v></v>
      </c>
      <c r="L33" s="1803" t="str">
        <f t="shared" ca="1" si="133"/>
        <v></v>
      </c>
      <c r="M33" s="298" t="str">
        <f t="shared" ca="1" si="134"/>
        <v>Pct</v>
      </c>
      <c r="N33" s="1015"/>
      <c r="O33" s="1278" cm="1">
        <f t="array" aca="1" ref="O33" ca="1">SUM(IF($AF$14:$BQ$14="I_ctrlv",AF33:BQ33))</f>
        <v>49531.673105616675</v>
      </c>
      <c r="P33" s="306">
        <f t="shared" ca="1" si="0"/>
        <v>7.5623798822257822E-3</v>
      </c>
      <c r="Q33" s="307">
        <f t="array" aca="1" ref="Q33" ca="1">SUM(IF($AF$14:$BQ$14="I_pos",AF33:BQ33))</f>
        <v>50000</v>
      </c>
      <c r="R33" s="307">
        <f t="array" aca="1" ref="R33" ca="1">SUM(IF($AF$14:$BQ$14="P_Pos",AF33:BQ33))</f>
        <v>-50000</v>
      </c>
      <c r="S33" s="1283"/>
      <c r="T33" s="307"/>
      <c r="U33" s="298"/>
      <c r="V33" s="307">
        <f t="array" aca="1" ref="V33" ca="1">SUM(IF($AF$14:$BQ$14="O_Pos",AF33:BQ33))</f>
        <v>20000</v>
      </c>
      <c r="W33" s="1278"/>
      <c r="X33" s="1280">
        <f t="shared" ca="1" si="248"/>
        <v>0</v>
      </c>
      <c r="Y33" s="1280">
        <f t="shared" ca="1" si="248"/>
        <v>0</v>
      </c>
      <c r="Z33" s="1280">
        <f t="shared" ca="1" si="248"/>
        <v>0</v>
      </c>
      <c r="AA33" s="1281">
        <f t="shared" ca="1" si="248"/>
        <v>0</v>
      </c>
      <c r="AB33" s="299" t="str">
        <f t="shared" ca="1" si="249"/>
        <v>CHF</v>
      </c>
      <c r="AC33" s="309">
        <f t="shared" ca="1" si="276"/>
        <v>0.99063333333000003</v>
      </c>
      <c r="AD33" s="1282">
        <f t="shared" ca="1" si="137"/>
        <v>1.136616457E-2</v>
      </c>
      <c r="AE33" s="311">
        <f t="shared" ref="AE33" ca="1" si="306">_xlfn.NUMBERVALUE(OFFSET(Origine,MATCH(AB33&amp;"/"&amp;MRif,LUKB_Name,0),MATCH("Price",Intestazioni,0)-1,1,1))</f>
        <v>1.0000001300000001</v>
      </c>
      <c r="AF33" s="214">
        <v>50000</v>
      </c>
      <c r="AG33" s="312">
        <f t="shared" ref="AG33" ca="1" si="307">IFERROR($AC33/AH33-1,"")</f>
        <v>1.1453596058614846E-3</v>
      </c>
      <c r="AH33" s="252">
        <v>0.98950000000000005</v>
      </c>
      <c r="AI33" s="199">
        <f t="shared" ref="AI33" ca="1" si="308">AF33*$AC33</f>
        <v>49531.666666500001</v>
      </c>
      <c r="AJ33" s="199">
        <f t="shared" ref="AJ33" ca="1" si="309">AI33*$AE33</f>
        <v>49531.673105616675</v>
      </c>
      <c r="AK33" s="216">
        <f t="shared" ref="AK33" ca="1" si="310">IFERROR(AJ33/AF$4,0)</f>
        <v>8.4783089069184851E-3</v>
      </c>
      <c r="AL33" s="202">
        <f t="shared" ref="AL33" ca="1" si="311">AM33/$AC33</f>
        <v>-50000</v>
      </c>
      <c r="AM33" s="203">
        <f t="shared" ref="AM33" ca="1" si="312">AN33/$AE33</f>
        <v>-49531.666666500001</v>
      </c>
      <c r="AN33" s="203">
        <f t="shared" ref="AN33" ca="1" si="313">AO33*AF$4</f>
        <v>-49531.673105616675</v>
      </c>
      <c r="AO33" s="204">
        <f t="shared" ref="AO33" ca="1" si="314">$N33-AK33</f>
        <v>-8.4783089069184851E-3</v>
      </c>
      <c r="AP33" s="205"/>
      <c r="AQ33" s="206">
        <f t="shared" ref="AQ33" ca="1" si="315">AP33*$AC33</f>
        <v>0</v>
      </c>
      <c r="AR33" s="206">
        <f t="shared" ref="AR33" ca="1" si="316">AQ33*$AE33</f>
        <v>0</v>
      </c>
      <c r="AS33" s="207">
        <f t="shared" ref="AS33" ca="1" si="317">IFERROR(AR33/AF$4,0)</f>
        <v>0</v>
      </c>
      <c r="AT33" s="313">
        <f t="shared" ref="AT33" si="318">AF33+AP33</f>
        <v>50000</v>
      </c>
      <c r="AU33" s="313">
        <f t="shared" ref="AU33" ca="1" si="319">AI33+IF($T33="",AQ33)</f>
        <v>49531.666666500001</v>
      </c>
      <c r="AV33" s="313">
        <f t="shared" ref="AV33" ca="1" si="320">AU33*$AE33</f>
        <v>49531.673105616675</v>
      </c>
      <c r="AW33" s="314">
        <f t="shared" ref="AW33" ca="1" si="321">IFERROR(AV33/AF$4,0)</f>
        <v>8.4783089069184851E-3</v>
      </c>
      <c r="AX33" s="1007" t="str">
        <f t="shared" ca="1" si="13"/>
        <v>V</v>
      </c>
      <c r="AY33" s="1255"/>
      <c r="AZ33" s="312" t="str">
        <f t="shared" ref="AZ33" ca="1" si="322">IFERROR($AC33/BA33-1,"")</f>
        <v/>
      </c>
      <c r="BA33" s="252"/>
      <c r="BB33" s="199">
        <f t="shared" ref="BB33" ca="1" si="323">AY33*$AC33</f>
        <v>0</v>
      </c>
      <c r="BC33" s="199">
        <f t="shared" ref="BC33" ca="1" si="324">BB33*$AE33</f>
        <v>0</v>
      </c>
      <c r="BD33" s="216">
        <f t="shared" ref="BD33" ca="1" si="325">IFERROR(BC33/AY$4,0)</f>
        <v>0</v>
      </c>
      <c r="BE33" s="202">
        <f t="shared" ref="BE33" ca="1" si="326">BF33/$AC33</f>
        <v>0</v>
      </c>
      <c r="BF33" s="203">
        <f t="shared" ref="BF33" ca="1" si="327">BG33/$AE33</f>
        <v>0</v>
      </c>
      <c r="BG33" s="203">
        <f t="shared" ref="BG33" ca="1" si="328">BH33*AY$4</f>
        <v>0</v>
      </c>
      <c r="BH33" s="204">
        <f t="shared" ref="BH33" ca="1" si="329">$N33-BD33</f>
        <v>0</v>
      </c>
      <c r="BI33" s="1253">
        <v>20000</v>
      </c>
      <c r="BJ33" s="206">
        <f t="shared" ref="BJ33" ca="1" si="330">BI33*$AC33</f>
        <v>19812.666666600002</v>
      </c>
      <c r="BK33" s="206">
        <f t="shared" ref="BK33" ca="1" si="331">BJ33*$AE33</f>
        <v>19812.669242246669</v>
      </c>
      <c r="BL33" s="207">
        <f t="shared" ref="BL33" ca="1" si="332">IFERROR(BK33/AY$4,0)</f>
        <v>2.8000507019411126E-2</v>
      </c>
      <c r="BM33" s="313">
        <f t="shared" ref="BM33" si="333">AY33+BI33</f>
        <v>20000</v>
      </c>
      <c r="BN33" s="313">
        <f t="shared" ref="BN33" ca="1" si="334">BB33+IF($T33="",BJ33)</f>
        <v>19812.666666600002</v>
      </c>
      <c r="BO33" s="313">
        <f t="shared" ref="BO33" ca="1" si="335">BN33*$AE33</f>
        <v>19812.669242246669</v>
      </c>
      <c r="BP33" s="843">
        <f t="shared" ca="1" si="125"/>
        <v>2.8000507019411126E-2</v>
      </c>
      <c r="BQ33" s="1007" t="str">
        <f t="shared" ref="BQ33:BQ35" ca="1" si="336">IF(OR(BD33&lt;&gt;0,BL33&lt;&gt;0),"V","")</f>
        <v>V</v>
      </c>
      <c r="BR33" s="1007"/>
    </row>
    <row r="34" spans="1:70" ht="13.5" customHeight="1" outlineLevel="1" x14ac:dyDescent="0.2">
      <c r="A34" s="299"/>
      <c r="B34" s="299"/>
      <c r="C34" s="299" t="str">
        <f t="shared" ca="1" si="127"/>
        <v>CH1118460984:CHF</v>
      </c>
      <c r="D34" s="300" t="str">
        <f t="shared" ca="1" si="128"/>
        <v>CH1118460984</v>
      </c>
      <c r="E34" s="301" t="str">
        <f t="shared" ca="1" si="128"/>
        <v>111846098</v>
      </c>
      <c r="F34" s="299" t="s">
        <v>520</v>
      </c>
      <c r="G34" s="316">
        <f t="shared" ca="1" si="129"/>
        <v>47290</v>
      </c>
      <c r="H34" s="1708" t="str">
        <f t="shared" ca="1" si="130"/>
        <v></v>
      </c>
      <c r="I34" s="1680" t="str">
        <f t="shared" ref="I34:I37" ca="1" si="337">HYPERLINK(OFFSET(Origine,MATCH($F34,Descrizioni,0),MATCH(I$14,Intestazioni,0)-1,1,1),"i")</f>
        <v>i</v>
      </c>
      <c r="J34" s="1708" t="str">
        <f t="shared" ref="J34:K37" ca="1" si="338">HYPERLINK(OFFSET(Origine,MATCH($F34,Descrizioni,0),MATCH(J$14,Intestazioni,0)-1,1,1),"")</f>
        <v></v>
      </c>
      <c r="K34" s="1708" t="str">
        <f t="shared" ca="1" si="338"/>
        <v></v>
      </c>
      <c r="L34" s="1803" t="str">
        <f t="shared" ca="1" si="133"/>
        <v></v>
      </c>
      <c r="M34" s="298" t="str">
        <f t="shared" ca="1" si="134"/>
        <v>Pct</v>
      </c>
      <c r="N34" s="1015"/>
      <c r="O34" s="1278" cm="1">
        <f t="array" aca="1" ref="O34" ca="1">SUM(IF($AF$14:$BQ$14="I_ctrlv",AF34:BQ34))</f>
        <v>49474.381431668757</v>
      </c>
      <c r="P34" s="306">
        <f t="shared" ca="1" si="0"/>
        <v>7.5536327235832916E-3</v>
      </c>
      <c r="Q34" s="307">
        <f t="array" aca="1" ref="Q34" ca="1">SUM(IF($AF$14:$BQ$14="I_pos",AF34:BQ34))</f>
        <v>50000</v>
      </c>
      <c r="R34" s="307">
        <f t="array" aca="1" ref="R34" ca="1">SUM(IF($AF$14:$BQ$14="P_Pos",AF34:BQ34))</f>
        <v>-50000</v>
      </c>
      <c r="S34" s="1279"/>
      <c r="T34" s="307"/>
      <c r="U34" s="298"/>
      <c r="V34" s="307">
        <f t="array" aca="1" ref="V34" ca="1">SUM(IF($AF$14:$BQ$14="O_Pos",AF34:BQ34))</f>
        <v>0</v>
      </c>
      <c r="W34" s="1278"/>
      <c r="X34" s="1280">
        <f t="shared" ref="X34:AA37" ca="1" si="339">OFFSET(Origine,MATCH($F34,Descrizioni,0),MATCH(X$14,Intestazioni,0)-1,1,1)</f>
        <v>0</v>
      </c>
      <c r="Y34" s="1280">
        <f t="shared" ca="1" si="339"/>
        <v>0</v>
      </c>
      <c r="Z34" s="1280">
        <f t="shared" ca="1" si="339"/>
        <v>0</v>
      </c>
      <c r="AA34" s="1281">
        <f t="shared" ca="1" si="339"/>
        <v>0</v>
      </c>
      <c r="AB34" s="299" t="str">
        <f t="shared" ref="AB34:AB37" ca="1" si="340">OFFSET(Origine,MATCH($F34,Descrizioni,0),MATCH(AB$14,Intestazioni,0)-1,1,1)</f>
        <v>CHF</v>
      </c>
      <c r="AC34" s="309">
        <f t="shared" ca="1" si="276"/>
        <v>0.98948749999999996</v>
      </c>
      <c r="AD34" s="1282">
        <f t="shared" ca="1" si="137"/>
        <v>6.1226207400000001E-3</v>
      </c>
      <c r="AE34" s="311">
        <f t="shared" ca="1" si="166"/>
        <v>1.0000001300000001</v>
      </c>
      <c r="AF34" s="214">
        <f>50000</f>
        <v>50000</v>
      </c>
      <c r="AG34" s="312">
        <f t="shared" ref="AG34" ca="1" si="341">IFERROR($AC34/AH34-1,"")</f>
        <v>4.8074886134943151E-2</v>
      </c>
      <c r="AH34" s="252">
        <v>0.94410000000000005</v>
      </c>
      <c r="AI34" s="199">
        <f t="shared" ca="1" si="281"/>
        <v>49474.375</v>
      </c>
      <c r="AJ34" s="199">
        <f t="shared" ca="1" si="282"/>
        <v>49474.381431668757</v>
      </c>
      <c r="AK34" s="216">
        <f t="shared" ca="1" si="283"/>
        <v>8.468502322988054E-3</v>
      </c>
      <c r="AL34" s="202">
        <f t="shared" ca="1" si="284"/>
        <v>-50000</v>
      </c>
      <c r="AM34" s="203">
        <f t="shared" ca="1" si="285"/>
        <v>-49474.375</v>
      </c>
      <c r="AN34" s="203">
        <f t="shared" ca="1" si="286"/>
        <v>-49474.381431668757</v>
      </c>
      <c r="AO34" s="204">
        <f t="shared" ca="1" si="287"/>
        <v>-8.468502322988054E-3</v>
      </c>
      <c r="AP34" s="205"/>
      <c r="AQ34" s="206">
        <f t="shared" ca="1" si="288"/>
        <v>0</v>
      </c>
      <c r="AR34" s="206">
        <f t="shared" ca="1" si="289"/>
        <v>0</v>
      </c>
      <c r="AS34" s="207">
        <f t="shared" ca="1" si="290"/>
        <v>0</v>
      </c>
      <c r="AT34" s="313">
        <f>AF34+AP34</f>
        <v>50000</v>
      </c>
      <c r="AU34" s="313">
        <f t="shared" ca="1" si="179"/>
        <v>49474.375</v>
      </c>
      <c r="AV34" s="313">
        <f t="shared" ca="1" si="292"/>
        <v>49474.381431668757</v>
      </c>
      <c r="AW34" s="314">
        <f t="shared" ca="1" si="293"/>
        <v>8.468502322988054E-3</v>
      </c>
      <c r="AX34" s="1007" t="str">
        <f t="shared" ca="1" si="13"/>
        <v>V</v>
      </c>
      <c r="AY34" s="1255"/>
      <c r="AZ34" s="312" t="str">
        <f t="shared" ref="AZ34" ca="1" si="342">IFERROR($AC34/BA34-1,"")</f>
        <v/>
      </c>
      <c r="BA34" s="252"/>
      <c r="BB34" s="199">
        <f t="shared" ca="1" si="294"/>
        <v>0</v>
      </c>
      <c r="BC34" s="199">
        <f t="shared" ca="1" si="295"/>
        <v>0</v>
      </c>
      <c r="BD34" s="216">
        <f t="shared" ca="1" si="296"/>
        <v>0</v>
      </c>
      <c r="BE34" s="202">
        <f t="shared" ca="1" si="297"/>
        <v>0</v>
      </c>
      <c r="BF34" s="203">
        <f t="shared" ca="1" si="298"/>
        <v>0</v>
      </c>
      <c r="BG34" s="203">
        <f t="shared" ca="1" si="299"/>
        <v>0</v>
      </c>
      <c r="BH34" s="204">
        <f t="shared" ca="1" si="300"/>
        <v>0</v>
      </c>
      <c r="BI34" s="1253"/>
      <c r="BJ34" s="206">
        <f t="shared" ca="1" si="301"/>
        <v>0</v>
      </c>
      <c r="BK34" s="206">
        <f t="shared" ca="1" si="302"/>
        <v>0</v>
      </c>
      <c r="BL34" s="207">
        <f t="shared" ca="1" si="303"/>
        <v>0</v>
      </c>
      <c r="BM34" s="313">
        <f>AY34+BI34</f>
        <v>0</v>
      </c>
      <c r="BN34" s="313">
        <f t="shared" ca="1" si="194"/>
        <v>0</v>
      </c>
      <c r="BO34" s="313">
        <f t="shared" ca="1" si="305"/>
        <v>0</v>
      </c>
      <c r="BP34" s="843">
        <f t="shared" ca="1" si="125"/>
        <v>0</v>
      </c>
      <c r="BQ34" s="1007" t="str">
        <f t="shared" ca="1" si="336"/>
        <v/>
      </c>
      <c r="BR34" s="1007"/>
    </row>
    <row r="35" spans="1:70" ht="13.5" customHeight="1" outlineLevel="1" x14ac:dyDescent="0.2">
      <c r="A35" s="299"/>
      <c r="B35" s="299"/>
      <c r="C35" s="299" t="str">
        <f t="shared" ca="1" si="127"/>
        <v>CH1137122771:CHF</v>
      </c>
      <c r="D35" s="300" t="str">
        <f t="shared" ca="1" si="128"/>
        <v>CH1137122771</v>
      </c>
      <c r="E35" s="301" t="str">
        <f t="shared" ca="1" si="128"/>
        <v>113712277</v>
      </c>
      <c r="F35" s="299" t="s">
        <v>873</v>
      </c>
      <c r="G35" s="316">
        <f t="shared" ca="1" si="129"/>
        <v>47406</v>
      </c>
      <c r="H35" s="1708" t="str">
        <f t="shared" ca="1" si="130"/>
        <v></v>
      </c>
      <c r="I35" s="1680" t="str">
        <f t="shared" ca="1" si="337"/>
        <v>i</v>
      </c>
      <c r="J35" s="1708" t="str">
        <f t="shared" ca="1" si="338"/>
        <v></v>
      </c>
      <c r="K35" s="1708" t="str">
        <f t="shared" ca="1" si="338"/>
        <v></v>
      </c>
      <c r="L35" s="1803" t="str">
        <f t="shared" ca="1" si="133"/>
        <v></v>
      </c>
      <c r="M35" s="298" t="str">
        <f t="shared" ca="1" si="134"/>
        <v>Pct</v>
      </c>
      <c r="N35" s="1015">
        <v>2.5000000000000001E-2</v>
      </c>
      <c r="O35" s="1278" cm="1">
        <f t="array" aca="1" ref="O35" ca="1">SUM(IF($AF$14:$BQ$14="I_ctrlv",AF35:BQ35))</f>
        <v>98895.846189458345</v>
      </c>
      <c r="P35" s="306">
        <f t="shared" ca="1" si="0"/>
        <v>1.5099186253291489E-2</v>
      </c>
      <c r="Q35" s="307">
        <f t="array" aca="1" ref="Q35" ca="1">SUM(IF($AF$14:$BQ$14="I_pos",AF35:BQ35))</f>
        <v>100000</v>
      </c>
      <c r="R35" s="307">
        <f t="array" aca="1" ref="R35" ca="1">SUM(IF($AF$14:$BQ$14="P_Pos",AF35:BQ35))</f>
        <v>65571.836658086249</v>
      </c>
      <c r="S35" s="1279"/>
      <c r="T35" s="307"/>
      <c r="U35" s="298"/>
      <c r="V35" s="307">
        <f t="array" aca="1" ref="V35" ca="1">SUM(IF($AF$14:$BQ$14="O_Pos",AF35:BQ35))</f>
        <v>0</v>
      </c>
      <c r="W35" s="1278"/>
      <c r="X35" s="1280">
        <f t="shared" ca="1" si="339"/>
        <v>0</v>
      </c>
      <c r="Y35" s="1280">
        <f t="shared" ca="1" si="339"/>
        <v>0</v>
      </c>
      <c r="Z35" s="1280">
        <f t="shared" ca="1" si="339"/>
        <v>0</v>
      </c>
      <c r="AA35" s="1281">
        <f t="shared" ca="1" si="339"/>
        <v>0</v>
      </c>
      <c r="AB35" s="299" t="str">
        <f t="shared" ca="1" si="340"/>
        <v>CHF</v>
      </c>
      <c r="AC35" s="309">
        <f t="shared" ca="1" si="276"/>
        <v>0.98895833333000005</v>
      </c>
      <c r="AD35" s="1282">
        <f t="shared" ca="1" si="137"/>
        <v>5.30272422E-3</v>
      </c>
      <c r="AE35" s="311">
        <f t="shared" ca="1" si="166"/>
        <v>1.0000001300000001</v>
      </c>
      <c r="AF35" s="214">
        <f>100000</f>
        <v>100000</v>
      </c>
      <c r="AG35" s="312">
        <f t="shared" ca="1" si="196"/>
        <v>0.123837998381787</v>
      </c>
      <c r="AH35" s="252">
        <v>0.87998299999999996</v>
      </c>
      <c r="AI35" s="199">
        <f t="shared" ca="1" si="223"/>
        <v>98895.833333000002</v>
      </c>
      <c r="AJ35" s="199">
        <f t="shared" ca="1" si="224"/>
        <v>98895.846189458345</v>
      </c>
      <c r="AK35" s="216">
        <f t="shared" ca="1" si="225"/>
        <v>1.6927946928371504E-2</v>
      </c>
      <c r="AL35" s="202">
        <f t="shared" ca="1" si="226"/>
        <v>47684.773031156008</v>
      </c>
      <c r="AM35" s="203">
        <f t="shared" ca="1" si="227"/>
        <v>47158.253662111383</v>
      </c>
      <c r="AN35" s="203">
        <f t="shared" ca="1" si="228"/>
        <v>47158.259792684366</v>
      </c>
      <c r="AO35" s="204">
        <f t="shared" ca="1" si="229"/>
        <v>8.0720530716284974E-3</v>
      </c>
      <c r="AP35" s="205"/>
      <c r="AQ35" s="206">
        <f t="shared" ca="1" si="230"/>
        <v>0</v>
      </c>
      <c r="AR35" s="206">
        <f t="shared" ca="1" si="231"/>
        <v>0</v>
      </c>
      <c r="AS35" s="207">
        <f t="shared" ca="1" si="232"/>
        <v>0</v>
      </c>
      <c r="AT35" s="313">
        <f>AF35+AP35</f>
        <v>100000</v>
      </c>
      <c r="AU35" s="313">
        <f t="shared" ca="1" si="179"/>
        <v>98895.833333000002</v>
      </c>
      <c r="AV35" s="313">
        <f t="shared" ca="1" si="233"/>
        <v>98895.846189458345</v>
      </c>
      <c r="AW35" s="314">
        <f t="shared" ca="1" si="234"/>
        <v>1.6927946928371504E-2</v>
      </c>
      <c r="AX35" s="1007" t="str">
        <f t="shared" ca="1" si="13"/>
        <v>V</v>
      </c>
      <c r="AY35" s="1255"/>
      <c r="AZ35" s="312" t="str">
        <f t="shared" ca="1" si="210"/>
        <v/>
      </c>
      <c r="BA35" s="252"/>
      <c r="BB35" s="199">
        <f t="shared" ca="1" si="235"/>
        <v>0</v>
      </c>
      <c r="BC35" s="199">
        <f t="shared" ca="1" si="236"/>
        <v>0</v>
      </c>
      <c r="BD35" s="216">
        <f t="shared" ca="1" si="237"/>
        <v>0</v>
      </c>
      <c r="BE35" s="202">
        <f t="shared" ca="1" si="238"/>
        <v>17887.063626930249</v>
      </c>
      <c r="BF35" s="203">
        <f t="shared" ca="1" si="239"/>
        <v>17689.560632656605</v>
      </c>
      <c r="BG35" s="203">
        <f t="shared" ca="1" si="240"/>
        <v>17689.56293229949</v>
      </c>
      <c r="BH35" s="204">
        <f t="shared" ca="1" si="241"/>
        <v>2.5000000000000001E-2</v>
      </c>
      <c r="BI35" s="1253"/>
      <c r="BJ35" s="206">
        <f t="shared" ca="1" si="242"/>
        <v>0</v>
      </c>
      <c r="BK35" s="206">
        <f t="shared" ca="1" si="243"/>
        <v>0</v>
      </c>
      <c r="BL35" s="207">
        <f t="shared" ca="1" si="244"/>
        <v>0</v>
      </c>
      <c r="BM35" s="313">
        <f>AY35+BI35</f>
        <v>0</v>
      </c>
      <c r="BN35" s="313">
        <f t="shared" ca="1" si="194"/>
        <v>0</v>
      </c>
      <c r="BO35" s="313">
        <f t="shared" ca="1" si="245"/>
        <v>0</v>
      </c>
      <c r="BP35" s="843">
        <f t="shared" ca="1" si="125"/>
        <v>0</v>
      </c>
      <c r="BQ35" s="1007" t="str">
        <f t="shared" ca="1" si="336"/>
        <v/>
      </c>
      <c r="BR35" s="1007"/>
    </row>
    <row r="36" spans="1:70" ht="13.5" customHeight="1" outlineLevel="1" x14ac:dyDescent="0.2">
      <c r="A36" s="299"/>
      <c r="B36" s="299"/>
      <c r="C36" s="299" t="str">
        <f t="shared" ca="1" si="127"/>
        <v>CH0506071361:CHF:P</v>
      </c>
      <c r="D36" s="300" t="str">
        <f t="shared" ca="1" si="128"/>
        <v>CH0506071361</v>
      </c>
      <c r="E36" s="301" t="str">
        <f t="shared" ca="1" si="128"/>
        <v>50607136</v>
      </c>
      <c r="F36" s="835" t="s">
        <v>874</v>
      </c>
      <c r="G36" s="316">
        <f t="shared" ca="1" si="129"/>
        <v>47883</v>
      </c>
      <c r="H36" s="1708" t="str">
        <f t="shared" ca="1" si="130"/>
        <v></v>
      </c>
      <c r="I36" s="1680" t="str">
        <f t="shared" ca="1" si="337"/>
        <v>i</v>
      </c>
      <c r="J36" s="1708" t="str">
        <f t="shared" ca="1" si="338"/>
        <v></v>
      </c>
      <c r="K36" s="1708" t="str">
        <f t="shared" ca="1" si="338"/>
        <v></v>
      </c>
      <c r="L36" s="1803" t="str">
        <f t="shared" ca="1" si="133"/>
        <v></v>
      </c>
      <c r="M36" s="298" t="str">
        <f t="shared" ca="1" si="134"/>
        <v>Pct</v>
      </c>
      <c r="N36" s="1015"/>
      <c r="O36" s="1278" cm="1">
        <f t="array" aca="1" ref="O36" ca="1">SUM(IF($AF$14:$BQ$14="I_ctrlv",AF36:BQ36))</f>
        <v>0</v>
      </c>
      <c r="P36" s="306">
        <f t="shared" ca="1" si="0"/>
        <v>0</v>
      </c>
      <c r="Q36" s="307">
        <f t="array" aca="1" ref="Q36" ca="1">SUM(IF($AF$14:$BQ$14="I_pos",AF36:BQ36))</f>
        <v>0</v>
      </c>
      <c r="R36" s="307">
        <f t="array" aca="1" ref="R36" ca="1">SUM(IF($AF$14:$BQ$14="P_Pos",AF36:BQ36))</f>
        <v>0</v>
      </c>
      <c r="S36" s="1283"/>
      <c r="T36" s="307"/>
      <c r="U36" s="298"/>
      <c r="V36" s="307">
        <f t="array" aca="1" ref="V36" ca="1">SUM(IF($AF$14:$BQ$14="O_Pos",AF36:BQ36))</f>
        <v>30000</v>
      </c>
      <c r="W36" s="1278"/>
      <c r="X36" s="1280">
        <f t="shared" ca="1" si="339"/>
        <v>0</v>
      </c>
      <c r="Y36" s="1280">
        <f t="shared" ca="1" si="339"/>
        <v>0</v>
      </c>
      <c r="Z36" s="1280">
        <f t="shared" ca="1" si="339"/>
        <v>0</v>
      </c>
      <c r="AA36" s="1281">
        <f t="shared" ca="1" si="339"/>
        <v>0</v>
      </c>
      <c r="AB36" s="299" t="str">
        <f t="shared" ca="1" si="340"/>
        <v>CHF</v>
      </c>
      <c r="AC36" s="309">
        <f t="shared" ca="1" si="276"/>
        <v>0.97316111111000003</v>
      </c>
      <c r="AD36" s="1282">
        <f t="shared" ca="1" si="137"/>
        <v>5.9346089699999997E-3</v>
      </c>
      <c r="AE36" s="311">
        <f t="shared" ref="AE36" ca="1" si="343">_xlfn.NUMBERVALUE(OFFSET(Origine,MATCH(AB36&amp;"/"&amp;MRif,LUKB_Name,0),MATCH("Price",Intestazioni,0)-1,1,1))</f>
        <v>1.0000001300000001</v>
      </c>
      <c r="AF36" s="214"/>
      <c r="AG36" s="312" t="str">
        <f t="shared" ref="AG36" ca="1" si="344">IFERROR($AC36/AH36-1,"")</f>
        <v/>
      </c>
      <c r="AH36" s="252"/>
      <c r="AI36" s="199">
        <f t="shared" ca="1" si="223"/>
        <v>0</v>
      </c>
      <c r="AJ36" s="199">
        <f t="shared" ca="1" si="224"/>
        <v>0</v>
      </c>
      <c r="AK36" s="216">
        <f t="shared" ca="1" si="225"/>
        <v>0</v>
      </c>
      <c r="AL36" s="202">
        <f t="shared" ca="1" si="226"/>
        <v>0</v>
      </c>
      <c r="AM36" s="203">
        <f t="shared" ca="1" si="227"/>
        <v>0</v>
      </c>
      <c r="AN36" s="203">
        <f t="shared" ca="1" si="228"/>
        <v>0</v>
      </c>
      <c r="AO36" s="204">
        <f t="shared" ca="1" si="229"/>
        <v>0</v>
      </c>
      <c r="AP36" s="205"/>
      <c r="AQ36" s="206">
        <f t="shared" ca="1" si="230"/>
        <v>0</v>
      </c>
      <c r="AR36" s="206">
        <f t="shared" ca="1" si="231"/>
        <v>0</v>
      </c>
      <c r="AS36" s="207">
        <f t="shared" ca="1" si="232"/>
        <v>0</v>
      </c>
      <c r="AT36" s="313">
        <f t="shared" ref="AT36" si="345">AF36+AP36</f>
        <v>0</v>
      </c>
      <c r="AU36" s="313">
        <f t="shared" ref="AU36" ca="1" si="346">AI36+IF($T36="",AQ36)</f>
        <v>0</v>
      </c>
      <c r="AV36" s="313">
        <f t="shared" ca="1" si="233"/>
        <v>0</v>
      </c>
      <c r="AW36" s="314">
        <f t="shared" ca="1" si="234"/>
        <v>0</v>
      </c>
      <c r="AX36" s="1007" t="str">
        <f t="shared" ca="1" si="13"/>
        <v/>
      </c>
      <c r="AY36" s="1255"/>
      <c r="AZ36" s="312" t="str">
        <f t="shared" ref="AZ36" ca="1" si="347">IFERROR($AC36/BA36-1,"")</f>
        <v/>
      </c>
      <c r="BA36" s="252"/>
      <c r="BB36" s="199">
        <f t="shared" ca="1" si="235"/>
        <v>0</v>
      </c>
      <c r="BC36" s="199">
        <f t="shared" ca="1" si="236"/>
        <v>0</v>
      </c>
      <c r="BD36" s="216">
        <f t="shared" ca="1" si="237"/>
        <v>0</v>
      </c>
      <c r="BE36" s="202">
        <f t="shared" ca="1" si="238"/>
        <v>0</v>
      </c>
      <c r="BF36" s="203">
        <f t="shared" ca="1" si="239"/>
        <v>0</v>
      </c>
      <c r="BG36" s="203">
        <f t="shared" ca="1" si="240"/>
        <v>0</v>
      </c>
      <c r="BH36" s="204">
        <f t="shared" ca="1" si="241"/>
        <v>0</v>
      </c>
      <c r="BI36" s="1253">
        <v>30000</v>
      </c>
      <c r="BJ36" s="206">
        <f t="shared" ca="1" si="242"/>
        <v>29194.833333300001</v>
      </c>
      <c r="BK36" s="206">
        <f t="shared" ca="1" si="243"/>
        <v>29194.837128628336</v>
      </c>
      <c r="BL36" s="207">
        <f t="shared" ca="1" si="244"/>
        <v>4.125997521866593E-2</v>
      </c>
      <c r="BM36" s="313">
        <f t="shared" ref="BM36" si="348">AY36+BI36</f>
        <v>30000</v>
      </c>
      <c r="BN36" s="313">
        <f t="shared" ref="BN36" ca="1" si="349">BB36+IF($T36="",BJ36)</f>
        <v>29194.833333300001</v>
      </c>
      <c r="BO36" s="313">
        <f t="shared" ca="1" si="245"/>
        <v>29194.837128628336</v>
      </c>
      <c r="BP36" s="843">
        <f t="shared" ca="1" si="125"/>
        <v>4.125997521866593E-2</v>
      </c>
      <c r="BQ36" s="1007" t="str">
        <f t="shared" ca="1" si="64"/>
        <v>V</v>
      </c>
      <c r="BR36" s="1007"/>
    </row>
    <row r="37" spans="1:70" ht="13.5" customHeight="1" outlineLevel="1" x14ac:dyDescent="0.2">
      <c r="A37" s="299"/>
      <c r="B37" s="299"/>
      <c r="C37" s="299" t="str">
        <f t="shared" ca="1" si="127"/>
        <v>CH1112246744:CHF</v>
      </c>
      <c r="D37" s="300" t="str">
        <f t="shared" ca="1" si="128"/>
        <v>CH1112246744</v>
      </c>
      <c r="E37" s="301" t="str">
        <f t="shared" ca="1" si="128"/>
        <v>111224674</v>
      </c>
      <c r="F37" s="835" t="s">
        <v>534</v>
      </c>
      <c r="G37" s="316">
        <f t="shared" ca="1" si="129"/>
        <v>47982</v>
      </c>
      <c r="H37" s="1708" t="str">
        <f t="shared" ca="1" si="130"/>
        <v></v>
      </c>
      <c r="I37" s="1680" t="str">
        <f t="shared" ca="1" si="337"/>
        <v>i</v>
      </c>
      <c r="J37" s="1708" t="str">
        <f t="shared" ca="1" si="338"/>
        <v></v>
      </c>
      <c r="K37" s="1708" t="str">
        <f t="shared" ca="1" si="338"/>
        <v></v>
      </c>
      <c r="L37" s="1803" t="str">
        <f t="shared" ca="1" si="133"/>
        <v></v>
      </c>
      <c r="M37" s="298" t="str">
        <f t="shared" ca="1" si="134"/>
        <v>Pct</v>
      </c>
      <c r="N37" s="1015"/>
      <c r="O37" s="1278" cm="1">
        <f t="array" aca="1" ref="O37" ca="1">SUM(IF($AF$14:$BQ$14="I_ctrlv",AF37:BQ37))</f>
        <v>0</v>
      </c>
      <c r="P37" s="306">
        <f t="shared" ca="1" si="0"/>
        <v>0</v>
      </c>
      <c r="Q37" s="307">
        <f t="array" aca="1" ref="Q37" ca="1">SUM(IF($AF$14:$BQ$14="I_pos",AF37:BQ37))</f>
        <v>0</v>
      </c>
      <c r="R37" s="307">
        <f t="array" aca="1" ref="R37" ca="1">SUM(IF($AF$14:$BQ$14="P_Pos",AF37:BQ37))</f>
        <v>0</v>
      </c>
      <c r="S37" s="1283"/>
      <c r="T37" s="307"/>
      <c r="U37" s="298"/>
      <c r="V37" s="307">
        <f t="array" aca="1" ref="V37" ca="1">SUM(IF($AF$14:$BQ$14="O_Pos",AF37:BQ37))</f>
        <v>30000</v>
      </c>
      <c r="W37" s="1278"/>
      <c r="X37" s="1280">
        <f t="shared" ca="1" si="339"/>
        <v>0</v>
      </c>
      <c r="Y37" s="1280">
        <f t="shared" ca="1" si="339"/>
        <v>0</v>
      </c>
      <c r="Z37" s="1280">
        <f t="shared" ca="1" si="339"/>
        <v>0</v>
      </c>
      <c r="AA37" s="1281">
        <f t="shared" ca="1" si="339"/>
        <v>0</v>
      </c>
      <c r="AB37" s="299" t="str">
        <f t="shared" ca="1" si="340"/>
        <v>CHF</v>
      </c>
      <c r="AC37" s="309">
        <f t="shared" ca="1" si="276"/>
        <v>0.99752430556000005</v>
      </c>
      <c r="AD37" s="1282">
        <f t="shared" ca="1" si="137"/>
        <v>1.023936839E-2</v>
      </c>
      <c r="AE37" s="311">
        <f t="shared" ca="1" si="166"/>
        <v>1.0000001300000001</v>
      </c>
      <c r="AF37" s="214"/>
      <c r="AG37" s="312" t="str">
        <f t="shared" ca="1" si="196"/>
        <v/>
      </c>
      <c r="AH37" s="252"/>
      <c r="AI37" s="199">
        <f t="shared" ref="AI37" ca="1" si="350">AF37*$AC37</f>
        <v>0</v>
      </c>
      <c r="AJ37" s="199">
        <f t="shared" ref="AJ37" ca="1" si="351">AI37*$AE37</f>
        <v>0</v>
      </c>
      <c r="AK37" s="216">
        <f t="shared" ref="AK37" ca="1" si="352">IFERROR(AJ37/AF$4,0)</f>
        <v>0</v>
      </c>
      <c r="AL37" s="202">
        <f t="shared" ref="AL37" ca="1" si="353">AM37/$AC37</f>
        <v>0</v>
      </c>
      <c r="AM37" s="203">
        <f t="shared" ref="AM37" ca="1" si="354">AN37/$AE37</f>
        <v>0</v>
      </c>
      <c r="AN37" s="203">
        <f t="shared" ref="AN37" ca="1" si="355">AO37*AF$4</f>
        <v>0</v>
      </c>
      <c r="AO37" s="204">
        <f t="shared" ref="AO37" ca="1" si="356">$N37-AK37</f>
        <v>0</v>
      </c>
      <c r="AP37" s="205"/>
      <c r="AQ37" s="206">
        <f t="shared" ref="AQ37" ca="1" si="357">AP37*$AC37</f>
        <v>0</v>
      </c>
      <c r="AR37" s="206">
        <f t="shared" ref="AR37" ca="1" si="358">AQ37*$AE37</f>
        <v>0</v>
      </c>
      <c r="AS37" s="207">
        <f t="shared" ref="AS37" ca="1" si="359">IFERROR(AR37/AF$4,0)</f>
        <v>0</v>
      </c>
      <c r="AT37" s="313">
        <f t="shared" ref="AT37" si="360">AF37+AP37</f>
        <v>0</v>
      </c>
      <c r="AU37" s="313">
        <f t="shared" ca="1" si="179"/>
        <v>0</v>
      </c>
      <c r="AV37" s="313">
        <f t="shared" ref="AV37" ca="1" si="361">AU37*$AE37</f>
        <v>0</v>
      </c>
      <c r="AW37" s="314">
        <f t="shared" ref="AW37" ca="1" si="362">IFERROR(AV37/AF$4,0)</f>
        <v>0</v>
      </c>
      <c r="AX37" s="1007" t="str">
        <f t="shared" ca="1" si="13"/>
        <v/>
      </c>
      <c r="AY37" s="1255"/>
      <c r="AZ37" s="312" t="str">
        <f t="shared" ca="1" si="210"/>
        <v/>
      </c>
      <c r="BA37" s="252"/>
      <c r="BB37" s="199">
        <f t="shared" ref="BB37" ca="1" si="363">AY37*$AC37</f>
        <v>0</v>
      </c>
      <c r="BC37" s="199">
        <f t="shared" ref="BC37" ca="1" si="364">BB37*$AE37</f>
        <v>0</v>
      </c>
      <c r="BD37" s="216">
        <f t="shared" ref="BD37" ca="1" si="365">IFERROR(BC37/AY$4,0)</f>
        <v>0</v>
      </c>
      <c r="BE37" s="202">
        <f t="shared" ref="BE37" ca="1" si="366">BF37/$AC37</f>
        <v>0</v>
      </c>
      <c r="BF37" s="203">
        <f t="shared" ref="BF37" ca="1" si="367">BG37/$AE37</f>
        <v>0</v>
      </c>
      <c r="BG37" s="203">
        <f t="shared" ref="BG37" ca="1" si="368">BH37*AY$4</f>
        <v>0</v>
      </c>
      <c r="BH37" s="204">
        <f t="shared" ref="BH37" ca="1" si="369">$N37-BD37</f>
        <v>0</v>
      </c>
      <c r="BI37" s="1253">
        <v>30000</v>
      </c>
      <c r="BJ37" s="206">
        <f t="shared" ref="BJ37" ca="1" si="370">BI37*$AC37</f>
        <v>29925.7291668</v>
      </c>
      <c r="BK37" s="206">
        <f t="shared" ref="BK37" ca="1" si="371">BJ37*$AE37</f>
        <v>29925.733057144793</v>
      </c>
      <c r="BL37" s="207">
        <f t="shared" ref="BL37" ca="1" si="372">IFERROR(BK37/AY$4,0)</f>
        <v>4.2292923193855733E-2</v>
      </c>
      <c r="BM37" s="313">
        <f t="shared" ref="BM37" si="373">AY37+BI37</f>
        <v>30000</v>
      </c>
      <c r="BN37" s="313">
        <f t="shared" ca="1" si="194"/>
        <v>29925.7291668</v>
      </c>
      <c r="BO37" s="313">
        <f t="shared" ref="BO37" ca="1" si="374">BN37*$AE37</f>
        <v>29925.733057144793</v>
      </c>
      <c r="BP37" s="843">
        <f t="shared" ca="1" si="125"/>
        <v>4.2292923193855733E-2</v>
      </c>
      <c r="BQ37" s="1007" t="str">
        <f t="shared" ca="1" si="64"/>
        <v>V</v>
      </c>
      <c r="BR37" s="1007"/>
    </row>
    <row r="38" spans="1:70" ht="13.5" customHeight="1" outlineLevel="1" x14ac:dyDescent="0.2">
      <c r="A38" s="299"/>
      <c r="B38" s="299"/>
      <c r="C38" s="299" t="str">
        <f ca="1">OFFSET(Origine,MATCH($F38,Descrizioni,0),MATCH(C$14,Intestazioni,0)-1,1,1)</f>
        <v>CH1148728129:CHF</v>
      </c>
      <c r="D38" s="300" t="str">
        <f ca="1">OFFSET(Origine,MATCH($F38,Descrizioni,0),MATCH(D$14,Intestazioni,0)-1,1,1)</f>
        <v>CH1148728129</v>
      </c>
      <c r="E38" s="301" t="str">
        <f ca="1">OFFSET(Origine,MATCH($F38,Descrizioni,0),MATCH(E$14,Intestazioni,0)-1,1,1)</f>
        <v>114872812</v>
      </c>
      <c r="F38" s="299" t="s">
        <v>374</v>
      </c>
      <c r="G38" s="316">
        <f ca="1">OFFSET(Origine,MATCH($F38,Descrizioni,0),MATCH(G$14,Intestazioni,0)-1,1,1)</f>
        <v>48234</v>
      </c>
      <c r="H38" s="1708" t="str">
        <f t="shared" ca="1" si="130"/>
        <v></v>
      </c>
      <c r="I38" s="1680" t="str">
        <f ca="1">HYPERLINK(OFFSET(Origine,MATCH($F38,Descrizioni,0),MATCH(I$14,Intestazioni,0)-1,1,1),"i")</f>
        <v>i</v>
      </c>
      <c r="J38" s="1708" t="str">
        <f ca="1">HYPERLINK(OFFSET(Origine,MATCH($F38,Descrizioni,0),MATCH(J$14,Intestazioni,0)-1,1,1),"")</f>
        <v></v>
      </c>
      <c r="K38" s="1709" t="str">
        <f ca="1">HYPERLINK(OFFSET(Origine,MATCH($F38,Descrizioni,0),MATCH(K$14,Intestazioni,0)-1,1,1),"")</f>
        <v></v>
      </c>
      <c r="L38" s="1710" t="str">
        <f ca="1">IFERROR(HYPERLINK("https://www.zonebourse.com/mods_a/charts/TV/inc_dyna_graph.php?c="&amp;OFFSET(Origine,MATCH($F38,Descrizioni,0),MATCH(L$14,Intestazioni,0)-1,1,1)&amp;"&amp;style=TradingView.CANDLES&amp;showAT=1",""),"")</f>
        <v></v>
      </c>
      <c r="M38" s="298" t="str">
        <f ca="1">(OFFSET(Origine,MATCH($F38,Descrizioni,0),MATCH(M$14,Intestazioni,0)-1,1,1))</f>
        <v>Pct</v>
      </c>
      <c r="N38" s="1015"/>
      <c r="O38" s="1278" cm="1">
        <f t="array" aca="1" ref="O38" ca="1">SUM(IF($AF$14:$BQ$14="I_ctrlv",AF38:BQ38))</f>
        <v>49799.589807445846</v>
      </c>
      <c r="P38" s="306">
        <f t="shared" ca="1" si="0"/>
        <v>7.6032847769929137E-3</v>
      </c>
      <c r="Q38" s="307">
        <f t="array" aca="1" ref="Q38" ca="1">SUM(IF($AF$14:$BQ$14="I_pos",AF38:BQ38))</f>
        <v>50000</v>
      </c>
      <c r="R38" s="307">
        <f t="array" aca="1" ref="R38" ca="1">SUM(IF($AF$14:$BQ$14="P_Pos",AF38:BQ38))</f>
        <v>-50000</v>
      </c>
      <c r="S38" s="1284"/>
      <c r="T38" s="307"/>
      <c r="U38" s="298"/>
      <c r="V38" s="307">
        <f t="array" aca="1" ref="V38" ca="1">SUM(IF($AF$14:$BQ$14="O_Pos",AF38:BQ38))</f>
        <v>30000</v>
      </c>
      <c r="W38" s="1278"/>
      <c r="X38" s="1280">
        <f ca="1">OFFSET(Origine,MATCH($F38,Descrizioni,0),MATCH(X$14,Intestazioni,0)-1,1,1)</f>
        <v>0</v>
      </c>
      <c r="Y38" s="1280">
        <f ca="1">OFFSET(Origine,MATCH($F38,Descrizioni,0),MATCH(Y$14,Intestazioni,0)-1,1,1)</f>
        <v>0</v>
      </c>
      <c r="Z38" s="1280">
        <f ca="1">OFFSET(Origine,MATCH($F38,Descrizioni,0),MATCH(Z$14,Intestazioni,0)-1,1,1)</f>
        <v>0</v>
      </c>
      <c r="AA38" s="1281">
        <f ca="1">OFFSET(Origine,MATCH($F38,Descrizioni,0),MATCH(AA$14,Intestazioni,0)-1,1,1)</f>
        <v>0</v>
      </c>
      <c r="AB38" s="299" t="str">
        <f ca="1">OFFSET(Origine,MATCH($F38,Descrizioni,0),MATCH(AB$14,Intestazioni,0)-1,1,1)</f>
        <v>CHF</v>
      </c>
      <c r="AC38" s="1285">
        <f t="shared" ca="1" si="276"/>
        <v>0.99599166667000005</v>
      </c>
      <c r="AD38" s="1282">
        <f ca="1">_xlfn.NUMBERVALUE(OFFSET(Origine,MATCH($F38,Descrizioni,0),MATCH(AD$14,Intestazioni,0)-1,1,1))</f>
        <v>8.9377875499999995E-3</v>
      </c>
      <c r="AE38" s="311">
        <f t="shared" ref="AE38" ca="1" si="375">_xlfn.NUMBERVALUE(OFFSET(Origine,MATCH(AB38&amp;"/"&amp;MRif,LUKB_Name,0),MATCH("Price",Intestazioni,0)-1,1,1))</f>
        <v>1.0000001300000001</v>
      </c>
      <c r="AF38" s="214">
        <v>50000</v>
      </c>
      <c r="AG38" s="312">
        <f ca="1">IFERROR($AC38/AH38-1,"")</f>
        <v>6.9676136588818771E-3</v>
      </c>
      <c r="AH38" s="395">
        <v>0.98909999999999998</v>
      </c>
      <c r="AI38" s="199">
        <f ca="1">AF38*$AC38</f>
        <v>49799.583333500006</v>
      </c>
      <c r="AJ38" s="199">
        <f ca="1">AI38*$AE38</f>
        <v>49799.589807445846</v>
      </c>
      <c r="AK38" s="216">
        <f ca="1">IFERROR(AJ38/AF$4,0)</f>
        <v>8.5241680595981653E-3</v>
      </c>
      <c r="AL38" s="202">
        <f ca="1">AM38/$AC38</f>
        <v>-50000</v>
      </c>
      <c r="AM38" s="203">
        <f ca="1">AN38/$AE38</f>
        <v>-49799.583333500006</v>
      </c>
      <c r="AN38" s="203">
        <f ca="1">AO38*AF$4</f>
        <v>-49799.589807445846</v>
      </c>
      <c r="AO38" s="204">
        <f ca="1">$N38-AK38</f>
        <v>-8.5241680595981653E-3</v>
      </c>
      <c r="AP38" s="205"/>
      <c r="AQ38" s="206">
        <f ca="1">AP38*$AC38</f>
        <v>0</v>
      </c>
      <c r="AR38" s="206">
        <f ca="1">AQ38*$AE38</f>
        <v>0</v>
      </c>
      <c r="AS38" s="207">
        <f ca="1">IFERROR(AR38/AF$4,0)</f>
        <v>0</v>
      </c>
      <c r="AT38" s="313">
        <f t="shared" ref="AT38" si="376">AF38+AP38</f>
        <v>50000</v>
      </c>
      <c r="AU38" s="313">
        <f ca="1">AI38+IF($T38="",AQ38)</f>
        <v>49799.583333500006</v>
      </c>
      <c r="AV38" s="313">
        <f ca="1">AU38*$AE38</f>
        <v>49799.589807445846</v>
      </c>
      <c r="AW38" s="314">
        <f ca="1">IFERROR(AV38/AF$4,0)</f>
        <v>8.5241680595981653E-3</v>
      </c>
      <c r="AX38" s="1007" t="str">
        <f t="shared" ca="1" si="13"/>
        <v>V</v>
      </c>
      <c r="AY38" s="1255"/>
      <c r="AZ38" s="312" t="str">
        <f ca="1">IFERROR($AC38/BA38-1,"")</f>
        <v/>
      </c>
      <c r="BA38" s="395"/>
      <c r="BB38" s="199">
        <f ca="1">AY38*$AC38</f>
        <v>0</v>
      </c>
      <c r="BC38" s="199">
        <f ca="1">BB38*$AE38</f>
        <v>0</v>
      </c>
      <c r="BD38" s="216">
        <f ca="1">IFERROR(BC38/AY$4,0)</f>
        <v>0</v>
      </c>
      <c r="BE38" s="202">
        <f ca="1">BF38/$AC38</f>
        <v>0</v>
      </c>
      <c r="BF38" s="203">
        <f ca="1">BG38/$AE38</f>
        <v>0</v>
      </c>
      <c r="BG38" s="203">
        <f ca="1">BH38*AY$4</f>
        <v>0</v>
      </c>
      <c r="BH38" s="204">
        <f ca="1">$N38-BD38</f>
        <v>0</v>
      </c>
      <c r="BI38" s="1253">
        <v>30000</v>
      </c>
      <c r="BJ38" s="206">
        <f ca="1">BI38*$AC38</f>
        <v>29879.750000100001</v>
      </c>
      <c r="BK38" s="206">
        <f ca="1">BJ38*$AE38</f>
        <v>29879.753884467504</v>
      </c>
      <c r="BL38" s="207">
        <f ca="1">IFERROR(BK38/AY$4,0)</f>
        <v>4.2227942542760431E-2</v>
      </c>
      <c r="BM38" s="313">
        <f t="shared" ref="BM38" si="377">AY38+BI38</f>
        <v>30000</v>
      </c>
      <c r="BN38" s="313">
        <f ca="1">BB38+IF($T38="",BJ38)</f>
        <v>29879.750000100001</v>
      </c>
      <c r="BO38" s="313">
        <f ca="1">BN38*$AE38</f>
        <v>29879.753884467504</v>
      </c>
      <c r="BP38" s="843">
        <f t="shared" ca="1" si="125"/>
        <v>4.2227942542760431E-2</v>
      </c>
      <c r="BQ38" s="1007" t="str">
        <f ca="1">IF(OR(BD38&lt;&gt;0,BL38&lt;&gt;0),"V","")</f>
        <v>V</v>
      </c>
      <c r="BR38" s="1007"/>
    </row>
    <row r="39" spans="1:70" ht="13.5" customHeight="1" outlineLevel="1" x14ac:dyDescent="0.2">
      <c r="A39" s="299"/>
      <c r="B39" s="299"/>
      <c r="C39" s="299" t="s">
        <v>875</v>
      </c>
      <c r="D39" s="300">
        <v>0</v>
      </c>
      <c r="E39" s="301">
        <v>0</v>
      </c>
      <c r="F39" s="835" t="s">
        <v>876</v>
      </c>
      <c r="G39" s="316" t="s">
        <v>877</v>
      </c>
      <c r="H39" s="1708" t="s">
        <v>879</v>
      </c>
      <c r="I39" s="1680" t="s">
        <v>878</v>
      </c>
      <c r="J39" s="1708" t="s">
        <v>879</v>
      </c>
      <c r="K39" s="1801" t="s">
        <v>879</v>
      </c>
      <c r="L39" s="1802" t="s">
        <v>880</v>
      </c>
      <c r="M39" s="298" t="s">
        <v>881</v>
      </c>
      <c r="N39" s="1015"/>
      <c r="O39" s="1286">
        <v>5.0000005500000005E-3</v>
      </c>
      <c r="P39" s="306">
        <v>9.2467823083762525E-10</v>
      </c>
      <c r="Q39" s="1114">
        <v>50000</v>
      </c>
      <c r="R39" s="1114"/>
      <c r="S39" s="1283"/>
      <c r="T39" s="1114"/>
      <c r="U39" s="298"/>
      <c r="V39" s="1114">
        <v>0</v>
      </c>
      <c r="W39" s="1286"/>
      <c r="X39" s="1287">
        <v>0</v>
      </c>
      <c r="Y39" s="1287">
        <v>0</v>
      </c>
      <c r="Z39" s="1287">
        <v>0</v>
      </c>
      <c r="AA39" s="1281">
        <v>0</v>
      </c>
      <c r="AB39" s="299" t="s">
        <v>369</v>
      </c>
      <c r="AC39" s="1288">
        <v>0</v>
      </c>
      <c r="AD39" s="1289">
        <v>0</v>
      </c>
      <c r="AE39" s="311">
        <v>1.00000011</v>
      </c>
      <c r="AF39" s="214"/>
      <c r="AG39" s="379" t="s">
        <v>877</v>
      </c>
      <c r="AH39" s="1290"/>
      <c r="AI39" s="381">
        <v>0</v>
      </c>
      <c r="AJ39" s="381">
        <v>0</v>
      </c>
      <c r="AK39" s="382">
        <v>0</v>
      </c>
      <c r="AL39" s="202">
        <v>0</v>
      </c>
      <c r="AM39" s="383">
        <v>0</v>
      </c>
      <c r="AN39" s="383">
        <v>0</v>
      </c>
      <c r="AO39" s="204">
        <v>0</v>
      </c>
      <c r="AP39" s="205"/>
      <c r="AQ39" s="384">
        <v>0</v>
      </c>
      <c r="AR39" s="384">
        <v>0</v>
      </c>
      <c r="AS39" s="207">
        <v>0</v>
      </c>
      <c r="AT39" s="1120">
        <v>0</v>
      </c>
      <c r="AU39" s="1120">
        <v>0</v>
      </c>
      <c r="AV39" s="1120">
        <v>0</v>
      </c>
      <c r="AW39" s="1291">
        <v>0</v>
      </c>
      <c r="AX39" s="1007" t="str">
        <f t="shared" si="13"/>
        <v/>
      </c>
      <c r="AY39" s="1255"/>
      <c r="AZ39" s="379" t="s">
        <v>877</v>
      </c>
      <c r="BA39" s="1290"/>
      <c r="BB39" s="381">
        <v>5.0000000000000001E-3</v>
      </c>
      <c r="BC39" s="381">
        <v>5.0000005500000005E-3</v>
      </c>
      <c r="BD39" s="382">
        <v>7.3416954067900653E-9</v>
      </c>
      <c r="BE39" s="202">
        <v>-50000</v>
      </c>
      <c r="BF39" s="383">
        <v>-5.0000000000000001E-3</v>
      </c>
      <c r="BG39" s="383">
        <v>-5.0000005500000005E-3</v>
      </c>
      <c r="BH39" s="204">
        <v>-7.3416954067900653E-9</v>
      </c>
      <c r="BI39" s="1253"/>
      <c r="BJ39" s="384">
        <v>0</v>
      </c>
      <c r="BK39" s="384">
        <v>0</v>
      </c>
      <c r="BL39" s="207">
        <v>0</v>
      </c>
      <c r="BM39" s="1120">
        <v>50000</v>
      </c>
      <c r="BN39" s="1120">
        <v>5.0000000000000001E-3</v>
      </c>
      <c r="BO39" s="1120">
        <v>5.0000005500000005E-3</v>
      </c>
      <c r="BP39" s="843">
        <v>7.3416954067900653E-9</v>
      </c>
      <c r="BQ39" s="1121" t="s">
        <v>718</v>
      </c>
      <c r="BR39" s="1121"/>
    </row>
    <row r="40" spans="1:70" ht="13.5" customHeight="1" outlineLevel="1" x14ac:dyDescent="0.2">
      <c r="A40" s="299"/>
      <c r="B40" s="299"/>
      <c r="C40" s="299" t="str">
        <f ca="1">OFFSET(Origine,MATCH($F40,Descrizioni,0),MATCH(C$14,Intestazioni,0)-1,1,1)</f>
        <v>XS2374594823:EUR</v>
      </c>
      <c r="D40" s="300" t="str">
        <f ca="1">OFFSET(Origine,MATCH($F40,Descrizioni,0),MATCH(D$14,Intestazioni,0)-1,1,1)</f>
        <v>XS2374594823</v>
      </c>
      <c r="E40" s="301" t="str">
        <f ca="1">OFFSET(Origine,MATCH($F40,Descrizioni,0),MATCH(E$14,Intestazioni,0)-1,1,1)</f>
        <v>113081936</v>
      </c>
      <c r="F40" s="299" t="s">
        <v>471</v>
      </c>
      <c r="G40" s="316">
        <f ca="1">OFFSET(Origine,MATCH($F40,Descrizioni,0),MATCH(G$14,Intestazioni,0)-1,1,1)</f>
        <v>47526</v>
      </c>
      <c r="H40" s="1708" t="str">
        <f t="shared" ref="H40:H45" ca="1" si="378">HYPERLINK(OFFSET(Origine,MATCH($F40,Descrizioni,0),MATCH(H$14,Intestazioni,0)-1,1,1),"")</f>
        <v></v>
      </c>
      <c r="I40" s="1680" t="str">
        <f ca="1">HYPERLINK(OFFSET(Origine,MATCH($F40,Descrizioni,0),MATCH(I$14,Intestazioni,0)-1,1,1),"i")</f>
        <v>i</v>
      </c>
      <c r="J40" s="1708" t="str">
        <f t="shared" ref="J40:K42" ca="1" si="379">HYPERLINK(OFFSET(Origine,MATCH($F40,Descrizioni,0),MATCH(J$14,Intestazioni,0)-1,1,1),"")</f>
        <v></v>
      </c>
      <c r="K40" s="1709" t="str">
        <f t="shared" ca="1" si="379"/>
        <v></v>
      </c>
      <c r="L40" s="1710" t="str">
        <f ca="1">IFERROR(HYPERLINK("https://www.zonebourse.com/mods_a/charts/TV/inc_dyna_graph.php?c="&amp;OFFSET(Origine,MATCH($F40,Descrizioni,0),MATCH(L$14,Intestazioni,0)-1,1,1)&amp;"&amp;style=TradingView.CANDLES&amp;showAT=1",""),"")</f>
        <v></v>
      </c>
      <c r="M40" s="298" t="str">
        <f ca="1">(OFFSET(Origine,MATCH($F40,Descrizioni,0),MATCH(M$14,Intestazioni,0)-1,1,1))</f>
        <v>Pct</v>
      </c>
      <c r="N40" s="1015"/>
      <c r="O40" s="1278" cm="1">
        <f t="array" aca="1" ref="O40" ca="1">SUM(IF($AF$14:$BQ$14="I_ctrlv",AF40:BQ40))</f>
        <v>32623.344289334957</v>
      </c>
      <c r="P40" s="306">
        <f ca="1">SUMIF($AF$14:$BQ$14,"I_Ctrlv",$AF40:$BQ40)/$P$4</f>
        <v>4.9808558256962286E-3</v>
      </c>
      <c r="Q40" s="307">
        <f t="array" aca="1" ref="Q40" ca="1">SUM(IF($AF$14:$BQ$14="I_pos",AF40:BQ40))</f>
        <v>40000</v>
      </c>
      <c r="R40" s="307">
        <f t="array" aca="1" ref="R40" ca="1">SUM(IF($AF$14:$BQ$14="P_Pos",AF40:BQ40))</f>
        <v>-40000</v>
      </c>
      <c r="S40" s="1284"/>
      <c r="T40" s="307"/>
      <c r="U40" s="298"/>
      <c r="V40" s="307">
        <f t="array" aca="1" ref="V40" ca="1">SUM(IF($AF$14:$BQ$14="O_Pos",AF40:BQ40))</f>
        <v>0</v>
      </c>
      <c r="W40" s="1278"/>
      <c r="X40" s="1280">
        <f ca="1">OFFSET(Origine,MATCH($F40,Descrizioni,0),MATCH(X$14,Intestazioni,0)-1,1,1)</f>
        <v>0</v>
      </c>
      <c r="Y40" s="1280">
        <f ca="1">OFFSET(Origine,MATCH($F40,Descrizioni,0),MATCH(Y$14,Intestazioni,0)-1,1,1)</f>
        <v>0</v>
      </c>
      <c r="Z40" s="1280">
        <f ca="1">OFFSET(Origine,MATCH($F40,Descrizioni,0),MATCH(Z$14,Intestazioni,0)-1,1,1)</f>
        <v>0</v>
      </c>
      <c r="AA40" s="1281">
        <f ca="1">OFFSET(Origine,MATCH($F40,Descrizioni,0),MATCH(AA$14,Intestazioni,0)-1,1,1)</f>
        <v>0</v>
      </c>
      <c r="AB40" s="299" t="str">
        <f ca="1">OFFSET(Origine,MATCH($F40,Descrizioni,0),MATCH(AB$14,Intestazioni,0)-1,1,1)</f>
        <v>EUR</v>
      </c>
      <c r="AC40" s="1285">
        <f ca="1">_xlfn.NUMBERVALUE(OFFSET(Origine,MATCH($F40,Descrizioni,0),MATCH(AC$14,Intestazioni,0)-1,1,1))</f>
        <v>0.89866520547999995</v>
      </c>
      <c r="AD40" s="1282">
        <f ca="1">_xlfn.NUMBERVALUE(OFFSET(Origine,MATCH($F40,Descrizioni,0),MATCH(AD$14,Intestazioni,0)-1,1,1))</f>
        <v>3.0508417100000001E-2</v>
      </c>
      <c r="AE40" s="311">
        <f t="shared" ref="AE40" ca="1" si="380">_xlfn.NUMBERVALUE(OFFSET(Origine,MATCH(AB40&amp;"/"&amp;MRif,LUKB_Name,0),MATCH("Price",Intestazioni,0)-1,1,1))</f>
        <v>0.90754999999999997</v>
      </c>
      <c r="AF40" s="214">
        <f>40000</f>
        <v>40000</v>
      </c>
      <c r="AG40" s="312">
        <f ca="1">IFERROR($AC40/AH40-1,"")</f>
        <v>5.2239570844798244E-2</v>
      </c>
      <c r="AH40" s="252">
        <v>0.85404999999999998</v>
      </c>
      <c r="AI40" s="199">
        <f ca="1">AF40*$AC40</f>
        <v>35946.608219199996</v>
      </c>
      <c r="AJ40" s="199">
        <f ca="1">AI40*$AE40</f>
        <v>32623.344289334957</v>
      </c>
      <c r="AK40" s="216">
        <f ca="1">IFERROR(AJ40/AF$4,0)</f>
        <v>5.5841196777657942E-3</v>
      </c>
      <c r="AL40" s="202">
        <f ca="1">AM40/$AC40</f>
        <v>-40000</v>
      </c>
      <c r="AM40" s="203">
        <f ca="1">AN40/$AE40</f>
        <v>-35946.608219199996</v>
      </c>
      <c r="AN40" s="203">
        <f ca="1">AO40*AF$4</f>
        <v>-32623.344289334957</v>
      </c>
      <c r="AO40" s="204">
        <f ca="1">$N40-AK40</f>
        <v>-5.5841196777657942E-3</v>
      </c>
      <c r="AP40" s="205"/>
      <c r="AQ40" s="206">
        <f ca="1">AP40*$AC40</f>
        <v>0</v>
      </c>
      <c r="AR40" s="206">
        <f ca="1">AQ40*$AE40</f>
        <v>0</v>
      </c>
      <c r="AS40" s="207">
        <f ca="1">IFERROR(AR40/AF$4,0)</f>
        <v>0</v>
      </c>
      <c r="AT40" s="313">
        <f t="shared" ref="AT40" si="381">AF40+AP40</f>
        <v>40000</v>
      </c>
      <c r="AU40" s="313">
        <f ca="1">AI40+IF($T40="",AQ40)</f>
        <v>35946.608219199996</v>
      </c>
      <c r="AV40" s="313">
        <f ca="1">AU40*$AE40</f>
        <v>32623.344289334957</v>
      </c>
      <c r="AW40" s="314">
        <f ca="1">IFERROR(AV40/AF$4,0)</f>
        <v>5.5841196777657942E-3</v>
      </c>
      <c r="AX40" s="1007" t="str">
        <f ca="1">IF(OR(AK40&lt;&gt;0,AS40&lt;&gt;0),"V","")</f>
        <v>V</v>
      </c>
      <c r="AY40" s="1255"/>
      <c r="AZ40" s="312" t="str">
        <f ca="1">IFERROR($AC40/BA40-1,"")</f>
        <v/>
      </c>
      <c r="BA40" s="395"/>
      <c r="BB40" s="199">
        <f ca="1">AY40*$AC40</f>
        <v>0</v>
      </c>
      <c r="BC40" s="199">
        <f ca="1">BB40*$AE40</f>
        <v>0</v>
      </c>
      <c r="BD40" s="216">
        <f ca="1">IFERROR(BC40/AY$4,0)</f>
        <v>0</v>
      </c>
      <c r="BE40" s="202">
        <f ca="1">BF40/$AC40</f>
        <v>0</v>
      </c>
      <c r="BF40" s="203">
        <f ca="1">BG40/$AE40</f>
        <v>0</v>
      </c>
      <c r="BG40" s="203">
        <f ca="1">BH40*AY$4</f>
        <v>0</v>
      </c>
      <c r="BH40" s="204">
        <f ca="1">$N40-BD40</f>
        <v>0</v>
      </c>
      <c r="BI40" s="1253"/>
      <c r="BJ40" s="206">
        <f ca="1">BI40*$AC40</f>
        <v>0</v>
      </c>
      <c r="BK40" s="206">
        <f ca="1">BJ40*$AE40</f>
        <v>0</v>
      </c>
      <c r="BL40" s="207">
        <f ca="1">IFERROR(BK40/AY$4,0)</f>
        <v>0</v>
      </c>
      <c r="BM40" s="313">
        <f t="shared" ref="BM40" si="382">AY40+BI40</f>
        <v>0</v>
      </c>
      <c r="BN40" s="313">
        <f ca="1">BB40+IF($T40="",BJ40)</f>
        <v>0</v>
      </c>
      <c r="BO40" s="313">
        <f ca="1">BN40*$AE40</f>
        <v>0</v>
      </c>
      <c r="BP40" s="843">
        <f ca="1">IFERROR(BO40/AY$4,0)</f>
        <v>0</v>
      </c>
      <c r="BQ40" s="1007" t="str">
        <f ca="1">IF(OR(BD40&lt;&gt;0,BL40&lt;&gt;0),"V","")</f>
        <v/>
      </c>
      <c r="BR40" s="1007"/>
    </row>
    <row r="41" spans="1:70" ht="13.5" customHeight="1" outlineLevel="1" x14ac:dyDescent="0.2">
      <c r="A41" s="299"/>
      <c r="B41" s="299"/>
      <c r="C41" s="299" t="str">
        <f t="shared" ca="1" si="127"/>
        <v>US683234AT57:USD</v>
      </c>
      <c r="D41" s="300" t="str">
        <f t="shared" ca="1" si="128"/>
        <v>US683234AT57</v>
      </c>
      <c r="E41" s="301" t="str">
        <f t="shared" ca="1" si="128"/>
        <v>111006659</v>
      </c>
      <c r="F41" s="835" t="s">
        <v>882</v>
      </c>
      <c r="G41" s="316">
        <f t="shared" ca="1" si="129"/>
        <v>46126</v>
      </c>
      <c r="H41" s="1708" t="str">
        <f t="shared" ca="1" si="378"/>
        <v></v>
      </c>
      <c r="I41" s="1680" t="str">
        <f t="shared" ref="I41:I43" ca="1" si="383">HYPERLINK(OFFSET(Origine,MATCH($F41,Descrizioni,0),MATCH(I$14,Intestazioni,0)-1,1,1),"i")</f>
        <v>i</v>
      </c>
      <c r="J41" s="1708" t="str">
        <f t="shared" ca="1" si="379"/>
        <v></v>
      </c>
      <c r="K41" s="1709" t="str">
        <f t="shared" ca="1" si="379"/>
        <v></v>
      </c>
      <c r="L41" s="1710" t="str">
        <f ca="1">IFERROR(HYPERLINK("https://www.zonebourse.com/mods_a/charts/TV/inc_dyna_graph.php?c="&amp;OFFSET(Origine,MATCH($F41,Descrizioni,0),MATCH(L$14,Intestazioni,0)-1,1,1)&amp;"&amp;style=TradingView.CANDLES&amp;showAT=1",""),"")</f>
        <v></v>
      </c>
      <c r="M41" s="298" t="str">
        <f ca="1">(OFFSET(Origine,MATCH($F41,Descrizioni,0),MATCH(M$14,Intestazioni,0)-1,1,1))</f>
        <v>Pct</v>
      </c>
      <c r="N41" s="1015"/>
      <c r="O41" s="1278" cm="1">
        <f t="array" aca="1" ref="O41" ca="1">SUM(IF($AF$14:$BQ$14="I_ctrlv",AF41:BQ41))</f>
        <v>23488.483856328225</v>
      </c>
      <c r="P41" s="306">
        <f t="shared" ref="P41:P78" ca="1" si="384">SUMIF($AF$14:$BQ$14,"I_Ctrlv",$AF41:$BQ41)/$P$4</f>
        <v>3.5861667220552515E-3</v>
      </c>
      <c r="Q41" s="307">
        <f t="array" aca="1" ref="Q41" ca="1">SUM(IF($AF$14:$BQ$14="I_pos",AF41:BQ41))</f>
        <v>30000</v>
      </c>
      <c r="R41" s="307">
        <f t="array" aca="1" ref="R41" ca="1">SUM(IF($AF$14:$BQ$14="P_Pos",AF41:BQ41))</f>
        <v>-30000</v>
      </c>
      <c r="S41" s="1292"/>
      <c r="T41" s="307"/>
      <c r="U41" s="298"/>
      <c r="V41" s="307">
        <f t="array" aca="1" ref="V41" ca="1">SUM(IF($AF$14:$BQ$14="O_Pos",AF41:BQ41))</f>
        <v>0</v>
      </c>
      <c r="W41" s="1278"/>
      <c r="X41" s="1280">
        <f t="shared" ref="X41:AB42" ca="1" si="385">OFFSET(Origine,MATCH($F41,Descrizioni,0),MATCH(X$14,Intestazioni,0)-1,1,1)</f>
        <v>0</v>
      </c>
      <c r="Y41" s="1280">
        <f t="shared" ca="1" si="385"/>
        <v>0</v>
      </c>
      <c r="Z41" s="1280">
        <f t="shared" ca="1" si="385"/>
        <v>0</v>
      </c>
      <c r="AA41" s="1281">
        <f t="shared" ca="1" si="385"/>
        <v>0</v>
      </c>
      <c r="AB41" s="299" t="str">
        <f t="shared" ca="1" si="385"/>
        <v>USD</v>
      </c>
      <c r="AC41" s="309">
        <f ca="1">_xlfn.NUMBERVALUE(OFFSET(Origine,MATCH($F41,Descrizioni,0),MATCH(AC$14,Intestazioni,0)-1,1,1))</f>
        <v>1.00089416667</v>
      </c>
      <c r="AD41" s="1282">
        <f ca="1">_xlfn.NUMBERVALUE(OFFSET(Origine,MATCH($F41,Descrizioni,0),MATCH(AD$14,Intestazioni,0)-1,1,1))</f>
        <v>4.0835644169999998E-2</v>
      </c>
      <c r="AE41" s="311">
        <f t="shared" ca="1" si="166"/>
        <v>0.78225</v>
      </c>
      <c r="AF41" s="214"/>
      <c r="AG41" s="312" t="str">
        <f ca="1">IFERROR($AC41/AH41-1,"")</f>
        <v/>
      </c>
      <c r="AH41" s="252"/>
      <c r="AI41" s="199">
        <f t="shared" ref="AI41:AI43" ca="1" si="386">AF41*$AC41</f>
        <v>0</v>
      </c>
      <c r="AJ41" s="199">
        <f t="shared" ref="AJ41:AJ43" ca="1" si="387">AI41*$AE41</f>
        <v>0</v>
      </c>
      <c r="AK41" s="216">
        <f t="shared" ref="AK41:AK43" ca="1" si="388">IFERROR(AJ41/AF$4,0)</f>
        <v>0</v>
      </c>
      <c r="AL41" s="202">
        <f t="shared" ref="AL41:AL43" ca="1" si="389">AM41/$AC41</f>
        <v>0</v>
      </c>
      <c r="AM41" s="203">
        <f t="shared" ref="AM41:AM43" ca="1" si="390">AN41/$AE41</f>
        <v>0</v>
      </c>
      <c r="AN41" s="203">
        <f ca="1">AO41*AF$4</f>
        <v>0</v>
      </c>
      <c r="AO41" s="204">
        <f t="shared" ref="AO41:AO43" ca="1" si="391">$N41-AK41</f>
        <v>0</v>
      </c>
      <c r="AP41" s="205"/>
      <c r="AQ41" s="206">
        <f t="shared" ref="AQ41:AQ43" ca="1" si="392">AP41*$AC41</f>
        <v>0</v>
      </c>
      <c r="AR41" s="206">
        <f t="shared" ref="AR41:AR43" ca="1" si="393">AQ41*$AE41</f>
        <v>0</v>
      </c>
      <c r="AS41" s="207">
        <f t="shared" ref="AS41:AS43" ca="1" si="394">IFERROR(AR41/AF$4,0)</f>
        <v>0</v>
      </c>
      <c r="AT41" s="313">
        <f t="shared" ref="AT41" si="395">AF41+AP41</f>
        <v>0</v>
      </c>
      <c r="AU41" s="313">
        <f t="shared" ca="1" si="179"/>
        <v>0</v>
      </c>
      <c r="AV41" s="313">
        <f t="shared" ref="AV41:AV43" ca="1" si="396">AU41*$AE41</f>
        <v>0</v>
      </c>
      <c r="AW41" s="314">
        <f ca="1">IFERROR(AV41/AF$4,0)</f>
        <v>0</v>
      </c>
      <c r="AX41" s="1007" t="str">
        <f t="shared" ca="1" si="13"/>
        <v/>
      </c>
      <c r="AY41" s="1255">
        <v>30000</v>
      </c>
      <c r="AZ41" s="312">
        <f ca="1">IFERROR($AC41/BA41-1,"")</f>
        <v>7.8305735415477029E-2</v>
      </c>
      <c r="BA41" s="252">
        <v>0.92820999999999998</v>
      </c>
      <c r="BB41" s="199">
        <f t="shared" ref="BB41:BB43" ca="1" si="397">AY41*$AC41</f>
        <v>30026.825000099998</v>
      </c>
      <c r="BC41" s="199">
        <f t="shared" ref="BC41:BC43" ca="1" si="398">BB41*$AE41</f>
        <v>23488.483856328225</v>
      </c>
      <c r="BD41" s="216">
        <f t="shared" ref="BD41:BD43" ca="1" si="399">IFERROR(BC41/AY$4,0)</f>
        <v>3.3195398815423029E-2</v>
      </c>
      <c r="BE41" s="202">
        <f t="shared" ref="BE41:BE43" ca="1" si="400">BF41/$AC41</f>
        <v>-30000</v>
      </c>
      <c r="BF41" s="203">
        <f t="shared" ref="BF41:BF43" ca="1" si="401">BG41/$AE41</f>
        <v>-30026.825000099998</v>
      </c>
      <c r="BG41" s="203">
        <f ca="1">BH41*AY$4</f>
        <v>-23488.483856328225</v>
      </c>
      <c r="BH41" s="204">
        <f t="shared" ref="BH41:BH43" ca="1" si="402">$N41-BD41</f>
        <v>-3.3195398815423029E-2</v>
      </c>
      <c r="BI41" s="1253"/>
      <c r="BJ41" s="206">
        <f t="shared" ref="BJ41:BJ43" ca="1" si="403">BI41*$AC41</f>
        <v>0</v>
      </c>
      <c r="BK41" s="206">
        <f t="shared" ref="BK41:BK43" ca="1" si="404">BJ41*$AE41</f>
        <v>0</v>
      </c>
      <c r="BL41" s="207">
        <f t="shared" ref="BL41:BL43" ca="1" si="405">IFERROR(BK41/AY$4,0)</f>
        <v>0</v>
      </c>
      <c r="BM41" s="313">
        <f t="shared" ref="BM41" si="406">AY41+BI41</f>
        <v>30000</v>
      </c>
      <c r="BN41" s="313">
        <f t="shared" ca="1" si="194"/>
        <v>30026.825000099998</v>
      </c>
      <c r="BO41" s="313">
        <f t="shared" ref="BO41:BO43" ca="1" si="407">BN41*$AE41</f>
        <v>23488.483856328225</v>
      </c>
      <c r="BP41" s="843">
        <f t="shared" ref="BP41:BP79" ca="1" si="408">IFERROR(BO41/AY$4,0)</f>
        <v>3.3195398815423029E-2</v>
      </c>
      <c r="BQ41" s="1007" t="str">
        <f t="shared" ref="BQ41:BQ73" ca="1" si="409">IF(SUM(BD41,BL41,BP41)&lt;&gt;0,"V","")</f>
        <v>V</v>
      </c>
      <c r="BR41" s="1007"/>
    </row>
    <row r="42" spans="1:70" ht="13.5" customHeight="1" outlineLevel="1" x14ac:dyDescent="0.2">
      <c r="A42" s="299"/>
      <c r="B42" s="299"/>
      <c r="C42" s="299" t="str">
        <f t="shared" ca="1" si="127"/>
        <v>US89114TZD70:USD:STU</v>
      </c>
      <c r="D42" s="300" t="str">
        <f t="shared" ca="1" si="128"/>
        <v>US89114TZD70</v>
      </c>
      <c r="E42" s="301" t="str">
        <f t="shared" ca="1" si="128"/>
        <v>111948647</v>
      </c>
      <c r="F42" s="299" t="s">
        <v>883</v>
      </c>
      <c r="G42" s="316">
        <f t="shared" ca="1" si="129"/>
        <v>46176</v>
      </c>
      <c r="H42" s="1708" t="str">
        <f t="shared" ca="1" si="378"/>
        <v></v>
      </c>
      <c r="I42" s="1680" t="str">
        <f t="shared" ca="1" si="383"/>
        <v>i</v>
      </c>
      <c r="J42" s="1708" t="str">
        <f t="shared" ca="1" si="379"/>
        <v></v>
      </c>
      <c r="K42" s="1709" t="str">
        <f t="shared" ca="1" si="379"/>
        <v></v>
      </c>
      <c r="L42" s="1710" t="str">
        <f ca="1">IFERROR(HYPERLINK("https://www.zonebourse.com/mods_a/charts/TV/inc_dyna_graph.php?c="&amp;OFFSET(Origine,MATCH($F42,Descrizioni,0),MATCH(L$14,Intestazioni,0)-1,1,1)&amp;"&amp;style=TradingView.CANDLES&amp;showAT=1",""),"")</f>
        <v></v>
      </c>
      <c r="M42" s="298" t="str">
        <f ca="1">(OFFSET(Origine,MATCH($F42,Descrizioni,0),MATCH(M$14,Intestazioni,0)-1,1,1))</f>
        <v>Pct</v>
      </c>
      <c r="N42" s="1015"/>
      <c r="O42" s="1278" cm="1">
        <f t="array" aca="1" ref="O42" ca="1">SUM(IF($AF$14:$BQ$14="I_ctrlv",AF42:BQ42))</f>
        <v>38955.658875000001</v>
      </c>
      <c r="P42" s="306">
        <f t="shared" ca="1" si="384"/>
        <v>5.9476587909109849E-3</v>
      </c>
      <c r="Q42" s="307">
        <f t="array" aca="1" ref="Q42" ca="1">SUM(IF($AF$14:$BQ$14="I_pos",AF42:BQ42))</f>
        <v>50000</v>
      </c>
      <c r="R42" s="307">
        <f t="array" aca="1" ref="R42" ca="1">SUM(IF($AF$14:$BQ$14="P_Pos",AF42:BQ42))</f>
        <v>-50000</v>
      </c>
      <c r="S42" s="1284"/>
      <c r="T42" s="307"/>
      <c r="U42" s="298"/>
      <c r="V42" s="307">
        <f t="array" aca="1" ref="V42" ca="1">SUM(IF($AF$14:$BQ$14="O_Pos",AF42:BQ42))</f>
        <v>0</v>
      </c>
      <c r="W42" s="1278"/>
      <c r="X42" s="1280">
        <f t="shared" ca="1" si="385"/>
        <v>0</v>
      </c>
      <c r="Y42" s="1280">
        <f t="shared" ca="1" si="385"/>
        <v>0</v>
      </c>
      <c r="Z42" s="1280">
        <f t="shared" ca="1" si="385"/>
        <v>0</v>
      </c>
      <c r="AA42" s="1281">
        <f t="shared" ca="1" si="385"/>
        <v>0</v>
      </c>
      <c r="AB42" s="299" t="str">
        <f t="shared" ca="1" si="385"/>
        <v>USD</v>
      </c>
      <c r="AC42" s="309">
        <f t="shared" ref="AC42:AC43" ca="1" si="410">_xlfn.NUMBERVALUE(OFFSET(Origine,MATCH($F42,Descrizioni,0),MATCH(AC$14,Intestazioni,0)-1,1,1))</f>
        <v>0.99599000000000004</v>
      </c>
      <c r="AD42" s="1282">
        <f ca="1">_xlfn.NUMBERVALUE(OFFSET(Origine,MATCH($F42,Descrizioni,0),MATCH(AD$14,Intestazioni,0)-1,1,1))</f>
        <v>4.0962759139999999E-2</v>
      </c>
      <c r="AE42" s="311">
        <f t="shared" ca="1" si="166"/>
        <v>0.78225</v>
      </c>
      <c r="AF42" s="214">
        <v>50000</v>
      </c>
      <c r="AG42" s="312">
        <f ca="1">IFERROR($AC42/AH42-1,"")</f>
        <v>7.8144620047629454E-2</v>
      </c>
      <c r="AH42" s="252">
        <v>0.92379999999999995</v>
      </c>
      <c r="AI42" s="199">
        <f t="shared" ca="1" si="386"/>
        <v>49799.5</v>
      </c>
      <c r="AJ42" s="199">
        <f t="shared" ca="1" si="387"/>
        <v>38955.658875000001</v>
      </c>
      <c r="AK42" s="216">
        <f t="shared" ca="1" si="388"/>
        <v>6.6680184396464195E-3</v>
      </c>
      <c r="AL42" s="202">
        <f t="shared" ca="1" si="389"/>
        <v>-50000</v>
      </c>
      <c r="AM42" s="203">
        <f t="shared" ca="1" si="390"/>
        <v>-49799.5</v>
      </c>
      <c r="AN42" s="203">
        <f ca="1">AO42*AF$4</f>
        <v>-38955.658875000001</v>
      </c>
      <c r="AO42" s="204">
        <f t="shared" ca="1" si="391"/>
        <v>-6.6680184396464195E-3</v>
      </c>
      <c r="AP42" s="205"/>
      <c r="AQ42" s="206">
        <f t="shared" ca="1" si="392"/>
        <v>0</v>
      </c>
      <c r="AR42" s="206">
        <f t="shared" ca="1" si="393"/>
        <v>0</v>
      </c>
      <c r="AS42" s="207">
        <f t="shared" ca="1" si="394"/>
        <v>0</v>
      </c>
      <c r="AT42" s="313">
        <f>AF42+AP42</f>
        <v>50000</v>
      </c>
      <c r="AU42" s="313">
        <f t="shared" ca="1" si="179"/>
        <v>49799.5</v>
      </c>
      <c r="AV42" s="313">
        <f t="shared" ca="1" si="396"/>
        <v>38955.658875000001</v>
      </c>
      <c r="AW42" s="314">
        <f ca="1">IFERROR(AV42/AF$4,0)</f>
        <v>6.6680184396464195E-3</v>
      </c>
      <c r="AX42" s="1007" t="str">
        <f t="shared" ca="1" si="13"/>
        <v>V</v>
      </c>
      <c r="AY42" s="1255"/>
      <c r="AZ42" s="312" t="str">
        <f ca="1">IFERROR($AC42/BA42-1,"")</f>
        <v/>
      </c>
      <c r="BA42" s="252"/>
      <c r="BB42" s="199">
        <f t="shared" ca="1" si="397"/>
        <v>0</v>
      </c>
      <c r="BC42" s="199">
        <f t="shared" ca="1" si="398"/>
        <v>0</v>
      </c>
      <c r="BD42" s="216">
        <f t="shared" ca="1" si="399"/>
        <v>0</v>
      </c>
      <c r="BE42" s="202">
        <f t="shared" ca="1" si="400"/>
        <v>0</v>
      </c>
      <c r="BF42" s="203">
        <f t="shared" ca="1" si="401"/>
        <v>0</v>
      </c>
      <c r="BG42" s="203">
        <f ca="1">BH42*AY$4</f>
        <v>0</v>
      </c>
      <c r="BH42" s="204">
        <f t="shared" ca="1" si="402"/>
        <v>0</v>
      </c>
      <c r="BI42" s="1253"/>
      <c r="BJ42" s="206">
        <f t="shared" ca="1" si="403"/>
        <v>0</v>
      </c>
      <c r="BK42" s="206">
        <f t="shared" ca="1" si="404"/>
        <v>0</v>
      </c>
      <c r="BL42" s="207">
        <f t="shared" ca="1" si="405"/>
        <v>0</v>
      </c>
      <c r="BM42" s="313">
        <f>AY42+BI42</f>
        <v>0</v>
      </c>
      <c r="BN42" s="313">
        <f t="shared" ca="1" si="194"/>
        <v>0</v>
      </c>
      <c r="BO42" s="313">
        <f t="shared" ca="1" si="407"/>
        <v>0</v>
      </c>
      <c r="BP42" s="843">
        <f t="shared" ca="1" si="408"/>
        <v>0</v>
      </c>
      <c r="BQ42" s="1007" t="str">
        <f ca="1">IF(OR(BD42&lt;&gt;0,BL42&lt;&gt;0),"V","")</f>
        <v/>
      </c>
      <c r="BR42" s="1007"/>
    </row>
    <row r="43" spans="1:70" ht="13.5" customHeight="1" outlineLevel="1" x14ac:dyDescent="0.2">
      <c r="A43" s="299"/>
      <c r="B43" s="299"/>
      <c r="C43" s="299" t="str">
        <f t="shared" ca="1" si="127"/>
        <v>US377373AH85:USD</v>
      </c>
      <c r="D43" s="300" t="str">
        <f t="shared" ca="1" si="128"/>
        <v>US377373AH85</v>
      </c>
      <c r="E43" s="301" t="str">
        <f t="shared" ca="1" si="128"/>
        <v>46983345</v>
      </c>
      <c r="F43" s="299" t="s">
        <v>884</v>
      </c>
      <c r="G43" s="316">
        <f t="shared" ca="1" si="129"/>
        <v>47270</v>
      </c>
      <c r="H43" s="1708" t="str">
        <f t="shared" ca="1" si="378"/>
        <v></v>
      </c>
      <c r="I43" s="1680" t="str">
        <f t="shared" ca="1" si="383"/>
        <v>i</v>
      </c>
      <c r="J43" s="1708" t="str">
        <f t="shared" ref="J43:K43" ca="1" si="411">HYPERLINK(OFFSET(Origine,MATCH($F43,Descrizioni,0),MATCH(J$14,Intestazioni,0)-1,1,1),"")</f>
        <v></v>
      </c>
      <c r="K43" s="1709" t="str">
        <f t="shared" ca="1" si="411"/>
        <v></v>
      </c>
      <c r="L43" s="1710" t="str">
        <f t="shared" ca="1" si="133"/>
        <v></v>
      </c>
      <c r="M43" s="298" t="s">
        <v>885</v>
      </c>
      <c r="N43" s="1015"/>
      <c r="O43" s="1278" cm="1">
        <f t="array" aca="1" ref="O43" ca="1">SUM(IF($AF$14:$BQ$14="I_ctrlv",AF43:BQ43))</f>
        <v>23244.4414125</v>
      </c>
      <c r="P43" s="306">
        <f t="shared" ca="1" si="384"/>
        <v>3.5489068931033704E-3</v>
      </c>
      <c r="Q43" s="307">
        <f t="array" aca="1" ref="Q43" ca="1">SUM(IF($AF$14:$BQ$14="I_pos",AF43:BQ43))</f>
        <v>30000</v>
      </c>
      <c r="R43" s="307">
        <f t="array" aca="1" ref="R43" ca="1">SUM(IF($AF$14:$BQ$14="P_Pos",AF43:BQ43))</f>
        <v>-29999.999999999996</v>
      </c>
      <c r="S43" s="1279"/>
      <c r="T43" s="307"/>
      <c r="U43" s="298"/>
      <c r="V43" s="307">
        <f t="array" aca="1" ref="V43" ca="1">SUM(IF($AF$14:$BQ$14="O_Pos",AF43:BQ43))</f>
        <v>0</v>
      </c>
      <c r="W43" s="1278"/>
      <c r="X43" s="1280">
        <f t="shared" ref="X43:AB43" ca="1" si="412">OFFSET(Origine,MATCH($F43,Descrizioni,0),MATCH(X$14,Intestazioni,0)-1,1,1)</f>
        <v>0</v>
      </c>
      <c r="Y43" s="1280">
        <f t="shared" ca="1" si="412"/>
        <v>0</v>
      </c>
      <c r="Z43" s="1280">
        <f t="shared" ca="1" si="412"/>
        <v>0</v>
      </c>
      <c r="AA43" s="1281">
        <f t="shared" ca="1" si="412"/>
        <v>0</v>
      </c>
      <c r="AB43" s="299" t="str">
        <f t="shared" ca="1" si="412"/>
        <v>USD</v>
      </c>
      <c r="AC43" s="309">
        <f t="shared" ca="1" si="410"/>
        <v>0.99049500000000001</v>
      </c>
      <c r="AD43" s="1282">
        <f t="shared" ca="1" si="137"/>
        <v>3.9364946009999999E-2</v>
      </c>
      <c r="AE43" s="311">
        <f t="shared" ca="1" si="166"/>
        <v>0.78225</v>
      </c>
      <c r="AF43" s="214"/>
      <c r="AG43" s="312" t="str">
        <f t="shared" ca="1" si="196"/>
        <v/>
      </c>
      <c r="AH43" s="252"/>
      <c r="AI43" s="199">
        <f t="shared" ca="1" si="386"/>
        <v>0</v>
      </c>
      <c r="AJ43" s="199">
        <f t="shared" ca="1" si="387"/>
        <v>0</v>
      </c>
      <c r="AK43" s="216">
        <f t="shared" ca="1" si="388"/>
        <v>0</v>
      </c>
      <c r="AL43" s="202">
        <f t="shared" ca="1" si="389"/>
        <v>0</v>
      </c>
      <c r="AM43" s="203">
        <f t="shared" ca="1" si="390"/>
        <v>0</v>
      </c>
      <c r="AN43" s="203">
        <f t="shared" ref="AN43" ca="1" si="413">AO43*AF$4</f>
        <v>0</v>
      </c>
      <c r="AO43" s="204">
        <f t="shared" ca="1" si="391"/>
        <v>0</v>
      </c>
      <c r="AP43" s="205"/>
      <c r="AQ43" s="206">
        <f t="shared" ca="1" si="392"/>
        <v>0</v>
      </c>
      <c r="AR43" s="206">
        <f t="shared" ca="1" si="393"/>
        <v>0</v>
      </c>
      <c r="AS43" s="207">
        <f t="shared" ca="1" si="394"/>
        <v>0</v>
      </c>
      <c r="AT43" s="313">
        <f t="shared" ref="AT43:AT45" si="414">AF43+AP43</f>
        <v>0</v>
      </c>
      <c r="AU43" s="313">
        <f t="shared" ca="1" si="179"/>
        <v>0</v>
      </c>
      <c r="AV43" s="313">
        <f t="shared" ca="1" si="396"/>
        <v>0</v>
      </c>
      <c r="AW43" s="314">
        <f t="shared" ref="AW43" ca="1" si="415">IFERROR(AV43/AF$4,0)</f>
        <v>0</v>
      </c>
      <c r="AX43" s="1007" t="str">
        <f t="shared" ca="1" si="13"/>
        <v/>
      </c>
      <c r="AY43" s="1255">
        <f>30000</f>
        <v>30000</v>
      </c>
      <c r="AZ43" s="312">
        <f t="shared" ca="1" si="210"/>
        <v>3.5097344577859957E-2</v>
      </c>
      <c r="BA43" s="252">
        <v>0.95691000000000004</v>
      </c>
      <c r="BB43" s="199">
        <f t="shared" ca="1" si="397"/>
        <v>29714.850000000002</v>
      </c>
      <c r="BC43" s="199">
        <f t="shared" ca="1" si="398"/>
        <v>23244.4414125</v>
      </c>
      <c r="BD43" s="216">
        <f t="shared" ca="1" si="399"/>
        <v>3.2850502725052945E-2</v>
      </c>
      <c r="BE43" s="202">
        <f t="shared" ca="1" si="400"/>
        <v>-29999.999999999996</v>
      </c>
      <c r="BF43" s="203">
        <f t="shared" ca="1" si="401"/>
        <v>-29714.85</v>
      </c>
      <c r="BG43" s="203">
        <f t="shared" ref="BG43" ca="1" si="416">BH43*AY$4</f>
        <v>-23244.4414125</v>
      </c>
      <c r="BH43" s="204">
        <f t="shared" ca="1" si="402"/>
        <v>-3.2850502725052945E-2</v>
      </c>
      <c r="BI43" s="1253"/>
      <c r="BJ43" s="206">
        <f t="shared" ca="1" si="403"/>
        <v>0</v>
      </c>
      <c r="BK43" s="206">
        <f t="shared" ca="1" si="404"/>
        <v>0</v>
      </c>
      <c r="BL43" s="207">
        <f t="shared" ca="1" si="405"/>
        <v>0</v>
      </c>
      <c r="BM43" s="313">
        <f t="shared" ref="BM43:BM45" si="417">AY43+BI43</f>
        <v>30000</v>
      </c>
      <c r="BN43" s="313">
        <f t="shared" ca="1" si="194"/>
        <v>29714.850000000002</v>
      </c>
      <c r="BO43" s="313">
        <f t="shared" ca="1" si="407"/>
        <v>23244.4414125</v>
      </c>
      <c r="BP43" s="843">
        <f t="shared" ca="1" si="408"/>
        <v>3.2850502725052945E-2</v>
      </c>
      <c r="BQ43" s="1007" t="str">
        <f t="shared" ca="1" si="409"/>
        <v>V</v>
      </c>
      <c r="BR43" s="1007"/>
    </row>
    <row r="44" spans="1:70" ht="13.5" customHeight="1" outlineLevel="1" x14ac:dyDescent="0.2">
      <c r="A44" s="299"/>
      <c r="B44" s="299"/>
      <c r="C44" s="299" t="str">
        <f t="shared" ca="1" si="127"/>
        <v>AU3CB0299477:AUD:STU</v>
      </c>
      <c r="D44" s="300" t="str">
        <f t="shared" ca="1" si="128"/>
        <v>AU3CB0299477</v>
      </c>
      <c r="E44" s="301" t="str">
        <f t="shared" ca="1" si="128"/>
        <v>126683261</v>
      </c>
      <c r="F44" s="299" t="s">
        <v>886</v>
      </c>
      <c r="G44" s="316">
        <f t="shared" ca="1" si="129"/>
        <v>46897</v>
      </c>
      <c r="H44" s="1708" t="str">
        <f t="shared" ca="1" si="378"/>
        <v></v>
      </c>
      <c r="I44" s="1680" t="str">
        <f ca="1">HYPERLINK(OFFSET(Origine,MATCH($F44,Descrizioni,0),MATCH(I$14,Intestazioni,0)-1,1,1),"i")</f>
        <v>i</v>
      </c>
      <c r="J44" s="1708" t="str">
        <f ca="1">HYPERLINK(OFFSET(Origine,MATCH($F44,Descrizioni,0),MATCH(J$14,Intestazioni,0)-1,1,1),"")</f>
        <v></v>
      </c>
      <c r="K44" s="1801" t="str">
        <f ca="1">HYPERLINK(OFFSET(Origine,MATCH($F44,Descrizioni,0),MATCH(K$14,Intestazioni,0)-1,1,1),"")</f>
        <v></v>
      </c>
      <c r="L44" s="1802" t="str">
        <f ca="1">IFERROR(HYPERLINK("https://www.zonebourse.com/mods_a/charts/TV/inc_dyna_graph.php?c="&amp;OFFSET(Origine,MATCH($F44,Descrizioni,0),MATCH(L$14,Intestazioni,0)-1,1,1)&amp;"&amp;style=TradingView.CANDLES&amp;showAT=1",""),"")</f>
        <v></v>
      </c>
      <c r="M44" s="298" t="str">
        <f ca="1">(OFFSET(Origine,MATCH($F44,Descrizioni,0),MATCH(M$14,Intestazioni,0)-1,1,1))</f>
        <v>Pct</v>
      </c>
      <c r="N44" s="1015"/>
      <c r="O44" s="1278" cm="1">
        <f t="array" aca="1" ref="O44" ca="1">SUM(IF($AF$14:$BQ$14="I_ctrlv",AF44:BQ44))</f>
        <v>54694.896396775956</v>
      </c>
      <c r="P44" s="306">
        <f t="shared" ca="1" si="384"/>
        <v>8.3506887257660343E-3</v>
      </c>
      <c r="Q44" s="307">
        <f t="array" aca="1" ref="Q44" ca="1">SUM(IF($AF$14:$BQ$14="I_pos",AF44:BQ44))</f>
        <v>100000</v>
      </c>
      <c r="R44" s="307">
        <f t="array" aca="1" ref="R44" ca="1">SUM(IF($AF$14:$BQ$14="P_Pos",AF44:BQ44))</f>
        <v>-100000.00000000001</v>
      </c>
      <c r="S44" s="1284"/>
      <c r="T44" s="307"/>
      <c r="U44" s="298"/>
      <c r="V44" s="307">
        <f t="array" aca="1" ref="V44" ca="1">SUM(IF($AF$14:$BQ$14="O_Pos",AF44:BQ44))</f>
        <v>0</v>
      </c>
      <c r="W44" s="1278"/>
      <c r="X44" s="1280">
        <f ca="1">OFFSET(Origine,MATCH($F44,Descrizioni,0),MATCH(X$14,Intestazioni,0)-1,1,1)</f>
        <v>0</v>
      </c>
      <c r="Y44" s="1287">
        <f ca="1">OFFSET(Origine,MATCH($F44,Descrizioni,0),MATCH(Y$14,Intestazioni,0)-1,1,1)</f>
        <v>0</v>
      </c>
      <c r="Z44" s="1287">
        <f ca="1">OFFSET(Origine,MATCH($F44,Descrizioni,0),MATCH(Z$14,Intestazioni,0)-1,1,1)</f>
        <v>0</v>
      </c>
      <c r="AA44" s="1281">
        <f ca="1">OFFSET(Origine,MATCH($F44,Descrizioni,0),MATCH(AA$14,Intestazioni,0)-1,1,1)</f>
        <v>0</v>
      </c>
      <c r="AB44" s="299" t="str">
        <f ca="1">OFFSET(Origine,MATCH($F44,Descrizioni,0),MATCH(AB$14,Intestazioni,0)-1,1,1)</f>
        <v>AUD</v>
      </c>
      <c r="AC44" s="1285">
        <f ca="1">_xlfn.NUMBERVALUE(OFFSET(Origine,MATCH($F44,Descrizioni,0),MATCH(AC$14,Intestazioni,0)-1,1,1))</f>
        <v>0.99436226519000004</v>
      </c>
      <c r="AD44" s="1289">
        <f ca="1">_xlfn.NUMBERVALUE(OFFSET(Origine,MATCH($F44,Descrizioni,0),MATCH(AD$14,Intestazioni,0)-1,1,1))</f>
        <v>4.4629446250000003E-2</v>
      </c>
      <c r="AE44" s="311">
        <f t="shared" ca="1" si="166"/>
        <v>0.55005000000000004</v>
      </c>
      <c r="AF44" s="214">
        <v>100000</v>
      </c>
      <c r="AG44" s="379">
        <f ca="1">IFERROR($AC44/AH44-1,"")</f>
        <v>6.6646391264968408E-4</v>
      </c>
      <c r="AH44" s="1290">
        <f>0.98284+0.01086</f>
        <v>0.99370000000000003</v>
      </c>
      <c r="AI44" s="381">
        <f ca="1">AF44*$AC44</f>
        <v>99436.226519000003</v>
      </c>
      <c r="AJ44" s="381">
        <f ca="1">AI44*$AE44</f>
        <v>54694.896396775956</v>
      </c>
      <c r="AK44" s="382">
        <f ca="1">IFERROR(AJ44/AF$4,0)</f>
        <v>9.3620949628528804E-3</v>
      </c>
      <c r="AL44" s="202">
        <f ca="1">AM44/$AC44</f>
        <v>-100000.00000000001</v>
      </c>
      <c r="AM44" s="383">
        <f ca="1">AN44/$AE44</f>
        <v>-99436.226519000018</v>
      </c>
      <c r="AN44" s="383">
        <f ca="1">AO44*AF$4</f>
        <v>-54694.896396775963</v>
      </c>
      <c r="AO44" s="204">
        <f ca="1">$N44-AK44</f>
        <v>-9.3620949628528804E-3</v>
      </c>
      <c r="AP44" s="205"/>
      <c r="AQ44" s="384">
        <f ca="1">AP44*$AC44</f>
        <v>0</v>
      </c>
      <c r="AR44" s="384">
        <f ca="1">AQ44*$AE44</f>
        <v>0</v>
      </c>
      <c r="AS44" s="207">
        <f ca="1">IFERROR(AR44/AF$4,0)</f>
        <v>0</v>
      </c>
      <c r="AT44" s="1120">
        <f>AF44+AP44</f>
        <v>100000</v>
      </c>
      <c r="AU44" s="1120">
        <f t="shared" ca="1" si="179"/>
        <v>99436.226519000003</v>
      </c>
      <c r="AV44" s="1120">
        <f ca="1">AU44*$AE44</f>
        <v>54694.896396775956</v>
      </c>
      <c r="AW44" s="1291">
        <f ca="1">IFERROR(AV44/AF$4,0)</f>
        <v>9.3620949628528804E-3</v>
      </c>
      <c r="AX44" s="1007" t="str">
        <f t="shared" ca="1" si="13"/>
        <v>V</v>
      </c>
      <c r="AY44" s="1255"/>
      <c r="AZ44" s="379" t="str">
        <f ca="1">IFERROR($AC44/BA44-1,"")</f>
        <v/>
      </c>
      <c r="BA44" s="1290"/>
      <c r="BB44" s="381">
        <f ca="1">AY44*$AC44</f>
        <v>0</v>
      </c>
      <c r="BC44" s="381">
        <f ca="1">BB44*$AE44</f>
        <v>0</v>
      </c>
      <c r="BD44" s="382">
        <f ca="1">IFERROR(BC44/AY$4,0)</f>
        <v>0</v>
      </c>
      <c r="BE44" s="202">
        <f ca="1">BF44/$AC44</f>
        <v>0</v>
      </c>
      <c r="BF44" s="383">
        <f ca="1">BG44/$AE44</f>
        <v>0</v>
      </c>
      <c r="BG44" s="383">
        <f ca="1">BH44*AY$4</f>
        <v>0</v>
      </c>
      <c r="BH44" s="204">
        <f ca="1">$N44-BD44</f>
        <v>0</v>
      </c>
      <c r="BI44" s="1253"/>
      <c r="BJ44" s="384">
        <f ca="1">BI44*$AC44</f>
        <v>0</v>
      </c>
      <c r="BK44" s="384">
        <f ca="1">BJ44*$AE44</f>
        <v>0</v>
      </c>
      <c r="BL44" s="207">
        <f ca="1">IFERROR(BK44/AY$4,0)</f>
        <v>0</v>
      </c>
      <c r="BM44" s="1120">
        <f>AY44+BI44</f>
        <v>0</v>
      </c>
      <c r="BN44" s="1120">
        <f t="shared" ca="1" si="194"/>
        <v>0</v>
      </c>
      <c r="BO44" s="1120">
        <f ca="1">BN44*$AE44</f>
        <v>0</v>
      </c>
      <c r="BP44" s="843">
        <f t="shared" ca="1" si="408"/>
        <v>0</v>
      </c>
      <c r="BQ44" s="1007" t="str">
        <f t="shared" ref="BQ44:BQ47" ca="1" si="418">IF(OR(BD44&lt;&gt;0,BL44&lt;&gt;0),"V","")</f>
        <v/>
      </c>
      <c r="BR44" s="1121"/>
    </row>
    <row r="45" spans="1:70" ht="13.5" customHeight="1" outlineLevel="1" x14ac:dyDescent="0.2">
      <c r="A45" s="299"/>
      <c r="B45" s="299"/>
      <c r="C45" s="299" t="str">
        <f t="shared" ca="1" si="127"/>
        <v>IE00B6QGFW01:USD</v>
      </c>
      <c r="D45" s="300" t="str">
        <f t="shared" ca="1" si="128"/>
        <v>IE00B6QGFW01</v>
      </c>
      <c r="E45" s="301" t="str">
        <f t="shared" ca="1" si="128"/>
        <v>18127378</v>
      </c>
      <c r="F45" s="299" t="s">
        <v>752</v>
      </c>
      <c r="G45" s="316" t="str">
        <f t="shared" ca="1" si="129"/>
        <v/>
      </c>
      <c r="H45" s="1708" t="str">
        <f t="shared" ca="1" si="378"/>
        <v></v>
      </c>
      <c r="I45" s="1680" t="str">
        <f t="shared" ref="I45" ca="1" si="419">HYPERLINK(OFFSET(Origine,MATCH($F45,Descrizioni,0),MATCH(I$14,Intestazioni,0)-1,1,1),"i")</f>
        <v>i</v>
      </c>
      <c r="J45" s="1708" t="str">
        <f t="shared" ref="J45:K45" ca="1" si="420">HYPERLINK(OFFSET(Origine,MATCH($F45,Descrizioni,0),MATCH(J$14,Intestazioni,0)-1,1,1),"")</f>
        <v></v>
      </c>
      <c r="K45" s="1709" t="str">
        <f t="shared" ca="1" si="420"/>
        <v></v>
      </c>
      <c r="L45" s="1710" t="str">
        <f t="shared" ca="1" si="133"/>
        <v></v>
      </c>
      <c r="M45" s="298" t="str">
        <f ca="1">(OFFSET(Origine,MATCH($F45,Descrizioni,0),MATCH(M$14,Intestazioni,0)-1,1,1))</f>
        <v>Unit</v>
      </c>
      <c r="N45" s="1015"/>
      <c r="O45" s="1278" cm="1">
        <f t="array" aca="1" ref="O45" ca="1">SUM(IF($AF$14:$BQ$14="I_ctrlv",AF45:BQ45))</f>
        <v>87435.211500000005</v>
      </c>
      <c r="P45" s="306">
        <f t="shared" ca="1" si="384"/>
        <v>1.3349403381465366E-2</v>
      </c>
      <c r="Q45" s="307">
        <f t="array" aca="1" ref="Q45" ca="1">SUM(IF($AF$14:$BQ$14="I_pos",AF45:BQ45))</f>
        <v>1300</v>
      </c>
      <c r="R45" s="307">
        <f t="array" aca="1" ref="R45" ca="1">SUM(IF($AF$14:$BQ$14="P_Pos",AF45:BQ45))</f>
        <v>-1300</v>
      </c>
      <c r="S45" s="1284"/>
      <c r="T45" s="307"/>
      <c r="U45" s="298"/>
      <c r="V45" s="307">
        <f t="array" aca="1" ref="V45" ca="1">SUM(IF($AF$14:$BQ$14="O_Pos",AF45:BQ45))</f>
        <v>0</v>
      </c>
      <c r="W45" s="1278"/>
      <c r="X45" s="1280">
        <f t="shared" ref="X45:AA45" ca="1" si="421">OFFSET(Origine,MATCH($F45,Descrizioni,0),MATCH(X$14,Intestazioni,0)-1,1,1)</f>
        <v>0</v>
      </c>
      <c r="Y45" s="1280">
        <f t="shared" ca="1" si="421"/>
        <v>0</v>
      </c>
      <c r="Z45" s="1280">
        <f t="shared" ca="1" si="421"/>
        <v>5.0000000000000001E-3</v>
      </c>
      <c r="AA45" s="1281">
        <f t="shared" ca="1" si="421"/>
        <v>0</v>
      </c>
      <c r="AB45" s="299" t="str">
        <f t="shared" ref="AB45" ca="1" si="422">OFFSET(Origine,MATCH($F45,Descrizioni,0),MATCH(AB$14,Intestazioni,0)-1,1,1)</f>
        <v>USD</v>
      </c>
      <c r="AC45" s="309">
        <f t="shared" ca="1" si="137"/>
        <v>85.98</v>
      </c>
      <c r="AD45" s="1282">
        <f t="shared" ca="1" si="137"/>
        <v>0</v>
      </c>
      <c r="AE45" s="311">
        <f t="shared" ca="1" si="166"/>
        <v>0.78225</v>
      </c>
      <c r="AF45" s="214">
        <v>1300</v>
      </c>
      <c r="AG45" s="312">
        <f t="shared" ca="1" si="196"/>
        <v>-0.1274210817421132</v>
      </c>
      <c r="AH45" s="395">
        <v>98.535499999999999</v>
      </c>
      <c r="AI45" s="199">
        <f t="shared" ca="1" si="223"/>
        <v>111774</v>
      </c>
      <c r="AJ45" s="199">
        <f t="shared" ca="1" si="224"/>
        <v>87435.211500000005</v>
      </c>
      <c r="AK45" s="216">
        <f t="shared" ref="AK45:AK72" ca="1" si="423">IFERROR(AJ45/AF$4,0)</f>
        <v>1.4966236469704292E-2</v>
      </c>
      <c r="AL45" s="202">
        <f t="shared" ca="1" si="226"/>
        <v>-1300</v>
      </c>
      <c r="AM45" s="203">
        <f t="shared" ca="1" si="227"/>
        <v>-111774</v>
      </c>
      <c r="AN45" s="203">
        <f t="shared" ref="AN45" ca="1" si="424">AO45*AF$4</f>
        <v>-87435.211500000005</v>
      </c>
      <c r="AO45" s="204">
        <f t="shared" ref="AO45" ca="1" si="425">$N45-AK45</f>
        <v>-1.4966236469704292E-2</v>
      </c>
      <c r="AP45" s="205"/>
      <c r="AQ45" s="206">
        <f t="shared" ca="1" si="230"/>
        <v>0</v>
      </c>
      <c r="AR45" s="206">
        <f t="shared" ca="1" si="231"/>
        <v>0</v>
      </c>
      <c r="AS45" s="207">
        <f t="shared" ref="AS45:AS72" ca="1" si="426">IFERROR(AR45/AF$4,0)</f>
        <v>0</v>
      </c>
      <c r="AT45" s="313">
        <f t="shared" si="414"/>
        <v>1300</v>
      </c>
      <c r="AU45" s="313">
        <f t="shared" ca="1" si="179"/>
        <v>111774</v>
      </c>
      <c r="AV45" s="313">
        <f t="shared" ca="1" si="233"/>
        <v>87435.211500000005</v>
      </c>
      <c r="AW45" s="314">
        <f t="shared" ref="AW45" ca="1" si="427">IFERROR(AV45/AF$4,0)</f>
        <v>1.4966236469704292E-2</v>
      </c>
      <c r="AX45" s="1007" t="str">
        <f t="shared" ca="1" si="13"/>
        <v>V</v>
      </c>
      <c r="AY45" s="1255"/>
      <c r="AZ45" s="312" t="str">
        <f t="shared" ca="1" si="210"/>
        <v/>
      </c>
      <c r="BA45" s="395"/>
      <c r="BB45" s="199">
        <f t="shared" ca="1" si="235"/>
        <v>0</v>
      </c>
      <c r="BC45" s="199">
        <f t="shared" ca="1" si="236"/>
        <v>0</v>
      </c>
      <c r="BD45" s="216">
        <f t="shared" ref="BD45:BD72" ca="1" si="428">IFERROR(BC45/AY$4,0)</f>
        <v>0</v>
      </c>
      <c r="BE45" s="202">
        <f t="shared" ca="1" si="238"/>
        <v>0</v>
      </c>
      <c r="BF45" s="203">
        <f t="shared" ca="1" si="239"/>
        <v>0</v>
      </c>
      <c r="BG45" s="203">
        <f t="shared" ref="BG45" ca="1" si="429">BH45*AY$4</f>
        <v>0</v>
      </c>
      <c r="BH45" s="204">
        <f t="shared" ref="BH45" ca="1" si="430">$N45-BD45</f>
        <v>0</v>
      </c>
      <c r="BI45" s="1253"/>
      <c r="BJ45" s="206">
        <f t="shared" ca="1" si="242"/>
        <v>0</v>
      </c>
      <c r="BK45" s="206">
        <f t="shared" ca="1" si="243"/>
        <v>0</v>
      </c>
      <c r="BL45" s="207">
        <f t="shared" ref="BL45:BL72" ca="1" si="431">IFERROR(BK45/AY$4,0)</f>
        <v>0</v>
      </c>
      <c r="BM45" s="313">
        <f t="shared" si="417"/>
        <v>0</v>
      </c>
      <c r="BN45" s="313">
        <f t="shared" ca="1" si="194"/>
        <v>0</v>
      </c>
      <c r="BO45" s="313">
        <f t="shared" ca="1" si="245"/>
        <v>0</v>
      </c>
      <c r="BP45" s="843">
        <f t="shared" ca="1" si="408"/>
        <v>0</v>
      </c>
      <c r="BQ45" s="1007" t="str">
        <f t="shared" ca="1" si="418"/>
        <v/>
      </c>
      <c r="BR45" s="1007"/>
    </row>
    <row r="46" spans="1:70" ht="13.5" customHeight="1" x14ac:dyDescent="0.2">
      <c r="A46" s="327" t="s">
        <v>388</v>
      </c>
      <c r="B46" s="327"/>
      <c r="C46" s="327"/>
      <c r="D46" s="328"/>
      <c r="E46" s="329"/>
      <c r="F46" s="327"/>
      <c r="G46" s="330"/>
      <c r="H46" s="1711"/>
      <c r="I46" s="1681"/>
      <c r="J46" s="1681"/>
      <c r="K46" s="1681"/>
      <c r="L46" s="1681"/>
      <c r="M46" s="326"/>
      <c r="N46" s="1293">
        <f>SUM($N129,N$126,N$116,N$109,N$92,N$89,N$85,N$71,N$47)</f>
        <v>0.49099999999999999</v>
      </c>
      <c r="O46" s="1294" cm="1">
        <f t="array" aca="1" ref="O46" ca="1">SUM(IF($AF$14:$BQ$14="I_ctrlv",AF46:BQ46))</f>
        <v>2224828.9715778963</v>
      </c>
      <c r="P46" s="333">
        <f t="shared" ca="1" si="384"/>
        <v>0.33968167843185326</v>
      </c>
      <c r="Q46" s="340"/>
      <c r="R46" s="334"/>
      <c r="S46" s="1295"/>
      <c r="T46" s="334"/>
      <c r="U46" s="326"/>
      <c r="V46" s="340">
        <f ca="1">SUM(V47,V71,V85,V89,V92,V109,V116,V126,V129)</f>
        <v>9</v>
      </c>
      <c r="W46" s="1294"/>
      <c r="X46" s="1296"/>
      <c r="Y46" s="1296"/>
      <c r="Z46" s="1296"/>
      <c r="AA46" s="1297"/>
      <c r="AB46" s="327"/>
      <c r="AC46" s="336"/>
      <c r="AD46" s="1298"/>
      <c r="AE46" s="337"/>
      <c r="AF46" s="338"/>
      <c r="AG46" s="327"/>
      <c r="AH46" s="1299"/>
      <c r="AI46" s="327"/>
      <c r="AJ46" s="340">
        <f ca="1">SUMIF($B$47:$B$131,"&gt;A",AJ$47:AJ$131)</f>
        <v>1803125.4200082398</v>
      </c>
      <c r="AK46" s="341">
        <f t="shared" ca="1" si="423"/>
        <v>0.308639974186809</v>
      </c>
      <c r="AL46" s="342"/>
      <c r="AM46" s="331"/>
      <c r="AN46" s="340">
        <f ca="1">SUM(AN$47,AN$71,AN$85,AN$89,AN$92,AN$109,AN$116,AN$126,AN$129)</f>
        <v>977744.75789175683</v>
      </c>
      <c r="AO46" s="343">
        <f ca="1">IFERROR(AN46/AF$4,0)</f>
        <v>0.16736002581319087</v>
      </c>
      <c r="AP46" s="342"/>
      <c r="AQ46" s="331"/>
      <c r="AR46" s="340">
        <f ca="1">SUM(AR$47,AR$71,AR$85,AR$89,AR$92,AR$109,AR$116,AR$126,AR$129)</f>
        <v>-48917.506359275008</v>
      </c>
      <c r="AS46" s="343">
        <f t="shared" ca="1" si="426"/>
        <v>-8.3731823269069718E-3</v>
      </c>
      <c r="AT46" s="331"/>
      <c r="AU46" s="331"/>
      <c r="AV46" s="340">
        <f ca="1">SUM(AV$47,AV$71,AV$85,AV$89,AV$92,AV$109,AV$116,AV$126,AV$129)</f>
        <v>1754207.9136489648</v>
      </c>
      <c r="AW46" s="341">
        <f t="shared" ref="AW46:AW72" ca="1" si="432">IFERROR(AV46/AF$4,0)</f>
        <v>0.30026679185990207</v>
      </c>
      <c r="AX46" s="1007" t="str">
        <f t="shared" ca="1" si="13"/>
        <v>V</v>
      </c>
      <c r="AY46" s="1300"/>
      <c r="AZ46" s="327"/>
      <c r="BA46" s="1299"/>
      <c r="BB46" s="327"/>
      <c r="BC46" s="340">
        <f ca="1">SUM(BC$47,BC$71,BC$85,BC$89,BC$92,BC$109,BC$116,BC$126,BC$129)</f>
        <v>421703.55156965653</v>
      </c>
      <c r="BD46" s="341">
        <f t="shared" ca="1" si="428"/>
        <v>0.5959779124893827</v>
      </c>
      <c r="BE46" s="342"/>
      <c r="BF46" s="331"/>
      <c r="BG46" s="340">
        <f ca="1">SUM(BG$47,BG$71,BG$85,BG$89,BG$92,BG$109,BG$116,BG$126,BG$129)</f>
        <v>-84894.273338674218</v>
      </c>
      <c r="BH46" s="343">
        <f ca="1">IFERROR(BG46/AY$4,0)</f>
        <v>-0.11997791248938265</v>
      </c>
      <c r="BI46" s="1301"/>
      <c r="BJ46" s="331"/>
      <c r="BK46" s="340">
        <f ca="1">SUM(BK$47,BK$71,BK$85,BK$89,BK$92,BK$109,BK$116,BK$126,BK$129)</f>
        <v>-141426.4948285805</v>
      </c>
      <c r="BL46" s="343">
        <f t="shared" ca="1" si="431"/>
        <v>-0.19987279415811474</v>
      </c>
      <c r="BM46" s="331"/>
      <c r="BN46" s="331"/>
      <c r="BO46" s="340">
        <f ca="1">SUM(BO$47,BO$71,BO$85,BO$89,BO$92,BO$109,BO$116,BO$126,BO$129)</f>
        <v>280277.056741076</v>
      </c>
      <c r="BP46" s="1302">
        <f t="shared" ca="1" si="408"/>
        <v>0.39610511833126788</v>
      </c>
      <c r="BQ46" s="1007" t="str">
        <f t="shared" ca="1" si="418"/>
        <v>V</v>
      </c>
      <c r="BR46" s="1007"/>
    </row>
    <row r="47" spans="1:70" ht="13.5" customHeight="1" collapsed="1" x14ac:dyDescent="0.2">
      <c r="A47" s="346"/>
      <c r="B47" s="346" t="s">
        <v>397</v>
      </c>
      <c r="C47" s="346"/>
      <c r="D47" s="347"/>
      <c r="E47" s="348"/>
      <c r="F47" s="346"/>
      <c r="G47" s="349"/>
      <c r="H47" s="1682"/>
      <c r="I47" s="1682"/>
      <c r="J47" s="1682"/>
      <c r="K47" s="1682"/>
      <c r="L47" s="1682"/>
      <c r="M47" s="345"/>
      <c r="N47" s="1036">
        <f>SUM(N$48:N$70)</f>
        <v>0.125</v>
      </c>
      <c r="O47" s="1303" cm="1">
        <f t="array" aca="1" ref="O47" ca="1">SUM(IF($AF$14:$BQ$14="I_ctrlv",AF47:BQ47))</f>
        <v>741248.84636233747</v>
      </c>
      <c r="P47" s="351">
        <f t="shared" ca="1" si="384"/>
        <v>0.11317213839114107</v>
      </c>
      <c r="Q47" s="422"/>
      <c r="R47" s="352"/>
      <c r="S47" s="1035"/>
      <c r="T47" s="352"/>
      <c r="U47" s="345"/>
      <c r="V47" s="422">
        <f ca="1">COUNTIF(V48:V70,"&lt;&gt;0")</f>
        <v>5</v>
      </c>
      <c r="W47" s="1303"/>
      <c r="X47" s="1304"/>
      <c r="Y47" s="1304"/>
      <c r="Z47" s="1304"/>
      <c r="AA47" s="1305"/>
      <c r="AB47" s="346"/>
      <c r="AC47" s="355"/>
      <c r="AD47" s="1306"/>
      <c r="AE47" s="356"/>
      <c r="AF47" s="357"/>
      <c r="AG47" s="359"/>
      <c r="AH47" s="875"/>
      <c r="AI47" s="359"/>
      <c r="AJ47" s="360">
        <f ca="1">SUM(AJ$48:AJ$70)</f>
        <v>470880.06121439999</v>
      </c>
      <c r="AK47" s="361">
        <f t="shared" ca="1" si="423"/>
        <v>8.0600277898378994E-2</v>
      </c>
      <c r="AL47" s="362"/>
      <c r="AM47" s="359"/>
      <c r="AN47" s="360">
        <f ca="1">SUM(AN$48:AN$70)</f>
        <v>259390.46869631344</v>
      </c>
      <c r="AO47" s="363">
        <f ca="1">IFERROR(AN47/AF$4,0)</f>
        <v>4.4399722101620992E-2</v>
      </c>
      <c r="AP47" s="362"/>
      <c r="AQ47" s="359"/>
      <c r="AR47" s="360">
        <f ca="1">SUM(AR$48:AR$70)</f>
        <v>-48917.506359275008</v>
      </c>
      <c r="AS47" s="363">
        <f t="shared" ca="1" si="426"/>
        <v>-8.3731823269069718E-3</v>
      </c>
      <c r="AT47" s="359"/>
      <c r="AU47" s="359"/>
      <c r="AV47" s="360">
        <f ca="1">SUM(AV$48:AV$70)</f>
        <v>421962.55485512502</v>
      </c>
      <c r="AW47" s="361">
        <f t="shared" ca="1" si="432"/>
        <v>7.2227095571472028E-2</v>
      </c>
      <c r="AX47" s="1007" t="str">
        <f t="shared" ca="1" si="13"/>
        <v>V</v>
      </c>
      <c r="AY47" s="1307"/>
      <c r="AZ47" s="359"/>
      <c r="BA47" s="875"/>
      <c r="BB47" s="359"/>
      <c r="BC47" s="360">
        <f ca="1">SUM(BC$48:BC$70)</f>
        <v>270368.78514793754</v>
      </c>
      <c r="BD47" s="361">
        <f t="shared" ca="1" si="428"/>
        <v>0.38210212737120453</v>
      </c>
      <c r="BE47" s="362"/>
      <c r="BF47" s="359"/>
      <c r="BG47" s="360">
        <f ca="1">SUM(BG$48:BG$70)</f>
        <v>-181920.97048644006</v>
      </c>
      <c r="BH47" s="363">
        <f ca="1">IFERROR(BG47/AY$4,0)</f>
        <v>-0.25710212737120447</v>
      </c>
      <c r="BI47" s="1308"/>
      <c r="BJ47" s="359"/>
      <c r="BK47" s="360">
        <f ca="1">SUM(BK$48:BK$70)</f>
        <v>-127685.01659905</v>
      </c>
      <c r="BL47" s="363">
        <f t="shared" ca="1" si="431"/>
        <v>-0.18045247512292839</v>
      </c>
      <c r="BM47" s="359"/>
      <c r="BN47" s="359"/>
      <c r="BO47" s="360">
        <f ca="1">SUM(BO$48:BO$70)</f>
        <v>142683.76854888748</v>
      </c>
      <c r="BP47" s="876">
        <f t="shared" ca="1" si="408"/>
        <v>0.20164965224827608</v>
      </c>
      <c r="BQ47" s="1007" t="str">
        <f t="shared" ca="1" si="418"/>
        <v>V</v>
      </c>
      <c r="BR47" s="1007"/>
    </row>
    <row r="48" spans="1:70" ht="13.5" hidden="1" customHeight="1" outlineLevel="1" x14ac:dyDescent="0.2">
      <c r="A48" s="367"/>
      <c r="B48" s="367"/>
      <c r="C48" s="367" t="str">
        <f t="shared" ref="C48:C70" ca="1" si="433">OFFSET(Origine,MATCH($F48,Descrizioni,0),MATCH(C$14,Intestazioni,0)-1,1,1)</f>
        <v>CH1169360919:CHF</v>
      </c>
      <c r="D48" s="368" t="str">
        <f t="shared" ref="D48:E70" ca="1" si="434">OFFSET(Origine,MATCH($F48,Descrizioni,0),MATCH(D$14,Intestazioni,0)-1,1,1)</f>
        <v>CH1169360919</v>
      </c>
      <c r="E48" s="369" t="str">
        <f t="shared" ca="1" si="434"/>
        <v>116936091</v>
      </c>
      <c r="F48" s="370" t="s">
        <v>4411</v>
      </c>
      <c r="G48" s="371"/>
      <c r="H48" s="1713" t="str">
        <f t="shared" ref="H48:H70" ca="1" si="435">HYPERLINK(OFFSET(Origine,MATCH($F48,Descrizioni,0),MATCH(H$14,Intestazioni,0)-1,1,1),"")</f>
        <v></v>
      </c>
      <c r="I48" s="1683" t="str">
        <f t="shared" ref="I48:I50" ca="1" si="436">HYPERLINK(OFFSET(Origine,MATCH($F48,Descrizioni,0),MATCH(I$14,Intestazioni,0)-1,1,1),"i")</f>
        <v>i</v>
      </c>
      <c r="J48" s="1713" t="str">
        <f t="shared" ref="J48:K50" ca="1" si="437">HYPERLINK(OFFSET(Origine,MATCH($F48,Descrizioni,0),MATCH(J$14,Intestazioni,0)-1,1,1),"")</f>
        <v></v>
      </c>
      <c r="K48" s="1716" t="str">
        <f t="shared" ca="1" si="437"/>
        <v></v>
      </c>
      <c r="L48" s="1717" t="str">
        <f t="shared" ref="L48:L70" ca="1" si="438">IFERROR(HYPERLINK("https://www.zonebourse.com/mods_a/charts/TV/inc_dyna_graph.php?c="&amp;OFFSET(Origine,MATCH($F48,Descrizioni,0),MATCH(L$14,Intestazioni,0)-1,1,1)&amp;"&amp;style=TradingView.CANDLES&amp;showAT=1",""),"")</f>
        <v></v>
      </c>
      <c r="M48" s="366" t="str">
        <f t="shared" ref="M48:M70" ca="1" si="439">(OFFSET(Origine,MATCH($F48,Descrizioni,0),MATCH(M$14,Intestazioni,0)-1,1,1))</f>
        <v>Unit</v>
      </c>
      <c r="N48" s="1309">
        <v>1.4999999999999999E-2</v>
      </c>
      <c r="O48" s="1310" cm="1">
        <f t="array" aca="1" ref="O48" ca="1">SUM(IF($AF$14:$BQ$14="I_ctrlv",AF48:BQ48))</f>
        <v>0</v>
      </c>
      <c r="P48" s="373">
        <f t="shared" ca="1" si="384"/>
        <v>0</v>
      </c>
      <c r="Q48" s="391">
        <f t="array" aca="1" ref="Q48" ca="1">SUM(IF($AF$14:$BQ$14="I_pos",AF48:BQ48))</f>
        <v>0</v>
      </c>
      <c r="R48" s="391">
        <f t="array" aca="1" ref="R48" ca="1">SUM(IF($AF$14:$BQ$14="P_Pos",AF48:BQ48))</f>
        <v>1376.9612975005016</v>
      </c>
      <c r="S48" s="1311"/>
      <c r="T48" s="391"/>
      <c r="U48" s="366"/>
      <c r="V48" s="391">
        <f t="array" aca="1" ref="V48" ca="1">SUM(IF($AF$14:$BQ$14="O_Pos",AF48:BQ48))</f>
        <v>0</v>
      </c>
      <c r="W48" s="1310"/>
      <c r="X48" s="1312">
        <f t="shared" ref="X48:AA50" ca="1" si="440">OFFSET(Origine,MATCH($F48,Descrizioni,0),MATCH(X$14,Intestazioni,0)-1,1,1)</f>
        <v>0</v>
      </c>
      <c r="Y48" s="1312">
        <f t="shared" ca="1" si="440"/>
        <v>0</v>
      </c>
      <c r="Z48" s="1312">
        <f t="shared" ca="1" si="440"/>
        <v>0</v>
      </c>
      <c r="AA48" s="1313">
        <f t="shared" ca="1" si="440"/>
        <v>0</v>
      </c>
      <c r="AB48" s="367" t="str">
        <f t="shared" ref="AB48:AB50" ca="1" si="441">OFFSET(Origine,MATCH($F48,Descrizioni,0),MATCH(AB$14,Intestazioni,0)-1,1,1)</f>
        <v>CHF</v>
      </c>
      <c r="AC48" s="392">
        <f t="shared" ref="AC48:AC50" ca="1" si="442">_xlfn.NUMBERVALUE(OFFSET(Origine,MATCH($F48,Descrizioni,0),MATCH(AC$14,Intestazioni,0)-1,1,1))</f>
        <v>71.349999999999994</v>
      </c>
      <c r="AD48" s="393">
        <f t="shared" ref="AD48:AD53" ca="1" si="443">_xlfn.NUMBERVALUE(OFFSET(Origine,MATCH($F48,Descrizioni,0),MATCH(AD$14,Intestazioni,0)-1,1,1))</f>
        <v>1.751927E-2</v>
      </c>
      <c r="AE48" s="378">
        <f t="shared" ref="AE48:AE70" ca="1" si="444">_xlfn.NUMBERVALUE(OFFSET(Origine,MATCH(AB48&amp;"/"&amp;MRif,LUKB_Name,0),MATCH("Price",Intestazioni,0)-1,1,1))</f>
        <v>1.0000001300000001</v>
      </c>
      <c r="AF48" s="214"/>
      <c r="AG48" s="312" t="str">
        <f t="shared" ref="AG48:AG70" ca="1" si="445">IFERROR($AC48/AH48-1,"")</f>
        <v/>
      </c>
      <c r="AH48" s="1254"/>
      <c r="AI48" s="199">
        <f t="shared" ref="AI48:AI49" ca="1" si="446">AF48*$AC48</f>
        <v>0</v>
      </c>
      <c r="AJ48" s="199">
        <f t="shared" ref="AJ48:AJ49" ca="1" si="447">AI48*$AE48</f>
        <v>0</v>
      </c>
      <c r="AK48" s="216">
        <f t="shared" ref="AK48:AK49" ca="1" si="448">IFERROR(AJ48/AF$4,0)</f>
        <v>0</v>
      </c>
      <c r="AL48" s="202">
        <f t="shared" ref="AL48:AL49" ca="1" si="449">AM48/$AC48</f>
        <v>1228.205356651252</v>
      </c>
      <c r="AM48" s="203">
        <f t="shared" ref="AM48:AM49" ca="1" si="450">AN48/$AE48</f>
        <v>87632.452197066828</v>
      </c>
      <c r="AN48" s="203">
        <f t="shared" ref="AN48:AN49" ca="1" si="451">AO48*AF$4</f>
        <v>87632.463589285617</v>
      </c>
      <c r="AO48" s="204">
        <f t="shared" ref="AO48:AO49" ca="1" si="452">$N48-AK48</f>
        <v>1.4999999999999999E-2</v>
      </c>
      <c r="AP48" s="205"/>
      <c r="AQ48" s="206">
        <f t="shared" ref="AQ48:AQ49" ca="1" si="453">AP48*$AC48</f>
        <v>0</v>
      </c>
      <c r="AR48" s="206">
        <f t="shared" ref="AR48:AR49" ca="1" si="454">AQ48*$AE48</f>
        <v>0</v>
      </c>
      <c r="AS48" s="207">
        <f t="shared" ref="AS48:AS49" ca="1" si="455">IFERROR(AR48/AF$4,0)</f>
        <v>0</v>
      </c>
      <c r="AT48" s="391">
        <f t="shared" ref="AT48:AT49" si="456">AF48+AP48</f>
        <v>0</v>
      </c>
      <c r="AU48" s="391">
        <f t="shared" ca="1" si="179"/>
        <v>0</v>
      </c>
      <c r="AV48" s="391">
        <f t="shared" ref="AV48:AV49" ca="1" si="457">AU48*$AE48</f>
        <v>0</v>
      </c>
      <c r="AW48" s="394">
        <f t="shared" ref="AW48:AW49" ca="1" si="458">IFERROR(AV48/AF$4,0)</f>
        <v>0</v>
      </c>
      <c r="AX48" s="1007" t="str">
        <f t="shared" ca="1" si="13"/>
        <v/>
      </c>
      <c r="AY48" s="1255"/>
      <c r="AZ48" s="312" t="str">
        <f t="shared" ref="AZ48:AZ70" ca="1" si="459">IFERROR($AC48/BA48-1,"")</f>
        <v/>
      </c>
      <c r="BA48" s="1254"/>
      <c r="BB48" s="199">
        <f t="shared" ref="BB48:BB49" ca="1" si="460">AY48*$AC48</f>
        <v>0</v>
      </c>
      <c r="BC48" s="199">
        <f t="shared" ref="BC48:BC49" ca="1" si="461">BB48*$AE48</f>
        <v>0</v>
      </c>
      <c r="BD48" s="216">
        <f t="shared" ref="BD48:BD49" ca="1" si="462">IFERROR(BC48/AY$4,0)</f>
        <v>0</v>
      </c>
      <c r="BE48" s="202">
        <f t="shared" ref="BE48:BE49" ca="1" si="463">BF48/$AC48</f>
        <v>148.75594084924967</v>
      </c>
      <c r="BF48" s="203">
        <f t="shared" ref="BF48:BF49" ca="1" si="464">BG48/$AE48</f>
        <v>10613.736379593964</v>
      </c>
      <c r="BG48" s="203">
        <f t="shared" ref="BG48:BG49" ca="1" si="465">BH48*AY$4</f>
        <v>10613.737759379694</v>
      </c>
      <c r="BH48" s="204">
        <f t="shared" ref="BH48:BH49" ca="1" si="466">$N48-BD48</f>
        <v>1.4999999999999999E-2</v>
      </c>
      <c r="BI48" s="1253"/>
      <c r="BJ48" s="206">
        <f t="shared" ref="BJ48:BJ49" ca="1" si="467">BI48*$AC48</f>
        <v>0</v>
      </c>
      <c r="BK48" s="206">
        <f t="shared" ref="BK48:BK49" ca="1" si="468">BJ48*$AE48</f>
        <v>0</v>
      </c>
      <c r="BL48" s="207">
        <f t="shared" ref="BL48:BL49" ca="1" si="469">IFERROR(BK48/AY$4,0)</f>
        <v>0</v>
      </c>
      <c r="BM48" s="391">
        <f t="shared" ref="BM48:BM49" si="470">AY48+BI48</f>
        <v>0</v>
      </c>
      <c r="BN48" s="391">
        <f t="shared" ca="1" si="194"/>
        <v>0</v>
      </c>
      <c r="BO48" s="391">
        <f t="shared" ref="BO48:BO49" ca="1" si="471">BN48*$AE48</f>
        <v>0</v>
      </c>
      <c r="BP48" s="886">
        <f t="shared" ca="1" si="408"/>
        <v>0</v>
      </c>
      <c r="BQ48" s="1007" t="str">
        <f t="shared" ca="1" si="409"/>
        <v/>
      </c>
      <c r="BR48" s="1007"/>
    </row>
    <row r="49" spans="1:70" ht="13.5" hidden="1" customHeight="1" outlineLevel="1" x14ac:dyDescent="0.2">
      <c r="A49" s="367"/>
      <c r="B49" s="367"/>
      <c r="C49" s="367" t="str">
        <f t="shared" ca="1" si="433"/>
        <v>CH0009002962:CHF:P</v>
      </c>
      <c r="D49" s="368" t="str">
        <f t="shared" ca="1" si="434"/>
        <v>CH0009002962</v>
      </c>
      <c r="E49" s="369" t="str">
        <f t="shared" ca="1" si="434"/>
        <v>900296</v>
      </c>
      <c r="F49" s="370" t="s">
        <v>476</v>
      </c>
      <c r="G49" s="371"/>
      <c r="H49" s="1713" t="str">
        <f t="shared" ca="1" si="435"/>
        <v></v>
      </c>
      <c r="I49" s="1683" t="str">
        <f t="shared" ca="1" si="436"/>
        <v>i</v>
      </c>
      <c r="J49" s="1713" t="str">
        <f t="shared" ca="1" si="437"/>
        <v></v>
      </c>
      <c r="K49" s="1716" t="str">
        <f t="shared" ca="1" si="437"/>
        <v></v>
      </c>
      <c r="L49" s="1717" t="str">
        <f t="shared" ca="1" si="438"/>
        <v></v>
      </c>
      <c r="M49" s="366" t="str">
        <f t="shared" ca="1" si="439"/>
        <v>Unit</v>
      </c>
      <c r="N49" s="1309">
        <v>1.4999999999999999E-2</v>
      </c>
      <c r="O49" s="1310" cm="1">
        <f t="array" aca="1" ref="O49" ca="1">SUM(IF($AF$14:$BQ$14="I_ctrlv",AF49:BQ49))</f>
        <v>0</v>
      </c>
      <c r="P49" s="373">
        <f t="shared" ca="1" si="384"/>
        <v>0</v>
      </c>
      <c r="Q49" s="391">
        <f t="array" aca="1" ref="Q49" ca="1">SUM(IF($AF$14:$BQ$14="I_pos",AF49:BQ49))</f>
        <v>0</v>
      </c>
      <c r="R49" s="391">
        <f t="array" aca="1" ref="R49" ca="1">SUM(IF($AF$14:$BQ$14="P_Pos",AF49:BQ49))</f>
        <v>70.579158460244827</v>
      </c>
      <c r="S49" s="1311"/>
      <c r="T49" s="391"/>
      <c r="U49" s="366"/>
      <c r="V49" s="391">
        <f t="array" aca="1" ref="V49" ca="1">SUM(IF($AF$14:$BQ$14="O_Pos",AF49:BQ49))</f>
        <v>0</v>
      </c>
      <c r="W49" s="1310"/>
      <c r="X49" s="1312">
        <f t="shared" ca="1" si="440"/>
        <v>0</v>
      </c>
      <c r="Y49" s="1312">
        <f t="shared" ca="1" si="440"/>
        <v>0</v>
      </c>
      <c r="Z49" s="1312">
        <f t="shared" ca="1" si="440"/>
        <v>0</v>
      </c>
      <c r="AA49" s="1313">
        <f t="shared" ca="1" si="440"/>
        <v>0</v>
      </c>
      <c r="AB49" s="367" t="str">
        <f t="shared" ca="1" si="441"/>
        <v>CHF</v>
      </c>
      <c r="AC49" s="392">
        <f t="shared" ca="1" si="442"/>
        <v>1392</v>
      </c>
      <c r="AD49" s="393">
        <f t="shared" ca="1" si="443"/>
        <v>2.0833330000000001E-2</v>
      </c>
      <c r="AE49" s="378">
        <f t="shared" ca="1" si="444"/>
        <v>1.0000001300000001</v>
      </c>
      <c r="AF49" s="214"/>
      <c r="AG49" s="312" t="str">
        <f t="shared" ca="1" si="445"/>
        <v/>
      </c>
      <c r="AH49" s="1254"/>
      <c r="AI49" s="199">
        <f t="shared" ca="1" si="446"/>
        <v>0</v>
      </c>
      <c r="AJ49" s="199">
        <f t="shared" ca="1" si="447"/>
        <v>0</v>
      </c>
      <c r="AK49" s="216">
        <f t="shared" ca="1" si="448"/>
        <v>0</v>
      </c>
      <c r="AL49" s="202">
        <f t="shared" ca="1" si="449"/>
        <v>62.954347842720424</v>
      </c>
      <c r="AM49" s="203">
        <f t="shared" ca="1" si="450"/>
        <v>87632.452197066828</v>
      </c>
      <c r="AN49" s="203">
        <f t="shared" ca="1" si="451"/>
        <v>87632.463589285617</v>
      </c>
      <c r="AO49" s="204">
        <f t="shared" ca="1" si="452"/>
        <v>1.4999999999999999E-2</v>
      </c>
      <c r="AP49" s="205"/>
      <c r="AQ49" s="206">
        <f t="shared" ca="1" si="453"/>
        <v>0</v>
      </c>
      <c r="AR49" s="206">
        <f t="shared" ca="1" si="454"/>
        <v>0</v>
      </c>
      <c r="AS49" s="207">
        <f t="shared" ca="1" si="455"/>
        <v>0</v>
      </c>
      <c r="AT49" s="391">
        <f t="shared" si="456"/>
        <v>0</v>
      </c>
      <c r="AU49" s="391">
        <f t="shared" ca="1" si="179"/>
        <v>0</v>
      </c>
      <c r="AV49" s="391">
        <f t="shared" ca="1" si="457"/>
        <v>0</v>
      </c>
      <c r="AW49" s="394">
        <f t="shared" ca="1" si="458"/>
        <v>0</v>
      </c>
      <c r="AX49" s="1007" t="str">
        <f t="shared" ca="1" si="13"/>
        <v/>
      </c>
      <c r="AY49" s="1255"/>
      <c r="AZ49" s="312" t="str">
        <f t="shared" ca="1" si="459"/>
        <v/>
      </c>
      <c r="BA49" s="1254"/>
      <c r="BB49" s="199">
        <f t="shared" ca="1" si="460"/>
        <v>0</v>
      </c>
      <c r="BC49" s="199">
        <f t="shared" ca="1" si="461"/>
        <v>0</v>
      </c>
      <c r="BD49" s="216">
        <f t="shared" ca="1" si="462"/>
        <v>0</v>
      </c>
      <c r="BE49" s="202">
        <f t="shared" ca="1" si="463"/>
        <v>7.6248106175243988</v>
      </c>
      <c r="BF49" s="203">
        <f t="shared" ca="1" si="464"/>
        <v>10613.736379593964</v>
      </c>
      <c r="BG49" s="203">
        <f t="shared" ca="1" si="465"/>
        <v>10613.737759379694</v>
      </c>
      <c r="BH49" s="204">
        <f t="shared" ca="1" si="466"/>
        <v>1.4999999999999999E-2</v>
      </c>
      <c r="BI49" s="1253"/>
      <c r="BJ49" s="206">
        <f t="shared" ca="1" si="467"/>
        <v>0</v>
      </c>
      <c r="BK49" s="206">
        <f t="shared" ca="1" si="468"/>
        <v>0</v>
      </c>
      <c r="BL49" s="207">
        <f t="shared" ca="1" si="469"/>
        <v>0</v>
      </c>
      <c r="BM49" s="391">
        <f t="shared" si="470"/>
        <v>0</v>
      </c>
      <c r="BN49" s="391">
        <f t="shared" ca="1" si="194"/>
        <v>0</v>
      </c>
      <c r="BO49" s="391">
        <f t="shared" ca="1" si="471"/>
        <v>0</v>
      </c>
      <c r="BP49" s="886">
        <f t="shared" ca="1" si="408"/>
        <v>0</v>
      </c>
      <c r="BQ49" s="1007" t="str">
        <f t="shared" ca="1" si="409"/>
        <v/>
      </c>
      <c r="BR49" s="1007"/>
    </row>
    <row r="50" spans="1:70" ht="13.5" hidden="1" customHeight="1" outlineLevel="1" x14ac:dyDescent="0.2">
      <c r="A50" s="367"/>
      <c r="B50" s="367"/>
      <c r="C50" s="367" t="str">
        <f t="shared" ca="1" si="433"/>
        <v>CH0002432174:CHF</v>
      </c>
      <c r="D50" s="368" t="str">
        <f t="shared" ca="1" si="434"/>
        <v>CH0002432174</v>
      </c>
      <c r="E50" s="369" t="str">
        <f t="shared" ca="1" si="434"/>
        <v>243217</v>
      </c>
      <c r="F50" s="390" t="s">
        <v>616</v>
      </c>
      <c r="G50" s="371"/>
      <c r="H50" s="1713" t="str">
        <f t="shared" ca="1" si="435"/>
        <v></v>
      </c>
      <c r="I50" s="1683" t="str">
        <f t="shared" ca="1" si="436"/>
        <v>i</v>
      </c>
      <c r="J50" s="1713" t="str">
        <f t="shared" ca="1" si="437"/>
        <v></v>
      </c>
      <c r="K50" s="1716" t="str">
        <f t="shared" ca="1" si="437"/>
        <v></v>
      </c>
      <c r="L50" s="1717" t="str">
        <f t="shared" ca="1" si="438"/>
        <v></v>
      </c>
      <c r="M50" s="366" t="str">
        <f t="shared" ca="1" si="439"/>
        <v>Unit</v>
      </c>
      <c r="N50" s="1309"/>
      <c r="O50" s="1310" cm="1">
        <f t="array" aca="1" ref="O50" ca="1">SUM(IF($AF$14:$BQ$14="I_ctrlv",AF50:BQ50))</f>
        <v>18850.0024505</v>
      </c>
      <c r="P50" s="373">
        <f t="shared" ca="1" si="384"/>
        <v>2.8779742409994068E-3</v>
      </c>
      <c r="Q50" s="391">
        <f t="array" aca="1" ref="Q50" ca="1">SUM(IF($AF$14:$BQ$14="I_pos",AF50:BQ50))</f>
        <v>50</v>
      </c>
      <c r="R50" s="391">
        <f t="array" aca="1" ref="R50" ca="1">SUM(IF($AF$14:$BQ$14="P_Pos",AF50:BQ50))</f>
        <v>-50</v>
      </c>
      <c r="S50" s="1311"/>
      <c r="T50" s="391"/>
      <c r="U50" s="366"/>
      <c r="V50" s="391">
        <f t="array" aca="1" ref="V50" ca="1">SUM(IF($AF$14:$BQ$14="O_Pos",AF50:BQ50))</f>
        <v>0</v>
      </c>
      <c r="W50" s="1310"/>
      <c r="X50" s="1312">
        <f t="shared" ca="1" si="440"/>
        <v>0</v>
      </c>
      <c r="Y50" s="1312">
        <f t="shared" ca="1" si="440"/>
        <v>0</v>
      </c>
      <c r="Z50" s="1312">
        <f t="shared" ca="1" si="440"/>
        <v>0</v>
      </c>
      <c r="AA50" s="1313">
        <f t="shared" ca="1" si="440"/>
        <v>0</v>
      </c>
      <c r="AB50" s="367" t="str">
        <f t="shared" ca="1" si="441"/>
        <v>CHF</v>
      </c>
      <c r="AC50" s="392">
        <f t="shared" ca="1" si="442"/>
        <v>377</v>
      </c>
      <c r="AD50" s="393">
        <f t="shared" ca="1" si="443"/>
        <v>2.9177720000000001E-2</v>
      </c>
      <c r="AE50" s="378">
        <f t="shared" ref="AE50" ca="1" si="472">_xlfn.NUMBERVALUE(OFFSET(Origine,MATCH(AB50&amp;"/"&amp;MRif,LUKB_Name,0),MATCH("Price",Intestazioni,0)-1,1,1))</f>
        <v>1.0000001300000001</v>
      </c>
      <c r="AF50" s="214"/>
      <c r="AG50" s="312" t="str">
        <f t="shared" ref="AG50" ca="1" si="473">IFERROR($AC50/AH50-1,"")</f>
        <v/>
      </c>
      <c r="AH50" s="1254"/>
      <c r="AI50" s="199">
        <f t="shared" ref="AI50" ca="1" si="474">AF50*$AC50</f>
        <v>0</v>
      </c>
      <c r="AJ50" s="199">
        <f t="shared" ref="AJ50" ca="1" si="475">AI50*$AE50</f>
        <v>0</v>
      </c>
      <c r="AK50" s="216">
        <f t="shared" ref="AK50" ca="1" si="476">IFERROR(AJ50/AF$4,0)</f>
        <v>0</v>
      </c>
      <c r="AL50" s="202">
        <f t="shared" ref="AL50" ca="1" si="477">AM50/$AC50</f>
        <v>0</v>
      </c>
      <c r="AM50" s="203">
        <f t="shared" ref="AM50" ca="1" si="478">AN50/$AE50</f>
        <v>0</v>
      </c>
      <c r="AN50" s="203">
        <f t="shared" ref="AN50" ca="1" si="479">AO50*AF$4</f>
        <v>0</v>
      </c>
      <c r="AO50" s="204">
        <f t="shared" ref="AO50" ca="1" si="480">$N50-AK50</f>
        <v>0</v>
      </c>
      <c r="AP50" s="205"/>
      <c r="AQ50" s="206">
        <f t="shared" ref="AQ50" ca="1" si="481">AP50*$AC50</f>
        <v>0</v>
      </c>
      <c r="AR50" s="206">
        <f t="shared" ref="AR50" ca="1" si="482">AQ50*$AE50</f>
        <v>0</v>
      </c>
      <c r="AS50" s="207">
        <f t="shared" ref="AS50" ca="1" si="483">IFERROR(AR50/AF$4,0)</f>
        <v>0</v>
      </c>
      <c r="AT50" s="391">
        <f t="shared" ref="AT50" si="484">AF50+AP50</f>
        <v>0</v>
      </c>
      <c r="AU50" s="391">
        <f t="shared" ref="AU50" ca="1" si="485">AI50+IF($T50="",AQ50)</f>
        <v>0</v>
      </c>
      <c r="AV50" s="391">
        <f t="shared" ref="AV50" ca="1" si="486">AU50*$AE50</f>
        <v>0</v>
      </c>
      <c r="AW50" s="394">
        <f t="shared" ref="AW50" ca="1" si="487">IFERROR(AV50/AF$4,0)</f>
        <v>0</v>
      </c>
      <c r="AX50" s="1007" t="str">
        <f t="shared" ref="AX50" ca="1" si="488">IF(OR(AK50&lt;&gt;0,AS50&lt;&gt;0),"V","")</f>
        <v/>
      </c>
      <c r="AY50" s="1255">
        <v>50</v>
      </c>
      <c r="AZ50" s="312">
        <f t="shared" ref="AZ50" ca="1" si="489">IFERROR($AC50/BA50-1,"")</f>
        <v>-8.7856147414060115E-2</v>
      </c>
      <c r="BA50" s="1254">
        <v>413.31200000000001</v>
      </c>
      <c r="BB50" s="199">
        <f t="shared" ref="BB50" ca="1" si="490">AY50*$AC50</f>
        <v>18850</v>
      </c>
      <c r="BC50" s="199">
        <f t="shared" ref="BC50" ca="1" si="491">BB50*$AE50</f>
        <v>18850.0024505</v>
      </c>
      <c r="BD50" s="216">
        <f t="shared" ref="BD50" ca="1" si="492">IFERROR(BC50/AY$4,0)</f>
        <v>2.6640005921347066E-2</v>
      </c>
      <c r="BE50" s="202">
        <f t="shared" ref="BE50" ca="1" si="493">BF50/$AC50</f>
        <v>-50</v>
      </c>
      <c r="BF50" s="203">
        <f t="shared" ref="BF50" ca="1" si="494">BG50/$AE50</f>
        <v>-18850</v>
      </c>
      <c r="BG50" s="203">
        <f t="shared" ref="BG50" ca="1" si="495">BH50*AY$4</f>
        <v>-18850.0024505</v>
      </c>
      <c r="BH50" s="204">
        <f t="shared" ref="BH50" ca="1" si="496">$N50-BD50</f>
        <v>-2.6640005921347066E-2</v>
      </c>
      <c r="BI50" s="1253"/>
      <c r="BJ50" s="206">
        <f t="shared" ref="BJ50" ca="1" si="497">BI50*$AC50</f>
        <v>0</v>
      </c>
      <c r="BK50" s="206">
        <f t="shared" ref="BK50" ca="1" si="498">BJ50*$AE50</f>
        <v>0</v>
      </c>
      <c r="BL50" s="207">
        <f t="shared" ref="BL50" ca="1" si="499">IFERROR(BK50/AY$4,0)</f>
        <v>0</v>
      </c>
      <c r="BM50" s="391">
        <f t="shared" ref="BM50" si="500">AY50+BI50</f>
        <v>50</v>
      </c>
      <c r="BN50" s="391">
        <f t="shared" ref="BN50" ca="1" si="501">BB50+IF($T50="",BJ50)</f>
        <v>18850</v>
      </c>
      <c r="BO50" s="391">
        <f t="shared" ref="BO50" ca="1" si="502">BN50*$AE50</f>
        <v>18850.0024505</v>
      </c>
      <c r="BP50" s="886">
        <f t="shared" ref="BP50" ca="1" si="503">IFERROR(BO50/AY$4,0)</f>
        <v>2.6640005921347066E-2</v>
      </c>
      <c r="BQ50" s="1007" t="str">
        <f t="shared" ref="BQ50" ca="1" si="504">IF(SUM(BD50,BL50,BP50)&lt;&gt;0,"V","")</f>
        <v>V</v>
      </c>
      <c r="BR50" s="1007"/>
    </row>
    <row r="51" spans="1:70" ht="13.5" hidden="1" customHeight="1" outlineLevel="1" x14ac:dyDescent="0.2">
      <c r="A51" s="367"/>
      <c r="B51" s="367"/>
      <c r="C51" s="367" t="str">
        <f t="shared" ca="1" si="433"/>
        <v>CH0012829898:CHF</v>
      </c>
      <c r="D51" s="368" t="str">
        <f t="shared" ca="1" si="434"/>
        <v>CH0012829898</v>
      </c>
      <c r="E51" s="369" t="str">
        <f t="shared" ca="1" si="434"/>
        <v>1282989</v>
      </c>
      <c r="F51" s="390" t="s">
        <v>887</v>
      </c>
      <c r="G51" s="371"/>
      <c r="H51" s="1713" t="str">
        <f t="shared" ca="1" si="435"/>
        <v></v>
      </c>
      <c r="I51" s="1683" t="str">
        <f t="shared" ref="I51" ca="1" si="505">HYPERLINK(OFFSET(Origine,MATCH($F51,Descrizioni,0),MATCH(I$14,Intestazioni,0)-1,1,1),"i")</f>
        <v>i</v>
      </c>
      <c r="J51" s="1713" t="str">
        <f t="shared" ref="J51:K51" ca="1" si="506">HYPERLINK(OFFSET(Origine,MATCH($F51,Descrizioni,0),MATCH(J$14,Intestazioni,0)-1,1,1),"")</f>
        <v></v>
      </c>
      <c r="K51" s="1716" t="str">
        <f t="shared" ca="1" si="506"/>
        <v></v>
      </c>
      <c r="L51" s="1717" t="str">
        <f t="shared" ca="1" si="438"/>
        <v></v>
      </c>
      <c r="M51" s="366" t="str">
        <f t="shared" ca="1" si="439"/>
        <v>Unit</v>
      </c>
      <c r="N51" s="1309"/>
      <c r="O51" s="1310" cm="1">
        <f t="array" aca="1" ref="O51" ca="1">SUM(IF($AF$14:$BQ$14="I_ctrlv",AF51:BQ51))</f>
        <v>16240.002111200001</v>
      </c>
      <c r="P51" s="373">
        <f t="shared" ca="1" si="384"/>
        <v>2.4794854999379509E-3</v>
      </c>
      <c r="Q51" s="391">
        <f t="array" aca="1" ref="Q51" ca="1">SUM(IF($AF$14:$BQ$14="I_pos",AF51:BQ51))</f>
        <v>20</v>
      </c>
      <c r="R51" s="391">
        <f t="array" aca="1" ref="R51" ca="1">SUM(IF($AF$14:$BQ$14="P_Pos",AF51:BQ51))</f>
        <v>-20</v>
      </c>
      <c r="S51" s="1311"/>
      <c r="T51" s="391"/>
      <c r="U51" s="366"/>
      <c r="V51" s="391">
        <f t="array" aca="1" ref="V51" ca="1">SUM(IF($AF$14:$BQ$14="O_Pos",AF51:BQ51))</f>
        <v>0</v>
      </c>
      <c r="W51" s="1310"/>
      <c r="X51" s="1312">
        <f t="shared" ref="X51:AA51" ca="1" si="507">OFFSET(Origine,MATCH($F51,Descrizioni,0),MATCH(X$14,Intestazioni,0)-1,1,1)</f>
        <v>0</v>
      </c>
      <c r="Y51" s="1312">
        <f t="shared" ca="1" si="507"/>
        <v>0</v>
      </c>
      <c r="Z51" s="1312">
        <f t="shared" ca="1" si="507"/>
        <v>0</v>
      </c>
      <c r="AA51" s="1313">
        <f t="shared" ca="1" si="507"/>
        <v>0</v>
      </c>
      <c r="AB51" s="367" t="str">
        <f t="shared" ref="AB51" ca="1" si="508">OFFSET(Origine,MATCH($F51,Descrizioni,0),MATCH(AB$14,Intestazioni,0)-1,1,1)</f>
        <v>CHF</v>
      </c>
      <c r="AC51" s="392">
        <f t="shared" ref="AC51" ca="1" si="509">_xlfn.NUMBERVALUE(OFFSET(Origine,MATCH($F51,Descrizioni,0),MATCH(AC$14,Intestazioni,0)-1,1,1))</f>
        <v>812</v>
      </c>
      <c r="AD51" s="393">
        <f t="shared" ca="1" si="443"/>
        <v>2.155172E-2</v>
      </c>
      <c r="AE51" s="378">
        <f t="shared" ca="1" si="444"/>
        <v>1.0000001300000001</v>
      </c>
      <c r="AF51" s="214"/>
      <c r="AG51" s="312" t="str">
        <f t="shared" ca="1" si="445"/>
        <v/>
      </c>
      <c r="AH51" s="1254"/>
      <c r="AI51" s="199">
        <f t="shared" ref="AI51:AI52" ca="1" si="510">AF51*$AC51</f>
        <v>0</v>
      </c>
      <c r="AJ51" s="199">
        <f t="shared" ref="AJ51:AJ52" ca="1" si="511">AI51*$AE51</f>
        <v>0</v>
      </c>
      <c r="AK51" s="216">
        <f t="shared" ref="AK51:AK52" ca="1" si="512">IFERROR(AJ51/AF$4,0)</f>
        <v>0</v>
      </c>
      <c r="AL51" s="202">
        <f t="shared" ref="AL51:AL52" ca="1" si="513">AM51/$AC51</f>
        <v>0</v>
      </c>
      <c r="AM51" s="203">
        <f t="shared" ref="AM51:AM52" ca="1" si="514">AN51/$AE51</f>
        <v>0</v>
      </c>
      <c r="AN51" s="203">
        <f t="shared" ref="AN51:AN52" ca="1" si="515">AO51*AF$4</f>
        <v>0</v>
      </c>
      <c r="AO51" s="204">
        <f t="shared" ref="AO51:AO52" ca="1" si="516">$N51-AK51</f>
        <v>0</v>
      </c>
      <c r="AP51" s="205"/>
      <c r="AQ51" s="206">
        <f t="shared" ref="AQ51:AQ52" ca="1" si="517">AP51*$AC51</f>
        <v>0</v>
      </c>
      <c r="AR51" s="206">
        <f t="shared" ref="AR51:AR52" ca="1" si="518">AQ51*$AE51</f>
        <v>0</v>
      </c>
      <c r="AS51" s="207">
        <f t="shared" ref="AS51:AS52" ca="1" si="519">IFERROR(AR51/AF$4,0)</f>
        <v>0</v>
      </c>
      <c r="AT51" s="391">
        <f t="shared" ref="AT51:AT52" si="520">AF51+AP51</f>
        <v>0</v>
      </c>
      <c r="AU51" s="391">
        <f t="shared" ca="1" si="179"/>
        <v>0</v>
      </c>
      <c r="AV51" s="391">
        <f t="shared" ref="AV51:AV52" ca="1" si="521">AU51*$AE51</f>
        <v>0</v>
      </c>
      <c r="AW51" s="394">
        <f t="shared" ref="AW51:AW52" ca="1" si="522">IFERROR(AV51/AF$4,0)</f>
        <v>0</v>
      </c>
      <c r="AX51" s="1007" t="str">
        <f t="shared" ca="1" si="13"/>
        <v/>
      </c>
      <c r="AY51" s="1255">
        <v>20</v>
      </c>
      <c r="AZ51" s="312">
        <f t="shared" ca="1" si="459"/>
        <v>4.6391752577319645E-2</v>
      </c>
      <c r="BA51" s="1254">
        <v>776</v>
      </c>
      <c r="BB51" s="199">
        <f t="shared" ref="BB51:BB52" ca="1" si="523">AY51*$AC51</f>
        <v>16240</v>
      </c>
      <c r="BC51" s="199">
        <f t="shared" ref="BC51:BC52" ca="1" si="524">BB51*$AE51</f>
        <v>16240.002111200001</v>
      </c>
      <c r="BD51" s="216">
        <f t="shared" ref="BD51:BD52" ca="1" si="525">IFERROR(BC51/AY$4,0)</f>
        <v>2.2951389716852857E-2</v>
      </c>
      <c r="BE51" s="202">
        <f t="shared" ref="BE51:BE52" ca="1" si="526">BF51/$AC51</f>
        <v>-20</v>
      </c>
      <c r="BF51" s="203">
        <f t="shared" ref="BF51:BF52" ca="1" si="527">BG51/$AE51</f>
        <v>-16240</v>
      </c>
      <c r="BG51" s="203">
        <f t="shared" ref="BG51:BG52" ca="1" si="528">BH51*AY$4</f>
        <v>-16240.002111200001</v>
      </c>
      <c r="BH51" s="204">
        <f t="shared" ref="BH51:BH52" ca="1" si="529">$N51-BD51</f>
        <v>-2.2951389716852857E-2</v>
      </c>
      <c r="BI51" s="1253"/>
      <c r="BJ51" s="206">
        <f t="shared" ref="BJ51:BJ52" ca="1" si="530">BI51*$AC51</f>
        <v>0</v>
      </c>
      <c r="BK51" s="206">
        <f t="shared" ref="BK51:BK52" ca="1" si="531">BJ51*$AE51</f>
        <v>0</v>
      </c>
      <c r="BL51" s="207">
        <f t="shared" ref="BL51:BL52" ca="1" si="532">IFERROR(BK51/AY$4,0)</f>
        <v>0</v>
      </c>
      <c r="BM51" s="391">
        <f t="shared" ref="BM51:BM52" si="533">AY51+BI51</f>
        <v>20</v>
      </c>
      <c r="BN51" s="391">
        <f t="shared" ca="1" si="194"/>
        <v>16240</v>
      </c>
      <c r="BO51" s="391">
        <f t="shared" ref="BO51:BO52" ca="1" si="534">BN51*$AE51</f>
        <v>16240.002111200001</v>
      </c>
      <c r="BP51" s="886">
        <f t="shared" ca="1" si="408"/>
        <v>2.2951389716852857E-2</v>
      </c>
      <c r="BQ51" s="1007" t="str">
        <f t="shared" ca="1" si="409"/>
        <v>V</v>
      </c>
      <c r="BR51" s="1007"/>
    </row>
    <row r="52" spans="1:70" ht="13.5" hidden="1" customHeight="1" outlineLevel="1" x14ac:dyDescent="0.2">
      <c r="A52" s="367"/>
      <c r="B52" s="367"/>
      <c r="C52" s="367" t="str">
        <f t="shared" ca="1" si="433"/>
        <v>CH0030380734:CHF</v>
      </c>
      <c r="D52" s="368" t="str">
        <f t="shared" ca="1" si="434"/>
        <v>CH0030380734</v>
      </c>
      <c r="E52" s="369" t="str">
        <f t="shared" ca="1" si="434"/>
        <v>3038073</v>
      </c>
      <c r="F52" s="370" t="s">
        <v>4417</v>
      </c>
      <c r="G52" s="414"/>
      <c r="H52" s="1713" t="str">
        <f t="shared" ca="1" si="435"/>
        <v></v>
      </c>
      <c r="I52" s="1683" t="str">
        <f t="shared" ref="I52:I53" ca="1" si="535">HYPERLINK(OFFSET(Origine,MATCH($F52,Descrizioni,0),MATCH(I$14,Intestazioni,0)-1,1,1),"i")</f>
        <v>i</v>
      </c>
      <c r="J52" s="1713" t="str">
        <f t="shared" ref="J52:K53" ca="1" si="536">HYPERLINK(OFFSET(Origine,MATCH($F52,Descrizioni,0),MATCH(J$14,Intestazioni,0)-1,1,1),"")</f>
        <v></v>
      </c>
      <c r="K52" s="1716" t="str">
        <f t="shared" ca="1" si="536"/>
        <v></v>
      </c>
      <c r="L52" s="1717" t="str">
        <f t="shared" ca="1" si="438"/>
        <v></v>
      </c>
      <c r="M52" s="366" t="str">
        <f t="shared" ca="1" si="439"/>
        <v>Unit</v>
      </c>
      <c r="N52" s="1309">
        <v>1.4999999999999999E-2</v>
      </c>
      <c r="O52" s="1310" cm="1">
        <f t="array" aca="1" ref="O52" ca="1">SUM(IF($AF$14:$BQ$14="I_ctrlv",AF52:BQ52))</f>
        <v>0</v>
      </c>
      <c r="P52" s="373">
        <f t="shared" ca="1" si="384"/>
        <v>0</v>
      </c>
      <c r="Q52" s="391">
        <f t="array" aca="1" ref="Q52" ca="1">SUM(IF($AF$14:$BQ$14="I_pos",AF52:BQ52))</f>
        <v>0</v>
      </c>
      <c r="R52" s="391">
        <f t="array" aca="1" ref="R52" ca="1">SUM(IF($AF$14:$BQ$14="P_Pos",AF52:BQ52))</f>
        <v>545.20637389933847</v>
      </c>
      <c r="S52" s="1314"/>
      <c r="T52" s="391"/>
      <c r="U52" s="366"/>
      <c r="V52" s="391">
        <f t="array" aca="1" ref="V52" ca="1">SUM(IF($AF$14:$BQ$14="O_Pos",AF52:BQ52))</f>
        <v>0</v>
      </c>
      <c r="W52" s="1310"/>
      <c r="X52" s="1312">
        <f t="shared" ref="X52:AA53" ca="1" si="537">OFFSET(Origine,MATCH($F52,Descrizioni,0),MATCH(X$14,Intestazioni,0)-1,1,1)</f>
        <v>0</v>
      </c>
      <c r="Y52" s="1312">
        <f t="shared" ca="1" si="537"/>
        <v>0</v>
      </c>
      <c r="Z52" s="1312">
        <f t="shared" ca="1" si="537"/>
        <v>0</v>
      </c>
      <c r="AA52" s="1313">
        <f t="shared" ca="1" si="537"/>
        <v>0</v>
      </c>
      <c r="AB52" s="367" t="str">
        <f t="shared" ref="AB52:AB53" ca="1" si="538">OFFSET(Origine,MATCH($F52,Descrizioni,0),MATCH(AB$14,Intestazioni,0)-1,1,1)</f>
        <v>CHF</v>
      </c>
      <c r="AC52" s="392">
        <f t="shared" ref="AC52:AC53" ca="1" si="539">_xlfn.NUMBERVALUE(OFFSET(Origine,MATCH($F52,Descrizioni,0),MATCH(AC$14,Intestazioni,0)-1,1,1))</f>
        <v>180.2</v>
      </c>
      <c r="AD52" s="393">
        <f t="shared" ca="1" si="443"/>
        <v>1.0543840000000001E-2</v>
      </c>
      <c r="AE52" s="378">
        <f t="shared" ref="AE52" ca="1" si="540">_xlfn.NUMBERVALUE(OFFSET(Origine,MATCH(AB52&amp;"/"&amp;MRif,LUKB_Name,0),MATCH("Price",Intestazioni,0)-1,1,1))</f>
        <v>1.0000001300000001</v>
      </c>
      <c r="AF52" s="214"/>
      <c r="AG52" s="312" t="str">
        <f t="shared" ref="AG52" ca="1" si="541">IFERROR($AC52/AH52-1,"")</f>
        <v/>
      </c>
      <c r="AH52" s="1254"/>
      <c r="AI52" s="199">
        <f t="shared" ca="1" si="510"/>
        <v>0</v>
      </c>
      <c r="AJ52" s="199">
        <f t="shared" ca="1" si="511"/>
        <v>0</v>
      </c>
      <c r="AK52" s="216">
        <f t="shared" ca="1" si="512"/>
        <v>0</v>
      </c>
      <c r="AL52" s="202">
        <f t="shared" ca="1" si="513"/>
        <v>486.30661596596468</v>
      </c>
      <c r="AM52" s="203">
        <f t="shared" ca="1" si="514"/>
        <v>87632.452197066828</v>
      </c>
      <c r="AN52" s="203">
        <f t="shared" ca="1" si="515"/>
        <v>87632.463589285617</v>
      </c>
      <c r="AO52" s="204">
        <f t="shared" ca="1" si="516"/>
        <v>1.4999999999999999E-2</v>
      </c>
      <c r="AP52" s="205"/>
      <c r="AQ52" s="206">
        <f t="shared" ca="1" si="517"/>
        <v>0</v>
      </c>
      <c r="AR52" s="206">
        <f t="shared" ca="1" si="518"/>
        <v>0</v>
      </c>
      <c r="AS52" s="207">
        <f t="shared" ca="1" si="519"/>
        <v>0</v>
      </c>
      <c r="AT52" s="391">
        <f t="shared" si="520"/>
        <v>0</v>
      </c>
      <c r="AU52" s="391">
        <f t="shared" ref="AU52" ca="1" si="542">AI52+IF($T52="",AQ52)</f>
        <v>0</v>
      </c>
      <c r="AV52" s="391">
        <f t="shared" ca="1" si="521"/>
        <v>0</v>
      </c>
      <c r="AW52" s="394">
        <f t="shared" ca="1" si="522"/>
        <v>0</v>
      </c>
      <c r="AX52" s="1007" t="str">
        <f t="shared" ref="AX52" ca="1" si="543">IF(OR(AK52&lt;&gt;0,AS52&lt;&gt;0),"V","")</f>
        <v/>
      </c>
      <c r="AY52" s="1255"/>
      <c r="AZ52" s="312" t="str">
        <f t="shared" ref="AZ52" ca="1" si="544">IFERROR($AC52/BA52-1,"")</f>
        <v/>
      </c>
      <c r="BA52" s="1254"/>
      <c r="BB52" s="199">
        <f t="shared" ca="1" si="523"/>
        <v>0</v>
      </c>
      <c r="BC52" s="199">
        <f t="shared" ca="1" si="524"/>
        <v>0</v>
      </c>
      <c r="BD52" s="216">
        <f t="shared" ca="1" si="525"/>
        <v>0</v>
      </c>
      <c r="BE52" s="202">
        <f t="shared" ca="1" si="526"/>
        <v>58.899757933373834</v>
      </c>
      <c r="BF52" s="203">
        <f t="shared" ca="1" si="527"/>
        <v>10613.736379593964</v>
      </c>
      <c r="BG52" s="203">
        <f t="shared" ca="1" si="528"/>
        <v>10613.737759379694</v>
      </c>
      <c r="BH52" s="204">
        <f t="shared" ca="1" si="529"/>
        <v>1.4999999999999999E-2</v>
      </c>
      <c r="BI52" s="1253"/>
      <c r="BJ52" s="206">
        <f t="shared" ca="1" si="530"/>
        <v>0</v>
      </c>
      <c r="BK52" s="206">
        <f t="shared" ca="1" si="531"/>
        <v>0</v>
      </c>
      <c r="BL52" s="207">
        <f t="shared" ca="1" si="532"/>
        <v>0</v>
      </c>
      <c r="BM52" s="391">
        <f t="shared" si="533"/>
        <v>0</v>
      </c>
      <c r="BN52" s="391">
        <f t="shared" ref="BN52" ca="1" si="545">BB52+IF($T52="",BJ52)</f>
        <v>0</v>
      </c>
      <c r="BO52" s="391">
        <f t="shared" ca="1" si="534"/>
        <v>0</v>
      </c>
      <c r="BP52" s="886">
        <f t="shared" ref="BP52" ca="1" si="546">IFERROR(BO52/AY$4,0)</f>
        <v>0</v>
      </c>
      <c r="BQ52" s="1007" t="str">
        <f t="shared" ref="BQ52" ca="1" si="547">IF(SUM(BD52,BL52,BP52)&lt;&gt;0,"V","")</f>
        <v/>
      </c>
      <c r="BR52" s="1007"/>
    </row>
    <row r="53" spans="1:70" ht="13.5" hidden="1" customHeight="1" outlineLevel="1" x14ac:dyDescent="0.2">
      <c r="A53" s="367"/>
      <c r="B53" s="367"/>
      <c r="C53" s="367" t="str">
        <f t="shared" ca="1" si="433"/>
        <v>CH0371153492:CHF:P</v>
      </c>
      <c r="D53" s="368" t="str">
        <f t="shared" ca="1" si="434"/>
        <v>CH0371153492</v>
      </c>
      <c r="E53" s="369" t="str">
        <f t="shared" ca="1" si="434"/>
        <v>37115349</v>
      </c>
      <c r="F53" s="367" t="s">
        <v>608</v>
      </c>
      <c r="G53" s="414"/>
      <c r="H53" s="1713" t="str">
        <f t="shared" ca="1" si="435"/>
        <v></v>
      </c>
      <c r="I53" s="1683" t="str">
        <f t="shared" ca="1" si="535"/>
        <v>i</v>
      </c>
      <c r="J53" s="1713" t="str">
        <f t="shared" ca="1" si="536"/>
        <v></v>
      </c>
      <c r="K53" s="1716" t="str">
        <f t="shared" ca="1" si="536"/>
        <v></v>
      </c>
      <c r="L53" s="1717" t="str">
        <f t="shared" ca="1" si="438"/>
        <v></v>
      </c>
      <c r="M53" s="366" t="str">
        <f t="shared" ca="1" si="439"/>
        <v>Unit</v>
      </c>
      <c r="N53" s="1309"/>
      <c r="O53" s="1310" cm="1">
        <f t="array" aca="1" ref="O53" ca="1">SUM(IF($AF$14:$BQ$14="I_ctrlv",AF53:BQ53))</f>
        <v>15420.002004600001</v>
      </c>
      <c r="P53" s="373">
        <f t="shared" ca="1" si="384"/>
        <v>2.3542898035125125E-3</v>
      </c>
      <c r="Q53" s="391">
        <f t="array" aca="1" ref="Q53" ca="1">SUM(IF($AF$14:$BQ$14="I_pos",AF53:BQ53))</f>
        <v>300</v>
      </c>
      <c r="R53" s="391">
        <f t="array" aca="1" ref="R53" ca="1">SUM(IF($AF$14:$BQ$14="P_Pos",AF53:BQ53))</f>
        <v>-300</v>
      </c>
      <c r="S53" s="1314"/>
      <c r="T53" s="391"/>
      <c r="U53" s="366"/>
      <c r="V53" s="391">
        <f t="array" aca="1" ref="V53" ca="1">SUM(IF($AF$14:$BQ$14="O_Pos",AF53:BQ53))</f>
        <v>0</v>
      </c>
      <c r="W53" s="1310"/>
      <c r="X53" s="1312">
        <f t="shared" ca="1" si="537"/>
        <v>0</v>
      </c>
      <c r="Y53" s="1312">
        <f t="shared" ca="1" si="537"/>
        <v>0</v>
      </c>
      <c r="Z53" s="1312">
        <f t="shared" ca="1" si="537"/>
        <v>0</v>
      </c>
      <c r="AA53" s="1313">
        <f t="shared" ca="1" si="537"/>
        <v>0</v>
      </c>
      <c r="AB53" s="367" t="str">
        <f t="shared" ca="1" si="538"/>
        <v>CHF</v>
      </c>
      <c r="AC53" s="392">
        <f t="shared" ca="1" si="539"/>
        <v>51.4</v>
      </c>
      <c r="AD53" s="393">
        <f t="shared" ca="1" si="443"/>
        <v>2.2373540000000001E-2</v>
      </c>
      <c r="AE53" s="378">
        <f t="shared" ca="1" si="444"/>
        <v>1.0000001300000001</v>
      </c>
      <c r="AF53" s="214"/>
      <c r="AG53" s="312" t="str">
        <f t="shared" ca="1" si="445"/>
        <v/>
      </c>
      <c r="AH53" s="1254"/>
      <c r="AI53" s="199">
        <f t="shared" ref="AI53:AI70" ca="1" si="548">AF53*$AC53</f>
        <v>0</v>
      </c>
      <c r="AJ53" s="199">
        <f t="shared" ref="AJ53:AJ70" ca="1" si="549">AI53*$AE53</f>
        <v>0</v>
      </c>
      <c r="AK53" s="216">
        <f t="shared" ca="1" si="423"/>
        <v>0</v>
      </c>
      <c r="AL53" s="202">
        <f t="shared" ref="AL53:AL70" ca="1" si="550">AM53/$AC53</f>
        <v>0</v>
      </c>
      <c r="AM53" s="203">
        <f t="shared" ref="AM53:AM70" ca="1" si="551">AN53/$AE53</f>
        <v>0</v>
      </c>
      <c r="AN53" s="203">
        <f t="shared" ref="AN53:AN70" ca="1" si="552">AO53*AF$4</f>
        <v>0</v>
      </c>
      <c r="AO53" s="204">
        <f t="shared" ref="AO53:AO70" ca="1" si="553">$N53-AK53</f>
        <v>0</v>
      </c>
      <c r="AP53" s="205"/>
      <c r="AQ53" s="206">
        <f t="shared" ref="AQ53:AQ70" ca="1" si="554">AP53*$AC53</f>
        <v>0</v>
      </c>
      <c r="AR53" s="206">
        <f t="shared" ref="AR53:AR70" ca="1" si="555">AQ53*$AE53</f>
        <v>0</v>
      </c>
      <c r="AS53" s="207">
        <f t="shared" ca="1" si="426"/>
        <v>0</v>
      </c>
      <c r="AT53" s="391">
        <f t="shared" ref="AT53:AT59" si="556">AF53+AP53</f>
        <v>0</v>
      </c>
      <c r="AU53" s="391">
        <f t="shared" ca="1" si="179"/>
        <v>0</v>
      </c>
      <c r="AV53" s="391">
        <f t="shared" ref="AV53:AV70" ca="1" si="557">AU53*$AE53</f>
        <v>0</v>
      </c>
      <c r="AW53" s="394">
        <f t="shared" ca="1" si="432"/>
        <v>0</v>
      </c>
      <c r="AX53" s="1007" t="str">
        <f t="shared" ca="1" si="13"/>
        <v/>
      </c>
      <c r="AY53" s="1255">
        <f>600+-300</f>
        <v>300</v>
      </c>
      <c r="AZ53" s="312">
        <f t="shared" ca="1" si="459"/>
        <v>-0.19100132834748818</v>
      </c>
      <c r="BA53" s="1254">
        <v>63.535333000000001</v>
      </c>
      <c r="BB53" s="199">
        <f t="shared" ref="BB53:BB70" ca="1" si="558">AY53*$AC53</f>
        <v>15420</v>
      </c>
      <c r="BC53" s="199">
        <f t="shared" ref="BC53:BC70" ca="1" si="559">BB53*$AE53</f>
        <v>15420.002004600001</v>
      </c>
      <c r="BD53" s="216">
        <f t="shared" ca="1" si="428"/>
        <v>2.1792514127701421E-2</v>
      </c>
      <c r="BE53" s="202">
        <f t="shared" ref="BE53:BE70" ca="1" si="560">BF53/$AC53</f>
        <v>-300</v>
      </c>
      <c r="BF53" s="203">
        <f t="shared" ref="BF53:BF70" ca="1" si="561">BG53/$AE53</f>
        <v>-15420</v>
      </c>
      <c r="BG53" s="203">
        <f t="shared" ref="BG53:BG70" ca="1" si="562">BH53*AY$4</f>
        <v>-15420.002004600001</v>
      </c>
      <c r="BH53" s="204">
        <f t="shared" ref="BH53:BH70" ca="1" si="563">$N53-BD53</f>
        <v>-2.1792514127701421E-2</v>
      </c>
      <c r="BI53" s="1253"/>
      <c r="BJ53" s="206">
        <f t="shared" ref="BJ53:BJ70" ca="1" si="564">BI53*$AC53</f>
        <v>0</v>
      </c>
      <c r="BK53" s="206">
        <f t="shared" ref="BK53:BK70" ca="1" si="565">BJ53*$AE53</f>
        <v>0</v>
      </c>
      <c r="BL53" s="207">
        <f t="shared" ca="1" si="431"/>
        <v>0</v>
      </c>
      <c r="BM53" s="391">
        <f t="shared" ref="BM53:BM59" si="566">AY53+BI53</f>
        <v>300</v>
      </c>
      <c r="BN53" s="391">
        <f t="shared" ca="1" si="194"/>
        <v>15420</v>
      </c>
      <c r="BO53" s="391">
        <f t="shared" ref="BO53:BO70" ca="1" si="567">BN53*$AE53</f>
        <v>15420.002004600001</v>
      </c>
      <c r="BP53" s="886">
        <f t="shared" ca="1" si="408"/>
        <v>2.1792514127701421E-2</v>
      </c>
      <c r="BQ53" s="1007" t="str">
        <f t="shared" ca="1" si="409"/>
        <v>V</v>
      </c>
      <c r="BR53" s="1007"/>
    </row>
    <row r="54" spans="1:70" ht="13.5" hidden="1" customHeight="1" outlineLevel="1" x14ac:dyDescent="0.2">
      <c r="A54" s="367"/>
      <c r="B54" s="367"/>
      <c r="C54" s="367" t="str">
        <f t="shared" ca="1" si="433"/>
        <v>CH0010570767:CHF</v>
      </c>
      <c r="D54" s="368" t="str">
        <f t="shared" ca="1" si="434"/>
        <v>CH0010570767</v>
      </c>
      <c r="E54" s="369" t="str">
        <f t="shared" ca="1" si="434"/>
        <v>1057076</v>
      </c>
      <c r="F54" s="390" t="s">
        <v>527</v>
      </c>
      <c r="G54" s="371"/>
      <c r="H54" s="1713" t="str">
        <f t="shared" ca="1" si="435"/>
        <v></v>
      </c>
      <c r="I54" s="1683" t="str">
        <f t="shared" ref="I54:I56" ca="1" si="568">HYPERLINK(OFFSET(Origine,MATCH($F54,Descrizioni,0),MATCH(I$14,Intestazioni,0)-1,1,1),"i")</f>
        <v>i</v>
      </c>
      <c r="J54" s="1713" t="str">
        <f t="shared" ref="J54:K56" ca="1" si="569">HYPERLINK(OFFSET(Origine,MATCH($F54,Descrizioni,0),MATCH(J$14,Intestazioni,0)-1,1,1),"")</f>
        <v></v>
      </c>
      <c r="K54" s="1716" t="str">
        <f t="shared" ca="1" si="569"/>
        <v></v>
      </c>
      <c r="L54" s="1717" t="str">
        <f t="shared" ca="1" si="438"/>
        <v></v>
      </c>
      <c r="M54" s="366" t="str">
        <f t="shared" ca="1" si="439"/>
        <v>Unit</v>
      </c>
      <c r="N54" s="1309"/>
      <c r="O54" s="1310" cm="1">
        <f t="array" aca="1" ref="O54" ca="1">SUM(IF($AF$14:$BQ$14="I_ctrlv",AF54:BQ54))</f>
        <v>0</v>
      </c>
      <c r="P54" s="373">
        <f t="shared" ca="1" si="384"/>
        <v>0</v>
      </c>
      <c r="Q54" s="391">
        <f t="array" aca="1" ref="Q54" ca="1">SUM(IF($AF$14:$BQ$14="I_pos",AF54:BQ54))</f>
        <v>0</v>
      </c>
      <c r="R54" s="391">
        <f t="array" aca="1" ref="R54" ca="1">SUM(IF($AF$14:$BQ$14="P_Pos",AF54:BQ54))</f>
        <v>0</v>
      </c>
      <c r="S54" s="1311"/>
      <c r="T54" s="391"/>
      <c r="U54" s="366"/>
      <c r="V54" s="391">
        <f t="array" aca="1" ref="V54" ca="1">SUM(IF($AF$14:$BQ$14="O_Pos",AF54:BQ54))</f>
        <v>0</v>
      </c>
      <c r="W54" s="1310"/>
      <c r="X54" s="1312">
        <f t="shared" ref="X54:AA56" ca="1" si="570">OFFSET(Origine,MATCH($F54,Descrizioni,0),MATCH(X$14,Intestazioni,0)-1,1,1)</f>
        <v>0</v>
      </c>
      <c r="Y54" s="1312">
        <f t="shared" ca="1" si="570"/>
        <v>0</v>
      </c>
      <c r="Z54" s="1312">
        <f t="shared" ca="1" si="570"/>
        <v>0</v>
      </c>
      <c r="AA54" s="1313">
        <f t="shared" ca="1" si="570"/>
        <v>0</v>
      </c>
      <c r="AB54" s="367" t="str">
        <f t="shared" ref="AB54:AB56" ca="1" si="571">OFFSET(Origine,MATCH($F54,Descrizioni,0),MATCH(AB$14,Intestazioni,0)-1,1,1)</f>
        <v>CHF</v>
      </c>
      <c r="AC54" s="392">
        <f t="shared" ref="AC54:AD65" ca="1" si="572">_xlfn.NUMBERVALUE(OFFSET(Origine,MATCH($F54,Descrizioni,0),MATCH(AC$14,Intestazioni,0)-1,1,1))</f>
        <v>12240</v>
      </c>
      <c r="AD54" s="393">
        <f t="shared" ca="1" si="572"/>
        <v>1.2254900000000001E-2</v>
      </c>
      <c r="AE54" s="378">
        <f t="shared" ca="1" si="444"/>
        <v>1.0000001300000001</v>
      </c>
      <c r="AF54" s="214"/>
      <c r="AG54" s="312" t="str">
        <f t="shared" ca="1" si="445"/>
        <v/>
      </c>
      <c r="AH54" s="1254"/>
      <c r="AI54" s="199">
        <f t="shared" ca="1" si="548"/>
        <v>0</v>
      </c>
      <c r="AJ54" s="199">
        <f t="shared" ca="1" si="549"/>
        <v>0</v>
      </c>
      <c r="AK54" s="216">
        <f t="shared" ca="1" si="423"/>
        <v>0</v>
      </c>
      <c r="AL54" s="202">
        <f t="shared" ca="1" si="550"/>
        <v>0</v>
      </c>
      <c r="AM54" s="203">
        <f t="shared" ca="1" si="551"/>
        <v>0</v>
      </c>
      <c r="AN54" s="203">
        <f t="shared" ca="1" si="552"/>
        <v>0</v>
      </c>
      <c r="AO54" s="204">
        <f t="shared" ca="1" si="553"/>
        <v>0</v>
      </c>
      <c r="AP54" s="205"/>
      <c r="AQ54" s="206">
        <f t="shared" ca="1" si="554"/>
        <v>0</v>
      </c>
      <c r="AR54" s="206">
        <f t="shared" ca="1" si="555"/>
        <v>0</v>
      </c>
      <c r="AS54" s="207">
        <f t="shared" ca="1" si="426"/>
        <v>0</v>
      </c>
      <c r="AT54" s="391">
        <f t="shared" si="556"/>
        <v>0</v>
      </c>
      <c r="AU54" s="391">
        <f t="shared" ca="1" si="179"/>
        <v>0</v>
      </c>
      <c r="AV54" s="391">
        <f t="shared" ca="1" si="557"/>
        <v>0</v>
      </c>
      <c r="AW54" s="394">
        <f t="shared" ca="1" si="432"/>
        <v>0</v>
      </c>
      <c r="AX54" s="1007" t="str">
        <f t="shared" ca="1" si="13"/>
        <v/>
      </c>
      <c r="AY54" s="1255"/>
      <c r="AZ54" s="312" t="str">
        <f t="shared" ca="1" si="459"/>
        <v/>
      </c>
      <c r="BA54" s="1254"/>
      <c r="BB54" s="199">
        <f t="shared" ca="1" si="558"/>
        <v>0</v>
      </c>
      <c r="BC54" s="199">
        <f t="shared" ca="1" si="559"/>
        <v>0</v>
      </c>
      <c r="BD54" s="216">
        <f t="shared" ca="1" si="428"/>
        <v>0</v>
      </c>
      <c r="BE54" s="202">
        <f t="shared" ca="1" si="560"/>
        <v>0</v>
      </c>
      <c r="BF54" s="203">
        <f t="shared" ca="1" si="561"/>
        <v>0</v>
      </c>
      <c r="BG54" s="203">
        <f t="shared" ca="1" si="562"/>
        <v>0</v>
      </c>
      <c r="BH54" s="204">
        <f t="shared" ca="1" si="563"/>
        <v>0</v>
      </c>
      <c r="BI54" s="1253"/>
      <c r="BJ54" s="206">
        <f t="shared" ca="1" si="564"/>
        <v>0</v>
      </c>
      <c r="BK54" s="206">
        <f t="shared" ca="1" si="565"/>
        <v>0</v>
      </c>
      <c r="BL54" s="207">
        <f t="shared" ca="1" si="431"/>
        <v>0</v>
      </c>
      <c r="BM54" s="391">
        <f t="shared" si="566"/>
        <v>0</v>
      </c>
      <c r="BN54" s="391">
        <f t="shared" ca="1" si="194"/>
        <v>0</v>
      </c>
      <c r="BO54" s="391">
        <f t="shared" ca="1" si="567"/>
        <v>0</v>
      </c>
      <c r="BP54" s="886">
        <f t="shared" ref="BP54" ca="1" si="573">IFERROR(BO54/AY$4,0)</f>
        <v>0</v>
      </c>
      <c r="BQ54" s="1007" t="str">
        <f t="shared" ref="BQ54" ca="1" si="574">IF(SUM(BD54,BL54,BP54)&lt;&gt;0,"V","")</f>
        <v/>
      </c>
      <c r="BR54" s="1007"/>
    </row>
    <row r="55" spans="1:70" ht="13.5" hidden="1" customHeight="1" outlineLevel="1" x14ac:dyDescent="0.2">
      <c r="A55" s="367"/>
      <c r="B55" s="367"/>
      <c r="C55" s="367" t="str">
        <f t="shared" ca="1" si="433"/>
        <v>CH1252930610:CHF</v>
      </c>
      <c r="D55" s="368" t="str">
        <f t="shared" ca="1" si="434"/>
        <v>CH1252930610</v>
      </c>
      <c r="E55" s="369" t="str">
        <f t="shared" ca="1" si="434"/>
        <v>125293061</v>
      </c>
      <c r="F55" s="390" t="s">
        <v>888</v>
      </c>
      <c r="G55" s="371"/>
      <c r="H55" s="1713" t="str">
        <f t="shared" ca="1" si="435"/>
        <v></v>
      </c>
      <c r="I55" s="1683" t="str">
        <f t="shared" ca="1" si="568"/>
        <v>i</v>
      </c>
      <c r="J55" s="1713" t="str">
        <f t="shared" ca="1" si="569"/>
        <v></v>
      </c>
      <c r="K55" s="1716" t="str">
        <f t="shared" ca="1" si="569"/>
        <v></v>
      </c>
      <c r="L55" s="1717" t="str">
        <f t="shared" ca="1" si="438"/>
        <v></v>
      </c>
      <c r="M55" s="366" t="str">
        <f t="shared" ca="1" si="439"/>
        <v>Unit</v>
      </c>
      <c r="N55" s="1309"/>
      <c r="O55" s="1310" cm="1">
        <f t="array" aca="1" ref="O55" ca="1">SUM(IF($AF$14:$BQ$14="I_ctrlv",AF55:BQ55))</f>
        <v>80600.010478000011</v>
      </c>
      <c r="P55" s="373">
        <f t="shared" ca="1" si="384"/>
        <v>1.2305820892549189E-2</v>
      </c>
      <c r="Q55" s="391">
        <f t="array" aca="1" ref="Q55" ca="1">SUM(IF($AF$14:$BQ$14="I_pos",AF55:BQ55))</f>
        <v>775</v>
      </c>
      <c r="R55" s="391">
        <f t="array" aca="1" ref="R55" ca="1">SUM(IF($AF$14:$BQ$14="P_Pos",AF55:BQ55))</f>
        <v>-775</v>
      </c>
      <c r="S55" s="1311"/>
      <c r="T55" s="391"/>
      <c r="U55" s="366"/>
      <c r="V55" s="391">
        <f t="array" aca="1" ref="V55" ca="1">SUM(IF($AF$14:$BQ$14="O_Pos",AF55:BQ55))</f>
        <v>-775</v>
      </c>
      <c r="W55" s="1310"/>
      <c r="X55" s="1312">
        <f t="shared" ca="1" si="570"/>
        <v>0</v>
      </c>
      <c r="Y55" s="1312">
        <f t="shared" ca="1" si="570"/>
        <v>0</v>
      </c>
      <c r="Z55" s="1312">
        <f t="shared" ca="1" si="570"/>
        <v>0</v>
      </c>
      <c r="AA55" s="1313">
        <f t="shared" ca="1" si="570"/>
        <v>0</v>
      </c>
      <c r="AB55" s="367" t="str">
        <f t="shared" ca="1" si="571"/>
        <v>CHF</v>
      </c>
      <c r="AC55" s="392">
        <f t="shared" ca="1" si="572"/>
        <v>104</v>
      </c>
      <c r="AD55" s="393">
        <f t="shared" ca="1" si="572"/>
        <v>2.5961540000000002E-2</v>
      </c>
      <c r="AE55" s="378">
        <f t="shared" ref="AE55" ca="1" si="575">_xlfn.NUMBERVALUE(OFFSET(Origine,MATCH(AB55&amp;"/"&amp;MRif,LUKB_Name,0),MATCH("Price",Intestazioni,0)-1,1,1))</f>
        <v>1.0000001300000001</v>
      </c>
      <c r="AF55" s="214">
        <v>775</v>
      </c>
      <c r="AG55" s="312">
        <f t="shared" ref="AG55" ca="1" si="576">IFERROR($AC55/AH55-1,"")</f>
        <v>0.43895244262177147</v>
      </c>
      <c r="AH55" s="1254">
        <v>72.274799999999999</v>
      </c>
      <c r="AI55" s="199">
        <f t="shared" ref="AI55" ca="1" si="577">AF55*$AC55</f>
        <v>80600</v>
      </c>
      <c r="AJ55" s="199">
        <f t="shared" ref="AJ55" ca="1" si="578">AI55*$AE55</f>
        <v>80600.010478000011</v>
      </c>
      <c r="AK55" s="216">
        <f t="shared" ref="AK55" ca="1" si="579">IFERROR(AJ55/AF$4,0)</f>
        <v>1.3796258916516623E-2</v>
      </c>
      <c r="AL55" s="202">
        <f t="shared" ref="AL55" ca="1" si="580">AM55/$AC55</f>
        <v>-775</v>
      </c>
      <c r="AM55" s="203">
        <f t="shared" ref="AM55" ca="1" si="581">AN55/$AE55</f>
        <v>-80600</v>
      </c>
      <c r="AN55" s="203">
        <f t="shared" ref="AN55" ca="1" si="582">AO55*AF$4</f>
        <v>-80600.010478000011</v>
      </c>
      <c r="AO55" s="204">
        <f t="shared" ref="AO55" ca="1" si="583">$N55-AK55</f>
        <v>-1.3796258916516623E-2</v>
      </c>
      <c r="AP55" s="205">
        <v>-775</v>
      </c>
      <c r="AQ55" s="206">
        <f t="shared" ref="AQ55" ca="1" si="584">AP55*$AC55</f>
        <v>-80600</v>
      </c>
      <c r="AR55" s="206">
        <f t="shared" ref="AR55" ca="1" si="585">AQ55*$AE55</f>
        <v>-80600.010478000011</v>
      </c>
      <c r="AS55" s="207">
        <f t="shared" ref="AS55" ca="1" si="586">IFERROR(AR55/AF$4,0)</f>
        <v>-1.3796258916516623E-2</v>
      </c>
      <c r="AT55" s="391">
        <f t="shared" ref="AT55" si="587">AF55+AP55</f>
        <v>0</v>
      </c>
      <c r="AU55" s="391">
        <f t="shared" ref="AU55" ca="1" si="588">AI55+IF($T55="",AQ55)</f>
        <v>0</v>
      </c>
      <c r="AV55" s="391">
        <f t="shared" ref="AV55" ca="1" si="589">AU55*$AE55</f>
        <v>0</v>
      </c>
      <c r="AW55" s="394">
        <f t="shared" ref="AW55" ca="1" si="590">IFERROR(AV55/AF$4,0)</f>
        <v>0</v>
      </c>
      <c r="AX55" s="1007" t="str">
        <f t="shared" ca="1" si="13"/>
        <v>V</v>
      </c>
      <c r="AY55" s="1255"/>
      <c r="AZ55" s="312" t="str">
        <f t="shared" ref="AZ55" ca="1" si="591">IFERROR($AC55/BA55-1,"")</f>
        <v/>
      </c>
      <c r="BA55" s="1254"/>
      <c r="BB55" s="199">
        <f t="shared" ref="BB55" ca="1" si="592">AY55*$AC55</f>
        <v>0</v>
      </c>
      <c r="BC55" s="199">
        <f t="shared" ref="BC55" ca="1" si="593">BB55*$AE55</f>
        <v>0</v>
      </c>
      <c r="BD55" s="216">
        <f t="shared" ref="BD55" ca="1" si="594">IFERROR(BC55/AY$4,0)</f>
        <v>0</v>
      </c>
      <c r="BE55" s="202">
        <f t="shared" ref="BE55" ca="1" si="595">BF55/$AC55</f>
        <v>0</v>
      </c>
      <c r="BF55" s="203">
        <f t="shared" ref="BF55" ca="1" si="596">BG55/$AE55</f>
        <v>0</v>
      </c>
      <c r="BG55" s="203">
        <f t="shared" ref="BG55" ca="1" si="597">BH55*AY$4</f>
        <v>0</v>
      </c>
      <c r="BH55" s="204">
        <f t="shared" ref="BH55" ca="1" si="598">$N55-BD55</f>
        <v>0</v>
      </c>
      <c r="BI55" s="1253"/>
      <c r="BJ55" s="206">
        <f t="shared" ref="BJ55" ca="1" si="599">BI55*$AC55</f>
        <v>0</v>
      </c>
      <c r="BK55" s="206">
        <f t="shared" ref="BK55" ca="1" si="600">BJ55*$AE55</f>
        <v>0</v>
      </c>
      <c r="BL55" s="207">
        <f t="shared" ref="BL55" ca="1" si="601">IFERROR(BK55/AY$4,0)</f>
        <v>0</v>
      </c>
      <c r="BM55" s="391">
        <f t="shared" ref="BM55" si="602">AY55+BI55</f>
        <v>0</v>
      </c>
      <c r="BN55" s="391">
        <f t="shared" ref="BN55" ca="1" si="603">BB55+IF($T55="",BJ55)</f>
        <v>0</v>
      </c>
      <c r="BO55" s="391">
        <f t="shared" ref="BO55" ca="1" si="604">BN55*$AE55</f>
        <v>0</v>
      </c>
      <c r="BP55" s="886">
        <f t="shared" ca="1" si="408"/>
        <v>0</v>
      </c>
      <c r="BQ55" s="1007" t="str">
        <f ca="1">IF(OR(BD55&lt;&gt;0,BL55&lt;&gt;0),"V","")</f>
        <v/>
      </c>
      <c r="BR55" s="1007"/>
    </row>
    <row r="56" spans="1:70" ht="13.5" hidden="1" customHeight="1" outlineLevel="1" x14ac:dyDescent="0.2">
      <c r="A56" s="367"/>
      <c r="B56" s="367"/>
      <c r="C56" s="367" t="str">
        <f t="shared" ca="1" si="433"/>
        <v>CH0038863350:CHF</v>
      </c>
      <c r="D56" s="368" t="str">
        <f t="shared" ca="1" si="434"/>
        <v>CH0038863350</v>
      </c>
      <c r="E56" s="369" t="str">
        <f t="shared" ca="1" si="434"/>
        <v>3886335</v>
      </c>
      <c r="F56" s="390" t="s">
        <v>419</v>
      </c>
      <c r="G56" s="371"/>
      <c r="H56" s="1713" t="str">
        <f t="shared" ca="1" si="435"/>
        <v></v>
      </c>
      <c r="I56" s="1683" t="str">
        <f t="shared" ca="1" si="568"/>
        <v>i</v>
      </c>
      <c r="J56" s="1713" t="str">
        <f t="shared" ca="1" si="569"/>
        <v></v>
      </c>
      <c r="K56" s="1716" t="str">
        <f t="shared" ca="1" si="569"/>
        <v></v>
      </c>
      <c r="L56" s="1717" t="str">
        <f t="shared" ca="1" si="438"/>
        <v></v>
      </c>
      <c r="M56" s="366" t="str">
        <f t="shared" ca="1" si="439"/>
        <v>Unit</v>
      </c>
      <c r="N56" s="1309">
        <v>1.4999999999999999E-2</v>
      </c>
      <c r="O56" s="1310" cm="1">
        <f t="array" aca="1" ref="O56" ca="1">SUM(IF($AF$14:$BQ$14="I_ctrlv",AF56:BQ56))</f>
        <v>14218.751848437501</v>
      </c>
      <c r="P56" s="373">
        <f t="shared" ca="1" si="384"/>
        <v>2.1708857421331735E-3</v>
      </c>
      <c r="Q56" s="391">
        <f t="array" aca="1" ref="Q56" ca="1">SUM(IF($AF$14:$BQ$14="I_pos",AF56:BQ56))</f>
        <v>175</v>
      </c>
      <c r="R56" s="391">
        <f t="array" aca="1" ref="R56" ca="1">SUM(IF($AF$14:$BQ$14="P_Pos",AF56:BQ56))</f>
        <v>1034.183859405056</v>
      </c>
      <c r="S56" s="1311"/>
      <c r="T56" s="391"/>
      <c r="U56" s="366"/>
      <c r="V56" s="391">
        <f t="array" aca="1" ref="V56" ca="1">SUM(IF($AF$14:$BQ$14="O_Pos",AF56:BQ56))</f>
        <v>0</v>
      </c>
      <c r="W56" s="1310"/>
      <c r="X56" s="1312">
        <f t="shared" ca="1" si="570"/>
        <v>0</v>
      </c>
      <c r="Y56" s="1312">
        <f t="shared" ca="1" si="570"/>
        <v>0</v>
      </c>
      <c r="Z56" s="1312">
        <f t="shared" ca="1" si="570"/>
        <v>0</v>
      </c>
      <c r="AA56" s="1313">
        <f t="shared" ca="1" si="570"/>
        <v>0</v>
      </c>
      <c r="AB56" s="367" t="str">
        <f t="shared" ca="1" si="571"/>
        <v>CHF</v>
      </c>
      <c r="AC56" s="392">
        <f t="shared" ca="1" si="572"/>
        <v>81.25</v>
      </c>
      <c r="AD56" s="393">
        <f t="shared" ca="1" si="572"/>
        <v>3.8153850000000003E-2</v>
      </c>
      <c r="AE56" s="378">
        <f t="shared" ca="1" si="444"/>
        <v>1.0000001300000001</v>
      </c>
      <c r="AF56" s="214">
        <f>1000+-300+-700</f>
        <v>0</v>
      </c>
      <c r="AG56" s="312" t="str">
        <f t="shared" ca="1" si="445"/>
        <v/>
      </c>
      <c r="AH56" s="1254"/>
      <c r="AI56" s="199">
        <f t="shared" ca="1" si="548"/>
        <v>0</v>
      </c>
      <c r="AJ56" s="199">
        <f t="shared" ca="1" si="549"/>
        <v>0</v>
      </c>
      <c r="AK56" s="216">
        <f t="shared" ca="1" si="423"/>
        <v>0</v>
      </c>
      <c r="AL56" s="202">
        <f t="shared" ca="1" si="550"/>
        <v>1078.5532578100533</v>
      </c>
      <c r="AM56" s="203">
        <f t="shared" ca="1" si="551"/>
        <v>87632.452197066828</v>
      </c>
      <c r="AN56" s="203">
        <f t="shared" ca="1" si="552"/>
        <v>87632.463589285617</v>
      </c>
      <c r="AO56" s="204">
        <f t="shared" ca="1" si="553"/>
        <v>1.4999999999999999E-2</v>
      </c>
      <c r="AP56" s="205"/>
      <c r="AQ56" s="206">
        <f t="shared" ca="1" si="554"/>
        <v>0</v>
      </c>
      <c r="AR56" s="206">
        <f t="shared" ca="1" si="555"/>
        <v>0</v>
      </c>
      <c r="AS56" s="207">
        <f t="shared" ca="1" si="426"/>
        <v>0</v>
      </c>
      <c r="AT56" s="391">
        <f t="shared" si="556"/>
        <v>0</v>
      </c>
      <c r="AU56" s="391">
        <f t="shared" ca="1" si="179"/>
        <v>0</v>
      </c>
      <c r="AV56" s="391">
        <f t="shared" ca="1" si="557"/>
        <v>0</v>
      </c>
      <c r="AW56" s="394">
        <f t="shared" ca="1" si="432"/>
        <v>0</v>
      </c>
      <c r="AX56" s="1007" t="str">
        <f t="shared" ca="1" si="13"/>
        <v/>
      </c>
      <c r="AY56" s="1255">
        <f>175</f>
        <v>175</v>
      </c>
      <c r="AZ56" s="312">
        <f t="shared" ca="1" si="459"/>
        <v>-0.25595238095238093</v>
      </c>
      <c r="BA56" s="1254">
        <v>109.2</v>
      </c>
      <c r="BB56" s="199">
        <f t="shared" ca="1" si="558"/>
        <v>14218.75</v>
      </c>
      <c r="BC56" s="199">
        <f t="shared" ca="1" si="559"/>
        <v>14218.751848437501</v>
      </c>
      <c r="BD56" s="216">
        <f t="shared" ca="1" si="428"/>
        <v>2.0094832052740246E-2</v>
      </c>
      <c r="BE56" s="202">
        <f t="shared" ca="1" si="560"/>
        <v>-44.369398404997376</v>
      </c>
      <c r="BF56" s="203">
        <f t="shared" ca="1" si="561"/>
        <v>-3605.0136204060368</v>
      </c>
      <c r="BG56" s="203">
        <f t="shared" ca="1" si="562"/>
        <v>-3605.0140890578077</v>
      </c>
      <c r="BH56" s="204">
        <f t="shared" ca="1" si="563"/>
        <v>-5.0948320527402467E-3</v>
      </c>
      <c r="BI56" s="1253"/>
      <c r="BJ56" s="206">
        <f t="shared" ca="1" si="564"/>
        <v>0</v>
      </c>
      <c r="BK56" s="206">
        <f t="shared" ca="1" si="565"/>
        <v>0</v>
      </c>
      <c r="BL56" s="207">
        <f t="shared" ca="1" si="431"/>
        <v>0</v>
      </c>
      <c r="BM56" s="391">
        <f t="shared" si="566"/>
        <v>175</v>
      </c>
      <c r="BN56" s="391">
        <f t="shared" ca="1" si="194"/>
        <v>14218.75</v>
      </c>
      <c r="BO56" s="391">
        <f t="shared" ca="1" si="567"/>
        <v>14218.751848437501</v>
      </c>
      <c r="BP56" s="886">
        <f t="shared" ca="1" si="408"/>
        <v>2.0094832052740246E-2</v>
      </c>
      <c r="BQ56" s="1007" t="str">
        <f t="shared" ca="1" si="409"/>
        <v>V</v>
      </c>
      <c r="BR56" s="1007"/>
    </row>
    <row r="57" spans="1:70" ht="13.5" hidden="1" customHeight="1" outlineLevel="1" x14ac:dyDescent="0.2">
      <c r="A57" s="367"/>
      <c r="B57" s="367"/>
      <c r="C57" s="367" t="str">
        <f t="shared" ca="1" si="433"/>
        <v>CH0012005267:CHF</v>
      </c>
      <c r="D57" s="368" t="str">
        <f t="shared" ca="1" si="434"/>
        <v>CH0012005267</v>
      </c>
      <c r="E57" s="369" t="str">
        <f t="shared" ca="1" si="434"/>
        <v>1200526</v>
      </c>
      <c r="F57" s="390" t="s">
        <v>443</v>
      </c>
      <c r="G57" s="371"/>
      <c r="H57" s="1713" t="str">
        <f t="shared" ca="1" si="435"/>
        <v></v>
      </c>
      <c r="I57" s="1683" t="str">
        <f t="shared" ref="I57" ca="1" si="605">HYPERLINK(OFFSET(Origine,MATCH($F57,Descrizioni,0),MATCH(I$14,Intestazioni,0)-1,1,1),"i")</f>
        <v>i</v>
      </c>
      <c r="J57" s="1713" t="str">
        <f t="shared" ref="J57:K57" ca="1" si="606">HYPERLINK(OFFSET(Origine,MATCH($F57,Descrizioni,0),MATCH(J$14,Intestazioni,0)-1,1,1),"")</f>
        <v></v>
      </c>
      <c r="K57" s="1716" t="str">
        <f t="shared" ca="1" si="606"/>
        <v></v>
      </c>
      <c r="L57" s="1717" t="str">
        <f t="shared" ca="1" si="438"/>
        <v></v>
      </c>
      <c r="M57" s="366" t="str">
        <f t="shared" ca="1" si="439"/>
        <v>Unit</v>
      </c>
      <c r="N57" s="1309">
        <v>0.01</v>
      </c>
      <c r="O57" s="1310" cm="1">
        <f t="array" aca="1" ref="O57" ca="1">SUM(IF($AF$14:$BQ$14="I_ctrlv",AF57:BQ57))</f>
        <v>12640.001643200001</v>
      </c>
      <c r="P57" s="373">
        <f t="shared" ca="1" si="384"/>
        <v>1.9298458570945628E-3</v>
      </c>
      <c r="Q57" s="391">
        <f t="array" aca="1" ref="Q57" ca="1">SUM(IF($AF$14:$BQ$14="I_pos",AF57:BQ57))</f>
        <v>100</v>
      </c>
      <c r="R57" s="391">
        <f t="array" aca="1" ref="R57" ca="1">SUM(IF($AF$14:$BQ$14="P_Pos",AF57:BQ57))</f>
        <v>418.17610008787341</v>
      </c>
      <c r="S57" s="1311"/>
      <c r="T57" s="391"/>
      <c r="U57" s="366"/>
      <c r="V57" s="391">
        <f t="array" aca="1" ref="V57" ca="1">SUM(IF($AF$14:$BQ$14="O_Pos",AF57:BQ57))</f>
        <v>0</v>
      </c>
      <c r="W57" s="1310"/>
      <c r="X57" s="1312">
        <f t="shared" ref="X57:AA57" ca="1" si="607">OFFSET(Origine,MATCH($F57,Descrizioni,0),MATCH(X$14,Intestazioni,0)-1,1,1)</f>
        <v>0</v>
      </c>
      <c r="Y57" s="1312">
        <f t="shared" ca="1" si="607"/>
        <v>0</v>
      </c>
      <c r="Z57" s="1312">
        <f t="shared" ca="1" si="607"/>
        <v>0</v>
      </c>
      <c r="AA57" s="1313">
        <f t="shared" ca="1" si="607"/>
        <v>0</v>
      </c>
      <c r="AB57" s="367" t="str">
        <f t="shared" ref="AB57" ca="1" si="608">OFFSET(Origine,MATCH($F57,Descrizioni,0),MATCH(AB$14,Intestazioni,0)-1,1,1)</f>
        <v>CHF</v>
      </c>
      <c r="AC57" s="392">
        <f t="shared" ref="AC57" ca="1" si="609">_xlfn.NUMBERVALUE(OFFSET(Origine,MATCH($F57,Descrizioni,0),MATCH(AC$14,Intestazioni,0)-1,1,1))</f>
        <v>126.4</v>
      </c>
      <c r="AD57" s="393">
        <f t="shared" ca="1" si="572"/>
        <v>2.7689869999999998E-2</v>
      </c>
      <c r="AE57" s="378">
        <f t="shared" ca="1" si="444"/>
        <v>1.0000001300000001</v>
      </c>
      <c r="AF57" s="214">
        <f>1000+-500+-500</f>
        <v>0</v>
      </c>
      <c r="AG57" s="312" t="str">
        <f t="shared" ca="1" si="445"/>
        <v/>
      </c>
      <c r="AH57" s="1254"/>
      <c r="AI57" s="199">
        <f t="shared" ca="1" si="548"/>
        <v>0</v>
      </c>
      <c r="AJ57" s="199">
        <f t="shared" ca="1" si="549"/>
        <v>0</v>
      </c>
      <c r="AK57" s="216">
        <f t="shared" ca="1" si="423"/>
        <v>0</v>
      </c>
      <c r="AL57" s="202">
        <f t="shared" ca="1" si="550"/>
        <v>462.19647783263099</v>
      </c>
      <c r="AM57" s="203">
        <f t="shared" ca="1" si="551"/>
        <v>58421.634798044557</v>
      </c>
      <c r="AN57" s="203">
        <f t="shared" ca="1" si="552"/>
        <v>58421.642392857088</v>
      </c>
      <c r="AO57" s="204">
        <f t="shared" ca="1" si="553"/>
        <v>0.01</v>
      </c>
      <c r="AP57" s="205"/>
      <c r="AQ57" s="206">
        <f t="shared" ca="1" si="554"/>
        <v>0</v>
      </c>
      <c r="AR57" s="206">
        <f t="shared" ca="1" si="555"/>
        <v>0</v>
      </c>
      <c r="AS57" s="207">
        <f t="shared" ca="1" si="426"/>
        <v>0</v>
      </c>
      <c r="AT57" s="391">
        <f t="shared" si="556"/>
        <v>0</v>
      </c>
      <c r="AU57" s="391">
        <f t="shared" ca="1" si="179"/>
        <v>0</v>
      </c>
      <c r="AV57" s="391">
        <f t="shared" ca="1" si="557"/>
        <v>0</v>
      </c>
      <c r="AW57" s="394">
        <f t="shared" ca="1" si="432"/>
        <v>0</v>
      </c>
      <c r="AX57" s="1007" t="str">
        <f t="shared" ca="1" si="13"/>
        <v/>
      </c>
      <c r="AY57" s="1255">
        <f>100</f>
        <v>100</v>
      </c>
      <c r="AZ57" s="312">
        <f t="shared" ca="1" si="459"/>
        <v>0.25123737873688379</v>
      </c>
      <c r="BA57" s="1254">
        <v>101.02</v>
      </c>
      <c r="BB57" s="199">
        <f t="shared" ca="1" si="558"/>
        <v>12640</v>
      </c>
      <c r="BC57" s="199">
        <f t="shared" ca="1" si="559"/>
        <v>12640.001643200001</v>
      </c>
      <c r="BD57" s="216">
        <f t="shared" ca="1" si="428"/>
        <v>1.786364322789533E-2</v>
      </c>
      <c r="BE57" s="202">
        <f t="shared" ca="1" si="560"/>
        <v>-44.020377744757575</v>
      </c>
      <c r="BF57" s="203">
        <f t="shared" ca="1" si="561"/>
        <v>-5564.1757469373579</v>
      </c>
      <c r="BG57" s="203">
        <f t="shared" ca="1" si="562"/>
        <v>-5564.1764702802056</v>
      </c>
      <c r="BH57" s="204">
        <f t="shared" ca="1" si="563"/>
        <v>-7.8636432278953294E-3</v>
      </c>
      <c r="BI57" s="1253"/>
      <c r="BJ57" s="206">
        <f t="shared" ca="1" si="564"/>
        <v>0</v>
      </c>
      <c r="BK57" s="206">
        <f t="shared" ca="1" si="565"/>
        <v>0</v>
      </c>
      <c r="BL57" s="207">
        <f t="shared" ca="1" si="431"/>
        <v>0</v>
      </c>
      <c r="BM57" s="391">
        <f t="shared" si="566"/>
        <v>100</v>
      </c>
      <c r="BN57" s="391">
        <f t="shared" ca="1" si="194"/>
        <v>12640</v>
      </c>
      <c r="BO57" s="391">
        <f t="shared" ca="1" si="567"/>
        <v>12640.001643200001</v>
      </c>
      <c r="BP57" s="886">
        <f t="shared" ca="1" si="408"/>
        <v>1.786364322789533E-2</v>
      </c>
      <c r="BQ57" s="1007" t="str">
        <f t="shared" ca="1" si="409"/>
        <v>V</v>
      </c>
      <c r="BR57" s="1007"/>
    </row>
    <row r="58" spans="1:70" ht="13.5" hidden="1" customHeight="1" outlineLevel="1" x14ac:dyDescent="0.2">
      <c r="A58" s="367"/>
      <c r="B58" s="367"/>
      <c r="C58" s="367" t="str">
        <f t="shared" ca="1" si="433"/>
        <v>CH0012032048:CHF</v>
      </c>
      <c r="D58" s="368" t="str">
        <f t="shared" ca="1" si="434"/>
        <v>CH0012032048</v>
      </c>
      <c r="E58" s="369" t="str">
        <f t="shared" ca="1" si="434"/>
        <v>1203204</v>
      </c>
      <c r="F58" s="367" t="s">
        <v>525</v>
      </c>
      <c r="G58" s="414"/>
      <c r="H58" s="1713" t="str">
        <f t="shared" ca="1" si="435"/>
        <v></v>
      </c>
      <c r="I58" s="1683" t="str">
        <f ca="1">HYPERLINK(OFFSET(Origine,MATCH($F58,Descrizioni,0),MATCH(I$14,Intestazioni,0)-1,1,1),"i")</f>
        <v>i</v>
      </c>
      <c r="J58" s="1713" t="str">
        <f ca="1">HYPERLINK(OFFSET(Origine,MATCH($F58,Descrizioni,0),MATCH(J$14,Intestazioni,0)-1,1,1),"")</f>
        <v></v>
      </c>
      <c r="K58" s="1716" t="str">
        <f ca="1">HYPERLINK(OFFSET(Origine,MATCH($F58,Descrizioni,0),MATCH(K$14,Intestazioni,0)-1,1,1),"")</f>
        <v></v>
      </c>
      <c r="L58" s="1717" t="str">
        <f ca="1">IFERROR(HYPERLINK("https://www.zonebourse.com/mods_a/charts/TV/inc_dyna_graph.php?c="&amp;OFFSET(Origine,MATCH($F58,Descrizioni,0),MATCH(L$14,Intestazioni,0)-1,1,1)&amp;"&amp;style=TradingView.CANDLES&amp;showAT=1",""),"")</f>
        <v></v>
      </c>
      <c r="M58" s="366" t="str">
        <f t="shared" ca="1" si="439"/>
        <v>Unit</v>
      </c>
      <c r="N58" s="1309"/>
      <c r="O58" s="1310" cm="1">
        <f t="array" aca="1" ref="O58" ca="1">SUM(IF($AF$14:$BQ$14="I_ctrlv",AF58:BQ58))</f>
        <v>177700.023101</v>
      </c>
      <c r="P58" s="373">
        <f t="shared" ca="1" si="384"/>
        <v>2.7130823481463905E-2</v>
      </c>
      <c r="Q58" s="391">
        <f t="array" aca="1" ref="Q58" ca="1">SUM(IF($AF$14:$BQ$14="I_pos",AF58:BQ58))</f>
        <v>500</v>
      </c>
      <c r="R58" s="391">
        <f t="array" aca="1" ref="R58" ca="1">SUM(IF($AF$14:$BQ$14="P_Pos",AF58:BQ58))</f>
        <v>-500</v>
      </c>
      <c r="S58" s="1314"/>
      <c r="T58" s="391"/>
      <c r="U58" s="366"/>
      <c r="V58" s="391">
        <f t="array" aca="1" ref="V58" ca="1">SUM(IF($AF$14:$BQ$14="O_Pos",AF58:BQ58))</f>
        <v>-150</v>
      </c>
      <c r="W58" s="1310"/>
      <c r="X58" s="1312">
        <f ca="1">OFFSET(Origine,MATCH($F58,Descrizioni,0),MATCH(X$14,Intestazioni,0)-1,1,1)</f>
        <v>0</v>
      </c>
      <c r="Y58" s="1312">
        <f ca="1">OFFSET(Origine,MATCH($F58,Descrizioni,0),MATCH(Y$14,Intestazioni,0)-1,1,1)</f>
        <v>0</v>
      </c>
      <c r="Z58" s="1312">
        <f ca="1">OFFSET(Origine,MATCH($F58,Descrizioni,0),MATCH(Z$14,Intestazioni,0)-1,1,1)</f>
        <v>0</v>
      </c>
      <c r="AA58" s="1313">
        <f ca="1">OFFSET(Origine,MATCH($F58,Descrizioni,0),MATCH(AA$14,Intestazioni,0)-1,1,1)</f>
        <v>0</v>
      </c>
      <c r="AB58" s="367" t="str">
        <f ca="1">OFFSET(Origine,MATCH($F58,Descrizioni,0),MATCH(AB$14,Intestazioni,0)-1,1,1)</f>
        <v>CHF</v>
      </c>
      <c r="AC58" s="392">
        <f ca="1">_xlfn.NUMBERVALUE(OFFSET(Origine,MATCH($F58,Descrizioni,0),MATCH(AC$14,Intestazioni,0)-1,1,1))</f>
        <v>355.4</v>
      </c>
      <c r="AD58" s="393">
        <f ca="1">_xlfn.NUMBERVALUE(OFFSET(Origine,MATCH($F58,Descrizioni,0),MATCH(AD$14,Intestazioni,0)-1,1,1))</f>
        <v>2.7574560000000001E-2</v>
      </c>
      <c r="AE58" s="378">
        <f t="shared" ca="1" si="444"/>
        <v>1.0000001300000001</v>
      </c>
      <c r="AF58" s="214">
        <f>170+130</f>
        <v>300</v>
      </c>
      <c r="AG58" s="312">
        <f ca="1">IFERROR($AC58/AH58-1,"")</f>
        <v>0.31076535197959121</v>
      </c>
      <c r="AH58" s="1254">
        <v>271.13929999999999</v>
      </c>
      <c r="AI58" s="199">
        <f ca="1">AF58*$AC58</f>
        <v>106620</v>
      </c>
      <c r="AJ58" s="199">
        <f ca="1">AI58*$AE58</f>
        <v>106620.01386060001</v>
      </c>
      <c r="AK58" s="216">
        <f ca="1">IFERROR(AJ58/AF$4,0)</f>
        <v>1.8250088407928067E-2</v>
      </c>
      <c r="AL58" s="202">
        <f ca="1">AM58/$AC58</f>
        <v>-300</v>
      </c>
      <c r="AM58" s="203">
        <f ca="1">AN58/$AE58</f>
        <v>-106619.99999999999</v>
      </c>
      <c r="AN58" s="203">
        <f ca="1">AO58*AF$4</f>
        <v>-106620.0138606</v>
      </c>
      <c r="AO58" s="204">
        <f ca="1">$N58-AK58</f>
        <v>-1.8250088407928067E-2</v>
      </c>
      <c r="AP58" s="205"/>
      <c r="AQ58" s="206">
        <f ca="1">AP58*$AC58</f>
        <v>0</v>
      </c>
      <c r="AR58" s="206">
        <f ca="1">AQ58*$AE58</f>
        <v>0</v>
      </c>
      <c r="AS58" s="207">
        <f ca="1">IFERROR(AR58/AF$4,0)</f>
        <v>0</v>
      </c>
      <c r="AT58" s="391">
        <f>AF58+AP58</f>
        <v>300</v>
      </c>
      <c r="AU58" s="391">
        <f t="shared" ca="1" si="179"/>
        <v>106620</v>
      </c>
      <c r="AV58" s="391">
        <f ca="1">AU58*$AE58</f>
        <v>106620.01386060001</v>
      </c>
      <c r="AW58" s="394">
        <f ca="1">IFERROR(AV58/AF$4,0)</f>
        <v>1.8250088407928067E-2</v>
      </c>
      <c r="AX58" s="1007" t="str">
        <f t="shared" ca="1" si="13"/>
        <v>V</v>
      </c>
      <c r="AY58" s="1255">
        <v>200</v>
      </c>
      <c r="AZ58" s="312">
        <f ca="1">IFERROR($AC58/BA58-1,"")</f>
        <v>0.51984262743756404</v>
      </c>
      <c r="BA58" s="1254">
        <v>233.84</v>
      </c>
      <c r="BB58" s="199">
        <f ca="1">AY58*$AC58</f>
        <v>71080</v>
      </c>
      <c r="BC58" s="199">
        <f ca="1">BB58*$AE58</f>
        <v>71080.009240400002</v>
      </c>
      <c r="BD58" s="216">
        <f ca="1">IFERROR(BC58/AY$4,0)</f>
        <v>0.10045472789863923</v>
      </c>
      <c r="BE58" s="202">
        <f ca="1">BF58/$AC58</f>
        <v>-200</v>
      </c>
      <c r="BF58" s="203">
        <f ca="1">BG58/$AE58</f>
        <v>-71080</v>
      </c>
      <c r="BG58" s="203">
        <f ca="1">BH58*AY$4</f>
        <v>-71080.009240400002</v>
      </c>
      <c r="BH58" s="204">
        <f ca="1">$N58-BD58</f>
        <v>-0.10045472789863923</v>
      </c>
      <c r="BI58" s="1253">
        <v>-150</v>
      </c>
      <c r="BJ58" s="206">
        <f ca="1">BI58*$AC58</f>
        <v>-53310</v>
      </c>
      <c r="BK58" s="206">
        <f ca="1">BJ58*$AE58</f>
        <v>-53310.006930300005</v>
      </c>
      <c r="BL58" s="207">
        <f ca="1">IFERROR(BK58/AY$4,0)</f>
        <v>-7.534104592397943E-2</v>
      </c>
      <c r="BM58" s="391">
        <f>AY58+BI58</f>
        <v>50</v>
      </c>
      <c r="BN58" s="391">
        <f t="shared" ca="1" si="194"/>
        <v>17770</v>
      </c>
      <c r="BO58" s="391">
        <f ca="1">BN58*$AE58</f>
        <v>17770.002310100001</v>
      </c>
      <c r="BP58" s="886">
        <f t="shared" ca="1" si="408"/>
        <v>2.5113681974659807E-2</v>
      </c>
      <c r="BQ58" s="1007" t="str">
        <f t="shared" ref="BQ58:BQ61" ca="1" si="610">IF(OR(BD58&lt;&gt;0,BL58&lt;&gt;0),"V","")</f>
        <v>V</v>
      </c>
      <c r="BR58" s="1007"/>
    </row>
    <row r="59" spans="1:70" ht="13.5" hidden="1" customHeight="1" outlineLevel="1" x14ac:dyDescent="0.2">
      <c r="A59" s="367"/>
      <c r="B59" s="367"/>
      <c r="C59" s="367" t="str">
        <f t="shared" ca="1" si="433"/>
        <v>CH0024638212:CHF</v>
      </c>
      <c r="D59" s="368" t="str">
        <f t="shared" ca="1" si="434"/>
        <v>CH0024638212</v>
      </c>
      <c r="E59" s="369" t="str">
        <f t="shared" ca="1" si="434"/>
        <v>2463821</v>
      </c>
      <c r="F59" s="367" t="s">
        <v>573</v>
      </c>
      <c r="G59" s="414"/>
      <c r="H59" s="1713" t="str">
        <f t="shared" ca="1" si="435"/>
        <v></v>
      </c>
      <c r="I59" s="1683" t="str">
        <f t="shared" ref="I59:I60" ca="1" si="611">HYPERLINK(OFFSET(Origine,MATCH($F59,Descrizioni,0),MATCH(I$14,Intestazioni,0)-1,1,1),"i")</f>
        <v>i</v>
      </c>
      <c r="J59" s="1713" t="str">
        <f t="shared" ref="J59:K60" ca="1" si="612">HYPERLINK(OFFSET(Origine,MATCH($F59,Descrizioni,0),MATCH(J$14,Intestazioni,0)-1,1,1),"")</f>
        <v></v>
      </c>
      <c r="K59" s="1716" t="str">
        <f t="shared" ca="1" si="612"/>
        <v></v>
      </c>
      <c r="L59" s="1717" t="str">
        <f t="shared" ca="1" si="438"/>
        <v></v>
      </c>
      <c r="M59" s="366" t="str">
        <f t="shared" ca="1" si="439"/>
        <v>Unit</v>
      </c>
      <c r="N59" s="1309">
        <v>1.4999999999999999E-2</v>
      </c>
      <c r="O59" s="1310" cm="1">
        <f t="array" aca="1" ref="O59" ca="1">SUM(IF($AF$14:$BQ$14="I_ctrlv",AF59:BQ59))</f>
        <v>55100.007163000002</v>
      </c>
      <c r="P59" s="373">
        <f t="shared" ca="1" si="384"/>
        <v>8.4125400890751895E-3</v>
      </c>
      <c r="Q59" s="391">
        <f t="array" aca="1" ref="Q59" ca="1">SUM(IF($AF$14:$BQ$14="I_pos",AF59:BQ59))</f>
        <v>200</v>
      </c>
      <c r="R59" s="391">
        <f t="array" aca="1" ref="R59" ca="1">SUM(IF($AF$14:$BQ$14="P_Pos",AF59:BQ59))</f>
        <v>156.61048485176332</v>
      </c>
      <c r="S59" s="1314"/>
      <c r="T59" s="391"/>
      <c r="U59" s="366"/>
      <c r="V59" s="391">
        <f t="array" aca="1" ref="V59" ca="1">SUM(IF($AF$14:$BQ$14="O_Pos",AF59:BQ59))</f>
        <v>115</v>
      </c>
      <c r="W59" s="1310"/>
      <c r="X59" s="1312">
        <f t="shared" ref="X59:AA60" ca="1" si="613">OFFSET(Origine,MATCH($F59,Descrizioni,0),MATCH(X$14,Intestazioni,0)-1,1,1)</f>
        <v>0</v>
      </c>
      <c r="Y59" s="1312">
        <f t="shared" ca="1" si="613"/>
        <v>0</v>
      </c>
      <c r="Z59" s="1312">
        <f t="shared" ca="1" si="613"/>
        <v>0</v>
      </c>
      <c r="AA59" s="1313">
        <f t="shared" ca="1" si="613"/>
        <v>0</v>
      </c>
      <c r="AB59" s="367" t="str">
        <f t="shared" ref="AB59:AB60" ca="1" si="614">OFFSET(Origine,MATCH($F59,Descrizioni,0),MATCH(AB$14,Intestazioni,0)-1,1,1)</f>
        <v>CHF</v>
      </c>
      <c r="AC59" s="392">
        <f t="shared" ref="AC59:AC60" ca="1" si="615">_xlfn.NUMBERVALUE(OFFSET(Origine,MATCH($F59,Descrizioni,0),MATCH(AC$14,Intestazioni,0)-1,1,1))</f>
        <v>275.5</v>
      </c>
      <c r="AD59" s="393">
        <f t="shared" ca="1" si="572"/>
        <v>2.1778579999999999E-2</v>
      </c>
      <c r="AE59" s="378">
        <f t="shared" ca="1" si="444"/>
        <v>1.0000001300000001</v>
      </c>
      <c r="AF59" s="214">
        <v>200</v>
      </c>
      <c r="AG59" s="312">
        <f t="shared" ca="1" si="445"/>
        <v>0.1583665811872017</v>
      </c>
      <c r="AH59" s="1254">
        <v>237.8349</v>
      </c>
      <c r="AI59" s="199">
        <f t="shared" ca="1" si="548"/>
        <v>55100</v>
      </c>
      <c r="AJ59" s="199">
        <f t="shared" ca="1" si="549"/>
        <v>55100.007163000002</v>
      </c>
      <c r="AK59" s="216">
        <f t="shared" ca="1" si="423"/>
        <v>9.431437547147219E-3</v>
      </c>
      <c r="AL59" s="202">
        <f t="shared" ca="1" si="550"/>
        <v>118.08512594216636</v>
      </c>
      <c r="AM59" s="203">
        <f t="shared" ca="1" si="551"/>
        <v>32532.452197066832</v>
      </c>
      <c r="AN59" s="203">
        <f t="shared" ca="1" si="552"/>
        <v>32532.456426285622</v>
      </c>
      <c r="AO59" s="204">
        <f t="shared" ca="1" si="553"/>
        <v>5.5685624528527804E-3</v>
      </c>
      <c r="AP59" s="205">
        <v>115</v>
      </c>
      <c r="AQ59" s="206">
        <f t="shared" ca="1" si="554"/>
        <v>31682.5</v>
      </c>
      <c r="AR59" s="206">
        <f t="shared" ca="1" si="555"/>
        <v>31682.504118725003</v>
      </c>
      <c r="AS59" s="207">
        <f t="shared" ca="1" si="426"/>
        <v>5.4230765896096517E-3</v>
      </c>
      <c r="AT59" s="391">
        <f t="shared" si="556"/>
        <v>315</v>
      </c>
      <c r="AU59" s="391">
        <f t="shared" ca="1" si="179"/>
        <v>86782.5</v>
      </c>
      <c r="AV59" s="391">
        <f t="shared" ca="1" si="557"/>
        <v>86782.511281725005</v>
      </c>
      <c r="AW59" s="394">
        <f t="shared" ca="1" si="432"/>
        <v>1.4854514136756871E-2</v>
      </c>
      <c r="AX59" s="1007" t="str">
        <f t="shared" ca="1" si="13"/>
        <v>V</v>
      </c>
      <c r="AY59" s="1255"/>
      <c r="AZ59" s="312" t="str">
        <f t="shared" ca="1" si="459"/>
        <v/>
      </c>
      <c r="BA59" s="1254"/>
      <c r="BB59" s="199">
        <f t="shared" ca="1" si="558"/>
        <v>0</v>
      </c>
      <c r="BC59" s="199">
        <f t="shared" ca="1" si="559"/>
        <v>0</v>
      </c>
      <c r="BD59" s="216">
        <f t="shared" ca="1" si="428"/>
        <v>0</v>
      </c>
      <c r="BE59" s="202">
        <f t="shared" ca="1" si="560"/>
        <v>38.525358909596967</v>
      </c>
      <c r="BF59" s="203">
        <f t="shared" ca="1" si="561"/>
        <v>10613.736379593964</v>
      </c>
      <c r="BG59" s="203">
        <f t="shared" ca="1" si="562"/>
        <v>10613.737759379694</v>
      </c>
      <c r="BH59" s="204">
        <f t="shared" ca="1" si="563"/>
        <v>1.4999999999999999E-2</v>
      </c>
      <c r="BI59" s="1253"/>
      <c r="BJ59" s="206">
        <f t="shared" ca="1" si="564"/>
        <v>0</v>
      </c>
      <c r="BK59" s="206">
        <f t="shared" ca="1" si="565"/>
        <v>0</v>
      </c>
      <c r="BL59" s="207">
        <f t="shared" ca="1" si="431"/>
        <v>0</v>
      </c>
      <c r="BM59" s="391">
        <f t="shared" si="566"/>
        <v>0</v>
      </c>
      <c r="BN59" s="391">
        <f t="shared" ca="1" si="194"/>
        <v>0</v>
      </c>
      <c r="BO59" s="391">
        <f t="shared" ca="1" si="567"/>
        <v>0</v>
      </c>
      <c r="BP59" s="886">
        <f t="shared" ca="1" si="408"/>
        <v>0</v>
      </c>
      <c r="BQ59" s="1007" t="str">
        <f t="shared" ca="1" si="610"/>
        <v/>
      </c>
      <c r="BR59" s="1007"/>
    </row>
    <row r="60" spans="1:70" ht="13.5" hidden="1" customHeight="1" outlineLevel="1" x14ac:dyDescent="0.2">
      <c r="A60" s="367"/>
      <c r="B60" s="367"/>
      <c r="C60" s="367" t="str">
        <f t="shared" ca="1" si="433"/>
        <v>CH1386220409:CHF</v>
      </c>
      <c r="D60" s="368" t="str">
        <f t="shared" ca="1" si="434"/>
        <v>CH1386220409</v>
      </c>
      <c r="E60" s="369" t="str">
        <f t="shared" ca="1" si="434"/>
        <v>138622040</v>
      </c>
      <c r="F60" s="370" t="s">
        <v>4426</v>
      </c>
      <c r="G60" s="414"/>
      <c r="H60" s="1713" t="str">
        <f t="shared" ca="1" si="435"/>
        <v></v>
      </c>
      <c r="I60" s="1683" t="str">
        <f t="shared" ca="1" si="611"/>
        <v>i</v>
      </c>
      <c r="J60" s="1713" t="str">
        <f t="shared" ca="1" si="612"/>
        <v></v>
      </c>
      <c r="K60" s="1716" t="str">
        <f t="shared" ca="1" si="612"/>
        <v></v>
      </c>
      <c r="L60" s="1717" t="str">
        <f t="shared" ca="1" si="438"/>
        <v></v>
      </c>
      <c r="M60" s="366" t="str">
        <f t="shared" ca="1" si="439"/>
        <v>Unit</v>
      </c>
      <c r="N60" s="1309">
        <v>1.4999999999999999E-2</v>
      </c>
      <c r="O60" s="1310" cm="1">
        <f t="array" aca="1" ref="O60" ca="1">SUM(IF($AF$14:$BQ$14="I_ctrlv",AF60:BQ60))</f>
        <v>0</v>
      </c>
      <c r="P60" s="373">
        <f t="shared" ca="1" si="384"/>
        <v>0</v>
      </c>
      <c r="Q60" s="391">
        <f t="array" aca="1" ref="Q60" ca="1">SUM(IF($AF$14:$BQ$14="I_pos",AF60:BQ60))</f>
        <v>0</v>
      </c>
      <c r="R60" s="391">
        <f t="array" aca="1" ref="R60" ca="1">SUM(IF($AF$14:$BQ$14="P_Pos",AF60:BQ60))</f>
        <v>2019.0338795039211</v>
      </c>
      <c r="S60" s="1314"/>
      <c r="T60" s="391"/>
      <c r="U60" s="366"/>
      <c r="V60" s="391">
        <f t="array" aca="1" ref="V60" ca="1">SUM(IF($AF$14:$BQ$14="O_Pos",AF60:BQ60))</f>
        <v>0</v>
      </c>
      <c r="W60" s="1310"/>
      <c r="X60" s="1312">
        <f t="shared" ca="1" si="613"/>
        <v>0</v>
      </c>
      <c r="Y60" s="1312">
        <f t="shared" ca="1" si="613"/>
        <v>0</v>
      </c>
      <c r="Z60" s="1312">
        <f t="shared" ca="1" si="613"/>
        <v>0</v>
      </c>
      <c r="AA60" s="1313">
        <f t="shared" ca="1" si="613"/>
        <v>0</v>
      </c>
      <c r="AB60" s="367" t="str">
        <f t="shared" ca="1" si="614"/>
        <v>CHF</v>
      </c>
      <c r="AC60" s="392">
        <f t="shared" ca="1" si="615"/>
        <v>48.66</v>
      </c>
      <c r="AD60" s="393">
        <f t="shared" ca="1" si="572"/>
        <v>7.0283600000000002E-2</v>
      </c>
      <c r="AE60" s="378">
        <f t="shared" ref="AE60" ca="1" si="616">_xlfn.NUMBERVALUE(OFFSET(Origine,MATCH(AB60&amp;"/"&amp;MRif,LUKB_Name,0),MATCH("Price",Intestazioni,0)-1,1,1))</f>
        <v>1.0000001300000001</v>
      </c>
      <c r="AF60" s="214"/>
      <c r="AG60" s="312" t="str">
        <f t="shared" ref="AG60" ca="1" si="617">IFERROR($AC60/AH60-1,"")</f>
        <v/>
      </c>
      <c r="AH60" s="1254"/>
      <c r="AI60" s="199">
        <f t="shared" ref="AI60" ca="1" si="618">AF60*$AC60</f>
        <v>0</v>
      </c>
      <c r="AJ60" s="199">
        <f t="shared" ref="AJ60" ca="1" si="619">AI60*$AE60</f>
        <v>0</v>
      </c>
      <c r="AK60" s="216">
        <f t="shared" ref="AK60" ca="1" si="620">IFERROR(AJ60/AF$4,0)</f>
        <v>0</v>
      </c>
      <c r="AL60" s="202">
        <f t="shared" ref="AL60" ca="1" si="621">AM60/$AC60</f>
        <v>1800.9135264502022</v>
      </c>
      <c r="AM60" s="203">
        <f t="shared" ref="AM60" ca="1" si="622">AN60/$AE60</f>
        <v>87632.452197066828</v>
      </c>
      <c r="AN60" s="203">
        <f t="shared" ref="AN60" ca="1" si="623">AO60*AF$4</f>
        <v>87632.463589285617</v>
      </c>
      <c r="AO60" s="204">
        <f t="shared" ref="AO60" ca="1" si="624">$N60-AK60</f>
        <v>1.4999999999999999E-2</v>
      </c>
      <c r="AP60" s="205"/>
      <c r="AQ60" s="206">
        <f t="shared" ref="AQ60" ca="1" si="625">AP60*$AC60</f>
        <v>0</v>
      </c>
      <c r="AR60" s="206">
        <f t="shared" ref="AR60" ca="1" si="626">AQ60*$AE60</f>
        <v>0</v>
      </c>
      <c r="AS60" s="207">
        <f t="shared" ref="AS60" ca="1" si="627">IFERROR(AR60/AF$4,0)</f>
        <v>0</v>
      </c>
      <c r="AT60" s="391">
        <f t="shared" ref="AT60" si="628">AF60+AP60</f>
        <v>0</v>
      </c>
      <c r="AU60" s="391">
        <f t="shared" ref="AU60" ca="1" si="629">AI60+IF($T60="",AQ60)</f>
        <v>0</v>
      </c>
      <c r="AV60" s="391">
        <f t="shared" ref="AV60" ca="1" si="630">AU60*$AE60</f>
        <v>0</v>
      </c>
      <c r="AW60" s="394">
        <f t="shared" ref="AW60" ca="1" si="631">IFERROR(AV60/AF$4,0)</f>
        <v>0</v>
      </c>
      <c r="AX60" s="1007" t="str">
        <f t="shared" ref="AX60" ca="1" si="632">IF(OR(AK60&lt;&gt;0,AS60&lt;&gt;0),"V","")</f>
        <v/>
      </c>
      <c r="AY60" s="1255"/>
      <c r="AZ60" s="312" t="str">
        <f t="shared" ref="AZ60" ca="1" si="633">IFERROR($AC60/BA60-1,"")</f>
        <v/>
      </c>
      <c r="BA60" s="1254"/>
      <c r="BB60" s="199">
        <f t="shared" ref="BB60" ca="1" si="634">AY60*$AC60</f>
        <v>0</v>
      </c>
      <c r="BC60" s="199">
        <f t="shared" ref="BC60" ca="1" si="635">BB60*$AE60</f>
        <v>0</v>
      </c>
      <c r="BD60" s="216">
        <f t="shared" ref="BD60" ca="1" si="636">IFERROR(BC60/AY$4,0)</f>
        <v>0</v>
      </c>
      <c r="BE60" s="202">
        <f t="shared" ref="BE60" ca="1" si="637">BF60/$AC60</f>
        <v>218.12035305371896</v>
      </c>
      <c r="BF60" s="203">
        <f t="shared" ref="BF60" ca="1" si="638">BG60/$AE60</f>
        <v>10613.736379593964</v>
      </c>
      <c r="BG60" s="203">
        <f t="shared" ref="BG60" ca="1" si="639">BH60*AY$4</f>
        <v>10613.737759379694</v>
      </c>
      <c r="BH60" s="204">
        <f t="shared" ref="BH60" ca="1" si="640">$N60-BD60</f>
        <v>1.4999999999999999E-2</v>
      </c>
      <c r="BI60" s="1253"/>
      <c r="BJ60" s="206">
        <f t="shared" ref="BJ60" ca="1" si="641">BI60*$AC60</f>
        <v>0</v>
      </c>
      <c r="BK60" s="206">
        <f t="shared" ref="BK60" ca="1" si="642">BJ60*$AE60</f>
        <v>0</v>
      </c>
      <c r="BL60" s="207">
        <f t="shared" ref="BL60" ca="1" si="643">IFERROR(BK60/AY$4,0)</f>
        <v>0</v>
      </c>
      <c r="BM60" s="391">
        <f t="shared" ref="BM60" si="644">AY60+BI60</f>
        <v>0</v>
      </c>
      <c r="BN60" s="391">
        <f t="shared" ref="BN60" ca="1" si="645">BB60+IF($T60="",BJ60)</f>
        <v>0</v>
      </c>
      <c r="BO60" s="391">
        <f t="shared" ref="BO60" ca="1" si="646">BN60*$AE60</f>
        <v>0</v>
      </c>
      <c r="BP60" s="886">
        <f t="shared" ref="BP60" ca="1" si="647">IFERROR(BO60/AY$4,0)</f>
        <v>0</v>
      </c>
      <c r="BQ60" s="1007" t="str">
        <f t="shared" ref="BQ60" ca="1" si="648">IF(OR(BD60&lt;&gt;0,BL60&lt;&gt;0),"V","")</f>
        <v/>
      </c>
      <c r="BR60" s="1007"/>
    </row>
    <row r="61" spans="1:70" ht="13.5" hidden="1" customHeight="1" outlineLevel="1" x14ac:dyDescent="0.2">
      <c r="A61" s="367"/>
      <c r="B61" s="367"/>
      <c r="C61" s="367" t="str">
        <f t="shared" ca="1" si="433"/>
        <v>CH0244767585:CHF</v>
      </c>
      <c r="D61" s="368" t="str">
        <f t="shared" ca="1" si="434"/>
        <v>CH0244767585</v>
      </c>
      <c r="E61" s="369" t="str">
        <f t="shared" ca="1" si="434"/>
        <v>24476758</v>
      </c>
      <c r="F61" s="390" t="s">
        <v>484</v>
      </c>
      <c r="G61" s="371"/>
      <c r="H61" s="1713" t="str">
        <f t="shared" ca="1" si="435"/>
        <v></v>
      </c>
      <c r="I61" s="1683" t="str">
        <f t="shared" ref="I61:I62" ca="1" si="649">HYPERLINK(OFFSET(Origine,MATCH($F61,Descrizioni,0),MATCH(I$14,Intestazioni,0)-1,1,1),"i")</f>
        <v>i</v>
      </c>
      <c r="J61" s="1713" t="str">
        <f t="shared" ref="J61:K62" ca="1" si="650">HYPERLINK(OFFSET(Origine,MATCH($F61,Descrizioni,0),MATCH(J$14,Intestazioni,0)-1,1,1),"")</f>
        <v></v>
      </c>
      <c r="K61" s="1716" t="str">
        <f t="shared" ca="1" si="650"/>
        <v></v>
      </c>
      <c r="L61" s="1717" t="str">
        <f t="shared" ca="1" si="438"/>
        <v></v>
      </c>
      <c r="M61" s="366" t="str">
        <f t="shared" ca="1" si="439"/>
        <v>Unit</v>
      </c>
      <c r="N61" s="1309"/>
      <c r="O61" s="1310" cm="1">
        <f t="array" aca="1" ref="O61" ca="1">SUM(IF($AF$14:$BQ$14="I_ctrlv",AF61:BQ61))</f>
        <v>92040.011965200014</v>
      </c>
      <c r="P61" s="373">
        <f t="shared" ca="1" si="384"/>
        <v>1.4052453535362623E-2</v>
      </c>
      <c r="Q61" s="391">
        <f t="array" aca="1" ref="Q61" ca="1">SUM(IF($AF$14:$BQ$14="I_pos",AF61:BQ61))</f>
        <v>3000</v>
      </c>
      <c r="R61" s="391">
        <f t="array" aca="1" ref="R61" ca="1">SUM(IF($AF$14:$BQ$14="P_Pos",AF61:BQ61))</f>
        <v>-3000</v>
      </c>
      <c r="S61" s="1311"/>
      <c r="T61" s="391"/>
      <c r="U61" s="366"/>
      <c r="V61" s="391">
        <f t="array" aca="1" ref="V61" ca="1">SUM(IF($AF$14:$BQ$14="O_Pos",AF61:BQ61))</f>
        <v>0</v>
      </c>
      <c r="W61" s="1310"/>
      <c r="X61" s="1312">
        <f t="shared" ref="X61:AA62" ca="1" si="651">OFFSET(Origine,MATCH($F61,Descrizioni,0),MATCH(X$14,Intestazioni,0)-1,1,1)</f>
        <v>0</v>
      </c>
      <c r="Y61" s="1312">
        <f t="shared" ca="1" si="651"/>
        <v>0</v>
      </c>
      <c r="Z61" s="1312">
        <f t="shared" ca="1" si="651"/>
        <v>0</v>
      </c>
      <c r="AA61" s="1313">
        <f t="shared" ca="1" si="651"/>
        <v>0</v>
      </c>
      <c r="AB61" s="367" t="str">
        <f t="shared" ref="AB61:AB62" ca="1" si="652">OFFSET(Origine,MATCH($F61,Descrizioni,0),MATCH(AB$14,Intestazioni,0)-1,1,1)</f>
        <v>CHF</v>
      </c>
      <c r="AC61" s="392">
        <f t="shared" ref="AC61" ca="1" si="653">_xlfn.NUMBERVALUE(OFFSET(Origine,MATCH($F61,Descrizioni,0),MATCH(AC$14,Intestazioni,0)-1,1,1))</f>
        <v>30.68</v>
      </c>
      <c r="AD61" s="393">
        <f t="shared" ca="1" si="572"/>
        <v>2.397699E-2</v>
      </c>
      <c r="AE61" s="378">
        <f t="shared" ca="1" si="444"/>
        <v>1.0000001300000001</v>
      </c>
      <c r="AF61" s="214">
        <f>3000</f>
        <v>3000</v>
      </c>
      <c r="AG61" s="312">
        <f t="shared" ca="1" si="445"/>
        <v>3.8591740013540932E-2</v>
      </c>
      <c r="AH61" s="1254">
        <v>29.54</v>
      </c>
      <c r="AI61" s="199">
        <f t="shared" ref="AI61" ca="1" si="654">AF61*$AC61</f>
        <v>92040</v>
      </c>
      <c r="AJ61" s="199">
        <f t="shared" ref="AJ61" ca="1" si="655">AI61*$AE61</f>
        <v>92040.011965200014</v>
      </c>
      <c r="AK61" s="216">
        <f t="shared" ref="AK61" ca="1" si="656">IFERROR(AJ61/AF$4,0)</f>
        <v>1.5754437601441563E-2</v>
      </c>
      <c r="AL61" s="202">
        <f t="shared" ref="AL61" ca="1" si="657">AM61/$AC61</f>
        <v>-3000</v>
      </c>
      <c r="AM61" s="203">
        <f t="shared" ref="AM61" ca="1" si="658">AN61/$AE61</f>
        <v>-92040</v>
      </c>
      <c r="AN61" s="203">
        <f t="shared" ref="AN61" ca="1" si="659">AO61*AF$4</f>
        <v>-92040.011965200014</v>
      </c>
      <c r="AO61" s="204">
        <f t="shared" ref="AO61" ca="1" si="660">$N61-AK61</f>
        <v>-1.5754437601441563E-2</v>
      </c>
      <c r="AP61" s="205"/>
      <c r="AQ61" s="206">
        <f t="shared" ref="AQ61" ca="1" si="661">AP61*$AC61</f>
        <v>0</v>
      </c>
      <c r="AR61" s="206">
        <f t="shared" ref="AR61" ca="1" si="662">AQ61*$AE61</f>
        <v>0</v>
      </c>
      <c r="AS61" s="207">
        <f t="shared" ref="AS61" ca="1" si="663">IFERROR(AR61/AF$4,0)</f>
        <v>0</v>
      </c>
      <c r="AT61" s="391">
        <f t="shared" ref="AT61" si="664">AF61+AP61</f>
        <v>3000</v>
      </c>
      <c r="AU61" s="391">
        <f t="shared" ca="1" si="179"/>
        <v>92040</v>
      </c>
      <c r="AV61" s="391">
        <f t="shared" ref="AV61" ca="1" si="665">AU61*$AE61</f>
        <v>92040.011965200014</v>
      </c>
      <c r="AW61" s="394">
        <f t="shared" ref="AW61" ca="1" si="666">IFERROR(AV61/AF$4,0)</f>
        <v>1.5754437601441563E-2</v>
      </c>
      <c r="AX61" s="1007" t="str">
        <f t="shared" ca="1" si="13"/>
        <v>V</v>
      </c>
      <c r="AY61" s="1255"/>
      <c r="AZ61" s="312" t="str">
        <f t="shared" ca="1" si="459"/>
        <v/>
      </c>
      <c r="BA61" s="1254"/>
      <c r="BB61" s="199">
        <f t="shared" ref="BB61" ca="1" si="667">AY61*$AC61</f>
        <v>0</v>
      </c>
      <c r="BC61" s="199">
        <f t="shared" ref="BC61" ca="1" si="668">BB61*$AE61</f>
        <v>0</v>
      </c>
      <c r="BD61" s="216">
        <f t="shared" ref="BD61" ca="1" si="669">IFERROR(BC61/AY$4,0)</f>
        <v>0</v>
      </c>
      <c r="BE61" s="202">
        <f t="shared" ref="BE61" ca="1" si="670">BF61/$AC61</f>
        <v>0</v>
      </c>
      <c r="BF61" s="203">
        <f t="shared" ref="BF61" ca="1" si="671">BG61/$AE61</f>
        <v>0</v>
      </c>
      <c r="BG61" s="203">
        <f t="shared" ref="BG61" ca="1" si="672">BH61*AY$4</f>
        <v>0</v>
      </c>
      <c r="BH61" s="204">
        <f t="shared" ref="BH61" ca="1" si="673">$N61-BD61</f>
        <v>0</v>
      </c>
      <c r="BI61" s="1253"/>
      <c r="BJ61" s="206">
        <f t="shared" ref="BJ61" ca="1" si="674">BI61*$AC61</f>
        <v>0</v>
      </c>
      <c r="BK61" s="206">
        <f t="shared" ref="BK61" ca="1" si="675">BJ61*$AE61</f>
        <v>0</v>
      </c>
      <c r="BL61" s="207">
        <f t="shared" ref="BL61" ca="1" si="676">IFERROR(BK61/AY$4,0)</f>
        <v>0</v>
      </c>
      <c r="BM61" s="391">
        <f t="shared" ref="BM61" si="677">AY61+BI61</f>
        <v>0</v>
      </c>
      <c r="BN61" s="391">
        <f t="shared" ca="1" si="194"/>
        <v>0</v>
      </c>
      <c r="BO61" s="391">
        <f t="shared" ref="BO61" ca="1" si="678">BN61*$AE61</f>
        <v>0</v>
      </c>
      <c r="BP61" s="886">
        <f t="shared" ca="1" si="408"/>
        <v>0</v>
      </c>
      <c r="BQ61" s="1007" t="str">
        <f t="shared" ca="1" si="610"/>
        <v/>
      </c>
      <c r="BR61" s="1007"/>
    </row>
    <row r="62" spans="1:70" ht="13.5" hidden="1" customHeight="1" outlineLevel="1" x14ac:dyDescent="0.2">
      <c r="A62" s="367"/>
      <c r="B62" s="367"/>
      <c r="C62" s="367" t="str">
        <f t="shared" ca="1" si="433"/>
        <v>CH0011075394:CHF</v>
      </c>
      <c r="D62" s="368" t="str">
        <f t="shared" ca="1" si="434"/>
        <v>CH0011075394</v>
      </c>
      <c r="E62" s="369" t="str">
        <f t="shared" ca="1" si="434"/>
        <v>1107539</v>
      </c>
      <c r="F62" s="367" t="s">
        <v>398</v>
      </c>
      <c r="G62" s="414"/>
      <c r="H62" s="1713" t="str">
        <f t="shared" ca="1" si="435"/>
        <v></v>
      </c>
      <c r="I62" s="1683" t="str">
        <f t="shared" ca="1" si="649"/>
        <v>i</v>
      </c>
      <c r="J62" s="1713" t="str">
        <f t="shared" ca="1" si="650"/>
        <v></v>
      </c>
      <c r="K62" s="1716" t="str">
        <f t="shared" ca="1" si="650"/>
        <v></v>
      </c>
      <c r="L62" s="1717" t="str">
        <f t="shared" ca="1" si="438"/>
        <v></v>
      </c>
      <c r="M62" s="366" t="str">
        <f t="shared" ca="1" si="439"/>
        <v>Unit</v>
      </c>
      <c r="N62" s="1309"/>
      <c r="O62" s="1310" cm="1">
        <f t="array" aca="1" ref="O62" ca="1">SUM(IF($AF$14:$BQ$14="I_ctrlv",AF62:BQ62))</f>
        <v>53660.006975800003</v>
      </c>
      <c r="P62" s="373">
        <f t="shared" ca="1" si="384"/>
        <v>8.1926842319378339E-3</v>
      </c>
      <c r="Q62" s="391">
        <f t="array" aca="1" ref="Q62" ca="1">SUM(IF($AF$14:$BQ$14="I_pos",AF62:BQ62))</f>
        <v>100</v>
      </c>
      <c r="R62" s="391">
        <f t="array" aca="1" ref="R62" ca="1">SUM(IF($AF$14:$BQ$14="P_Pos",AF62:BQ62))</f>
        <v>-100</v>
      </c>
      <c r="S62" s="1314"/>
      <c r="T62" s="391"/>
      <c r="U62" s="366"/>
      <c r="V62" s="391">
        <f t="array" aca="1" ref="V62" ca="1">SUM(IF($AF$14:$BQ$14="O_Pos",AF62:BQ62))</f>
        <v>-75</v>
      </c>
      <c r="W62" s="1310"/>
      <c r="X62" s="1312">
        <f t="shared" ca="1" si="651"/>
        <v>0</v>
      </c>
      <c r="Y62" s="1312">
        <f t="shared" ca="1" si="651"/>
        <v>0</v>
      </c>
      <c r="Z62" s="1312">
        <f t="shared" ca="1" si="651"/>
        <v>0</v>
      </c>
      <c r="AA62" s="1313">
        <f t="shared" ca="1" si="651"/>
        <v>0</v>
      </c>
      <c r="AB62" s="367" t="str">
        <f t="shared" ca="1" si="652"/>
        <v>CHF</v>
      </c>
      <c r="AC62" s="392">
        <f t="shared" ref="AC62" ca="1" si="679">_xlfn.NUMBERVALUE(OFFSET(Origine,MATCH($F62,Descrizioni,0),MATCH(AC$14,Intestazioni,0)-1,1,1))</f>
        <v>536.6</v>
      </c>
      <c r="AD62" s="393">
        <f t="shared" ca="1" si="572"/>
        <v>5.5907569999999997E-2</v>
      </c>
      <c r="AE62" s="378">
        <f t="shared" ca="1" si="444"/>
        <v>1.0000001300000001</v>
      </c>
      <c r="AF62" s="214"/>
      <c r="AG62" s="312" t="str">
        <f t="shared" ca="1" si="445"/>
        <v/>
      </c>
      <c r="AH62" s="1254"/>
      <c r="AI62" s="199">
        <f t="shared" ca="1" si="548"/>
        <v>0</v>
      </c>
      <c r="AJ62" s="199">
        <f t="shared" ca="1" si="549"/>
        <v>0</v>
      </c>
      <c r="AK62" s="216">
        <f t="shared" ca="1" si="423"/>
        <v>0</v>
      </c>
      <c r="AL62" s="202">
        <f t="shared" ca="1" si="550"/>
        <v>0</v>
      </c>
      <c r="AM62" s="203">
        <f t="shared" ca="1" si="551"/>
        <v>0</v>
      </c>
      <c r="AN62" s="203">
        <f t="shared" ca="1" si="552"/>
        <v>0</v>
      </c>
      <c r="AO62" s="204">
        <f t="shared" ca="1" si="553"/>
        <v>0</v>
      </c>
      <c r="AP62" s="205"/>
      <c r="AQ62" s="206">
        <f t="shared" ca="1" si="554"/>
        <v>0</v>
      </c>
      <c r="AR62" s="206">
        <f t="shared" ca="1" si="555"/>
        <v>0</v>
      </c>
      <c r="AS62" s="207">
        <f t="shared" ca="1" si="426"/>
        <v>0</v>
      </c>
      <c r="AT62" s="391">
        <f t="shared" ref="AT62:AT66" si="680">AF62+AP62</f>
        <v>0</v>
      </c>
      <c r="AU62" s="391">
        <f t="shared" ca="1" si="179"/>
        <v>0</v>
      </c>
      <c r="AV62" s="391">
        <f t="shared" ca="1" si="557"/>
        <v>0</v>
      </c>
      <c r="AW62" s="394">
        <f t="shared" ca="1" si="432"/>
        <v>0</v>
      </c>
      <c r="AX62" s="1007" t="str">
        <f t="shared" ca="1" si="13"/>
        <v/>
      </c>
      <c r="AY62" s="1255">
        <v>100</v>
      </c>
      <c r="AZ62" s="312">
        <f t="shared" ca="1" si="459"/>
        <v>0.91028835884656489</v>
      </c>
      <c r="BA62" s="1254">
        <v>280.89999999999998</v>
      </c>
      <c r="BB62" s="199">
        <f t="shared" ca="1" si="558"/>
        <v>53660</v>
      </c>
      <c r="BC62" s="199">
        <f t="shared" ca="1" si="559"/>
        <v>53660.006975800003</v>
      </c>
      <c r="BD62" s="216">
        <f t="shared" ca="1" si="428"/>
        <v>7.5835687943739183E-2</v>
      </c>
      <c r="BE62" s="202">
        <f t="shared" ca="1" si="560"/>
        <v>-100</v>
      </c>
      <c r="BF62" s="203">
        <f t="shared" ca="1" si="561"/>
        <v>-53660</v>
      </c>
      <c r="BG62" s="203">
        <f t="shared" ca="1" si="562"/>
        <v>-53660.006975800003</v>
      </c>
      <c r="BH62" s="204">
        <f t="shared" ca="1" si="563"/>
        <v>-7.5835687943739183E-2</v>
      </c>
      <c r="BI62" s="1253">
        <v>-75</v>
      </c>
      <c r="BJ62" s="206">
        <f t="shared" ca="1" si="564"/>
        <v>-40245</v>
      </c>
      <c r="BK62" s="206">
        <f t="shared" ca="1" si="565"/>
        <v>-40245.005231850002</v>
      </c>
      <c r="BL62" s="207">
        <f t="shared" ca="1" si="431"/>
        <v>-5.6876765957804387E-2</v>
      </c>
      <c r="BM62" s="391">
        <f t="shared" ref="BM62:BM66" si="681">AY62+BI62</f>
        <v>25</v>
      </c>
      <c r="BN62" s="391">
        <f t="shared" ca="1" si="194"/>
        <v>13415</v>
      </c>
      <c r="BO62" s="391">
        <f t="shared" ca="1" si="567"/>
        <v>13415.001743950001</v>
      </c>
      <c r="BP62" s="886">
        <f t="shared" ca="1" si="408"/>
        <v>1.8958921985934796E-2</v>
      </c>
      <c r="BQ62" s="1007" t="str">
        <f t="shared" ca="1" si="409"/>
        <v>V</v>
      </c>
      <c r="BR62" s="1007"/>
    </row>
    <row r="63" spans="1:70" ht="13.5" hidden="1" customHeight="1" outlineLevel="1" x14ac:dyDescent="0.2">
      <c r="A63" s="367"/>
      <c r="B63" s="367"/>
      <c r="C63" s="367" t="str">
        <f t="shared" ca="1" si="433"/>
        <v>CH0017142719:CHF</v>
      </c>
      <c r="D63" s="368" t="str">
        <f t="shared" ca="1" si="434"/>
        <v>CH0017142719</v>
      </c>
      <c r="E63" s="369" t="str">
        <f t="shared" ca="1" si="434"/>
        <v>1714271</v>
      </c>
      <c r="F63" s="367" t="s">
        <v>406</v>
      </c>
      <c r="G63" s="414"/>
      <c r="H63" s="1713" t="str">
        <f t="shared" ca="1" si="435"/>
        <v></v>
      </c>
      <c r="I63" s="1683" t="str">
        <f t="shared" ref="I63" ca="1" si="682">HYPERLINK(OFFSET(Origine,MATCH($F63,Descrizioni,0),MATCH(I$14,Intestazioni,0)-1,1,1),"i")</f>
        <v>i</v>
      </c>
      <c r="J63" s="1713" t="str">
        <f t="shared" ref="J63:K63" ca="1" si="683">HYPERLINK(OFFSET(Origine,MATCH($F63,Descrizioni,0),MATCH(J$14,Intestazioni,0)-1,1,1),"")</f>
        <v></v>
      </c>
      <c r="K63" s="1716" t="str">
        <f t="shared" ca="1" si="683"/>
        <v></v>
      </c>
      <c r="L63" s="1717" t="str">
        <f t="shared" ca="1" si="438"/>
        <v></v>
      </c>
      <c r="M63" s="366" t="str">
        <f t="shared" ca="1" si="439"/>
        <v>Unit</v>
      </c>
      <c r="N63" s="1309">
        <v>2.5000000000000001E-2</v>
      </c>
      <c r="O63" s="1310" cm="1">
        <f t="array" aca="1" ref="O63" ca="1">SUM(IF($AF$14:$BQ$14="I_ctrlv",AF63:BQ63))</f>
        <v>204780.02662140003</v>
      </c>
      <c r="P63" s="373">
        <f t="shared" ca="1" si="384"/>
        <v>3.1265335017074729E-2</v>
      </c>
      <c r="Q63" s="391">
        <f t="array" aca="1" ref="Q63" ca="1">SUM(IF($AF$14:$BQ$14="I_pos",AF63:BQ63))</f>
        <v>1500</v>
      </c>
      <c r="R63" s="391">
        <f t="array" aca="1" ref="R63" ca="1">SUM(IF($AF$14:$BQ$14="P_Pos",AF63:BQ63))</f>
        <v>-300.58857582941687</v>
      </c>
      <c r="S63" s="1314"/>
      <c r="T63" s="391"/>
      <c r="U63" s="366"/>
      <c r="V63" s="391">
        <f t="array" aca="1" ref="V63" ca="1">SUM(IF($AF$14:$BQ$14="O_Pos",AF63:BQ63))</f>
        <v>-250</v>
      </c>
      <c r="W63" s="1310"/>
      <c r="X63" s="1312">
        <f t="shared" ref="X63:AA63" ca="1" si="684">OFFSET(Origine,MATCH($F63,Descrizioni,0),MATCH(X$14,Intestazioni,0)-1,1,1)</f>
        <v>0</v>
      </c>
      <c r="Y63" s="1312">
        <f t="shared" ca="1" si="684"/>
        <v>0</v>
      </c>
      <c r="Z63" s="1312">
        <f t="shared" ca="1" si="684"/>
        <v>2E-3</v>
      </c>
      <c r="AA63" s="1313">
        <f t="shared" ca="1" si="684"/>
        <v>0</v>
      </c>
      <c r="AB63" s="367" t="str">
        <f t="shared" ref="AB63" ca="1" si="685">OFFSET(Origine,MATCH($F63,Descrizioni,0),MATCH(AB$14,Intestazioni,0)-1,1,1)</f>
        <v>CHF</v>
      </c>
      <c r="AC63" s="392">
        <f t="shared" ref="AC63" ca="1" si="686">_xlfn.NUMBERVALUE(OFFSET(Origine,MATCH($F63,Descrizioni,0),MATCH(AC$14,Intestazioni,0)-1,1,1))</f>
        <v>136.52000000000001</v>
      </c>
      <c r="AD63" s="393">
        <f t="shared" ca="1" si="572"/>
        <v>0</v>
      </c>
      <c r="AE63" s="378">
        <f t="shared" ca="1" si="444"/>
        <v>1.0000001300000001</v>
      </c>
      <c r="AF63" s="214">
        <f>1000</f>
        <v>1000</v>
      </c>
      <c r="AG63" s="312">
        <f t="shared" ca="1" si="445"/>
        <v>0.10606276655043234</v>
      </c>
      <c r="AH63" s="1254">
        <v>123.4288</v>
      </c>
      <c r="AI63" s="199">
        <f t="shared" ca="1" si="548"/>
        <v>136520</v>
      </c>
      <c r="AJ63" s="199">
        <f t="shared" ca="1" si="549"/>
        <v>136520.01774760001</v>
      </c>
      <c r="AK63" s="216">
        <f t="shared" ca="1" si="423"/>
        <v>2.3368055425345525E-2</v>
      </c>
      <c r="AL63" s="202">
        <f t="shared" ca="1" si="550"/>
        <v>69.836558710162592</v>
      </c>
      <c r="AM63" s="203">
        <f t="shared" ca="1" si="551"/>
        <v>9534.0869951113982</v>
      </c>
      <c r="AN63" s="203">
        <f t="shared" ca="1" si="552"/>
        <v>9534.088234542709</v>
      </c>
      <c r="AO63" s="204">
        <f t="shared" ca="1" si="553"/>
        <v>1.6319445746544765E-3</v>
      </c>
      <c r="AP63" s="205"/>
      <c r="AQ63" s="206">
        <f t="shared" ca="1" si="554"/>
        <v>0</v>
      </c>
      <c r="AR63" s="206">
        <f t="shared" ca="1" si="555"/>
        <v>0</v>
      </c>
      <c r="AS63" s="207">
        <f t="shared" ca="1" si="426"/>
        <v>0</v>
      </c>
      <c r="AT63" s="391">
        <f t="shared" si="680"/>
        <v>1000</v>
      </c>
      <c r="AU63" s="391">
        <f t="shared" ca="1" si="179"/>
        <v>136520</v>
      </c>
      <c r="AV63" s="391">
        <f t="shared" ca="1" si="557"/>
        <v>136520.01774760001</v>
      </c>
      <c r="AW63" s="394">
        <f t="shared" ca="1" si="432"/>
        <v>2.3368055425345525E-2</v>
      </c>
      <c r="AX63" s="1007" t="str">
        <f t="shared" ca="1" si="13"/>
        <v>V</v>
      </c>
      <c r="AY63" s="1255">
        <v>500</v>
      </c>
      <c r="AZ63" s="312">
        <f t="shared" ca="1" si="459"/>
        <v>0.56022857142857152</v>
      </c>
      <c r="BA63" s="1254">
        <v>87.5</v>
      </c>
      <c r="BB63" s="199">
        <f t="shared" ref="BB63" ca="1" si="687">AY63*$AC63</f>
        <v>68260</v>
      </c>
      <c r="BC63" s="199">
        <f t="shared" ref="BC63" ca="1" si="688">BB63*$AE63</f>
        <v>68260.008873800005</v>
      </c>
      <c r="BD63" s="216">
        <f t="shared" ref="BD63" ca="1" si="689">IFERROR(BC63/AY$4,0)</f>
        <v>9.6469326482289175E-2</v>
      </c>
      <c r="BE63" s="202">
        <f t="shared" ca="1" si="560"/>
        <v>-370.42513453957946</v>
      </c>
      <c r="BF63" s="203">
        <f t="shared" ca="1" si="561"/>
        <v>-50570.439367343395</v>
      </c>
      <c r="BG63" s="203">
        <f t="shared" ca="1" si="562"/>
        <v>-50570.445941500519</v>
      </c>
      <c r="BH63" s="204">
        <f t="shared" ca="1" si="563"/>
        <v>-7.1469326482289181E-2</v>
      </c>
      <c r="BI63" s="1253">
        <v>-250</v>
      </c>
      <c r="BJ63" s="206">
        <f t="shared" ca="1" si="564"/>
        <v>-34130</v>
      </c>
      <c r="BK63" s="206">
        <f t="shared" ca="1" si="565"/>
        <v>-34130.004436900002</v>
      </c>
      <c r="BL63" s="207">
        <f t="shared" ca="1" si="431"/>
        <v>-4.8234663241144587E-2</v>
      </c>
      <c r="BM63" s="391">
        <f t="shared" si="681"/>
        <v>250</v>
      </c>
      <c r="BN63" s="391">
        <f t="shared" ca="1" si="194"/>
        <v>34130</v>
      </c>
      <c r="BO63" s="391">
        <f t="shared" ca="1" si="567"/>
        <v>34130.004436900002</v>
      </c>
      <c r="BP63" s="886">
        <f t="shared" ca="1" si="408"/>
        <v>4.8234663241144587E-2</v>
      </c>
      <c r="BQ63" s="1007" t="str">
        <f ca="1">IF(OR(BD63&lt;&gt;0,BL63&lt;&gt;0),"V","")</f>
        <v>V</v>
      </c>
      <c r="BR63" s="1007"/>
    </row>
    <row r="64" spans="1:70" ht="13.5" hidden="1" customHeight="1" outlineLevel="1" x14ac:dyDescent="0.2">
      <c r="A64" s="367"/>
      <c r="B64" s="367"/>
      <c r="C64" s="367" t="str">
        <f t="shared" ca="1" si="433"/>
        <v>CH0111762537:CHF</v>
      </c>
      <c r="D64" s="368" t="str">
        <f t="shared" ca="1" si="434"/>
        <v>CH0111762537</v>
      </c>
      <c r="E64" s="369" t="str">
        <f t="shared" ca="1" si="434"/>
        <v>11176253</v>
      </c>
      <c r="F64" s="367" t="s">
        <v>516</v>
      </c>
      <c r="G64" s="414"/>
      <c r="H64" s="1713" t="str">
        <f t="shared" ca="1" si="435"/>
        <v></v>
      </c>
      <c r="I64" s="1683" t="str">
        <f t="shared" ref="I64" ca="1" si="690">HYPERLINK(OFFSET(Origine,MATCH($F64,Descrizioni,0),MATCH(I$14,Intestazioni,0)-1,1,1),"i")</f>
        <v>i</v>
      </c>
      <c r="J64" s="1713" t="str">
        <f t="shared" ref="J64:K64" ca="1" si="691">HYPERLINK(OFFSET(Origine,MATCH($F64,Descrizioni,0),MATCH(J$14,Intestazioni,0)-1,1,1),"")</f>
        <v></v>
      </c>
      <c r="K64" s="1716" t="str">
        <f t="shared" ca="1" si="691"/>
        <v></v>
      </c>
      <c r="L64" s="1717" t="str">
        <f t="shared" ca="1" si="438"/>
        <v></v>
      </c>
      <c r="M64" s="366" t="str">
        <f t="shared" ca="1" si="439"/>
        <v>Unit</v>
      </c>
      <c r="N64" s="1309"/>
      <c r="O64" s="1310" cm="1">
        <f t="array" aca="1" ref="O64" ca="1">SUM(IF($AF$14:$BQ$14="I_ctrlv",AF64:BQ64))</f>
        <v>0</v>
      </c>
      <c r="P64" s="373">
        <f t="shared" ca="1" si="384"/>
        <v>0</v>
      </c>
      <c r="Q64" s="391">
        <f t="array" aca="1" ref="Q64" ca="1">SUM(IF($AF$14:$BQ$14="I_pos",AF64:BQ64))</f>
        <v>0</v>
      </c>
      <c r="R64" s="391">
        <f t="array" aca="1" ref="R64" ca="1">SUM(IF($AF$14:$BQ$14="P_Pos",AF64:BQ64))</f>
        <v>0</v>
      </c>
      <c r="S64" s="1314"/>
      <c r="T64" s="391"/>
      <c r="U64" s="366"/>
      <c r="V64" s="391">
        <f t="array" aca="1" ref="V64" ca="1">SUM(IF($AF$14:$BQ$14="O_Pos",AF64:BQ64))</f>
        <v>0</v>
      </c>
      <c r="W64" s="1310"/>
      <c r="X64" s="1312">
        <f t="shared" ref="X64:AA64" ca="1" si="692">OFFSET(Origine,MATCH($F64,Descrizioni,0),MATCH(X$14,Intestazioni,0)-1,1,1)</f>
        <v>0</v>
      </c>
      <c r="Y64" s="1312">
        <f t="shared" ca="1" si="692"/>
        <v>0</v>
      </c>
      <c r="Z64" s="1312">
        <f t="shared" ca="1" si="692"/>
        <v>2E-3</v>
      </c>
      <c r="AA64" s="1313">
        <f t="shared" ca="1" si="692"/>
        <v>0</v>
      </c>
      <c r="AB64" s="367" t="str">
        <f t="shared" ref="AB64" ca="1" si="693">OFFSET(Origine,MATCH($F64,Descrizioni,0),MATCH(AB$14,Intestazioni,0)-1,1,1)</f>
        <v>CHF</v>
      </c>
      <c r="AC64" s="392">
        <f t="shared" ref="AC64" ca="1" si="694">_xlfn.NUMBERVALUE(OFFSET(Origine,MATCH($F64,Descrizioni,0),MATCH(AC$14,Intestazioni,0)-1,1,1))</f>
        <v>307.10000000000002</v>
      </c>
      <c r="AD64" s="393">
        <f t="shared" ca="1" si="572"/>
        <v>0</v>
      </c>
      <c r="AE64" s="378">
        <f t="shared" ca="1" si="444"/>
        <v>1.0000001300000001</v>
      </c>
      <c r="AF64" s="214"/>
      <c r="AG64" s="312" t="str">
        <f t="shared" ca="1" si="445"/>
        <v/>
      </c>
      <c r="AH64" s="1254"/>
      <c r="AI64" s="199">
        <f t="shared" ca="1" si="548"/>
        <v>0</v>
      </c>
      <c r="AJ64" s="199">
        <f t="shared" ca="1" si="549"/>
        <v>0</v>
      </c>
      <c r="AK64" s="216">
        <f t="shared" ca="1" si="423"/>
        <v>0</v>
      </c>
      <c r="AL64" s="202">
        <f t="shared" ca="1" si="550"/>
        <v>0</v>
      </c>
      <c r="AM64" s="203">
        <f t="shared" ca="1" si="551"/>
        <v>0</v>
      </c>
      <c r="AN64" s="203">
        <f t="shared" ca="1" si="552"/>
        <v>0</v>
      </c>
      <c r="AO64" s="204">
        <f t="shared" ca="1" si="553"/>
        <v>0</v>
      </c>
      <c r="AP64" s="205"/>
      <c r="AQ64" s="206">
        <f t="shared" ca="1" si="554"/>
        <v>0</v>
      </c>
      <c r="AR64" s="206">
        <f t="shared" ca="1" si="555"/>
        <v>0</v>
      </c>
      <c r="AS64" s="207">
        <f t="shared" ca="1" si="426"/>
        <v>0</v>
      </c>
      <c r="AT64" s="391">
        <f t="shared" si="680"/>
        <v>0</v>
      </c>
      <c r="AU64" s="391">
        <f t="shared" ca="1" si="179"/>
        <v>0</v>
      </c>
      <c r="AV64" s="391">
        <f t="shared" ca="1" si="557"/>
        <v>0</v>
      </c>
      <c r="AW64" s="394">
        <f t="shared" ca="1" si="432"/>
        <v>0</v>
      </c>
      <c r="AX64" s="1007" t="str">
        <f t="shared" ca="1" si="13"/>
        <v/>
      </c>
      <c r="AY64" s="1255"/>
      <c r="AZ64" s="312" t="str">
        <f t="shared" ca="1" si="459"/>
        <v/>
      </c>
      <c r="BA64" s="1254"/>
      <c r="BB64" s="199">
        <f t="shared" ca="1" si="558"/>
        <v>0</v>
      </c>
      <c r="BC64" s="199">
        <f t="shared" ca="1" si="559"/>
        <v>0</v>
      </c>
      <c r="BD64" s="216">
        <f t="shared" ca="1" si="428"/>
        <v>0</v>
      </c>
      <c r="BE64" s="202">
        <f t="shared" ca="1" si="560"/>
        <v>0</v>
      </c>
      <c r="BF64" s="203">
        <f t="shared" ca="1" si="561"/>
        <v>0</v>
      </c>
      <c r="BG64" s="203">
        <f t="shared" ca="1" si="562"/>
        <v>0</v>
      </c>
      <c r="BH64" s="204">
        <f t="shared" ca="1" si="563"/>
        <v>0</v>
      </c>
      <c r="BI64" s="1253"/>
      <c r="BJ64" s="206">
        <f t="shared" ca="1" si="564"/>
        <v>0</v>
      </c>
      <c r="BK64" s="206">
        <f t="shared" ca="1" si="565"/>
        <v>0</v>
      </c>
      <c r="BL64" s="207">
        <f t="shared" ca="1" si="431"/>
        <v>0</v>
      </c>
      <c r="BM64" s="391">
        <f t="shared" si="681"/>
        <v>0</v>
      </c>
      <c r="BN64" s="391">
        <f t="shared" ca="1" si="194"/>
        <v>0</v>
      </c>
      <c r="BO64" s="391">
        <f t="shared" ca="1" si="567"/>
        <v>0</v>
      </c>
      <c r="BP64" s="886">
        <f t="shared" ca="1" si="408"/>
        <v>0</v>
      </c>
      <c r="BQ64" s="1007" t="str">
        <f t="shared" ca="1" si="409"/>
        <v/>
      </c>
      <c r="BR64" s="1007"/>
    </row>
    <row r="65" spans="1:70" ht="13.5" hidden="1" customHeight="1" outlineLevel="1" x14ac:dyDescent="0.2">
      <c r="A65" s="367"/>
      <c r="B65" s="367"/>
      <c r="C65" s="367" t="str">
        <f t="shared" ca="1" si="433"/>
        <v>CH0560899525:CHF</v>
      </c>
      <c r="D65" s="368" t="str">
        <f t="shared" ca="1" si="434"/>
        <v>CH0560899525</v>
      </c>
      <c r="E65" s="369" t="str">
        <f t="shared" ca="1" si="434"/>
        <v>56089952</v>
      </c>
      <c r="F65" s="367" t="s">
        <v>889</v>
      </c>
      <c r="G65" s="414"/>
      <c r="H65" s="1713" t="str">
        <f t="shared" ca="1" si="435"/>
        <v></v>
      </c>
      <c r="I65" s="1683" t="str">
        <f t="shared" ref="I65" ca="1" si="695">HYPERLINK(OFFSET(Origine,MATCH($F65,Descrizioni,0),MATCH(I$14,Intestazioni,0)-1,1,1),"i")</f>
        <v>i</v>
      </c>
      <c r="J65" s="1713" t="str">
        <f t="shared" ref="J65:K65" ca="1" si="696">HYPERLINK(OFFSET(Origine,MATCH($F65,Descrizioni,0),MATCH(J$14,Intestazioni,0)-1,1,1),"")</f>
        <v></v>
      </c>
      <c r="K65" s="1716" t="str">
        <f t="shared" ca="1" si="696"/>
        <v></v>
      </c>
      <c r="L65" s="1717" t="str">
        <f t="shared" ca="1" si="438"/>
        <v></v>
      </c>
      <c r="M65" s="366" t="str">
        <f t="shared" ca="1" si="439"/>
        <v>Unit</v>
      </c>
      <c r="N65" s="1309"/>
      <c r="O65" s="1310" cm="1">
        <f t="array" aca="1" ref="O65" ca="1">SUM(IF($AF$14:$BQ$14="I_ctrlv",AF65:BQ65))</f>
        <v>0</v>
      </c>
      <c r="P65" s="373">
        <f t="shared" ca="1" si="384"/>
        <v>0</v>
      </c>
      <c r="Q65" s="391">
        <f t="array" aca="1" ref="Q65" ca="1">SUM(IF($AF$14:$BQ$14="I_pos",AF65:BQ65))</f>
        <v>0</v>
      </c>
      <c r="R65" s="391">
        <f t="array" aca="1" ref="R65" ca="1">SUM(IF($AF$14:$BQ$14="P_Pos",AF65:BQ65))</f>
        <v>0</v>
      </c>
      <c r="S65" s="1314"/>
      <c r="T65" s="391"/>
      <c r="U65" s="366"/>
      <c r="V65" s="391">
        <f t="array" aca="1" ref="V65" ca="1">SUM(IF($AF$14:$BQ$14="O_Pos",AF65:BQ65))</f>
        <v>0</v>
      </c>
      <c r="W65" s="1310"/>
      <c r="X65" s="1312">
        <f t="shared" ref="X65:AA65" ca="1" si="697">OFFSET(Origine,MATCH($F65,Descrizioni,0),MATCH(X$14,Intestazioni,0)-1,1,1)</f>
        <v>0.05</v>
      </c>
      <c r="Y65" s="1312">
        <f t="shared" ca="1" si="697"/>
        <v>0</v>
      </c>
      <c r="Z65" s="1312">
        <f t="shared" ca="1" si="697"/>
        <v>8.3000000000000001E-3</v>
      </c>
      <c r="AA65" s="1313">
        <f t="shared" ca="1" si="697"/>
        <v>0</v>
      </c>
      <c r="AB65" s="367" t="str">
        <f t="shared" ref="AB65" ca="1" si="698">OFFSET(Origine,MATCH($F65,Descrizioni,0),MATCH(AB$14,Intestazioni,0)-1,1,1)</f>
        <v>CHF</v>
      </c>
      <c r="AC65" s="392">
        <f t="shared" ref="AC65" ca="1" si="699">_xlfn.NUMBERVALUE(OFFSET(Origine,MATCH($F65,Descrizioni,0),MATCH(AC$14,Intestazioni,0)-1,1,1))</f>
        <v>113.05</v>
      </c>
      <c r="AD65" s="393">
        <f t="shared" ca="1" si="572"/>
        <v>0</v>
      </c>
      <c r="AE65" s="378">
        <f t="shared" ca="1" si="444"/>
        <v>1.0000001300000001</v>
      </c>
      <c r="AF65" s="214"/>
      <c r="AG65" s="312" t="str">
        <f t="shared" ca="1" si="445"/>
        <v/>
      </c>
      <c r="AH65" s="1254"/>
      <c r="AI65" s="199">
        <f t="shared" ca="1" si="548"/>
        <v>0</v>
      </c>
      <c r="AJ65" s="199">
        <f t="shared" ca="1" si="549"/>
        <v>0</v>
      </c>
      <c r="AK65" s="216">
        <f t="shared" ca="1" si="423"/>
        <v>0</v>
      </c>
      <c r="AL65" s="202">
        <f t="shared" ca="1" si="550"/>
        <v>0</v>
      </c>
      <c r="AM65" s="203">
        <f t="shared" ca="1" si="551"/>
        <v>0</v>
      </c>
      <c r="AN65" s="203">
        <f t="shared" ca="1" si="552"/>
        <v>0</v>
      </c>
      <c r="AO65" s="204">
        <f t="shared" ca="1" si="553"/>
        <v>0</v>
      </c>
      <c r="AP65" s="205"/>
      <c r="AQ65" s="206">
        <f t="shared" ca="1" si="554"/>
        <v>0</v>
      </c>
      <c r="AR65" s="206">
        <f t="shared" ca="1" si="555"/>
        <v>0</v>
      </c>
      <c r="AS65" s="207">
        <f t="shared" ca="1" si="426"/>
        <v>0</v>
      </c>
      <c r="AT65" s="391">
        <f t="shared" si="680"/>
        <v>0</v>
      </c>
      <c r="AU65" s="391">
        <f t="shared" ca="1" si="179"/>
        <v>0</v>
      </c>
      <c r="AV65" s="391">
        <f t="shared" ca="1" si="557"/>
        <v>0</v>
      </c>
      <c r="AW65" s="394">
        <f t="shared" ca="1" si="432"/>
        <v>0</v>
      </c>
      <c r="AX65" s="1007" t="str">
        <f t="shared" ca="1" si="13"/>
        <v/>
      </c>
      <c r="AY65" s="1255"/>
      <c r="AZ65" s="312" t="str">
        <f t="shared" ca="1" si="459"/>
        <v/>
      </c>
      <c r="BA65" s="1254"/>
      <c r="BB65" s="199">
        <f t="shared" ca="1" si="558"/>
        <v>0</v>
      </c>
      <c r="BC65" s="199">
        <f t="shared" ca="1" si="559"/>
        <v>0</v>
      </c>
      <c r="BD65" s="216">
        <f t="shared" ca="1" si="428"/>
        <v>0</v>
      </c>
      <c r="BE65" s="202">
        <f t="shared" ca="1" si="560"/>
        <v>0</v>
      </c>
      <c r="BF65" s="203">
        <f t="shared" ca="1" si="561"/>
        <v>0</v>
      </c>
      <c r="BG65" s="203">
        <f t="shared" ca="1" si="562"/>
        <v>0</v>
      </c>
      <c r="BH65" s="204">
        <f t="shared" ca="1" si="563"/>
        <v>0</v>
      </c>
      <c r="BI65" s="1253"/>
      <c r="BJ65" s="206">
        <f t="shared" ca="1" si="564"/>
        <v>0</v>
      </c>
      <c r="BK65" s="206">
        <f t="shared" ca="1" si="565"/>
        <v>0</v>
      </c>
      <c r="BL65" s="207">
        <f t="shared" ca="1" si="431"/>
        <v>0</v>
      </c>
      <c r="BM65" s="391">
        <f t="shared" si="681"/>
        <v>0</v>
      </c>
      <c r="BN65" s="391">
        <f t="shared" ca="1" si="194"/>
        <v>0</v>
      </c>
      <c r="BO65" s="391">
        <f t="shared" ca="1" si="567"/>
        <v>0</v>
      </c>
      <c r="BP65" s="886">
        <f t="shared" ca="1" si="408"/>
        <v>0</v>
      </c>
      <c r="BQ65" s="1007" t="str">
        <f t="shared" ca="1" si="409"/>
        <v/>
      </c>
      <c r="BR65" s="1007"/>
    </row>
    <row r="66" spans="1:70" ht="13.5" hidden="1" customHeight="1" outlineLevel="1" x14ac:dyDescent="0.2">
      <c r="A66" s="367"/>
      <c r="B66" s="367"/>
      <c r="C66" s="367" t="str">
        <f t="shared" ca="1" si="433"/>
        <v>CH0500707168:CHF</v>
      </c>
      <c r="D66" s="368" t="str">
        <f t="shared" ca="1" si="434"/>
        <v>CH0500707168</v>
      </c>
      <c r="E66" s="369" t="str">
        <f t="shared" ca="1" si="434"/>
        <v>50070716</v>
      </c>
      <c r="F66" s="367" t="s">
        <v>890</v>
      </c>
      <c r="G66" s="414"/>
      <c r="H66" s="1713" t="str">
        <f t="shared" ca="1" si="435"/>
        <v></v>
      </c>
      <c r="I66" s="1683" t="str">
        <f t="shared" ref="I66:I68" ca="1" si="700">HYPERLINK(OFFSET(Origine,MATCH($F66,Descrizioni,0),MATCH(I$14,Intestazioni,0)-1,1,1),"i")</f>
        <v>i</v>
      </c>
      <c r="J66" s="1713" t="str">
        <f t="shared" ref="J66:K68" ca="1" si="701">HYPERLINK(OFFSET(Origine,MATCH($F66,Descrizioni,0),MATCH(J$14,Intestazioni,0)-1,1,1),"")</f>
        <v></v>
      </c>
      <c r="K66" s="1716" t="str">
        <f t="shared" ca="1" si="701"/>
        <v></v>
      </c>
      <c r="L66" s="1717" t="str">
        <f t="shared" ca="1" si="438"/>
        <v></v>
      </c>
      <c r="M66" s="366" t="str">
        <f t="shared" ca="1" si="439"/>
        <v>Unit</v>
      </c>
      <c r="N66" s="1309"/>
      <c r="O66" s="1310" cm="1">
        <f t="array" aca="1" ref="O66" ca="1">SUM(IF($AF$14:$BQ$14="I_ctrlv",AF66:BQ66))</f>
        <v>0</v>
      </c>
      <c r="P66" s="373">
        <f t="shared" ca="1" si="384"/>
        <v>0</v>
      </c>
      <c r="Q66" s="391">
        <f t="array" aca="1" ref="Q66" ca="1">SUM(IF($AF$14:$BQ$14="I_pos",AF66:BQ66))</f>
        <v>0</v>
      </c>
      <c r="R66" s="391">
        <f t="array" aca="1" ref="R66" ca="1">SUM(IF($AF$14:$BQ$14="P_Pos",AF66:BQ66))</f>
        <v>0</v>
      </c>
      <c r="S66" s="1314"/>
      <c r="T66" s="391"/>
      <c r="U66" s="366"/>
      <c r="V66" s="391">
        <f t="array" aca="1" ref="V66" ca="1">SUM(IF($AF$14:$BQ$14="O_Pos",AF66:BQ66))</f>
        <v>0</v>
      </c>
      <c r="W66" s="1310"/>
      <c r="X66" s="1312">
        <f t="shared" ref="X66:AA68" ca="1" si="702">OFFSET(Origine,MATCH($F66,Descrizioni,0),MATCH(X$14,Intestazioni,0)-1,1,1)</f>
        <v>0.05</v>
      </c>
      <c r="Y66" s="1312">
        <f t="shared" ca="1" si="702"/>
        <v>0</v>
      </c>
      <c r="Z66" s="1312">
        <f t="shared" ca="1" si="702"/>
        <v>6.7000000000000002E-3</v>
      </c>
      <c r="AA66" s="1313">
        <f t="shared" ca="1" si="702"/>
        <v>0</v>
      </c>
      <c r="AB66" s="367" t="str">
        <f t="shared" ref="AB66:AB68" ca="1" si="703">OFFSET(Origine,MATCH($F66,Descrizioni,0),MATCH(AB$14,Intestazioni,0)-1,1,1)</f>
        <v>CHF</v>
      </c>
      <c r="AC66" s="392">
        <f t="shared" ref="AC66:AD70" ca="1" si="704">_xlfn.NUMBERVALUE(OFFSET(Origine,MATCH($F66,Descrizioni,0),MATCH(AC$14,Intestazioni,0)-1,1,1))</f>
        <v>144.66999999999999</v>
      </c>
      <c r="AD66" s="393">
        <f t="shared" ca="1" si="704"/>
        <v>0</v>
      </c>
      <c r="AE66" s="378">
        <f t="shared" ca="1" si="444"/>
        <v>1.0000001300000001</v>
      </c>
      <c r="AF66" s="214"/>
      <c r="AG66" s="312" t="str">
        <f t="shared" ca="1" si="445"/>
        <v/>
      </c>
      <c r="AH66" s="1254"/>
      <c r="AI66" s="199">
        <f t="shared" ca="1" si="548"/>
        <v>0</v>
      </c>
      <c r="AJ66" s="199">
        <f t="shared" ca="1" si="549"/>
        <v>0</v>
      </c>
      <c r="AK66" s="216">
        <f t="shared" ca="1" si="423"/>
        <v>0</v>
      </c>
      <c r="AL66" s="202">
        <f t="shared" ca="1" si="550"/>
        <v>0</v>
      </c>
      <c r="AM66" s="203">
        <f t="shared" ca="1" si="551"/>
        <v>0</v>
      </c>
      <c r="AN66" s="203">
        <f t="shared" ca="1" si="552"/>
        <v>0</v>
      </c>
      <c r="AO66" s="204">
        <f t="shared" ca="1" si="553"/>
        <v>0</v>
      </c>
      <c r="AP66" s="205"/>
      <c r="AQ66" s="206">
        <f t="shared" ca="1" si="554"/>
        <v>0</v>
      </c>
      <c r="AR66" s="206">
        <f t="shared" ca="1" si="555"/>
        <v>0</v>
      </c>
      <c r="AS66" s="207">
        <f t="shared" ca="1" si="426"/>
        <v>0</v>
      </c>
      <c r="AT66" s="391">
        <f t="shared" si="680"/>
        <v>0</v>
      </c>
      <c r="AU66" s="391">
        <f t="shared" ca="1" si="179"/>
        <v>0</v>
      </c>
      <c r="AV66" s="391">
        <f t="shared" ca="1" si="557"/>
        <v>0</v>
      </c>
      <c r="AW66" s="394">
        <f t="shared" ca="1" si="432"/>
        <v>0</v>
      </c>
      <c r="AX66" s="1007" t="str">
        <f t="shared" ca="1" si="13"/>
        <v/>
      </c>
      <c r="AY66" s="1255"/>
      <c r="AZ66" s="312" t="str">
        <f t="shared" ca="1" si="459"/>
        <v/>
      </c>
      <c r="BA66" s="1254"/>
      <c r="BB66" s="199">
        <f t="shared" ca="1" si="558"/>
        <v>0</v>
      </c>
      <c r="BC66" s="199">
        <f t="shared" ca="1" si="559"/>
        <v>0</v>
      </c>
      <c r="BD66" s="216">
        <f t="shared" ca="1" si="428"/>
        <v>0</v>
      </c>
      <c r="BE66" s="202">
        <f t="shared" ca="1" si="560"/>
        <v>0</v>
      </c>
      <c r="BF66" s="203">
        <f t="shared" ca="1" si="561"/>
        <v>0</v>
      </c>
      <c r="BG66" s="203">
        <f t="shared" ca="1" si="562"/>
        <v>0</v>
      </c>
      <c r="BH66" s="204">
        <f t="shared" ca="1" si="563"/>
        <v>0</v>
      </c>
      <c r="BI66" s="1253"/>
      <c r="BJ66" s="206">
        <f t="shared" ca="1" si="564"/>
        <v>0</v>
      </c>
      <c r="BK66" s="206">
        <f t="shared" ca="1" si="565"/>
        <v>0</v>
      </c>
      <c r="BL66" s="207">
        <f t="shared" ca="1" si="431"/>
        <v>0</v>
      </c>
      <c r="BM66" s="391">
        <f t="shared" si="681"/>
        <v>0</v>
      </c>
      <c r="BN66" s="391">
        <f t="shared" ca="1" si="194"/>
        <v>0</v>
      </c>
      <c r="BO66" s="391">
        <f t="shared" ca="1" si="567"/>
        <v>0</v>
      </c>
      <c r="BP66" s="886">
        <f t="shared" ca="1" si="408"/>
        <v>0</v>
      </c>
      <c r="BQ66" s="1007" t="str">
        <f t="shared" ca="1" si="409"/>
        <v/>
      </c>
      <c r="BR66" s="1007"/>
    </row>
    <row r="67" spans="1:70" ht="13.5" hidden="1" customHeight="1" outlineLevel="1" x14ac:dyDescent="0.2">
      <c r="A67" s="367"/>
      <c r="B67" s="367"/>
      <c r="C67" s="367" t="str">
        <f t="shared" ca="1" si="433"/>
        <v>LU1240788148:CHF</v>
      </c>
      <c r="D67" s="368" t="str">
        <f t="shared" ca="1" si="434"/>
        <v>LU1240788148</v>
      </c>
      <c r="E67" s="369" t="str">
        <f t="shared" ca="1" si="434"/>
        <v>28364651</v>
      </c>
      <c r="F67" s="367" t="s">
        <v>623</v>
      </c>
      <c r="G67" s="414"/>
      <c r="H67" s="1713" t="str">
        <f t="shared" ca="1" si="435"/>
        <v></v>
      </c>
      <c r="I67" s="1683" t="str">
        <f t="shared" ca="1" si="700"/>
        <v>i</v>
      </c>
      <c r="J67" s="1713" t="str">
        <f t="shared" ca="1" si="701"/>
        <v></v>
      </c>
      <c r="K67" s="1716" t="str">
        <f t="shared" ca="1" si="701"/>
        <v></v>
      </c>
      <c r="L67" s="1717" t="str">
        <f t="shared" ca="1" si="438"/>
        <v></v>
      </c>
      <c r="M67" s="366" t="str">
        <f t="shared" ca="1" si="439"/>
        <v>Unit</v>
      </c>
      <c r="N67" s="1309"/>
      <c r="O67" s="1310" cm="1">
        <f t="array" aca="1" ref="O67" ca="1">SUM(IF($AF$14:$BQ$14="I_ctrlv",AF67:BQ67))</f>
        <v>0</v>
      </c>
      <c r="P67" s="373">
        <f t="shared" ca="1" si="384"/>
        <v>0</v>
      </c>
      <c r="Q67" s="391">
        <f t="array" aca="1" ref="Q67" ca="1">SUM(IF($AF$14:$BQ$14="I_pos",AF67:BQ67))</f>
        <v>0</v>
      </c>
      <c r="R67" s="391">
        <f t="array" aca="1" ref="R67" ca="1">SUM(IF($AF$14:$BQ$14="P_Pos",AF67:BQ67))</f>
        <v>0</v>
      </c>
      <c r="S67" s="1314"/>
      <c r="T67" s="391"/>
      <c r="U67" s="366"/>
      <c r="V67" s="391">
        <f t="array" aca="1" ref="V67" ca="1">SUM(IF($AF$14:$BQ$14="O_Pos",AF67:BQ67))</f>
        <v>0</v>
      </c>
      <c r="W67" s="1310"/>
      <c r="X67" s="1312">
        <f t="shared" ca="1" si="702"/>
        <v>0</v>
      </c>
      <c r="Y67" s="1312">
        <f t="shared" ca="1" si="702"/>
        <v>0</v>
      </c>
      <c r="Z67" s="1312">
        <v>1.0800000000000001E-2</v>
      </c>
      <c r="AA67" s="1313">
        <f t="shared" ca="1" si="702"/>
        <v>0</v>
      </c>
      <c r="AB67" s="367" t="str">
        <f t="shared" ca="1" si="703"/>
        <v>CHF</v>
      </c>
      <c r="AC67" s="392">
        <f t="shared" ca="1" si="704"/>
        <v>204.71</v>
      </c>
      <c r="AD67" s="393">
        <f t="shared" ca="1" si="704"/>
        <v>0</v>
      </c>
      <c r="AE67" s="378">
        <f t="shared" ca="1" si="444"/>
        <v>1.0000001300000001</v>
      </c>
      <c r="AF67" s="214"/>
      <c r="AG67" s="312" t="str">
        <f t="shared" ca="1" si="445"/>
        <v/>
      </c>
      <c r="AH67" s="1254"/>
      <c r="AI67" s="199">
        <f t="shared" ref="AI67" ca="1" si="705">AF67*$AC67</f>
        <v>0</v>
      </c>
      <c r="AJ67" s="199">
        <f t="shared" ref="AJ67" ca="1" si="706">AI67*$AE67</f>
        <v>0</v>
      </c>
      <c r="AK67" s="216">
        <f t="shared" ref="AK67" ca="1" si="707">IFERROR(AJ67/AF$4,0)</f>
        <v>0</v>
      </c>
      <c r="AL67" s="202">
        <f t="shared" ref="AL67" ca="1" si="708">AM67/$AC67</f>
        <v>0</v>
      </c>
      <c r="AM67" s="203">
        <f t="shared" ref="AM67" ca="1" si="709">AN67/$AE67</f>
        <v>0</v>
      </c>
      <c r="AN67" s="203">
        <f t="shared" ref="AN67" ca="1" si="710">AO67*AF$4</f>
        <v>0</v>
      </c>
      <c r="AO67" s="204">
        <f t="shared" ref="AO67" ca="1" si="711">$N67-AK67</f>
        <v>0</v>
      </c>
      <c r="AP67" s="205"/>
      <c r="AQ67" s="206">
        <f t="shared" ref="AQ67" ca="1" si="712">AP67*$AC67</f>
        <v>0</v>
      </c>
      <c r="AR67" s="206">
        <f t="shared" ref="AR67" ca="1" si="713">AQ67*$AE67</f>
        <v>0</v>
      </c>
      <c r="AS67" s="207">
        <f t="shared" ref="AS67" ca="1" si="714">IFERROR(AR67/AF$4,0)</f>
        <v>0</v>
      </c>
      <c r="AT67" s="391">
        <f t="shared" ref="AT67" si="715">AF67+AP67</f>
        <v>0</v>
      </c>
      <c r="AU67" s="391">
        <f t="shared" ca="1" si="179"/>
        <v>0</v>
      </c>
      <c r="AV67" s="391">
        <f t="shared" ref="AV67" ca="1" si="716">AU67*$AE67</f>
        <v>0</v>
      </c>
      <c r="AW67" s="394">
        <f t="shared" ref="AW67" ca="1" si="717">IFERROR(AV67/AF$4,0)</f>
        <v>0</v>
      </c>
      <c r="AX67" s="1007" t="str">
        <f t="shared" ca="1" si="13"/>
        <v/>
      </c>
      <c r="AY67" s="1255">
        <f>410.987+-410.987</f>
        <v>0</v>
      </c>
      <c r="AZ67" s="312" t="str">
        <f t="shared" ca="1" si="459"/>
        <v/>
      </c>
      <c r="BA67" s="1254"/>
      <c r="BB67" s="199">
        <f t="shared" ref="BB67" ca="1" si="718">AY67*$AC67</f>
        <v>0</v>
      </c>
      <c r="BC67" s="199">
        <f t="shared" ref="BC67" ca="1" si="719">BB67*$AE67</f>
        <v>0</v>
      </c>
      <c r="BD67" s="216">
        <f t="shared" ref="BD67" ca="1" si="720">IFERROR(BC67/AY$4,0)</f>
        <v>0</v>
      </c>
      <c r="BE67" s="202">
        <f t="shared" ref="BE67" ca="1" si="721">BF67/$AC67</f>
        <v>0</v>
      </c>
      <c r="BF67" s="203">
        <f t="shared" ref="BF67" ca="1" si="722">BG67/$AE67</f>
        <v>0</v>
      </c>
      <c r="BG67" s="203">
        <f t="shared" ref="BG67" ca="1" si="723">BH67*AY$4</f>
        <v>0</v>
      </c>
      <c r="BH67" s="204">
        <f t="shared" ref="BH67" ca="1" si="724">$N67-BD67</f>
        <v>0</v>
      </c>
      <c r="BI67" s="1253"/>
      <c r="BJ67" s="206">
        <f t="shared" ref="BJ67" ca="1" si="725">BI67*$AC67</f>
        <v>0</v>
      </c>
      <c r="BK67" s="206">
        <f t="shared" ref="BK67" ca="1" si="726">BJ67*$AE67</f>
        <v>0</v>
      </c>
      <c r="BL67" s="207">
        <f t="shared" ref="BL67" ca="1" si="727">IFERROR(BK67/AY$4,0)</f>
        <v>0</v>
      </c>
      <c r="BM67" s="391">
        <f t="shared" ref="BM67" si="728">AY67+BI67</f>
        <v>0</v>
      </c>
      <c r="BN67" s="391">
        <f t="shared" ca="1" si="194"/>
        <v>0</v>
      </c>
      <c r="BO67" s="391">
        <f t="shared" ref="BO67" ca="1" si="729">BN67*$AE67</f>
        <v>0</v>
      </c>
      <c r="BP67" s="886">
        <f t="shared" ca="1" si="408"/>
        <v>0</v>
      </c>
      <c r="BQ67" s="1007" t="str">
        <f t="shared" ca="1" si="409"/>
        <v/>
      </c>
      <c r="BR67" s="1007"/>
    </row>
    <row r="68" spans="1:70" ht="13.5" hidden="1" customHeight="1" outlineLevel="1" x14ac:dyDescent="0.2">
      <c r="A68" s="367"/>
      <c r="B68" s="367"/>
      <c r="C68" s="367" t="str">
        <f t="shared" ca="1" si="433"/>
        <v>CH0017043958:CHF</v>
      </c>
      <c r="D68" s="368" t="str">
        <f t="shared" ca="1" si="434"/>
        <v>CH0017043958</v>
      </c>
      <c r="E68" s="369" t="str">
        <f t="shared" ca="1" si="434"/>
        <v>1704395</v>
      </c>
      <c r="F68" s="367" t="s">
        <v>622</v>
      </c>
      <c r="G68" s="414"/>
      <c r="H68" s="1713" t="str">
        <f t="shared" ca="1" si="435"/>
        <v></v>
      </c>
      <c r="I68" s="1683" t="str">
        <f t="shared" ca="1" si="700"/>
        <v>i</v>
      </c>
      <c r="J68" s="1713" t="str">
        <f t="shared" ca="1" si="701"/>
        <v></v>
      </c>
      <c r="K68" s="1716" t="str">
        <f t="shared" ca="1" si="701"/>
        <v></v>
      </c>
      <c r="L68" s="1717" t="str">
        <f t="shared" ca="1" si="438"/>
        <v></v>
      </c>
      <c r="M68" s="366" t="str">
        <f t="shared" ca="1" si="439"/>
        <v>Unit</v>
      </c>
      <c r="N68" s="1309"/>
      <c r="O68" s="1310" cm="1">
        <f t="array" aca="1" ref="O68" ca="1">SUM(IF($AF$14:$BQ$14="I_ctrlv",AF68:BQ68))</f>
        <v>0</v>
      </c>
      <c r="P68" s="373">
        <f t="shared" ca="1" si="384"/>
        <v>0</v>
      </c>
      <c r="Q68" s="391">
        <f t="array" aca="1" ref="Q68" ca="1">SUM(IF($AF$14:$BQ$14="I_pos",AF68:BQ68))</f>
        <v>0</v>
      </c>
      <c r="R68" s="391">
        <f t="array" aca="1" ref="R68" ca="1">SUM(IF($AF$14:$BQ$14="P_Pos",AF68:BQ68))</f>
        <v>0</v>
      </c>
      <c r="S68" s="1314"/>
      <c r="T68" s="391"/>
      <c r="U68" s="366"/>
      <c r="V68" s="391">
        <f t="array" aca="1" ref="V68" ca="1">SUM(IF($AF$14:$BQ$14="O_Pos",AF68:BQ68))</f>
        <v>0</v>
      </c>
      <c r="W68" s="1310"/>
      <c r="X68" s="1312">
        <f t="shared" ca="1" si="702"/>
        <v>0</v>
      </c>
      <c r="Y68" s="1312">
        <f t="shared" ca="1" si="702"/>
        <v>0</v>
      </c>
      <c r="Z68" s="1312">
        <v>1.4999999999999999E-2</v>
      </c>
      <c r="AA68" s="1313">
        <f t="shared" ca="1" si="702"/>
        <v>0</v>
      </c>
      <c r="AB68" s="367" t="str">
        <f t="shared" ca="1" si="703"/>
        <v>CHF</v>
      </c>
      <c r="AC68" s="392">
        <f t="shared" ca="1" si="704"/>
        <v>18.776</v>
      </c>
      <c r="AD68" s="393">
        <f t="shared" ca="1" si="704"/>
        <v>0</v>
      </c>
      <c r="AE68" s="378">
        <f t="shared" ca="1" si="444"/>
        <v>1.0000001300000001</v>
      </c>
      <c r="AF68" s="214"/>
      <c r="AG68" s="312" t="str">
        <f t="shared" ca="1" si="445"/>
        <v/>
      </c>
      <c r="AH68" s="1254"/>
      <c r="AI68" s="199">
        <f t="shared" ref="AI68:AI69" ca="1" si="730">AF68*$AC68</f>
        <v>0</v>
      </c>
      <c r="AJ68" s="199">
        <f t="shared" ref="AJ68:AJ69" ca="1" si="731">AI68*$AE68</f>
        <v>0</v>
      </c>
      <c r="AK68" s="216">
        <f t="shared" ref="AK68:AK69" ca="1" si="732">IFERROR(AJ68/AF$4,0)</f>
        <v>0</v>
      </c>
      <c r="AL68" s="202">
        <f t="shared" ref="AL68:AL69" ca="1" si="733">AM68/$AC68</f>
        <v>0</v>
      </c>
      <c r="AM68" s="203">
        <f t="shared" ref="AM68:AM69" ca="1" si="734">AN68/$AE68</f>
        <v>0</v>
      </c>
      <c r="AN68" s="203">
        <f t="shared" ref="AN68:AN69" ca="1" si="735">AO68*AF$4</f>
        <v>0</v>
      </c>
      <c r="AO68" s="204">
        <f t="shared" ref="AO68:AO69" ca="1" si="736">$N68-AK68</f>
        <v>0</v>
      </c>
      <c r="AP68" s="205"/>
      <c r="AQ68" s="206">
        <f t="shared" ref="AQ68:AQ69" ca="1" si="737">AP68*$AC68</f>
        <v>0</v>
      </c>
      <c r="AR68" s="206">
        <f t="shared" ref="AR68:AR69" ca="1" si="738">AQ68*$AE68</f>
        <v>0</v>
      </c>
      <c r="AS68" s="207">
        <f t="shared" ref="AS68:AS69" ca="1" si="739">IFERROR(AR68/AF$4,0)</f>
        <v>0</v>
      </c>
      <c r="AT68" s="391">
        <f t="shared" ref="AT68:AT69" si="740">AF68+AP68</f>
        <v>0</v>
      </c>
      <c r="AU68" s="391">
        <f t="shared" ca="1" si="179"/>
        <v>0</v>
      </c>
      <c r="AV68" s="391">
        <f t="shared" ref="AV68:AV69" ca="1" si="741">AU68*$AE68</f>
        <v>0</v>
      </c>
      <c r="AW68" s="394">
        <f t="shared" ref="AW68:AW69" ca="1" si="742">IFERROR(AV68/AF$4,0)</f>
        <v>0</v>
      </c>
      <c r="AX68" s="1007" t="str">
        <f t="shared" ca="1" si="13"/>
        <v/>
      </c>
      <c r="AY68" s="1255">
        <f>116+-116</f>
        <v>0</v>
      </c>
      <c r="AZ68" s="312" t="str">
        <f t="shared" ca="1" si="459"/>
        <v/>
      </c>
      <c r="BA68" s="1254"/>
      <c r="BB68" s="199">
        <f t="shared" ref="BB68:BB69" ca="1" si="743">AY68*$AC68</f>
        <v>0</v>
      </c>
      <c r="BC68" s="199">
        <f t="shared" ref="BC68:BC69" ca="1" si="744">BB68*$AE68</f>
        <v>0</v>
      </c>
      <c r="BD68" s="216">
        <f t="shared" ref="BD68:BD69" ca="1" si="745">IFERROR(BC68/AY$4,0)</f>
        <v>0</v>
      </c>
      <c r="BE68" s="202">
        <f t="shared" ref="BE68:BE69" ca="1" si="746">BF68/$AC68</f>
        <v>0</v>
      </c>
      <c r="BF68" s="203">
        <f t="shared" ref="BF68:BF69" ca="1" si="747">BG68/$AE68</f>
        <v>0</v>
      </c>
      <c r="BG68" s="203">
        <f t="shared" ref="BG68:BG69" ca="1" si="748">BH68*AY$4</f>
        <v>0</v>
      </c>
      <c r="BH68" s="204">
        <f t="shared" ref="BH68:BH69" ca="1" si="749">$N68-BD68</f>
        <v>0</v>
      </c>
      <c r="BI68" s="1253"/>
      <c r="BJ68" s="206">
        <f t="shared" ref="BJ68:BJ69" ca="1" si="750">BI68*$AC68</f>
        <v>0</v>
      </c>
      <c r="BK68" s="206">
        <f t="shared" ref="BK68:BK69" ca="1" si="751">BJ68*$AE68</f>
        <v>0</v>
      </c>
      <c r="BL68" s="207">
        <f t="shared" ref="BL68:BL69" ca="1" si="752">IFERROR(BK68/AY$4,0)</f>
        <v>0</v>
      </c>
      <c r="BM68" s="391">
        <f t="shared" ref="BM68:BM69" si="753">AY68+BI68</f>
        <v>0</v>
      </c>
      <c r="BN68" s="391">
        <f t="shared" ca="1" si="194"/>
        <v>0</v>
      </c>
      <c r="BO68" s="391">
        <f t="shared" ref="BO68:BO69" ca="1" si="754">BN68*$AE68</f>
        <v>0</v>
      </c>
      <c r="BP68" s="886">
        <f t="shared" ca="1" si="408"/>
        <v>0</v>
      </c>
      <c r="BQ68" s="1007" t="str">
        <f t="shared" ca="1" si="409"/>
        <v/>
      </c>
      <c r="BR68" s="1007"/>
    </row>
    <row r="69" spans="1:70" ht="13.5" hidden="1" customHeight="1" outlineLevel="1" x14ac:dyDescent="0.2">
      <c r="A69" s="367"/>
      <c r="B69" s="367"/>
      <c r="C69" s="367" t="str">
        <f t="shared" ca="1" si="433"/>
        <v>CH0502155648:CHF</v>
      </c>
      <c r="D69" s="368" t="str">
        <f t="shared" ca="1" si="434"/>
        <v>CH0502155648</v>
      </c>
      <c r="E69" s="369" t="str">
        <f t="shared" ca="1" si="434"/>
        <v>50215564</v>
      </c>
      <c r="F69" s="367" t="s">
        <v>621</v>
      </c>
      <c r="G69" s="414"/>
      <c r="H69" s="1713" t="str">
        <f t="shared" ca="1" si="435"/>
        <v></v>
      </c>
      <c r="I69" s="1683" t="str">
        <f t="shared" ref="I69:I70" ca="1" si="755">HYPERLINK(OFFSET(Origine,MATCH($F69,Descrizioni,0),MATCH(I$14,Intestazioni,0)-1,1,1),"i")</f>
        <v>i</v>
      </c>
      <c r="J69" s="1713" t="str">
        <f t="shared" ref="J69:K70" ca="1" si="756">HYPERLINK(OFFSET(Origine,MATCH($F69,Descrizioni,0),MATCH(J$14,Intestazioni,0)-1,1,1),"")</f>
        <v></v>
      </c>
      <c r="K69" s="1716" t="str">
        <f t="shared" ca="1" si="756"/>
        <v></v>
      </c>
      <c r="L69" s="1717" t="str">
        <f t="shared" ca="1" si="438"/>
        <v></v>
      </c>
      <c r="M69" s="366" t="str">
        <f t="shared" ca="1" si="439"/>
        <v>Unit</v>
      </c>
      <c r="N69" s="1309"/>
      <c r="O69" s="1310" cm="1">
        <f t="array" aca="1" ref="O69" ca="1">SUM(IF($AF$14:$BQ$14="I_ctrlv",AF69:BQ69))</f>
        <v>0</v>
      </c>
      <c r="P69" s="373">
        <f t="shared" ca="1" si="384"/>
        <v>0</v>
      </c>
      <c r="Q69" s="391">
        <f t="array" aca="1" ref="Q69" ca="1">SUM(IF($AF$14:$BQ$14="I_pos",AF69:BQ69))</f>
        <v>0</v>
      </c>
      <c r="R69" s="391">
        <f t="array" aca="1" ref="R69" ca="1">SUM(IF($AF$14:$BQ$14="P_Pos",AF69:BQ69))</f>
        <v>0</v>
      </c>
      <c r="S69" s="1314"/>
      <c r="T69" s="391"/>
      <c r="U69" s="366"/>
      <c r="V69" s="391">
        <f t="array" aca="1" ref="V69" ca="1">SUM(IF($AF$14:$BQ$14="O_Pos",AF69:BQ69))</f>
        <v>0</v>
      </c>
      <c r="W69" s="1310"/>
      <c r="X69" s="1312">
        <f t="shared" ref="X69:AA70" ca="1" si="757">OFFSET(Origine,MATCH($F69,Descrizioni,0),MATCH(X$14,Intestazioni,0)-1,1,1)</f>
        <v>0</v>
      </c>
      <c r="Y69" s="1312">
        <f t="shared" ca="1" si="757"/>
        <v>0</v>
      </c>
      <c r="Z69" s="1312">
        <v>7.1000000000000004E-3</v>
      </c>
      <c r="AA69" s="1313">
        <f t="shared" ca="1" si="757"/>
        <v>0</v>
      </c>
      <c r="AB69" s="367" t="str">
        <f t="shared" ref="AB69:AB70" ca="1" si="758">OFFSET(Origine,MATCH($F69,Descrizioni,0),MATCH(AB$14,Intestazioni,0)-1,1,1)</f>
        <v>CHF</v>
      </c>
      <c r="AC69" s="392">
        <f t="shared" ref="AC69:AC70" ca="1" si="759">_xlfn.NUMBERVALUE(OFFSET(Origine,MATCH($F69,Descrizioni,0),MATCH(AC$14,Intestazioni,0)-1,1,1))</f>
        <v>96.2</v>
      </c>
      <c r="AD69" s="393">
        <f t="shared" ca="1" si="704"/>
        <v>0</v>
      </c>
      <c r="AE69" s="378">
        <f t="shared" ca="1" si="444"/>
        <v>1.0000001300000001</v>
      </c>
      <c r="AF69" s="214"/>
      <c r="AG69" s="312" t="str">
        <f t="shared" ca="1" si="445"/>
        <v/>
      </c>
      <c r="AH69" s="1254"/>
      <c r="AI69" s="199">
        <f t="shared" ca="1" si="730"/>
        <v>0</v>
      </c>
      <c r="AJ69" s="199">
        <f t="shared" ca="1" si="731"/>
        <v>0</v>
      </c>
      <c r="AK69" s="216">
        <f t="shared" ca="1" si="732"/>
        <v>0</v>
      </c>
      <c r="AL69" s="202">
        <f t="shared" ca="1" si="733"/>
        <v>0</v>
      </c>
      <c r="AM69" s="203">
        <f t="shared" ca="1" si="734"/>
        <v>0</v>
      </c>
      <c r="AN69" s="203">
        <f t="shared" ca="1" si="735"/>
        <v>0</v>
      </c>
      <c r="AO69" s="204">
        <f t="shared" ca="1" si="736"/>
        <v>0</v>
      </c>
      <c r="AP69" s="205"/>
      <c r="AQ69" s="206">
        <f t="shared" ca="1" si="737"/>
        <v>0</v>
      </c>
      <c r="AR69" s="206">
        <f t="shared" ca="1" si="738"/>
        <v>0</v>
      </c>
      <c r="AS69" s="207">
        <f t="shared" ca="1" si="739"/>
        <v>0</v>
      </c>
      <c r="AT69" s="391">
        <f t="shared" si="740"/>
        <v>0</v>
      </c>
      <c r="AU69" s="391">
        <f t="shared" ca="1" si="179"/>
        <v>0</v>
      </c>
      <c r="AV69" s="391">
        <f t="shared" ca="1" si="741"/>
        <v>0</v>
      </c>
      <c r="AW69" s="394">
        <f t="shared" ca="1" si="742"/>
        <v>0</v>
      </c>
      <c r="AX69" s="1007" t="str">
        <f t="shared" ca="1" si="13"/>
        <v/>
      </c>
      <c r="AY69" s="1255">
        <f>354.779+-354.779</f>
        <v>0</v>
      </c>
      <c r="AZ69" s="312" t="str">
        <f t="shared" ca="1" si="459"/>
        <v/>
      </c>
      <c r="BA69" s="1254"/>
      <c r="BB69" s="199">
        <f t="shared" ca="1" si="743"/>
        <v>0</v>
      </c>
      <c r="BC69" s="199">
        <f t="shared" ca="1" si="744"/>
        <v>0</v>
      </c>
      <c r="BD69" s="216">
        <f t="shared" ca="1" si="745"/>
        <v>0</v>
      </c>
      <c r="BE69" s="202">
        <f t="shared" ca="1" si="746"/>
        <v>0</v>
      </c>
      <c r="BF69" s="203">
        <f t="shared" ca="1" si="747"/>
        <v>0</v>
      </c>
      <c r="BG69" s="203">
        <f t="shared" ca="1" si="748"/>
        <v>0</v>
      </c>
      <c r="BH69" s="204">
        <f t="shared" ca="1" si="749"/>
        <v>0</v>
      </c>
      <c r="BI69" s="1253"/>
      <c r="BJ69" s="206">
        <f t="shared" ca="1" si="750"/>
        <v>0</v>
      </c>
      <c r="BK69" s="206">
        <f t="shared" ca="1" si="751"/>
        <v>0</v>
      </c>
      <c r="BL69" s="207">
        <f t="shared" ca="1" si="752"/>
        <v>0</v>
      </c>
      <c r="BM69" s="391">
        <f t="shared" si="753"/>
        <v>0</v>
      </c>
      <c r="BN69" s="391">
        <f t="shared" ca="1" si="194"/>
        <v>0</v>
      </c>
      <c r="BO69" s="391">
        <f t="shared" ca="1" si="754"/>
        <v>0</v>
      </c>
      <c r="BP69" s="886">
        <f t="shared" ca="1" si="408"/>
        <v>0</v>
      </c>
      <c r="BQ69" s="1007" t="str">
        <f t="shared" ca="1" si="409"/>
        <v/>
      </c>
      <c r="BR69" s="1007"/>
    </row>
    <row r="70" spans="1:70" ht="13.5" hidden="1" customHeight="1" outlineLevel="1" x14ac:dyDescent="0.2">
      <c r="A70" s="367"/>
      <c r="B70" s="367"/>
      <c r="C70" s="367" t="str">
        <f t="shared" ca="1" si="433"/>
        <v>CH0131872431:CHF:P</v>
      </c>
      <c r="D70" s="368" t="str">
        <f t="shared" ca="1" si="434"/>
        <v>CH0131872431</v>
      </c>
      <c r="E70" s="369" t="str">
        <f t="shared" ca="1" si="434"/>
        <v>13187243</v>
      </c>
      <c r="F70" s="367" t="s">
        <v>593</v>
      </c>
      <c r="G70" s="414"/>
      <c r="H70" s="1713" t="str">
        <f t="shared" ca="1" si="435"/>
        <v></v>
      </c>
      <c r="I70" s="1683" t="str">
        <f t="shared" ca="1" si="755"/>
        <v>i</v>
      </c>
      <c r="J70" s="1713" t="str">
        <f t="shared" ca="1" si="756"/>
        <v></v>
      </c>
      <c r="K70" s="1716" t="str">
        <f t="shared" ca="1" si="756"/>
        <v></v>
      </c>
      <c r="L70" s="1717" t="str">
        <f t="shared" ca="1" si="438"/>
        <v></v>
      </c>
      <c r="M70" s="366" t="str">
        <f t="shared" ca="1" si="439"/>
        <v>Unit</v>
      </c>
      <c r="N70" s="1309"/>
      <c r="O70" s="1310" cm="1">
        <f t="array" aca="1" ref="O70" ca="1">SUM(IF($AF$14:$BQ$14="I_ctrlv",AF70:BQ70))</f>
        <v>0</v>
      </c>
      <c r="P70" s="373">
        <f t="shared" ca="1" si="384"/>
        <v>0</v>
      </c>
      <c r="Q70" s="391">
        <f t="array" aca="1" ref="Q70" ca="1">SUM(IF($AF$14:$BQ$14="I_pos",AF70:BQ70))</f>
        <v>0</v>
      </c>
      <c r="R70" s="391">
        <f t="array" aca="1" ref="R70" ca="1">SUM(IF($AF$14:$BQ$14="P_Pos",AF70:BQ70))</f>
        <v>0</v>
      </c>
      <c r="S70" s="1314"/>
      <c r="T70" s="391"/>
      <c r="U70" s="366"/>
      <c r="V70" s="391">
        <f t="array" aca="1" ref="V70" ca="1">SUM(IF($AF$14:$BQ$14="O_Pos",AF70:BQ70))</f>
        <v>0</v>
      </c>
      <c r="W70" s="1310"/>
      <c r="X70" s="1312">
        <f t="shared" ca="1" si="757"/>
        <v>0</v>
      </c>
      <c r="Y70" s="1312">
        <f t="shared" ca="1" si="757"/>
        <v>0</v>
      </c>
      <c r="Z70" s="1312">
        <f t="shared" ca="1" si="757"/>
        <v>1.6000000000000001E-3</v>
      </c>
      <c r="AA70" s="1313">
        <f t="shared" ca="1" si="757"/>
        <v>0</v>
      </c>
      <c r="AB70" s="367" t="str">
        <f t="shared" ca="1" si="758"/>
        <v>CHF</v>
      </c>
      <c r="AC70" s="392">
        <f t="shared" ca="1" si="759"/>
        <v>85.54</v>
      </c>
      <c r="AD70" s="393">
        <f t="shared" ca="1" si="704"/>
        <v>0</v>
      </c>
      <c r="AE70" s="378">
        <f t="shared" ca="1" si="444"/>
        <v>1.0000001300000001</v>
      </c>
      <c r="AF70" s="214"/>
      <c r="AG70" s="312" t="str">
        <f t="shared" ca="1" si="445"/>
        <v/>
      </c>
      <c r="AH70" s="1254"/>
      <c r="AI70" s="199">
        <f t="shared" ca="1" si="548"/>
        <v>0</v>
      </c>
      <c r="AJ70" s="199">
        <f t="shared" ca="1" si="549"/>
        <v>0</v>
      </c>
      <c r="AK70" s="216">
        <f t="shared" ca="1" si="423"/>
        <v>0</v>
      </c>
      <c r="AL70" s="202">
        <f t="shared" ca="1" si="550"/>
        <v>0</v>
      </c>
      <c r="AM70" s="203">
        <f t="shared" ca="1" si="551"/>
        <v>0</v>
      </c>
      <c r="AN70" s="203">
        <f t="shared" ca="1" si="552"/>
        <v>0</v>
      </c>
      <c r="AO70" s="204">
        <f t="shared" ca="1" si="553"/>
        <v>0</v>
      </c>
      <c r="AP70" s="205"/>
      <c r="AQ70" s="206">
        <f t="shared" ca="1" si="554"/>
        <v>0</v>
      </c>
      <c r="AR70" s="206">
        <f t="shared" ca="1" si="555"/>
        <v>0</v>
      </c>
      <c r="AS70" s="207">
        <f t="shared" ca="1" si="426"/>
        <v>0</v>
      </c>
      <c r="AT70" s="391">
        <f>AF70+AP70</f>
        <v>0</v>
      </c>
      <c r="AU70" s="391">
        <f t="shared" ca="1" si="179"/>
        <v>0</v>
      </c>
      <c r="AV70" s="391">
        <f t="shared" ca="1" si="557"/>
        <v>0</v>
      </c>
      <c r="AW70" s="394">
        <f t="shared" ca="1" si="432"/>
        <v>0</v>
      </c>
      <c r="AX70" s="1007" t="str">
        <f t="shared" ca="1" si="13"/>
        <v/>
      </c>
      <c r="AY70" s="1255"/>
      <c r="AZ70" s="312" t="str">
        <f t="shared" ca="1" si="459"/>
        <v/>
      </c>
      <c r="BA70" s="1254"/>
      <c r="BB70" s="199">
        <f t="shared" ca="1" si="558"/>
        <v>0</v>
      </c>
      <c r="BC70" s="199">
        <f t="shared" ca="1" si="559"/>
        <v>0</v>
      </c>
      <c r="BD70" s="216">
        <f t="shared" ca="1" si="428"/>
        <v>0</v>
      </c>
      <c r="BE70" s="202">
        <f t="shared" ca="1" si="560"/>
        <v>0</v>
      </c>
      <c r="BF70" s="203">
        <f t="shared" ca="1" si="561"/>
        <v>0</v>
      </c>
      <c r="BG70" s="203">
        <f t="shared" ca="1" si="562"/>
        <v>0</v>
      </c>
      <c r="BH70" s="204">
        <f t="shared" ca="1" si="563"/>
        <v>0</v>
      </c>
      <c r="BI70" s="1253"/>
      <c r="BJ70" s="206">
        <f t="shared" ca="1" si="564"/>
        <v>0</v>
      </c>
      <c r="BK70" s="206">
        <f t="shared" ca="1" si="565"/>
        <v>0</v>
      </c>
      <c r="BL70" s="207">
        <f t="shared" ca="1" si="431"/>
        <v>0</v>
      </c>
      <c r="BM70" s="391">
        <f>AY70+BI70</f>
        <v>0</v>
      </c>
      <c r="BN70" s="391">
        <f t="shared" ca="1" si="194"/>
        <v>0</v>
      </c>
      <c r="BO70" s="391">
        <f t="shared" ca="1" si="567"/>
        <v>0</v>
      </c>
      <c r="BP70" s="886">
        <f t="shared" ca="1" si="408"/>
        <v>0</v>
      </c>
      <c r="BQ70" s="1007" t="str">
        <f t="shared" ca="1" si="409"/>
        <v/>
      </c>
      <c r="BR70" s="1007"/>
    </row>
    <row r="71" spans="1:70" ht="13.5" customHeight="1" collapsed="1" x14ac:dyDescent="0.2">
      <c r="A71" s="346"/>
      <c r="B71" s="346" t="s">
        <v>403</v>
      </c>
      <c r="C71" s="346"/>
      <c r="D71" s="347"/>
      <c r="E71" s="348"/>
      <c r="F71" s="346"/>
      <c r="G71" s="349"/>
      <c r="H71" s="1682"/>
      <c r="I71" s="1682"/>
      <c r="J71" s="1682"/>
      <c r="K71" s="1682"/>
      <c r="L71" s="1682"/>
      <c r="M71" s="345"/>
      <c r="N71" s="1036">
        <f>SUM(N$72:N$84)</f>
        <v>0.16999999999999998</v>
      </c>
      <c r="O71" s="1303" cm="1">
        <f t="array" aca="1" ref="O71" ca="1">SUM(IF($AF$14:$BQ$14="I_ctrlv",AF71:BQ71))</f>
        <v>538409.21888414002</v>
      </c>
      <c r="P71" s="351">
        <f t="shared" ca="1" si="384"/>
        <v>8.220305897223186E-2</v>
      </c>
      <c r="Q71" s="422"/>
      <c r="R71" s="352"/>
      <c r="S71" s="1035"/>
      <c r="T71" s="352"/>
      <c r="U71" s="345"/>
      <c r="V71" s="422">
        <f ca="1">COUNTIF(V72:V84,"&lt;&gt;0")</f>
        <v>3</v>
      </c>
      <c r="W71" s="1303"/>
      <c r="X71" s="1304"/>
      <c r="Y71" s="1304"/>
      <c r="Z71" s="1304"/>
      <c r="AA71" s="1305"/>
      <c r="AB71" s="346"/>
      <c r="AC71" s="355"/>
      <c r="AD71" s="1306"/>
      <c r="AE71" s="356"/>
      <c r="AF71" s="357"/>
      <c r="AG71" s="359"/>
      <c r="AH71" s="875"/>
      <c r="AI71" s="359"/>
      <c r="AJ71" s="360">
        <f ca="1">SUM(AJ$72:AJ$84)</f>
        <v>512031.215455</v>
      </c>
      <c r="AK71" s="361">
        <f t="shared" ca="1" si="423"/>
        <v>8.764409805733285E-2</v>
      </c>
      <c r="AL71" s="362"/>
      <c r="AM71" s="359"/>
      <c r="AN71" s="360">
        <f ca="1">SUM(AN$72:AN$84)</f>
        <v>481136.7052235704</v>
      </c>
      <c r="AO71" s="363">
        <f ca="1">IFERROR(AN71/AF$4,0)</f>
        <v>8.2355901942667148E-2</v>
      </c>
      <c r="AP71" s="362"/>
      <c r="AQ71" s="359"/>
      <c r="AR71" s="360">
        <f ca="1">SUM(AR$72:AR$84)</f>
        <v>0</v>
      </c>
      <c r="AS71" s="363">
        <f t="shared" ca="1" si="426"/>
        <v>0</v>
      </c>
      <c r="AT71" s="359"/>
      <c r="AU71" s="359"/>
      <c r="AV71" s="360">
        <f ca="1">SUM(AV$72:AV$84)</f>
        <v>512031.215455</v>
      </c>
      <c r="AW71" s="361">
        <f t="shared" ca="1" si="432"/>
        <v>8.764409805733285E-2</v>
      </c>
      <c r="AX71" s="1007" t="str">
        <f t="shared" ca="1" si="13"/>
        <v>V</v>
      </c>
      <c r="AY71" s="1307"/>
      <c r="AZ71" s="359"/>
      <c r="BA71" s="875"/>
      <c r="BB71" s="359"/>
      <c r="BC71" s="360">
        <f ca="1">SUM(BC$72:BC$84)</f>
        <v>26378.003429140001</v>
      </c>
      <c r="BD71" s="361">
        <f t="shared" ca="1" si="428"/>
        <v>3.72790491349227E-2</v>
      </c>
      <c r="BE71" s="362"/>
      <c r="BF71" s="359"/>
      <c r="BG71" s="360">
        <f ca="1">SUM(BG$72:BG$84)</f>
        <v>93911.024510496543</v>
      </c>
      <c r="BH71" s="363">
        <f ca="1">IFERROR(BG71/AY$4,0)</f>
        <v>0.13272095086507732</v>
      </c>
      <c r="BI71" s="1308"/>
      <c r="BJ71" s="359"/>
      <c r="BK71" s="360">
        <f ca="1">SUM(BK$72:BK$84)</f>
        <v>9915.3748458599948</v>
      </c>
      <c r="BL71" s="363">
        <f t="shared" ca="1" si="431"/>
        <v>1.4013029722395579E-2</v>
      </c>
      <c r="BM71" s="359"/>
      <c r="BN71" s="359"/>
      <c r="BO71" s="360">
        <f ca="1">SUM(BO$72:BO$84)</f>
        <v>36293.378274999995</v>
      </c>
      <c r="BP71" s="876">
        <f t="shared" ca="1" si="408"/>
        <v>5.1292078857318284E-2</v>
      </c>
      <c r="BQ71" s="1007" t="str">
        <f t="shared" ref="BQ71:BQ72" ca="1" si="760">IF(OR(BD71&lt;&gt;0,BL71&lt;&gt;0),"V","")</f>
        <v>V</v>
      </c>
      <c r="BR71" s="1007"/>
    </row>
    <row r="72" spans="1:70" ht="13.5" hidden="1" customHeight="1" outlineLevel="1" x14ac:dyDescent="0.2">
      <c r="A72" s="367"/>
      <c r="B72" s="367"/>
      <c r="C72" s="367" t="str">
        <f t="shared" ref="C72:C84" ca="1" si="761">OFFSET(Origine,MATCH($F72,Descrizioni,0),MATCH(C$14,Intestazioni,0)-1,1,1)</f>
        <v>ES0148396007:EUR:CBUA</v>
      </c>
      <c r="D72" s="368" t="str">
        <f t="shared" ref="D72:E84" ca="1" si="762">OFFSET(Origine,MATCH($F72,Descrizioni,0),MATCH(D$14,Intestazioni,0)-1,1,1)</f>
        <v>ES0148396007</v>
      </c>
      <c r="E72" s="369" t="str">
        <f t="shared" ca="1" si="762"/>
        <v>24956043</v>
      </c>
      <c r="F72" s="367" t="s">
        <v>429</v>
      </c>
      <c r="G72" s="414"/>
      <c r="H72" s="1713" t="str">
        <f t="shared" ref="H72:H84" ca="1" si="763">HYPERLINK(OFFSET(Origine,MATCH($F72,Descrizioni,0),MATCH(H$14,Intestazioni,0)-1,1,1),"")</f>
        <v></v>
      </c>
      <c r="I72" s="1683" t="str">
        <f t="shared" ref="I72" ca="1" si="764">HYPERLINK(OFFSET(Origine,MATCH($F72,Descrizioni,0),MATCH(I$14,Intestazioni,0)-1,1,1),"i")</f>
        <v>i</v>
      </c>
      <c r="J72" s="1713" t="str">
        <f t="shared" ref="J72:K72" ca="1" si="765">HYPERLINK(OFFSET(Origine,MATCH($F72,Descrizioni,0),MATCH(J$14,Intestazioni,0)-1,1,1),"")</f>
        <v></v>
      </c>
      <c r="K72" s="1716" t="str">
        <f t="shared" ca="1" si="765"/>
        <v></v>
      </c>
      <c r="L72" s="1717" t="str">
        <f t="shared" ref="L72:L84" ca="1" si="766">IFERROR(HYPERLINK("https://www.zonebourse.com/mods_a/charts/TV/inc_dyna_graph.php?c="&amp;OFFSET(Origine,MATCH($F72,Descrizioni,0),MATCH(L$14,Intestazioni,0)-1,1,1)&amp;"&amp;style=TradingView.CANDLES&amp;showAT=1",""),"")</f>
        <v></v>
      </c>
      <c r="M72" s="366" t="str">
        <f t="shared" ref="M72:M84" ca="1" si="767">(OFFSET(Origine,MATCH($F72,Descrizioni,0),MATCH(M$14,Intestazioni,0)-1,1,1))</f>
        <v>Unit</v>
      </c>
      <c r="N72" s="1039">
        <v>1.4999999999999999E-2</v>
      </c>
      <c r="O72" s="1310" cm="1">
        <f t="array" aca="1" ref="O72" ca="1">SUM(IF($AF$14:$BQ$14="I_ctrlv",AF72:BQ72))</f>
        <v>65815.525999999998</v>
      </c>
      <c r="P72" s="418">
        <f t="shared" ca="1" si="384"/>
        <v>1.004856041707318E-2</v>
      </c>
      <c r="Q72" s="391">
        <f t="array" aca="1" ref="Q72" ca="1">SUM(IF($AF$14:$BQ$14="I_pos",AF72:BQ72))</f>
        <v>1400</v>
      </c>
      <c r="R72" s="391">
        <f t="array" aca="1" ref="R72" ca="1">SUM(IF($AF$14:$BQ$14="P_Pos",AF72:BQ72))</f>
        <v>689.85159349985986</v>
      </c>
      <c r="S72" s="1314"/>
      <c r="T72" s="391"/>
      <c r="U72" s="366"/>
      <c r="V72" s="391">
        <f t="array" aca="1" ref="V72" ca="1">SUM(IF($AF$14:$BQ$14="O_Pos",AF72:BQ72))</f>
        <v>0</v>
      </c>
      <c r="W72" s="1310"/>
      <c r="X72" s="1312">
        <f t="shared" ref="X72:AA72" ca="1" si="768">OFFSET(Origine,MATCH($F72,Descrizioni,0),MATCH(X$14,Intestazioni,0)-1,1,1)</f>
        <v>0</v>
      </c>
      <c r="Y72" s="1312">
        <f t="shared" ca="1" si="768"/>
        <v>0</v>
      </c>
      <c r="Z72" s="1312">
        <f t="shared" ca="1" si="768"/>
        <v>0</v>
      </c>
      <c r="AA72" s="1313">
        <f t="shared" ca="1" si="768"/>
        <v>0</v>
      </c>
      <c r="AB72" s="367" t="str">
        <f t="shared" ref="AB72" ca="1" si="769">OFFSET(Origine,MATCH($F72,Descrizioni,0),MATCH(AB$14,Intestazioni,0)-1,1,1)</f>
        <v>EUR</v>
      </c>
      <c r="AC72" s="392">
        <f t="shared" ref="AC72:AC73" ca="1" si="770">_xlfn.NUMBERVALUE(OFFSET(Origine,MATCH($F72,Descrizioni,0),MATCH(AC$14,Intestazioni,0)-1,1,1))</f>
        <v>51.8</v>
      </c>
      <c r="AD72" s="393">
        <f t="shared" ref="AD72:AD75" ca="1" si="771">_xlfn.NUMBERVALUE(OFFSET(Origine,MATCH($F72,Descrizioni,0),MATCH(AD$14,Intestazioni,0)-1,1,1))</f>
        <v>2.7027027027027001E-2</v>
      </c>
      <c r="AE72" s="378">
        <f t="shared" ref="AE72" ca="1" si="772">_xlfn.NUMBERVALUE(OFFSET(Origine,MATCH(AB72&amp;"/"&amp;MRif,LUKB_Name,0),MATCH("Price",Intestazioni,0)-1,1,1))</f>
        <v>0.90754999999999997</v>
      </c>
      <c r="AF72" s="214">
        <f>1400</f>
        <v>1400</v>
      </c>
      <c r="AG72" s="312">
        <f t="shared" ref="AG72" ca="1" si="773">IFERROR($AC72/AH72-1,"")</f>
        <v>0.46156342141275064</v>
      </c>
      <c r="AH72" s="1254">
        <v>35.441499999999998</v>
      </c>
      <c r="AI72" s="199">
        <f t="shared" ref="AI72" ca="1" si="774">AF72*$AC72</f>
        <v>72520</v>
      </c>
      <c r="AJ72" s="199">
        <f t="shared" ref="AJ72" ca="1" si="775">AI72*$AE72</f>
        <v>65815.525999999998</v>
      </c>
      <c r="AK72" s="216">
        <f t="shared" ca="1" si="423"/>
        <v>1.1265606940219627E-2</v>
      </c>
      <c r="AL72" s="202">
        <f t="shared" ref="AL72" ca="1" si="776">AM72/$AC72</f>
        <v>464.08065818694337</v>
      </c>
      <c r="AM72" s="203">
        <f t="shared" ref="AM72" ca="1" si="777">AN72/$AE72</f>
        <v>24039.378094083666</v>
      </c>
      <c r="AN72" s="203">
        <f t="shared" ref="AN72" ca="1" si="778">AO72*AF$4</f>
        <v>21816.93758928563</v>
      </c>
      <c r="AO72" s="204">
        <f t="shared" ref="AO72" ca="1" si="779">$N72-AK72</f>
        <v>3.7343930597803724E-3</v>
      </c>
      <c r="AP72" s="205"/>
      <c r="AQ72" s="206">
        <f t="shared" ref="AQ72" ca="1" si="780">AP72*$AC72</f>
        <v>0</v>
      </c>
      <c r="AR72" s="206">
        <f t="shared" ref="AR72" ca="1" si="781">AQ72*$AE72</f>
        <v>0</v>
      </c>
      <c r="AS72" s="207">
        <f t="shared" ca="1" si="426"/>
        <v>0</v>
      </c>
      <c r="AT72" s="391">
        <f t="shared" ref="AT72" si="782">AF72+AP72</f>
        <v>1400</v>
      </c>
      <c r="AU72" s="391">
        <f t="shared" ref="AU72" ca="1" si="783">AI72+IF($T72="",AQ72)</f>
        <v>72520</v>
      </c>
      <c r="AV72" s="391">
        <f t="shared" ref="AV72" ca="1" si="784">AU72*$AE72</f>
        <v>65815.525999999998</v>
      </c>
      <c r="AW72" s="394">
        <f t="shared" ca="1" si="432"/>
        <v>1.1265606940219627E-2</v>
      </c>
      <c r="AX72" s="1007" t="str">
        <f t="shared" ca="1" si="13"/>
        <v>V</v>
      </c>
      <c r="AY72" s="1255"/>
      <c r="AZ72" s="312" t="str">
        <f t="shared" ref="AZ72" ca="1" si="785">IFERROR($AC72/BA72-1,"")</f>
        <v/>
      </c>
      <c r="BA72" s="1254"/>
      <c r="BB72" s="199">
        <f t="shared" ref="BB72" ca="1" si="786">AY72*$AC72</f>
        <v>0</v>
      </c>
      <c r="BC72" s="199">
        <f t="shared" ref="BC72" ca="1" si="787">BB72*$AE72</f>
        <v>0</v>
      </c>
      <c r="BD72" s="216">
        <f t="shared" ca="1" si="428"/>
        <v>0</v>
      </c>
      <c r="BE72" s="202">
        <f t="shared" ref="BE72" ca="1" si="788">BF72/$AC72</f>
        <v>225.77093531291649</v>
      </c>
      <c r="BF72" s="203">
        <f t="shared" ref="BF72" ca="1" si="789">BG72/$AE72</f>
        <v>11694.934449209073</v>
      </c>
      <c r="BG72" s="203">
        <f t="shared" ref="BG72" ca="1" si="790">BH72*AY$4</f>
        <v>10613.737759379694</v>
      </c>
      <c r="BH72" s="204">
        <f t="shared" ref="BH72" ca="1" si="791">$N72-BD72</f>
        <v>1.4999999999999999E-2</v>
      </c>
      <c r="BI72" s="1253"/>
      <c r="BJ72" s="206">
        <f t="shared" ref="BJ72" ca="1" si="792">BI72*$AC72</f>
        <v>0</v>
      </c>
      <c r="BK72" s="206">
        <f t="shared" ref="BK72" ca="1" si="793">BJ72*$AE72</f>
        <v>0</v>
      </c>
      <c r="BL72" s="207">
        <f t="shared" ca="1" si="431"/>
        <v>0</v>
      </c>
      <c r="BM72" s="391">
        <f t="shared" ref="BM72" si="794">AY72+BI72</f>
        <v>0</v>
      </c>
      <c r="BN72" s="391">
        <f t="shared" ref="BN72" ca="1" si="795">BB72+IF($T72="",BJ72)</f>
        <v>0</v>
      </c>
      <c r="BO72" s="391">
        <f t="shared" ref="BO72" ca="1" si="796">BN72*$AE72</f>
        <v>0</v>
      </c>
      <c r="BP72" s="886">
        <f t="shared" ca="1" si="408"/>
        <v>0</v>
      </c>
      <c r="BQ72" s="1007" t="str">
        <f t="shared" ca="1" si="760"/>
        <v/>
      </c>
      <c r="BR72" s="1007"/>
    </row>
    <row r="73" spans="1:70" ht="13.5" hidden="1" customHeight="1" outlineLevel="1" x14ac:dyDescent="0.2">
      <c r="A73" s="367"/>
      <c r="B73" s="367"/>
      <c r="C73" s="367" t="str">
        <f ca="1">OFFSET(Origine,MATCH($F73,Descrizioni,0),MATCH(C$14,Intestazioni,0)-1,1,1)</f>
        <v>FR0000120578:EUR</v>
      </c>
      <c r="D73" s="368" t="str">
        <f ca="1">OFFSET(Origine,MATCH($F73,Descrizioni,0),MATCH(D$14,Intestazioni,0)-1,1,1)</f>
        <v>FR0000120578</v>
      </c>
      <c r="E73" s="369" t="str">
        <f ca="1">OFFSET(Origine,MATCH($F73,Descrizioni,0),MATCH(E$14,Intestazioni,0)-1,1,1)</f>
        <v>699381</v>
      </c>
      <c r="F73" s="367" t="s">
        <v>417</v>
      </c>
      <c r="G73" s="414"/>
      <c r="H73" s="1713" t="str">
        <f t="shared" ca="1" si="763"/>
        <v></v>
      </c>
      <c r="I73" s="1683" t="str">
        <f ca="1">HYPERLINK(OFFSET(Origine,MATCH($F73,Descrizioni,0),MATCH(I$14,Intestazioni,0)-1,1,1),"i")</f>
        <v>i</v>
      </c>
      <c r="J73" s="1713" t="str">
        <f ca="1">HYPERLINK(OFFSET(Origine,MATCH($F73,Descrizioni,0),MATCH(J$14,Intestazioni,0)-1,1,1),"")</f>
        <v></v>
      </c>
      <c r="K73" s="1716" t="str">
        <f ca="1">HYPERLINK(OFFSET(Origine,MATCH($F73,Descrizioni,0),MATCH(K$14,Intestazioni,0)-1,1,1),"")</f>
        <v></v>
      </c>
      <c r="L73" s="1717" t="str">
        <f ca="1">IFERROR(HYPERLINK("https://www.zonebourse.com/mods_a/charts/TV/inc_dyna_graph.php?c="&amp;OFFSET(Origine,MATCH($F73,Descrizioni,0),MATCH(L$14,Intestazioni,0)-1,1,1)&amp;"&amp;style=TradingView.CANDLES&amp;showAT=1",""),"")</f>
        <v></v>
      </c>
      <c r="M73" s="366" t="str">
        <f ca="1">(OFFSET(Origine,MATCH($F73,Descrizioni,0),MATCH(M$14,Intestazioni,0)-1,1,1))</f>
        <v>Unit</v>
      </c>
      <c r="N73" s="1309">
        <v>1.4999999999999999E-2</v>
      </c>
      <c r="O73" s="1310" cm="1">
        <f t="array" aca="1" ref="O73" ca="1">SUM(IF($AF$14:$BQ$14="I_ctrlv",AF73:BQ73))</f>
        <v>0</v>
      </c>
      <c r="P73" s="418">
        <f t="shared" ca="1" si="384"/>
        <v>0</v>
      </c>
      <c r="Q73" s="391">
        <f t="array" aca="1" ref="Q73" ca="1">SUM(IF($AF$14:$BQ$14="I_pos",AF73:BQ73))</f>
        <v>0</v>
      </c>
      <c r="R73" s="391">
        <f t="array" aca="1" ref="R73" ca="1">SUM(IF($AF$14:$BQ$14="P_Pos",AF73:BQ73))</f>
        <v>1329.0891656635081</v>
      </c>
      <c r="S73" s="1314"/>
      <c r="T73" s="391"/>
      <c r="U73" s="366"/>
      <c r="V73" s="391">
        <f t="array" aca="1" ref="V73" ca="1">SUM(IF($AF$14:$BQ$14="O_Pos",AF73:BQ73))</f>
        <v>0</v>
      </c>
      <c r="W73" s="1310"/>
      <c r="X73" s="1312">
        <f ca="1">OFFSET(Origine,MATCH($F73,Descrizioni,0),MATCH(X$14,Intestazioni,0)-1,1,1)</f>
        <v>0</v>
      </c>
      <c r="Y73" s="1312">
        <f ca="1">OFFSET(Origine,MATCH($F73,Descrizioni,0),MATCH(Y$14,Intestazioni,0)-1,1,1)</f>
        <v>0</v>
      </c>
      <c r="Z73" s="1312">
        <f ca="1">OFFSET(Origine,MATCH($F73,Descrizioni,0),MATCH(Z$14,Intestazioni,0)-1,1,1)</f>
        <v>0</v>
      </c>
      <c r="AA73" s="1313">
        <f ca="1">OFFSET(Origine,MATCH($F73,Descrizioni,0),MATCH(AA$14,Intestazioni,0)-1,1,1)</f>
        <v>0</v>
      </c>
      <c r="AB73" s="367" t="str">
        <f ca="1">OFFSET(Origine,MATCH($F73,Descrizioni,0),MATCH(AB$14,Intestazioni,0)-1,1,1)</f>
        <v>EUR</v>
      </c>
      <c r="AC73" s="392">
        <f t="shared" ca="1" si="770"/>
        <v>81.45</v>
      </c>
      <c r="AD73" s="393">
        <f ca="1">_xlfn.NUMBERVALUE(OFFSET(Origine,MATCH($F73,Descrizioni,0),MATCH(AD$14,Intestazioni,0)-1,1,1))</f>
        <v>0</v>
      </c>
      <c r="AE73" s="378">
        <f ca="1">_xlfn.NUMBERVALUE(OFFSET(Origine,MATCH(AB73&amp;"/"&amp;MRif,LUKB_Name,0),MATCH("Price",Intestazioni,0)-1,1,1))</f>
        <v>0.90754999999999997</v>
      </c>
      <c r="AF73" s="214">
        <f>700+-700</f>
        <v>0</v>
      </c>
      <c r="AG73" s="312" t="str">
        <f ca="1">IFERROR($AC73/AH73-1,"")</f>
        <v/>
      </c>
      <c r="AH73" s="1254"/>
      <c r="AI73" s="199">
        <f ca="1">AF73*$AC73</f>
        <v>0</v>
      </c>
      <c r="AJ73" s="199">
        <f ca="1">AI73*$AE73</f>
        <v>0</v>
      </c>
      <c r="AK73" s="216">
        <f ca="1">IFERROR(AJ73/AF$4,0)</f>
        <v>0</v>
      </c>
      <c r="AL73" s="202">
        <f ca="1">AM73/$AC73</f>
        <v>1185.5049489758583</v>
      </c>
      <c r="AM73" s="203">
        <f ca="1">AN73/$AE73</f>
        <v>96559.378094083659</v>
      </c>
      <c r="AN73" s="203">
        <f ca="1">AO73*AF$4</f>
        <v>87632.463589285617</v>
      </c>
      <c r="AO73" s="204">
        <f ca="1">$N73-AK73</f>
        <v>1.4999999999999999E-2</v>
      </c>
      <c r="AP73" s="205"/>
      <c r="AQ73" s="206">
        <f ca="1">AP73*$AC73</f>
        <v>0</v>
      </c>
      <c r="AR73" s="206">
        <f ca="1">AQ73*$AE73</f>
        <v>0</v>
      </c>
      <c r="AS73" s="207">
        <f ca="1">IFERROR(AR73/AF$4,0)</f>
        <v>0</v>
      </c>
      <c r="AT73" s="391">
        <f>AF73+AP73</f>
        <v>0</v>
      </c>
      <c r="AU73" s="391">
        <f ca="1">AI73+IF($T73="",AQ73)</f>
        <v>0</v>
      </c>
      <c r="AV73" s="391">
        <f ca="1">AU73*$AE73</f>
        <v>0</v>
      </c>
      <c r="AW73" s="394">
        <f ca="1">IFERROR(AV73/AF$4,0)</f>
        <v>0</v>
      </c>
      <c r="AX73" s="1007" t="str">
        <f t="shared" ca="1" si="13"/>
        <v/>
      </c>
      <c r="AY73" s="1255"/>
      <c r="AZ73" s="312" t="str">
        <f ca="1">IFERROR($AC73/BA73-1,"")</f>
        <v/>
      </c>
      <c r="BA73" s="1254"/>
      <c r="BB73" s="199">
        <f ca="1">AY73*$AC73</f>
        <v>0</v>
      </c>
      <c r="BC73" s="199">
        <f ca="1">BB73*$AE73</f>
        <v>0</v>
      </c>
      <c r="BD73" s="216">
        <f ca="1">IFERROR(BC73/AY$4,0)</f>
        <v>0</v>
      </c>
      <c r="BE73" s="202">
        <f ca="1">BF73/$AC73</f>
        <v>143.58421668764976</v>
      </c>
      <c r="BF73" s="203">
        <f ca="1">BG73/$AE73</f>
        <v>11694.934449209073</v>
      </c>
      <c r="BG73" s="203">
        <f ca="1">BH73*AY$4</f>
        <v>10613.737759379694</v>
      </c>
      <c r="BH73" s="204">
        <f ca="1">$N73-BD73</f>
        <v>1.4999999999999999E-2</v>
      </c>
      <c r="BI73" s="1253"/>
      <c r="BJ73" s="206">
        <f ca="1">BI73*$AC73</f>
        <v>0</v>
      </c>
      <c r="BK73" s="206">
        <f ca="1">BJ73*$AE73</f>
        <v>0</v>
      </c>
      <c r="BL73" s="207">
        <f ca="1">IFERROR(BK73/AY$4,0)</f>
        <v>0</v>
      </c>
      <c r="BM73" s="391">
        <f>AY73+BI73</f>
        <v>0</v>
      </c>
      <c r="BN73" s="391">
        <f ca="1">BB73+IF($T73="",BJ73)</f>
        <v>0</v>
      </c>
      <c r="BO73" s="391">
        <f ca="1">BN73*$AE73</f>
        <v>0</v>
      </c>
      <c r="BP73" s="886">
        <f t="shared" ca="1" si="408"/>
        <v>0</v>
      </c>
      <c r="BQ73" s="1007" t="str">
        <f t="shared" ca="1" si="409"/>
        <v/>
      </c>
      <c r="BR73" s="1007"/>
    </row>
    <row r="74" spans="1:70" ht="13.5" hidden="1" customHeight="1" outlineLevel="1" x14ac:dyDescent="0.2">
      <c r="A74" s="367"/>
      <c r="B74" s="367"/>
      <c r="C74" s="367" t="str">
        <f t="shared" ca="1" si="761"/>
        <v>DE0007164600:EUR:CBUA</v>
      </c>
      <c r="D74" s="368" t="str">
        <f t="shared" ca="1" si="762"/>
        <v>DE0007164600</v>
      </c>
      <c r="E74" s="369" t="str">
        <f t="shared" ca="1" si="762"/>
        <v>345952</v>
      </c>
      <c r="F74" s="367" t="s">
        <v>404</v>
      </c>
      <c r="G74" s="414"/>
      <c r="H74" s="1713" t="str">
        <f t="shared" ca="1" si="763"/>
        <v></v>
      </c>
      <c r="I74" s="1683" t="str">
        <f t="shared" ref="I74" ca="1" si="797">HYPERLINK(OFFSET(Origine,MATCH($F74,Descrizioni,0),MATCH(I$14,Intestazioni,0)-1,1,1),"i")</f>
        <v>i</v>
      </c>
      <c r="J74" s="1713" t="str">
        <f t="shared" ref="J74:K74" ca="1" si="798">HYPERLINK(OFFSET(Origine,MATCH($F74,Descrizioni,0),MATCH(J$14,Intestazioni,0)-1,1,1),"")</f>
        <v></v>
      </c>
      <c r="K74" s="1716" t="str">
        <f t="shared" ca="1" si="798"/>
        <v></v>
      </c>
      <c r="L74" s="1717" t="str">
        <f t="shared" ca="1" si="766"/>
        <v></v>
      </c>
      <c r="M74" s="366" t="str">
        <f t="shared" ca="1" si="767"/>
        <v>Unit</v>
      </c>
      <c r="N74" s="1039">
        <v>1.4999999999999999E-2</v>
      </c>
      <c r="O74" s="1310" cm="1">
        <f t="array" aca="1" ref="O74" ca="1">SUM(IF($AF$14:$BQ$14="I_ctrlv",AF74:BQ74))</f>
        <v>44934.615599999997</v>
      </c>
      <c r="P74" s="418">
        <f t="shared" ca="1" si="384"/>
        <v>6.8605119052692672E-3</v>
      </c>
      <c r="Q74" s="391">
        <f t="array" aca="1" ref="Q74" ca="1">SUM(IF($AF$14:$BQ$14="I_pos",AF74:BQ74))</f>
        <v>300</v>
      </c>
      <c r="R74" s="391">
        <f t="array" aca="1" ref="R74" ca="1">SUM(IF($AF$14:$BQ$14="P_Pos",AF74:BQ74))</f>
        <v>355.92772990361573</v>
      </c>
      <c r="S74" s="1314"/>
      <c r="T74" s="391"/>
      <c r="U74" s="366"/>
      <c r="V74" s="391">
        <f t="array" aca="1" ref="V74" ca="1">SUM(IF($AF$14:$BQ$14="O_Pos",AF74:BQ74))</f>
        <v>0</v>
      </c>
      <c r="W74" s="1310"/>
      <c r="X74" s="1312">
        <f t="shared" ref="X74:AA74" ca="1" si="799">OFFSET(Origine,MATCH($F74,Descrizioni,0),MATCH(X$14,Intestazioni,0)-1,1,1)</f>
        <v>0</v>
      </c>
      <c r="Y74" s="1312">
        <f t="shared" ca="1" si="799"/>
        <v>0</v>
      </c>
      <c r="Z74" s="1312">
        <f t="shared" ca="1" si="799"/>
        <v>0</v>
      </c>
      <c r="AA74" s="1313">
        <f t="shared" ca="1" si="799"/>
        <v>0</v>
      </c>
      <c r="AB74" s="367" t="str">
        <f ca="1">OFFSET(Origine,MATCH($F74,Descrizioni,0),MATCH(AB$14,Intestazioni,0)-1,1,1)</f>
        <v>EUR</v>
      </c>
      <c r="AC74" s="392">
        <f t="shared" ref="AC74" ca="1" si="800">_xlfn.NUMBERVALUE(OFFSET(Origine,MATCH($F74,Descrizioni,0),MATCH(AC$14,Intestazioni,0)-1,1,1))</f>
        <v>165.04</v>
      </c>
      <c r="AD74" s="393">
        <f t="shared" ca="1" si="771"/>
        <v>1.42389723703345E-2</v>
      </c>
      <c r="AE74" s="378">
        <f t="shared" ref="AE74:AE84" ca="1" si="801">_xlfn.NUMBERVALUE(OFFSET(Origine,MATCH(AB74&amp;"/"&amp;MRif,LUKB_Name,0),MATCH("Price",Intestazioni,0)-1,1,1))</f>
        <v>0.90754999999999997</v>
      </c>
      <c r="AF74" s="214">
        <f>550+-250</f>
        <v>300</v>
      </c>
      <c r="AG74" s="312">
        <f t="shared" ref="AG74:AG84" ca="1" si="802">IFERROR($AC74/AH74-1,"")</f>
        <v>0.75466015154463029</v>
      </c>
      <c r="AH74" s="1254">
        <v>94.058099999999996</v>
      </c>
      <c r="AI74" s="199">
        <f ca="1">AF74*$AC74</f>
        <v>49512</v>
      </c>
      <c r="AJ74" s="199">
        <f ca="1">AI74*$AE74</f>
        <v>44934.615599999997</v>
      </c>
      <c r="AK74" s="216">
        <f ca="1">IFERROR(AJ74/AF$4,0)</f>
        <v>7.6914331332619164E-3</v>
      </c>
      <c r="AL74" s="202">
        <f ca="1">AM74/$AC74</f>
        <v>285.06651777801545</v>
      </c>
      <c r="AM74" s="203">
        <f ca="1">AN74/$AE74</f>
        <v>47047.378094083666</v>
      </c>
      <c r="AN74" s="203">
        <f ca="1">AO74*AF$4</f>
        <v>42697.847989285627</v>
      </c>
      <c r="AO74" s="204">
        <f ca="1">$N74-AK74</f>
        <v>7.3085668667380831E-3</v>
      </c>
      <c r="AP74" s="205"/>
      <c r="AQ74" s="206">
        <f ca="1">AP74*$AC74</f>
        <v>0</v>
      </c>
      <c r="AR74" s="206">
        <f ca="1">AQ74*$AE74</f>
        <v>0</v>
      </c>
      <c r="AS74" s="207">
        <f ca="1">IFERROR(AR74/AF$4,0)</f>
        <v>0</v>
      </c>
      <c r="AT74" s="391">
        <f t="shared" ref="AT74:AT84" si="803">AF74+AP74</f>
        <v>300</v>
      </c>
      <c r="AU74" s="391">
        <f t="shared" ref="AU74:AU121" ca="1" si="804">AI74+IF($T74="",AQ74)</f>
        <v>49512</v>
      </c>
      <c r="AV74" s="391">
        <f ca="1">AU74*$AE74</f>
        <v>44934.615599999997</v>
      </c>
      <c r="AW74" s="394">
        <f ca="1">IFERROR(AV74/AF$4,0)</f>
        <v>7.6914331332619164E-3</v>
      </c>
      <c r="AX74" s="1007" t="str">
        <f t="shared" ca="1" si="13"/>
        <v>V</v>
      </c>
      <c r="AY74" s="1255"/>
      <c r="AZ74" s="312" t="str">
        <f t="shared" ref="AZ74:AZ84" ca="1" si="805">IFERROR($AC74/BA74-1,"")</f>
        <v/>
      </c>
      <c r="BA74" s="1254"/>
      <c r="BB74" s="199">
        <f ca="1">AY74*$AC74</f>
        <v>0</v>
      </c>
      <c r="BC74" s="199">
        <f ca="1">BB74*$AE74</f>
        <v>0</v>
      </c>
      <c r="BD74" s="216">
        <f ca="1">IFERROR(BC74/AY$4,0)</f>
        <v>0</v>
      </c>
      <c r="BE74" s="202">
        <f ca="1">BF74/$AC74</f>
        <v>70.861212125600304</v>
      </c>
      <c r="BF74" s="203">
        <f ca="1">BG74/$AE74</f>
        <v>11694.934449209073</v>
      </c>
      <c r="BG74" s="203">
        <f ca="1">BH74*AY$4</f>
        <v>10613.737759379694</v>
      </c>
      <c r="BH74" s="204">
        <f ca="1">$N74-BD74</f>
        <v>1.4999999999999999E-2</v>
      </c>
      <c r="BI74" s="1253"/>
      <c r="BJ74" s="206">
        <f ca="1">BI74*$AC74</f>
        <v>0</v>
      </c>
      <c r="BK74" s="206">
        <f ca="1">BJ74*$AE74</f>
        <v>0</v>
      </c>
      <c r="BL74" s="207">
        <f ca="1">IFERROR(BK74/AY$4,0)</f>
        <v>0</v>
      </c>
      <c r="BM74" s="391">
        <f t="shared" ref="BM74:BM84" si="806">AY74+BI74</f>
        <v>0</v>
      </c>
      <c r="BN74" s="391">
        <f t="shared" ref="BN74:BN121" ca="1" si="807">BB74+IF($T74="",BJ74)</f>
        <v>0</v>
      </c>
      <c r="BO74" s="391">
        <f ca="1">BN74*$AE74</f>
        <v>0</v>
      </c>
      <c r="BP74" s="886">
        <f t="shared" ca="1" si="408"/>
        <v>0</v>
      </c>
      <c r="BQ74" s="1007" t="str">
        <f t="shared" ref="BQ74:BQ75" ca="1" si="808">IF(OR(BD74&lt;&gt;0,BL74&lt;&gt;0),"V","")</f>
        <v/>
      </c>
      <c r="BR74" s="1007"/>
    </row>
    <row r="75" spans="1:70" ht="13.5" hidden="1" customHeight="1" outlineLevel="1" x14ac:dyDescent="0.2">
      <c r="A75" s="367"/>
      <c r="B75" s="367"/>
      <c r="C75" s="367" t="str">
        <f t="shared" ca="1" si="761"/>
        <v>ES0178430E18:EUR</v>
      </c>
      <c r="D75" s="368" t="str">
        <f t="shared" ca="1" si="762"/>
        <v>ES0178430E18</v>
      </c>
      <c r="E75" s="369" t="str">
        <f t="shared" ca="1" si="762"/>
        <v>826858</v>
      </c>
      <c r="F75" s="367" t="s">
        <v>891</v>
      </c>
      <c r="G75" s="414"/>
      <c r="H75" s="1713" t="str">
        <f t="shared" ca="1" si="763"/>
        <v></v>
      </c>
      <c r="I75" s="1683" t="str">
        <f t="shared" ref="I75" ca="1" si="809">HYPERLINK(OFFSET(Origine,MATCH($F75,Descrizioni,0),MATCH(I$14,Intestazioni,0)-1,1,1),"i")</f>
        <v>i</v>
      </c>
      <c r="J75" s="1713" t="str">
        <f t="shared" ref="J75:K75" ca="1" si="810">HYPERLINK(OFFSET(Origine,MATCH($F75,Descrizioni,0),MATCH(J$14,Intestazioni,0)-1,1,1),"")</f>
        <v></v>
      </c>
      <c r="K75" s="1716" t="str">
        <f t="shared" ca="1" si="810"/>
        <v></v>
      </c>
      <c r="L75" s="1717" t="str">
        <f t="shared" ca="1" si="766"/>
        <v></v>
      </c>
      <c r="M75" s="366" t="str">
        <f t="shared" ca="1" si="767"/>
        <v>Unit</v>
      </c>
      <c r="N75" s="1039"/>
      <c r="O75" s="1310" cm="1">
        <f t="array" aca="1" ref="O75" ca="1">SUM(IF($AF$14:$BQ$14="I_ctrlv",AF75:BQ75))</f>
        <v>33751.784500000002</v>
      </c>
      <c r="P75" s="418">
        <f t="shared" ca="1" si="384"/>
        <v>5.1531434350655207E-3</v>
      </c>
      <c r="Q75" s="391">
        <f t="array" aca="1" ref="Q75" ca="1">SUM(IF($AF$14:$BQ$14="I_pos",AF75:BQ75))</f>
        <v>10000</v>
      </c>
      <c r="R75" s="391">
        <f t="array" aca="1" ref="R75" ca="1">SUM(IF($AF$14:$BQ$14="P_Pos",AF75:BQ75))</f>
        <v>-10000</v>
      </c>
      <c r="S75" s="1314"/>
      <c r="T75" s="391"/>
      <c r="U75" s="366"/>
      <c r="V75" s="391">
        <f t="array" aca="1" ref="V75" ca="1">SUM(IF($AF$14:$BQ$14="O_Pos",AF75:BQ75))</f>
        <v>0</v>
      </c>
      <c r="W75" s="1310"/>
      <c r="X75" s="1312">
        <f t="shared" ref="X75:AA75" ca="1" si="811">OFFSET(Origine,MATCH($F75,Descrizioni,0),MATCH(X$14,Intestazioni,0)-1,1,1)</f>
        <v>0</v>
      </c>
      <c r="Y75" s="1312">
        <f t="shared" ca="1" si="811"/>
        <v>0</v>
      </c>
      <c r="Z75" s="1312">
        <f t="shared" ca="1" si="811"/>
        <v>0</v>
      </c>
      <c r="AA75" s="1313">
        <f t="shared" ca="1" si="811"/>
        <v>0</v>
      </c>
      <c r="AB75" s="367" t="str">
        <f t="shared" ref="AB75" ca="1" si="812">OFFSET(Origine,MATCH($F75,Descrizioni,0),MATCH(AB$14,Intestazioni,0)-1,1,1)</f>
        <v>EUR</v>
      </c>
      <c r="AC75" s="392">
        <f t="shared" ref="AC75:AC80" ca="1" si="813">_xlfn.NUMBERVALUE(OFFSET(Origine,MATCH($F75,Descrizioni,0),MATCH(AC$14,Intestazioni,0)-1,1,1))</f>
        <v>3.7189999999999999</v>
      </c>
      <c r="AD75" s="393">
        <f t="shared" ca="1" si="771"/>
        <v>0</v>
      </c>
      <c r="AE75" s="378">
        <f t="shared" ca="1" si="801"/>
        <v>0.90754999999999997</v>
      </c>
      <c r="AF75" s="214">
        <v>10000</v>
      </c>
      <c r="AG75" s="312">
        <f t="shared" ca="1" si="802"/>
        <v>-0.4048743018994736</v>
      </c>
      <c r="AH75" s="1254">
        <v>6.2491000000000003</v>
      </c>
      <c r="AI75" s="199">
        <f t="shared" ref="AI75:AI84" ca="1" si="814">AF75*$AC75</f>
        <v>37190</v>
      </c>
      <c r="AJ75" s="199">
        <f t="shared" ref="AJ75:AJ84" ca="1" si="815">AI75*$AE75</f>
        <v>33751.784500000002</v>
      </c>
      <c r="AK75" s="216">
        <f t="shared" ref="AK75:AK85" ca="1" si="816">IFERROR(AJ75/AF$4,0)</f>
        <v>5.7772741603249857E-3</v>
      </c>
      <c r="AL75" s="202">
        <f t="shared" ref="AL75:AL82" ca="1" si="817">AM75/$AC75</f>
        <v>-10000</v>
      </c>
      <c r="AM75" s="203">
        <f t="shared" ref="AM75:AM82" ca="1" si="818">AN75/$AE75</f>
        <v>-37190</v>
      </c>
      <c r="AN75" s="203">
        <f t="shared" ref="AN75:AN84" ca="1" si="819">AO75*AF$4</f>
        <v>-33751.784500000002</v>
      </c>
      <c r="AO75" s="204">
        <f t="shared" ref="AO75:AO82" ca="1" si="820">$N75-AK75</f>
        <v>-5.7772741603249857E-3</v>
      </c>
      <c r="AP75" s="205"/>
      <c r="AQ75" s="206">
        <f t="shared" ref="AQ75:AQ84" ca="1" si="821">AP75*$AC75</f>
        <v>0</v>
      </c>
      <c r="AR75" s="206">
        <f t="shared" ref="AR75:AR84" ca="1" si="822">AQ75*$AE75</f>
        <v>0</v>
      </c>
      <c r="AS75" s="207">
        <f t="shared" ref="AS75:AS85" ca="1" si="823">IFERROR(AR75/AF$4,0)</f>
        <v>0</v>
      </c>
      <c r="AT75" s="391">
        <f t="shared" si="803"/>
        <v>10000</v>
      </c>
      <c r="AU75" s="391">
        <f t="shared" ca="1" si="804"/>
        <v>37190</v>
      </c>
      <c r="AV75" s="391">
        <f t="shared" ref="AV75:AV84" ca="1" si="824">AU75*$AE75</f>
        <v>33751.784500000002</v>
      </c>
      <c r="AW75" s="394">
        <f t="shared" ref="AW75:AW85" ca="1" si="825">IFERROR(AV75/AF$4,0)</f>
        <v>5.7772741603249857E-3</v>
      </c>
      <c r="AX75" s="1007" t="str">
        <f t="shared" ca="1" si="13"/>
        <v>V</v>
      </c>
      <c r="AY75" s="1255"/>
      <c r="AZ75" s="312" t="str">
        <f t="shared" ca="1" si="805"/>
        <v/>
      </c>
      <c r="BA75" s="1254"/>
      <c r="BB75" s="199">
        <f t="shared" ref="BB75:BB84" ca="1" si="826">AY75*$AC75</f>
        <v>0</v>
      </c>
      <c r="BC75" s="199">
        <f t="shared" ref="BC75:BC84" ca="1" si="827">BB75*$AE75</f>
        <v>0</v>
      </c>
      <c r="BD75" s="216">
        <f t="shared" ref="BD75:BD85" ca="1" si="828">IFERROR(BC75/AY$4,0)</f>
        <v>0</v>
      </c>
      <c r="BE75" s="202">
        <f t="shared" ref="BE75:BE82" ca="1" si="829">BF75/$AC75</f>
        <v>0</v>
      </c>
      <c r="BF75" s="203">
        <f t="shared" ref="BF75:BF82" ca="1" si="830">BG75/$AE75</f>
        <v>0</v>
      </c>
      <c r="BG75" s="203">
        <f t="shared" ref="BG75:BG84" ca="1" si="831">BH75*AY$4</f>
        <v>0</v>
      </c>
      <c r="BH75" s="204">
        <f t="shared" ref="BH75:BH82" ca="1" si="832">$N75-BD75</f>
        <v>0</v>
      </c>
      <c r="BI75" s="1253"/>
      <c r="BJ75" s="206">
        <f t="shared" ref="BJ75:BJ84" ca="1" si="833">BI75*$AC75</f>
        <v>0</v>
      </c>
      <c r="BK75" s="206">
        <f t="shared" ref="BK75:BK84" ca="1" si="834">BJ75*$AE75</f>
        <v>0</v>
      </c>
      <c r="BL75" s="207">
        <f t="shared" ref="BL75:BL85" ca="1" si="835">IFERROR(BK75/AY$4,0)</f>
        <v>0</v>
      </c>
      <c r="BM75" s="391">
        <f t="shared" si="806"/>
        <v>0</v>
      </c>
      <c r="BN75" s="391">
        <f t="shared" ca="1" si="807"/>
        <v>0</v>
      </c>
      <c r="BO75" s="391">
        <f t="shared" ref="BO75:BO84" ca="1" si="836">BN75*$AE75</f>
        <v>0</v>
      </c>
      <c r="BP75" s="886">
        <f t="shared" ca="1" si="408"/>
        <v>0</v>
      </c>
      <c r="BQ75" s="1007" t="str">
        <f t="shared" ca="1" si="808"/>
        <v/>
      </c>
      <c r="BR75" s="1007"/>
    </row>
    <row r="76" spans="1:70" ht="13.5" hidden="1" customHeight="1" outlineLevel="1" x14ac:dyDescent="0.2">
      <c r="A76" s="367"/>
      <c r="B76" s="367"/>
      <c r="C76" s="367" t="str">
        <f t="shared" ca="1" si="761"/>
        <v>FR0000125486:EUR:CBUA</v>
      </c>
      <c r="D76" s="368" t="str">
        <f t="shared" ca="1" si="762"/>
        <v>FR0000125486</v>
      </c>
      <c r="E76" s="369" t="str">
        <f t="shared" ca="1" si="762"/>
        <v>508670</v>
      </c>
      <c r="F76" s="367" t="s">
        <v>426</v>
      </c>
      <c r="G76" s="414"/>
      <c r="H76" s="1713" t="str">
        <f t="shared" ca="1" si="763"/>
        <v></v>
      </c>
      <c r="I76" s="1683" t="str">
        <f t="shared" ref="I76:I80" ca="1" si="837">HYPERLINK(OFFSET(Origine,MATCH($F76,Descrizioni,0),MATCH(I$14,Intestazioni,0)-1,1,1),"i")</f>
        <v>i</v>
      </c>
      <c r="J76" s="1713" t="str">
        <f t="shared" ref="J76:K80" ca="1" si="838">HYPERLINK(OFFSET(Origine,MATCH($F76,Descrizioni,0),MATCH(J$14,Intestazioni,0)-1,1,1),"")</f>
        <v></v>
      </c>
      <c r="K76" s="1716" t="str">
        <f t="shared" ca="1" si="838"/>
        <v></v>
      </c>
      <c r="L76" s="1717" t="str">
        <f t="shared" ca="1" si="766"/>
        <v></v>
      </c>
      <c r="M76" s="366" t="str">
        <f t="shared" ca="1" si="767"/>
        <v>Unit</v>
      </c>
      <c r="N76" s="1039"/>
      <c r="O76" s="1310" cm="1">
        <f t="array" aca="1" ref="O76" ca="1">SUM(IF($AF$14:$BQ$14="I_ctrlv",AF76:BQ76))</f>
        <v>0</v>
      </c>
      <c r="P76" s="418">
        <f t="shared" ca="1" si="384"/>
        <v>0</v>
      </c>
      <c r="Q76" s="391">
        <f t="array" aca="1" ref="Q76" ca="1">SUM(IF($AF$14:$BQ$14="I_pos",AF76:BQ76))</f>
        <v>0</v>
      </c>
      <c r="R76" s="391">
        <f t="array" aca="1" ref="R76" ca="1">SUM(IF($AF$14:$BQ$14="P_Pos",AF76:BQ76))</f>
        <v>0</v>
      </c>
      <c r="S76" s="1314"/>
      <c r="T76" s="391"/>
      <c r="U76" s="366"/>
      <c r="V76" s="391">
        <f t="array" aca="1" ref="V76" ca="1">SUM(IF($AF$14:$BQ$14="O_Pos",AF76:BQ76))</f>
        <v>0</v>
      </c>
      <c r="W76" s="1310"/>
      <c r="X76" s="1312">
        <f t="shared" ref="X76:AA80" ca="1" si="839">OFFSET(Origine,MATCH($F76,Descrizioni,0),MATCH(X$14,Intestazioni,0)-1,1,1)</f>
        <v>0</v>
      </c>
      <c r="Y76" s="1312">
        <f t="shared" ca="1" si="839"/>
        <v>0</v>
      </c>
      <c r="Z76" s="1312">
        <f t="shared" ca="1" si="839"/>
        <v>0</v>
      </c>
      <c r="AA76" s="1313">
        <f t="shared" ca="1" si="839"/>
        <v>0</v>
      </c>
      <c r="AB76" s="367" t="str">
        <f t="shared" ref="AB76:AB80" ca="1" si="840">OFFSET(Origine,MATCH($F76,Descrizioni,0),MATCH(AB$14,Intestazioni,0)-1,1,1)</f>
        <v>EUR</v>
      </c>
      <c r="AC76" s="392">
        <f t="shared" ca="1" si="813"/>
        <v>133.1</v>
      </c>
      <c r="AD76" s="393">
        <f t="shared" ref="AD76:AD84" ca="1" si="841">_xlfn.NUMBERVALUE(OFFSET(Origine,MATCH($F76,Descrizioni,0),MATCH(AD$14,Intestazioni,0)-1,1,1))</f>
        <v>3.7565740045078899E-2</v>
      </c>
      <c r="AE76" s="378">
        <f t="shared" ref="AE76:AE77" ca="1" si="842">_xlfn.NUMBERVALUE(OFFSET(Origine,MATCH(AB76&amp;"/"&amp;MRif,LUKB_Name,0),MATCH("Price",Intestazioni,0)-1,1,1))</f>
        <v>0.90754999999999997</v>
      </c>
      <c r="AF76" s="214"/>
      <c r="AG76" s="312" t="str">
        <f t="shared" ref="AG76:AG77" ca="1" si="843">IFERROR($AC76/AH76-1,"")</f>
        <v/>
      </c>
      <c r="AH76" s="1254"/>
      <c r="AI76" s="199">
        <f t="shared" ref="AI76:AI77" ca="1" si="844">AF76*$AC76</f>
        <v>0</v>
      </c>
      <c r="AJ76" s="199">
        <f t="shared" ref="AJ76:AJ77" ca="1" si="845">AI76*$AE76</f>
        <v>0</v>
      </c>
      <c r="AK76" s="216">
        <f t="shared" ref="AK76:AK77" ca="1" si="846">IFERROR(AJ76/AF$4,0)</f>
        <v>0</v>
      </c>
      <c r="AL76" s="202">
        <f t="shared" ref="AL76:AL77" ca="1" si="847">AM76/$AC76</f>
        <v>0</v>
      </c>
      <c r="AM76" s="203">
        <f t="shared" ref="AM76:AM77" ca="1" si="848">AN76/$AE76</f>
        <v>0</v>
      </c>
      <c r="AN76" s="203">
        <f t="shared" ref="AN76:AN77" ca="1" si="849">AO76*AF$4</f>
        <v>0</v>
      </c>
      <c r="AO76" s="204">
        <f t="shared" ref="AO76:AO77" ca="1" si="850">$N76-AK76</f>
        <v>0</v>
      </c>
      <c r="AP76" s="205"/>
      <c r="AQ76" s="206">
        <f t="shared" ref="AQ76:AQ77" ca="1" si="851">AP76*$AC76</f>
        <v>0</v>
      </c>
      <c r="AR76" s="206">
        <f t="shared" ref="AR76:AR77" ca="1" si="852">AQ76*$AE76</f>
        <v>0</v>
      </c>
      <c r="AS76" s="207">
        <f t="shared" ref="AS76:AS77" ca="1" si="853">IFERROR(AR76/AF$4,0)</f>
        <v>0</v>
      </c>
      <c r="AT76" s="391">
        <f t="shared" ref="AT76:AT77" si="854">AF76+AP76</f>
        <v>0</v>
      </c>
      <c r="AU76" s="391">
        <f t="shared" ref="AU76:AU77" ca="1" si="855">AI76+IF($T76="",AQ76)</f>
        <v>0</v>
      </c>
      <c r="AV76" s="391">
        <f t="shared" ref="AV76:AV77" ca="1" si="856">AU76*$AE76</f>
        <v>0</v>
      </c>
      <c r="AW76" s="394">
        <f t="shared" ref="AW76:AW77" ca="1" si="857">IFERROR(AV76/AF$4,0)</f>
        <v>0</v>
      </c>
      <c r="AX76" s="1007" t="str">
        <f t="shared" ca="1" si="13"/>
        <v/>
      </c>
      <c r="AY76" s="1255"/>
      <c r="AZ76" s="312" t="str">
        <f t="shared" ref="AZ76:AZ77" ca="1" si="858">IFERROR($AC76/BA76-1,"")</f>
        <v/>
      </c>
      <c r="BA76" s="1254"/>
      <c r="BB76" s="199">
        <f t="shared" ref="BB76:BB77" ca="1" si="859">AY76*$AC76</f>
        <v>0</v>
      </c>
      <c r="BC76" s="199">
        <f t="shared" ref="BC76:BC77" ca="1" si="860">BB76*$AE76</f>
        <v>0</v>
      </c>
      <c r="BD76" s="216">
        <f t="shared" ref="BD76:BD77" ca="1" si="861">IFERROR(BC76/AY$4,0)</f>
        <v>0</v>
      </c>
      <c r="BE76" s="202">
        <f t="shared" ref="BE76:BE77" ca="1" si="862">BF76/$AC76</f>
        <v>0</v>
      </c>
      <c r="BF76" s="203">
        <f t="shared" ref="BF76:BF77" ca="1" si="863">BG76/$AE76</f>
        <v>0</v>
      </c>
      <c r="BG76" s="203">
        <f t="shared" ref="BG76:BG77" ca="1" si="864">BH76*AY$4</f>
        <v>0</v>
      </c>
      <c r="BH76" s="204">
        <f t="shared" ref="BH76:BH77" ca="1" si="865">$N76-BD76</f>
        <v>0</v>
      </c>
      <c r="BI76" s="1253"/>
      <c r="BJ76" s="206">
        <f t="shared" ref="BJ76:BJ77" ca="1" si="866">BI76*$AC76</f>
        <v>0</v>
      </c>
      <c r="BK76" s="206">
        <f t="shared" ref="BK76:BK77" ca="1" si="867">BJ76*$AE76</f>
        <v>0</v>
      </c>
      <c r="BL76" s="207">
        <f t="shared" ref="BL76:BL77" ca="1" si="868">IFERROR(BK76/AY$4,0)</f>
        <v>0</v>
      </c>
      <c r="BM76" s="391">
        <f t="shared" ref="BM76:BM77" si="869">AY76+BI76</f>
        <v>0</v>
      </c>
      <c r="BN76" s="391">
        <f t="shared" ref="BN76:BN77" ca="1" si="870">BB76+IF($T76="",BJ76)</f>
        <v>0</v>
      </c>
      <c r="BO76" s="391">
        <f t="shared" ref="BO76:BO77" ca="1" si="871">BN76*$AE76</f>
        <v>0</v>
      </c>
      <c r="BP76" s="886">
        <f t="shared" ref="BP76:BP77" ca="1" si="872">IFERROR(BO76/AY$4,0)</f>
        <v>0</v>
      </c>
      <c r="BQ76" s="1007" t="str">
        <f t="shared" ref="BQ76" ca="1" si="873">IF(SUM(BD76,BL76,BP76)&lt;&gt;0,"V","")</f>
        <v/>
      </c>
      <c r="BR76" s="1007"/>
    </row>
    <row r="77" spans="1:70" ht="13.5" hidden="1" customHeight="1" outlineLevel="1" x14ac:dyDescent="0.2">
      <c r="A77" s="367"/>
      <c r="B77" s="367"/>
      <c r="C77" s="367" t="str">
        <f t="shared" ca="1" si="761"/>
        <v>DE000A0H08F7:EUR:STU</v>
      </c>
      <c r="D77" s="368" t="str">
        <f t="shared" ca="1" si="762"/>
        <v>DE000A0H08F7</v>
      </c>
      <c r="E77" s="369" t="str">
        <f t="shared" ca="1" si="762"/>
        <v>12980561</v>
      </c>
      <c r="F77" s="367" t="s">
        <v>2802</v>
      </c>
      <c r="G77" s="414"/>
      <c r="H77" s="1713" t="str">
        <f t="shared" ca="1" si="763"/>
        <v></v>
      </c>
      <c r="I77" s="1683" t="str">
        <f t="shared" ca="1" si="837"/>
        <v>i</v>
      </c>
      <c r="J77" s="1713" t="str">
        <f t="shared" ca="1" si="838"/>
        <v></v>
      </c>
      <c r="K77" s="1716" t="str">
        <f t="shared" ca="1" si="838"/>
        <v></v>
      </c>
      <c r="L77" s="1717" t="str">
        <f t="shared" ca="1" si="766"/>
        <v></v>
      </c>
      <c r="M77" s="366" t="str">
        <f t="shared" ca="1" si="767"/>
        <v>Unit</v>
      </c>
      <c r="N77" s="1039">
        <v>2.5000000000000001E-2</v>
      </c>
      <c r="O77" s="1310" cm="1">
        <f t="array" aca="1" ref="O77" ca="1">SUM(IF($AF$14:$BQ$14="I_ctrlv",AF77:BQ77))</f>
        <v>0</v>
      </c>
      <c r="P77" s="418">
        <f t="shared" ca="1" si="384"/>
        <v>0</v>
      </c>
      <c r="Q77" s="391">
        <f t="array" aca="1" ref="Q77" ca="1">SUM(IF($AF$14:$BQ$14="I_pos",AF77:BQ77))</f>
        <v>0</v>
      </c>
      <c r="R77" s="391">
        <f t="array" aca="1" ref="R77" ca="1">SUM(IF($AF$14:$BQ$14="P_Pos",AF77:BQ77))</f>
        <v>2000.7080753916746</v>
      </c>
      <c r="S77" s="1314"/>
      <c r="T77" s="391"/>
      <c r="U77" s="366"/>
      <c r="V77" s="391">
        <f t="array" aca="1" ref="V77" ca="1">SUM(IF($AF$14:$BQ$14="O_Pos",AF77:BQ77))</f>
        <v>0</v>
      </c>
      <c r="W77" s="1310"/>
      <c r="X77" s="1312">
        <f t="shared" ca="1" si="839"/>
        <v>0</v>
      </c>
      <c r="Y77" s="1312">
        <f t="shared" ca="1" si="839"/>
        <v>0</v>
      </c>
      <c r="Z77" s="1312">
        <f t="shared" ca="1" si="839"/>
        <v>0</v>
      </c>
      <c r="AA77" s="1313">
        <f t="shared" ca="1" si="839"/>
        <v>0</v>
      </c>
      <c r="AB77" s="367" t="str">
        <f t="shared" ca="1" si="840"/>
        <v>EUR</v>
      </c>
      <c r="AC77" s="392">
        <f t="shared" ca="1" si="813"/>
        <v>90.18</v>
      </c>
      <c r="AD77" s="393">
        <f t="shared" ca="1" si="841"/>
        <v>0</v>
      </c>
      <c r="AE77" s="378">
        <f t="shared" ca="1" si="842"/>
        <v>0.90754999999999997</v>
      </c>
      <c r="AF77" s="214"/>
      <c r="AG77" s="312" t="str">
        <f t="shared" ca="1" si="843"/>
        <v/>
      </c>
      <c r="AH77" s="1254"/>
      <c r="AI77" s="199">
        <f t="shared" ca="1" si="844"/>
        <v>0</v>
      </c>
      <c r="AJ77" s="199">
        <f t="shared" ca="1" si="845"/>
        <v>0</v>
      </c>
      <c r="AK77" s="216">
        <f t="shared" ca="1" si="846"/>
        <v>0</v>
      </c>
      <c r="AL77" s="202">
        <f t="shared" ca="1" si="847"/>
        <v>1784.5674963791612</v>
      </c>
      <c r="AM77" s="203">
        <f t="shared" ca="1" si="848"/>
        <v>160932.29682347277</v>
      </c>
      <c r="AN77" s="203">
        <f t="shared" ca="1" si="849"/>
        <v>146054.1059821427</v>
      </c>
      <c r="AO77" s="204">
        <f t="shared" ca="1" si="850"/>
        <v>2.5000000000000001E-2</v>
      </c>
      <c r="AP77" s="205"/>
      <c r="AQ77" s="206">
        <f t="shared" ca="1" si="851"/>
        <v>0</v>
      </c>
      <c r="AR77" s="206">
        <f t="shared" ca="1" si="852"/>
        <v>0</v>
      </c>
      <c r="AS77" s="207">
        <f t="shared" ca="1" si="853"/>
        <v>0</v>
      </c>
      <c r="AT77" s="391">
        <f t="shared" si="854"/>
        <v>0</v>
      </c>
      <c r="AU77" s="391">
        <f t="shared" ca="1" si="855"/>
        <v>0</v>
      </c>
      <c r="AV77" s="391">
        <f t="shared" ca="1" si="856"/>
        <v>0</v>
      </c>
      <c r="AW77" s="394">
        <f t="shared" ca="1" si="857"/>
        <v>0</v>
      </c>
      <c r="AX77" s="1007" t="str">
        <f t="shared" ref="AX77" ca="1" si="874">IF(OR(AK77&lt;&gt;0,AS77&lt;&gt;0),"V","")</f>
        <v/>
      </c>
      <c r="AY77" s="1255"/>
      <c r="AZ77" s="312" t="str">
        <f t="shared" ca="1" si="858"/>
        <v/>
      </c>
      <c r="BA77" s="1254"/>
      <c r="BB77" s="199">
        <f t="shared" ca="1" si="859"/>
        <v>0</v>
      </c>
      <c r="BC77" s="199">
        <f t="shared" ca="1" si="860"/>
        <v>0</v>
      </c>
      <c r="BD77" s="216">
        <f t="shared" ca="1" si="861"/>
        <v>0</v>
      </c>
      <c r="BE77" s="202">
        <f t="shared" ca="1" si="862"/>
        <v>216.14057901251334</v>
      </c>
      <c r="BF77" s="203">
        <f t="shared" ca="1" si="863"/>
        <v>19491.557415348456</v>
      </c>
      <c r="BG77" s="203">
        <f t="shared" ca="1" si="864"/>
        <v>17689.56293229949</v>
      </c>
      <c r="BH77" s="204">
        <f t="shared" ca="1" si="865"/>
        <v>2.5000000000000001E-2</v>
      </c>
      <c r="BI77" s="1253"/>
      <c r="BJ77" s="206">
        <f t="shared" ca="1" si="866"/>
        <v>0</v>
      </c>
      <c r="BK77" s="206">
        <f t="shared" ca="1" si="867"/>
        <v>0</v>
      </c>
      <c r="BL77" s="207">
        <f t="shared" ca="1" si="868"/>
        <v>0</v>
      </c>
      <c r="BM77" s="391">
        <f t="shared" si="869"/>
        <v>0</v>
      </c>
      <c r="BN77" s="391">
        <f t="shared" ca="1" si="870"/>
        <v>0</v>
      </c>
      <c r="BO77" s="391">
        <f t="shared" ca="1" si="871"/>
        <v>0</v>
      </c>
      <c r="BP77" s="886">
        <f t="shared" ca="1" si="872"/>
        <v>0</v>
      </c>
      <c r="BQ77" s="1007" t="str">
        <f t="shared" ref="BQ77" ca="1" si="875">IF(OR(BD77&lt;&gt;0,BL77&lt;&gt;0),"V","")</f>
        <v/>
      </c>
      <c r="BR77" s="1007"/>
    </row>
    <row r="78" spans="1:70" ht="13.5" hidden="1" customHeight="1" outlineLevel="1" x14ac:dyDescent="0.2">
      <c r="A78" s="367"/>
      <c r="B78" s="367"/>
      <c r="C78" s="367" t="str">
        <f t="shared" ca="1" si="761"/>
        <v>IE00BKWQ0G16:EUR:P</v>
      </c>
      <c r="D78" s="368" t="str">
        <f t="shared" ca="1" si="762"/>
        <v>IE00BKWQ0G16</v>
      </c>
      <c r="E78" s="369" t="str">
        <f t="shared" ca="1" si="762"/>
        <v>24767127</v>
      </c>
      <c r="F78" s="367" t="s">
        <v>433</v>
      </c>
      <c r="G78" s="414"/>
      <c r="H78" s="1713" t="str">
        <f t="shared" ca="1" si="763"/>
        <v></v>
      </c>
      <c r="I78" s="1683" t="str">
        <f t="shared" ca="1" si="837"/>
        <v>i</v>
      </c>
      <c r="J78" s="1713" t="str">
        <f t="shared" ca="1" si="838"/>
        <v></v>
      </c>
      <c r="K78" s="1716" t="str">
        <f t="shared" ca="1" si="838"/>
        <v></v>
      </c>
      <c r="L78" s="1717" t="str">
        <f t="shared" ca="1" si="766"/>
        <v></v>
      </c>
      <c r="M78" s="366" t="str">
        <f t="shared" ca="1" si="767"/>
        <v>Unit</v>
      </c>
      <c r="N78" s="1039">
        <v>2.5000000000000001E-2</v>
      </c>
      <c r="O78" s="1310" cm="1">
        <f t="array" aca="1" ref="O78" ca="1">SUM(IF($AF$14:$BQ$14="I_ctrlv",AF78:BQ78))</f>
        <v>171857.29819999999</v>
      </c>
      <c r="P78" s="418">
        <f t="shared" ca="1" si="384"/>
        <v>2.6238769923037031E-2</v>
      </c>
      <c r="Q78" s="391">
        <f t="array" aca="1" ref="Q78" ca="1">SUM(IF($AF$14:$BQ$14="I_pos",AF78:BQ78))</f>
        <v>1400</v>
      </c>
      <c r="R78" s="391">
        <f t="array" aca="1" ref="R78" ca="1">SUM(IF($AF$14:$BQ$14="P_Pos",AF78:BQ78))</f>
        <v>-66.096005923249805</v>
      </c>
      <c r="S78" s="1314"/>
      <c r="T78" s="391"/>
      <c r="U78" s="366"/>
      <c r="V78" s="391">
        <f t="array" aca="1" ref="V78" ca="1">SUM(IF($AF$14:$BQ$14="O_Pos",AF78:BQ78))</f>
        <v>150</v>
      </c>
      <c r="W78" s="1310"/>
      <c r="X78" s="1312">
        <f t="shared" ca="1" si="839"/>
        <v>0</v>
      </c>
      <c r="Y78" s="1312">
        <f t="shared" ca="1" si="839"/>
        <v>0</v>
      </c>
      <c r="Z78" s="1312">
        <f t="shared" ca="1" si="839"/>
        <v>0</v>
      </c>
      <c r="AA78" s="1313">
        <f t="shared" ca="1" si="839"/>
        <v>0</v>
      </c>
      <c r="AB78" s="367" t="str">
        <f t="shared" ca="1" si="840"/>
        <v>EUR</v>
      </c>
      <c r="AC78" s="392">
        <f t="shared" ca="1" si="813"/>
        <v>135.26</v>
      </c>
      <c r="AD78" s="393">
        <f t="shared" ca="1" si="841"/>
        <v>0</v>
      </c>
      <c r="AE78" s="378">
        <f t="shared" ca="1" si="801"/>
        <v>0.90754999999999997</v>
      </c>
      <c r="AF78" s="214">
        <v>1400</v>
      </c>
      <c r="AG78" s="312">
        <f t="shared" ca="1" si="802"/>
        <v>1.0085414241250681</v>
      </c>
      <c r="AH78" s="1254">
        <v>67.342399999999998</v>
      </c>
      <c r="AI78" s="199">
        <f t="shared" ca="1" si="814"/>
        <v>189364</v>
      </c>
      <c r="AJ78" s="199">
        <f t="shared" ca="1" si="815"/>
        <v>171857.29819999999</v>
      </c>
      <c r="AK78" s="216">
        <f t="shared" ca="1" si="816"/>
        <v>2.9416718045059978E-2</v>
      </c>
      <c r="AL78" s="202">
        <f t="shared" ca="1" si="817"/>
        <v>-210.20037835669987</v>
      </c>
      <c r="AM78" s="203">
        <f t="shared" ca="1" si="818"/>
        <v>-28431.703176527222</v>
      </c>
      <c r="AN78" s="203">
        <f t="shared" ca="1" si="819"/>
        <v>-25803.192217857279</v>
      </c>
      <c r="AO78" s="204">
        <f t="shared" ca="1" si="820"/>
        <v>-4.4167180450599766E-3</v>
      </c>
      <c r="AP78" s="205"/>
      <c r="AQ78" s="206">
        <f t="shared" ca="1" si="821"/>
        <v>0</v>
      </c>
      <c r="AR78" s="206">
        <f t="shared" ca="1" si="822"/>
        <v>0</v>
      </c>
      <c r="AS78" s="207">
        <f t="shared" ca="1" si="823"/>
        <v>0</v>
      </c>
      <c r="AT78" s="391">
        <f t="shared" si="803"/>
        <v>1400</v>
      </c>
      <c r="AU78" s="391">
        <f t="shared" ca="1" si="804"/>
        <v>189364</v>
      </c>
      <c r="AV78" s="391">
        <f t="shared" ca="1" si="824"/>
        <v>171857.29819999999</v>
      </c>
      <c r="AW78" s="394">
        <f t="shared" ca="1" si="825"/>
        <v>2.9416718045059978E-2</v>
      </c>
      <c r="AX78" s="1007" t="str">
        <f t="shared" ca="1" si="13"/>
        <v>V</v>
      </c>
      <c r="AY78" s="1255"/>
      <c r="AZ78" s="312" t="str">
        <f t="shared" ca="1" si="805"/>
        <v/>
      </c>
      <c r="BA78" s="1254"/>
      <c r="BB78" s="199">
        <f t="shared" ca="1" si="826"/>
        <v>0</v>
      </c>
      <c r="BC78" s="199">
        <f t="shared" ca="1" si="827"/>
        <v>0</v>
      </c>
      <c r="BD78" s="216">
        <f t="shared" ca="1" si="828"/>
        <v>0</v>
      </c>
      <c r="BE78" s="202">
        <f t="shared" ca="1" si="829"/>
        <v>144.10437243345007</v>
      </c>
      <c r="BF78" s="203">
        <f t="shared" ca="1" si="830"/>
        <v>19491.557415348456</v>
      </c>
      <c r="BG78" s="203">
        <f t="shared" ca="1" si="831"/>
        <v>17689.56293229949</v>
      </c>
      <c r="BH78" s="204">
        <f t="shared" ca="1" si="832"/>
        <v>2.5000000000000001E-2</v>
      </c>
      <c r="BI78" s="1253">
        <v>150</v>
      </c>
      <c r="BJ78" s="206">
        <f t="shared" ca="1" si="833"/>
        <v>20289</v>
      </c>
      <c r="BK78" s="206">
        <f t="shared" ca="1" si="834"/>
        <v>18413.281950000001</v>
      </c>
      <c r="BL78" s="207">
        <f t="shared" ca="1" si="835"/>
        <v>2.6022805114617992E-2</v>
      </c>
      <c r="BM78" s="391">
        <f t="shared" si="806"/>
        <v>150</v>
      </c>
      <c r="BN78" s="391">
        <f t="shared" ca="1" si="807"/>
        <v>20289</v>
      </c>
      <c r="BO78" s="391">
        <f t="shared" ca="1" si="836"/>
        <v>18413.281950000001</v>
      </c>
      <c r="BP78" s="886">
        <f t="shared" ca="1" si="408"/>
        <v>2.6022805114617992E-2</v>
      </c>
      <c r="BQ78" s="1007" t="str">
        <f t="shared" ref="BQ78:BQ80" ca="1" si="876">IF(OR(BD78&lt;&gt;0,BL78&lt;&gt;0),"V","")</f>
        <v>V</v>
      </c>
      <c r="BR78" s="1007"/>
    </row>
    <row r="79" spans="1:70" ht="13.5" hidden="1" customHeight="1" outlineLevel="1" x14ac:dyDescent="0.2">
      <c r="A79" s="367"/>
      <c r="B79" s="367"/>
      <c r="C79" s="367" t="str">
        <f t="shared" ca="1" si="761"/>
        <v>DE000A0H08J9:EUR:STU</v>
      </c>
      <c r="D79" s="368" t="str">
        <f t="shared" ca="1" si="762"/>
        <v>DE000A0H08J9</v>
      </c>
      <c r="E79" s="369" t="str">
        <f t="shared" ca="1" si="762"/>
        <v>12980675</v>
      </c>
      <c r="F79" s="367" t="s">
        <v>2943</v>
      </c>
      <c r="G79" s="414"/>
      <c r="H79" s="1713" t="str">
        <f t="shared" ca="1" si="763"/>
        <v></v>
      </c>
      <c r="I79" s="1683" t="str">
        <f t="shared" ca="1" si="837"/>
        <v>i</v>
      </c>
      <c r="J79" s="1713" t="str">
        <f t="shared" ca="1" si="838"/>
        <v></v>
      </c>
      <c r="K79" s="1716" t="str">
        <f t="shared" ca="1" si="838"/>
        <v></v>
      </c>
      <c r="L79" s="1717" t="str">
        <f t="shared" ca="1" si="766"/>
        <v></v>
      </c>
      <c r="M79" s="366" t="str">
        <f t="shared" ca="1" si="767"/>
        <v>Unit</v>
      </c>
      <c r="N79" s="1039">
        <v>2.5000000000000001E-2</v>
      </c>
      <c r="O79" s="1310" cm="1">
        <f t="array" aca="1" ref="O79" ca="1">SUM(IF($AF$14:$BQ$14="I_ctrlv",AF79:BQ79))</f>
        <v>0</v>
      </c>
      <c r="P79" s="418">
        <f t="shared" ref="P79:P114" ca="1" si="877">SUMIF($AF$14:$BQ$14,"I_Ctrlv",$AF79:$BQ79)/$P$4</f>
        <v>0</v>
      </c>
      <c r="Q79" s="391">
        <f t="array" aca="1" ref="Q79" ca="1">SUM(IF($AF$14:$BQ$14="I_pos",AF79:BQ79))</f>
        <v>0</v>
      </c>
      <c r="R79" s="391">
        <f t="array" aca="1" ref="R79" ca="1">SUM(IF($AF$14:$BQ$14="P_Pos",AF79:BQ79))</f>
        <v>1608.0557418789772</v>
      </c>
      <c r="S79" s="1314"/>
      <c r="T79" s="391"/>
      <c r="U79" s="366"/>
      <c r="V79" s="391">
        <f t="array" aca="1" ref="V79" ca="1">SUM(IF($AF$14:$BQ$14="O_Pos",AF79:BQ79))</f>
        <v>0</v>
      </c>
      <c r="W79" s="1310"/>
      <c r="X79" s="1312">
        <f t="shared" ca="1" si="839"/>
        <v>0</v>
      </c>
      <c r="Y79" s="1312">
        <f t="shared" ca="1" si="839"/>
        <v>0</v>
      </c>
      <c r="Z79" s="1312">
        <f t="shared" ca="1" si="839"/>
        <v>0</v>
      </c>
      <c r="AA79" s="1313">
        <f t="shared" ca="1" si="839"/>
        <v>0</v>
      </c>
      <c r="AB79" s="367" t="str">
        <f t="shared" ca="1" si="840"/>
        <v>EUR</v>
      </c>
      <c r="AC79" s="392">
        <f t="shared" ca="1" si="813"/>
        <v>112.2</v>
      </c>
      <c r="AD79" s="393">
        <f t="shared" ca="1" si="841"/>
        <v>0</v>
      </c>
      <c r="AE79" s="378">
        <f t="shared" ca="1" si="801"/>
        <v>0.90754999999999997</v>
      </c>
      <c r="AF79" s="214"/>
      <c r="AG79" s="312" t="str">
        <f t="shared" ca="1" si="802"/>
        <v/>
      </c>
      <c r="AH79" s="1254"/>
      <c r="AI79" s="199">
        <f t="shared" ca="1" si="814"/>
        <v>0</v>
      </c>
      <c r="AJ79" s="199">
        <f t="shared" ca="1" si="815"/>
        <v>0</v>
      </c>
      <c r="AK79" s="216">
        <f t="shared" ca="1" si="816"/>
        <v>0</v>
      </c>
      <c r="AL79" s="202">
        <f t="shared" ca="1" si="817"/>
        <v>1434.3341962876361</v>
      </c>
      <c r="AM79" s="203">
        <f t="shared" ca="1" si="818"/>
        <v>160932.29682347277</v>
      </c>
      <c r="AN79" s="203">
        <f t="shared" ca="1" si="819"/>
        <v>146054.1059821427</v>
      </c>
      <c r="AO79" s="204">
        <f t="shared" ca="1" si="820"/>
        <v>2.5000000000000001E-2</v>
      </c>
      <c r="AP79" s="205"/>
      <c r="AQ79" s="206">
        <f t="shared" ca="1" si="821"/>
        <v>0</v>
      </c>
      <c r="AR79" s="206">
        <f t="shared" ca="1" si="822"/>
        <v>0</v>
      </c>
      <c r="AS79" s="207">
        <f t="shared" ca="1" si="823"/>
        <v>0</v>
      </c>
      <c r="AT79" s="391">
        <f t="shared" si="803"/>
        <v>0</v>
      </c>
      <c r="AU79" s="391">
        <f t="shared" ca="1" si="804"/>
        <v>0</v>
      </c>
      <c r="AV79" s="391">
        <f t="shared" ca="1" si="824"/>
        <v>0</v>
      </c>
      <c r="AW79" s="394">
        <f t="shared" ca="1" si="825"/>
        <v>0</v>
      </c>
      <c r="AX79" s="1007" t="str">
        <f t="shared" ref="AX79" ca="1" si="878">IF(OR(AK79&lt;&gt;0,AS79&lt;&gt;0),"V","")</f>
        <v/>
      </c>
      <c r="AY79" s="1255"/>
      <c r="AZ79" s="312" t="str">
        <f t="shared" ca="1" si="805"/>
        <v/>
      </c>
      <c r="BA79" s="1254"/>
      <c r="BB79" s="199">
        <f t="shared" ca="1" si="826"/>
        <v>0</v>
      </c>
      <c r="BC79" s="199">
        <f t="shared" ca="1" si="827"/>
        <v>0</v>
      </c>
      <c r="BD79" s="216">
        <f t="shared" ca="1" si="828"/>
        <v>0</v>
      </c>
      <c r="BE79" s="202">
        <f t="shared" ca="1" si="829"/>
        <v>173.72154559134097</v>
      </c>
      <c r="BF79" s="203">
        <f t="shared" ca="1" si="830"/>
        <v>19491.557415348456</v>
      </c>
      <c r="BG79" s="203">
        <f t="shared" ca="1" si="831"/>
        <v>17689.56293229949</v>
      </c>
      <c r="BH79" s="204">
        <f t="shared" ca="1" si="832"/>
        <v>2.5000000000000001E-2</v>
      </c>
      <c r="BI79" s="1253"/>
      <c r="BJ79" s="206">
        <f t="shared" ca="1" si="833"/>
        <v>0</v>
      </c>
      <c r="BK79" s="206">
        <f t="shared" ca="1" si="834"/>
        <v>0</v>
      </c>
      <c r="BL79" s="207">
        <f t="shared" ca="1" si="835"/>
        <v>0</v>
      </c>
      <c r="BM79" s="391">
        <f t="shared" si="806"/>
        <v>0</v>
      </c>
      <c r="BN79" s="391">
        <f t="shared" ca="1" si="807"/>
        <v>0</v>
      </c>
      <c r="BO79" s="391">
        <f t="shared" ca="1" si="836"/>
        <v>0</v>
      </c>
      <c r="BP79" s="886">
        <f t="shared" ca="1" si="408"/>
        <v>0</v>
      </c>
      <c r="BQ79" s="1007" t="str">
        <f t="shared" ref="BQ79" ca="1" si="879">IF(OR(BD79&lt;&gt;0,BL79&lt;&gt;0),"V","")</f>
        <v/>
      </c>
      <c r="BR79" s="1007"/>
    </row>
    <row r="80" spans="1:70" ht="13.5" hidden="1" customHeight="1" outlineLevel="1" x14ac:dyDescent="0.2">
      <c r="A80" s="367"/>
      <c r="B80" s="367"/>
      <c r="C80" s="367" t="str">
        <f t="shared" ca="1" si="761"/>
        <v>DE000A0Q4R02:EUR:STU</v>
      </c>
      <c r="D80" s="368" t="str">
        <f t="shared" ca="1" si="762"/>
        <v>DE000A0Q4R02</v>
      </c>
      <c r="E80" s="369" t="str">
        <f t="shared" ca="1" si="762"/>
        <v>12981018</v>
      </c>
      <c r="F80" s="367" t="s">
        <v>416</v>
      </c>
      <c r="G80" s="414"/>
      <c r="H80" s="1713" t="str">
        <f t="shared" ca="1" si="763"/>
        <v></v>
      </c>
      <c r="I80" s="1683" t="str">
        <f t="shared" ca="1" si="837"/>
        <v>i</v>
      </c>
      <c r="J80" s="1713" t="str">
        <f t="shared" ca="1" si="838"/>
        <v></v>
      </c>
      <c r="K80" s="1716" t="str">
        <f t="shared" ca="1" si="838"/>
        <v></v>
      </c>
      <c r="L80" s="1717" t="str">
        <f t="shared" ca="1" si="766"/>
        <v></v>
      </c>
      <c r="M80" s="366" t="str">
        <f t="shared" ca="1" si="767"/>
        <v>Unit</v>
      </c>
      <c r="N80" s="1039">
        <v>2.5000000000000001E-2</v>
      </c>
      <c r="O80" s="1310" cm="1">
        <f t="array" aca="1" ref="O80" ca="1">SUM(IF($AF$14:$BQ$14="I_ctrlv",AF80:BQ80))</f>
        <v>102171.97899999999</v>
      </c>
      <c r="P80" s="418">
        <f t="shared" ca="1" si="877"/>
        <v>1.5599378540459162E-2</v>
      </c>
      <c r="Q80" s="391">
        <f t="array" aca="1" ref="Q80" ca="1">SUM(IF($AF$14:$BQ$14="I_pos",AF80:BQ80))</f>
        <v>2000</v>
      </c>
      <c r="R80" s="391">
        <f t="array" aca="1" ref="R80" ca="1">SUM(IF($AF$14:$BQ$14="P_Pos",AF80:BQ80))</f>
        <v>1205.2558933881905</v>
      </c>
      <c r="S80" s="1314"/>
      <c r="T80" s="391"/>
      <c r="U80" s="366"/>
      <c r="V80" s="391">
        <f t="array" aca="1" ref="V80" ca="1">SUM(IF($AF$14:$BQ$14="O_Pos",AF80:BQ80))</f>
        <v>350</v>
      </c>
      <c r="W80" s="1310"/>
      <c r="X80" s="1312">
        <f t="shared" ca="1" si="839"/>
        <v>0</v>
      </c>
      <c r="Y80" s="1312">
        <f t="shared" ca="1" si="839"/>
        <v>0</v>
      </c>
      <c r="Z80" s="1312">
        <f t="shared" ca="1" si="839"/>
        <v>0</v>
      </c>
      <c r="AA80" s="1313">
        <f t="shared" ca="1" si="839"/>
        <v>0</v>
      </c>
      <c r="AB80" s="367" t="str">
        <f t="shared" ca="1" si="840"/>
        <v>EUR</v>
      </c>
      <c r="AC80" s="392">
        <f t="shared" ca="1" si="813"/>
        <v>56.29</v>
      </c>
      <c r="AD80" s="393">
        <f t="shared" ca="1" si="841"/>
        <v>0</v>
      </c>
      <c r="AE80" s="378">
        <f t="shared" ref="AE80" ca="1" si="880">_xlfn.NUMBERVALUE(OFFSET(Origine,MATCH(AB80&amp;"/"&amp;MRif,LUKB_Name,0),MATCH("Price",Intestazioni,0)-1,1,1))</f>
        <v>0.90754999999999997</v>
      </c>
      <c r="AF80" s="214">
        <f>2000</f>
        <v>2000</v>
      </c>
      <c r="AG80" s="312">
        <f t="shared" ref="AG80" ca="1" si="881">IFERROR($AC80/AH80-1,"")</f>
        <v>0.20651591469295894</v>
      </c>
      <c r="AH80" s="1254">
        <v>46.655000000000001</v>
      </c>
      <c r="AI80" s="199">
        <f t="shared" ref="AI80" ca="1" si="882">AF80*$AC80</f>
        <v>112580</v>
      </c>
      <c r="AJ80" s="199">
        <f t="shared" ref="AJ80" ca="1" si="883">AI80*$AE80</f>
        <v>102171.97899999999</v>
      </c>
      <c r="AK80" s="216">
        <f t="shared" ref="AK80" ca="1" si="884">IFERROR(AJ80/AF$4,0)</f>
        <v>1.7488720757445196E-2</v>
      </c>
      <c r="AL80" s="202">
        <f t="shared" ref="AL80" ca="1" si="885">AM80/$AC80</f>
        <v>858.98555380125754</v>
      </c>
      <c r="AM80" s="203">
        <f t="shared" ref="AM80" ca="1" si="886">AN80/$AE80</f>
        <v>48352.296823472789</v>
      </c>
      <c r="AN80" s="203">
        <f t="shared" ref="AN80" ca="1" si="887">AO80*AF$4</f>
        <v>43882.126982142727</v>
      </c>
      <c r="AO80" s="204">
        <f t="shared" ref="AO80" ca="1" si="888">$N80-AK80</f>
        <v>7.5112792425548053E-3</v>
      </c>
      <c r="AP80" s="205"/>
      <c r="AQ80" s="206">
        <f t="shared" ref="AQ80" ca="1" si="889">AP80*$AC80</f>
        <v>0</v>
      </c>
      <c r="AR80" s="206">
        <f t="shared" ref="AR80" ca="1" si="890">AQ80*$AE80</f>
        <v>0</v>
      </c>
      <c r="AS80" s="207">
        <f t="shared" ref="AS80" ca="1" si="891">IFERROR(AR80/AF$4,0)</f>
        <v>0</v>
      </c>
      <c r="AT80" s="391">
        <f t="shared" ref="AT80" si="892">AF80+AP80</f>
        <v>2000</v>
      </c>
      <c r="AU80" s="391">
        <f t="shared" ref="AU80" ca="1" si="893">AI80+IF($T80="",AQ80)</f>
        <v>112580</v>
      </c>
      <c r="AV80" s="391">
        <f t="shared" ref="AV80" ca="1" si="894">AU80*$AE80</f>
        <v>102171.97899999999</v>
      </c>
      <c r="AW80" s="394">
        <f t="shared" ref="AW80" ca="1" si="895">IFERROR(AV80/AF$4,0)</f>
        <v>1.7488720757445196E-2</v>
      </c>
      <c r="AX80" s="1007" t="str">
        <f t="shared" ca="1" si="13"/>
        <v>V</v>
      </c>
      <c r="AY80" s="1255"/>
      <c r="AZ80" s="312" t="str">
        <f t="shared" ref="AZ80" ca="1" si="896">IFERROR($AC80/BA80-1,"")</f>
        <v/>
      </c>
      <c r="BA80" s="1254"/>
      <c r="BB80" s="199">
        <f t="shared" ref="BB80" ca="1" si="897">AY80*$AC80</f>
        <v>0</v>
      </c>
      <c r="BC80" s="199">
        <f t="shared" ref="BC80" ca="1" si="898">BB80*$AE80</f>
        <v>0</v>
      </c>
      <c r="BD80" s="216">
        <f t="shared" ref="BD80" ca="1" si="899">IFERROR(BC80/AY$4,0)</f>
        <v>0</v>
      </c>
      <c r="BE80" s="202">
        <f t="shared" ref="BE80" ca="1" si="900">BF80/$AC80</f>
        <v>346.27033958693295</v>
      </c>
      <c r="BF80" s="203">
        <f t="shared" ref="BF80" ca="1" si="901">BG80/$AE80</f>
        <v>19491.557415348456</v>
      </c>
      <c r="BG80" s="203">
        <f t="shared" ref="BG80" ca="1" si="902">BH80*AY$4</f>
        <v>17689.56293229949</v>
      </c>
      <c r="BH80" s="204">
        <f t="shared" ref="BH80" ca="1" si="903">$N80-BD80</f>
        <v>2.5000000000000001E-2</v>
      </c>
      <c r="BI80" s="1253">
        <v>350</v>
      </c>
      <c r="BJ80" s="206">
        <f t="shared" ref="BJ80" ca="1" si="904">BI80*$AC80</f>
        <v>19701.5</v>
      </c>
      <c r="BK80" s="206">
        <f t="shared" ref="BK80" ca="1" si="905">BJ80*$AE80</f>
        <v>17880.096324999999</v>
      </c>
      <c r="BL80" s="207">
        <f t="shared" ref="BL80" ca="1" si="906">IFERROR(BK80/AY$4,0)</f>
        <v>2.5269273742700295E-2</v>
      </c>
      <c r="BM80" s="391">
        <f t="shared" ref="BM80" si="907">AY80+BI80</f>
        <v>350</v>
      </c>
      <c r="BN80" s="391">
        <f t="shared" ref="BN80" ca="1" si="908">BB80+IF($T80="",BJ80)</f>
        <v>19701.5</v>
      </c>
      <c r="BO80" s="391">
        <f t="shared" ref="BO80" ca="1" si="909">BN80*$AE80</f>
        <v>17880.096324999999</v>
      </c>
      <c r="BP80" s="886">
        <f t="shared" ref="BP80:BP114" ca="1" si="910">IFERROR(BO80/AY$4,0)</f>
        <v>2.5269273742700295E-2</v>
      </c>
      <c r="BQ80" s="1007" t="str">
        <f t="shared" ca="1" si="876"/>
        <v>V</v>
      </c>
      <c r="BR80" s="1007"/>
    </row>
    <row r="81" spans="1:70" ht="13.5" hidden="1" customHeight="1" outlineLevel="1" x14ac:dyDescent="0.2">
      <c r="A81" s="367"/>
      <c r="B81" s="367"/>
      <c r="C81" s="367" t="str">
        <f t="shared" ca="1" si="761"/>
        <v>LU2049072007:CHF</v>
      </c>
      <c r="D81" s="368" t="str">
        <f t="shared" ca="1" si="762"/>
        <v>LU2049072007</v>
      </c>
      <c r="E81" s="369" t="str">
        <f t="shared" ca="1" si="762"/>
        <v>49729495</v>
      </c>
      <c r="F81" s="367" t="s">
        <v>892</v>
      </c>
      <c r="G81" s="414"/>
      <c r="H81" s="1713" t="str">
        <f t="shared" ca="1" si="763"/>
        <v></v>
      </c>
      <c r="I81" s="1683" t="str">
        <f t="shared" ref="I81" ca="1" si="911">HYPERLINK(OFFSET(Origine,MATCH($F81,Descrizioni,0),MATCH(I$14,Intestazioni,0)-1,1,1),"i")</f>
        <v>i</v>
      </c>
      <c r="J81" s="1713" t="str">
        <f t="shared" ref="J81:K81" ca="1" si="912">HYPERLINK(OFFSET(Origine,MATCH($F81,Descrizioni,0),MATCH(J$14,Intestazioni,0)-1,1,1),"")</f>
        <v></v>
      </c>
      <c r="K81" s="1716" t="str">
        <f t="shared" ca="1" si="912"/>
        <v></v>
      </c>
      <c r="L81" s="1717" t="str">
        <f t="shared" ca="1" si="766"/>
        <v></v>
      </c>
      <c r="M81" s="366" t="str">
        <f t="shared" ca="1" si="767"/>
        <v>Unit</v>
      </c>
      <c r="N81" s="1039"/>
      <c r="O81" s="1310" cm="1">
        <f t="array" aca="1" ref="O81" ca="1">SUM(IF($AF$14:$BQ$14="I_ctrlv",AF81:BQ81))</f>
        <v>26378.003429140001</v>
      </c>
      <c r="P81" s="418">
        <f t="shared" ca="1" si="877"/>
        <v>4.0273318052563584E-3</v>
      </c>
      <c r="Q81" s="391">
        <f t="array" aca="1" ref="Q81" ca="1">SUM(IF($AF$14:$BQ$14="I_pos",AF81:BQ81))</f>
        <v>200</v>
      </c>
      <c r="R81" s="391">
        <f t="array" aca="1" ref="R81" ca="1">SUM(IF($AF$14:$BQ$14="P_Pos",AF81:BQ81))</f>
        <v>-200</v>
      </c>
      <c r="S81" s="1314"/>
      <c r="T81" s="391"/>
      <c r="U81" s="366"/>
      <c r="V81" s="391">
        <f t="array" aca="1" ref="V81" ca="1">SUM(IF($AF$14:$BQ$14="O_Pos",AF81:BQ81))</f>
        <v>-200</v>
      </c>
      <c r="W81" s="1310"/>
      <c r="X81" s="1312">
        <f t="shared" ref="X81:AA81" ca="1" si="913">OFFSET(Origine,MATCH($F81,Descrizioni,0),MATCH(X$14,Intestazioni,0)-1,1,1)</f>
        <v>0.05</v>
      </c>
      <c r="Y81" s="1312">
        <f t="shared" ca="1" si="913"/>
        <v>0</v>
      </c>
      <c r="Z81" s="1312">
        <f t="shared" ca="1" si="913"/>
        <v>7.7999999999999996E-3</v>
      </c>
      <c r="AA81" s="1313">
        <f t="shared" ca="1" si="913"/>
        <v>0</v>
      </c>
      <c r="AB81" s="367" t="str">
        <f t="shared" ref="AB81" ca="1" si="914">OFFSET(Origine,MATCH($F81,Descrizioni,0),MATCH(AB$14,Intestazioni,0)-1,1,1)</f>
        <v>CHF</v>
      </c>
      <c r="AC81" s="392">
        <f t="shared" ref="AC81" ca="1" si="915">_xlfn.NUMBERVALUE(OFFSET(Origine,MATCH($F81,Descrizioni,0),MATCH(AC$14,Intestazioni,0)-1,1,1))</f>
        <v>131.88999999999999</v>
      </c>
      <c r="AD81" s="393">
        <f t="shared" ca="1" si="841"/>
        <v>0</v>
      </c>
      <c r="AE81" s="378">
        <f t="shared" ca="1" si="801"/>
        <v>1.0000001300000001</v>
      </c>
      <c r="AF81" s="214"/>
      <c r="AG81" s="312" t="str">
        <f t="shared" ca="1" si="802"/>
        <v/>
      </c>
      <c r="AH81" s="1254"/>
      <c r="AI81" s="199">
        <f t="shared" ca="1" si="814"/>
        <v>0</v>
      </c>
      <c r="AJ81" s="199">
        <f t="shared" ca="1" si="815"/>
        <v>0</v>
      </c>
      <c r="AK81" s="216">
        <f t="shared" ca="1" si="816"/>
        <v>0</v>
      </c>
      <c r="AL81" s="202">
        <f t="shared" ca="1" si="817"/>
        <v>0</v>
      </c>
      <c r="AM81" s="203">
        <f t="shared" ca="1" si="818"/>
        <v>0</v>
      </c>
      <c r="AN81" s="203">
        <f t="shared" ca="1" si="819"/>
        <v>0</v>
      </c>
      <c r="AO81" s="204">
        <f t="shared" ca="1" si="820"/>
        <v>0</v>
      </c>
      <c r="AP81" s="205"/>
      <c r="AQ81" s="206">
        <f t="shared" ca="1" si="821"/>
        <v>0</v>
      </c>
      <c r="AR81" s="206">
        <f t="shared" ca="1" si="822"/>
        <v>0</v>
      </c>
      <c r="AS81" s="207">
        <f t="shared" ca="1" si="823"/>
        <v>0</v>
      </c>
      <c r="AT81" s="391">
        <f t="shared" si="803"/>
        <v>0</v>
      </c>
      <c r="AU81" s="391">
        <f t="shared" ca="1" si="804"/>
        <v>0</v>
      </c>
      <c r="AV81" s="391">
        <f t="shared" ca="1" si="824"/>
        <v>0</v>
      </c>
      <c r="AW81" s="394">
        <f t="shared" ca="1" si="825"/>
        <v>0</v>
      </c>
      <c r="AX81" s="1007" t="str">
        <f t="shared" ca="1" si="13"/>
        <v/>
      </c>
      <c r="AY81" s="1255">
        <v>200</v>
      </c>
      <c r="AZ81" s="312">
        <f t="shared" ca="1" si="805"/>
        <v>0.62867575781150609</v>
      </c>
      <c r="BA81" s="1254">
        <v>80.979900000000001</v>
      </c>
      <c r="BB81" s="199">
        <f t="shared" ca="1" si="826"/>
        <v>26377.999999999996</v>
      </c>
      <c r="BC81" s="199">
        <f t="shared" ca="1" si="827"/>
        <v>26378.003429140001</v>
      </c>
      <c r="BD81" s="216">
        <f t="shared" ca="1" si="828"/>
        <v>3.72790491349227E-2</v>
      </c>
      <c r="BE81" s="202">
        <f t="shared" ca="1" si="829"/>
        <v>-200</v>
      </c>
      <c r="BF81" s="203">
        <f t="shared" ca="1" si="830"/>
        <v>-26377.999999999996</v>
      </c>
      <c r="BG81" s="203">
        <f t="shared" ca="1" si="831"/>
        <v>-26378.003429140001</v>
      </c>
      <c r="BH81" s="204">
        <f t="shared" ca="1" si="832"/>
        <v>-3.72790491349227E-2</v>
      </c>
      <c r="BI81" s="1253">
        <v>-200</v>
      </c>
      <c r="BJ81" s="206">
        <f t="shared" ca="1" si="833"/>
        <v>-26377.999999999996</v>
      </c>
      <c r="BK81" s="206">
        <f t="shared" ca="1" si="834"/>
        <v>-26378.003429140001</v>
      </c>
      <c r="BL81" s="207">
        <f t="shared" ca="1" si="835"/>
        <v>-3.72790491349227E-2</v>
      </c>
      <c r="BM81" s="391">
        <f t="shared" si="806"/>
        <v>0</v>
      </c>
      <c r="BN81" s="391">
        <f t="shared" ca="1" si="807"/>
        <v>0</v>
      </c>
      <c r="BO81" s="391">
        <f t="shared" ca="1" si="836"/>
        <v>0</v>
      </c>
      <c r="BP81" s="886">
        <f t="shared" ca="1" si="910"/>
        <v>0</v>
      </c>
      <c r="BQ81" s="1007" t="str">
        <f t="shared" ref="BQ81:BQ114" ca="1" si="916">IF(SUM(BD81,BL81,BP81)&lt;&gt;0,"V","")</f>
        <v/>
      </c>
      <c r="BR81" s="1007"/>
    </row>
    <row r="82" spans="1:70" ht="13.5" hidden="1" customHeight="1" outlineLevel="1" x14ac:dyDescent="0.2">
      <c r="A82" s="367"/>
      <c r="B82" s="367"/>
      <c r="C82" s="367" t="str">
        <f t="shared" ca="1" si="761"/>
        <v>LU0446734104:EUR</v>
      </c>
      <c r="D82" s="368" t="str">
        <f t="shared" ca="1" si="762"/>
        <v>LU0446734104</v>
      </c>
      <c r="E82" s="369" t="str">
        <f t="shared" ca="1" si="762"/>
        <v>10461006</v>
      </c>
      <c r="F82" s="367" t="s">
        <v>755</v>
      </c>
      <c r="G82" s="414"/>
      <c r="H82" s="1713" t="str">
        <f t="shared" ca="1" si="763"/>
        <v></v>
      </c>
      <c r="I82" s="1683" t="str">
        <f t="shared" ref="I82" ca="1" si="917">HYPERLINK(OFFSET(Origine,MATCH($F82,Descrizioni,0),MATCH(I$14,Intestazioni,0)-1,1,1),"i")</f>
        <v>i</v>
      </c>
      <c r="J82" s="1713" t="str">
        <f t="shared" ref="J82:K82" ca="1" si="918">HYPERLINK(OFFSET(Origine,MATCH($F82,Descrizioni,0),MATCH(J$14,Intestazioni,0)-1,1,1),"")</f>
        <v></v>
      </c>
      <c r="K82" s="1716" t="str">
        <f t="shared" ca="1" si="918"/>
        <v></v>
      </c>
      <c r="L82" s="1717" t="str">
        <f t="shared" ca="1" si="766"/>
        <v></v>
      </c>
      <c r="M82" s="366" t="str">
        <f t="shared" ca="1" si="767"/>
        <v>Unit</v>
      </c>
      <c r="N82" s="1039"/>
      <c r="O82" s="1310" cm="1">
        <f t="array" aca="1" ref="O82" ca="1">SUM(IF($AF$14:$BQ$14="I_ctrlv",AF82:BQ82))</f>
        <v>0</v>
      </c>
      <c r="P82" s="418">
        <f t="shared" ca="1" si="877"/>
        <v>0</v>
      </c>
      <c r="Q82" s="391">
        <f t="array" aca="1" ref="Q82" ca="1">SUM(IF($AF$14:$BQ$14="I_pos",AF82:BQ82))</f>
        <v>0</v>
      </c>
      <c r="R82" s="391">
        <f t="array" aca="1" ref="R82" ca="1">SUM(IF($AF$14:$BQ$14="P_Pos",AF82:BQ82))</f>
        <v>0</v>
      </c>
      <c r="S82" s="1314"/>
      <c r="T82" s="391"/>
      <c r="U82" s="366"/>
      <c r="V82" s="391">
        <f t="array" aca="1" ref="V82" ca="1">SUM(IF($AF$14:$BQ$14="O_Pos",AF82:BQ82))</f>
        <v>0</v>
      </c>
      <c r="W82" s="1310"/>
      <c r="X82" s="1312">
        <f t="shared" ref="X82:AA82" ca="1" si="919">OFFSET(Origine,MATCH($F82,Descrizioni,0),MATCH(X$14,Intestazioni,0)-1,1,1)</f>
        <v>0</v>
      </c>
      <c r="Y82" s="1312">
        <f t="shared" ca="1" si="919"/>
        <v>0</v>
      </c>
      <c r="Z82" s="1312">
        <f t="shared" ca="1" si="919"/>
        <v>0</v>
      </c>
      <c r="AA82" s="1313">
        <f t="shared" ca="1" si="919"/>
        <v>0</v>
      </c>
      <c r="AB82" s="367" t="str">
        <f t="shared" ref="AB82" ca="1" si="920">OFFSET(Origine,MATCH($F82,Descrizioni,0),MATCH(AB$14,Intestazioni,0)-1,1,1)</f>
        <v>EUR</v>
      </c>
      <c r="AC82" s="392">
        <f t="shared" ref="AC82" ca="1" si="921">_xlfn.NUMBERVALUE(OFFSET(Origine,MATCH($F82,Descrizioni,0),MATCH(AC$14,Intestazioni,0)-1,1,1))</f>
        <v>98.48</v>
      </c>
      <c r="AD82" s="393">
        <f t="shared" ca="1" si="841"/>
        <v>0</v>
      </c>
      <c r="AE82" s="378">
        <f t="shared" ca="1" si="801"/>
        <v>0.90754999999999997</v>
      </c>
      <c r="AF82" s="214"/>
      <c r="AG82" s="312" t="str">
        <f t="shared" ca="1" si="802"/>
        <v/>
      </c>
      <c r="AH82" s="1254"/>
      <c r="AI82" s="199">
        <f t="shared" ca="1" si="814"/>
        <v>0</v>
      </c>
      <c r="AJ82" s="199">
        <f t="shared" ca="1" si="815"/>
        <v>0</v>
      </c>
      <c r="AK82" s="216">
        <f t="shared" ca="1" si="816"/>
        <v>0</v>
      </c>
      <c r="AL82" s="202">
        <f t="shared" ca="1" si="817"/>
        <v>0</v>
      </c>
      <c r="AM82" s="203">
        <f t="shared" ca="1" si="818"/>
        <v>0</v>
      </c>
      <c r="AN82" s="203">
        <f t="shared" ca="1" si="819"/>
        <v>0</v>
      </c>
      <c r="AO82" s="204">
        <f t="shared" ca="1" si="820"/>
        <v>0</v>
      </c>
      <c r="AP82" s="205"/>
      <c r="AQ82" s="206">
        <f t="shared" ca="1" si="821"/>
        <v>0</v>
      </c>
      <c r="AR82" s="206">
        <f t="shared" ca="1" si="822"/>
        <v>0</v>
      </c>
      <c r="AS82" s="207">
        <f t="shared" ca="1" si="823"/>
        <v>0</v>
      </c>
      <c r="AT82" s="391">
        <f t="shared" si="803"/>
        <v>0</v>
      </c>
      <c r="AU82" s="391">
        <f t="shared" ca="1" si="804"/>
        <v>0</v>
      </c>
      <c r="AV82" s="391">
        <f t="shared" ca="1" si="824"/>
        <v>0</v>
      </c>
      <c r="AW82" s="394">
        <f t="shared" ca="1" si="825"/>
        <v>0</v>
      </c>
      <c r="AX82" s="1007" t="str">
        <f t="shared" ca="1" si="13"/>
        <v/>
      </c>
      <c r="AY82" s="1255"/>
      <c r="AZ82" s="312" t="str">
        <f t="shared" ca="1" si="805"/>
        <v/>
      </c>
      <c r="BA82" s="1254"/>
      <c r="BB82" s="199">
        <f t="shared" ca="1" si="826"/>
        <v>0</v>
      </c>
      <c r="BC82" s="199">
        <f t="shared" ca="1" si="827"/>
        <v>0</v>
      </c>
      <c r="BD82" s="216">
        <f t="shared" ca="1" si="828"/>
        <v>0</v>
      </c>
      <c r="BE82" s="202">
        <f t="shared" ca="1" si="829"/>
        <v>0</v>
      </c>
      <c r="BF82" s="203">
        <f t="shared" ca="1" si="830"/>
        <v>0</v>
      </c>
      <c r="BG82" s="203">
        <f t="shared" ca="1" si="831"/>
        <v>0</v>
      </c>
      <c r="BH82" s="204">
        <f t="shared" ca="1" si="832"/>
        <v>0</v>
      </c>
      <c r="BI82" s="1253"/>
      <c r="BJ82" s="206">
        <f t="shared" ca="1" si="833"/>
        <v>0</v>
      </c>
      <c r="BK82" s="206">
        <f t="shared" ca="1" si="834"/>
        <v>0</v>
      </c>
      <c r="BL82" s="207">
        <f t="shared" ca="1" si="835"/>
        <v>0</v>
      </c>
      <c r="BM82" s="391">
        <f t="shared" si="806"/>
        <v>0</v>
      </c>
      <c r="BN82" s="391">
        <f t="shared" ca="1" si="807"/>
        <v>0</v>
      </c>
      <c r="BO82" s="391">
        <f t="shared" ca="1" si="836"/>
        <v>0</v>
      </c>
      <c r="BP82" s="886">
        <f t="shared" ca="1" si="910"/>
        <v>0</v>
      </c>
      <c r="BQ82" s="1007" t="str">
        <f t="shared" ca="1" si="916"/>
        <v/>
      </c>
      <c r="BR82" s="1007"/>
    </row>
    <row r="83" spans="1:70" ht="13.5" hidden="1" customHeight="1" outlineLevel="1" x14ac:dyDescent="0.2">
      <c r="A83" s="367"/>
      <c r="B83" s="367"/>
      <c r="C83" s="367" t="str">
        <f t="shared" ca="1" si="761"/>
        <v>IE0008470928:EUR:P</v>
      </c>
      <c r="D83" s="368" t="str">
        <f t="shared" ca="1" si="762"/>
        <v>IE0008470928</v>
      </c>
      <c r="E83" s="369" t="str">
        <f t="shared" ca="1" si="762"/>
        <v>1065255</v>
      </c>
      <c r="F83" s="367" t="s">
        <v>756</v>
      </c>
      <c r="G83" s="414"/>
      <c r="H83" s="1713" t="str">
        <f t="shared" ca="1" si="763"/>
        <v></v>
      </c>
      <c r="I83" s="1683" t="str">
        <f t="shared" ref="I83" ca="1" si="922">HYPERLINK(OFFSET(Origine,MATCH($F83,Descrizioni,0),MATCH(I$14,Intestazioni,0)-1,1,1),"i")</f>
        <v>i</v>
      </c>
      <c r="J83" s="1713" t="str">
        <f t="shared" ref="J83:K83" ca="1" si="923">HYPERLINK(OFFSET(Origine,MATCH($F83,Descrizioni,0),MATCH(J$14,Intestazioni,0)-1,1,1),"")</f>
        <v></v>
      </c>
      <c r="K83" s="1716" t="str">
        <f t="shared" ca="1" si="923"/>
        <v></v>
      </c>
      <c r="L83" s="1717" t="str">
        <f t="shared" ca="1" si="766"/>
        <v></v>
      </c>
      <c r="M83" s="366" t="str">
        <f t="shared" ca="1" si="767"/>
        <v>Unit</v>
      </c>
      <c r="N83" s="1039"/>
      <c r="O83" s="1310" cm="1">
        <f t="array" aca="1" ref="O83" ca="1">SUM(IF($AF$14:$BQ$14="I_ctrlv",AF83:BQ83))</f>
        <v>0</v>
      </c>
      <c r="P83" s="418">
        <f t="shared" ca="1" si="877"/>
        <v>0</v>
      </c>
      <c r="Q83" s="391">
        <f t="array" aca="1" ref="Q83" ca="1">SUM(IF($AF$14:$BQ$14="I_pos",AF83:BQ83))</f>
        <v>0</v>
      </c>
      <c r="R83" s="391">
        <f t="array" aca="1" ref="R83" ca="1">SUM(IF($AF$14:$BQ$14="P_Pos",AF83:BQ83))</f>
        <v>0</v>
      </c>
      <c r="S83" s="1314"/>
      <c r="T83" s="391"/>
      <c r="U83" s="366"/>
      <c r="V83" s="391">
        <f t="array" aca="1" ref="V83" ca="1">SUM(IF($AF$14:$BQ$14="O_Pos",AF83:BQ83))</f>
        <v>0</v>
      </c>
      <c r="W83" s="1310"/>
      <c r="X83" s="1312">
        <f t="shared" ref="X83:AA83" ca="1" si="924">OFFSET(Origine,MATCH($F83,Descrizioni,0),MATCH(X$14,Intestazioni,0)-1,1,1)</f>
        <v>0</v>
      </c>
      <c r="Y83" s="1312">
        <f t="shared" ca="1" si="924"/>
        <v>0</v>
      </c>
      <c r="Z83" s="1312">
        <f t="shared" ca="1" si="924"/>
        <v>0</v>
      </c>
      <c r="AA83" s="1313">
        <f t="shared" ca="1" si="924"/>
        <v>0</v>
      </c>
      <c r="AB83" s="367" t="str">
        <f t="shared" ref="AB83" ca="1" si="925">OFFSET(Origine,MATCH($F83,Descrizioni,0),MATCH(AB$14,Intestazioni,0)-1,1,1)</f>
        <v>EUR</v>
      </c>
      <c r="AC83" s="392">
        <f t="shared" ref="AC83" ca="1" si="926">_xlfn.NUMBERVALUE(OFFSET(Origine,MATCH($F83,Descrizioni,0),MATCH(AC$14,Intestazioni,0)-1,1,1))</f>
        <v>52.9</v>
      </c>
      <c r="AD83" s="393">
        <f t="shared" ca="1" si="841"/>
        <v>0</v>
      </c>
      <c r="AE83" s="378">
        <f t="shared" ca="1" si="801"/>
        <v>0.90754999999999997</v>
      </c>
      <c r="AF83" s="214"/>
      <c r="AG83" s="312" t="str">
        <f t="shared" ca="1" si="802"/>
        <v/>
      </c>
      <c r="AH83" s="1254"/>
      <c r="AI83" s="199">
        <f t="shared" ca="1" si="814"/>
        <v>0</v>
      </c>
      <c r="AJ83" s="199">
        <f t="shared" ca="1" si="815"/>
        <v>0</v>
      </c>
      <c r="AK83" s="216">
        <f t="shared" ca="1" si="816"/>
        <v>0</v>
      </c>
      <c r="AL83" s="202">
        <f ca="1">AM83/$AC83</f>
        <v>0</v>
      </c>
      <c r="AM83" s="203">
        <f ca="1">AN83/$AE83</f>
        <v>0</v>
      </c>
      <c r="AN83" s="203">
        <f t="shared" ca="1" si="819"/>
        <v>0</v>
      </c>
      <c r="AO83" s="204">
        <f ca="1">$N83-AK83</f>
        <v>0</v>
      </c>
      <c r="AP83" s="205"/>
      <c r="AQ83" s="206">
        <f t="shared" ca="1" si="821"/>
        <v>0</v>
      </c>
      <c r="AR83" s="206">
        <f t="shared" ca="1" si="822"/>
        <v>0</v>
      </c>
      <c r="AS83" s="207">
        <f t="shared" ca="1" si="823"/>
        <v>0</v>
      </c>
      <c r="AT83" s="391">
        <f t="shared" si="803"/>
        <v>0</v>
      </c>
      <c r="AU83" s="391">
        <f t="shared" ca="1" si="804"/>
        <v>0</v>
      </c>
      <c r="AV83" s="391">
        <f t="shared" ca="1" si="824"/>
        <v>0</v>
      </c>
      <c r="AW83" s="394">
        <f t="shared" ca="1" si="825"/>
        <v>0</v>
      </c>
      <c r="AX83" s="1007" t="str">
        <f t="shared" ca="1" si="13"/>
        <v/>
      </c>
      <c r="AY83" s="1255"/>
      <c r="AZ83" s="312" t="str">
        <f t="shared" ca="1" si="805"/>
        <v/>
      </c>
      <c r="BA83" s="1254"/>
      <c r="BB83" s="199">
        <f t="shared" ca="1" si="826"/>
        <v>0</v>
      </c>
      <c r="BC83" s="199">
        <f t="shared" ca="1" si="827"/>
        <v>0</v>
      </c>
      <c r="BD83" s="216">
        <f t="shared" ca="1" si="828"/>
        <v>0</v>
      </c>
      <c r="BE83" s="202">
        <f ca="1">BF83/$AC83</f>
        <v>0</v>
      </c>
      <c r="BF83" s="203">
        <f ca="1">BG83/$AE83</f>
        <v>0</v>
      </c>
      <c r="BG83" s="203">
        <f t="shared" ca="1" si="831"/>
        <v>0</v>
      </c>
      <c r="BH83" s="204">
        <f ca="1">$N83-BD83</f>
        <v>0</v>
      </c>
      <c r="BI83" s="1253"/>
      <c r="BJ83" s="206">
        <f t="shared" ca="1" si="833"/>
        <v>0</v>
      </c>
      <c r="BK83" s="206">
        <f t="shared" ca="1" si="834"/>
        <v>0</v>
      </c>
      <c r="BL83" s="207">
        <f t="shared" ca="1" si="835"/>
        <v>0</v>
      </c>
      <c r="BM83" s="391">
        <f t="shared" si="806"/>
        <v>0</v>
      </c>
      <c r="BN83" s="391">
        <f t="shared" ca="1" si="807"/>
        <v>0</v>
      </c>
      <c r="BO83" s="391">
        <f t="shared" ca="1" si="836"/>
        <v>0</v>
      </c>
      <c r="BP83" s="886">
        <f t="shared" ca="1" si="910"/>
        <v>0</v>
      </c>
      <c r="BQ83" s="1007" t="str">
        <f t="shared" ca="1" si="916"/>
        <v/>
      </c>
      <c r="BR83" s="1007"/>
    </row>
    <row r="84" spans="1:70" ht="13.5" hidden="1" customHeight="1" outlineLevel="1" x14ac:dyDescent="0.2">
      <c r="A84" s="367"/>
      <c r="B84" s="367"/>
      <c r="C84" s="367" t="str">
        <f t="shared" ca="1" si="761"/>
        <v>IE00BWK1SP74:CHF</v>
      </c>
      <c r="D84" s="368" t="str">
        <f t="shared" ca="1" si="762"/>
        <v>IE00BWK1SP74</v>
      </c>
      <c r="E84" s="369" t="str">
        <f t="shared" ca="1" si="762"/>
        <v>27741453</v>
      </c>
      <c r="F84" s="367" t="s">
        <v>757</v>
      </c>
      <c r="G84" s="414"/>
      <c r="H84" s="1713" t="str">
        <f t="shared" ca="1" si="763"/>
        <v></v>
      </c>
      <c r="I84" s="1683" t="str">
        <f t="shared" ref="I84" ca="1" si="927">HYPERLINK(OFFSET(Origine,MATCH($F84,Descrizioni,0),MATCH(I$14,Intestazioni,0)-1,1,1),"i")</f>
        <v>i</v>
      </c>
      <c r="J84" s="1713" t="str">
        <f t="shared" ref="J84:K84" ca="1" si="928">HYPERLINK(OFFSET(Origine,MATCH($F84,Descrizioni,0),MATCH(J$14,Intestazioni,0)-1,1,1),"")</f>
        <v></v>
      </c>
      <c r="K84" s="1716" t="str">
        <f t="shared" ca="1" si="928"/>
        <v></v>
      </c>
      <c r="L84" s="1717" t="str">
        <f t="shared" ca="1" si="766"/>
        <v></v>
      </c>
      <c r="M84" s="366" t="str">
        <f t="shared" ca="1" si="767"/>
        <v>Unit</v>
      </c>
      <c r="N84" s="1039">
        <v>2.5000000000000001E-2</v>
      </c>
      <c r="O84" s="1310" cm="1">
        <f t="array" aca="1" ref="O84" ca="1">SUM(IF($AF$14:$BQ$14="I_ctrlv",AF84:BQ84))</f>
        <v>93500.012155000004</v>
      </c>
      <c r="P84" s="418">
        <f t="shared" ca="1" si="877"/>
        <v>1.427536294607133E-2</v>
      </c>
      <c r="Q84" s="391">
        <f t="array" aca="1" ref="Q84" ca="1">SUM(IF($AF$14:$BQ$14="I_pos",AF84:BQ84))</f>
        <v>10000</v>
      </c>
      <c r="R84" s="391">
        <f t="array" aca="1" ref="R84" ca="1">SUM(IF($AF$14:$BQ$14="P_Pos",AF84:BQ84))</f>
        <v>7512.6895858575408</v>
      </c>
      <c r="S84" s="1314"/>
      <c r="T84" s="391"/>
      <c r="U84" s="366"/>
      <c r="V84" s="391">
        <f t="array" aca="1" ref="V84" ca="1">SUM(IF($AF$14:$BQ$14="O_Pos",AF84:BQ84))</f>
        <v>0</v>
      </c>
      <c r="W84" s="1310"/>
      <c r="X84" s="1312">
        <f t="shared" ref="X84:AA84" ca="1" si="929">OFFSET(Origine,MATCH($F84,Descrizioni,0),MATCH(X$14,Intestazioni,0)-1,1,1)</f>
        <v>0</v>
      </c>
      <c r="Y84" s="1312">
        <f t="shared" ca="1" si="929"/>
        <v>0</v>
      </c>
      <c r="Z84" s="1312">
        <f t="shared" ca="1" si="929"/>
        <v>0</v>
      </c>
      <c r="AA84" s="1313">
        <f t="shared" ca="1" si="929"/>
        <v>0</v>
      </c>
      <c r="AB84" s="367" t="str">
        <f t="shared" ref="AB84" ca="1" si="930">OFFSET(Origine,MATCH($F84,Descrizioni,0),MATCH(AB$14,Intestazioni,0)-1,1,1)</f>
        <v>CHF</v>
      </c>
      <c r="AC84" s="392">
        <f t="shared" ref="AC84" ca="1" si="931">_xlfn.NUMBERVALUE(OFFSET(Origine,MATCH($F84,Descrizioni,0),MATCH(AC$14,Intestazioni,0)-1,1,1))</f>
        <v>9.35</v>
      </c>
      <c r="AD84" s="393">
        <f t="shared" ca="1" si="841"/>
        <v>0</v>
      </c>
      <c r="AE84" s="378">
        <f t="shared" ca="1" si="801"/>
        <v>1.0000001300000001</v>
      </c>
      <c r="AF84" s="214">
        <f>10000</f>
        <v>10000</v>
      </c>
      <c r="AG84" s="312">
        <f t="shared" ca="1" si="802"/>
        <v>-2.9398330772744341E-2</v>
      </c>
      <c r="AH84" s="1254">
        <v>9.6332000000000004</v>
      </c>
      <c r="AI84" s="199">
        <f t="shared" ca="1" si="814"/>
        <v>93500</v>
      </c>
      <c r="AJ84" s="199">
        <f t="shared" ca="1" si="815"/>
        <v>93500.012155000004</v>
      </c>
      <c r="AK84" s="216">
        <f t="shared" ca="1" si="816"/>
        <v>1.6004345021021143E-2</v>
      </c>
      <c r="AL84" s="202">
        <f ca="1">AM84/$AC84</f>
        <v>5620.7579673915934</v>
      </c>
      <c r="AM84" s="203">
        <f t="shared" ref="AM84" ca="1" si="932">AN84/$AE84</f>
        <v>52554.0869951114</v>
      </c>
      <c r="AN84" s="203">
        <f t="shared" ca="1" si="819"/>
        <v>52554.093827142715</v>
      </c>
      <c r="AO84" s="204">
        <f t="shared" ref="AO84" ca="1" si="933">$N84-AK84</f>
        <v>8.9956549789788585E-3</v>
      </c>
      <c r="AP84" s="205"/>
      <c r="AQ84" s="206">
        <f t="shared" ca="1" si="821"/>
        <v>0</v>
      </c>
      <c r="AR84" s="206">
        <f t="shared" ca="1" si="822"/>
        <v>0</v>
      </c>
      <c r="AS84" s="207">
        <f t="shared" ca="1" si="823"/>
        <v>0</v>
      </c>
      <c r="AT84" s="391">
        <f t="shared" si="803"/>
        <v>10000</v>
      </c>
      <c r="AU84" s="391">
        <f t="shared" ca="1" si="804"/>
        <v>93500</v>
      </c>
      <c r="AV84" s="391">
        <f t="shared" ca="1" si="824"/>
        <v>93500.012155000004</v>
      </c>
      <c r="AW84" s="394">
        <f t="shared" ca="1" si="825"/>
        <v>1.6004345021021143E-2</v>
      </c>
      <c r="AX84" s="1007" t="str">
        <f t="shared" ca="1" si="13"/>
        <v>V</v>
      </c>
      <c r="AY84" s="1255"/>
      <c r="AZ84" s="312" t="str">
        <f t="shared" ca="1" si="805"/>
        <v/>
      </c>
      <c r="BA84" s="1254"/>
      <c r="BB84" s="199">
        <f t="shared" ca="1" si="826"/>
        <v>0</v>
      </c>
      <c r="BC84" s="199">
        <f t="shared" ca="1" si="827"/>
        <v>0</v>
      </c>
      <c r="BD84" s="216">
        <f t="shared" ca="1" si="828"/>
        <v>0</v>
      </c>
      <c r="BE84" s="202">
        <f ca="1">BF84/$AC84</f>
        <v>1891.9316184659472</v>
      </c>
      <c r="BF84" s="203">
        <f t="shared" ref="BF84" ca="1" si="934">BG84/$AE84</f>
        <v>17689.560632656605</v>
      </c>
      <c r="BG84" s="203">
        <f t="shared" ca="1" si="831"/>
        <v>17689.56293229949</v>
      </c>
      <c r="BH84" s="204">
        <f t="shared" ref="BH84" ca="1" si="935">$N84-BD84</f>
        <v>2.5000000000000001E-2</v>
      </c>
      <c r="BI84" s="1253"/>
      <c r="BJ84" s="206">
        <f t="shared" ca="1" si="833"/>
        <v>0</v>
      </c>
      <c r="BK84" s="206">
        <f t="shared" ca="1" si="834"/>
        <v>0</v>
      </c>
      <c r="BL84" s="207">
        <f t="shared" ca="1" si="835"/>
        <v>0</v>
      </c>
      <c r="BM84" s="391">
        <f t="shared" si="806"/>
        <v>0</v>
      </c>
      <c r="BN84" s="391">
        <f t="shared" ca="1" si="807"/>
        <v>0</v>
      </c>
      <c r="BO84" s="391">
        <f t="shared" ca="1" si="836"/>
        <v>0</v>
      </c>
      <c r="BP84" s="886">
        <f t="shared" ca="1" si="910"/>
        <v>0</v>
      </c>
      <c r="BQ84" s="1007" t="str">
        <f t="shared" ca="1" si="916"/>
        <v/>
      </c>
      <c r="BR84" s="1007"/>
    </row>
    <row r="85" spans="1:70" ht="13.5" customHeight="1" collapsed="1" x14ac:dyDescent="0.2">
      <c r="A85" s="346"/>
      <c r="B85" s="346" t="s">
        <v>603</v>
      </c>
      <c r="C85" s="346"/>
      <c r="D85" s="347"/>
      <c r="E85" s="348"/>
      <c r="F85" s="346"/>
      <c r="G85" s="349"/>
      <c r="H85" s="1682"/>
      <c r="I85" s="1682"/>
      <c r="J85" s="1682"/>
      <c r="K85" s="1682"/>
      <c r="L85" s="1682"/>
      <c r="M85" s="345"/>
      <c r="N85" s="1036">
        <v>1.4999999999999999E-2</v>
      </c>
      <c r="O85" s="1315" cm="1">
        <f t="array" aca="1" ref="O85" ca="1">SUM(IF($AF$14:$BQ$14="I_ctrlv",AF85:BQ85))</f>
        <v>0</v>
      </c>
      <c r="P85" s="351">
        <f t="shared" ca="1" si="877"/>
        <v>0</v>
      </c>
      <c r="Q85" s="421"/>
      <c r="R85" s="421"/>
      <c r="S85" s="1035"/>
      <c r="T85" s="421"/>
      <c r="U85" s="345"/>
      <c r="V85" s="422">
        <f ca="1">COUNTIF(V86:V88,"&lt;&gt;0")</f>
        <v>0</v>
      </c>
      <c r="W85" s="1303"/>
      <c r="X85" s="1304"/>
      <c r="Y85" s="1304"/>
      <c r="Z85" s="1304"/>
      <c r="AA85" s="1305"/>
      <c r="AB85" s="346"/>
      <c r="AC85" s="355"/>
      <c r="AD85" s="1306"/>
      <c r="AE85" s="356"/>
      <c r="AF85" s="357"/>
      <c r="AG85" s="359"/>
      <c r="AH85" s="875"/>
      <c r="AI85" s="359"/>
      <c r="AJ85" s="360">
        <f ca="1">SUM(AJ$86:AJ$88)</f>
        <v>0</v>
      </c>
      <c r="AK85" s="361">
        <f t="shared" ca="1" si="816"/>
        <v>0</v>
      </c>
      <c r="AL85" s="362"/>
      <c r="AM85" s="359"/>
      <c r="AN85" s="360">
        <f ca="1">SUM(AN$86:AN$88)</f>
        <v>0</v>
      </c>
      <c r="AO85" s="363">
        <f ca="1">IFERROR(AN85/AF$4,0)</f>
        <v>0</v>
      </c>
      <c r="AP85" s="362"/>
      <c r="AQ85" s="359"/>
      <c r="AR85" s="360">
        <f ca="1">SUM(AR$86:AR$88)</f>
        <v>0</v>
      </c>
      <c r="AS85" s="363">
        <f t="shared" ca="1" si="823"/>
        <v>0</v>
      </c>
      <c r="AT85" s="359"/>
      <c r="AU85" s="359"/>
      <c r="AV85" s="360">
        <f ca="1">SUM(AV$86:AV$88)</f>
        <v>0</v>
      </c>
      <c r="AW85" s="361">
        <f t="shared" ca="1" si="825"/>
        <v>0</v>
      </c>
      <c r="AX85" s="1007" t="str">
        <f t="shared" ref="AX85:AX149" ca="1" si="936">IF(OR(AK85&lt;&gt;0,AS85&lt;&gt;0),"V","")</f>
        <v/>
      </c>
      <c r="AY85" s="1307"/>
      <c r="AZ85" s="359"/>
      <c r="BA85" s="875"/>
      <c r="BB85" s="359"/>
      <c r="BC85" s="360">
        <f ca="1">SUM(BC$86:BC$88)</f>
        <v>0</v>
      </c>
      <c r="BD85" s="361">
        <f t="shared" ca="1" si="828"/>
        <v>0</v>
      </c>
      <c r="BE85" s="362"/>
      <c r="BF85" s="359"/>
      <c r="BG85" s="360">
        <f ca="1">SUM(BG$86:BG$88)</f>
        <v>0</v>
      </c>
      <c r="BH85" s="363">
        <f ca="1">IFERROR(BG85/AY$4,0)</f>
        <v>0</v>
      </c>
      <c r="BI85" s="1308"/>
      <c r="BJ85" s="359"/>
      <c r="BK85" s="360">
        <f ca="1">SUM(BK$86:BK$88)</f>
        <v>0</v>
      </c>
      <c r="BL85" s="363">
        <f t="shared" ca="1" si="835"/>
        <v>0</v>
      </c>
      <c r="BM85" s="360"/>
      <c r="BN85" s="359"/>
      <c r="BO85" s="360">
        <f ca="1">SUM(BO$86:BO$88)</f>
        <v>0</v>
      </c>
      <c r="BP85" s="876">
        <f t="shared" ca="1" si="910"/>
        <v>0</v>
      </c>
      <c r="BQ85" s="1007" t="str">
        <f t="shared" ca="1" si="916"/>
        <v/>
      </c>
      <c r="BR85" s="1007"/>
    </row>
    <row r="86" spans="1:70" ht="13.5" hidden="1" customHeight="1" outlineLevel="1" x14ac:dyDescent="0.2">
      <c r="A86" s="367"/>
      <c r="B86" s="367"/>
      <c r="C86" s="367" t="str">
        <f t="shared" ref="C86:C88" ca="1" si="937">OFFSET(Origine,MATCH($F86,Descrizioni,0),MATCH(C$14,Intestazioni,0)-1,1,1)</f>
        <v>LU1681044647:EUR</v>
      </c>
      <c r="D86" s="368" t="str">
        <f t="shared" ref="D86:E88" ca="1" si="938">OFFSET(Origine,MATCH($F86,Descrizioni,0),MATCH(D$14,Intestazioni,0)-1,1,1)</f>
        <v>LU1681044647</v>
      </c>
      <c r="E86" s="369" t="str">
        <f t="shared" ca="1" si="938"/>
        <v>38784749</v>
      </c>
      <c r="F86" s="367" t="s">
        <v>759</v>
      </c>
      <c r="G86" s="414"/>
      <c r="H86" s="1713" t="str">
        <f ca="1">HYPERLINK(OFFSET(Origine,MATCH($F86,Descrizioni,0),MATCH(H$14,Intestazioni,0)-1,1,1),"")</f>
        <v></v>
      </c>
      <c r="I86" s="1683" t="str">
        <f t="shared" ref="I86" ca="1" si="939">HYPERLINK(OFFSET(Origine,MATCH($F86,Descrizioni,0),MATCH(I$14,Intestazioni,0)-1,1,1),"i")</f>
        <v>i</v>
      </c>
      <c r="J86" s="1713" t="str">
        <f t="shared" ref="J86:K86" ca="1" si="940">HYPERLINK(OFFSET(Origine,MATCH($F86,Descrizioni,0),MATCH(J$14,Intestazioni,0)-1,1,1),"")</f>
        <v></v>
      </c>
      <c r="K86" s="1716" t="str">
        <f t="shared" ca="1" si="940"/>
        <v></v>
      </c>
      <c r="L86" s="1717" t="str">
        <f t="shared" ref="L86:L88" ca="1" si="941">IFERROR(HYPERLINK("https://www.zonebourse.com/mods_a/charts/TV/inc_dyna_graph.php?c="&amp;OFFSET(Origine,MATCH($F86,Descrizioni,0),MATCH(L$14,Intestazioni,0)-1,1,1)&amp;"&amp;style=TradingView.CANDLES&amp;showAT=1",""),"")</f>
        <v></v>
      </c>
      <c r="M86" s="366" t="str">
        <f t="shared" ref="M86:M88" ca="1" si="942">(OFFSET(Origine,MATCH($F86,Descrizioni,0),MATCH(M$14,Intestazioni,0)-1,1,1))</f>
        <v>Unit</v>
      </c>
      <c r="N86" s="1039"/>
      <c r="O86" s="1310" cm="1">
        <f t="array" aca="1" ref="O86" ca="1">SUM(IF($AF$14:$BQ$14="I_ctrlv",AF86:BQ86))</f>
        <v>0</v>
      </c>
      <c r="P86" s="373">
        <f t="shared" ca="1" si="877"/>
        <v>0</v>
      </c>
      <c r="Q86" s="391">
        <f t="array" aca="1" ref="Q86" ca="1">SUM(IF($AF$14:$BQ$14="I_pos",AF86:BQ86))</f>
        <v>0</v>
      </c>
      <c r="R86" s="391">
        <f t="array" aca="1" ref="R86" ca="1">SUM(IF($AF$14:$BQ$14="P_Pos",AF86:BQ86))</f>
        <v>0</v>
      </c>
      <c r="S86" s="1314"/>
      <c r="T86" s="391"/>
      <c r="U86" s="366"/>
      <c r="V86" s="391">
        <f t="array" aca="1" ref="V86" ca="1">SUM(IF($AF$14:$BQ$14="O_Pos",AF86:BQ86))</f>
        <v>0</v>
      </c>
      <c r="W86" s="1310"/>
      <c r="X86" s="1312">
        <f t="shared" ref="X86:AA86" ca="1" si="943">OFFSET(Origine,MATCH($F86,Descrizioni,0),MATCH(X$14,Intestazioni,0)-1,1,1)</f>
        <v>0</v>
      </c>
      <c r="Y86" s="1312">
        <f t="shared" ca="1" si="943"/>
        <v>0</v>
      </c>
      <c r="Z86" s="1312">
        <f t="shared" ca="1" si="943"/>
        <v>0</v>
      </c>
      <c r="AA86" s="1313">
        <f t="shared" ca="1" si="943"/>
        <v>0</v>
      </c>
      <c r="AB86" s="367" t="str">
        <f t="shared" ref="AB86" ca="1" si="944">OFFSET(Origine,MATCH($F86,Descrizioni,0),MATCH(AB$14,Intestazioni,0)-1,1,1)</f>
        <v>EUR</v>
      </c>
      <c r="AC86" s="392">
        <f t="shared" ref="AC86" ca="1" si="945">_xlfn.NUMBERVALUE(OFFSET(Origine,MATCH($F86,Descrizioni,0),MATCH(AC$14,Intestazioni,0)-1,1,1))</f>
        <v>675.3</v>
      </c>
      <c r="AD86" s="393">
        <f t="shared" ref="AD86:AD88" ca="1" si="946">_xlfn.NUMBERVALUE(OFFSET(Origine,MATCH($F86,Descrizioni,0),MATCH(AD$14,Intestazioni,0)-1,1,1))</f>
        <v>0</v>
      </c>
      <c r="AE86" s="378">
        <f t="shared" ref="AE86" ca="1" si="947">_xlfn.NUMBERVALUE(OFFSET(Origine,MATCH(AB86&amp;"/"&amp;MRif,LUKB_Name,0),MATCH("Price",Intestazioni,0)-1,1,1))</f>
        <v>0.90754999999999997</v>
      </c>
      <c r="AF86" s="214"/>
      <c r="AG86" s="312" t="str">
        <f t="shared" ref="AG86" ca="1" si="948">IFERROR($AC86/AH86-1,"")</f>
        <v/>
      </c>
      <c r="AH86" s="1254"/>
      <c r="AI86" s="199">
        <f t="shared" ref="AI86" ca="1" si="949">AF86*$AC86</f>
        <v>0</v>
      </c>
      <c r="AJ86" s="199">
        <f t="shared" ref="AJ86" ca="1" si="950">AI86*$AE86</f>
        <v>0</v>
      </c>
      <c r="AK86" s="216">
        <f ca="1">IFERROR(AJ86/AF$4,0)</f>
        <v>0</v>
      </c>
      <c r="AL86" s="202">
        <f t="shared" ref="AL86" ca="1" si="951">AM86/$AC86</f>
        <v>0</v>
      </c>
      <c r="AM86" s="203">
        <f t="shared" ref="AM86" ca="1" si="952">AN86/$AE86</f>
        <v>0</v>
      </c>
      <c r="AN86" s="203">
        <f t="shared" ref="AN86" ca="1" si="953">AO86*AF$4</f>
        <v>0</v>
      </c>
      <c r="AO86" s="204">
        <f t="shared" ref="AO86" ca="1" si="954">$N86-AK86</f>
        <v>0</v>
      </c>
      <c r="AP86" s="205"/>
      <c r="AQ86" s="206">
        <f t="shared" ref="AQ86" ca="1" si="955">AP86*$AC86</f>
        <v>0</v>
      </c>
      <c r="AR86" s="206">
        <f t="shared" ref="AR86" ca="1" si="956">AQ86*$AE86</f>
        <v>0</v>
      </c>
      <c r="AS86" s="207">
        <f ca="1">IFERROR(AR86/AF$4,0)</f>
        <v>0</v>
      </c>
      <c r="AT86" s="391">
        <f t="shared" ref="AT86" si="957">AF86+AP86</f>
        <v>0</v>
      </c>
      <c r="AU86" s="391">
        <f t="shared" ref="AU86" ca="1" si="958">AI86+IF($T86="",AQ86)</f>
        <v>0</v>
      </c>
      <c r="AV86" s="391">
        <f t="shared" ref="AV86" ca="1" si="959">AU86*$AE86</f>
        <v>0</v>
      </c>
      <c r="AW86" s="394">
        <f ca="1">IFERROR(AV86/AF$4,0)</f>
        <v>0</v>
      </c>
      <c r="AX86" s="1007" t="str">
        <f t="shared" ca="1" si="936"/>
        <v/>
      </c>
      <c r="AY86" s="1255"/>
      <c r="AZ86" s="312" t="str">
        <f t="shared" ref="AZ86" ca="1" si="960">IFERROR($AC86/BA86-1,"")</f>
        <v/>
      </c>
      <c r="BA86" s="1254"/>
      <c r="BB86" s="199">
        <f t="shared" ref="BB86" ca="1" si="961">AY86*$AC86</f>
        <v>0</v>
      </c>
      <c r="BC86" s="199">
        <f t="shared" ref="BC86" ca="1" si="962">BB86*$AE86</f>
        <v>0</v>
      </c>
      <c r="BD86" s="216">
        <f ca="1">IFERROR(BC86/AY$4,0)</f>
        <v>0</v>
      </c>
      <c r="BE86" s="202">
        <f t="shared" ref="BE86" ca="1" si="963">BF86/$AC86</f>
        <v>0</v>
      </c>
      <c r="BF86" s="203">
        <f t="shared" ref="BF86" ca="1" si="964">BG86/$AE86</f>
        <v>0</v>
      </c>
      <c r="BG86" s="203">
        <f t="shared" ref="BG86" ca="1" si="965">BH86*AY$4</f>
        <v>0</v>
      </c>
      <c r="BH86" s="204">
        <f t="shared" ref="BH86" ca="1" si="966">$N86-BD86</f>
        <v>0</v>
      </c>
      <c r="BI86" s="1253"/>
      <c r="BJ86" s="206">
        <f t="shared" ref="BJ86" ca="1" si="967">BI86*$AC86</f>
        <v>0</v>
      </c>
      <c r="BK86" s="206">
        <f t="shared" ref="BK86" ca="1" si="968">BJ86*$AE86</f>
        <v>0</v>
      </c>
      <c r="BL86" s="207">
        <f ca="1">IFERROR(BK86/AY$4,0)</f>
        <v>0</v>
      </c>
      <c r="BM86" s="391">
        <f>AY86+BI86</f>
        <v>0</v>
      </c>
      <c r="BN86" s="391">
        <f t="shared" ref="BN86" ca="1" si="969">BB86+IF($T86="",BJ86)</f>
        <v>0</v>
      </c>
      <c r="BO86" s="391">
        <f t="shared" ref="BO86" ca="1" si="970">BN86*$AE86</f>
        <v>0</v>
      </c>
      <c r="BP86" s="886">
        <f t="shared" ca="1" si="910"/>
        <v>0</v>
      </c>
      <c r="BQ86" s="1007" t="str">
        <f t="shared" ca="1" si="916"/>
        <v/>
      </c>
      <c r="BR86" s="1007"/>
    </row>
    <row r="87" spans="1:70" ht="13.5" hidden="1" customHeight="1" outlineLevel="1" x14ac:dyDescent="0.2">
      <c r="A87" s="367"/>
      <c r="B87" s="367"/>
      <c r="C87" s="367" t="str">
        <f t="shared" ca="1" si="937"/>
        <v>LU0922334643:EUR</v>
      </c>
      <c r="D87" s="368" t="str">
        <f t="shared" ca="1" si="938"/>
        <v>LU0922334643</v>
      </c>
      <c r="E87" s="369" t="str">
        <f t="shared" ca="1" si="938"/>
        <v>21363489</v>
      </c>
      <c r="F87" s="367" t="s">
        <v>760</v>
      </c>
      <c r="G87" s="414"/>
      <c r="H87" s="1713" t="str">
        <f ca="1">HYPERLINK(OFFSET(Origine,MATCH($F87,Descrizioni,0),MATCH(H$14,Intestazioni,0)-1,1,1),"")</f>
        <v></v>
      </c>
      <c r="I87" s="1683" t="str">
        <f t="shared" ref="I87" ca="1" si="971">HYPERLINK(OFFSET(Origine,MATCH($F87,Descrizioni,0),MATCH(I$14,Intestazioni,0)-1,1,1),"i")</f>
        <v>i</v>
      </c>
      <c r="J87" s="1713" t="str">
        <f t="shared" ref="J87:K87" ca="1" si="972">HYPERLINK(OFFSET(Origine,MATCH($F87,Descrizioni,0),MATCH(J$14,Intestazioni,0)-1,1,1),"")</f>
        <v></v>
      </c>
      <c r="K87" s="1716" t="str">
        <f t="shared" ca="1" si="972"/>
        <v></v>
      </c>
      <c r="L87" s="1717" t="str">
        <f t="shared" ca="1" si="941"/>
        <v></v>
      </c>
      <c r="M87" s="366" t="str">
        <f t="shared" ca="1" si="942"/>
        <v>Unit</v>
      </c>
      <c r="N87" s="1039"/>
      <c r="O87" s="1310" cm="1">
        <f t="array" aca="1" ref="O87" ca="1">SUM(IF($AF$14:$BQ$14="I_ctrlv",AF87:BQ87))</f>
        <v>0</v>
      </c>
      <c r="P87" s="373">
        <f t="shared" ca="1" si="877"/>
        <v>0</v>
      </c>
      <c r="Q87" s="391">
        <f t="array" aca="1" ref="Q87" ca="1">SUM(IF($AF$14:$BQ$14="I_pos",AF87:BQ87))</f>
        <v>0</v>
      </c>
      <c r="R87" s="391">
        <f t="array" aca="1" ref="R87" ca="1">SUM(IF($AF$14:$BQ$14="P_Pos",AF87:BQ87))</f>
        <v>0</v>
      </c>
      <c r="S87" s="1314"/>
      <c r="T87" s="391"/>
      <c r="U87" s="366"/>
      <c r="V87" s="391">
        <f t="array" aca="1" ref="V87" ca="1">SUM(IF($AF$14:$BQ$14="O_Pos",AF87:BQ87))</f>
        <v>0</v>
      </c>
      <c r="W87" s="1310"/>
      <c r="X87" s="1312">
        <f t="shared" ref="X87:AA87" ca="1" si="973">OFFSET(Origine,MATCH($F87,Descrizioni,0),MATCH(X$14,Intestazioni,0)-1,1,1)</f>
        <v>0</v>
      </c>
      <c r="Y87" s="1312">
        <f t="shared" ca="1" si="973"/>
        <v>0</v>
      </c>
      <c r="Z87" s="1312">
        <f t="shared" ca="1" si="973"/>
        <v>0</v>
      </c>
      <c r="AA87" s="1313">
        <f t="shared" ca="1" si="973"/>
        <v>0</v>
      </c>
      <c r="AB87" s="367" t="str">
        <f t="shared" ref="AB87" ca="1" si="974">OFFSET(Origine,MATCH($F87,Descrizioni,0),MATCH(AB$14,Intestazioni,0)-1,1,1)</f>
        <v>EUR</v>
      </c>
      <c r="AC87" s="392">
        <f t="shared" ref="AC87" ca="1" si="975">_xlfn.NUMBERVALUE(OFFSET(Origine,MATCH($F87,Descrizioni,0),MATCH(AC$14,Intestazioni,0)-1,1,1))</f>
        <v>38.08</v>
      </c>
      <c r="AD87" s="393">
        <f t="shared" ca="1" si="946"/>
        <v>0</v>
      </c>
      <c r="AE87" s="378">
        <f t="shared" ref="AE87:AE88" ca="1" si="976">_xlfn.NUMBERVALUE(OFFSET(Origine,MATCH(AB87&amp;"/"&amp;MRif,LUKB_Name,0),MATCH("Price",Intestazioni,0)-1,1,1))</f>
        <v>0.90754999999999997</v>
      </c>
      <c r="AF87" s="214"/>
      <c r="AG87" s="312" t="str">
        <f t="shared" ref="AG87:AG88" ca="1" si="977">IFERROR($AC87/AH87-1,"")</f>
        <v/>
      </c>
      <c r="AH87" s="1254"/>
      <c r="AI87" s="199">
        <f t="shared" ref="AI87:AI88" ca="1" si="978">AF87*$AC87</f>
        <v>0</v>
      </c>
      <c r="AJ87" s="199">
        <f t="shared" ref="AJ87:AJ88" ca="1" si="979">AI87*$AE87</f>
        <v>0</v>
      </c>
      <c r="AK87" s="216">
        <f t="shared" ref="AK87:AK116" ca="1" si="980">IFERROR(AJ87/AF$4,0)</f>
        <v>0</v>
      </c>
      <c r="AL87" s="202">
        <f t="shared" ref="AL87:AL88" ca="1" si="981">AM87/$AC87</f>
        <v>0</v>
      </c>
      <c r="AM87" s="203">
        <f t="shared" ref="AM87:AM88" ca="1" si="982">AN87/$AE87</f>
        <v>0</v>
      </c>
      <c r="AN87" s="203">
        <f t="shared" ref="AN87:AN88" ca="1" si="983">AO87*AF$4</f>
        <v>0</v>
      </c>
      <c r="AO87" s="204">
        <f t="shared" ref="AO87:AO88" ca="1" si="984">$N87-AK87</f>
        <v>0</v>
      </c>
      <c r="AP87" s="205"/>
      <c r="AQ87" s="206">
        <f t="shared" ref="AQ87:AQ88" ca="1" si="985">AP87*$AC87</f>
        <v>0</v>
      </c>
      <c r="AR87" s="206">
        <f t="shared" ref="AR87:AR88" ca="1" si="986">AQ87*$AE87</f>
        <v>0</v>
      </c>
      <c r="AS87" s="207">
        <f t="shared" ref="AS87:AS116" ca="1" si="987">IFERROR(AR87/AF$4,0)</f>
        <v>0</v>
      </c>
      <c r="AT87" s="391">
        <f t="shared" ref="AT87:AT88" si="988">AF87+AP87</f>
        <v>0</v>
      </c>
      <c r="AU87" s="391">
        <f t="shared" ca="1" si="804"/>
        <v>0</v>
      </c>
      <c r="AV87" s="391">
        <f t="shared" ref="AV87:AV88" ca="1" si="989">AU87*$AE87</f>
        <v>0</v>
      </c>
      <c r="AW87" s="394">
        <f t="shared" ref="AW87:AW90" ca="1" si="990">IFERROR(AV87/AF$4,0)</f>
        <v>0</v>
      </c>
      <c r="AX87" s="1007" t="str">
        <f t="shared" ca="1" si="936"/>
        <v/>
      </c>
      <c r="AY87" s="1255"/>
      <c r="AZ87" s="312" t="str">
        <f t="shared" ref="AZ87:AZ88" ca="1" si="991">IFERROR($AC87/BA87-1,"")</f>
        <v/>
      </c>
      <c r="BA87" s="1254"/>
      <c r="BB87" s="199">
        <f t="shared" ref="BB87:BB88" ca="1" si="992">AY87*$AC87</f>
        <v>0</v>
      </c>
      <c r="BC87" s="199">
        <f t="shared" ref="BC87:BC88" ca="1" si="993">BB87*$AE87</f>
        <v>0</v>
      </c>
      <c r="BD87" s="216">
        <f t="shared" ref="BD87:BD116" ca="1" si="994">IFERROR(BC87/AY$4,0)</f>
        <v>0</v>
      </c>
      <c r="BE87" s="202">
        <f t="shared" ref="BE87:BE88" ca="1" si="995">BF87/$AC87</f>
        <v>0</v>
      </c>
      <c r="BF87" s="203">
        <f t="shared" ref="BF87:BF88" ca="1" si="996">BG87/$AE87</f>
        <v>0</v>
      </c>
      <c r="BG87" s="203">
        <f t="shared" ref="BG87:BG88" ca="1" si="997">BH87*AY$4</f>
        <v>0</v>
      </c>
      <c r="BH87" s="204">
        <f t="shared" ref="BH87:BH88" ca="1" si="998">$N87-BD87</f>
        <v>0</v>
      </c>
      <c r="BI87" s="1253"/>
      <c r="BJ87" s="206">
        <f t="shared" ref="BJ87:BJ88" ca="1" si="999">BI87*$AC87</f>
        <v>0</v>
      </c>
      <c r="BK87" s="206">
        <f t="shared" ref="BK87:BK88" ca="1" si="1000">BJ87*$AE87</f>
        <v>0</v>
      </c>
      <c r="BL87" s="207">
        <f t="shared" ref="BL87:BL116" ca="1" si="1001">IFERROR(BK87/AY$4,0)</f>
        <v>0</v>
      </c>
      <c r="BM87" s="391">
        <f t="shared" ref="BM87:BM88" si="1002">AY87+BI87</f>
        <v>0</v>
      </c>
      <c r="BN87" s="391">
        <f t="shared" ca="1" si="807"/>
        <v>0</v>
      </c>
      <c r="BO87" s="391">
        <f t="shared" ref="BO87:BO88" ca="1" si="1003">BN87*$AE87</f>
        <v>0</v>
      </c>
      <c r="BP87" s="886">
        <f t="shared" ca="1" si="910"/>
        <v>0</v>
      </c>
      <c r="BQ87" s="1007" t="str">
        <f t="shared" ca="1" si="916"/>
        <v/>
      </c>
      <c r="BR87" s="1007"/>
    </row>
    <row r="88" spans="1:70" ht="13.5" hidden="1" customHeight="1" outlineLevel="1" x14ac:dyDescent="0.2">
      <c r="A88" s="367"/>
      <c r="B88" s="367"/>
      <c r="C88" s="367" t="str">
        <f t="shared" ca="1" si="937"/>
        <v>LU1711971983:EUR</v>
      </c>
      <c r="D88" s="368" t="str">
        <f t="shared" ca="1" si="938"/>
        <v>LU1711971983</v>
      </c>
      <c r="E88" s="369" t="str">
        <f t="shared" ca="1" si="938"/>
        <v>38956329</v>
      </c>
      <c r="F88" s="367" t="s">
        <v>761</v>
      </c>
      <c r="G88" s="414"/>
      <c r="H88" s="1713" t="str">
        <f ca="1">HYPERLINK(OFFSET(Origine,MATCH($F88,Descrizioni,0),MATCH(H$14,Intestazioni,0)-1,1,1),"")</f>
        <v></v>
      </c>
      <c r="I88" s="1683" t="str">
        <f t="shared" ref="I88" ca="1" si="1004">HYPERLINK(OFFSET(Origine,MATCH($F88,Descrizioni,0),MATCH(I$14,Intestazioni,0)-1,1,1),"i")</f>
        <v>i</v>
      </c>
      <c r="J88" s="1713" t="str">
        <f t="shared" ref="J88:K88" ca="1" si="1005">HYPERLINK(OFFSET(Origine,MATCH($F88,Descrizioni,0),MATCH(J$14,Intestazioni,0)-1,1,1),"")</f>
        <v></v>
      </c>
      <c r="K88" s="1716" t="str">
        <f t="shared" ca="1" si="1005"/>
        <v></v>
      </c>
      <c r="L88" s="1717" t="str">
        <f t="shared" ca="1" si="941"/>
        <v></v>
      </c>
      <c r="M88" s="366" t="str">
        <f t="shared" ca="1" si="942"/>
        <v>Unit</v>
      </c>
      <c r="N88" s="1039"/>
      <c r="O88" s="1310" cm="1">
        <f t="array" aca="1" ref="O88" ca="1">SUM(IF($AF$14:$BQ$14="I_ctrlv",AF88:BQ88))</f>
        <v>0</v>
      </c>
      <c r="P88" s="373">
        <f t="shared" ca="1" si="877"/>
        <v>0</v>
      </c>
      <c r="Q88" s="391">
        <f t="array" aca="1" ref="Q88" ca="1">SUM(IF($AF$14:$BQ$14="I_pos",AF88:BQ88))</f>
        <v>0</v>
      </c>
      <c r="R88" s="391">
        <f t="array" aca="1" ref="R88" ca="1">SUM(IF($AF$14:$BQ$14="P_Pos",AF88:BQ88))</f>
        <v>0</v>
      </c>
      <c r="S88" s="1314"/>
      <c r="T88" s="391"/>
      <c r="U88" s="366"/>
      <c r="V88" s="391">
        <f t="array" aca="1" ref="V88" ca="1">SUM(IF($AF$14:$BQ$14="O_Pos",AF88:BQ88))</f>
        <v>0</v>
      </c>
      <c r="W88" s="1310"/>
      <c r="X88" s="1312">
        <f t="shared" ref="X88:AA88" ca="1" si="1006">OFFSET(Origine,MATCH($F88,Descrizioni,0),MATCH(X$14,Intestazioni,0)-1,1,1)</f>
        <v>0</v>
      </c>
      <c r="Y88" s="1312">
        <f t="shared" ca="1" si="1006"/>
        <v>0</v>
      </c>
      <c r="Z88" s="1312">
        <f t="shared" ca="1" si="1006"/>
        <v>0</v>
      </c>
      <c r="AA88" s="1313">
        <f t="shared" ca="1" si="1006"/>
        <v>0</v>
      </c>
      <c r="AB88" s="367" t="str">
        <f t="shared" ref="AB88" ca="1" si="1007">OFFSET(Origine,MATCH($F88,Descrizioni,0),MATCH(AB$14,Intestazioni,0)-1,1,1)</f>
        <v>EUR</v>
      </c>
      <c r="AC88" s="392">
        <f t="shared" ref="AC88" ca="1" si="1008">_xlfn.NUMBERVALUE(OFFSET(Origine,MATCH($F88,Descrizioni,0),MATCH(AC$14,Intestazioni,0)-1,1,1))</f>
        <v>23.6</v>
      </c>
      <c r="AD88" s="393">
        <f t="shared" ca="1" si="946"/>
        <v>0</v>
      </c>
      <c r="AE88" s="378">
        <f t="shared" ca="1" si="976"/>
        <v>0.90754999999999997</v>
      </c>
      <c r="AF88" s="214"/>
      <c r="AG88" s="312" t="str">
        <f t="shared" ca="1" si="977"/>
        <v/>
      </c>
      <c r="AH88" s="1254"/>
      <c r="AI88" s="199">
        <f t="shared" ca="1" si="978"/>
        <v>0</v>
      </c>
      <c r="AJ88" s="199">
        <f t="shared" ca="1" si="979"/>
        <v>0</v>
      </c>
      <c r="AK88" s="216">
        <f t="shared" ca="1" si="980"/>
        <v>0</v>
      </c>
      <c r="AL88" s="202">
        <f t="shared" ca="1" si="981"/>
        <v>0</v>
      </c>
      <c r="AM88" s="203">
        <f t="shared" ca="1" si="982"/>
        <v>0</v>
      </c>
      <c r="AN88" s="203">
        <f t="shared" ca="1" si="983"/>
        <v>0</v>
      </c>
      <c r="AO88" s="204">
        <f t="shared" ca="1" si="984"/>
        <v>0</v>
      </c>
      <c r="AP88" s="205"/>
      <c r="AQ88" s="206">
        <f t="shared" ca="1" si="985"/>
        <v>0</v>
      </c>
      <c r="AR88" s="206">
        <f t="shared" ca="1" si="986"/>
        <v>0</v>
      </c>
      <c r="AS88" s="207">
        <f t="shared" ca="1" si="987"/>
        <v>0</v>
      </c>
      <c r="AT88" s="391">
        <f t="shared" si="988"/>
        <v>0</v>
      </c>
      <c r="AU88" s="391">
        <f t="shared" ca="1" si="804"/>
        <v>0</v>
      </c>
      <c r="AV88" s="391">
        <f t="shared" ca="1" si="989"/>
        <v>0</v>
      </c>
      <c r="AW88" s="394">
        <f t="shared" ca="1" si="990"/>
        <v>0</v>
      </c>
      <c r="AX88" s="1007" t="str">
        <f t="shared" ca="1" si="936"/>
        <v/>
      </c>
      <c r="AY88" s="1255"/>
      <c r="AZ88" s="312" t="str">
        <f t="shared" ca="1" si="991"/>
        <v/>
      </c>
      <c r="BA88" s="1254"/>
      <c r="BB88" s="199">
        <f t="shared" ca="1" si="992"/>
        <v>0</v>
      </c>
      <c r="BC88" s="199">
        <f t="shared" ca="1" si="993"/>
        <v>0</v>
      </c>
      <c r="BD88" s="216">
        <f t="shared" ca="1" si="994"/>
        <v>0</v>
      </c>
      <c r="BE88" s="202">
        <f t="shared" ca="1" si="995"/>
        <v>0</v>
      </c>
      <c r="BF88" s="203">
        <f t="shared" ca="1" si="996"/>
        <v>0</v>
      </c>
      <c r="BG88" s="203">
        <f t="shared" ca="1" si="997"/>
        <v>0</v>
      </c>
      <c r="BH88" s="204">
        <f t="shared" ca="1" si="998"/>
        <v>0</v>
      </c>
      <c r="BI88" s="1253"/>
      <c r="BJ88" s="206">
        <f t="shared" ca="1" si="999"/>
        <v>0</v>
      </c>
      <c r="BK88" s="206">
        <f t="shared" ca="1" si="1000"/>
        <v>0</v>
      </c>
      <c r="BL88" s="207">
        <f t="shared" ca="1" si="1001"/>
        <v>0</v>
      </c>
      <c r="BM88" s="391">
        <f t="shared" si="1002"/>
        <v>0</v>
      </c>
      <c r="BN88" s="391">
        <f t="shared" ca="1" si="807"/>
        <v>0</v>
      </c>
      <c r="BO88" s="391">
        <f t="shared" ca="1" si="1003"/>
        <v>0</v>
      </c>
      <c r="BP88" s="886">
        <f t="shared" ca="1" si="910"/>
        <v>0</v>
      </c>
      <c r="BQ88" s="1007" t="str">
        <f t="shared" ca="1" si="916"/>
        <v/>
      </c>
      <c r="BR88" s="1007"/>
    </row>
    <row r="89" spans="1:70" ht="13.5" customHeight="1" collapsed="1" x14ac:dyDescent="0.2">
      <c r="A89" s="346"/>
      <c r="B89" s="346" t="s">
        <v>762</v>
      </c>
      <c r="C89" s="346"/>
      <c r="D89" s="347"/>
      <c r="E89" s="348"/>
      <c r="F89" s="346"/>
      <c r="G89" s="349"/>
      <c r="H89" s="1682"/>
      <c r="I89" s="1682"/>
      <c r="J89" s="1682"/>
      <c r="K89" s="1682"/>
      <c r="L89" s="1682"/>
      <c r="M89" s="345"/>
      <c r="N89" s="1036"/>
      <c r="O89" s="1315" cm="1">
        <f t="array" aca="1" ref="O89" ca="1">SUM(IF($AF$14:$BQ$14="I_ctrlv",AF89:BQ89))</f>
        <v>0</v>
      </c>
      <c r="P89" s="351">
        <f t="shared" ca="1" si="877"/>
        <v>0</v>
      </c>
      <c r="Q89" s="421"/>
      <c r="R89" s="421"/>
      <c r="S89" s="1035"/>
      <c r="T89" s="421"/>
      <c r="U89" s="345"/>
      <c r="V89" s="422">
        <f ca="1">COUNTIF(V90:V91,"&lt;&gt;0")</f>
        <v>0</v>
      </c>
      <c r="W89" s="1303"/>
      <c r="X89" s="1304"/>
      <c r="Y89" s="1304"/>
      <c r="Z89" s="1304"/>
      <c r="AA89" s="1305"/>
      <c r="AB89" s="346"/>
      <c r="AC89" s="355"/>
      <c r="AD89" s="1306"/>
      <c r="AE89" s="356"/>
      <c r="AF89" s="357"/>
      <c r="AG89" s="359"/>
      <c r="AH89" s="875"/>
      <c r="AI89" s="359"/>
      <c r="AJ89" s="360">
        <f ca="1">SUM(AJ$90:AJ$91)</f>
        <v>0</v>
      </c>
      <c r="AK89" s="361">
        <f t="shared" ca="1" si="980"/>
        <v>0</v>
      </c>
      <c r="AL89" s="362"/>
      <c r="AM89" s="359"/>
      <c r="AN89" s="360">
        <f ca="1">SUM(AN$90:AN$90)</f>
        <v>0</v>
      </c>
      <c r="AO89" s="363">
        <f ca="1">IFERROR(AN89/AF$4,0)</f>
        <v>0</v>
      </c>
      <c r="AP89" s="362"/>
      <c r="AQ89" s="359"/>
      <c r="AR89" s="360">
        <f ca="1">SUM(AR$90:AR$90)</f>
        <v>0</v>
      </c>
      <c r="AS89" s="363">
        <f t="shared" ca="1" si="987"/>
        <v>0</v>
      </c>
      <c r="AT89" s="359"/>
      <c r="AU89" s="359"/>
      <c r="AV89" s="360">
        <f ca="1">SUM(AV$90:AV$90)</f>
        <v>0</v>
      </c>
      <c r="AW89" s="361">
        <f t="shared" ca="1" si="990"/>
        <v>0</v>
      </c>
      <c r="AX89" s="1007" t="str">
        <f t="shared" ca="1" si="936"/>
        <v/>
      </c>
      <c r="AY89" s="1307"/>
      <c r="AZ89" s="359"/>
      <c r="BA89" s="875"/>
      <c r="BB89" s="359"/>
      <c r="BC89" s="360">
        <f ca="1">SUM(BC$90:BC$91)</f>
        <v>0</v>
      </c>
      <c r="BD89" s="361">
        <f t="shared" ca="1" si="994"/>
        <v>0</v>
      </c>
      <c r="BE89" s="362"/>
      <c r="BF89" s="359"/>
      <c r="BG89" s="360">
        <f ca="1">SUM(BG$90:BG$90)</f>
        <v>0</v>
      </c>
      <c r="BH89" s="363">
        <f ca="1">IFERROR(BG89/AY$4,0)</f>
        <v>0</v>
      </c>
      <c r="BI89" s="1308"/>
      <c r="BJ89" s="359"/>
      <c r="BK89" s="360">
        <f ca="1">SUM(BK$90:BK$90)</f>
        <v>0</v>
      </c>
      <c r="BL89" s="363">
        <f t="shared" ca="1" si="1001"/>
        <v>0</v>
      </c>
      <c r="BM89" s="360"/>
      <c r="BN89" s="359"/>
      <c r="BO89" s="360">
        <f ca="1">SUM(BO$90:BO$90)</f>
        <v>0</v>
      </c>
      <c r="BP89" s="876">
        <f t="shared" ca="1" si="910"/>
        <v>0</v>
      </c>
      <c r="BQ89" s="1007" t="str">
        <f t="shared" ca="1" si="916"/>
        <v/>
      </c>
      <c r="BR89" s="1007"/>
    </row>
    <row r="90" spans="1:70" ht="13.5" hidden="1" customHeight="1" outlineLevel="1" x14ac:dyDescent="0.2">
      <c r="A90" s="367"/>
      <c r="B90" s="367"/>
      <c r="C90" s="367" t="str">
        <f t="shared" ref="C90:E91" ca="1" si="1009">OFFSET(Origine,MATCH($F90,Descrizioni,0),MATCH(C$14,Intestazioni,0)-1,1,1)</f>
        <v>LU0950670850:GBP</v>
      </c>
      <c r="D90" s="368" t="str">
        <f t="shared" ca="1" si="1009"/>
        <v>LU0950670850</v>
      </c>
      <c r="E90" s="369" t="str">
        <f t="shared" ca="1" si="1009"/>
        <v>21966875</v>
      </c>
      <c r="F90" s="367" t="s">
        <v>763</v>
      </c>
      <c r="G90" s="414"/>
      <c r="H90" s="1713" t="str">
        <f ca="1">HYPERLINK(OFFSET(Origine,MATCH($F90,Descrizioni,0),MATCH(H$14,Intestazioni,0)-1,1,1),"")</f>
        <v></v>
      </c>
      <c r="I90" s="1683" t="str">
        <f ca="1">HYPERLINK(OFFSET(Origine,MATCH($F90,Descrizioni,0),MATCH(I$14,Intestazioni,0)-1,1,1),"i")</f>
        <v>i</v>
      </c>
      <c r="J90" s="1713" t="str">
        <f ca="1">HYPERLINK(OFFSET(Origine,MATCH($F90,Descrizioni,0),MATCH(J$14,Intestazioni,0)-1,1,1),"")</f>
        <v></v>
      </c>
      <c r="K90" s="1716" t="str">
        <f ca="1">HYPERLINK(OFFSET(Origine,MATCH($F90,Descrizioni,0),MATCH(K$14,Intestazioni,0)-1,1,1),"")</f>
        <v></v>
      </c>
      <c r="L90" s="1717" t="str">
        <f ca="1">IFERROR(HYPERLINK("https://www.zonebourse.com/mods_a/charts/TV/inc_dyna_graph.php?c="&amp;OFFSET(Origine,MATCH($F90,Descrizioni,0),MATCH(L$14,Intestazioni,0)-1,1,1)&amp;"&amp;style=TradingView.CANDLES&amp;showAT=1",""),"")</f>
        <v></v>
      </c>
      <c r="M90" s="366" t="str">
        <f ca="1">(OFFSET(Origine,MATCH($F90,Descrizioni,0),MATCH(M$14,Intestazioni,0)-1,1,1))</f>
        <v>Unit</v>
      </c>
      <c r="N90" s="1039"/>
      <c r="O90" s="1310" cm="1">
        <f t="array" aca="1" ref="O90" ca="1">SUM(IF($AF$14:$BQ$14="I_ctrlv",AF90:BQ90))</f>
        <v>0</v>
      </c>
      <c r="P90" s="418">
        <f t="shared" ca="1" si="877"/>
        <v>0</v>
      </c>
      <c r="Q90" s="391">
        <f t="array" aca="1" ref="Q90" ca="1">SUM(IF($AF$14:$BQ$14="I_pos",AF90:BQ90))</f>
        <v>0</v>
      </c>
      <c r="R90" s="391">
        <f t="array" aca="1" ref="R90" ca="1">SUM(IF($AF$14:$BQ$14="P_Pos",AF90:BQ90))</f>
        <v>0</v>
      </c>
      <c r="S90" s="1314"/>
      <c r="T90" s="391"/>
      <c r="U90" s="366"/>
      <c r="V90" s="391">
        <f t="array" aca="1" ref="V90" ca="1">SUM(IF($AF$14:$BQ$14="O_Pos",AF90:BQ90))</f>
        <v>0</v>
      </c>
      <c r="W90" s="1310"/>
      <c r="X90" s="1312">
        <f t="shared" ref="X90:AA90" ca="1" si="1010">OFFSET(Origine,MATCH($F90,Descrizioni,0),MATCH(X$14,Intestazioni,0)-1,1,1)</f>
        <v>0</v>
      </c>
      <c r="Y90" s="1312">
        <f t="shared" ca="1" si="1010"/>
        <v>0</v>
      </c>
      <c r="Z90" s="1312">
        <f t="shared" ca="1" si="1010"/>
        <v>0</v>
      </c>
      <c r="AA90" s="1313">
        <f t="shared" ca="1" si="1010"/>
        <v>0</v>
      </c>
      <c r="AB90" s="367" t="str">
        <f ca="1">OFFSET(Origine,MATCH($F90,Descrizioni,0),MATCH(AB$14,Intestazioni,0)-1,1,1)</f>
        <v>GBP</v>
      </c>
      <c r="AC90" s="392">
        <f ca="1">_xlfn.NUMBERVALUE(OFFSET(Origine,MATCH($F90,Descrizioni,0),MATCH(AC$14,Intestazioni,0)-1,1,1))</f>
        <v>42.405000000000001</v>
      </c>
      <c r="AD90" s="393">
        <f ca="1">_xlfn.NUMBERVALUE(OFFSET(Origine,MATCH($F90,Descrizioni,0),MATCH(AD$14,Intestazioni,0)-1,1,1))</f>
        <v>0</v>
      </c>
      <c r="AE90" s="378">
        <f ca="1">_xlfn.NUMBERVALUE(OFFSET(Origine,MATCH(AB90&amp;"/"&amp;MRif,LUKB_Name,0),MATCH("Price",Intestazioni,0)-1,1,1))</f>
        <v>1.0430999999999999</v>
      </c>
      <c r="AF90" s="214"/>
      <c r="AG90" s="312" t="str">
        <f t="shared" ref="AG90:AG91" ca="1" si="1011">IFERROR($AC90/AH90-1,"")</f>
        <v/>
      </c>
      <c r="AH90" s="1254"/>
      <c r="AI90" s="199">
        <f ca="1">AF90*$AC90</f>
        <v>0</v>
      </c>
      <c r="AJ90" s="199">
        <f ca="1">AI90*$AE90</f>
        <v>0</v>
      </c>
      <c r="AK90" s="216">
        <f t="shared" ca="1" si="980"/>
        <v>0</v>
      </c>
      <c r="AL90" s="202">
        <f ca="1">AM90/$AC90</f>
        <v>0</v>
      </c>
      <c r="AM90" s="203">
        <f ca="1">AN90/$AE90</f>
        <v>0</v>
      </c>
      <c r="AN90" s="203">
        <f ca="1">AO90*AF$4</f>
        <v>0</v>
      </c>
      <c r="AO90" s="204">
        <f ca="1">$N90-AK90</f>
        <v>0</v>
      </c>
      <c r="AP90" s="205"/>
      <c r="AQ90" s="206">
        <f ca="1">AP90*$AC90</f>
        <v>0</v>
      </c>
      <c r="AR90" s="206">
        <f ca="1">AQ90*$AE90</f>
        <v>0</v>
      </c>
      <c r="AS90" s="207">
        <f t="shared" ca="1" si="987"/>
        <v>0</v>
      </c>
      <c r="AT90" s="391">
        <f>AF90+AP90</f>
        <v>0</v>
      </c>
      <c r="AU90" s="391">
        <f t="shared" ca="1" si="804"/>
        <v>0</v>
      </c>
      <c r="AV90" s="391">
        <f ca="1">AU90*$AE90</f>
        <v>0</v>
      </c>
      <c r="AW90" s="394">
        <f t="shared" ca="1" si="990"/>
        <v>0</v>
      </c>
      <c r="AX90" s="1007" t="str">
        <f t="shared" ca="1" si="936"/>
        <v/>
      </c>
      <c r="AY90" s="1255"/>
      <c r="AZ90" s="312" t="str">
        <f t="shared" ref="AZ90:AZ91" ca="1" si="1012">IFERROR($AC90/BA90-1,"")</f>
        <v/>
      </c>
      <c r="BA90" s="1254"/>
      <c r="BB90" s="199">
        <f ca="1">AY90*$AC90</f>
        <v>0</v>
      </c>
      <c r="BC90" s="199">
        <f ca="1">BB90*$AE90</f>
        <v>0</v>
      </c>
      <c r="BD90" s="216">
        <f t="shared" ca="1" si="994"/>
        <v>0</v>
      </c>
      <c r="BE90" s="202">
        <f ca="1">BF90/$AC90</f>
        <v>0</v>
      </c>
      <c r="BF90" s="203">
        <f ca="1">BG90/$AE90</f>
        <v>0</v>
      </c>
      <c r="BG90" s="203">
        <f ca="1">BH90*AY$4</f>
        <v>0</v>
      </c>
      <c r="BH90" s="204">
        <f ca="1">$N90-BD90</f>
        <v>0</v>
      </c>
      <c r="BI90" s="1253"/>
      <c r="BJ90" s="206">
        <f ca="1">BI90*$AC90</f>
        <v>0</v>
      </c>
      <c r="BK90" s="206">
        <f ca="1">BJ90*$AE90</f>
        <v>0</v>
      </c>
      <c r="BL90" s="207">
        <f t="shared" ca="1" si="1001"/>
        <v>0</v>
      </c>
      <c r="BM90" s="391">
        <f t="shared" ref="BM90:BM91" si="1013">AY90+BI90</f>
        <v>0</v>
      </c>
      <c r="BN90" s="391">
        <f t="shared" ca="1" si="807"/>
        <v>0</v>
      </c>
      <c r="BO90" s="391">
        <f ca="1">BN90*$AE90</f>
        <v>0</v>
      </c>
      <c r="BP90" s="886">
        <f t="shared" ca="1" si="910"/>
        <v>0</v>
      </c>
      <c r="BQ90" s="1007" t="str">
        <f t="shared" ca="1" si="916"/>
        <v/>
      </c>
      <c r="BR90" s="1007"/>
    </row>
    <row r="91" spans="1:70" ht="13.5" hidden="1" customHeight="1" outlineLevel="1" x14ac:dyDescent="0.2">
      <c r="A91" s="367"/>
      <c r="B91" s="367"/>
      <c r="C91" s="367" t="str">
        <f t="shared" ca="1" si="1009"/>
        <v>LU1169820997:CHF:P</v>
      </c>
      <c r="D91" s="368" t="str">
        <f t="shared" ca="1" si="1009"/>
        <v>LU1169820997</v>
      </c>
      <c r="E91" s="369" t="str">
        <f t="shared" ca="1" si="1009"/>
        <v>26749332</v>
      </c>
      <c r="F91" s="367" t="s">
        <v>765</v>
      </c>
      <c r="G91" s="414"/>
      <c r="H91" s="1713" t="str">
        <f ca="1">HYPERLINK(OFFSET(Origine,MATCH($F91,Descrizioni,0),MATCH(H$14,Intestazioni,0)-1,1,1),"")</f>
        <v></v>
      </c>
      <c r="I91" s="1683" t="str">
        <f ca="1">HYPERLINK(OFFSET(Origine,MATCH($F91,Descrizioni,0),MATCH(I$14,Intestazioni,0)-1,1,1),"i")</f>
        <v>i</v>
      </c>
      <c r="J91" s="1713" t="str">
        <f ca="1">HYPERLINK(OFFSET(Origine,MATCH($F91,Descrizioni,0),MATCH(J$14,Intestazioni,0)-1,1,1),"")</f>
        <v></v>
      </c>
      <c r="K91" s="1716" t="str">
        <f ca="1">HYPERLINK(OFFSET(Origine,MATCH($F91,Descrizioni,0),MATCH(K$14,Intestazioni,0)-1,1,1),"")</f>
        <v></v>
      </c>
      <c r="L91" s="1717" t="str">
        <f ca="1">IFERROR(HYPERLINK("https://www.zonebourse.com/mods_a/charts/TV/inc_dyna_graph.php?c="&amp;OFFSET(Origine,MATCH($F91,Descrizioni,0),MATCH(L$14,Intestazioni,0)-1,1,1)&amp;"&amp;style=TradingView.CANDLES&amp;showAT=1",""),"")</f>
        <v></v>
      </c>
      <c r="M91" s="366" t="str">
        <f ca="1">(OFFSET(Origine,MATCH($F91,Descrizioni,0),MATCH(M$14,Intestazioni,0)-1,1,1))</f>
        <v>Unit</v>
      </c>
      <c r="N91" s="1039"/>
      <c r="O91" s="1310" cm="1">
        <f t="array" aca="1" ref="O91" ca="1">SUM(IF($AF$14:$BQ$14="I_ctrlv",AF91:BQ91))</f>
        <v>0</v>
      </c>
      <c r="P91" s="418">
        <f t="shared" ca="1" si="877"/>
        <v>0</v>
      </c>
      <c r="Q91" s="391">
        <f t="array" aca="1" ref="Q91" ca="1">SUM(IF($AF$14:$BQ$14="I_pos",AF91:BQ91))</f>
        <v>0</v>
      </c>
      <c r="R91" s="391">
        <f t="array" aca="1" ref="R91" ca="1">SUM(IF($AF$14:$BQ$14="P_Pos",AF91:BQ91))</f>
        <v>0</v>
      </c>
      <c r="S91" s="1314"/>
      <c r="T91" s="391"/>
      <c r="U91" s="366"/>
      <c r="V91" s="391">
        <f t="array" aca="1" ref="V91" ca="1">SUM(IF($AF$14:$BQ$14="O_Pos",AF91:BQ91))</f>
        <v>0</v>
      </c>
      <c r="W91" s="1310"/>
      <c r="X91" s="1312">
        <f t="shared" ref="X91:AA91" ca="1" si="1014">OFFSET(Origine,MATCH($F91,Descrizioni,0),MATCH(X$14,Intestazioni,0)-1,1,1)</f>
        <v>0</v>
      </c>
      <c r="Y91" s="1312">
        <f t="shared" ca="1" si="1014"/>
        <v>0</v>
      </c>
      <c r="Z91" s="1312">
        <f t="shared" ca="1" si="1014"/>
        <v>0</v>
      </c>
      <c r="AA91" s="1313">
        <f t="shared" ca="1" si="1014"/>
        <v>0</v>
      </c>
      <c r="AB91" s="367" t="str">
        <f ca="1">OFFSET(Origine,MATCH($F91,Descrizioni,0),MATCH(AB$14,Intestazioni,0)-1,1,1)</f>
        <v>CHF</v>
      </c>
      <c r="AC91" s="392">
        <f ca="1">_xlfn.NUMBERVALUE(OFFSET(Origine,MATCH($F91,Descrizioni,0),MATCH(AC$14,Intestazioni,0)-1,1,1))</f>
        <v>18.338000000000001</v>
      </c>
      <c r="AD91" s="393">
        <f ca="1">_xlfn.NUMBERVALUE(OFFSET(Origine,MATCH($F91,Descrizioni,0),MATCH(AD$14,Intestazioni,0)-1,1,1))</f>
        <v>0</v>
      </c>
      <c r="AE91" s="378">
        <f ca="1">_xlfn.NUMBERVALUE(OFFSET(Origine,MATCH(AB91&amp;"/"&amp;MRif,LUKB_Name,0),MATCH("Price",Intestazioni,0)-1,1,1))</f>
        <v>1.0000001300000001</v>
      </c>
      <c r="AF91" s="214"/>
      <c r="AG91" s="312" t="str">
        <f t="shared" ca="1" si="1011"/>
        <v/>
      </c>
      <c r="AH91" s="1254"/>
      <c r="AI91" s="199">
        <f ca="1">AF91*$AC91</f>
        <v>0</v>
      </c>
      <c r="AJ91" s="199">
        <f ca="1">AI91*$AE91</f>
        <v>0</v>
      </c>
      <c r="AK91" s="216">
        <f t="shared" ca="1" si="980"/>
        <v>0</v>
      </c>
      <c r="AL91" s="202">
        <f ca="1">AM91/$AC91</f>
        <v>0</v>
      </c>
      <c r="AM91" s="203">
        <f ca="1">AN91/$AE91</f>
        <v>0</v>
      </c>
      <c r="AN91" s="203">
        <f ca="1">AO91*AF$4</f>
        <v>0</v>
      </c>
      <c r="AO91" s="204">
        <f ca="1">$N91-AK91</f>
        <v>0</v>
      </c>
      <c r="AP91" s="205"/>
      <c r="AQ91" s="206">
        <f ca="1">AP91*$AC91</f>
        <v>0</v>
      </c>
      <c r="AR91" s="206">
        <f ca="1">AQ91*$AE91</f>
        <v>0</v>
      </c>
      <c r="AS91" s="207">
        <f t="shared" ca="1" si="987"/>
        <v>0</v>
      </c>
      <c r="AT91" s="391">
        <f>AF91+AP91</f>
        <v>0</v>
      </c>
      <c r="AU91" s="391">
        <f t="shared" ca="1" si="804"/>
        <v>0</v>
      </c>
      <c r="AV91" s="391">
        <f ca="1">AU91*$AE91</f>
        <v>0</v>
      </c>
      <c r="AW91" s="394">
        <f ca="1">IFERROR(AV91/AF$4,0)</f>
        <v>0</v>
      </c>
      <c r="AX91" s="1007" t="str">
        <f t="shared" ca="1" si="936"/>
        <v/>
      </c>
      <c r="AY91" s="1255"/>
      <c r="AZ91" s="312" t="str">
        <f t="shared" ca="1" si="1012"/>
        <v/>
      </c>
      <c r="BA91" s="1254"/>
      <c r="BB91" s="199">
        <f ca="1">AY91*$AC91</f>
        <v>0</v>
      </c>
      <c r="BC91" s="199">
        <f ca="1">BB91*$AE91</f>
        <v>0</v>
      </c>
      <c r="BD91" s="216">
        <f t="shared" ca="1" si="994"/>
        <v>0</v>
      </c>
      <c r="BE91" s="202">
        <f ca="1">BF91/$AC91</f>
        <v>0</v>
      </c>
      <c r="BF91" s="203">
        <f ca="1">BG91/$AE91</f>
        <v>0</v>
      </c>
      <c r="BG91" s="203">
        <f ca="1">BH91*AY$4</f>
        <v>0</v>
      </c>
      <c r="BH91" s="204">
        <f ca="1">$N91-BD91</f>
        <v>0</v>
      </c>
      <c r="BI91" s="1253"/>
      <c r="BJ91" s="206">
        <f ca="1">BI91*$AC91</f>
        <v>0</v>
      </c>
      <c r="BK91" s="206">
        <f ca="1">BJ91*$AE91</f>
        <v>0</v>
      </c>
      <c r="BL91" s="207">
        <f t="shared" ca="1" si="1001"/>
        <v>0</v>
      </c>
      <c r="BM91" s="391">
        <f t="shared" si="1013"/>
        <v>0</v>
      </c>
      <c r="BN91" s="391">
        <f t="shared" ca="1" si="807"/>
        <v>0</v>
      </c>
      <c r="BO91" s="391">
        <f ca="1">BN91*$AE91</f>
        <v>0</v>
      </c>
      <c r="BP91" s="886">
        <f t="shared" ca="1" si="910"/>
        <v>0</v>
      </c>
      <c r="BQ91" s="1007" t="str">
        <f t="shared" ca="1" si="916"/>
        <v/>
      </c>
      <c r="BR91" s="1007"/>
    </row>
    <row r="92" spans="1:70" ht="13.5" customHeight="1" collapsed="1" x14ac:dyDescent="0.2">
      <c r="A92" s="346"/>
      <c r="B92" s="346" t="s">
        <v>389</v>
      </c>
      <c r="C92" s="346"/>
      <c r="D92" s="347"/>
      <c r="E92" s="348"/>
      <c r="F92" s="346"/>
      <c r="G92" s="349"/>
      <c r="H92" s="1682"/>
      <c r="I92" s="1682"/>
      <c r="J92" s="1682"/>
      <c r="K92" s="1682"/>
      <c r="L92" s="1682"/>
      <c r="M92" s="345"/>
      <c r="N92" s="1036">
        <f>SUM(N$93:N$108)</f>
        <v>0.1</v>
      </c>
      <c r="O92" s="1315" cm="1">
        <f t="array" aca="1" ref="O92" ca="1">SUM(IF($AF$14:$BQ$14="I_ctrlv",AF92:BQ92))</f>
        <v>422288.47851035302</v>
      </c>
      <c r="P92" s="351">
        <f t="shared" ca="1" si="877"/>
        <v>6.4474016203185727E-2</v>
      </c>
      <c r="Q92" s="421"/>
      <c r="R92" s="421"/>
      <c r="S92" s="1035"/>
      <c r="T92" s="421"/>
      <c r="U92" s="345"/>
      <c r="V92" s="422">
        <f ca="1">COUNTIF(V93:V108,"&lt;&gt;0")</f>
        <v>1</v>
      </c>
      <c r="W92" s="1303"/>
      <c r="X92" s="1304"/>
      <c r="Y92" s="1304"/>
      <c r="Z92" s="1304"/>
      <c r="AA92" s="1305"/>
      <c r="AB92" s="346"/>
      <c r="AC92" s="355"/>
      <c r="AD92" s="1306"/>
      <c r="AE92" s="356"/>
      <c r="AF92" s="357"/>
      <c r="AG92" s="359"/>
      <c r="AH92" s="875"/>
      <c r="AI92" s="359"/>
      <c r="AJ92" s="360">
        <f ca="1">SUM(AJ$93:AJ$108)</f>
        <v>325309.14464999997</v>
      </c>
      <c r="AK92" s="361">
        <f t="shared" ca="1" si="980"/>
        <v>5.5682985161980635E-2</v>
      </c>
      <c r="AL92" s="362"/>
      <c r="AM92" s="359"/>
      <c r="AN92" s="360">
        <f ca="1">SUM(AN$93:AN$108)</f>
        <v>258907.27927857082</v>
      </c>
      <c r="AO92" s="363">
        <f ca="1">IFERROR(AN92/AF$4,0)</f>
        <v>4.4317014838019357E-2</v>
      </c>
      <c r="AP92" s="362"/>
      <c r="AQ92" s="359"/>
      <c r="AR92" s="360">
        <f ca="1">SUM(AR$93:AR$108)</f>
        <v>0</v>
      </c>
      <c r="AS92" s="363">
        <f t="shared" ca="1" si="987"/>
        <v>0</v>
      </c>
      <c r="AT92" s="359"/>
      <c r="AU92" s="359"/>
      <c r="AV92" s="360">
        <f ca="1">SUM(AV$93:AV$108)</f>
        <v>325309.14464999997</v>
      </c>
      <c r="AW92" s="361">
        <f t="shared" ref="AW92" ca="1" si="1015">IFERROR(AV92/AF$4,0)</f>
        <v>5.5682985161980635E-2</v>
      </c>
      <c r="AX92" s="1007" t="str">
        <f t="shared" ca="1" si="936"/>
        <v>V</v>
      </c>
      <c r="AY92" s="1307"/>
      <c r="AZ92" s="359"/>
      <c r="BA92" s="875"/>
      <c r="BB92" s="359"/>
      <c r="BC92" s="360">
        <f ca="1">SUM(BC$93:BC$108)</f>
        <v>96979.333860353014</v>
      </c>
      <c r="BD92" s="361">
        <f t="shared" ca="1" si="994"/>
        <v>0.13705727811295693</v>
      </c>
      <c r="BE92" s="362"/>
      <c r="BF92" s="359"/>
      <c r="BG92" s="360">
        <f ca="1">SUM(BG$93:BG$108)</f>
        <v>-26221.082131155064</v>
      </c>
      <c r="BH92" s="363">
        <f ca="1">IFERROR(BG92/AY$4,0)</f>
        <v>-3.7057278112956955E-2</v>
      </c>
      <c r="BI92" s="1308"/>
      <c r="BJ92" s="359"/>
      <c r="BK92" s="360">
        <f ca="1">SUM(BK$93:BK$108)</f>
        <v>-23656.853075390503</v>
      </c>
      <c r="BL92" s="363">
        <f t="shared" ca="1" si="1001"/>
        <v>-3.3433348757581929E-2</v>
      </c>
      <c r="BM92" s="360"/>
      <c r="BN92" s="359"/>
      <c r="BO92" s="360">
        <f ca="1">SUM(BO$93:BO$108)</f>
        <v>73322.480784962521</v>
      </c>
      <c r="BP92" s="876">
        <f t="shared" ca="1" si="910"/>
        <v>0.10362392935537502</v>
      </c>
      <c r="BQ92" s="1007" t="str">
        <f ca="1">IF(OR(BD92&lt;&gt;0,BL92&lt;&gt;0),"V","")</f>
        <v>V</v>
      </c>
      <c r="BR92" s="1007"/>
    </row>
    <row r="93" spans="1:70" ht="13.5" hidden="1" customHeight="1" outlineLevel="1" x14ac:dyDescent="0.2">
      <c r="A93" s="367"/>
      <c r="B93" s="367"/>
      <c r="C93" s="367" t="str">
        <f t="shared" ref="C93:C108" ca="1" si="1016">OFFSET(Origine,MATCH($F93,Descrizioni,0),MATCH(C$14,Intestazioni,0)-1,1,1)</f>
        <v>US1941621039:USD</v>
      </c>
      <c r="D93" s="368" t="str">
        <f t="shared" ref="D93:E108" ca="1" si="1017">OFFSET(Origine,MATCH($F93,Descrizioni,0),MATCH(D$14,Intestazioni,0)-1,1,1)</f>
        <v>US1941621039</v>
      </c>
      <c r="E93" s="369" t="str">
        <f t="shared" ca="1" si="1017"/>
        <v>919477</v>
      </c>
      <c r="F93" s="367" t="s">
        <v>454</v>
      </c>
      <c r="G93" s="414"/>
      <c r="H93" s="1713" t="str">
        <f t="shared" ref="H93:H108" ca="1" si="1018">HYPERLINK(OFFSET(Origine,MATCH($F93,Descrizioni,0),MATCH(H$14,Intestazioni,0)-1,1,1),"")</f>
        <v></v>
      </c>
      <c r="I93" s="1683" t="str">
        <f t="shared" ref="I93" ca="1" si="1019">HYPERLINK(OFFSET(Origine,MATCH($F93,Descrizioni,0),MATCH(I$14,Intestazioni,0)-1,1,1),"i")</f>
        <v>i</v>
      </c>
      <c r="J93" s="1713" t="str">
        <f t="shared" ref="J93:K93" ca="1" si="1020">HYPERLINK(OFFSET(Origine,MATCH($F93,Descrizioni,0),MATCH(J$14,Intestazioni,0)-1,1,1),"")</f>
        <v></v>
      </c>
      <c r="K93" s="1716" t="str">
        <f t="shared" ca="1" si="1020"/>
        <v></v>
      </c>
      <c r="L93" s="1717" t="str">
        <f t="shared" ref="L93:L108" ca="1" si="1021">IFERROR(HYPERLINK("https://www.zonebourse.com/mods_a/charts/TV/inc_dyna_graph.php?c="&amp;OFFSET(Origine,MATCH($F93,Descrizioni,0),MATCH(L$14,Intestazioni,0)-1,1,1)&amp;"&amp;style=TradingView.CANDLES&amp;showAT=1",""),"")</f>
        <v></v>
      </c>
      <c r="M93" s="366" t="str">
        <f t="shared" ref="M93:M108" ca="1" si="1022">(OFFSET(Origine,MATCH($F93,Descrizioni,0),MATCH(M$14,Intestazioni,0)-1,1,1))</f>
        <v>Unit</v>
      </c>
      <c r="N93" s="1039"/>
      <c r="O93" s="1310" cm="1">
        <f t="array" aca="1" ref="O93" ca="1">SUM(IF($AF$14:$BQ$14="I_ctrlv",AF93:BQ93))</f>
        <v>0</v>
      </c>
      <c r="P93" s="418">
        <f t="shared" ca="1" si="877"/>
        <v>0</v>
      </c>
      <c r="Q93" s="391">
        <f t="array" aca="1" ref="Q93" ca="1">SUM(IF($AF$14:$BQ$14="I_pos",AF93:BQ93))</f>
        <v>0</v>
      </c>
      <c r="R93" s="391">
        <f t="array" aca="1" ref="R93" ca="1">SUM(IF($AF$14:$BQ$14="P_Pos",AF93:BQ93))</f>
        <v>0</v>
      </c>
      <c r="S93" s="1314"/>
      <c r="T93" s="391"/>
      <c r="U93" s="366"/>
      <c r="V93" s="391">
        <f t="array" aca="1" ref="V93" ca="1">SUM(IF($AF$14:$BQ$14="O_Pos",AF93:BQ93))</f>
        <v>0</v>
      </c>
      <c r="W93" s="1310"/>
      <c r="X93" s="1312">
        <f t="shared" ref="X93:AA93" ca="1" si="1023">OFFSET(Origine,MATCH($F93,Descrizioni,0),MATCH(X$14,Intestazioni,0)-1,1,1)</f>
        <v>0</v>
      </c>
      <c r="Y93" s="1312">
        <f t="shared" ca="1" si="1023"/>
        <v>0</v>
      </c>
      <c r="Z93" s="1312">
        <f t="shared" ca="1" si="1023"/>
        <v>0</v>
      </c>
      <c r="AA93" s="1313">
        <f t="shared" ca="1" si="1023"/>
        <v>0</v>
      </c>
      <c r="AB93" s="367" t="str">
        <f t="shared" ref="AB93" ca="1" si="1024">OFFSET(Origine,MATCH($F93,Descrizioni,0),MATCH(AB$14,Intestazioni,0)-1,1,1)</f>
        <v>USD</v>
      </c>
      <c r="AC93" s="392">
        <f t="shared" ref="AC93:AC96" ca="1" si="1025">_xlfn.NUMBERVALUE(OFFSET(Origine,MATCH($F93,Descrizioni,0),MATCH(AC$14,Intestazioni,0)-1,1,1))</f>
        <v>95.27</v>
      </c>
      <c r="AD93" s="393">
        <f t="shared" ref="AD93:AD97" ca="1" si="1026">_xlfn.NUMBERVALUE(OFFSET(Origine,MATCH($F93,Descrizioni,0),MATCH(AD$14,Intestazioni,0)-1,1,1))</f>
        <v>2.1832689999999998E-2</v>
      </c>
      <c r="AE93" s="378">
        <f t="shared" ref="AE93" ca="1" si="1027">_xlfn.NUMBERVALUE(OFFSET(Origine,MATCH(AB93&amp;"/"&amp;MRif,LUKB_Name,0),MATCH("Price",Intestazioni,0)-1,1,1))</f>
        <v>0.78225</v>
      </c>
      <c r="AF93" s="214">
        <f>265+735+-1000</f>
        <v>0</v>
      </c>
      <c r="AG93" s="312" t="str">
        <f t="shared" ref="AG93" ca="1" si="1028">IFERROR($AC93/AH93-1,"")</f>
        <v/>
      </c>
      <c r="AH93" s="1254"/>
      <c r="AI93" s="199">
        <f t="shared" ref="AI93" ca="1" si="1029">AF93*$AC93</f>
        <v>0</v>
      </c>
      <c r="AJ93" s="199">
        <f t="shared" ref="AJ93" ca="1" si="1030">AI93*$AE93</f>
        <v>0</v>
      </c>
      <c r="AK93" s="216">
        <f t="shared" ref="AK93" ca="1" si="1031">IFERROR(AJ93/AF$4,0)</f>
        <v>0</v>
      </c>
      <c r="AL93" s="202">
        <f t="shared" ref="AL93" ca="1" si="1032">AM93/$AC93</f>
        <v>0</v>
      </c>
      <c r="AM93" s="203">
        <f t="shared" ref="AM93" ca="1" si="1033">AN93/$AE93</f>
        <v>0</v>
      </c>
      <c r="AN93" s="203">
        <f t="shared" ref="AN93" ca="1" si="1034">AO93*AF$4</f>
        <v>0</v>
      </c>
      <c r="AO93" s="204">
        <f t="shared" ref="AO93" ca="1" si="1035">$N93-AK93</f>
        <v>0</v>
      </c>
      <c r="AP93" s="205"/>
      <c r="AQ93" s="206">
        <f t="shared" ref="AQ93" ca="1" si="1036">AP93*$AC93</f>
        <v>0</v>
      </c>
      <c r="AR93" s="206">
        <f t="shared" ref="AR93" ca="1" si="1037">AQ93*$AE93</f>
        <v>0</v>
      </c>
      <c r="AS93" s="207">
        <f t="shared" ref="AS93" ca="1" si="1038">IFERROR(AR93/AF$4,0)</f>
        <v>0</v>
      </c>
      <c r="AT93" s="391">
        <f>AF93+AP93</f>
        <v>0</v>
      </c>
      <c r="AU93" s="391">
        <f t="shared" ref="AU93" ca="1" si="1039">AI93+IF($T93="",AQ93)</f>
        <v>0</v>
      </c>
      <c r="AV93" s="391">
        <f t="shared" ref="AV93" ca="1" si="1040">AU93*$AE93</f>
        <v>0</v>
      </c>
      <c r="AW93" s="394">
        <f t="shared" ref="AW93" ca="1" si="1041">IFERROR(AV93/AF$4,0)</f>
        <v>0</v>
      </c>
      <c r="AX93" s="1007" t="str">
        <f t="shared" ca="1" si="936"/>
        <v/>
      </c>
      <c r="AY93" s="1255"/>
      <c r="AZ93" s="312" t="str">
        <f t="shared" ref="AZ93" ca="1" si="1042">IFERROR($AC93/BA93-1,"")</f>
        <v/>
      </c>
      <c r="BA93" s="1254"/>
      <c r="BB93" s="199">
        <f t="shared" ref="BB93" ca="1" si="1043">AY93*$AC93</f>
        <v>0</v>
      </c>
      <c r="BC93" s="199">
        <f t="shared" ref="BC93" ca="1" si="1044">BB93*$AE93</f>
        <v>0</v>
      </c>
      <c r="BD93" s="216">
        <f t="shared" ref="BD93" ca="1" si="1045">IFERROR(BC93/AY$4,0)</f>
        <v>0</v>
      </c>
      <c r="BE93" s="202">
        <f t="shared" ref="BE93" ca="1" si="1046">BF93/$AC93</f>
        <v>0</v>
      </c>
      <c r="BF93" s="203">
        <f t="shared" ref="BF93" ca="1" si="1047">BG93/$AE93</f>
        <v>0</v>
      </c>
      <c r="BG93" s="203">
        <f t="shared" ref="BG93" ca="1" si="1048">BH93*AY$4</f>
        <v>0</v>
      </c>
      <c r="BH93" s="204">
        <f t="shared" ref="BH93" ca="1" si="1049">$N93-BD93</f>
        <v>0</v>
      </c>
      <c r="BI93" s="1253"/>
      <c r="BJ93" s="206">
        <f t="shared" ref="BJ93" ca="1" si="1050">BI93*$AC93</f>
        <v>0</v>
      </c>
      <c r="BK93" s="206">
        <f t="shared" ref="BK93" ca="1" si="1051">BJ93*$AE93</f>
        <v>0</v>
      </c>
      <c r="BL93" s="207">
        <f t="shared" ref="BL93" ca="1" si="1052">IFERROR(BK93/AY$4,0)</f>
        <v>0</v>
      </c>
      <c r="BM93" s="391">
        <f>AY93+BI93</f>
        <v>0</v>
      </c>
      <c r="BN93" s="391">
        <f t="shared" ref="BN93" ca="1" si="1053">BB93+IF($T93="",BJ93)</f>
        <v>0</v>
      </c>
      <c r="BO93" s="391">
        <f ca="1">BN93*$AE93</f>
        <v>0</v>
      </c>
      <c r="BP93" s="886">
        <f t="shared" ca="1" si="910"/>
        <v>0</v>
      </c>
      <c r="BQ93" s="1007" t="str">
        <f t="shared" ca="1" si="916"/>
        <v/>
      </c>
      <c r="BR93" s="1007"/>
    </row>
    <row r="94" spans="1:70" ht="13.5" hidden="1" customHeight="1" outlineLevel="1" x14ac:dyDescent="0.2">
      <c r="A94" s="367"/>
      <c r="B94" s="367"/>
      <c r="C94" s="367" t="str">
        <f t="shared" ca="1" si="1016"/>
        <v>US26875P1012:USD</v>
      </c>
      <c r="D94" s="368" t="str">
        <f t="shared" ca="1" si="1017"/>
        <v>US26875P1012</v>
      </c>
      <c r="E94" s="369" t="str">
        <f t="shared" ca="1" si="1017"/>
        <v>1000194</v>
      </c>
      <c r="F94" s="367" t="s">
        <v>893</v>
      </c>
      <c r="G94" s="414"/>
      <c r="H94" s="1713" t="str">
        <f t="shared" ca="1" si="1018"/>
        <v></v>
      </c>
      <c r="I94" s="1683" t="str">
        <f t="shared" ref="I94:I96" ca="1" si="1054">HYPERLINK(OFFSET(Origine,MATCH($F94,Descrizioni,0),MATCH(I$14,Intestazioni,0)-1,1,1),"i")</f>
        <v>i</v>
      </c>
      <c r="J94" s="1713" t="str">
        <f t="shared" ref="J94:K96" ca="1" si="1055">HYPERLINK(OFFSET(Origine,MATCH($F94,Descrizioni,0),MATCH(J$14,Intestazioni,0)-1,1,1),"")</f>
        <v></v>
      </c>
      <c r="K94" s="1716" t="str">
        <f t="shared" ca="1" si="1055"/>
        <v></v>
      </c>
      <c r="L94" s="1717" t="str">
        <f t="shared" ca="1" si="1021"/>
        <v></v>
      </c>
      <c r="M94" s="366" t="str">
        <f t="shared" ca="1" si="1022"/>
        <v>Unit</v>
      </c>
      <c r="N94" s="1039"/>
      <c r="O94" s="1310" cm="1">
        <f t="array" aca="1" ref="O94" ca="1">SUM(IF($AF$14:$BQ$14="I_ctrlv",AF94:BQ94))</f>
        <v>20078.401875</v>
      </c>
      <c r="P94" s="418">
        <f t="shared" ca="1" si="877"/>
        <v>3.0655233891044632E-3</v>
      </c>
      <c r="Q94" s="391">
        <f t="array" aca="1" ref="Q94" ca="1">SUM(IF($AF$14:$BQ$14="I_pos",AF94:BQ94))</f>
        <v>200</v>
      </c>
      <c r="R94" s="391">
        <f t="array" aca="1" ref="R94" ca="1">SUM(IF($AF$14:$BQ$14="P_Pos",AF94:BQ94))</f>
        <v>-200</v>
      </c>
      <c r="S94" s="1314"/>
      <c r="T94" s="391"/>
      <c r="U94" s="366"/>
      <c r="V94" s="391">
        <f t="array" aca="1" ref="V94" ca="1">SUM(IF($AF$14:$BQ$14="O_Pos",AF94:BQ94))</f>
        <v>0</v>
      </c>
      <c r="W94" s="1310"/>
      <c r="X94" s="1312">
        <f t="shared" ref="X94:AA96" ca="1" si="1056">OFFSET(Origine,MATCH($F94,Descrizioni,0),MATCH(X$14,Intestazioni,0)-1,1,1)</f>
        <v>0</v>
      </c>
      <c r="Y94" s="1312">
        <f t="shared" ca="1" si="1056"/>
        <v>0</v>
      </c>
      <c r="Z94" s="1312">
        <f t="shared" ca="1" si="1056"/>
        <v>0</v>
      </c>
      <c r="AA94" s="1313">
        <f t="shared" ca="1" si="1056"/>
        <v>0</v>
      </c>
      <c r="AB94" s="367" t="str">
        <f t="shared" ref="AB94:AB96" ca="1" si="1057">OFFSET(Origine,MATCH($F94,Descrizioni,0),MATCH(AB$14,Intestazioni,0)-1,1,1)</f>
        <v>USD</v>
      </c>
      <c r="AC94" s="392">
        <f t="shared" ca="1" si="1025"/>
        <v>128.33750000000001</v>
      </c>
      <c r="AD94" s="393">
        <f t="shared" ca="1" si="1026"/>
        <v>3.1440540000000003E-2</v>
      </c>
      <c r="AE94" s="378">
        <f t="shared" ref="AE94:AE108" ca="1" si="1058">_xlfn.NUMBERVALUE(OFFSET(Origine,MATCH(AB94&amp;"/"&amp;MRif,LUKB_Name,0),MATCH("Price",Intestazioni,0)-1,1,1))</f>
        <v>0.78225</v>
      </c>
      <c r="AF94" s="214"/>
      <c r="AG94" s="312" t="str">
        <f t="shared" ref="AG94:AG108" ca="1" si="1059">IFERROR($AC94/AH94-1,"")</f>
        <v/>
      </c>
      <c r="AH94" s="1254"/>
      <c r="AI94" s="199">
        <f t="shared" ref="AI94:AI95" ca="1" si="1060">AF94*$AC94</f>
        <v>0</v>
      </c>
      <c r="AJ94" s="199">
        <f t="shared" ref="AJ94:AJ95" ca="1" si="1061">AI94*$AE94</f>
        <v>0</v>
      </c>
      <c r="AK94" s="216">
        <f t="shared" ref="AK94:AK95" ca="1" si="1062">IFERROR(AJ94/AF$4,0)</f>
        <v>0</v>
      </c>
      <c r="AL94" s="202">
        <f t="shared" ref="AL94:AL95" ca="1" si="1063">AM94/$AC94</f>
        <v>0</v>
      </c>
      <c r="AM94" s="203">
        <f t="shared" ref="AM94:AM95" ca="1" si="1064">AN94/$AE94</f>
        <v>0</v>
      </c>
      <c r="AN94" s="203">
        <f t="shared" ref="AN94:AN95" ca="1" si="1065">AO94*AF$4</f>
        <v>0</v>
      </c>
      <c r="AO94" s="204">
        <f t="shared" ref="AO94:AO95" ca="1" si="1066">$N94-AK94</f>
        <v>0</v>
      </c>
      <c r="AP94" s="205"/>
      <c r="AQ94" s="206">
        <f t="shared" ref="AQ94:AQ95" ca="1" si="1067">AP94*$AC94</f>
        <v>0</v>
      </c>
      <c r="AR94" s="206">
        <f t="shared" ref="AR94:AR95" ca="1" si="1068">AQ94*$AE94</f>
        <v>0</v>
      </c>
      <c r="AS94" s="207">
        <f t="shared" ref="AS94:AS95" ca="1" si="1069">IFERROR(AR94/AF$4,0)</f>
        <v>0</v>
      </c>
      <c r="AT94" s="391">
        <f t="shared" ref="AT94:AT95" si="1070">AF94+AP94</f>
        <v>0</v>
      </c>
      <c r="AU94" s="391">
        <f t="shared" ca="1" si="804"/>
        <v>0</v>
      </c>
      <c r="AV94" s="391">
        <f t="shared" ref="AV94:AV95" ca="1" si="1071">AU94*$AE94</f>
        <v>0</v>
      </c>
      <c r="AW94" s="394">
        <f t="shared" ref="AW94:AW95" ca="1" si="1072">IFERROR(AV94/AF$4,0)</f>
        <v>0</v>
      </c>
      <c r="AX94" s="1007" t="str">
        <f t="shared" ca="1" si="936"/>
        <v/>
      </c>
      <c r="AY94" s="1255">
        <v>200</v>
      </c>
      <c r="AZ94" s="312">
        <f t="shared" ref="AZ94:AZ108" ca="1" si="1073">IFERROR($AC94/BA94-1,"")</f>
        <v>1.5514413518886681</v>
      </c>
      <c r="BA94" s="1254">
        <v>50.3</v>
      </c>
      <c r="BB94" s="199">
        <f t="shared" ref="BB94:BB95" ca="1" si="1074">AY94*$AC94</f>
        <v>25667.5</v>
      </c>
      <c r="BC94" s="199">
        <f t="shared" ref="BC94:BC95" ca="1" si="1075">BB94*$AE94</f>
        <v>20078.401875</v>
      </c>
      <c r="BD94" s="216">
        <f t="shared" ref="BD94:BD95" ca="1" si="1076">IFERROR(BC94/AY$4,0)</f>
        <v>2.8376057045393008E-2</v>
      </c>
      <c r="BE94" s="202">
        <f t="shared" ref="BE94:BE95" ca="1" si="1077">BF94/$AC94</f>
        <v>-200</v>
      </c>
      <c r="BF94" s="203">
        <f t="shared" ref="BF94:BF95" ca="1" si="1078">BG94/$AE94</f>
        <v>-25667.5</v>
      </c>
      <c r="BG94" s="203">
        <f t="shared" ref="BG94:BG95" ca="1" si="1079">BH94*AY$4</f>
        <v>-20078.401875</v>
      </c>
      <c r="BH94" s="204">
        <f t="shared" ref="BH94:BH95" ca="1" si="1080">$N94-BD94</f>
        <v>-2.8376057045393008E-2</v>
      </c>
      <c r="BI94" s="1253"/>
      <c r="BJ94" s="206">
        <f t="shared" ref="BJ94:BJ95" ca="1" si="1081">BI94*$AC94</f>
        <v>0</v>
      </c>
      <c r="BK94" s="206">
        <f t="shared" ref="BK94:BK95" ca="1" si="1082">BJ94*$AE94</f>
        <v>0</v>
      </c>
      <c r="BL94" s="207">
        <f t="shared" ref="BL94:BL95" ca="1" si="1083">IFERROR(BK94/AY$4,0)</f>
        <v>0</v>
      </c>
      <c r="BM94" s="391">
        <f t="shared" ref="BM94:BM95" si="1084">AY94+BI94</f>
        <v>200</v>
      </c>
      <c r="BN94" s="391">
        <f t="shared" ca="1" si="807"/>
        <v>25667.5</v>
      </c>
      <c r="BO94" s="391">
        <f t="shared" ref="BO94:BO95" ca="1" si="1085">BN94*$AE94</f>
        <v>20078.401875</v>
      </c>
      <c r="BP94" s="886">
        <f t="shared" ca="1" si="910"/>
        <v>2.8376057045393008E-2</v>
      </c>
      <c r="BQ94" s="1007" t="str">
        <f t="shared" ca="1" si="916"/>
        <v>V</v>
      </c>
      <c r="BR94" s="1007"/>
    </row>
    <row r="95" spans="1:70" ht="13.5" hidden="1" customHeight="1" outlineLevel="1" x14ac:dyDescent="0.2">
      <c r="A95" s="367"/>
      <c r="B95" s="367"/>
      <c r="C95" s="367" t="str">
        <f t="shared" ca="1" si="1016"/>
        <v>US3696043013:USD</v>
      </c>
      <c r="D95" s="368" t="str">
        <f t="shared" ca="1" si="1017"/>
        <v>US3696043013</v>
      </c>
      <c r="E95" s="369" t="str">
        <f t="shared" ca="1" si="1017"/>
        <v>112258433</v>
      </c>
      <c r="F95" s="367" t="s">
        <v>894</v>
      </c>
      <c r="G95" s="414"/>
      <c r="H95" s="1713" t="str">
        <f t="shared" ca="1" si="1018"/>
        <v></v>
      </c>
      <c r="I95" s="1683" t="str">
        <f t="shared" ca="1" si="1054"/>
        <v>i</v>
      </c>
      <c r="J95" s="1713" t="str">
        <f t="shared" ca="1" si="1055"/>
        <v></v>
      </c>
      <c r="K95" s="1716" t="str">
        <f t="shared" ca="1" si="1055"/>
        <v></v>
      </c>
      <c r="L95" s="1717" t="str">
        <f t="shared" ca="1" si="1021"/>
        <v></v>
      </c>
      <c r="M95" s="366" t="str">
        <f t="shared" ca="1" si="1022"/>
        <v>Unit</v>
      </c>
      <c r="N95" s="1039"/>
      <c r="O95" s="1310" cm="1">
        <f t="array" aca="1" ref="O95" ca="1">SUM(IF($AF$14:$BQ$14="I_ctrlv",AF95:BQ95))</f>
        <v>19695.686062500001</v>
      </c>
      <c r="P95" s="418">
        <f t="shared" ca="1" si="877"/>
        <v>3.0070912348970275E-3</v>
      </c>
      <c r="Q95" s="391">
        <f t="array" aca="1" ref="Q95" ca="1">SUM(IF($AF$14:$BQ$14="I_pos",AF95:BQ95))</f>
        <v>75</v>
      </c>
      <c r="R95" s="391">
        <f t="array" aca="1" ref="R95" ca="1">SUM(IF($AF$14:$BQ$14="P_Pos",AF95:BQ95))</f>
        <v>-75</v>
      </c>
      <c r="S95" s="1314"/>
      <c r="T95" s="391"/>
      <c r="U95" s="366"/>
      <c r="V95" s="391">
        <f t="array" aca="1" ref="V95" ca="1">SUM(IF($AF$14:$BQ$14="O_Pos",AF95:BQ95))</f>
        <v>0</v>
      </c>
      <c r="W95" s="1310"/>
      <c r="X95" s="1312">
        <f t="shared" ca="1" si="1056"/>
        <v>0</v>
      </c>
      <c r="Y95" s="1312">
        <f t="shared" ca="1" si="1056"/>
        <v>0</v>
      </c>
      <c r="Z95" s="1312">
        <f t="shared" ca="1" si="1056"/>
        <v>0</v>
      </c>
      <c r="AA95" s="1313">
        <f t="shared" ca="1" si="1056"/>
        <v>0</v>
      </c>
      <c r="AB95" s="367" t="str">
        <f t="shared" ca="1" si="1057"/>
        <v>USD</v>
      </c>
      <c r="AC95" s="392">
        <f t="shared" ca="1" si="1025"/>
        <v>335.71</v>
      </c>
      <c r="AD95" s="393">
        <f t="shared" ca="1" si="1026"/>
        <v>4.61708E-3</v>
      </c>
      <c r="AE95" s="378">
        <f t="shared" ca="1" si="1058"/>
        <v>0.78225</v>
      </c>
      <c r="AF95" s="214"/>
      <c r="AG95" s="312" t="str">
        <f t="shared" ca="1" si="1059"/>
        <v/>
      </c>
      <c r="AH95" s="1254"/>
      <c r="AI95" s="199">
        <f t="shared" ca="1" si="1060"/>
        <v>0</v>
      </c>
      <c r="AJ95" s="199">
        <f t="shared" ca="1" si="1061"/>
        <v>0</v>
      </c>
      <c r="AK95" s="216">
        <f t="shared" ca="1" si="1062"/>
        <v>0</v>
      </c>
      <c r="AL95" s="202">
        <f t="shared" ca="1" si="1063"/>
        <v>0</v>
      </c>
      <c r="AM95" s="203">
        <f t="shared" ca="1" si="1064"/>
        <v>0</v>
      </c>
      <c r="AN95" s="203">
        <f t="shared" ca="1" si="1065"/>
        <v>0</v>
      </c>
      <c r="AO95" s="204">
        <f t="shared" ca="1" si="1066"/>
        <v>0</v>
      </c>
      <c r="AP95" s="205"/>
      <c r="AQ95" s="206">
        <f t="shared" ca="1" si="1067"/>
        <v>0</v>
      </c>
      <c r="AR95" s="206">
        <f t="shared" ca="1" si="1068"/>
        <v>0</v>
      </c>
      <c r="AS95" s="207">
        <f t="shared" ca="1" si="1069"/>
        <v>0</v>
      </c>
      <c r="AT95" s="391">
        <f t="shared" si="1070"/>
        <v>0</v>
      </c>
      <c r="AU95" s="391">
        <f t="shared" ca="1" si="804"/>
        <v>0</v>
      </c>
      <c r="AV95" s="391">
        <f t="shared" ca="1" si="1071"/>
        <v>0</v>
      </c>
      <c r="AW95" s="394">
        <f t="shared" ca="1" si="1072"/>
        <v>0</v>
      </c>
      <c r="AX95" s="1007" t="str">
        <f t="shared" ca="1" si="936"/>
        <v/>
      </c>
      <c r="AY95" s="1255">
        <v>75</v>
      </c>
      <c r="AZ95" s="312">
        <f t="shared" ca="1" si="1073"/>
        <v>3.9722586741630943</v>
      </c>
      <c r="BA95" s="1254">
        <v>67.516599999999997</v>
      </c>
      <c r="BB95" s="199">
        <f t="shared" ca="1" si="1074"/>
        <v>25178.25</v>
      </c>
      <c r="BC95" s="199">
        <f t="shared" ca="1" si="1075"/>
        <v>19695.686062500001</v>
      </c>
      <c r="BD95" s="216">
        <f t="shared" ca="1" si="1076"/>
        <v>2.7835179051452871E-2</v>
      </c>
      <c r="BE95" s="202">
        <f t="shared" ca="1" si="1077"/>
        <v>-75</v>
      </c>
      <c r="BF95" s="203">
        <f t="shared" ca="1" si="1078"/>
        <v>-25178.25</v>
      </c>
      <c r="BG95" s="203">
        <f t="shared" ca="1" si="1079"/>
        <v>-19695.686062500001</v>
      </c>
      <c r="BH95" s="204">
        <f t="shared" ca="1" si="1080"/>
        <v>-2.7835179051452871E-2</v>
      </c>
      <c r="BI95" s="1253"/>
      <c r="BJ95" s="206">
        <f t="shared" ca="1" si="1081"/>
        <v>0</v>
      </c>
      <c r="BK95" s="206">
        <f t="shared" ca="1" si="1082"/>
        <v>0</v>
      </c>
      <c r="BL95" s="207">
        <f t="shared" ca="1" si="1083"/>
        <v>0</v>
      </c>
      <c r="BM95" s="391">
        <f t="shared" si="1084"/>
        <v>75</v>
      </c>
      <c r="BN95" s="391">
        <f t="shared" ca="1" si="807"/>
        <v>25178.25</v>
      </c>
      <c r="BO95" s="391">
        <f t="shared" ca="1" si="1085"/>
        <v>19695.686062500001</v>
      </c>
      <c r="BP95" s="886">
        <f t="shared" ca="1" si="910"/>
        <v>2.7835179051452871E-2</v>
      </c>
      <c r="BQ95" s="1007" t="str">
        <f t="shared" ca="1" si="916"/>
        <v>V</v>
      </c>
      <c r="BR95" s="1007"/>
    </row>
    <row r="96" spans="1:70" ht="13.5" hidden="1" customHeight="1" outlineLevel="1" x14ac:dyDescent="0.2">
      <c r="A96" s="367"/>
      <c r="B96" s="367"/>
      <c r="C96" s="367" t="str">
        <f t="shared" ca="1" si="1016"/>
        <v>US36828A1016:USD</v>
      </c>
      <c r="D96" s="368" t="str">
        <f t="shared" ca="1" si="1017"/>
        <v>US36828A1016</v>
      </c>
      <c r="E96" s="369" t="str">
        <f t="shared" ca="1" si="1017"/>
        <v>133262491</v>
      </c>
      <c r="F96" s="367" t="s">
        <v>895</v>
      </c>
      <c r="G96" s="414"/>
      <c r="H96" s="1713" t="str">
        <f t="shared" ca="1" si="1018"/>
        <v></v>
      </c>
      <c r="I96" s="1683" t="str">
        <f t="shared" ca="1" si="1054"/>
        <v>i</v>
      </c>
      <c r="J96" s="1713" t="str">
        <f t="shared" ca="1" si="1055"/>
        <v></v>
      </c>
      <c r="K96" s="1716" t="str">
        <f t="shared" ca="1" si="1055"/>
        <v></v>
      </c>
      <c r="L96" s="1717" t="str">
        <f t="shared" ca="1" si="1021"/>
        <v></v>
      </c>
      <c r="M96" s="366" t="str">
        <f t="shared" ca="1" si="1022"/>
        <v>Unit</v>
      </c>
      <c r="N96" s="1039"/>
      <c r="O96" s="1310" cm="1">
        <f t="array" aca="1" ref="O96" ca="1">SUM(IF($AF$14:$BQ$14="I_ctrlv",AF96:BQ96))</f>
        <v>12031.787249999999</v>
      </c>
      <c r="P96" s="418">
        <f t="shared" ca="1" si="877"/>
        <v>1.8369851075412777E-3</v>
      </c>
      <c r="Q96" s="391">
        <f t="array" aca="1" ref="Q96" ca="1">SUM(IF($AF$14:$BQ$14="I_pos",AF96:BQ96))</f>
        <v>18</v>
      </c>
      <c r="R96" s="391">
        <f t="array" aca="1" ref="R96" ca="1">SUM(IF($AF$14:$BQ$14="P_Pos",AF96:BQ96))</f>
        <v>-17.999999999999996</v>
      </c>
      <c r="S96" s="1314"/>
      <c r="T96" s="391"/>
      <c r="U96" s="366"/>
      <c r="V96" s="391">
        <f t="array" aca="1" ref="V96" ca="1">SUM(IF($AF$14:$BQ$14="O_Pos",AF96:BQ96))</f>
        <v>0</v>
      </c>
      <c r="W96" s="1310"/>
      <c r="X96" s="1312">
        <f t="shared" ca="1" si="1056"/>
        <v>0</v>
      </c>
      <c r="Y96" s="1312">
        <f t="shared" ca="1" si="1056"/>
        <v>0</v>
      </c>
      <c r="Z96" s="1312">
        <f t="shared" ca="1" si="1056"/>
        <v>0</v>
      </c>
      <c r="AA96" s="1313">
        <f t="shared" ca="1" si="1056"/>
        <v>0</v>
      </c>
      <c r="AB96" s="367" t="str">
        <f t="shared" ca="1" si="1057"/>
        <v>USD</v>
      </c>
      <c r="AC96" s="392">
        <f t="shared" ca="1" si="1025"/>
        <v>854.5</v>
      </c>
      <c r="AD96" s="393">
        <f t="shared" ca="1" si="1026"/>
        <v>1.75541E-3</v>
      </c>
      <c r="AE96" s="378">
        <f t="shared" ca="1" si="1058"/>
        <v>0.78225</v>
      </c>
      <c r="AF96" s="214"/>
      <c r="AG96" s="312" t="str">
        <f t="shared" ref="AG96" ca="1" si="1086">IFERROR($AC96/AH96-1,"")</f>
        <v/>
      </c>
      <c r="AH96" s="1254"/>
      <c r="AI96" s="199">
        <f t="shared" ref="AI96" ca="1" si="1087">AF96*$AC96</f>
        <v>0</v>
      </c>
      <c r="AJ96" s="199">
        <f t="shared" ref="AJ96" ca="1" si="1088">AI96*$AE96</f>
        <v>0</v>
      </c>
      <c r="AK96" s="216">
        <f t="shared" ref="AK96" ca="1" si="1089">IFERROR(AJ96/AF$4,0)</f>
        <v>0</v>
      </c>
      <c r="AL96" s="202">
        <f t="shared" ref="AL96" ca="1" si="1090">AM96/$AC96</f>
        <v>0</v>
      </c>
      <c r="AM96" s="203">
        <f t="shared" ref="AM96" ca="1" si="1091">AN96/$AE96</f>
        <v>0</v>
      </c>
      <c r="AN96" s="203">
        <f t="shared" ref="AN96" ca="1" si="1092">AO96*AF$4</f>
        <v>0</v>
      </c>
      <c r="AO96" s="204">
        <f t="shared" ref="AO96" ca="1" si="1093">$N96-AK96</f>
        <v>0</v>
      </c>
      <c r="AP96" s="205"/>
      <c r="AQ96" s="206">
        <f t="shared" ref="AQ96" ca="1" si="1094">AP96*$AC96</f>
        <v>0</v>
      </c>
      <c r="AR96" s="206">
        <f t="shared" ref="AR96" ca="1" si="1095">AQ96*$AE96</f>
        <v>0</v>
      </c>
      <c r="AS96" s="207">
        <f t="shared" ref="AS96" ca="1" si="1096">IFERROR(AR96/AF$4,0)</f>
        <v>0</v>
      </c>
      <c r="AT96" s="391">
        <f t="shared" ref="AT96" si="1097">AF96+AP96</f>
        <v>0</v>
      </c>
      <c r="AU96" s="391">
        <f t="shared" ca="1" si="804"/>
        <v>0</v>
      </c>
      <c r="AV96" s="391">
        <f t="shared" ref="AV96" ca="1" si="1098">AU96*$AE96</f>
        <v>0</v>
      </c>
      <c r="AW96" s="394">
        <f t="shared" ref="AW96" ca="1" si="1099">IFERROR(AV96/AF$4,0)</f>
        <v>0</v>
      </c>
      <c r="AX96" s="1007" t="str">
        <f t="shared" ca="1" si="936"/>
        <v/>
      </c>
      <c r="AY96" s="1255">
        <v>18</v>
      </c>
      <c r="AZ96" s="312">
        <f t="shared" ref="AZ96" ca="1" si="1100">IFERROR($AC96/BA96-1,"")</f>
        <v>14.73574264832825</v>
      </c>
      <c r="BA96" s="1254">
        <v>54.303125000000001</v>
      </c>
      <c r="BB96" s="199">
        <f t="shared" ref="BB96" ca="1" si="1101">AY96*$AC96</f>
        <v>15381</v>
      </c>
      <c r="BC96" s="199">
        <f t="shared" ref="BC96" ca="1" si="1102">BB96*$AE96</f>
        <v>12031.787249999999</v>
      </c>
      <c r="BD96" s="216">
        <f t="shared" ref="BD96" ca="1" si="1103">IFERROR(BC96/AY$4,0)</f>
        <v>1.7004076494212129E-2</v>
      </c>
      <c r="BE96" s="202">
        <f t="shared" ref="BE96" ca="1" si="1104">BF96/$AC96</f>
        <v>-17.999999999999996</v>
      </c>
      <c r="BF96" s="203">
        <f t="shared" ref="BF96" ca="1" si="1105">BG96/$AE96</f>
        <v>-15380.999999999996</v>
      </c>
      <c r="BG96" s="203">
        <f t="shared" ref="BG96" ca="1" si="1106">BH96*AY$4</f>
        <v>-12031.787249999998</v>
      </c>
      <c r="BH96" s="204">
        <f t="shared" ref="BH96" ca="1" si="1107">$N96-BD96</f>
        <v>-1.7004076494212129E-2</v>
      </c>
      <c r="BI96" s="1253"/>
      <c r="BJ96" s="206">
        <f t="shared" ref="BJ96" ca="1" si="1108">BI96*$AC96</f>
        <v>0</v>
      </c>
      <c r="BK96" s="206">
        <f t="shared" ref="BK96" ca="1" si="1109">BJ96*$AE96</f>
        <v>0</v>
      </c>
      <c r="BL96" s="207">
        <f t="shared" ref="BL96" ca="1" si="1110">IFERROR(BK96/AY$4,0)</f>
        <v>0</v>
      </c>
      <c r="BM96" s="391">
        <f t="shared" ref="BM96" si="1111">AY96+BI96</f>
        <v>18</v>
      </c>
      <c r="BN96" s="391">
        <f t="shared" ca="1" si="807"/>
        <v>15381</v>
      </c>
      <c r="BO96" s="391">
        <f t="shared" ref="BO96" ca="1" si="1112">BN96*$AE96</f>
        <v>12031.787249999999</v>
      </c>
      <c r="BP96" s="886">
        <f t="shared" ca="1" si="910"/>
        <v>1.7004076494212129E-2</v>
      </c>
      <c r="BQ96" s="1007" t="str">
        <f t="shared" ca="1" si="916"/>
        <v>V</v>
      </c>
      <c r="BR96" s="1007"/>
    </row>
    <row r="97" spans="1:70" ht="13.5" hidden="1" customHeight="1" outlineLevel="1" x14ac:dyDescent="0.2">
      <c r="A97" s="367"/>
      <c r="B97" s="367"/>
      <c r="C97" s="367" t="str">
        <f t="shared" ca="1" si="1016"/>
        <v>US5007541064:USD</v>
      </c>
      <c r="D97" s="368" t="str">
        <f t="shared" ca="1" si="1017"/>
        <v>US5007541064</v>
      </c>
      <c r="E97" s="369" t="str">
        <f t="shared" ca="1" si="1017"/>
        <v>28688848</v>
      </c>
      <c r="F97" s="367" t="s">
        <v>896</v>
      </c>
      <c r="G97" s="414"/>
      <c r="H97" s="1713" t="str">
        <f t="shared" ca="1" si="1018"/>
        <v></v>
      </c>
      <c r="I97" s="1683" t="str">
        <f t="shared" ref="I97" ca="1" si="1113">HYPERLINK(OFFSET(Origine,MATCH($F97,Descrizioni,0),MATCH(I$14,Intestazioni,0)-1,1,1),"i")</f>
        <v>i</v>
      </c>
      <c r="J97" s="1713" t="str">
        <f t="shared" ref="J97:K97" ca="1" si="1114">HYPERLINK(OFFSET(Origine,MATCH($F97,Descrizioni,0),MATCH(J$14,Intestazioni,0)-1,1,1),"")</f>
        <v></v>
      </c>
      <c r="K97" s="1716" t="str">
        <f t="shared" ca="1" si="1114"/>
        <v></v>
      </c>
      <c r="L97" s="1717" t="str">
        <f t="shared" ca="1" si="1021"/>
        <v></v>
      </c>
      <c r="M97" s="366" t="str">
        <f t="shared" ca="1" si="1022"/>
        <v>Unit</v>
      </c>
      <c r="N97" s="1039"/>
      <c r="O97" s="1310" cm="1">
        <f t="array" aca="1" ref="O97" ca="1">SUM(IF($AF$14:$BQ$14="I_ctrlv",AF97:BQ97))</f>
        <v>30294.977999999999</v>
      </c>
      <c r="P97" s="418">
        <f t="shared" ca="1" si="877"/>
        <v>4.6253663119991293E-3</v>
      </c>
      <c r="Q97" s="391">
        <f t="array" aca="1" ref="Q97" ca="1">SUM(IF($AF$14:$BQ$14="I_pos",AF97:BQ97))</f>
        <v>1600</v>
      </c>
      <c r="R97" s="391">
        <f t="array" aca="1" ref="R97" ca="1">SUM(IF($AF$14:$BQ$14="P_Pos",AF97:BQ97))</f>
        <v>-1600</v>
      </c>
      <c r="S97" s="1314"/>
      <c r="T97" s="391"/>
      <c r="U97" s="366"/>
      <c r="V97" s="391">
        <f t="array" aca="1" ref="V97" ca="1">SUM(IF($AF$14:$BQ$14="O_Pos",AF97:BQ97))</f>
        <v>0</v>
      </c>
      <c r="W97" s="1310"/>
      <c r="X97" s="1312">
        <f t="shared" ref="X97:AA97" ca="1" si="1115">OFFSET(Origine,MATCH($F97,Descrizioni,0),MATCH(X$14,Intestazioni,0)-1,1,1)</f>
        <v>0</v>
      </c>
      <c r="Y97" s="1312">
        <f t="shared" ca="1" si="1115"/>
        <v>0</v>
      </c>
      <c r="Z97" s="1312">
        <f t="shared" ca="1" si="1115"/>
        <v>0</v>
      </c>
      <c r="AA97" s="1313">
        <f t="shared" ca="1" si="1115"/>
        <v>0</v>
      </c>
      <c r="AB97" s="367" t="str">
        <f t="shared" ref="AB97" ca="1" si="1116">OFFSET(Origine,MATCH($F97,Descrizioni,0),MATCH(AB$14,Intestazioni,0)-1,1,1)</f>
        <v>USD</v>
      </c>
      <c r="AC97" s="392">
        <f t="shared" ref="AC97" ca="1" si="1117">_xlfn.NUMBERVALUE(OFFSET(Origine,MATCH($F97,Descrizioni,0),MATCH(AC$14,Intestazioni,0)-1,1,1))</f>
        <v>24.204999999999998</v>
      </c>
      <c r="AD97" s="393">
        <f t="shared" ca="1" si="1026"/>
        <v>6.6102049999999996E-2</v>
      </c>
      <c r="AE97" s="378">
        <f t="shared" ca="1" si="1058"/>
        <v>0.78225</v>
      </c>
      <c r="AF97" s="214">
        <f>1600</f>
        <v>1600</v>
      </c>
      <c r="AG97" s="312">
        <f t="shared" ca="1" si="1059"/>
        <v>-0.3486520959920778</v>
      </c>
      <c r="AH97" s="1254">
        <v>37.1614</v>
      </c>
      <c r="AI97" s="199">
        <f t="shared" ref="AI97" ca="1" si="1118">AF97*$AC97</f>
        <v>38728</v>
      </c>
      <c r="AJ97" s="199">
        <f t="shared" ref="AJ97" ca="1" si="1119">AI97*$AE97</f>
        <v>30294.977999999999</v>
      </c>
      <c r="AK97" s="216">
        <f t="shared" ca="1" si="980"/>
        <v>5.1855745164233885E-3</v>
      </c>
      <c r="AL97" s="202">
        <f t="shared" ref="AL97" ca="1" si="1120">AM97/$AC97</f>
        <v>-1600</v>
      </c>
      <c r="AM97" s="203">
        <f t="shared" ref="AM97" ca="1" si="1121">AN97/$AE97</f>
        <v>-38728</v>
      </c>
      <c r="AN97" s="203">
        <f t="shared" ref="AN97" ca="1" si="1122">AO97*AF$4</f>
        <v>-30294.977999999999</v>
      </c>
      <c r="AO97" s="204">
        <f t="shared" ref="AO97" ca="1" si="1123">$N97-AK97</f>
        <v>-5.1855745164233885E-3</v>
      </c>
      <c r="AP97" s="205"/>
      <c r="AQ97" s="206">
        <f t="shared" ref="AQ97" ca="1" si="1124">AP97*$AC97</f>
        <v>0</v>
      </c>
      <c r="AR97" s="206">
        <f t="shared" ref="AR97" ca="1" si="1125">AQ97*$AE97</f>
        <v>0</v>
      </c>
      <c r="AS97" s="207">
        <f t="shared" ca="1" si="987"/>
        <v>0</v>
      </c>
      <c r="AT97" s="391">
        <f>AF97+AP97</f>
        <v>1600</v>
      </c>
      <c r="AU97" s="391">
        <f t="shared" ca="1" si="804"/>
        <v>38728</v>
      </c>
      <c r="AV97" s="391">
        <f t="shared" ref="AV97" ca="1" si="1126">AU97*$AE97</f>
        <v>30294.977999999999</v>
      </c>
      <c r="AW97" s="394">
        <f t="shared" ref="AW97:AW110" ca="1" si="1127">IFERROR(AV97/AF$4,0)</f>
        <v>5.1855745164233885E-3</v>
      </c>
      <c r="AX97" s="1007" t="str">
        <f t="shared" ca="1" si="936"/>
        <v>V</v>
      </c>
      <c r="AY97" s="1255"/>
      <c r="AZ97" s="312" t="str">
        <f t="shared" ca="1" si="1073"/>
        <v/>
      </c>
      <c r="BA97" s="1254"/>
      <c r="BB97" s="199">
        <f t="shared" ref="BB97" ca="1" si="1128">AY97*$AC97</f>
        <v>0</v>
      </c>
      <c r="BC97" s="199">
        <f t="shared" ref="BC97" ca="1" si="1129">BB97*$AE97</f>
        <v>0</v>
      </c>
      <c r="BD97" s="216">
        <f t="shared" ca="1" si="994"/>
        <v>0</v>
      </c>
      <c r="BE97" s="202">
        <f t="shared" ref="BE97" ca="1" si="1130">BF97/$AC97</f>
        <v>0</v>
      </c>
      <c r="BF97" s="203">
        <f t="shared" ref="BF97" ca="1" si="1131">BG97/$AE97</f>
        <v>0</v>
      </c>
      <c r="BG97" s="203">
        <f t="shared" ref="BG97" ca="1" si="1132">BH97*AY$4</f>
        <v>0</v>
      </c>
      <c r="BH97" s="204">
        <f t="shared" ref="BH97" ca="1" si="1133">$N97-BD97</f>
        <v>0</v>
      </c>
      <c r="BI97" s="1253"/>
      <c r="BJ97" s="206">
        <f t="shared" ref="BJ97" ca="1" si="1134">BI97*$AC97</f>
        <v>0</v>
      </c>
      <c r="BK97" s="206">
        <f t="shared" ref="BK97" ca="1" si="1135">BJ97*$AE97</f>
        <v>0</v>
      </c>
      <c r="BL97" s="207">
        <f t="shared" ca="1" si="1001"/>
        <v>0</v>
      </c>
      <c r="BM97" s="391">
        <f>AY97+BI97</f>
        <v>0</v>
      </c>
      <c r="BN97" s="391">
        <f t="shared" ca="1" si="807"/>
        <v>0</v>
      </c>
      <c r="BO97" s="391">
        <f t="shared" ref="BO97" ca="1" si="1136">BN97*$AE97</f>
        <v>0</v>
      </c>
      <c r="BP97" s="886">
        <f t="shared" ca="1" si="910"/>
        <v>0</v>
      </c>
      <c r="BQ97" s="1007" t="str">
        <f t="shared" ref="BQ97:BQ101" ca="1" si="1137">IF(OR(BD97&lt;&gt;0,BL97&lt;&gt;0),"V","")</f>
        <v/>
      </c>
      <c r="BR97" s="1007"/>
    </row>
    <row r="98" spans="1:70" ht="13.5" hidden="1" customHeight="1" outlineLevel="1" x14ac:dyDescent="0.2">
      <c r="A98" s="367"/>
      <c r="B98" s="367"/>
      <c r="C98" s="367" t="str">
        <f t="shared" ca="1" si="1016"/>
        <v>IE00BFWFPX50:USD</v>
      </c>
      <c r="D98" s="368" t="str">
        <f t="shared" ca="1" si="1017"/>
        <v>IE00BFWFPX50</v>
      </c>
      <c r="E98" s="369" t="str">
        <f t="shared" ca="1" si="1017"/>
        <v>42480705</v>
      </c>
      <c r="F98" s="367" t="s">
        <v>462</v>
      </c>
      <c r="G98" s="414"/>
      <c r="H98" s="1713" t="str">
        <f t="shared" ca="1" si="1018"/>
        <v></v>
      </c>
      <c r="I98" s="1683" t="str">
        <f t="shared" ref="I98:I107" ca="1" si="1138">HYPERLINK(OFFSET(Origine,MATCH($F98,Descrizioni,0),MATCH(I$14,Intestazioni,0)-1,1,1),"i")</f>
        <v>i</v>
      </c>
      <c r="J98" s="1713" t="str">
        <f t="shared" ref="J98:K98" ca="1" si="1139">HYPERLINK(OFFSET(Origine,MATCH($F98,Descrizioni,0),MATCH(J$14,Intestazioni,0)-1,1,1),"")</f>
        <v></v>
      </c>
      <c r="K98" s="1716" t="str">
        <f t="shared" ca="1" si="1139"/>
        <v></v>
      </c>
      <c r="L98" s="1717" t="str">
        <f t="shared" ref="L98:L107" ca="1" si="1140">IFERROR(HYPERLINK("https://www.zonebourse.com/mods_a/charts/TV/inc_dyna_graph.php?c="&amp;OFFSET(Origine,MATCH($F98,Descrizioni,0),MATCH(L$14,Intestazioni,0)-1,1,1)&amp;"&amp;style=TradingView.CANDLES&amp;showAT=1",""),"")</f>
        <v></v>
      </c>
      <c r="M98" s="366" t="str">
        <f t="shared" ca="1" si="1022"/>
        <v>Unit</v>
      </c>
      <c r="N98" s="1039"/>
      <c r="O98" s="1310" cm="1">
        <f t="array" aca="1" ref="O98" ca="1">SUM(IF($AF$14:$BQ$14="I_ctrlv",AF98:BQ98))</f>
        <v>0</v>
      </c>
      <c r="P98" s="418">
        <f t="shared" ca="1" si="877"/>
        <v>0</v>
      </c>
      <c r="Q98" s="391">
        <f t="array" aca="1" ref="Q98" ca="1">SUM(IF($AF$14:$BQ$14="I_pos",AF98:BQ98))</f>
        <v>0</v>
      </c>
      <c r="R98" s="391">
        <f t="array" aca="1" ref="R98" ca="1">SUM(IF($AF$14:$BQ$14="P_Pos",AF98:BQ98))</f>
        <v>0</v>
      </c>
      <c r="S98" s="1314"/>
      <c r="T98" s="391"/>
      <c r="U98" s="366"/>
      <c r="V98" s="391">
        <f t="array" aca="1" ref="V98" ca="1">SUM(IF($AF$14:$BQ$14="O_Pos",AF98:BQ98))</f>
        <v>0</v>
      </c>
      <c r="W98" s="1310"/>
      <c r="X98" s="1312">
        <f t="shared" ref="X98:AB98" ca="1" si="1141">OFFSET(Origine,MATCH($F98,Descrizioni,0),MATCH(X$14,Intestazioni,0)-1,1,1)</f>
        <v>0</v>
      </c>
      <c r="Y98" s="1312">
        <f t="shared" ca="1" si="1141"/>
        <v>0</v>
      </c>
      <c r="Z98" s="1312">
        <f t="shared" ca="1" si="1141"/>
        <v>0</v>
      </c>
      <c r="AA98" s="1313">
        <f t="shared" ca="1" si="1141"/>
        <v>0</v>
      </c>
      <c r="AB98" s="367" t="str">
        <f t="shared" ca="1" si="1141"/>
        <v>USD</v>
      </c>
      <c r="AC98" s="392">
        <f t="shared" ref="AC98:AD106" ca="1" si="1142">_xlfn.NUMBERVALUE(OFFSET(Origine,MATCH($F98,Descrizioni,0),MATCH(AC$14,Intestazioni,0)-1,1,1))</f>
        <v>53.88</v>
      </c>
      <c r="AD98" s="393">
        <f t="shared" ca="1" si="1142"/>
        <v>0</v>
      </c>
      <c r="AE98" s="378">
        <f t="shared" ca="1" si="1058"/>
        <v>0.78225</v>
      </c>
      <c r="AF98" s="214">
        <f>2750+-2750+1800+-1800</f>
        <v>0</v>
      </c>
      <c r="AG98" s="312" t="str">
        <f t="shared" ca="1" si="1059"/>
        <v/>
      </c>
      <c r="AH98" s="1254"/>
      <c r="AI98" s="199">
        <f t="shared" ref="AI98:AI107" ca="1" si="1143">AF98*$AC98</f>
        <v>0</v>
      </c>
      <c r="AJ98" s="199">
        <f t="shared" ref="AJ98:AJ107" ca="1" si="1144">AI98*$AE98</f>
        <v>0</v>
      </c>
      <c r="AK98" s="216">
        <f t="shared" ref="AK98:AK107" ca="1" si="1145">IFERROR(AJ98/AF$4,0)</f>
        <v>0</v>
      </c>
      <c r="AL98" s="202">
        <f t="shared" ref="AL98:AL107" ca="1" si="1146">AM98/$AC98</f>
        <v>0</v>
      </c>
      <c r="AM98" s="203">
        <f t="shared" ref="AM98:AM107" ca="1" si="1147">AN98/$AE98</f>
        <v>0</v>
      </c>
      <c r="AN98" s="203">
        <f t="shared" ref="AN98:AN107" ca="1" si="1148">AO98*AF$4</f>
        <v>0</v>
      </c>
      <c r="AO98" s="204">
        <f t="shared" ref="AO98:AO107" ca="1" si="1149">$N98-AK98</f>
        <v>0</v>
      </c>
      <c r="AP98" s="205"/>
      <c r="AQ98" s="206">
        <f t="shared" ref="AQ98:AQ107" ca="1" si="1150">AP98*$AC98</f>
        <v>0</v>
      </c>
      <c r="AR98" s="206">
        <f t="shared" ref="AR98:AR107" ca="1" si="1151">AQ98*$AE98</f>
        <v>0</v>
      </c>
      <c r="AS98" s="207">
        <f t="shared" ref="AS98:AS107" ca="1" si="1152">IFERROR(AR98/AF$4,0)</f>
        <v>0</v>
      </c>
      <c r="AT98" s="391">
        <f t="shared" ref="AT98:AT108" si="1153">AF98+AP98</f>
        <v>0</v>
      </c>
      <c r="AU98" s="391">
        <f t="shared" ca="1" si="804"/>
        <v>0</v>
      </c>
      <c r="AV98" s="391">
        <f t="shared" ref="AV98:AV107" ca="1" si="1154">AU98*$AE98</f>
        <v>0</v>
      </c>
      <c r="AW98" s="394">
        <f t="shared" ref="AW98:AW107" ca="1" si="1155">IFERROR(AV98/AF$4,0)</f>
        <v>0</v>
      </c>
      <c r="AX98" s="1007" t="str">
        <f t="shared" ca="1" si="936"/>
        <v/>
      </c>
      <c r="AY98" s="1255"/>
      <c r="AZ98" s="312" t="str">
        <f t="shared" ca="1" si="1073"/>
        <v/>
      </c>
      <c r="BA98" s="1254"/>
      <c r="BB98" s="199">
        <f t="shared" ref="BB98:BB107" ca="1" si="1156">AY98*$AC98</f>
        <v>0</v>
      </c>
      <c r="BC98" s="199">
        <f t="shared" ref="BC98:BC107" ca="1" si="1157">BB98*$AE98</f>
        <v>0</v>
      </c>
      <c r="BD98" s="216">
        <f t="shared" ref="BD98:BD107" ca="1" si="1158">IFERROR(BC98/AY$4,0)</f>
        <v>0</v>
      </c>
      <c r="BE98" s="202">
        <f t="shared" ref="BE98:BE107" ca="1" si="1159">BF98/$AC98</f>
        <v>0</v>
      </c>
      <c r="BF98" s="203">
        <f t="shared" ref="BF98:BF107" ca="1" si="1160">BG98/$AE98</f>
        <v>0</v>
      </c>
      <c r="BG98" s="203">
        <f t="shared" ref="BG98:BG107" ca="1" si="1161">BH98*AY$4</f>
        <v>0</v>
      </c>
      <c r="BH98" s="204">
        <f t="shared" ref="BH98:BH107" ca="1" si="1162">$N98-BD98</f>
        <v>0</v>
      </c>
      <c r="BI98" s="1253"/>
      <c r="BJ98" s="206">
        <f t="shared" ref="BJ98:BJ107" ca="1" si="1163">BI98*$AC98</f>
        <v>0</v>
      </c>
      <c r="BK98" s="206">
        <f t="shared" ref="BK98:BK107" ca="1" si="1164">BJ98*$AE98</f>
        <v>0</v>
      </c>
      <c r="BL98" s="207">
        <f t="shared" ref="BL98:BL107" ca="1" si="1165">IFERROR(BK98/AY$4,0)</f>
        <v>0</v>
      </c>
      <c r="BM98" s="391">
        <f t="shared" ref="BM98:BM108" si="1166">AY98+BI98</f>
        <v>0</v>
      </c>
      <c r="BN98" s="391">
        <f t="shared" ca="1" si="807"/>
        <v>0</v>
      </c>
      <c r="BO98" s="391">
        <f t="shared" ref="BO98:BO107" ca="1" si="1167">BN98*$AE98</f>
        <v>0</v>
      </c>
      <c r="BP98" s="886">
        <f t="shared" ca="1" si="910"/>
        <v>0</v>
      </c>
      <c r="BQ98" s="1007" t="str">
        <f t="shared" ca="1" si="1137"/>
        <v/>
      </c>
      <c r="BR98" s="1007"/>
    </row>
    <row r="99" spans="1:70" ht="13.5" hidden="1" customHeight="1" outlineLevel="1" x14ac:dyDescent="0.2">
      <c r="A99" s="367"/>
      <c r="B99" s="367"/>
      <c r="C99" s="367" t="str">
        <f t="shared" ca="1" si="1016"/>
        <v>US81369Y8527:USD:P</v>
      </c>
      <c r="D99" s="368" t="str">
        <f t="shared" ca="1" si="1017"/>
        <v>US81369Y8527</v>
      </c>
      <c r="E99" s="369" t="str">
        <f t="shared" ca="1" si="1017"/>
        <v>42302430</v>
      </c>
      <c r="F99" s="367" t="s">
        <v>415</v>
      </c>
      <c r="G99" s="414"/>
      <c r="H99" s="1713" t="str">
        <f t="shared" ca="1" si="1018"/>
        <v></v>
      </c>
      <c r="I99" s="1683" t="str">
        <f t="shared" ca="1" si="1138"/>
        <v>i</v>
      </c>
      <c r="J99" s="1713" t="str">
        <f t="shared" ref="J99:K107" ca="1" si="1168">HYPERLINK(OFFSET(Origine,MATCH($F99,Descrizioni,0),MATCH(J$14,Intestazioni,0)-1,1,1),"")</f>
        <v></v>
      </c>
      <c r="K99" s="1716" t="str">
        <f t="shared" ca="1" si="1168"/>
        <v></v>
      </c>
      <c r="L99" s="1717" t="str">
        <f t="shared" ca="1" si="1140"/>
        <v></v>
      </c>
      <c r="M99" s="366" t="str">
        <f t="shared" ca="1" si="1022"/>
        <v>Unit</v>
      </c>
      <c r="N99" s="1039">
        <v>1.4999999999999999E-2</v>
      </c>
      <c r="O99" s="1310" cm="1">
        <f t="array" aca="1" ref="O99" ca="1">SUM(IF($AF$14:$BQ$14="I_ctrlv",AF99:BQ99))</f>
        <v>55078.222500000003</v>
      </c>
      <c r="P99" s="418">
        <f t="shared" ca="1" si="877"/>
        <v>8.409214057732357E-3</v>
      </c>
      <c r="Q99" s="391">
        <f t="array" aca="1" ref="Q99" ca="1">SUM(IF($AF$14:$BQ$14="I_pos",AF99:BQ99))</f>
        <v>600</v>
      </c>
      <c r="R99" s="391">
        <f t="array" aca="1" ref="R99" ca="1">SUM(IF($AF$14:$BQ$14="P_Pos",AF99:BQ99))</f>
        <v>470.25459670923817</v>
      </c>
      <c r="S99" s="1314"/>
      <c r="T99" s="391"/>
      <c r="U99" s="366"/>
      <c r="V99" s="391">
        <f t="array" aca="1" ref="V99" ca="1">SUM(IF($AF$14:$BQ$14="O_Pos",AF99:BQ99))</f>
        <v>0</v>
      </c>
      <c r="W99" s="1310"/>
      <c r="X99" s="1312">
        <f t="shared" ref="X99:AB107" ca="1" si="1169">OFFSET(Origine,MATCH($F99,Descrizioni,0),MATCH(X$14,Intestazioni,0)-1,1,1)</f>
        <v>0</v>
      </c>
      <c r="Y99" s="1312">
        <f t="shared" ca="1" si="1169"/>
        <v>0</v>
      </c>
      <c r="Z99" s="1312">
        <f t="shared" ca="1" si="1169"/>
        <v>0</v>
      </c>
      <c r="AA99" s="1313">
        <f t="shared" ca="1" si="1169"/>
        <v>0</v>
      </c>
      <c r="AB99" s="367" t="str">
        <f t="shared" ca="1" si="1169"/>
        <v>USD</v>
      </c>
      <c r="AC99" s="392">
        <f t="shared" ca="1" si="1142"/>
        <v>117.35</v>
      </c>
      <c r="AD99" s="393">
        <f t="shared" ref="AC99:AD107" ca="1" si="1170">_xlfn.NUMBERVALUE(OFFSET(Origine,MATCH($F99,Descrizioni,0),MATCH(AD$14,Intestazioni,0)-1,1,1))</f>
        <v>0</v>
      </c>
      <c r="AE99" s="378">
        <f t="shared" ca="1" si="1058"/>
        <v>0.78225</v>
      </c>
      <c r="AF99" s="214">
        <f>400+200</f>
        <v>600</v>
      </c>
      <c r="AG99" s="312">
        <f t="shared" ref="AG99" ca="1" si="1171">IFERROR($AC99/AH99-1,"")</f>
        <v>5.807654577454624E-2</v>
      </c>
      <c r="AH99" s="1254">
        <v>110.9088</v>
      </c>
      <c r="AI99" s="199">
        <f t="shared" ca="1" si="1143"/>
        <v>70410</v>
      </c>
      <c r="AJ99" s="199">
        <f t="shared" ca="1" si="1144"/>
        <v>55078.222500000003</v>
      </c>
      <c r="AK99" s="216">
        <f t="shared" ca="1" si="1145"/>
        <v>9.4277086785109175E-3</v>
      </c>
      <c r="AL99" s="202">
        <f t="shared" ca="1" si="1146"/>
        <v>354.63280706946148</v>
      </c>
      <c r="AM99" s="203">
        <f t="shared" ca="1" si="1147"/>
        <v>41616.159909601301</v>
      </c>
      <c r="AN99" s="203">
        <f t="shared" ca="1" si="1148"/>
        <v>32554.241089285617</v>
      </c>
      <c r="AO99" s="204">
        <f t="shared" ca="1" si="1149"/>
        <v>5.5722913214890819E-3</v>
      </c>
      <c r="AP99" s="205"/>
      <c r="AQ99" s="206">
        <f t="shared" ca="1" si="1150"/>
        <v>0</v>
      </c>
      <c r="AR99" s="206">
        <f t="shared" ca="1" si="1151"/>
        <v>0</v>
      </c>
      <c r="AS99" s="207">
        <f t="shared" ca="1" si="1152"/>
        <v>0</v>
      </c>
      <c r="AT99" s="391">
        <f t="shared" ref="AT99" si="1172">AF99+AP99</f>
        <v>600</v>
      </c>
      <c r="AU99" s="391">
        <f t="shared" ref="AU99" ca="1" si="1173">AI99+IF($T99="",AQ99)</f>
        <v>70410</v>
      </c>
      <c r="AV99" s="391">
        <f t="shared" ca="1" si="1154"/>
        <v>55078.222500000003</v>
      </c>
      <c r="AW99" s="394">
        <f t="shared" ca="1" si="1155"/>
        <v>9.4277086785109175E-3</v>
      </c>
      <c r="AX99" s="1007" t="str">
        <f t="shared" ca="1" si="936"/>
        <v>V</v>
      </c>
      <c r="AY99" s="1316"/>
      <c r="AZ99" s="312" t="str">
        <f t="shared" ref="AZ99" ca="1" si="1174">IFERROR($AC99/BA99-1,"")</f>
        <v/>
      </c>
      <c r="BA99" s="1254"/>
      <c r="BB99" s="199">
        <f t="shared" ca="1" si="1156"/>
        <v>0</v>
      </c>
      <c r="BC99" s="199">
        <f t="shared" ca="1" si="1157"/>
        <v>0</v>
      </c>
      <c r="BD99" s="216">
        <f t="shared" ca="1" si="1158"/>
        <v>0</v>
      </c>
      <c r="BE99" s="202">
        <f t="shared" ca="1" si="1159"/>
        <v>115.62178963977671</v>
      </c>
      <c r="BF99" s="203">
        <f t="shared" ca="1" si="1160"/>
        <v>13568.217014227796</v>
      </c>
      <c r="BG99" s="203">
        <f t="shared" ca="1" si="1161"/>
        <v>10613.737759379694</v>
      </c>
      <c r="BH99" s="204">
        <f t="shared" ca="1" si="1162"/>
        <v>1.4999999999999999E-2</v>
      </c>
      <c r="BI99" s="1253"/>
      <c r="BJ99" s="206">
        <f t="shared" ca="1" si="1163"/>
        <v>0</v>
      </c>
      <c r="BK99" s="206">
        <f t="shared" ca="1" si="1164"/>
        <v>0</v>
      </c>
      <c r="BL99" s="207">
        <f t="shared" ca="1" si="1165"/>
        <v>0</v>
      </c>
      <c r="BM99" s="391">
        <f t="shared" ref="BM99" si="1175">AY99+BI99</f>
        <v>0</v>
      </c>
      <c r="BN99" s="391">
        <f t="shared" ref="BN99" ca="1" si="1176">BB99+IF($T99="",BJ99)</f>
        <v>0</v>
      </c>
      <c r="BO99" s="391">
        <f t="shared" ca="1" si="1167"/>
        <v>0</v>
      </c>
      <c r="BP99" s="886">
        <f t="shared" ca="1" si="910"/>
        <v>0</v>
      </c>
      <c r="BQ99" s="1007" t="str">
        <f t="shared" ca="1" si="1137"/>
        <v/>
      </c>
      <c r="BR99" s="1007"/>
    </row>
    <row r="100" spans="1:70" ht="13.5" hidden="1" customHeight="1" outlineLevel="1" x14ac:dyDescent="0.2">
      <c r="A100" s="367"/>
      <c r="B100" s="367"/>
      <c r="C100" s="367" t="str">
        <f t="shared" ca="1" si="1016"/>
        <v>US81369Y6059:USD</v>
      </c>
      <c r="D100" s="368" t="str">
        <f t="shared" ca="1" si="1017"/>
        <v>US81369Y6059</v>
      </c>
      <c r="E100" s="369" t="str">
        <f t="shared" ca="1" si="1017"/>
        <v>986018</v>
      </c>
      <c r="F100" s="367" t="s">
        <v>411</v>
      </c>
      <c r="G100" s="414"/>
      <c r="H100" s="1713" t="str">
        <f t="shared" ca="1" si="1018"/>
        <v></v>
      </c>
      <c r="I100" s="1683" t="str">
        <f t="shared" ca="1" si="1138"/>
        <v>i</v>
      </c>
      <c r="J100" s="1713" t="str">
        <f t="shared" ca="1" si="1168"/>
        <v></v>
      </c>
      <c r="K100" s="1716" t="str">
        <f t="shared" ca="1" si="1168"/>
        <v></v>
      </c>
      <c r="L100" s="1717" t="str">
        <f t="shared" ca="1" si="1140"/>
        <v></v>
      </c>
      <c r="M100" s="366" t="str">
        <f t="shared" ca="1" si="1022"/>
        <v>Unit</v>
      </c>
      <c r="N100" s="1039">
        <v>1.4999999999999999E-2</v>
      </c>
      <c r="O100" s="1310" cm="1">
        <f t="array" aca="1" ref="O100" ca="1">SUM(IF($AF$14:$BQ$14="I_ctrlv",AF100:BQ100))</f>
        <v>50486.649675000001</v>
      </c>
      <c r="P100" s="418">
        <f t="shared" ca="1" si="877"/>
        <v>7.7081834689712199E-3</v>
      </c>
      <c r="Q100" s="391">
        <f t="array" aca="1" ref="Q100" ca="1">SUM(IF($AF$14:$BQ$14="I_pos",AF100:BQ100))</f>
        <v>1265</v>
      </c>
      <c r="R100" s="391">
        <f t="array" aca="1" ref="R100" ca="1">SUM(IF($AF$14:$BQ$14="P_Pos",AF100:BQ100))</f>
        <v>1196.6694810628987</v>
      </c>
      <c r="S100" s="1314"/>
      <c r="T100" s="391"/>
      <c r="U100" s="366"/>
      <c r="V100" s="391">
        <f t="array" aca="1" ref="V100" ca="1">SUM(IF($AF$14:$BQ$14="O_Pos",AF100:BQ100))</f>
        <v>0</v>
      </c>
      <c r="W100" s="1310"/>
      <c r="X100" s="1312">
        <f t="shared" ca="1" si="1169"/>
        <v>0</v>
      </c>
      <c r="Y100" s="1312">
        <f t="shared" ca="1" si="1169"/>
        <v>0</v>
      </c>
      <c r="Z100" s="1312">
        <f t="shared" ca="1" si="1169"/>
        <v>0</v>
      </c>
      <c r="AA100" s="1313">
        <f t="shared" ca="1" si="1169"/>
        <v>0</v>
      </c>
      <c r="AB100" s="367" t="str">
        <f t="shared" ca="1" si="1169"/>
        <v>USD</v>
      </c>
      <c r="AC100" s="392">
        <f t="shared" ca="1" si="1142"/>
        <v>51.02</v>
      </c>
      <c r="AD100" s="393">
        <f t="shared" ca="1" si="1170"/>
        <v>0</v>
      </c>
      <c r="AE100" s="378">
        <f t="shared" ref="AE100:AE103" ca="1" si="1177">_xlfn.NUMBERVALUE(OFFSET(Origine,MATCH(AB100&amp;"/"&amp;MRif,LUKB_Name,0),MATCH("Price",Intestazioni,0)-1,1,1))</f>
        <v>0.78225</v>
      </c>
      <c r="AF100" s="214">
        <f>2265+-1000</f>
        <v>1265</v>
      </c>
      <c r="AG100" s="312">
        <f t="shared" ca="1" si="1059"/>
        <v>-3.813705510068266E-2</v>
      </c>
      <c r="AH100" s="1254">
        <v>53.042900000000003</v>
      </c>
      <c r="AI100" s="199">
        <f t="shared" ca="1" si="1143"/>
        <v>64540.3</v>
      </c>
      <c r="AJ100" s="199">
        <f t="shared" ca="1" si="1144"/>
        <v>50486.649675000001</v>
      </c>
      <c r="AK100" s="216">
        <f t="shared" ca="1" si="1145"/>
        <v>8.6417717145817093E-3</v>
      </c>
      <c r="AL100" s="202">
        <f t="shared" ca="1" si="1146"/>
        <v>930.73030007058594</v>
      </c>
      <c r="AM100" s="203">
        <f t="shared" ca="1" si="1147"/>
        <v>47485.859909601299</v>
      </c>
      <c r="AN100" s="203">
        <f t="shared" ca="1" si="1148"/>
        <v>37145.813914285616</v>
      </c>
      <c r="AO100" s="204">
        <f t="shared" ca="1" si="1149"/>
        <v>6.3582282854182902E-3</v>
      </c>
      <c r="AP100" s="205"/>
      <c r="AQ100" s="206">
        <f t="shared" ca="1" si="1150"/>
        <v>0</v>
      </c>
      <c r="AR100" s="206">
        <f t="shared" ca="1" si="1151"/>
        <v>0</v>
      </c>
      <c r="AS100" s="207">
        <f t="shared" ca="1" si="1152"/>
        <v>0</v>
      </c>
      <c r="AT100" s="391">
        <f t="shared" si="1153"/>
        <v>1265</v>
      </c>
      <c r="AU100" s="391">
        <f t="shared" ca="1" si="804"/>
        <v>64540.3</v>
      </c>
      <c r="AV100" s="391">
        <f t="shared" ca="1" si="1154"/>
        <v>50486.649675000001</v>
      </c>
      <c r="AW100" s="394">
        <f t="shared" ca="1" si="1155"/>
        <v>8.6417717145817093E-3</v>
      </c>
      <c r="AX100" s="1007" t="str">
        <f t="shared" ca="1" si="936"/>
        <v>V</v>
      </c>
      <c r="AY100" s="1316"/>
      <c r="AZ100" s="312" t="str">
        <f t="shared" ca="1" si="1073"/>
        <v/>
      </c>
      <c r="BA100" s="1254"/>
      <c r="BB100" s="199">
        <f t="shared" ca="1" si="1156"/>
        <v>0</v>
      </c>
      <c r="BC100" s="199">
        <f t="shared" ca="1" si="1157"/>
        <v>0</v>
      </c>
      <c r="BD100" s="216">
        <f t="shared" ca="1" si="1158"/>
        <v>0</v>
      </c>
      <c r="BE100" s="202">
        <f t="shared" ca="1" si="1159"/>
        <v>265.93918099231274</v>
      </c>
      <c r="BF100" s="203">
        <f t="shared" ca="1" si="1160"/>
        <v>13568.217014227796</v>
      </c>
      <c r="BG100" s="203">
        <f t="shared" ca="1" si="1161"/>
        <v>10613.737759379694</v>
      </c>
      <c r="BH100" s="204">
        <f t="shared" ca="1" si="1162"/>
        <v>1.4999999999999999E-2</v>
      </c>
      <c r="BI100" s="1253"/>
      <c r="BJ100" s="206">
        <f t="shared" ca="1" si="1163"/>
        <v>0</v>
      </c>
      <c r="BK100" s="206">
        <f t="shared" ca="1" si="1164"/>
        <v>0</v>
      </c>
      <c r="BL100" s="207">
        <f t="shared" ca="1" si="1165"/>
        <v>0</v>
      </c>
      <c r="BM100" s="391">
        <f t="shared" si="1166"/>
        <v>0</v>
      </c>
      <c r="BN100" s="391">
        <f t="shared" ca="1" si="807"/>
        <v>0</v>
      </c>
      <c r="BO100" s="391">
        <f t="shared" ca="1" si="1167"/>
        <v>0</v>
      </c>
      <c r="BP100" s="886">
        <f t="shared" ca="1" si="910"/>
        <v>0</v>
      </c>
      <c r="BQ100" s="1007" t="str">
        <f t="shared" ca="1" si="1137"/>
        <v/>
      </c>
      <c r="BR100" s="1007"/>
    </row>
    <row r="101" spans="1:70" ht="13.5" hidden="1" customHeight="1" outlineLevel="1" x14ac:dyDescent="0.2">
      <c r="A101" s="367"/>
      <c r="B101" s="367"/>
      <c r="C101" s="367" t="str">
        <f t="shared" ca="1" si="1016"/>
        <v>US81369Y7040:USD</v>
      </c>
      <c r="D101" s="368" t="str">
        <f t="shared" ca="1" si="1017"/>
        <v>US81369Y7040</v>
      </c>
      <c r="E101" s="369" t="str">
        <f t="shared" ca="1" si="1017"/>
        <v>986058</v>
      </c>
      <c r="F101" s="367" t="s">
        <v>472</v>
      </c>
      <c r="G101" s="414"/>
      <c r="H101" s="1713" t="str">
        <f t="shared" ca="1" si="1018"/>
        <v></v>
      </c>
      <c r="I101" s="1683" t="str">
        <f t="shared" ca="1" si="1138"/>
        <v>i</v>
      </c>
      <c r="J101" s="1713" t="str">
        <f t="shared" ca="1" si="1168"/>
        <v></v>
      </c>
      <c r="K101" s="1716" t="str">
        <f t="shared" ca="1" si="1168"/>
        <v></v>
      </c>
      <c r="L101" s="1717" t="str">
        <f t="shared" ca="1" si="1140"/>
        <v></v>
      </c>
      <c r="M101" s="366" t="str">
        <f t="shared" ca="1" si="1022"/>
        <v>Unit</v>
      </c>
      <c r="N101" s="1039">
        <v>1.4999999999999999E-2</v>
      </c>
      <c r="O101" s="1310" cm="1">
        <f t="array" aca="1" ref="O101" ca="1">SUM(IF($AF$14:$BQ$14="I_ctrlv",AF101:BQ101))</f>
        <v>57735.212849999996</v>
      </c>
      <c r="P101" s="418">
        <f t="shared" ca="1" si="877"/>
        <v>8.8148771236106933E-3</v>
      </c>
      <c r="Q101" s="391">
        <f t="array" aca="1" ref="Q101" ca="1">SUM(IF($AF$14:$BQ$14="I_pos",AF101:BQ101))</f>
        <v>420</v>
      </c>
      <c r="R101" s="391">
        <f t="array" aca="1" ref="R101" ca="1">SUM(IF($AF$14:$BQ$14="P_Pos",AF101:BQ101))</f>
        <v>294.70083038655383</v>
      </c>
      <c r="S101" s="1314"/>
      <c r="T101" s="391"/>
      <c r="U101" s="366"/>
      <c r="V101" s="391">
        <f t="array" aca="1" ref="V101" ca="1">SUM(IF($AF$14:$BQ$14="O_Pos",AF101:BQ101))</f>
        <v>0</v>
      </c>
      <c r="W101" s="1310"/>
      <c r="X101" s="1312">
        <f t="shared" ca="1" si="1169"/>
        <v>0</v>
      </c>
      <c r="Y101" s="1312">
        <f t="shared" ca="1" si="1169"/>
        <v>0</v>
      </c>
      <c r="Z101" s="1312">
        <f t="shared" ca="1" si="1169"/>
        <v>0</v>
      </c>
      <c r="AA101" s="1313">
        <f t="shared" ca="1" si="1169"/>
        <v>0</v>
      </c>
      <c r="AB101" s="367" t="str">
        <f t="shared" ca="1" si="1169"/>
        <v>USD</v>
      </c>
      <c r="AC101" s="392">
        <f ca="1">_xlfn.NUMBERVALUE(OFFSET(Origine,MATCH($F101,Descrizioni,0),MATCH(AC$14,Intestazioni,0)-1,1,1))</f>
        <v>175.73</v>
      </c>
      <c r="AD101" s="393">
        <f t="shared" ca="1" si="1170"/>
        <v>0</v>
      </c>
      <c r="AE101" s="378">
        <f t="shared" ca="1" si="1177"/>
        <v>0.78225</v>
      </c>
      <c r="AF101" s="214">
        <f>420</f>
        <v>420</v>
      </c>
      <c r="AG101" s="312">
        <f t="shared" ca="1" si="1059"/>
        <v>4.0084192545584596E-2</v>
      </c>
      <c r="AH101" s="1254">
        <v>168.95747600000001</v>
      </c>
      <c r="AI101" s="199">
        <f t="shared" ca="1" si="1143"/>
        <v>73806.599999999991</v>
      </c>
      <c r="AJ101" s="199">
        <f t="shared" ca="1" si="1144"/>
        <v>57735.212849999996</v>
      </c>
      <c r="AK101" s="216">
        <f t="shared" ca="1" si="1145"/>
        <v>9.8825042373438966E-3</v>
      </c>
      <c r="AL101" s="202">
        <f t="shared" ca="1" si="1146"/>
        <v>217.49024019576231</v>
      </c>
      <c r="AM101" s="203">
        <f t="shared" ca="1" si="1147"/>
        <v>38219.55990960131</v>
      </c>
      <c r="AN101" s="203">
        <f t="shared" ca="1" si="1148"/>
        <v>29897.250739285628</v>
      </c>
      <c r="AO101" s="204">
        <f t="shared" ca="1" si="1149"/>
        <v>5.1174957626561029E-3</v>
      </c>
      <c r="AP101" s="205"/>
      <c r="AQ101" s="206">
        <f t="shared" ca="1" si="1150"/>
        <v>0</v>
      </c>
      <c r="AR101" s="206">
        <f t="shared" ca="1" si="1151"/>
        <v>0</v>
      </c>
      <c r="AS101" s="207">
        <f t="shared" ca="1" si="1152"/>
        <v>0</v>
      </c>
      <c r="AT101" s="391">
        <f t="shared" si="1153"/>
        <v>420</v>
      </c>
      <c r="AU101" s="391">
        <f t="shared" ca="1" si="804"/>
        <v>73806.599999999991</v>
      </c>
      <c r="AV101" s="391">
        <f t="shared" ca="1" si="1154"/>
        <v>57735.212849999996</v>
      </c>
      <c r="AW101" s="394">
        <f t="shared" ca="1" si="1155"/>
        <v>9.8825042373438966E-3</v>
      </c>
      <c r="AX101" s="1007" t="str">
        <f t="shared" ca="1" si="936"/>
        <v>V</v>
      </c>
      <c r="AY101" s="1316"/>
      <c r="AZ101" s="312" t="str">
        <f t="shared" ca="1" si="1073"/>
        <v/>
      </c>
      <c r="BA101" s="1254"/>
      <c r="BB101" s="199">
        <f t="shared" ca="1" si="1156"/>
        <v>0</v>
      </c>
      <c r="BC101" s="199">
        <f t="shared" ca="1" si="1157"/>
        <v>0</v>
      </c>
      <c r="BD101" s="216">
        <f t="shared" ca="1" si="1158"/>
        <v>0</v>
      </c>
      <c r="BE101" s="202">
        <f t="shared" ca="1" si="1159"/>
        <v>77.210590190791535</v>
      </c>
      <c r="BF101" s="203">
        <f t="shared" ca="1" si="1160"/>
        <v>13568.217014227796</v>
      </c>
      <c r="BG101" s="203">
        <f t="shared" ca="1" si="1161"/>
        <v>10613.737759379694</v>
      </c>
      <c r="BH101" s="204">
        <f t="shared" ca="1" si="1162"/>
        <v>1.4999999999999999E-2</v>
      </c>
      <c r="BI101" s="1253"/>
      <c r="BJ101" s="206">
        <f t="shared" ca="1" si="1163"/>
        <v>0</v>
      </c>
      <c r="BK101" s="206">
        <f t="shared" ca="1" si="1164"/>
        <v>0</v>
      </c>
      <c r="BL101" s="207">
        <f t="shared" ca="1" si="1165"/>
        <v>0</v>
      </c>
      <c r="BM101" s="391">
        <f t="shared" si="1166"/>
        <v>0</v>
      </c>
      <c r="BN101" s="391">
        <f t="shared" ca="1" si="807"/>
        <v>0</v>
      </c>
      <c r="BO101" s="391">
        <f t="shared" ca="1" si="1167"/>
        <v>0</v>
      </c>
      <c r="BP101" s="886">
        <f t="shared" ca="1" si="910"/>
        <v>0</v>
      </c>
      <c r="BQ101" s="1007" t="str">
        <f t="shared" ca="1" si="1137"/>
        <v/>
      </c>
      <c r="BR101" s="1007"/>
    </row>
    <row r="102" spans="1:70" ht="13.5" hidden="1" customHeight="1" outlineLevel="1" x14ac:dyDescent="0.2">
      <c r="A102" s="367"/>
      <c r="B102" s="367"/>
      <c r="C102" s="367" t="s">
        <v>1489</v>
      </c>
      <c r="D102" s="368" t="s">
        <v>2722</v>
      </c>
      <c r="E102" s="369" t="str">
        <f t="shared" ca="1" si="1017"/>
        <v>985677</v>
      </c>
      <c r="F102" s="367" t="s">
        <v>512</v>
      </c>
      <c r="G102" s="414"/>
      <c r="H102" s="1713" t="str">
        <f t="shared" ca="1" si="1018"/>
        <v></v>
      </c>
      <c r="I102" s="1683" t="str">
        <f t="shared" ca="1" si="1138"/>
        <v>i</v>
      </c>
      <c r="J102" s="1713" t="str">
        <f t="shared" ca="1" si="1168"/>
        <v></v>
      </c>
      <c r="K102" s="1716" t="str">
        <f t="shared" ca="1" si="1168"/>
        <v></v>
      </c>
      <c r="L102" s="1717" t="str">
        <f t="shared" ca="1" si="1140"/>
        <v></v>
      </c>
      <c r="M102" s="366" t="str">
        <f t="shared" ca="1" si="1022"/>
        <v>Unit</v>
      </c>
      <c r="N102" s="1039">
        <v>1.4999999999999999E-2</v>
      </c>
      <c r="O102" s="1310" cm="1">
        <f t="array" aca="1" ref="O102" ca="1">SUM(IF($AF$14:$BQ$14="I_ctrlv",AF102:BQ102))</f>
        <v>64907.976000000002</v>
      </c>
      <c r="P102" s="418">
        <f t="shared" ca="1" si="877"/>
        <v>9.909997807902287E-3</v>
      </c>
      <c r="Q102" s="391">
        <f t="array" aca="1" ref="Q102" ca="1">SUM(IF($AF$14:$BQ$14="I_pos",AF102:BQ102))</f>
        <v>1600</v>
      </c>
      <c r="R102" s="391">
        <f t="array" aca="1" ref="R102" ca="1">SUM(IF($AF$14:$BQ$14="P_Pos",AF102:BQ102))</f>
        <v>821.79670119223101</v>
      </c>
      <c r="S102" s="1314"/>
      <c r="T102" s="391"/>
      <c r="U102" s="366"/>
      <c r="V102" s="391">
        <f t="array" aca="1" ref="V102" ca="1">SUM(IF($AF$14:$BQ$14="O_Pos",AF102:BQ102))</f>
        <v>0</v>
      </c>
      <c r="W102" s="1310"/>
      <c r="X102" s="1312">
        <f t="shared" ca="1" si="1169"/>
        <v>0</v>
      </c>
      <c r="Y102" s="1312">
        <f t="shared" ca="1" si="1169"/>
        <v>0</v>
      </c>
      <c r="Z102" s="1312">
        <f t="shared" ca="1" si="1169"/>
        <v>0</v>
      </c>
      <c r="AA102" s="1313">
        <f t="shared" ca="1" si="1169"/>
        <v>0</v>
      </c>
      <c r="AB102" s="367" t="str">
        <f t="shared" ca="1" si="1169"/>
        <v>USD</v>
      </c>
      <c r="AC102" s="392">
        <f ca="1">_xlfn.NUMBERVALUE(OFFSET(Origine,MATCH($F102,Descrizioni,0),MATCH(AC$14,Intestazioni,0)-1,1,1))</f>
        <v>51.86</v>
      </c>
      <c r="AD102" s="393">
        <f t="shared" ca="1" si="1170"/>
        <v>0</v>
      </c>
      <c r="AE102" s="378">
        <f t="shared" ref="AE102" ca="1" si="1178">_xlfn.NUMBERVALUE(OFFSET(Origine,MATCH(AB102&amp;"/"&amp;MRif,LUKB_Name,0),MATCH("Price",Intestazioni,0)-1,1,1))</f>
        <v>0.78225</v>
      </c>
      <c r="AF102" s="214">
        <v>1600</v>
      </c>
      <c r="AG102" s="312">
        <f t="shared" ref="AG102" ca="1" si="1179">IFERROR($AC102/AH102-1,"")</f>
        <v>0.17599305198088833</v>
      </c>
      <c r="AH102" s="1254">
        <v>44.0989</v>
      </c>
      <c r="AI102" s="199">
        <f t="shared" ref="AI102" ca="1" si="1180">AF102*$AC102</f>
        <v>82976</v>
      </c>
      <c r="AJ102" s="199">
        <f t="shared" ref="AJ102" ca="1" si="1181">AI102*$AE102</f>
        <v>64907.976000000002</v>
      </c>
      <c r="AK102" s="216">
        <f t="shared" ref="AK102" ca="1" si="1182">IFERROR(AJ102/AF$4,0)</f>
        <v>1.1110262112031272E-2</v>
      </c>
      <c r="AL102" s="202">
        <f t="shared" ref="AL102" ca="1" si="1183">AM102/$AC102</f>
        <v>560.16505803319137</v>
      </c>
      <c r="AM102" s="203">
        <f t="shared" ref="AM102" ca="1" si="1184">AN102/$AE102</f>
        <v>29050.159909601301</v>
      </c>
      <c r="AN102" s="203">
        <f t="shared" ref="AN102" ca="1" si="1185">AO102*AF$4</f>
        <v>22724.487589285618</v>
      </c>
      <c r="AO102" s="204">
        <f t="shared" ref="AO102" ca="1" si="1186">$N102-AK102</f>
        <v>3.8897378879687271E-3</v>
      </c>
      <c r="AP102" s="205"/>
      <c r="AQ102" s="206">
        <f t="shared" ref="AQ102" ca="1" si="1187">AP102*$AC102</f>
        <v>0</v>
      </c>
      <c r="AR102" s="206">
        <f t="shared" ref="AR102" ca="1" si="1188">AQ102*$AE102</f>
        <v>0</v>
      </c>
      <c r="AS102" s="207">
        <f t="shared" ref="AS102" ca="1" si="1189">IFERROR(AR102/AF$4,0)</f>
        <v>0</v>
      </c>
      <c r="AT102" s="391">
        <f t="shared" ref="AT102" si="1190">AF102+AP102</f>
        <v>1600</v>
      </c>
      <c r="AU102" s="391">
        <f t="shared" ref="AU102" ca="1" si="1191">AI102+IF($T102="",AQ102)</f>
        <v>82976</v>
      </c>
      <c r="AV102" s="391">
        <f t="shared" ref="AV102" ca="1" si="1192">AU102*$AE102</f>
        <v>64907.976000000002</v>
      </c>
      <c r="AW102" s="394">
        <f t="shared" ref="AW102" ca="1" si="1193">IFERROR(AV102/AF$4,0)</f>
        <v>1.1110262112031272E-2</v>
      </c>
      <c r="AX102" s="1007" t="str">
        <f t="shared" ref="AX102" ca="1" si="1194">IF(OR(AK102&lt;&gt;0,AS102&lt;&gt;0),"V","")</f>
        <v>V</v>
      </c>
      <c r="AY102" s="1316"/>
      <c r="AZ102" s="312" t="str">
        <f t="shared" ref="AZ102" ca="1" si="1195">IFERROR($AC102/BA102-1,"")</f>
        <v/>
      </c>
      <c r="BA102" s="1254"/>
      <c r="BB102" s="199">
        <f t="shared" ref="BB102" ca="1" si="1196">AY102*$AC102</f>
        <v>0</v>
      </c>
      <c r="BC102" s="199">
        <f t="shared" ref="BC102" ca="1" si="1197">BB102*$AE102</f>
        <v>0</v>
      </c>
      <c r="BD102" s="216">
        <f t="shared" ref="BD102" ca="1" si="1198">IFERROR(BC102/AY$4,0)</f>
        <v>0</v>
      </c>
      <c r="BE102" s="202">
        <f t="shared" ref="BE102" ca="1" si="1199">BF102/$AC102</f>
        <v>261.63164315903964</v>
      </c>
      <c r="BF102" s="203">
        <f t="shared" ref="BF102" ca="1" si="1200">BG102/$AE102</f>
        <v>13568.217014227796</v>
      </c>
      <c r="BG102" s="203">
        <f t="shared" ref="BG102" ca="1" si="1201">BH102*AY$4</f>
        <v>10613.737759379694</v>
      </c>
      <c r="BH102" s="204">
        <f t="shared" ref="BH102" ca="1" si="1202">$N102-BD102</f>
        <v>1.4999999999999999E-2</v>
      </c>
      <c r="BI102" s="1253"/>
      <c r="BJ102" s="206">
        <f t="shared" ref="BJ102" ca="1" si="1203">BI102*$AC102</f>
        <v>0</v>
      </c>
      <c r="BK102" s="206">
        <f t="shared" ref="BK102" ca="1" si="1204">BJ102*$AE102</f>
        <v>0</v>
      </c>
      <c r="BL102" s="207">
        <f t="shared" ref="BL102" ca="1" si="1205">IFERROR(BK102/AY$4,0)</f>
        <v>0</v>
      </c>
      <c r="BM102" s="391">
        <f t="shared" ref="BM102" si="1206">AY102+BI102</f>
        <v>0</v>
      </c>
      <c r="BN102" s="391">
        <f t="shared" ref="BN102" ca="1" si="1207">BB102+IF($T102="",BJ102)</f>
        <v>0</v>
      </c>
      <c r="BO102" s="391">
        <f t="shared" ref="BO102" ca="1" si="1208">BN102*$AE102</f>
        <v>0</v>
      </c>
      <c r="BP102" s="886">
        <f t="shared" ref="BP102" ca="1" si="1209">IFERROR(BO102/AY$4,0)</f>
        <v>0</v>
      </c>
      <c r="BQ102" s="1007" t="str">
        <f t="shared" ref="BQ102" ca="1" si="1210">IF(OR(BD102&lt;&gt;0,BL102&lt;&gt;0),"V","")</f>
        <v/>
      </c>
      <c r="BR102" s="1007"/>
    </row>
    <row r="103" spans="1:70" ht="13.5" hidden="1" customHeight="1" outlineLevel="1" x14ac:dyDescent="0.2">
      <c r="A103" s="367"/>
      <c r="B103" s="367"/>
      <c r="C103" s="367" t="str">
        <f t="shared" ca="1" si="1016"/>
        <v>US81369Y8030:USD</v>
      </c>
      <c r="D103" s="368" t="str">
        <f t="shared" ca="1" si="1017"/>
        <v>US81369Y8030</v>
      </c>
      <c r="E103" s="369" t="str">
        <f t="shared" ca="1" si="1017"/>
        <v>986053</v>
      </c>
      <c r="F103" s="367" t="s">
        <v>414</v>
      </c>
      <c r="G103" s="414"/>
      <c r="H103" s="1713" t="str">
        <f t="shared" ca="1" si="1018"/>
        <v></v>
      </c>
      <c r="I103" s="1683" t="str">
        <f t="shared" ca="1" si="1138"/>
        <v>i</v>
      </c>
      <c r="J103" s="1713" t="str">
        <f t="shared" ca="1" si="1168"/>
        <v></v>
      </c>
      <c r="K103" s="1716" t="str">
        <f t="shared" ca="1" si="1168"/>
        <v></v>
      </c>
      <c r="L103" s="1717" t="str">
        <f t="shared" ca="1" si="1140"/>
        <v></v>
      </c>
      <c r="M103" s="366" t="str">
        <f t="shared" ca="1" si="1022"/>
        <v>Unit</v>
      </c>
      <c r="N103" s="1039"/>
      <c r="O103" s="1310" cm="1">
        <f t="array" aca="1" ref="O103" ca="1">SUM(IF($AF$14:$BQ$14="I_ctrlv",AF103:BQ103))</f>
        <v>0</v>
      </c>
      <c r="P103" s="418">
        <f t="shared" ca="1" si="877"/>
        <v>0</v>
      </c>
      <c r="Q103" s="391">
        <f t="array" aca="1" ref="Q103" ca="1">SUM(IF($AF$14:$BQ$14="I_pos",AF103:BQ103))</f>
        <v>0</v>
      </c>
      <c r="R103" s="391">
        <f t="array" aca="1" ref="R103" ca="1">SUM(IF($AF$14:$BQ$14="P_Pos",AF103:BQ103))</f>
        <v>0</v>
      </c>
      <c r="S103" s="1314"/>
      <c r="T103" s="391"/>
      <c r="U103" s="366"/>
      <c r="V103" s="391">
        <f t="array" aca="1" ref="V103" ca="1">SUM(IF($AF$14:$BQ$14="O_Pos",AF103:BQ103))</f>
        <v>0</v>
      </c>
      <c r="W103" s="1310"/>
      <c r="X103" s="1312">
        <f t="shared" ca="1" si="1169"/>
        <v>0</v>
      </c>
      <c r="Y103" s="1312">
        <f t="shared" ca="1" si="1169"/>
        <v>0</v>
      </c>
      <c r="Z103" s="1312">
        <f t="shared" ca="1" si="1169"/>
        <v>0</v>
      </c>
      <c r="AA103" s="1313">
        <f t="shared" ca="1" si="1169"/>
        <v>0</v>
      </c>
      <c r="AB103" s="367" t="str">
        <f t="shared" ca="1" si="1169"/>
        <v>USD</v>
      </c>
      <c r="AC103" s="392">
        <f ca="1">_xlfn.NUMBERVALUE(OFFSET(Origine,MATCH($F103,Descrizioni,0),MATCH(AC$14,Intestazioni,0)-1,1,1))</f>
        <v>137.36000000000001</v>
      </c>
      <c r="AD103" s="393">
        <f t="shared" ca="1" si="1170"/>
        <v>0</v>
      </c>
      <c r="AE103" s="378">
        <f t="shared" ca="1" si="1177"/>
        <v>0.78225</v>
      </c>
      <c r="AF103" s="214">
        <f>470+-470</f>
        <v>0</v>
      </c>
      <c r="AG103" s="312" t="str">
        <f t="shared" ca="1" si="1059"/>
        <v/>
      </c>
      <c r="AH103" s="1254"/>
      <c r="AI103" s="199">
        <f t="shared" ca="1" si="1143"/>
        <v>0</v>
      </c>
      <c r="AJ103" s="199">
        <f t="shared" ca="1" si="1144"/>
        <v>0</v>
      </c>
      <c r="AK103" s="216">
        <f t="shared" ca="1" si="1145"/>
        <v>0</v>
      </c>
      <c r="AL103" s="202">
        <f t="shared" ca="1" si="1146"/>
        <v>0</v>
      </c>
      <c r="AM103" s="203">
        <f t="shared" ca="1" si="1147"/>
        <v>0</v>
      </c>
      <c r="AN103" s="203">
        <f t="shared" ca="1" si="1148"/>
        <v>0</v>
      </c>
      <c r="AO103" s="204">
        <f t="shared" ca="1" si="1149"/>
        <v>0</v>
      </c>
      <c r="AP103" s="205"/>
      <c r="AQ103" s="206">
        <f t="shared" ca="1" si="1150"/>
        <v>0</v>
      </c>
      <c r="AR103" s="206">
        <f t="shared" ca="1" si="1151"/>
        <v>0</v>
      </c>
      <c r="AS103" s="207">
        <f t="shared" ca="1" si="1152"/>
        <v>0</v>
      </c>
      <c r="AT103" s="391">
        <f t="shared" si="1153"/>
        <v>0</v>
      </c>
      <c r="AU103" s="391">
        <f t="shared" ca="1" si="804"/>
        <v>0</v>
      </c>
      <c r="AV103" s="391">
        <f t="shared" ca="1" si="1154"/>
        <v>0</v>
      </c>
      <c r="AW103" s="394">
        <f t="shared" ca="1" si="1155"/>
        <v>0</v>
      </c>
      <c r="AX103" s="1007" t="str">
        <f t="shared" ca="1" si="936"/>
        <v/>
      </c>
      <c r="AY103" s="1316"/>
      <c r="AZ103" s="312" t="str">
        <f t="shared" ca="1" si="1073"/>
        <v/>
      </c>
      <c r="BA103" s="1254"/>
      <c r="BB103" s="199">
        <f t="shared" ca="1" si="1156"/>
        <v>0</v>
      </c>
      <c r="BC103" s="199">
        <f t="shared" ca="1" si="1157"/>
        <v>0</v>
      </c>
      <c r="BD103" s="216">
        <f t="shared" ca="1" si="1158"/>
        <v>0</v>
      </c>
      <c r="BE103" s="202">
        <f t="shared" ca="1" si="1159"/>
        <v>0</v>
      </c>
      <c r="BF103" s="203">
        <f t="shared" ca="1" si="1160"/>
        <v>0</v>
      </c>
      <c r="BG103" s="203">
        <f t="shared" ca="1" si="1161"/>
        <v>0</v>
      </c>
      <c r="BH103" s="204">
        <f t="shared" ca="1" si="1162"/>
        <v>0</v>
      </c>
      <c r="BI103" s="1253"/>
      <c r="BJ103" s="206">
        <f t="shared" ca="1" si="1163"/>
        <v>0</v>
      </c>
      <c r="BK103" s="206">
        <f t="shared" ca="1" si="1164"/>
        <v>0</v>
      </c>
      <c r="BL103" s="207">
        <f t="shared" ca="1" si="1165"/>
        <v>0</v>
      </c>
      <c r="BM103" s="391">
        <f t="shared" si="1166"/>
        <v>0</v>
      </c>
      <c r="BN103" s="391">
        <f t="shared" ca="1" si="807"/>
        <v>0</v>
      </c>
      <c r="BO103" s="391">
        <f t="shared" ca="1" si="1167"/>
        <v>0</v>
      </c>
      <c r="BP103" s="886">
        <f t="shared" ca="1" si="910"/>
        <v>0</v>
      </c>
      <c r="BQ103" s="1007" t="str">
        <f t="shared" ca="1" si="916"/>
        <v/>
      </c>
      <c r="BR103" s="1007"/>
    </row>
    <row r="104" spans="1:70" ht="13.5" hidden="1" customHeight="1" outlineLevel="1" x14ac:dyDescent="0.2">
      <c r="A104" s="367"/>
      <c r="B104" s="367"/>
      <c r="C104" s="367" t="str">
        <f t="shared" ca="1" si="1016"/>
        <v>IE000MLMNYS0:USD</v>
      </c>
      <c r="D104" s="368" t="str">
        <f t="shared" ca="1" si="1017"/>
        <v>IE000MLMNYS0</v>
      </c>
      <c r="E104" s="369" t="str">
        <f t="shared" ca="1" si="1017"/>
        <v>119553349</v>
      </c>
      <c r="F104" s="367" t="s">
        <v>452</v>
      </c>
      <c r="G104" s="414"/>
      <c r="H104" s="1713" t="str">
        <f t="shared" ca="1" si="1018"/>
        <v></v>
      </c>
      <c r="I104" s="1683" t="str">
        <f t="shared" ca="1" si="1138"/>
        <v>i</v>
      </c>
      <c r="J104" s="1713" t="str">
        <f t="shared" ca="1" si="1168"/>
        <v></v>
      </c>
      <c r="K104" s="1716" t="str">
        <f t="shared" ca="1" si="1168"/>
        <v></v>
      </c>
      <c r="L104" s="1717" t="str">
        <f t="shared" ca="1" si="1140"/>
        <v></v>
      </c>
      <c r="M104" s="366" t="str">
        <f t="shared" ca="1" si="1022"/>
        <v>Unit</v>
      </c>
      <c r="N104" s="1046"/>
      <c r="O104" s="1310" cm="1">
        <f t="array" aca="1" ref="O104" ca="1">SUM(IF($AF$14:$BQ$14="I_ctrlv",AF104:BQ104))</f>
        <v>21536.124749999999</v>
      </c>
      <c r="P104" s="418">
        <f t="shared" ca="1" si="877"/>
        <v>3.2880851047213389E-3</v>
      </c>
      <c r="Q104" s="391">
        <f t="array" aca="1" ref="Q104" ca="1">SUM(IF($AF$14:$BQ$14="I_pos",AF104:BQ104))</f>
        <v>3800</v>
      </c>
      <c r="R104" s="391">
        <f t="array" aca="1" ref="R104" ca="1">SUM(IF($AF$14:$BQ$14="P_Pos",AF104:BQ104))</f>
        <v>-3800</v>
      </c>
      <c r="S104" s="1314"/>
      <c r="T104" s="391"/>
      <c r="U104" s="366"/>
      <c r="V104" s="391">
        <f t="array" aca="1" ref="V104" ca="1">SUM(IF($AF$14:$BQ$14="O_Pos",AF104:BQ104))</f>
        <v>0</v>
      </c>
      <c r="W104" s="1310"/>
      <c r="X104" s="1312">
        <f t="shared" ca="1" si="1169"/>
        <v>0</v>
      </c>
      <c r="Y104" s="1312">
        <f t="shared" ca="1" si="1169"/>
        <v>0</v>
      </c>
      <c r="Z104" s="1312">
        <f t="shared" ca="1" si="1169"/>
        <v>0</v>
      </c>
      <c r="AA104" s="1313">
        <f t="shared" ca="1" si="1169"/>
        <v>0</v>
      </c>
      <c r="AB104" s="367" t="str">
        <f t="shared" ca="1" si="1169"/>
        <v>USD</v>
      </c>
      <c r="AC104" s="392">
        <f ca="1">_xlfn.NUMBERVALUE(OFFSET(Origine,MATCH($F104,Descrizioni,0),MATCH(AC$14,Intestazioni,0)-1,1,1))</f>
        <v>7.2450000000000001</v>
      </c>
      <c r="AD104" s="393">
        <f t="shared" ca="1" si="1170"/>
        <v>0</v>
      </c>
      <c r="AE104" s="378">
        <f t="shared" ca="1" si="1058"/>
        <v>0.78225</v>
      </c>
      <c r="AF104" s="214">
        <f>16500+-16500</f>
        <v>0</v>
      </c>
      <c r="AG104" s="312" t="str">
        <f t="shared" ref="AG104" ca="1" si="1211">IFERROR($AC104/AH104-1,"")</f>
        <v/>
      </c>
      <c r="AH104" s="1254"/>
      <c r="AI104" s="199">
        <f t="shared" ca="1" si="1143"/>
        <v>0</v>
      </c>
      <c r="AJ104" s="199">
        <f t="shared" ca="1" si="1144"/>
        <v>0</v>
      </c>
      <c r="AK104" s="216">
        <f t="shared" ca="1" si="1145"/>
        <v>0</v>
      </c>
      <c r="AL104" s="202">
        <f t="shared" ca="1" si="1146"/>
        <v>0</v>
      </c>
      <c r="AM104" s="203">
        <f t="shared" ca="1" si="1147"/>
        <v>0</v>
      </c>
      <c r="AN104" s="203">
        <f t="shared" ca="1" si="1148"/>
        <v>0</v>
      </c>
      <c r="AO104" s="204">
        <f t="shared" ca="1" si="1149"/>
        <v>0</v>
      </c>
      <c r="AP104" s="205"/>
      <c r="AQ104" s="206">
        <f t="shared" ca="1" si="1150"/>
        <v>0</v>
      </c>
      <c r="AR104" s="206">
        <f t="shared" ca="1" si="1151"/>
        <v>0</v>
      </c>
      <c r="AS104" s="207">
        <f t="shared" ca="1" si="1152"/>
        <v>0</v>
      </c>
      <c r="AT104" s="391">
        <f t="shared" ref="AT104" si="1212">AF104+AP104</f>
        <v>0</v>
      </c>
      <c r="AU104" s="391">
        <f t="shared" ref="AU104" ca="1" si="1213">AI104+IF($T104="",AQ104)</f>
        <v>0</v>
      </c>
      <c r="AV104" s="391">
        <f t="shared" ca="1" si="1154"/>
        <v>0</v>
      </c>
      <c r="AW104" s="394">
        <f t="shared" ca="1" si="1155"/>
        <v>0</v>
      </c>
      <c r="AX104" s="1007" t="str">
        <f t="shared" ca="1" si="936"/>
        <v/>
      </c>
      <c r="AY104" s="1316">
        <f>3800</f>
        <v>3800</v>
      </c>
      <c r="AZ104" s="312">
        <f t="shared" ref="AZ104" ca="1" si="1214">IFERROR($AC104/BA104-1,"")</f>
        <v>0.17613636363636354</v>
      </c>
      <c r="BA104" s="1254">
        <v>6.16</v>
      </c>
      <c r="BB104" s="199">
        <f t="shared" ca="1" si="1156"/>
        <v>27531</v>
      </c>
      <c r="BC104" s="199">
        <f t="shared" ca="1" si="1157"/>
        <v>21536.124749999999</v>
      </c>
      <c r="BD104" s="216">
        <f t="shared" ca="1" si="1158"/>
        <v>3.0436202455116974E-2</v>
      </c>
      <c r="BE104" s="202">
        <f t="shared" ca="1" si="1159"/>
        <v>-3800</v>
      </c>
      <c r="BF104" s="203">
        <f t="shared" ca="1" si="1160"/>
        <v>-27531</v>
      </c>
      <c r="BG104" s="203">
        <f t="shared" ca="1" si="1161"/>
        <v>-21536.124749999999</v>
      </c>
      <c r="BH104" s="204">
        <f t="shared" ca="1" si="1162"/>
        <v>-3.0436202455116974E-2</v>
      </c>
      <c r="BI104" s="1253"/>
      <c r="BJ104" s="206">
        <f t="shared" ca="1" si="1163"/>
        <v>0</v>
      </c>
      <c r="BK104" s="206">
        <f t="shared" ca="1" si="1164"/>
        <v>0</v>
      </c>
      <c r="BL104" s="207">
        <f t="shared" ca="1" si="1165"/>
        <v>0</v>
      </c>
      <c r="BM104" s="391">
        <f t="shared" ref="BM104" si="1215">AY104+BI104</f>
        <v>3800</v>
      </c>
      <c r="BN104" s="391">
        <f t="shared" ref="BN104" ca="1" si="1216">BB104+IF($T104="",BJ104)</f>
        <v>27531</v>
      </c>
      <c r="BO104" s="391">
        <f t="shared" ca="1" si="1167"/>
        <v>21536.124749999999</v>
      </c>
      <c r="BP104" s="886">
        <f t="shared" ca="1" si="910"/>
        <v>3.0436202455116974E-2</v>
      </c>
      <c r="BQ104" s="1007" t="str">
        <f t="shared" ca="1" si="916"/>
        <v>V</v>
      </c>
      <c r="BR104" s="1007"/>
    </row>
    <row r="105" spans="1:70" ht="13.5" hidden="1" customHeight="1" outlineLevel="1" x14ac:dyDescent="0.2">
      <c r="A105" s="367"/>
      <c r="B105" s="367"/>
      <c r="C105" s="367" t="str">
        <f t="shared" ca="1" si="1016"/>
        <v>LU2049086726:CHF</v>
      </c>
      <c r="D105" s="368" t="str">
        <f t="shared" ca="1" si="1017"/>
        <v>LU2049086726</v>
      </c>
      <c r="E105" s="369" t="str">
        <f t="shared" ca="1" si="1017"/>
        <v>49729577</v>
      </c>
      <c r="F105" s="1317" t="s">
        <v>898</v>
      </c>
      <c r="G105" s="414"/>
      <c r="H105" s="1713" t="str">
        <f t="shared" ca="1" si="1018"/>
        <v></v>
      </c>
      <c r="I105" s="1683" t="str">
        <f t="shared" ca="1" si="1138"/>
        <v>i</v>
      </c>
      <c r="J105" s="1713" t="str">
        <f t="shared" ca="1" si="1168"/>
        <v></v>
      </c>
      <c r="K105" s="1716" t="str">
        <f t="shared" ca="1" si="1168"/>
        <v></v>
      </c>
      <c r="L105" s="1717" t="str">
        <f t="shared" ca="1" si="1140"/>
        <v></v>
      </c>
      <c r="M105" s="366" t="str">
        <f t="shared" ca="1" si="1022"/>
        <v>Unit</v>
      </c>
      <c r="N105" s="1046"/>
      <c r="O105" s="1310" cm="1">
        <f t="array" aca="1" ref="O105" ca="1">SUM(IF($AF$14:$BQ$14="I_ctrlv",AF105:BQ105))</f>
        <v>23637.333922853017</v>
      </c>
      <c r="P105" s="418">
        <f t="shared" ca="1" si="877"/>
        <v>3.6088928017125005E-3</v>
      </c>
      <c r="Q105" s="391">
        <f t="array" aca="1" ref="Q105" ca="1">SUM(IF($AF$14:$BQ$14="I_pos",AF105:BQ105))</f>
        <v>262.78300000000002</v>
      </c>
      <c r="R105" s="391">
        <f t="array" aca="1" ref="R105" ca="1">SUM(IF($AF$14:$BQ$14="P_Pos",AF105:BQ105))</f>
        <v>-262.78300000000002</v>
      </c>
      <c r="S105" s="1314"/>
      <c r="T105" s="391"/>
      <c r="U105" s="366"/>
      <c r="V105" s="391">
        <f t="array" aca="1" ref="V105" ca="1">SUM(IF($AF$14:$BQ$14="O_Pos",AF105:BQ105))</f>
        <v>-263</v>
      </c>
      <c r="W105" s="1310"/>
      <c r="X105" s="1312">
        <f t="shared" ca="1" si="1169"/>
        <v>0.05</v>
      </c>
      <c r="Y105" s="1312">
        <f t="shared" ca="1" si="1169"/>
        <v>0</v>
      </c>
      <c r="Z105" s="1312">
        <f t="shared" ca="1" si="1169"/>
        <v>8.8999999999999999E-3</v>
      </c>
      <c r="AA105" s="1313">
        <f t="shared" ca="1" si="1169"/>
        <v>0</v>
      </c>
      <c r="AB105" s="367" t="str">
        <f t="shared" ca="1" si="1169"/>
        <v>CHF</v>
      </c>
      <c r="AC105" s="392">
        <f ca="1">_xlfn.NUMBERVALUE(OFFSET(Origine,MATCH($F105,Descrizioni,0),MATCH(AC$14,Intestazioni,0)-1,1,1))</f>
        <v>89.95</v>
      </c>
      <c r="AD105" s="393">
        <f t="shared" ca="1" si="1170"/>
        <v>0</v>
      </c>
      <c r="AE105" s="378">
        <f t="shared" ca="1" si="1058"/>
        <v>1.0000001300000001</v>
      </c>
      <c r="AF105" s="214"/>
      <c r="AG105" s="312" t="str">
        <f t="shared" ca="1" si="1059"/>
        <v/>
      </c>
      <c r="AH105" s="1254"/>
      <c r="AI105" s="199">
        <f t="shared" ca="1" si="1143"/>
        <v>0</v>
      </c>
      <c r="AJ105" s="199">
        <f t="shared" ca="1" si="1144"/>
        <v>0</v>
      </c>
      <c r="AK105" s="216">
        <f t="shared" ca="1" si="1145"/>
        <v>0</v>
      </c>
      <c r="AL105" s="202">
        <f t="shared" ca="1" si="1146"/>
        <v>0</v>
      </c>
      <c r="AM105" s="203">
        <f t="shared" ca="1" si="1147"/>
        <v>0</v>
      </c>
      <c r="AN105" s="203">
        <f t="shared" ca="1" si="1148"/>
        <v>0</v>
      </c>
      <c r="AO105" s="204">
        <f t="shared" ca="1" si="1149"/>
        <v>0</v>
      </c>
      <c r="AP105" s="205"/>
      <c r="AQ105" s="206">
        <f t="shared" ca="1" si="1150"/>
        <v>0</v>
      </c>
      <c r="AR105" s="206">
        <f t="shared" ca="1" si="1151"/>
        <v>0</v>
      </c>
      <c r="AS105" s="207">
        <f t="shared" ca="1" si="1152"/>
        <v>0</v>
      </c>
      <c r="AT105" s="391">
        <f t="shared" si="1153"/>
        <v>0</v>
      </c>
      <c r="AU105" s="391">
        <f t="shared" ca="1" si="804"/>
        <v>0</v>
      </c>
      <c r="AV105" s="391">
        <f t="shared" ca="1" si="1154"/>
        <v>0</v>
      </c>
      <c r="AW105" s="394">
        <f t="shared" ca="1" si="1155"/>
        <v>0</v>
      </c>
      <c r="AX105" s="1007" t="str">
        <f t="shared" ca="1" si="936"/>
        <v/>
      </c>
      <c r="AY105" s="1318">
        <v>262.78300000000002</v>
      </c>
      <c r="AZ105" s="312">
        <f t="shared" ca="1" si="1073"/>
        <v>7.4158108430857572E-2</v>
      </c>
      <c r="BA105" s="1254">
        <v>83.74</v>
      </c>
      <c r="BB105" s="199">
        <f t="shared" ca="1" si="1156"/>
        <v>23637.330850000002</v>
      </c>
      <c r="BC105" s="199">
        <f t="shared" ca="1" si="1157"/>
        <v>23637.333922853017</v>
      </c>
      <c r="BD105" s="216">
        <f t="shared" ca="1" si="1158"/>
        <v>3.3405763066781953E-2</v>
      </c>
      <c r="BE105" s="202">
        <f t="shared" ca="1" si="1159"/>
        <v>-262.78300000000002</v>
      </c>
      <c r="BF105" s="203">
        <f t="shared" ca="1" si="1160"/>
        <v>-23637.330850000002</v>
      </c>
      <c r="BG105" s="203">
        <f t="shared" ca="1" si="1161"/>
        <v>-23637.333922853017</v>
      </c>
      <c r="BH105" s="204">
        <f t="shared" ca="1" si="1162"/>
        <v>-3.3405763066781953E-2</v>
      </c>
      <c r="BI105" s="1253">
        <v>-263</v>
      </c>
      <c r="BJ105" s="206">
        <f t="shared" ca="1" si="1163"/>
        <v>-23656.850000000002</v>
      </c>
      <c r="BK105" s="206">
        <f t="shared" ca="1" si="1164"/>
        <v>-23656.853075390503</v>
      </c>
      <c r="BL105" s="207">
        <f t="shared" ca="1" si="1165"/>
        <v>-3.3433348757581929E-2</v>
      </c>
      <c r="BM105" s="391">
        <f t="shared" si="1166"/>
        <v>-0.21699999999998454</v>
      </c>
      <c r="BN105" s="391">
        <f t="shared" ca="1" si="807"/>
        <v>-19.519150000000081</v>
      </c>
      <c r="BO105" s="391">
        <f t="shared" ca="1" si="1167"/>
        <v>-19.519152537489582</v>
      </c>
      <c r="BP105" s="886">
        <f t="shared" ca="1" si="910"/>
        <v>-2.7585690799982163E-5</v>
      </c>
      <c r="BQ105" s="1007" t="str">
        <f t="shared" ca="1" si="916"/>
        <v>V</v>
      </c>
      <c r="BR105" s="1007"/>
    </row>
    <row r="106" spans="1:70" ht="13.5" hidden="1" customHeight="1" outlineLevel="1" x14ac:dyDescent="0.2">
      <c r="A106" s="367"/>
      <c r="B106" s="367"/>
      <c r="C106" s="367" t="str">
        <f t="shared" ca="1" si="1016"/>
        <v>US4642865095:USD:P</v>
      </c>
      <c r="D106" s="368" t="str">
        <f t="shared" ca="1" si="1017"/>
        <v>US4642865095</v>
      </c>
      <c r="E106" s="369" t="str">
        <f t="shared" ca="1" si="1017"/>
        <v>1087201</v>
      </c>
      <c r="F106" s="367" t="s">
        <v>4259</v>
      </c>
      <c r="G106" s="414"/>
      <c r="H106" s="1713" t="str">
        <f t="shared" ca="1" si="1018"/>
        <v></v>
      </c>
      <c r="I106" s="1683" t="str">
        <f t="shared" ca="1" si="1138"/>
        <v>i</v>
      </c>
      <c r="J106" s="1713" t="str">
        <f t="shared" ca="1" si="1168"/>
        <v></v>
      </c>
      <c r="K106" s="1716" t="str">
        <f t="shared" ca="1" si="1168"/>
        <v></v>
      </c>
      <c r="L106" s="1717" t="str">
        <f t="shared" ca="1" si="1140"/>
        <v></v>
      </c>
      <c r="M106" s="366" t="str">
        <f t="shared" ca="1" si="1022"/>
        <v>Unit</v>
      </c>
      <c r="N106" s="1039">
        <v>1.4999999999999999E-2</v>
      </c>
      <c r="O106" s="1310" cm="1">
        <f t="array" aca="1" ref="O106" ca="1">SUM(IF($AF$14:$BQ$14="I_ctrlv",AF106:BQ106))</f>
        <v>66806.105624999997</v>
      </c>
      <c r="P106" s="418">
        <f t="shared" ca="1" si="877"/>
        <v>1.0199799794993431E-2</v>
      </c>
      <c r="Q106" s="391">
        <f t="array" aca="1" ref="Q106" ca="1">SUM(IF($AF$14:$BQ$14="I_pos",AF106:BQ106))</f>
        <v>1500</v>
      </c>
      <c r="R106" s="391">
        <f t="array" aca="1" ref="R106" ca="1">SUM(IF($AF$14:$BQ$14="P_Pos",AF106:BQ106))</f>
        <v>705.92565072150865</v>
      </c>
      <c r="S106" s="1314"/>
      <c r="T106" s="391"/>
      <c r="U106" s="366"/>
      <c r="V106" s="391">
        <f t="array" aca="1" ref="V106" ca="1">SUM(IF($AF$14:$BQ$14="O_Pos",AF106:BQ106))</f>
        <v>0</v>
      </c>
      <c r="W106" s="1310"/>
      <c r="X106" s="1312">
        <f t="shared" ca="1" si="1169"/>
        <v>0</v>
      </c>
      <c r="Y106" s="1312">
        <f t="shared" ca="1" si="1169"/>
        <v>0</v>
      </c>
      <c r="Z106" s="1312">
        <f t="shared" ca="1" si="1169"/>
        <v>0</v>
      </c>
      <c r="AA106" s="1313">
        <f t="shared" ca="1" si="1169"/>
        <v>0</v>
      </c>
      <c r="AB106" s="367" t="str">
        <f t="shared" ca="1" si="1169"/>
        <v>USD</v>
      </c>
      <c r="AC106" s="392">
        <f t="shared" ca="1" si="1142"/>
        <v>56.935000000000002</v>
      </c>
      <c r="AD106" s="393">
        <f t="shared" ca="1" si="1142"/>
        <v>0</v>
      </c>
      <c r="AE106" s="378">
        <f t="shared" ca="1" si="1058"/>
        <v>0.78225</v>
      </c>
      <c r="AF106" s="214">
        <f>1500</f>
        <v>1500</v>
      </c>
      <c r="AG106" s="312">
        <f t="shared" ca="1" si="1059"/>
        <v>0.16455307833912869</v>
      </c>
      <c r="AH106" s="1254">
        <v>48.89</v>
      </c>
      <c r="AI106" s="199">
        <f t="shared" ca="1" si="1143"/>
        <v>85402.5</v>
      </c>
      <c r="AJ106" s="199">
        <f t="shared" ca="1" si="1144"/>
        <v>66806.105624999997</v>
      </c>
      <c r="AK106" s="216">
        <f t="shared" ca="1" si="1145"/>
        <v>1.1435163903089456E-2</v>
      </c>
      <c r="AL106" s="202">
        <f t="shared" ca="1" si="1146"/>
        <v>467.61499797315014</v>
      </c>
      <c r="AM106" s="203">
        <f t="shared" ca="1" si="1147"/>
        <v>26623.659909601305</v>
      </c>
      <c r="AN106" s="203">
        <f t="shared" ca="1" si="1148"/>
        <v>20826.35796428562</v>
      </c>
      <c r="AO106" s="204">
        <f t="shared" ca="1" si="1149"/>
        <v>3.5648360969105439E-3</v>
      </c>
      <c r="AP106" s="205"/>
      <c r="AQ106" s="206">
        <f t="shared" ca="1" si="1150"/>
        <v>0</v>
      </c>
      <c r="AR106" s="206">
        <f t="shared" ca="1" si="1151"/>
        <v>0</v>
      </c>
      <c r="AS106" s="207">
        <f t="shared" ca="1" si="1152"/>
        <v>0</v>
      </c>
      <c r="AT106" s="391">
        <f t="shared" si="1153"/>
        <v>1500</v>
      </c>
      <c r="AU106" s="391">
        <f t="shared" ca="1" si="804"/>
        <v>85402.5</v>
      </c>
      <c r="AV106" s="391">
        <f t="shared" ca="1" si="1154"/>
        <v>66806.105624999997</v>
      </c>
      <c r="AW106" s="394">
        <f t="shared" ca="1" si="1155"/>
        <v>1.1435163903089456E-2</v>
      </c>
      <c r="AX106" s="1007" t="str">
        <f t="shared" ref="AX106" ca="1" si="1217">IF(OR(AK106&lt;&gt;0,AS106&lt;&gt;0),"V","")</f>
        <v>V</v>
      </c>
      <c r="AY106" s="1255"/>
      <c r="AZ106" s="312" t="str">
        <f t="shared" ca="1" si="1073"/>
        <v/>
      </c>
      <c r="BA106" s="1254"/>
      <c r="BB106" s="199">
        <f t="shared" ca="1" si="1156"/>
        <v>0</v>
      </c>
      <c r="BC106" s="199">
        <f t="shared" ca="1" si="1157"/>
        <v>0</v>
      </c>
      <c r="BD106" s="216">
        <f t="shared" ca="1" si="1158"/>
        <v>0</v>
      </c>
      <c r="BE106" s="202">
        <f t="shared" ca="1" si="1159"/>
        <v>238.31065274835856</v>
      </c>
      <c r="BF106" s="203">
        <f t="shared" ca="1" si="1160"/>
        <v>13568.217014227796</v>
      </c>
      <c r="BG106" s="203">
        <f t="shared" ca="1" si="1161"/>
        <v>10613.737759379694</v>
      </c>
      <c r="BH106" s="204">
        <f t="shared" ca="1" si="1162"/>
        <v>1.4999999999999999E-2</v>
      </c>
      <c r="BI106" s="1253"/>
      <c r="BJ106" s="206">
        <f t="shared" ca="1" si="1163"/>
        <v>0</v>
      </c>
      <c r="BK106" s="206">
        <f t="shared" ca="1" si="1164"/>
        <v>0</v>
      </c>
      <c r="BL106" s="207">
        <f t="shared" ca="1" si="1165"/>
        <v>0</v>
      </c>
      <c r="BM106" s="391">
        <f t="shared" si="1166"/>
        <v>0</v>
      </c>
      <c r="BN106" s="391">
        <f t="shared" ca="1" si="807"/>
        <v>0</v>
      </c>
      <c r="BO106" s="391">
        <f t="shared" ca="1" si="1167"/>
        <v>0</v>
      </c>
      <c r="BP106" s="886">
        <f t="shared" ca="1" si="910"/>
        <v>0</v>
      </c>
      <c r="BQ106" s="1007" t="str">
        <f t="shared" ref="BQ106" ca="1" si="1218">IF(OR(BD106&lt;&gt;0,BL106&lt;&gt;0),"V","")</f>
        <v/>
      </c>
      <c r="BR106" s="1007"/>
    </row>
    <row r="107" spans="1:70" ht="13.5" hidden="1" customHeight="1" outlineLevel="1" x14ac:dyDescent="0.2">
      <c r="A107" s="367"/>
      <c r="B107" s="367"/>
      <c r="C107" s="367" t="str">
        <f t="shared" ca="1" si="1016"/>
        <v>IE00B14X4M10:USD</v>
      </c>
      <c r="D107" s="368" t="str">
        <f t="shared" ca="1" si="1017"/>
        <v>IE00B14X4M10</v>
      </c>
      <c r="E107" s="369" t="str">
        <f t="shared" ca="1" si="1017"/>
        <v>2585425</v>
      </c>
      <c r="F107" s="367" t="s">
        <v>899</v>
      </c>
      <c r="G107" s="414"/>
      <c r="H107" s="1713" t="str">
        <f t="shared" ca="1" si="1018"/>
        <v></v>
      </c>
      <c r="I107" s="1683" t="str">
        <f t="shared" ca="1" si="1138"/>
        <v>i</v>
      </c>
      <c r="J107" s="1713" t="str">
        <f t="shared" ca="1" si="1168"/>
        <v></v>
      </c>
      <c r="K107" s="1716" t="str">
        <f t="shared" ca="1" si="1168"/>
        <v></v>
      </c>
      <c r="L107" s="1717" t="str">
        <f t="shared" ca="1" si="1140"/>
        <v></v>
      </c>
      <c r="M107" s="366" t="str">
        <f t="shared" ca="1" si="1022"/>
        <v>Unit</v>
      </c>
      <c r="N107" s="1039"/>
      <c r="O107" s="1310" cm="1">
        <f t="array" aca="1" ref="O107" ca="1">SUM(IF($AF$14:$BQ$14="I_ctrlv",AF107:BQ107))</f>
        <v>0</v>
      </c>
      <c r="P107" s="418">
        <f t="shared" ca="1" si="877"/>
        <v>0</v>
      </c>
      <c r="Q107" s="391">
        <f t="array" aca="1" ref="Q107" ca="1">SUM(IF($AF$14:$BQ$14="I_pos",AF107:BQ107))</f>
        <v>0</v>
      </c>
      <c r="R107" s="391">
        <f t="array" aca="1" ref="R107" ca="1">SUM(IF($AF$14:$BQ$14="P_Pos",AF107:BQ107))</f>
        <v>0</v>
      </c>
      <c r="S107" s="1314"/>
      <c r="T107" s="391"/>
      <c r="U107" s="366"/>
      <c r="V107" s="391">
        <f t="array" aca="1" ref="V107" ca="1">SUM(IF($AF$14:$BQ$14="O_Pos",AF107:BQ107))</f>
        <v>0</v>
      </c>
      <c r="W107" s="1310"/>
      <c r="X107" s="1312">
        <f t="shared" ca="1" si="1169"/>
        <v>0</v>
      </c>
      <c r="Y107" s="1312">
        <f t="shared" ca="1" si="1169"/>
        <v>0</v>
      </c>
      <c r="Z107" s="1312">
        <f t="shared" ca="1" si="1169"/>
        <v>0</v>
      </c>
      <c r="AA107" s="1313">
        <f t="shared" ca="1" si="1169"/>
        <v>0</v>
      </c>
      <c r="AB107" s="367" t="str">
        <f t="shared" ca="1" si="1169"/>
        <v>USD</v>
      </c>
      <c r="AC107" s="392">
        <f t="shared" ca="1" si="1170"/>
        <v>125.93</v>
      </c>
      <c r="AD107" s="393">
        <f t="shared" ca="1" si="1170"/>
        <v>0</v>
      </c>
      <c r="AE107" s="378">
        <f t="shared" ca="1" si="1058"/>
        <v>0.78225</v>
      </c>
      <c r="AF107" s="214"/>
      <c r="AG107" s="312" t="str">
        <f t="shared" ca="1" si="1059"/>
        <v/>
      </c>
      <c r="AH107" s="1254"/>
      <c r="AI107" s="199">
        <f t="shared" ca="1" si="1143"/>
        <v>0</v>
      </c>
      <c r="AJ107" s="199">
        <f t="shared" ca="1" si="1144"/>
        <v>0</v>
      </c>
      <c r="AK107" s="216">
        <f t="shared" ca="1" si="1145"/>
        <v>0</v>
      </c>
      <c r="AL107" s="202">
        <f t="shared" ca="1" si="1146"/>
        <v>0</v>
      </c>
      <c r="AM107" s="203">
        <f t="shared" ca="1" si="1147"/>
        <v>0</v>
      </c>
      <c r="AN107" s="203">
        <f t="shared" ca="1" si="1148"/>
        <v>0</v>
      </c>
      <c r="AO107" s="204">
        <f t="shared" ca="1" si="1149"/>
        <v>0</v>
      </c>
      <c r="AP107" s="205"/>
      <c r="AQ107" s="206">
        <f t="shared" ca="1" si="1150"/>
        <v>0</v>
      </c>
      <c r="AR107" s="206">
        <f t="shared" ca="1" si="1151"/>
        <v>0</v>
      </c>
      <c r="AS107" s="207">
        <f t="shared" ca="1" si="1152"/>
        <v>0</v>
      </c>
      <c r="AT107" s="391">
        <f t="shared" si="1153"/>
        <v>0</v>
      </c>
      <c r="AU107" s="391">
        <f t="shared" ca="1" si="804"/>
        <v>0</v>
      </c>
      <c r="AV107" s="391">
        <f t="shared" ca="1" si="1154"/>
        <v>0</v>
      </c>
      <c r="AW107" s="394">
        <f t="shared" ca="1" si="1155"/>
        <v>0</v>
      </c>
      <c r="AX107" s="1007" t="str">
        <f t="shared" ca="1" si="936"/>
        <v/>
      </c>
      <c r="AY107" s="1255"/>
      <c r="AZ107" s="312" t="str">
        <f t="shared" ca="1" si="1073"/>
        <v/>
      </c>
      <c r="BA107" s="1254"/>
      <c r="BB107" s="199">
        <f t="shared" ca="1" si="1156"/>
        <v>0</v>
      </c>
      <c r="BC107" s="199">
        <f t="shared" ca="1" si="1157"/>
        <v>0</v>
      </c>
      <c r="BD107" s="216">
        <f t="shared" ca="1" si="1158"/>
        <v>0</v>
      </c>
      <c r="BE107" s="202">
        <f t="shared" ca="1" si="1159"/>
        <v>0</v>
      </c>
      <c r="BF107" s="203">
        <f t="shared" ca="1" si="1160"/>
        <v>0</v>
      </c>
      <c r="BG107" s="203">
        <f t="shared" ca="1" si="1161"/>
        <v>0</v>
      </c>
      <c r="BH107" s="204">
        <f t="shared" ca="1" si="1162"/>
        <v>0</v>
      </c>
      <c r="BI107" s="1253"/>
      <c r="BJ107" s="206">
        <f t="shared" ca="1" si="1163"/>
        <v>0</v>
      </c>
      <c r="BK107" s="206">
        <f t="shared" ca="1" si="1164"/>
        <v>0</v>
      </c>
      <c r="BL107" s="207">
        <f t="shared" ca="1" si="1165"/>
        <v>0</v>
      </c>
      <c r="BM107" s="391">
        <f t="shared" si="1166"/>
        <v>0</v>
      </c>
      <c r="BN107" s="391">
        <f t="shared" ca="1" si="807"/>
        <v>0</v>
      </c>
      <c r="BO107" s="391">
        <f t="shared" ca="1" si="1167"/>
        <v>0</v>
      </c>
      <c r="BP107" s="886">
        <f t="shared" ca="1" si="910"/>
        <v>0</v>
      </c>
      <c r="BQ107" s="1007" t="str">
        <f t="shared" ca="1" si="916"/>
        <v/>
      </c>
      <c r="BR107" s="1007"/>
    </row>
    <row r="108" spans="1:70" ht="13.5" hidden="1" customHeight="1" outlineLevel="1" x14ac:dyDescent="0.2">
      <c r="A108" s="367"/>
      <c r="B108" s="367"/>
      <c r="C108" s="367" t="str">
        <f t="shared" ca="1" si="1016"/>
        <v>IE0002GFATQ6:CHF:P</v>
      </c>
      <c r="D108" s="368" t="str">
        <f t="shared" ca="1" si="1017"/>
        <v>IE0002GFATQ6</v>
      </c>
      <c r="E108" s="369" t="str">
        <f t="shared" ca="1" si="1017"/>
        <v>134865972</v>
      </c>
      <c r="F108" s="367" t="s">
        <v>4300</v>
      </c>
      <c r="G108" s="414"/>
      <c r="H108" s="1713" t="str">
        <f t="shared" ca="1" si="1018"/>
        <v></v>
      </c>
      <c r="I108" s="1683" t="str">
        <f t="shared" ref="I108" ca="1" si="1219">HYPERLINK(OFFSET(Origine,MATCH($F108,Descrizioni,0),MATCH(I$14,Intestazioni,0)-1,1,1),"i")</f>
        <v>i</v>
      </c>
      <c r="J108" s="1713" t="str">
        <f t="shared" ref="J108:K108" ca="1" si="1220">HYPERLINK(OFFSET(Origine,MATCH($F108,Descrizioni,0),MATCH(J$14,Intestazioni,0)-1,1,1),"")</f>
        <v></v>
      </c>
      <c r="K108" s="1716" t="str">
        <f t="shared" ca="1" si="1220"/>
        <v></v>
      </c>
      <c r="L108" s="1717" t="str">
        <f t="shared" ca="1" si="1021"/>
        <v></v>
      </c>
      <c r="M108" s="366" t="str">
        <f t="shared" ca="1" si="1022"/>
        <v>Unit</v>
      </c>
      <c r="N108" s="1039">
        <v>2.5000000000000001E-2</v>
      </c>
      <c r="O108" s="1310" cm="1">
        <f t="array" aca="1" ref="O108" ca="1">SUM(IF($AF$14:$BQ$14="I_ctrlv",AF108:BQ108))</f>
        <v>0</v>
      </c>
      <c r="P108" s="428">
        <f t="shared" ca="1" si="877"/>
        <v>0</v>
      </c>
      <c r="Q108" s="391">
        <f t="array" aca="1" ref="Q108" ca="1">SUM(IF($AF$14:$BQ$14="I_pos",AF108:BQ108))</f>
        <v>0</v>
      </c>
      <c r="R108" s="391">
        <f t="array" aca="1" ref="R108" ca="1">SUM(IF($AF$14:$BQ$14="P_Pos",AF108:BQ108))</f>
        <v>17798.222568235651</v>
      </c>
      <c r="S108" s="1314"/>
      <c r="T108" s="391"/>
      <c r="U108" s="366"/>
      <c r="V108" s="391">
        <f t="array" aca="1" ref="V108" ca="1">SUM(IF($AF$14:$BQ$14="O_Pos",AF108:BQ108))</f>
        <v>0</v>
      </c>
      <c r="W108" s="1310"/>
      <c r="X108" s="1312">
        <f t="shared" ref="X108:AA108" ca="1" si="1221">OFFSET(Origine,MATCH($F108,Descrizioni,0),MATCH(X$14,Intestazioni,0)-1,1,1)</f>
        <v>0</v>
      </c>
      <c r="Y108" s="1312">
        <f t="shared" ca="1" si="1221"/>
        <v>0</v>
      </c>
      <c r="Z108" s="1312">
        <f t="shared" ca="1" si="1221"/>
        <v>0</v>
      </c>
      <c r="AA108" s="1313">
        <f t="shared" ca="1" si="1221"/>
        <v>0</v>
      </c>
      <c r="AB108" s="367" t="str">
        <f t="shared" ref="AB108" ca="1" si="1222">OFFSET(Origine,MATCH($F108,Descrizioni,0),MATCH(AB$14,Intestazioni,0)-1,1,1)</f>
        <v>CHF</v>
      </c>
      <c r="AC108" s="392">
        <f ca="1">_xlfn.NUMBERVALUE(OFFSET(Origine,MATCH($F108,Descrizioni,0),MATCH(AC$14,Intestazioni,0)-1,1,1))</f>
        <v>9.1999999999999993</v>
      </c>
      <c r="AD108" s="393">
        <f t="shared" ref="AD108" ca="1" si="1223">_xlfn.NUMBERVALUE(OFFSET(Origine,MATCH($F108,Descrizioni,0),MATCH(AD$14,Intestazioni,0)-1,1,1))</f>
        <v>0</v>
      </c>
      <c r="AE108" s="378">
        <f t="shared" ca="1" si="1058"/>
        <v>1.0000001300000001</v>
      </c>
      <c r="AF108" s="214"/>
      <c r="AG108" s="312" t="str">
        <f t="shared" ca="1" si="1059"/>
        <v/>
      </c>
      <c r="AH108" s="1254"/>
      <c r="AI108" s="199">
        <f t="shared" ref="AI108" ca="1" si="1224">AF108*$AC108</f>
        <v>0</v>
      </c>
      <c r="AJ108" s="199">
        <f t="shared" ref="AJ108" ca="1" si="1225">AI108*$AE108</f>
        <v>0</v>
      </c>
      <c r="AK108" s="216">
        <f t="shared" ref="AK108" ca="1" si="1226">IFERROR(AJ108/AF$4,0)</f>
        <v>0</v>
      </c>
      <c r="AL108" s="202">
        <f t="shared" ref="AL108" ca="1" si="1227">AM108/$AC108</f>
        <v>15875.444238599062</v>
      </c>
      <c r="AM108" s="203">
        <f t="shared" ref="AM108" ca="1" si="1228">AN108/$AE108</f>
        <v>146054.08699511137</v>
      </c>
      <c r="AN108" s="203">
        <f t="shared" ref="AN108" ca="1" si="1229">AO108*AF$4</f>
        <v>146054.1059821427</v>
      </c>
      <c r="AO108" s="204">
        <f t="shared" ref="AO108" ca="1" si="1230">$N108-AK108</f>
        <v>2.5000000000000001E-2</v>
      </c>
      <c r="AP108" s="205"/>
      <c r="AQ108" s="206">
        <f t="shared" ref="AQ108" ca="1" si="1231">AP108*$AC108</f>
        <v>0</v>
      </c>
      <c r="AR108" s="206">
        <f t="shared" ref="AR108" ca="1" si="1232">AQ108*$AE108</f>
        <v>0</v>
      </c>
      <c r="AS108" s="207">
        <f t="shared" ref="AS108" ca="1" si="1233">IFERROR(AR108/AF$4,0)</f>
        <v>0</v>
      </c>
      <c r="AT108" s="391">
        <f t="shared" si="1153"/>
        <v>0</v>
      </c>
      <c r="AU108" s="391">
        <f t="shared" ca="1" si="804"/>
        <v>0</v>
      </c>
      <c r="AV108" s="391">
        <f t="shared" ref="AV108" ca="1" si="1234">AU108*$AE108</f>
        <v>0</v>
      </c>
      <c r="AW108" s="394">
        <f t="shared" ref="AW108" ca="1" si="1235">IFERROR(AV108/AF$4,0)</f>
        <v>0</v>
      </c>
      <c r="AX108" s="1007" t="str">
        <f t="shared" ca="1" si="936"/>
        <v/>
      </c>
      <c r="AY108" s="1255"/>
      <c r="AZ108" s="312" t="str">
        <f t="shared" ca="1" si="1073"/>
        <v/>
      </c>
      <c r="BA108" s="1254"/>
      <c r="BB108" s="199">
        <f t="shared" ref="BB108" ca="1" si="1236">AY108*$AC108</f>
        <v>0</v>
      </c>
      <c r="BC108" s="199">
        <f t="shared" ref="BC108" ca="1" si="1237">BB108*$AE108</f>
        <v>0</v>
      </c>
      <c r="BD108" s="216">
        <f t="shared" ref="BD108" ca="1" si="1238">IFERROR(BC108/AY$4,0)</f>
        <v>0</v>
      </c>
      <c r="BE108" s="202">
        <f t="shared" ref="BE108" ca="1" si="1239">BF108/$AC108</f>
        <v>1922.7783296365876</v>
      </c>
      <c r="BF108" s="203">
        <f t="shared" ref="BF108" ca="1" si="1240">BG108/$AE108</f>
        <v>17689.560632656605</v>
      </c>
      <c r="BG108" s="203">
        <f t="shared" ref="BG108" ca="1" si="1241">BH108*AY$4</f>
        <v>17689.56293229949</v>
      </c>
      <c r="BH108" s="204">
        <f t="shared" ref="BH108" ca="1" si="1242">$N108-BD108</f>
        <v>2.5000000000000001E-2</v>
      </c>
      <c r="BI108" s="1253"/>
      <c r="BJ108" s="206">
        <f t="shared" ref="BJ108" ca="1" si="1243">BI108*$AC108</f>
        <v>0</v>
      </c>
      <c r="BK108" s="206">
        <f t="shared" ref="BK108" ca="1" si="1244">BJ108*$AE108</f>
        <v>0</v>
      </c>
      <c r="BL108" s="207">
        <f t="shared" ref="BL108" ca="1" si="1245">IFERROR(BK108/AY$4,0)</f>
        <v>0</v>
      </c>
      <c r="BM108" s="391">
        <f t="shared" si="1166"/>
        <v>0</v>
      </c>
      <c r="BN108" s="391">
        <f t="shared" ca="1" si="807"/>
        <v>0</v>
      </c>
      <c r="BO108" s="391">
        <f t="shared" ref="BO108" ca="1" si="1246">BN108*$AE108</f>
        <v>0</v>
      </c>
      <c r="BP108" s="886">
        <f t="shared" ca="1" si="910"/>
        <v>0</v>
      </c>
      <c r="BQ108" s="1007" t="str">
        <f t="shared" ca="1" si="916"/>
        <v/>
      </c>
      <c r="BR108" s="1007"/>
    </row>
    <row r="109" spans="1:70" ht="13.5" customHeight="1" collapsed="1" x14ac:dyDescent="0.2">
      <c r="A109" s="346"/>
      <c r="B109" s="346" t="s">
        <v>584</v>
      </c>
      <c r="C109" s="346"/>
      <c r="D109" s="347"/>
      <c r="E109" s="348"/>
      <c r="F109" s="346"/>
      <c r="G109" s="349"/>
      <c r="H109" s="1682"/>
      <c r="I109" s="1682"/>
      <c r="J109" s="1682"/>
      <c r="K109" s="1682"/>
      <c r="L109" s="1682"/>
      <c r="M109" s="345"/>
      <c r="N109" s="1036">
        <f>SUM(N$110:N$115)</f>
        <v>5.5999999999999994E-2</v>
      </c>
      <c r="O109" s="1315" cm="1">
        <f t="array" aca="1" ref="O109" ca="1">SUM(IF($AF$14:$BQ$14="I_ctrlv",AF109:BQ109))</f>
        <v>312220.47000000003</v>
      </c>
      <c r="P109" s="351">
        <f t="shared" ca="1" si="877"/>
        <v>4.7669090363905688E-2</v>
      </c>
      <c r="Q109" s="421"/>
      <c r="R109" s="421"/>
      <c r="S109" s="1035"/>
      <c r="T109" s="421"/>
      <c r="U109" s="345"/>
      <c r="V109" s="422">
        <f ca="1">COUNTIF(V110:V115,"&lt;&gt;0")</f>
        <v>0</v>
      </c>
      <c r="W109" s="1303"/>
      <c r="X109" s="1304"/>
      <c r="Y109" s="1304"/>
      <c r="Z109" s="1304"/>
      <c r="AA109" s="1305"/>
      <c r="AB109" s="346"/>
      <c r="AC109" s="355"/>
      <c r="AD109" s="1306"/>
      <c r="AE109" s="356"/>
      <c r="AF109" s="357"/>
      <c r="AG109" s="359"/>
      <c r="AH109" s="875"/>
      <c r="AI109" s="359"/>
      <c r="AJ109" s="360">
        <f ca="1">SUM(AJ$110:AJ$115)</f>
        <v>312220.47000000003</v>
      </c>
      <c r="AK109" s="361">
        <f t="shared" ca="1" si="980"/>
        <v>5.3442604009738284E-2</v>
      </c>
      <c r="AL109" s="362"/>
      <c r="AM109" s="359"/>
      <c r="AN109" s="360">
        <f ca="1">SUM(AN$110:AN$115)</f>
        <v>14940.727399999625</v>
      </c>
      <c r="AO109" s="363">
        <f ca="1">IFERROR(AN109/AF$4,0)</f>
        <v>2.5573959902617104E-3</v>
      </c>
      <c r="AP109" s="362"/>
      <c r="AQ109" s="359"/>
      <c r="AR109" s="360">
        <f ca="1">SUM(AR$110:AR$115)</f>
        <v>0</v>
      </c>
      <c r="AS109" s="363">
        <f t="shared" ca="1" si="987"/>
        <v>0</v>
      </c>
      <c r="AT109" s="359"/>
      <c r="AU109" s="359"/>
      <c r="AV109" s="360">
        <f ca="1">SUM(AV$110:AV$115)</f>
        <v>312220.47000000003</v>
      </c>
      <c r="AW109" s="361">
        <f t="shared" ca="1" si="1127"/>
        <v>5.3442604009738284E-2</v>
      </c>
      <c r="AX109" s="1007" t="str">
        <f t="shared" ca="1" si="936"/>
        <v>V</v>
      </c>
      <c r="AY109" s="1307"/>
      <c r="AZ109" s="359"/>
      <c r="BA109" s="875"/>
      <c r="BB109" s="359"/>
      <c r="BC109" s="360">
        <f ca="1">SUM(BC$110:BC$115)</f>
        <v>0</v>
      </c>
      <c r="BD109" s="361">
        <f t="shared" ca="1" si="994"/>
        <v>0</v>
      </c>
      <c r="BE109" s="362"/>
      <c r="BF109" s="359"/>
      <c r="BG109" s="360">
        <f ca="1">SUM(BG$110:BG$115)</f>
        <v>39624.620968350857</v>
      </c>
      <c r="BH109" s="363">
        <f ca="1">IFERROR(BG109/AY$4,0)</f>
        <v>5.5999999999999994E-2</v>
      </c>
      <c r="BI109" s="1308"/>
      <c r="BJ109" s="359"/>
      <c r="BK109" s="360">
        <f ca="1">SUM(BK$110:BK$115)</f>
        <v>0</v>
      </c>
      <c r="BL109" s="363">
        <f t="shared" ca="1" si="1001"/>
        <v>0</v>
      </c>
      <c r="BM109" s="359"/>
      <c r="BN109" s="359"/>
      <c r="BO109" s="360">
        <f ca="1">SUM(BO$110:BO$115)</f>
        <v>0</v>
      </c>
      <c r="BP109" s="876">
        <f t="shared" ca="1" si="910"/>
        <v>0</v>
      </c>
      <c r="BQ109" s="1007" t="str">
        <f t="shared" ref="BQ109:BQ111" ca="1" si="1247">IF(OR(BD109&lt;&gt;0,BL109&lt;&gt;0),"V","")</f>
        <v/>
      </c>
      <c r="BR109" s="1007"/>
    </row>
    <row r="110" spans="1:70" ht="13.5" hidden="1" customHeight="1" outlineLevel="1" x14ac:dyDescent="0.2">
      <c r="A110" s="367"/>
      <c r="B110" s="367"/>
      <c r="C110" s="367" t="str">
        <f t="shared" ref="C110:C115" ca="1" si="1248">OFFSET(Origine,MATCH($F110,Descrizioni,0),MATCH(C$14,Intestazioni,0)-1,1,1)</f>
        <v>AU000000BHP4:AUD</v>
      </c>
      <c r="D110" s="368" t="str">
        <f t="shared" ref="D110:D115" ca="1" si="1249">OFFSET(Origine,MATCH($F110,Descrizioni,0),MATCH(D$14,Intestazioni,0)-1,1,1)</f>
        <v>AU000000BHP4</v>
      </c>
      <c r="E110" s="369" t="str">
        <f t="shared" ref="E110:E115" ca="1" si="1250">OFFSET(Origine,MATCH($F110,Descrizioni,0),MATCH(E$14,Intestazioni,0)-1,1,1)</f>
        <v>640390</v>
      </c>
      <c r="F110" s="367" t="s">
        <v>585</v>
      </c>
      <c r="G110" s="414"/>
      <c r="H110" s="1713" t="str">
        <f t="shared" ref="H110:H115" ca="1" si="1251">HYPERLINK(OFFSET(Origine,MATCH($F110,Descrizioni,0),MATCH(H$14,Intestazioni,0)-1,1,1),"")</f>
        <v></v>
      </c>
      <c r="I110" s="1683" t="str">
        <f t="shared" ref="I110" ca="1" si="1252">HYPERLINK(OFFSET(Origine,MATCH($F110,Descrizioni,0),MATCH(I$14,Intestazioni,0)-1,1,1),"i")</f>
        <v>i</v>
      </c>
      <c r="J110" s="1713" t="str">
        <f t="shared" ref="J110:K110" ca="1" si="1253">HYPERLINK(OFFSET(Origine,MATCH($F110,Descrizioni,0),MATCH(J$14,Intestazioni,0)-1,1,1),"")</f>
        <v></v>
      </c>
      <c r="K110" s="1716" t="str">
        <f t="shared" ca="1" si="1253"/>
        <v></v>
      </c>
      <c r="L110" s="1717" t="str">
        <f t="shared" ref="L110:L115" ca="1" si="1254">IFERROR(HYPERLINK("https://www.zonebourse.com/mods_a/charts/TV/inc_dyna_graph.php?c="&amp;OFFSET(Origine,MATCH($F110,Descrizioni,0),MATCH(L$14,Intestazioni,0)-1,1,1)&amp;"&amp;style=TradingView.CANDLES&amp;showAT=1",""),"")</f>
        <v></v>
      </c>
      <c r="M110" s="366" t="str">
        <f t="shared" ref="M110:M115" ca="1" si="1255">(OFFSET(Origine,MATCH($F110,Descrizioni,0),MATCH(M$14,Intestazioni,0)-1,1,1))</f>
        <v>Unit</v>
      </c>
      <c r="N110" s="1039">
        <v>1.0999999999999999E-2</v>
      </c>
      <c r="O110" s="1310" cm="1">
        <f t="array" aca="1" ref="O110" ca="1">SUM(IF($AF$14:$BQ$14="I_ctrlv",AF110:BQ110))</f>
        <v>55403.786250000005</v>
      </c>
      <c r="P110" s="418">
        <f t="shared" ca="1" si="877"/>
        <v>8.4589203688463007E-3</v>
      </c>
      <c r="Q110" s="391">
        <f t="array" aca="1" ref="Q110" ca="1">SUM(IF($AF$14:$BQ$14="I_pos",AF110:BQ110))</f>
        <v>1700</v>
      </c>
      <c r="R110" s="391">
        <f t="array" aca="1" ref="R110" ca="1">SUM(IF($AF$14:$BQ$14="P_Pos",AF110:BQ110))</f>
        <v>510.6840098496474</v>
      </c>
      <c r="S110" s="1314"/>
      <c r="T110" s="391"/>
      <c r="U110" s="366"/>
      <c r="V110" s="391">
        <f t="array" aca="1" ref="V110" ca="1">SUM(IF($AF$14:$BQ$14="O_Pos",AF110:BQ110))</f>
        <v>0</v>
      </c>
      <c r="W110" s="1310"/>
      <c r="X110" s="1312">
        <f t="shared" ref="X110:AA110" ca="1" si="1256">OFFSET(Origine,MATCH($F110,Descrizioni,0),MATCH(X$14,Intestazioni,0)-1,1,1)</f>
        <v>0</v>
      </c>
      <c r="Y110" s="1312">
        <f t="shared" ca="1" si="1256"/>
        <v>0</v>
      </c>
      <c r="Z110" s="1312">
        <f t="shared" ca="1" si="1256"/>
        <v>0</v>
      </c>
      <c r="AA110" s="1313">
        <f t="shared" ca="1" si="1256"/>
        <v>0</v>
      </c>
      <c r="AB110" s="367" t="str">
        <f t="shared" ref="AB110" ca="1" si="1257">OFFSET(Origine,MATCH($F110,Descrizioni,0),MATCH(AB$14,Intestazioni,0)-1,1,1)</f>
        <v>AUD</v>
      </c>
      <c r="AC110" s="392">
        <f t="shared" ref="AC110:AD115" ca="1" si="1258">_xlfn.NUMBERVALUE(OFFSET(Origine,MATCH($F110,Descrizioni,0),MATCH(AC$14,Intestazioni,0)-1,1,1))</f>
        <v>59.25</v>
      </c>
      <c r="AD110" s="393">
        <f t="shared" ca="1" si="1258"/>
        <v>0</v>
      </c>
      <c r="AE110" s="378">
        <f t="shared" ref="AE110:AE115" ca="1" si="1259">_xlfn.NUMBERVALUE(OFFSET(Origine,MATCH(AB110&amp;"/"&amp;MRif,LUKB_Name,0),MATCH("Price",Intestazioni,0)-1,1,1))</f>
        <v>0.55005000000000004</v>
      </c>
      <c r="AF110" s="214">
        <f>1700</f>
        <v>1700</v>
      </c>
      <c r="AG110" s="312">
        <f t="shared" ref="AG110:AG115" ca="1" si="1260">IFERROR($AC110/AH110-1,"")</f>
        <v>0.33182580392826799</v>
      </c>
      <c r="AH110" s="1254">
        <v>44.4878</v>
      </c>
      <c r="AI110" s="199">
        <f t="shared" ref="AI110:AI115" ca="1" si="1261">AF110*$AC110</f>
        <v>100725</v>
      </c>
      <c r="AJ110" s="199">
        <f t="shared" ref="AJ110:AJ115" ca="1" si="1262">AI110*$AE110</f>
        <v>55403.786250000005</v>
      </c>
      <c r="AK110" s="216">
        <f t="shared" ca="1" si="980"/>
        <v>9.4834352443288958E-3</v>
      </c>
      <c r="AL110" s="202">
        <f t="shared" ref="AL110:AL115" ca="1" si="1263">AM110/$AC110</f>
        <v>271.85930184767363</v>
      </c>
      <c r="AM110" s="203">
        <f t="shared" ref="AM110:AM115" ca="1" si="1264">AN110/$AE110</f>
        <v>16107.663634474664</v>
      </c>
      <c r="AN110" s="203">
        <f t="shared" ref="AN110" ca="1" si="1265">AO110*AF$4</f>
        <v>8860.0203821427895</v>
      </c>
      <c r="AO110" s="204">
        <f t="shared" ref="AO110:AO115" ca="1" si="1266">$N110-AK110</f>
        <v>1.5165647556711036E-3</v>
      </c>
      <c r="AP110" s="205"/>
      <c r="AQ110" s="206">
        <f t="shared" ref="AQ110:AQ115" ca="1" si="1267">AP110*$AC110</f>
        <v>0</v>
      </c>
      <c r="AR110" s="206">
        <f t="shared" ref="AR110:AR115" ca="1" si="1268">AQ110*$AE110</f>
        <v>0</v>
      </c>
      <c r="AS110" s="207">
        <f t="shared" ca="1" si="987"/>
        <v>0</v>
      </c>
      <c r="AT110" s="391">
        <f>AF110+AP110</f>
        <v>1700</v>
      </c>
      <c r="AU110" s="391">
        <f t="shared" ca="1" si="804"/>
        <v>100725</v>
      </c>
      <c r="AV110" s="391">
        <f t="shared" ref="AV110:AV115" ca="1" si="1269">AU110*$AE110</f>
        <v>55403.786250000005</v>
      </c>
      <c r="AW110" s="394">
        <f t="shared" ca="1" si="1127"/>
        <v>9.4834352443288958E-3</v>
      </c>
      <c r="AX110" s="1007" t="str">
        <f t="shared" ca="1" si="936"/>
        <v>V</v>
      </c>
      <c r="AY110" s="1255"/>
      <c r="AZ110" s="312" t="str">
        <f t="shared" ref="AZ110:AZ115" ca="1" si="1270">IFERROR($AC110/BA110-1,"")</f>
        <v/>
      </c>
      <c r="BA110" s="1254"/>
      <c r="BB110" s="199">
        <f t="shared" ref="BB110:BB115" ca="1" si="1271">AY110*$AC110</f>
        <v>0</v>
      </c>
      <c r="BC110" s="199">
        <f t="shared" ref="BC110:BC115" ca="1" si="1272">BB110*$AE110</f>
        <v>0</v>
      </c>
      <c r="BD110" s="216">
        <f t="shared" ca="1" si="994"/>
        <v>0</v>
      </c>
      <c r="BE110" s="202">
        <f t="shared" ref="BE110:BE115" ca="1" si="1273">BF110/$AC110</f>
        <v>238.82470800197376</v>
      </c>
      <c r="BF110" s="203">
        <f t="shared" ref="BF110:BF115" ca="1" si="1274">BG110/$AE110</f>
        <v>14150.363949116945</v>
      </c>
      <c r="BG110" s="203">
        <f t="shared" ref="BG110" ca="1" si="1275">BH110*AY$4</f>
        <v>7783.4076902117758</v>
      </c>
      <c r="BH110" s="204">
        <f t="shared" ref="BH110:BH115" ca="1" si="1276">$N110-BD110</f>
        <v>1.0999999999999999E-2</v>
      </c>
      <c r="BI110" s="1253"/>
      <c r="BJ110" s="206">
        <f t="shared" ref="BJ110:BJ115" ca="1" si="1277">BI110*$AC110</f>
        <v>0</v>
      </c>
      <c r="BK110" s="206">
        <f t="shared" ref="BK110:BK115" ca="1" si="1278">BJ110*$AE110</f>
        <v>0</v>
      </c>
      <c r="BL110" s="207">
        <f t="shared" ca="1" si="1001"/>
        <v>0</v>
      </c>
      <c r="BM110" s="391">
        <f>AY110+BI110</f>
        <v>0</v>
      </c>
      <c r="BN110" s="391">
        <f t="shared" ca="1" si="807"/>
        <v>0</v>
      </c>
      <c r="BO110" s="391">
        <f t="shared" ref="BO110:BO115" ca="1" si="1279">BN110*$AE110</f>
        <v>0</v>
      </c>
      <c r="BP110" s="886">
        <f t="shared" ca="1" si="910"/>
        <v>0</v>
      </c>
      <c r="BQ110" s="1007" t="str">
        <f t="shared" ca="1" si="1247"/>
        <v/>
      </c>
      <c r="BR110" s="1007"/>
    </row>
    <row r="111" spans="1:70" ht="13.5" hidden="1" customHeight="1" outlineLevel="1" x14ac:dyDescent="0.2">
      <c r="A111" s="367"/>
      <c r="B111" s="367"/>
      <c r="C111" s="367" t="str">
        <f t="shared" ca="1" si="1248"/>
        <v>AU000000RIO1:AUD</v>
      </c>
      <c r="D111" s="368" t="str">
        <f t="shared" ca="1" si="1249"/>
        <v>AU000000RIO1</v>
      </c>
      <c r="E111" s="369" t="str">
        <f t="shared" ca="1" si="1250"/>
        <v>603520</v>
      </c>
      <c r="F111" s="367" t="s">
        <v>769</v>
      </c>
      <c r="G111" s="414"/>
      <c r="H111" s="1713" t="str">
        <f t="shared" ca="1" si="1251"/>
        <v></v>
      </c>
      <c r="I111" s="1683" t="str">
        <f t="shared" ref="I111" ca="1" si="1280">HYPERLINK(OFFSET(Origine,MATCH($F111,Descrizioni,0),MATCH(I$14,Intestazioni,0)-1,1,1),"i")</f>
        <v>i</v>
      </c>
      <c r="J111" s="1713" t="str">
        <f t="shared" ref="J111:K111" ca="1" si="1281">HYPERLINK(OFFSET(Origine,MATCH($F111,Descrizioni,0),MATCH(J$14,Intestazioni,0)-1,1,1),"")</f>
        <v></v>
      </c>
      <c r="K111" s="1716" t="str">
        <f t="shared" ca="1" si="1281"/>
        <v></v>
      </c>
      <c r="L111" s="1717" t="str">
        <f t="shared" ca="1" si="1254"/>
        <v></v>
      </c>
      <c r="M111" s="366" t="str">
        <f t="shared" ca="1" si="1255"/>
        <v>Unit</v>
      </c>
      <c r="N111" s="1039"/>
      <c r="O111" s="1310" cm="1">
        <f t="array" aca="1" ref="O111" ca="1">SUM(IF($AF$14:$BQ$14="I_ctrlv",AF111:BQ111))</f>
        <v>116500.59000000001</v>
      </c>
      <c r="P111" s="418">
        <f t="shared" ca="1" si="877"/>
        <v>1.7787037320641814E-2</v>
      </c>
      <c r="Q111" s="391">
        <f t="array" aca="1" ref="Q111" ca="1">SUM(IF($AF$14:$BQ$14="I_pos",AF111:BQ111))</f>
        <v>1250</v>
      </c>
      <c r="R111" s="391">
        <f t="array" aca="1" ref="R111" ca="1">SUM(IF($AF$14:$BQ$14="P_Pos",AF111:BQ111))</f>
        <v>-1250</v>
      </c>
      <c r="S111" s="1314"/>
      <c r="T111" s="391"/>
      <c r="U111" s="366"/>
      <c r="V111" s="391">
        <f t="array" aca="1" ref="V111" ca="1">SUM(IF($AF$14:$BQ$14="O_Pos",AF111:BQ111))</f>
        <v>0</v>
      </c>
      <c r="W111" s="1310"/>
      <c r="X111" s="1312">
        <f t="shared" ref="X111:AA111" ca="1" si="1282">OFFSET(Origine,MATCH($F111,Descrizioni,0),MATCH(X$14,Intestazioni,0)-1,1,1)</f>
        <v>0</v>
      </c>
      <c r="Y111" s="1312">
        <f t="shared" ca="1" si="1282"/>
        <v>0</v>
      </c>
      <c r="Z111" s="1312">
        <f t="shared" ca="1" si="1282"/>
        <v>0</v>
      </c>
      <c r="AA111" s="1313">
        <f t="shared" ca="1" si="1282"/>
        <v>0</v>
      </c>
      <c r="AB111" s="367" t="str">
        <f t="shared" ref="AB111" ca="1" si="1283">OFFSET(Origine,MATCH($F111,Descrizioni,0),MATCH(AB$14,Intestazioni,0)-1,1,1)</f>
        <v>AUD</v>
      </c>
      <c r="AC111" s="392">
        <f t="shared" ref="AC111" ca="1" si="1284">_xlfn.NUMBERVALUE(OFFSET(Origine,MATCH($F111,Descrizioni,0),MATCH(AC$14,Intestazioni,0)-1,1,1))</f>
        <v>169.44</v>
      </c>
      <c r="AD111" s="393">
        <f t="shared" ca="1" si="1258"/>
        <v>0</v>
      </c>
      <c r="AE111" s="378">
        <f t="shared" ca="1" si="1259"/>
        <v>0.55005000000000004</v>
      </c>
      <c r="AF111" s="214">
        <f>750+500</f>
        <v>1250</v>
      </c>
      <c r="AG111" s="312">
        <f t="shared" ca="1" si="1260"/>
        <v>0.77173999422804251</v>
      </c>
      <c r="AH111" s="1254">
        <v>95.634799999999998</v>
      </c>
      <c r="AI111" s="199">
        <f t="shared" ca="1" si="1261"/>
        <v>211800</v>
      </c>
      <c r="AJ111" s="199">
        <f t="shared" ca="1" si="1262"/>
        <v>116500.59000000001</v>
      </c>
      <c r="AK111" s="216">
        <f t="shared" ca="1" si="980"/>
        <v>1.994134112433716E-2</v>
      </c>
      <c r="AL111" s="202">
        <f t="shared" ca="1" si="1263"/>
        <v>-1250</v>
      </c>
      <c r="AM111" s="203">
        <f t="shared" ca="1" si="1264"/>
        <v>-211800</v>
      </c>
      <c r="AN111" s="203">
        <f ca="1">AO111*AF$4</f>
        <v>-116500.59000000001</v>
      </c>
      <c r="AO111" s="204">
        <f t="shared" ca="1" si="1266"/>
        <v>-1.994134112433716E-2</v>
      </c>
      <c r="AP111" s="205"/>
      <c r="AQ111" s="206">
        <f t="shared" ca="1" si="1267"/>
        <v>0</v>
      </c>
      <c r="AR111" s="206">
        <f t="shared" ca="1" si="1268"/>
        <v>0</v>
      </c>
      <c r="AS111" s="207">
        <f t="shared" ca="1" si="987"/>
        <v>0</v>
      </c>
      <c r="AT111" s="391">
        <f t="shared" ref="AT111:AT115" si="1285">AF111+AP111</f>
        <v>1250</v>
      </c>
      <c r="AU111" s="391">
        <f t="shared" ca="1" si="804"/>
        <v>211800</v>
      </c>
      <c r="AV111" s="391">
        <f t="shared" ca="1" si="1269"/>
        <v>116500.59000000001</v>
      </c>
      <c r="AW111" s="394">
        <f ca="1">IFERROR(AV111/AF$4,0)</f>
        <v>1.994134112433716E-2</v>
      </c>
      <c r="AX111" s="1007" t="str">
        <f t="shared" ca="1" si="936"/>
        <v>V</v>
      </c>
      <c r="AY111" s="1255"/>
      <c r="AZ111" s="312" t="str">
        <f t="shared" ca="1" si="1270"/>
        <v/>
      </c>
      <c r="BA111" s="1254"/>
      <c r="BB111" s="199">
        <f t="shared" ca="1" si="1271"/>
        <v>0</v>
      </c>
      <c r="BC111" s="199">
        <f t="shared" ca="1" si="1272"/>
        <v>0</v>
      </c>
      <c r="BD111" s="216">
        <f t="shared" ca="1" si="994"/>
        <v>0</v>
      </c>
      <c r="BE111" s="202">
        <f t="shared" ca="1" si="1273"/>
        <v>0</v>
      </c>
      <c r="BF111" s="203">
        <f t="shared" ca="1" si="1274"/>
        <v>0</v>
      </c>
      <c r="BG111" s="203">
        <f ca="1">BH111*AY$4</f>
        <v>0</v>
      </c>
      <c r="BH111" s="204">
        <f t="shared" ca="1" si="1276"/>
        <v>0</v>
      </c>
      <c r="BI111" s="1253"/>
      <c r="BJ111" s="206">
        <f t="shared" ca="1" si="1277"/>
        <v>0</v>
      </c>
      <c r="BK111" s="206">
        <f t="shared" ca="1" si="1278"/>
        <v>0</v>
      </c>
      <c r="BL111" s="207">
        <f t="shared" ca="1" si="1001"/>
        <v>0</v>
      </c>
      <c r="BM111" s="391">
        <f t="shared" ref="BM111:BM115" si="1286">AY111+BI111</f>
        <v>0</v>
      </c>
      <c r="BN111" s="391">
        <f t="shared" ca="1" si="807"/>
        <v>0</v>
      </c>
      <c r="BO111" s="391">
        <f t="shared" ca="1" si="1279"/>
        <v>0</v>
      </c>
      <c r="BP111" s="886">
        <f t="shared" ca="1" si="910"/>
        <v>0</v>
      </c>
      <c r="BQ111" s="1007" t="str">
        <f t="shared" ca="1" si="1247"/>
        <v/>
      </c>
      <c r="BR111" s="1007"/>
    </row>
    <row r="112" spans="1:70" ht="13.5" hidden="1" customHeight="1" outlineLevel="1" x14ac:dyDescent="0.2">
      <c r="A112" s="367"/>
      <c r="B112" s="367"/>
      <c r="C112" s="367" t="str">
        <f t="shared" ca="1" si="1248"/>
        <v>IE00B52MJY50:USD</v>
      </c>
      <c r="D112" s="368" t="str">
        <f t="shared" ca="1" si="1249"/>
        <v>IE00B52MJY50</v>
      </c>
      <c r="E112" s="369" t="str">
        <f t="shared" ca="1" si="1250"/>
        <v>10737120</v>
      </c>
      <c r="F112" s="367" t="s">
        <v>770</v>
      </c>
      <c r="G112" s="414"/>
      <c r="H112" s="1713" t="str">
        <f t="shared" ca="1" si="1251"/>
        <v></v>
      </c>
      <c r="I112" s="1683" t="str">
        <f t="shared" ref="I112" ca="1" si="1287">HYPERLINK(OFFSET(Origine,MATCH($F112,Descrizioni,0),MATCH(I$14,Intestazioni,0)-1,1,1),"i")</f>
        <v>i</v>
      </c>
      <c r="J112" s="1713" t="str">
        <f t="shared" ref="J112:K112" ca="1" si="1288">HYPERLINK(OFFSET(Origine,MATCH($F112,Descrizioni,0),MATCH(J$14,Intestazioni,0)-1,1,1),"")</f>
        <v></v>
      </c>
      <c r="K112" s="1716" t="str">
        <f t="shared" ca="1" si="1288"/>
        <v></v>
      </c>
      <c r="L112" s="1717" t="str">
        <f t="shared" ca="1" si="1254"/>
        <v></v>
      </c>
      <c r="M112" s="366" t="str">
        <f t="shared" ca="1" si="1255"/>
        <v>Unit</v>
      </c>
      <c r="N112" s="1039">
        <v>1.4999999999999999E-2</v>
      </c>
      <c r="O112" s="1310" cm="1">
        <f t="array" aca="1" ref="O112" ca="1">SUM(IF($AF$14:$BQ$14="I_ctrlv",AF112:BQ112))</f>
        <v>0</v>
      </c>
      <c r="P112" s="373">
        <f t="shared" ca="1" si="877"/>
        <v>0</v>
      </c>
      <c r="Q112" s="391">
        <f t="array" aca="1" ref="Q112" ca="1">SUM(IF($AF$14:$BQ$14="I_pos",AF112:BQ112))</f>
        <v>0</v>
      </c>
      <c r="R112" s="391">
        <f t="array" aca="1" ref="R112" ca="1">SUM(IF($AF$14:$BQ$14="P_Pos",AF112:BQ112))</f>
        <v>533.60401463155495</v>
      </c>
      <c r="S112" s="1314"/>
      <c r="T112" s="391"/>
      <c r="U112" s="366"/>
      <c r="V112" s="391">
        <f t="array" aca="1" ref="V112" ca="1">SUM(IF($AF$14:$BQ$14="O_Pos",AF112:BQ112))</f>
        <v>0</v>
      </c>
      <c r="W112" s="1310"/>
      <c r="X112" s="1312">
        <f t="shared" ref="X112:AA112" ca="1" si="1289">OFFSET(Origine,MATCH($F112,Descrizioni,0),MATCH(X$14,Intestazioni,0)-1,1,1)</f>
        <v>0</v>
      </c>
      <c r="Y112" s="1312">
        <f t="shared" ca="1" si="1289"/>
        <v>0</v>
      </c>
      <c r="Z112" s="1312">
        <f t="shared" ca="1" si="1289"/>
        <v>0</v>
      </c>
      <c r="AA112" s="1313">
        <f t="shared" ca="1" si="1289"/>
        <v>0</v>
      </c>
      <c r="AB112" s="367" t="str">
        <f t="shared" ref="AB112" ca="1" si="1290">OFFSET(Origine,MATCH($F112,Descrizioni,0),MATCH(AB$14,Intestazioni,0)-1,1,1)</f>
        <v>USD</v>
      </c>
      <c r="AC112" s="392">
        <f t="shared" ref="AC112" ca="1" si="1291">_xlfn.NUMBERVALUE(OFFSET(Origine,MATCH($F112,Descrizioni,0),MATCH(AC$14,Intestazioni,0)-1,1,1))</f>
        <v>235.37</v>
      </c>
      <c r="AD112" s="393">
        <f t="shared" ca="1" si="1258"/>
        <v>0</v>
      </c>
      <c r="AE112" s="378">
        <f t="shared" ca="1" si="1259"/>
        <v>0.78225</v>
      </c>
      <c r="AF112" s="214"/>
      <c r="AG112" s="312" t="str">
        <f t="shared" ca="1" si="1260"/>
        <v/>
      </c>
      <c r="AH112" s="1254"/>
      <c r="AI112" s="199">
        <f t="shared" ca="1" si="1261"/>
        <v>0</v>
      </c>
      <c r="AJ112" s="199">
        <f t="shared" ca="1" si="1262"/>
        <v>0</v>
      </c>
      <c r="AK112" s="216">
        <f t="shared" ca="1" si="980"/>
        <v>0</v>
      </c>
      <c r="AL112" s="202">
        <f t="shared" ca="1" si="1263"/>
        <v>475.9576832629532</v>
      </c>
      <c r="AM112" s="203">
        <f t="shared" ca="1" si="1264"/>
        <v>112026.15990960129</v>
      </c>
      <c r="AN112" s="203">
        <f t="shared" ref="AN112:AN115" ca="1" si="1292">AO112*AF$4</f>
        <v>87632.463589285617</v>
      </c>
      <c r="AO112" s="204">
        <f t="shared" ca="1" si="1266"/>
        <v>1.4999999999999999E-2</v>
      </c>
      <c r="AP112" s="205"/>
      <c r="AQ112" s="206">
        <f t="shared" ca="1" si="1267"/>
        <v>0</v>
      </c>
      <c r="AR112" s="206">
        <f t="shared" ca="1" si="1268"/>
        <v>0</v>
      </c>
      <c r="AS112" s="207">
        <f t="shared" ca="1" si="987"/>
        <v>0</v>
      </c>
      <c r="AT112" s="391">
        <f t="shared" si="1285"/>
        <v>0</v>
      </c>
      <c r="AU112" s="391">
        <f t="shared" ca="1" si="804"/>
        <v>0</v>
      </c>
      <c r="AV112" s="391">
        <f t="shared" ca="1" si="1269"/>
        <v>0</v>
      </c>
      <c r="AW112" s="394">
        <f t="shared" ref="AW112" ca="1" si="1293">IFERROR(AV112/AF$4,0)</f>
        <v>0</v>
      </c>
      <c r="AX112" s="1007" t="str">
        <f t="shared" ca="1" si="936"/>
        <v/>
      </c>
      <c r="AY112" s="1255"/>
      <c r="AZ112" s="312" t="str">
        <f t="shared" ca="1" si="1270"/>
        <v/>
      </c>
      <c r="BA112" s="1254"/>
      <c r="BB112" s="199">
        <f t="shared" ca="1" si="1271"/>
        <v>0</v>
      </c>
      <c r="BC112" s="199">
        <f t="shared" ca="1" si="1272"/>
        <v>0</v>
      </c>
      <c r="BD112" s="216">
        <f t="shared" ca="1" si="994"/>
        <v>0</v>
      </c>
      <c r="BE112" s="202">
        <f t="shared" ca="1" si="1273"/>
        <v>57.646331368601757</v>
      </c>
      <c r="BF112" s="203">
        <f t="shared" ca="1" si="1274"/>
        <v>13568.217014227796</v>
      </c>
      <c r="BG112" s="203">
        <f t="shared" ref="BG112:BG115" ca="1" si="1294">BH112*AY$4</f>
        <v>10613.737759379694</v>
      </c>
      <c r="BH112" s="204">
        <f t="shared" ca="1" si="1276"/>
        <v>1.4999999999999999E-2</v>
      </c>
      <c r="BI112" s="1253"/>
      <c r="BJ112" s="206">
        <f t="shared" ca="1" si="1277"/>
        <v>0</v>
      </c>
      <c r="BK112" s="206">
        <f t="shared" ca="1" si="1278"/>
        <v>0</v>
      </c>
      <c r="BL112" s="207">
        <f t="shared" ca="1" si="1001"/>
        <v>0</v>
      </c>
      <c r="BM112" s="391">
        <f t="shared" si="1286"/>
        <v>0</v>
      </c>
      <c r="BN112" s="391">
        <f t="shared" ca="1" si="807"/>
        <v>0</v>
      </c>
      <c r="BO112" s="391">
        <f t="shared" ca="1" si="1279"/>
        <v>0</v>
      </c>
      <c r="BP112" s="886">
        <f t="shared" ca="1" si="910"/>
        <v>0</v>
      </c>
      <c r="BQ112" s="1007" t="str">
        <f t="shared" ca="1" si="916"/>
        <v/>
      </c>
      <c r="BR112" s="1007"/>
    </row>
    <row r="113" spans="1:70" ht="13.5" hidden="1" customHeight="1" outlineLevel="1" x14ac:dyDescent="0.2">
      <c r="A113" s="367"/>
      <c r="B113" s="367"/>
      <c r="C113" s="367" t="str">
        <f t="shared" ca="1" si="1248"/>
        <v>LU0390135332:USD</v>
      </c>
      <c r="D113" s="368" t="str">
        <f t="shared" ca="1" si="1249"/>
        <v>LU0390135332</v>
      </c>
      <c r="E113" s="369" t="str">
        <f t="shared" ca="1" si="1250"/>
        <v>4613240</v>
      </c>
      <c r="F113" s="367" t="s">
        <v>422</v>
      </c>
      <c r="G113" s="414"/>
      <c r="H113" s="1713" t="str">
        <f t="shared" ca="1" si="1251"/>
        <v></v>
      </c>
      <c r="I113" s="1683" t="str">
        <f t="shared" ref="I113" ca="1" si="1295">HYPERLINK(OFFSET(Origine,MATCH($F113,Descrizioni,0),MATCH(I$14,Intestazioni,0)-1,1,1),"i")</f>
        <v>i</v>
      </c>
      <c r="J113" s="1713" t="str">
        <f t="shared" ref="J113:K113" ca="1" si="1296">HYPERLINK(OFFSET(Origine,MATCH($F113,Descrizioni,0),MATCH(J$14,Intestazioni,0)-1,1,1),"")</f>
        <v></v>
      </c>
      <c r="K113" s="1716" t="str">
        <f t="shared" ca="1" si="1296"/>
        <v></v>
      </c>
      <c r="L113" s="1717" t="str">
        <f t="shared" ca="1" si="1254"/>
        <v></v>
      </c>
      <c r="M113" s="366" t="str">
        <f t="shared" ca="1" si="1255"/>
        <v>Unit</v>
      </c>
      <c r="N113" s="1319">
        <v>1.4999999999999999E-2</v>
      </c>
      <c r="O113" s="1310" cm="1">
        <f t="array" aca="1" ref="O113" ca="1">SUM(IF($AF$14:$BQ$14="I_ctrlv",AF113:BQ113))</f>
        <v>140316.09375</v>
      </c>
      <c r="P113" s="418">
        <f t="shared" ca="1" si="877"/>
        <v>2.1423132674417575E-2</v>
      </c>
      <c r="Q113" s="391">
        <f t="array" aca="1" ref="Q113" ca="1">SUM(IF($AF$14:$BQ$14="I_pos",AF113:BQ113))</f>
        <v>2500</v>
      </c>
      <c r="R113" s="391">
        <f t="array" aca="1" ref="R113" ca="1">SUM(IF($AF$14:$BQ$14="P_Pos",AF113:BQ113))</f>
        <v>-749.5557223159708</v>
      </c>
      <c r="S113" s="1314"/>
      <c r="T113" s="391"/>
      <c r="U113" s="366"/>
      <c r="V113" s="391">
        <f t="array" aca="1" ref="V113" ca="1">SUM(IF($AF$14:$BQ$14="O_Pos",AF113:BQ113))</f>
        <v>0</v>
      </c>
      <c r="W113" s="1310"/>
      <c r="X113" s="1312">
        <f t="shared" ref="X113:AA113" ca="1" si="1297">OFFSET(Origine,MATCH($F113,Descrizioni,0),MATCH(X$14,Intestazioni,0)-1,1,1)</f>
        <v>5.7500000000000002E-2</v>
      </c>
      <c r="Y113" s="1312">
        <f t="shared" ca="1" si="1297"/>
        <v>0</v>
      </c>
      <c r="Z113" s="1312">
        <f t="shared" ca="1" si="1297"/>
        <v>2.2100000000000002E-2</v>
      </c>
      <c r="AA113" s="1313">
        <f t="shared" ca="1" si="1297"/>
        <v>0</v>
      </c>
      <c r="AB113" s="367" t="str">
        <f t="shared" ref="AB113" ca="1" si="1298">OFFSET(Origine,MATCH($F113,Descrizioni,0),MATCH(AB$14,Intestazioni,0)-1,1,1)</f>
        <v>USD</v>
      </c>
      <c r="AC113" s="392">
        <f ca="1">_xlfn.NUMBERVALUE(OFFSET(Origine,MATCH($F113,Descrizioni,0),MATCH(AC$14,Intestazioni,0)-1,1,1))</f>
        <v>71.75</v>
      </c>
      <c r="AD113" s="393">
        <f t="shared" ca="1" si="1258"/>
        <v>0</v>
      </c>
      <c r="AE113" s="378">
        <f t="shared" ca="1" si="1259"/>
        <v>0.78225</v>
      </c>
      <c r="AF113" s="214">
        <v>2500</v>
      </c>
      <c r="AG113" s="312">
        <f t="shared" ca="1" si="1260"/>
        <v>1.0629672225416904</v>
      </c>
      <c r="AH113" s="1254">
        <v>34.78</v>
      </c>
      <c r="AI113" s="199">
        <f t="shared" ca="1" si="1261"/>
        <v>179375</v>
      </c>
      <c r="AJ113" s="199">
        <f t="shared" ca="1" si="1262"/>
        <v>140316.09375</v>
      </c>
      <c r="AK113" s="216">
        <f t="shared" ca="1" si="980"/>
        <v>2.4017827641072229E-2</v>
      </c>
      <c r="AL113" s="202">
        <f t="shared" ca="1" si="1263"/>
        <v>-938.65979220067868</v>
      </c>
      <c r="AM113" s="203">
        <f t="shared" ca="1" si="1264"/>
        <v>-67348.840090398691</v>
      </c>
      <c r="AN113" s="203">
        <f t="shared" ca="1" si="1292"/>
        <v>-52683.630160714376</v>
      </c>
      <c r="AO113" s="204">
        <f t="shared" ca="1" si="1266"/>
        <v>-9.0178276410722291E-3</v>
      </c>
      <c r="AP113" s="205"/>
      <c r="AQ113" s="206">
        <f t="shared" ca="1" si="1267"/>
        <v>0</v>
      </c>
      <c r="AR113" s="206">
        <f t="shared" ca="1" si="1268"/>
        <v>0</v>
      </c>
      <c r="AS113" s="207">
        <f t="shared" ca="1" si="987"/>
        <v>0</v>
      </c>
      <c r="AT113" s="391">
        <f t="shared" si="1285"/>
        <v>2500</v>
      </c>
      <c r="AU113" s="391">
        <f t="shared" ca="1" si="804"/>
        <v>179375</v>
      </c>
      <c r="AV113" s="391">
        <f t="shared" ca="1" si="1269"/>
        <v>140316.09375</v>
      </c>
      <c r="AW113" s="394">
        <f ca="1">IFERROR(AV113/AF$4,0)</f>
        <v>2.4017827641072229E-2</v>
      </c>
      <c r="AX113" s="1007" t="str">
        <f t="shared" ca="1" si="936"/>
        <v>V</v>
      </c>
      <c r="AY113" s="1255"/>
      <c r="AZ113" s="312" t="str">
        <f t="shared" ca="1" si="1270"/>
        <v/>
      </c>
      <c r="BA113" s="1254"/>
      <c r="BB113" s="199">
        <f t="shared" ca="1" si="1271"/>
        <v>0</v>
      </c>
      <c r="BC113" s="199">
        <f t="shared" ca="1" si="1272"/>
        <v>0</v>
      </c>
      <c r="BD113" s="216">
        <f t="shared" ca="1" si="994"/>
        <v>0</v>
      </c>
      <c r="BE113" s="202">
        <f t="shared" ca="1" si="1273"/>
        <v>189.10406988470794</v>
      </c>
      <c r="BF113" s="203">
        <f t="shared" ca="1" si="1274"/>
        <v>13568.217014227796</v>
      </c>
      <c r="BG113" s="203">
        <f t="shared" ca="1" si="1294"/>
        <v>10613.737759379694</v>
      </c>
      <c r="BH113" s="204">
        <f t="shared" ca="1" si="1276"/>
        <v>1.4999999999999999E-2</v>
      </c>
      <c r="BI113" s="1253"/>
      <c r="BJ113" s="206">
        <f t="shared" ca="1" si="1277"/>
        <v>0</v>
      </c>
      <c r="BK113" s="206">
        <f t="shared" ca="1" si="1278"/>
        <v>0</v>
      </c>
      <c r="BL113" s="207">
        <f t="shared" ca="1" si="1001"/>
        <v>0</v>
      </c>
      <c r="BM113" s="391">
        <f t="shared" si="1286"/>
        <v>0</v>
      </c>
      <c r="BN113" s="391">
        <f t="shared" ca="1" si="807"/>
        <v>0</v>
      </c>
      <c r="BO113" s="391">
        <f t="shared" ca="1" si="1279"/>
        <v>0</v>
      </c>
      <c r="BP113" s="886">
        <f t="shared" ca="1" si="910"/>
        <v>0</v>
      </c>
      <c r="BQ113" s="1007" t="str">
        <f ca="1">IF(OR(BD113&lt;&gt;0,BL113&lt;&gt;0),"V","")</f>
        <v/>
      </c>
      <c r="BR113" s="1007"/>
    </row>
    <row r="114" spans="1:70" ht="13.5" hidden="1" customHeight="1" outlineLevel="1" x14ac:dyDescent="0.2">
      <c r="A114" s="367"/>
      <c r="B114" s="367"/>
      <c r="C114" s="367" t="str">
        <f t="shared" ca="1" si="1248"/>
        <v>LU1169821888:CHF</v>
      </c>
      <c r="D114" s="368" t="str">
        <f t="shared" ca="1" si="1249"/>
        <v>LU1169821888</v>
      </c>
      <c r="E114" s="369" t="str">
        <f t="shared" ca="1" si="1250"/>
        <v>26751433</v>
      </c>
      <c r="F114" s="367" t="s">
        <v>496</v>
      </c>
      <c r="G114" s="414"/>
      <c r="H114" s="1713" t="str">
        <f t="shared" ca="1" si="1251"/>
        <v></v>
      </c>
      <c r="I114" s="1683" t="str">
        <f t="shared" ref="I114" ca="1" si="1299">HYPERLINK(OFFSET(Origine,MATCH($F114,Descrizioni,0),MATCH(I$14,Intestazioni,0)-1,1,1),"i")</f>
        <v>i</v>
      </c>
      <c r="J114" s="1713" t="str">
        <f t="shared" ref="J114:K114" ca="1" si="1300">HYPERLINK(OFFSET(Origine,MATCH($F114,Descrizioni,0),MATCH(J$14,Intestazioni,0)-1,1,1),"")</f>
        <v></v>
      </c>
      <c r="K114" s="1716" t="str">
        <f t="shared" ca="1" si="1300"/>
        <v></v>
      </c>
      <c r="L114" s="1717" t="str">
        <f t="shared" ca="1" si="1254"/>
        <v></v>
      </c>
      <c r="M114" s="366" t="str">
        <f t="shared" ca="1" si="1255"/>
        <v>Unit</v>
      </c>
      <c r="N114" s="1319">
        <v>1.4999999999999999E-2</v>
      </c>
      <c r="O114" s="1310" cm="1">
        <f t="array" aca="1" ref="O114" ca="1">SUM(IF($AF$14:$BQ$14="I_ctrlv",AF114:BQ114))</f>
        <v>0</v>
      </c>
      <c r="P114" s="418">
        <f t="shared" ca="1" si="877"/>
        <v>0</v>
      </c>
      <c r="Q114" s="391">
        <f t="array" aca="1" ref="Q114" ca="1">SUM(IF($AF$14:$BQ$14="I_pos",AF114:BQ114))</f>
        <v>0</v>
      </c>
      <c r="R114" s="391">
        <f t="array" aca="1" ref="R114" ca="1">SUM(IF($AF$14:$BQ$14="P_Pos",AF114:BQ114))</f>
        <v>2669.3706989990706</v>
      </c>
      <c r="S114" s="1314"/>
      <c r="T114" s="391"/>
      <c r="U114" s="366"/>
      <c r="V114" s="391">
        <f t="array" aca="1" ref="V114" ca="1">SUM(IF($AF$14:$BQ$14="O_Pos",AF114:BQ114))</f>
        <v>0</v>
      </c>
      <c r="W114" s="1310"/>
      <c r="X114" s="1312">
        <f t="shared" ref="X114:AA114" ca="1" si="1301">OFFSET(Origine,MATCH($F114,Descrizioni,0),MATCH(X$14,Intestazioni,0)-1,1,1)</f>
        <v>0</v>
      </c>
      <c r="Y114" s="1312">
        <f t="shared" ca="1" si="1301"/>
        <v>0</v>
      </c>
      <c r="Z114" s="1312">
        <f t="shared" ca="1" si="1301"/>
        <v>0</v>
      </c>
      <c r="AA114" s="1313">
        <f t="shared" ca="1" si="1301"/>
        <v>0</v>
      </c>
      <c r="AB114" s="367" t="str">
        <f t="shared" ref="AB114" ca="1" si="1302">OFFSET(Origine,MATCH($F114,Descrizioni,0),MATCH(AB$14,Intestazioni,0)-1,1,1)</f>
        <v>CHF</v>
      </c>
      <c r="AC114" s="392">
        <f t="shared" ref="AC114" ca="1" si="1303">_xlfn.NUMBERVALUE(OFFSET(Origine,MATCH($F114,Descrizioni,0),MATCH(AC$14,Intestazioni,0)-1,1,1))</f>
        <v>36.805</v>
      </c>
      <c r="AD114" s="393">
        <f t="shared" ca="1" si="1258"/>
        <v>0</v>
      </c>
      <c r="AE114" s="378">
        <f t="shared" ca="1" si="1259"/>
        <v>1.0000001300000001</v>
      </c>
      <c r="AF114" s="214"/>
      <c r="AG114" s="312" t="str">
        <f t="shared" ca="1" si="1260"/>
        <v/>
      </c>
      <c r="AH114" s="1254"/>
      <c r="AI114" s="199">
        <f t="shared" ca="1" si="1261"/>
        <v>0</v>
      </c>
      <c r="AJ114" s="199">
        <f t="shared" ca="1" si="1262"/>
        <v>0</v>
      </c>
      <c r="AK114" s="216">
        <f t="shared" ca="1" si="980"/>
        <v>0</v>
      </c>
      <c r="AL114" s="202">
        <f t="shared" ca="1" si="1263"/>
        <v>2380.9931312883259</v>
      </c>
      <c r="AM114" s="203">
        <f t="shared" ca="1" si="1264"/>
        <v>87632.452197066828</v>
      </c>
      <c r="AN114" s="203">
        <f t="shared" ca="1" si="1292"/>
        <v>87632.463589285617</v>
      </c>
      <c r="AO114" s="204">
        <f t="shared" ca="1" si="1266"/>
        <v>1.4999999999999999E-2</v>
      </c>
      <c r="AP114" s="205"/>
      <c r="AQ114" s="206">
        <f t="shared" ca="1" si="1267"/>
        <v>0</v>
      </c>
      <c r="AR114" s="206">
        <f t="shared" ca="1" si="1268"/>
        <v>0</v>
      </c>
      <c r="AS114" s="207">
        <f t="shared" ca="1" si="987"/>
        <v>0</v>
      </c>
      <c r="AT114" s="391">
        <f t="shared" si="1285"/>
        <v>0</v>
      </c>
      <c r="AU114" s="391">
        <f t="shared" ca="1" si="804"/>
        <v>0</v>
      </c>
      <c r="AV114" s="391">
        <f t="shared" ca="1" si="1269"/>
        <v>0</v>
      </c>
      <c r="AW114" s="394">
        <f t="shared" ref="AW114:AW117" ca="1" si="1304">IFERROR(AV114/AF$4,0)</f>
        <v>0</v>
      </c>
      <c r="AX114" s="1007" t="str">
        <f t="shared" ca="1" si="936"/>
        <v/>
      </c>
      <c r="AY114" s="1255"/>
      <c r="AZ114" s="312" t="str">
        <f t="shared" ca="1" si="1270"/>
        <v/>
      </c>
      <c r="BA114" s="1254"/>
      <c r="BB114" s="199">
        <f t="shared" ca="1" si="1271"/>
        <v>0</v>
      </c>
      <c r="BC114" s="199">
        <f t="shared" ca="1" si="1272"/>
        <v>0</v>
      </c>
      <c r="BD114" s="216">
        <f t="shared" ca="1" si="994"/>
        <v>0</v>
      </c>
      <c r="BE114" s="202">
        <f t="shared" ca="1" si="1273"/>
        <v>288.37756771074481</v>
      </c>
      <c r="BF114" s="203">
        <f t="shared" ca="1" si="1274"/>
        <v>10613.736379593964</v>
      </c>
      <c r="BG114" s="203">
        <f t="shared" ca="1" si="1294"/>
        <v>10613.737759379694</v>
      </c>
      <c r="BH114" s="204">
        <f t="shared" ca="1" si="1276"/>
        <v>1.4999999999999999E-2</v>
      </c>
      <c r="BI114" s="1253"/>
      <c r="BJ114" s="206">
        <f t="shared" ca="1" si="1277"/>
        <v>0</v>
      </c>
      <c r="BK114" s="206">
        <f t="shared" ca="1" si="1278"/>
        <v>0</v>
      </c>
      <c r="BL114" s="207">
        <f t="shared" ca="1" si="1001"/>
        <v>0</v>
      </c>
      <c r="BM114" s="391">
        <f t="shared" si="1286"/>
        <v>0</v>
      </c>
      <c r="BN114" s="391">
        <f t="shared" ca="1" si="807"/>
        <v>0</v>
      </c>
      <c r="BO114" s="391">
        <f t="shared" ca="1" si="1279"/>
        <v>0</v>
      </c>
      <c r="BP114" s="886">
        <f t="shared" ca="1" si="910"/>
        <v>0</v>
      </c>
      <c r="BQ114" s="1007" t="str">
        <f t="shared" ca="1" si="916"/>
        <v/>
      </c>
      <c r="BR114" s="1007"/>
    </row>
    <row r="115" spans="1:70" ht="13.5" hidden="1" customHeight="1" outlineLevel="1" x14ac:dyDescent="0.2">
      <c r="A115" s="367"/>
      <c r="B115" s="367"/>
      <c r="C115" s="367" t="str">
        <f t="shared" ca="1" si="1248"/>
        <v>IE00B8J37J31:CHF</v>
      </c>
      <c r="D115" s="368" t="str">
        <f t="shared" ca="1" si="1249"/>
        <v>IE00B8J37J31</v>
      </c>
      <c r="E115" s="369" t="str">
        <f t="shared" ca="1" si="1250"/>
        <v>19328344</v>
      </c>
      <c r="F115" s="367" t="s">
        <v>772</v>
      </c>
      <c r="G115" s="414"/>
      <c r="H115" s="1713" t="str">
        <f t="shared" ca="1" si="1251"/>
        <v></v>
      </c>
      <c r="I115" s="1683" t="str">
        <f t="shared" ref="I115" ca="1" si="1305">HYPERLINK(OFFSET(Origine,MATCH($F115,Descrizioni,0),MATCH(I$14,Intestazioni,0)-1,1,1),"i")</f>
        <v>i</v>
      </c>
      <c r="J115" s="1713" t="str">
        <f t="shared" ref="J115:K115" ca="1" si="1306">HYPERLINK(OFFSET(Origine,MATCH($F115,Descrizioni,0),MATCH(J$14,Intestazioni,0)-1,1,1),"")</f>
        <v></v>
      </c>
      <c r="K115" s="1716" t="str">
        <f t="shared" ca="1" si="1306"/>
        <v></v>
      </c>
      <c r="L115" s="1717" t="str">
        <f t="shared" ca="1" si="1254"/>
        <v></v>
      </c>
      <c r="M115" s="366" t="str">
        <f t="shared" ca="1" si="1255"/>
        <v>Unit</v>
      </c>
      <c r="N115" s="1039"/>
      <c r="O115" s="1310" cm="1">
        <f t="array" aca="1" ref="O115" ca="1">SUM(IF($AF$14:$BQ$14="I_ctrlv",AF115:BQ115))</f>
        <v>0</v>
      </c>
      <c r="P115" s="418">
        <f t="shared" ref="P115:P137" ca="1" si="1307">SUMIF($AF$14:$BQ$14,"I_Ctrlv",$AF115:$BQ115)/$P$4</f>
        <v>0</v>
      </c>
      <c r="Q115" s="391">
        <f t="array" aca="1" ref="Q115" ca="1">SUM(IF($AF$14:$BQ$14="I_pos",AF115:BQ115))</f>
        <v>0</v>
      </c>
      <c r="R115" s="391">
        <f t="array" aca="1" ref="R115" ca="1">SUM(IF($AF$14:$BQ$14="P_Pos",AF115:BQ115))</f>
        <v>0</v>
      </c>
      <c r="S115" s="1314"/>
      <c r="T115" s="391"/>
      <c r="U115" s="366"/>
      <c r="V115" s="391">
        <f t="array" aca="1" ref="V115" ca="1">SUM(IF($AF$14:$BQ$14="O_Pos",AF115:BQ115))</f>
        <v>0</v>
      </c>
      <c r="W115" s="1310"/>
      <c r="X115" s="1312">
        <f t="shared" ref="X115:AA115" ca="1" si="1308">OFFSET(Origine,MATCH($F115,Descrizioni,0),MATCH(X$14,Intestazioni,0)-1,1,1)</f>
        <v>0</v>
      </c>
      <c r="Y115" s="1312">
        <f t="shared" ca="1" si="1308"/>
        <v>0</v>
      </c>
      <c r="Z115" s="1312">
        <f t="shared" ca="1" si="1308"/>
        <v>0</v>
      </c>
      <c r="AA115" s="1313">
        <f t="shared" ca="1" si="1308"/>
        <v>0</v>
      </c>
      <c r="AB115" s="367" t="str">
        <f t="shared" ref="AB115" ca="1" si="1309">OFFSET(Origine,MATCH($F115,Descrizioni,0),MATCH(AB$14,Intestazioni,0)-1,1,1)</f>
        <v>CHF</v>
      </c>
      <c r="AC115" s="392">
        <f t="shared" ref="AC115" ca="1" si="1310">_xlfn.NUMBERVALUE(OFFSET(Origine,MATCH($F115,Descrizioni,0),MATCH(AC$14,Intestazioni,0)-1,1,1))</f>
        <v>122.76</v>
      </c>
      <c r="AD115" s="393">
        <f t="shared" ca="1" si="1258"/>
        <v>0</v>
      </c>
      <c r="AE115" s="378">
        <f t="shared" ca="1" si="1259"/>
        <v>1.0000001300000001</v>
      </c>
      <c r="AF115" s="214"/>
      <c r="AG115" s="312" t="str">
        <f t="shared" ca="1" si="1260"/>
        <v/>
      </c>
      <c r="AH115" s="1254"/>
      <c r="AI115" s="199">
        <f t="shared" ca="1" si="1261"/>
        <v>0</v>
      </c>
      <c r="AJ115" s="199">
        <f t="shared" ca="1" si="1262"/>
        <v>0</v>
      </c>
      <c r="AK115" s="216">
        <f t="shared" ca="1" si="980"/>
        <v>0</v>
      </c>
      <c r="AL115" s="202">
        <f t="shared" ca="1" si="1263"/>
        <v>0</v>
      </c>
      <c r="AM115" s="203">
        <f t="shared" ca="1" si="1264"/>
        <v>0</v>
      </c>
      <c r="AN115" s="203">
        <f t="shared" ca="1" si="1292"/>
        <v>0</v>
      </c>
      <c r="AO115" s="204">
        <f t="shared" ca="1" si="1266"/>
        <v>0</v>
      </c>
      <c r="AP115" s="205"/>
      <c r="AQ115" s="206">
        <f t="shared" ca="1" si="1267"/>
        <v>0</v>
      </c>
      <c r="AR115" s="206">
        <f t="shared" ca="1" si="1268"/>
        <v>0</v>
      </c>
      <c r="AS115" s="207">
        <f t="shared" ca="1" si="987"/>
        <v>0</v>
      </c>
      <c r="AT115" s="391">
        <f t="shared" si="1285"/>
        <v>0</v>
      </c>
      <c r="AU115" s="391">
        <f t="shared" ca="1" si="804"/>
        <v>0</v>
      </c>
      <c r="AV115" s="391">
        <f t="shared" ca="1" si="1269"/>
        <v>0</v>
      </c>
      <c r="AW115" s="394">
        <f t="shared" ca="1" si="1304"/>
        <v>0</v>
      </c>
      <c r="AX115" s="1007" t="str">
        <f t="shared" ca="1" si="936"/>
        <v/>
      </c>
      <c r="AY115" s="1255"/>
      <c r="AZ115" s="312" t="str">
        <f t="shared" ca="1" si="1270"/>
        <v/>
      </c>
      <c r="BA115" s="1254"/>
      <c r="BB115" s="199">
        <f t="shared" ca="1" si="1271"/>
        <v>0</v>
      </c>
      <c r="BC115" s="199">
        <f t="shared" ca="1" si="1272"/>
        <v>0</v>
      </c>
      <c r="BD115" s="216">
        <f t="shared" ca="1" si="994"/>
        <v>0</v>
      </c>
      <c r="BE115" s="202">
        <f t="shared" ca="1" si="1273"/>
        <v>0</v>
      </c>
      <c r="BF115" s="203">
        <f t="shared" ca="1" si="1274"/>
        <v>0</v>
      </c>
      <c r="BG115" s="203">
        <f t="shared" ca="1" si="1294"/>
        <v>0</v>
      </c>
      <c r="BH115" s="204">
        <f t="shared" ca="1" si="1276"/>
        <v>0</v>
      </c>
      <c r="BI115" s="1253"/>
      <c r="BJ115" s="206">
        <f t="shared" ca="1" si="1277"/>
        <v>0</v>
      </c>
      <c r="BK115" s="206">
        <f t="shared" ca="1" si="1278"/>
        <v>0</v>
      </c>
      <c r="BL115" s="207">
        <f t="shared" ca="1" si="1001"/>
        <v>0</v>
      </c>
      <c r="BM115" s="391">
        <f t="shared" si="1286"/>
        <v>0</v>
      </c>
      <c r="BN115" s="391">
        <f t="shared" ca="1" si="807"/>
        <v>0</v>
      </c>
      <c r="BO115" s="391">
        <f t="shared" ca="1" si="1279"/>
        <v>0</v>
      </c>
      <c r="BP115" s="886">
        <f t="shared" ref="BP115:BP137" ca="1" si="1311">IFERROR(BO115/AY$4,0)</f>
        <v>0</v>
      </c>
      <c r="BQ115" s="1007" t="str">
        <f t="shared" ref="BQ115:BQ144" ca="1" si="1312">IF(SUM(BD115,BL115,BP115)&lt;&gt;0,"V","")</f>
        <v/>
      </c>
      <c r="BR115" s="1007"/>
    </row>
    <row r="116" spans="1:70" ht="13.5" customHeight="1" collapsed="1" x14ac:dyDescent="0.2">
      <c r="A116" s="346"/>
      <c r="B116" s="346" t="s">
        <v>420</v>
      </c>
      <c r="C116" s="346"/>
      <c r="D116" s="347"/>
      <c r="E116" s="348"/>
      <c r="F116" s="346"/>
      <c r="G116" s="349"/>
      <c r="H116" s="1682"/>
      <c r="I116" s="1682"/>
      <c r="J116" s="1682"/>
      <c r="K116" s="1682"/>
      <c r="L116" s="1682"/>
      <c r="M116" s="345"/>
      <c r="N116" s="1036">
        <f>SUM(N$117:N$125)</f>
        <v>2.5000000000000001E-2</v>
      </c>
      <c r="O116" s="1315" cm="1">
        <f t="array" aca="1" ref="O116" ca="1">SUM(IF($AF$14:$BQ$14="I_ctrlv",AF116:BQ116))</f>
        <v>172969.63269606602</v>
      </c>
      <c r="P116" s="351">
        <f t="shared" ca="1" si="1307"/>
        <v>2.6408598549609339E-2</v>
      </c>
      <c r="Q116" s="421"/>
      <c r="R116" s="421"/>
      <c r="S116" s="1035"/>
      <c r="T116" s="421"/>
      <c r="U116" s="345"/>
      <c r="V116" s="422">
        <f ca="1">COUNTIF(V117:V125,"&lt;&gt;0")</f>
        <v>0</v>
      </c>
      <c r="W116" s="1303"/>
      <c r="X116" s="1304"/>
      <c r="Y116" s="1304"/>
      <c r="Z116" s="1304"/>
      <c r="AA116" s="1305"/>
      <c r="AB116" s="346"/>
      <c r="AC116" s="355"/>
      <c r="AD116" s="1306"/>
      <c r="AE116" s="356"/>
      <c r="AF116" s="357"/>
      <c r="AG116" s="359"/>
      <c r="AH116" s="875"/>
      <c r="AI116" s="359"/>
      <c r="AJ116" s="360">
        <f ca="1">SUM(AJ$117:AJ$125)</f>
        <v>155048.41843884002</v>
      </c>
      <c r="AK116" s="361">
        <f t="shared" ca="1" si="980"/>
        <v>2.6539551455300577E-2</v>
      </c>
      <c r="AL116" s="362"/>
      <c r="AM116" s="359"/>
      <c r="AN116" s="360">
        <f ca="1">SUM(AN$117:AN$125)</f>
        <v>-8994.3124566972838</v>
      </c>
      <c r="AO116" s="363">
        <f ca="1">IFERROR(AN116/AF$4,0)</f>
        <v>-1.539551455300574E-3</v>
      </c>
      <c r="AP116" s="362"/>
      <c r="AQ116" s="359"/>
      <c r="AR116" s="360">
        <f ca="1">SUM(AR$117:AR$125)</f>
        <v>0</v>
      </c>
      <c r="AS116" s="363">
        <f t="shared" ca="1" si="987"/>
        <v>0</v>
      </c>
      <c r="AT116" s="359"/>
      <c r="AU116" s="359"/>
      <c r="AV116" s="360">
        <f ca="1">SUM(AV$117:AV$125)</f>
        <v>155048.41843884002</v>
      </c>
      <c r="AW116" s="361">
        <f t="shared" ca="1" si="1304"/>
        <v>2.6539551455300577E-2</v>
      </c>
      <c r="AX116" s="1007" t="str">
        <f t="shared" ca="1" si="936"/>
        <v>V</v>
      </c>
      <c r="AY116" s="1307"/>
      <c r="AZ116" s="359"/>
      <c r="BA116" s="875"/>
      <c r="BB116" s="359"/>
      <c r="BC116" s="360">
        <f ca="1">SUM(BC$117:BC$125)</f>
        <v>17921.214257226002</v>
      </c>
      <c r="BD116" s="361">
        <f t="shared" ca="1" si="994"/>
        <v>2.532738418384484E-2</v>
      </c>
      <c r="BE116" s="362"/>
      <c r="BF116" s="359"/>
      <c r="BG116" s="360">
        <f ca="1">SUM(BG$117:BG$125)</f>
        <v>-231.65132492651173</v>
      </c>
      <c r="BH116" s="363">
        <f ca="1">IFERROR(BG116/AY$4,0)</f>
        <v>-3.2738418384483943E-4</v>
      </c>
      <c r="BI116" s="1308"/>
      <c r="BJ116" s="359"/>
      <c r="BK116" s="360">
        <f ca="1">SUM(BK$117:BK$125)</f>
        <v>0</v>
      </c>
      <c r="BL116" s="363">
        <f t="shared" ca="1" si="1001"/>
        <v>0</v>
      </c>
      <c r="BM116" s="359"/>
      <c r="BN116" s="359"/>
      <c r="BO116" s="360">
        <f ca="1">SUM(BO$117:BO$125)</f>
        <v>17921.214257226002</v>
      </c>
      <c r="BP116" s="876">
        <f t="shared" ca="1" si="1311"/>
        <v>2.532738418384484E-2</v>
      </c>
      <c r="BQ116" s="1007" t="str">
        <f t="shared" ref="BQ116:BQ117" ca="1" si="1313">IF(OR(BD116&lt;&gt;0,BL116&lt;&gt;0),"V","")</f>
        <v>V</v>
      </c>
      <c r="BR116" s="1007"/>
    </row>
    <row r="117" spans="1:70" ht="13.5" hidden="1" customHeight="1" outlineLevel="1" x14ac:dyDescent="0.2">
      <c r="A117" s="367"/>
      <c r="B117" s="367"/>
      <c r="C117" s="367" t="str">
        <f t="shared" ref="C117:C125" ca="1" si="1314">OFFSET(Origine,MATCH($F117,Descrizioni,0),MATCH(C$14,Intestazioni,0)-1,1,1)</f>
        <v>LU1953056766:CHF</v>
      </c>
      <c r="D117" s="368" t="str">
        <f t="shared" ref="D117:E125" ca="1" si="1315">OFFSET(Origine,MATCH($F117,Descrizioni,0),MATCH(D$14,Intestazioni,0)-1,1,1)</f>
        <v>LU1953056766</v>
      </c>
      <c r="E117" s="369" t="str">
        <f t="shared" ca="1" si="1315"/>
        <v>46424244</v>
      </c>
      <c r="F117" s="367" t="s">
        <v>776</v>
      </c>
      <c r="G117" s="414"/>
      <c r="H117" s="1713" t="str">
        <f t="shared" ref="H117:H125" ca="1" si="1316">HYPERLINK(OFFSET(Origine,MATCH($F117,Descrizioni,0),MATCH(H$14,Intestazioni,0)-1,1,1),"")</f>
        <v></v>
      </c>
      <c r="I117" s="1683" t="str">
        <f t="shared" ref="I117" ca="1" si="1317">HYPERLINK(OFFSET(Origine,MATCH($F117,Descrizioni,0),MATCH(I$14,Intestazioni,0)-1,1,1),"i")</f>
        <v>i</v>
      </c>
      <c r="J117" s="1713" t="str">
        <f t="shared" ref="J117:K117" ca="1" si="1318">HYPERLINK(OFFSET(Origine,MATCH($F117,Descrizioni,0),MATCH(J$14,Intestazioni,0)-1,1,1),"")</f>
        <v></v>
      </c>
      <c r="K117" s="1716" t="str">
        <f t="shared" ca="1" si="1318"/>
        <v></v>
      </c>
      <c r="L117" s="1717" t="str">
        <f t="shared" ref="L117:L125" ca="1" si="1319">IFERROR(HYPERLINK("https://www.zonebourse.com/mods_a/charts/TV/inc_dyna_graph.php?c="&amp;OFFSET(Origine,MATCH($F117,Descrizioni,0),MATCH(L$14,Intestazioni,0)-1,1,1)&amp;"&amp;style=TradingView.CANDLES&amp;showAT=1",""),"")</f>
        <v></v>
      </c>
      <c r="M117" s="366" t="str">
        <f t="shared" ref="M117:M125" ca="1" si="1320">(OFFSET(Origine,MATCH($F117,Descrizioni,0),MATCH(M$14,Intestazioni,0)-1,1,1))</f>
        <v>Unit</v>
      </c>
      <c r="N117" s="1039">
        <v>2.5000000000000001E-2</v>
      </c>
      <c r="O117" s="1310" cm="1">
        <f t="array" aca="1" ref="O117" ca="1">SUM(IF($AF$14:$BQ$14="I_ctrlv",AF117:BQ117))</f>
        <v>98568.012813840003</v>
      </c>
      <c r="P117" s="418">
        <f t="shared" ca="1" si="1307"/>
        <v>1.5049133421051965E-2</v>
      </c>
      <c r="Q117" s="391">
        <f t="array" aca="1" ref="Q117" ca="1">SUM(IF($AF$14:$BQ$14="I_pos",AF117:BQ117))</f>
        <v>800</v>
      </c>
      <c r="R117" s="391">
        <f t="array" aca="1" ref="R117" ca="1">SUM(IF($AF$14:$BQ$14="P_Pos",AF117:BQ117))</f>
        <v>528.98017715906178</v>
      </c>
      <c r="S117" s="1314"/>
      <c r="T117" s="391"/>
      <c r="U117" s="366"/>
      <c r="V117" s="391">
        <f t="array" aca="1" ref="V117" ca="1">SUM(IF($AF$14:$BQ$14="O_Pos",AF117:BQ117))</f>
        <v>0</v>
      </c>
      <c r="W117" s="1310"/>
      <c r="X117" s="1312">
        <f t="shared" ref="X117:AB117" ca="1" si="1321">OFFSET(Origine,MATCH($F117,Descrizioni,0),MATCH(X$14,Intestazioni,0)-1,1,1)</f>
        <v>0.05</v>
      </c>
      <c r="Y117" s="1312">
        <f t="shared" ca="1" si="1321"/>
        <v>0</v>
      </c>
      <c r="Z117" s="1312">
        <f t="shared" ca="1" si="1321"/>
        <v>2.0299999999999999E-2</v>
      </c>
      <c r="AA117" s="1313">
        <f t="shared" ca="1" si="1321"/>
        <v>0</v>
      </c>
      <c r="AB117" s="367" t="str">
        <f t="shared" ca="1" si="1321"/>
        <v>CHF</v>
      </c>
      <c r="AC117" s="392">
        <f ca="1">_xlfn.NUMBERVALUE(OFFSET(Origine,MATCH($F117,Descrizioni,0),MATCH(AC$14,Intestazioni,0)-1,1,1))</f>
        <v>123.21</v>
      </c>
      <c r="AD117" s="393">
        <f t="shared" ref="AD117:AD125" ca="1" si="1322">_xlfn.NUMBERVALUE(OFFSET(Origine,MATCH($F117,Descrizioni,0),MATCH(AD$14,Intestazioni,0)-1,1,1))</f>
        <v>0</v>
      </c>
      <c r="AE117" s="378">
        <f t="shared" ref="AE117:AE124" ca="1" si="1323">_xlfn.NUMBERVALUE(OFFSET(Origine,MATCH(AB117&amp;"/"&amp;MRif,LUKB_Name,0),MATCH("Price",Intestazioni,0)-1,1,1))</f>
        <v>1.0000001300000001</v>
      </c>
      <c r="AF117" s="214">
        <f>400+400</f>
        <v>800</v>
      </c>
      <c r="AG117" s="312">
        <f t="shared" ref="AG117:AG124" ca="1" si="1324">IFERROR($AC117/AH117-1,"")</f>
        <v>2.7867806239285198E-2</v>
      </c>
      <c r="AH117" s="1254">
        <v>119.8695</v>
      </c>
      <c r="AI117" s="199">
        <f t="shared" ref="AI117" ca="1" si="1325">AF117*$AC117</f>
        <v>98568</v>
      </c>
      <c r="AJ117" s="199">
        <f t="shared" ref="AJ117" ca="1" si="1326">AI117*$AE117</f>
        <v>98568.012813840003</v>
      </c>
      <c r="AK117" s="216">
        <f t="shared" ref="AK117" ca="1" si="1327">IFERROR(AJ117/AF$4,0)</f>
        <v>1.6871831872000129E-2</v>
      </c>
      <c r="AL117" s="202">
        <f t="shared" ref="AL117" ca="1" si="1328">AM117/$AC117</f>
        <v>385.40773472211185</v>
      </c>
      <c r="AM117" s="203">
        <f t="shared" ref="AM117" ca="1" si="1329">AN117/$AE117</f>
        <v>47486.0869951114</v>
      </c>
      <c r="AN117" s="203">
        <f t="shared" ref="AN117" ca="1" si="1330">AO117*AF$4</f>
        <v>47486.093168302716</v>
      </c>
      <c r="AO117" s="204">
        <f t="shared" ref="AO117" ca="1" si="1331">$N117-AK117</f>
        <v>8.1281681279998727E-3</v>
      </c>
      <c r="AP117" s="205"/>
      <c r="AQ117" s="206">
        <f t="shared" ref="AQ117" ca="1" si="1332">AP117*$AC117</f>
        <v>0</v>
      </c>
      <c r="AR117" s="206">
        <f t="shared" ref="AR117" ca="1" si="1333">AQ117*$AE117</f>
        <v>0</v>
      </c>
      <c r="AS117" s="207">
        <f t="shared" ref="AS117" ca="1" si="1334">IFERROR(AR117/AF$4,0)</f>
        <v>0</v>
      </c>
      <c r="AT117" s="391">
        <f t="shared" ref="AT117" si="1335">AF117+AP117</f>
        <v>800</v>
      </c>
      <c r="AU117" s="391">
        <f t="shared" ca="1" si="804"/>
        <v>98568</v>
      </c>
      <c r="AV117" s="391">
        <f t="shared" ref="AV117" ca="1" si="1336">AU117*$AE117</f>
        <v>98568.012813840003</v>
      </c>
      <c r="AW117" s="394">
        <f t="shared" ca="1" si="1304"/>
        <v>1.6871831872000129E-2</v>
      </c>
      <c r="AX117" s="1007" t="str">
        <f t="shared" ca="1" si="936"/>
        <v>V</v>
      </c>
      <c r="AY117" s="1255"/>
      <c r="AZ117" s="312" t="str">
        <f t="shared" ref="AZ117:AZ124" ca="1" si="1337">IFERROR($AC117/BA117-1,"")</f>
        <v/>
      </c>
      <c r="BA117" s="1254"/>
      <c r="BB117" s="199">
        <f t="shared" ref="BB117" ca="1" si="1338">AY117*$AC117</f>
        <v>0</v>
      </c>
      <c r="BC117" s="199">
        <f t="shared" ref="BC117" ca="1" si="1339">BB117*$AE117</f>
        <v>0</v>
      </c>
      <c r="BD117" s="216">
        <f t="shared" ref="BD117" ca="1" si="1340">IFERROR(BC117/AY$4,0)</f>
        <v>0</v>
      </c>
      <c r="BE117" s="202">
        <f t="shared" ref="BE117" ca="1" si="1341">BF117/$AC117</f>
        <v>143.57244243694996</v>
      </c>
      <c r="BF117" s="203">
        <f t="shared" ref="BF117" ca="1" si="1342">BG117/$AE117</f>
        <v>17689.560632656605</v>
      </c>
      <c r="BG117" s="203">
        <f t="shared" ref="BG117" ca="1" si="1343">BH117*AY$4</f>
        <v>17689.56293229949</v>
      </c>
      <c r="BH117" s="204">
        <f t="shared" ref="BH117" ca="1" si="1344">$N117-BD117</f>
        <v>2.5000000000000001E-2</v>
      </c>
      <c r="BI117" s="1253"/>
      <c r="BJ117" s="206">
        <f t="shared" ref="BJ117" ca="1" si="1345">BI117*$AC117</f>
        <v>0</v>
      </c>
      <c r="BK117" s="206">
        <f t="shared" ref="BK117" ca="1" si="1346">BJ117*$AE117</f>
        <v>0</v>
      </c>
      <c r="BL117" s="207">
        <f t="shared" ref="BL117" ca="1" si="1347">IFERROR(BK117/AY$4,0)</f>
        <v>0</v>
      </c>
      <c r="BM117" s="391">
        <f t="shared" ref="BM117" si="1348">AY117+BI117</f>
        <v>0</v>
      </c>
      <c r="BN117" s="391">
        <f t="shared" ca="1" si="807"/>
        <v>0</v>
      </c>
      <c r="BO117" s="391">
        <f t="shared" ref="BO117" ca="1" si="1349">BN117*$AE117</f>
        <v>0</v>
      </c>
      <c r="BP117" s="886">
        <f t="shared" ca="1" si="1311"/>
        <v>0</v>
      </c>
      <c r="BQ117" s="1007" t="str">
        <f t="shared" ca="1" si="1313"/>
        <v/>
      </c>
      <c r="BR117" s="1007"/>
    </row>
    <row r="118" spans="1:70" ht="13.5" hidden="1" customHeight="1" outlineLevel="1" x14ac:dyDescent="0.2">
      <c r="A118" s="367"/>
      <c r="B118" s="367"/>
      <c r="C118" s="367" t="str">
        <f t="shared" ca="1" si="1314"/>
        <v>IE00B4L5YC18:USD</v>
      </c>
      <c r="D118" s="368" t="str">
        <f t="shared" ca="1" si="1315"/>
        <v>IE00B4L5YC18</v>
      </c>
      <c r="E118" s="369" t="str">
        <f t="shared" ca="1" si="1315"/>
        <v>10608402</v>
      </c>
      <c r="F118" s="367" t="s">
        <v>2235</v>
      </c>
      <c r="G118" s="414"/>
      <c r="H118" s="1713" t="str">
        <f t="shared" ca="1" si="1316"/>
        <v></v>
      </c>
      <c r="I118" s="1683" t="str">
        <f ca="1">HYPERLINK(OFFSET(Origine,MATCH($F118,Descrizioni,0),MATCH(I$14,Intestazioni,0)-1,1,1),"i")</f>
        <v>i</v>
      </c>
      <c r="J118" s="1713" t="str">
        <f ca="1">HYPERLINK(OFFSET(Origine,MATCH($F118,Descrizioni,0),MATCH(J$14,Intestazioni,0)-1,1,1),"")</f>
        <v></v>
      </c>
      <c r="K118" s="1716" t="str">
        <f ca="1">HYPERLINK(OFFSET(Origine,MATCH($F118,Descrizioni,0),MATCH(K$14,Intestazioni,0)-1,1,1),"")</f>
        <v></v>
      </c>
      <c r="L118" s="1717" t="str">
        <f t="shared" ca="1" si="1319"/>
        <v></v>
      </c>
      <c r="M118" s="366" t="str">
        <f t="shared" ca="1" si="1320"/>
        <v>Unit</v>
      </c>
      <c r="N118" s="1039"/>
      <c r="O118" s="1310" cm="1">
        <f t="array" aca="1" ref="O118" ca="1">SUM(IF($AF$14:$BQ$14="I_ctrlv",AF118:BQ118))</f>
        <v>0</v>
      </c>
      <c r="P118" s="418">
        <f t="shared" ca="1" si="1307"/>
        <v>0</v>
      </c>
      <c r="Q118" s="391">
        <f t="array" aca="1" ref="Q118" ca="1">SUM(IF($AF$14:$BQ$14="I_pos",AF118:BQ118))</f>
        <v>0</v>
      </c>
      <c r="R118" s="391">
        <f t="array" aca="1" ref="R118" ca="1">SUM(IF($AF$14:$BQ$14="P_Pos",AF118:BQ118))</f>
        <v>0</v>
      </c>
      <c r="S118" s="1314"/>
      <c r="T118" s="391"/>
      <c r="U118" s="366"/>
      <c r="V118" s="391">
        <f t="array" aca="1" ref="V118" ca="1">SUM(IF($AF$14:$BQ$14="O_Pos",AF118:BQ118))</f>
        <v>0</v>
      </c>
      <c r="W118" s="1310"/>
      <c r="X118" s="1312">
        <f t="shared" ref="X118:AA118" ca="1" si="1350">OFFSET(Origine,MATCH($F118,Descrizioni,0),MATCH(X$14,Intestazioni,0)-1,1,1)</f>
        <v>0</v>
      </c>
      <c r="Y118" s="1312">
        <f t="shared" ca="1" si="1350"/>
        <v>0</v>
      </c>
      <c r="Z118" s="1312">
        <f t="shared" ca="1" si="1350"/>
        <v>0</v>
      </c>
      <c r="AA118" s="1313">
        <f t="shared" ca="1" si="1350"/>
        <v>0</v>
      </c>
      <c r="AB118" s="367" t="str">
        <f ca="1">OFFSET(Origine,MATCH($F118,Descrizioni,0),MATCH(AB$14,Intestazioni,0)-1,1,1)</f>
        <v>USD</v>
      </c>
      <c r="AC118" s="392">
        <f ca="1">_xlfn.NUMBERVALUE(OFFSET(Origine,MATCH($F118,Descrizioni,0),MATCH(AC$14,Intestazioni,0)-1,1,1))</f>
        <v>55.17</v>
      </c>
      <c r="AD118" s="393">
        <f t="shared" ca="1" si="1322"/>
        <v>0</v>
      </c>
      <c r="AE118" s="378">
        <f t="shared" ca="1" si="1323"/>
        <v>0.78225</v>
      </c>
      <c r="AF118" s="214"/>
      <c r="AG118" s="312" t="str">
        <f t="shared" ca="1" si="1324"/>
        <v/>
      </c>
      <c r="AH118" s="1254"/>
      <c r="AI118" s="199">
        <f ca="1">AF118*$AC118</f>
        <v>0</v>
      </c>
      <c r="AJ118" s="199">
        <f ca="1">AI118*$AE118</f>
        <v>0</v>
      </c>
      <c r="AK118" s="216">
        <f ca="1">IFERROR(AJ118/AF$4,0)</f>
        <v>0</v>
      </c>
      <c r="AL118" s="202">
        <f ca="1">AM118/$AC118</f>
        <v>0</v>
      </c>
      <c r="AM118" s="203">
        <f ca="1">AN118/$AE118</f>
        <v>0</v>
      </c>
      <c r="AN118" s="203">
        <f ca="1">AO118*AF$4</f>
        <v>0</v>
      </c>
      <c r="AO118" s="204">
        <f ca="1">$N118-AK118</f>
        <v>0</v>
      </c>
      <c r="AP118" s="205"/>
      <c r="AQ118" s="206">
        <f ca="1">AP118*$AC118</f>
        <v>0</v>
      </c>
      <c r="AR118" s="206">
        <f ca="1">AQ118*$AE118</f>
        <v>0</v>
      </c>
      <c r="AS118" s="207">
        <f ca="1">IFERROR(AR118/AF$4,0)</f>
        <v>0</v>
      </c>
      <c r="AT118" s="391">
        <f t="shared" ref="AT118:AT124" si="1351">AF118+AP118</f>
        <v>0</v>
      </c>
      <c r="AU118" s="391">
        <f t="shared" ca="1" si="804"/>
        <v>0</v>
      </c>
      <c r="AV118" s="391">
        <f ca="1">AU118*$AE118</f>
        <v>0</v>
      </c>
      <c r="AW118" s="394">
        <f ca="1">IFERROR(AV118/AF$4,0)</f>
        <v>0</v>
      </c>
      <c r="AX118" s="1007" t="str">
        <f t="shared" ca="1" si="936"/>
        <v/>
      </c>
      <c r="AY118" s="1255"/>
      <c r="AZ118" s="312" t="str">
        <f t="shared" ca="1" si="1337"/>
        <v/>
      </c>
      <c r="BA118" s="1254"/>
      <c r="BB118" s="199">
        <f ca="1">AY118*$AC118</f>
        <v>0</v>
      </c>
      <c r="BC118" s="199">
        <f ca="1">BB118*$AE118</f>
        <v>0</v>
      </c>
      <c r="BD118" s="216">
        <f ca="1">IFERROR(BC118/AY$4,0)</f>
        <v>0</v>
      </c>
      <c r="BE118" s="202">
        <f ca="1">BF118/$AC118</f>
        <v>0</v>
      </c>
      <c r="BF118" s="203">
        <f ca="1">BG118/$AE118</f>
        <v>0</v>
      </c>
      <c r="BG118" s="203">
        <f ca="1">BH118*AY$4</f>
        <v>0</v>
      </c>
      <c r="BH118" s="204">
        <f ca="1">$N118-BD118</f>
        <v>0</v>
      </c>
      <c r="BI118" s="1253"/>
      <c r="BJ118" s="206">
        <f ca="1">BI118*$AC118</f>
        <v>0</v>
      </c>
      <c r="BK118" s="206">
        <f ca="1">BJ118*$AE118</f>
        <v>0</v>
      </c>
      <c r="BL118" s="207">
        <f ca="1">IFERROR(BK118/AY$4,0)</f>
        <v>0</v>
      </c>
      <c r="BM118" s="391">
        <f t="shared" ref="BM118:BM124" si="1352">AY118+BI118</f>
        <v>0</v>
      </c>
      <c r="BN118" s="391">
        <f t="shared" ca="1" si="807"/>
        <v>0</v>
      </c>
      <c r="BO118" s="391">
        <f ca="1">BN118*$AE118</f>
        <v>0</v>
      </c>
      <c r="BP118" s="886">
        <f t="shared" ca="1" si="1311"/>
        <v>0</v>
      </c>
      <c r="BQ118" s="1007" t="str">
        <f t="shared" ca="1" si="1312"/>
        <v/>
      </c>
      <c r="BR118" s="1007"/>
    </row>
    <row r="119" spans="1:70" ht="13.5" hidden="1" customHeight="1" outlineLevel="1" x14ac:dyDescent="0.2">
      <c r="A119" s="367"/>
      <c r="B119" s="367"/>
      <c r="C119" s="367" t="str">
        <f t="shared" ca="1" si="1314"/>
        <v>LU1900066462:EUR</v>
      </c>
      <c r="D119" s="368" t="str">
        <f t="shared" ca="1" si="1315"/>
        <v>LU1900066462</v>
      </c>
      <c r="E119" s="369" t="str">
        <f t="shared" ca="1" si="1315"/>
        <v>45209801</v>
      </c>
      <c r="F119" s="367" t="s">
        <v>773</v>
      </c>
      <c r="G119" s="414"/>
      <c r="H119" s="1713" t="str">
        <f t="shared" ca="1" si="1316"/>
        <v></v>
      </c>
      <c r="I119" s="1683" t="str">
        <f t="shared" ref="I119" ca="1" si="1353">HYPERLINK(OFFSET(Origine,MATCH($F119,Descrizioni,0),MATCH(I$14,Intestazioni,0)-1,1,1),"i")</f>
        <v>i</v>
      </c>
      <c r="J119" s="1713" t="str">
        <f t="shared" ref="J119:K119" ca="1" si="1354">HYPERLINK(OFFSET(Origine,MATCH($F119,Descrizioni,0),MATCH(J$14,Intestazioni,0)-1,1,1),"")</f>
        <v></v>
      </c>
      <c r="K119" s="1716" t="str">
        <f t="shared" ca="1" si="1354"/>
        <v></v>
      </c>
      <c r="L119" s="1717" t="str">
        <f t="shared" ca="1" si="1319"/>
        <v></v>
      </c>
      <c r="M119" s="366" t="str">
        <f t="shared" ca="1" si="1320"/>
        <v>Unit</v>
      </c>
      <c r="N119" s="1039"/>
      <c r="O119" s="1310" cm="1">
        <f t="array" aca="1" ref="O119" ca="1">SUM(IF($AF$14:$BQ$14="I_ctrlv",AF119:BQ119))</f>
        <v>0</v>
      </c>
      <c r="P119" s="418">
        <f t="shared" ca="1" si="1307"/>
        <v>0</v>
      </c>
      <c r="Q119" s="391">
        <f t="array" aca="1" ref="Q119" ca="1">SUM(IF($AF$14:$BQ$14="I_pos",AF119:BQ119))</f>
        <v>0</v>
      </c>
      <c r="R119" s="391">
        <f t="array" aca="1" ref="R119" ca="1">SUM(IF($AF$14:$BQ$14="P_Pos",AF119:BQ119))</f>
        <v>0</v>
      </c>
      <c r="S119" s="1314"/>
      <c r="T119" s="391"/>
      <c r="U119" s="366"/>
      <c r="V119" s="391">
        <f t="array" aca="1" ref="V119" ca="1">SUM(IF($AF$14:$BQ$14="O_Pos",AF119:BQ119))</f>
        <v>0</v>
      </c>
      <c r="W119" s="1310"/>
      <c r="X119" s="1312">
        <f t="shared" ref="X119:AA119" ca="1" si="1355">OFFSET(Origine,MATCH($F119,Descrizioni,0),MATCH(X$14,Intestazioni,0)-1,1,1)</f>
        <v>0</v>
      </c>
      <c r="Y119" s="1312">
        <f t="shared" ca="1" si="1355"/>
        <v>0</v>
      </c>
      <c r="Z119" s="1312">
        <f t="shared" ca="1" si="1355"/>
        <v>0</v>
      </c>
      <c r="AA119" s="1313">
        <f t="shared" ca="1" si="1355"/>
        <v>0</v>
      </c>
      <c r="AB119" s="367" t="str">
        <f t="shared" ref="AB119" ca="1" si="1356">OFFSET(Origine,MATCH($F119,Descrizioni,0),MATCH(AB$14,Intestazioni,0)-1,1,1)</f>
        <v>EUR</v>
      </c>
      <c r="AC119" s="392">
        <f t="shared" ref="AC119" ca="1" si="1357">_xlfn.NUMBERVALUE(OFFSET(Origine,MATCH($F119,Descrizioni,0),MATCH(AC$14,Intestazioni,0)-1,1,1))</f>
        <v>39.22</v>
      </c>
      <c r="AD119" s="393">
        <f t="shared" ca="1" si="1322"/>
        <v>0</v>
      </c>
      <c r="AE119" s="378">
        <f t="shared" ca="1" si="1323"/>
        <v>0.90754999999999997</v>
      </c>
      <c r="AF119" s="214"/>
      <c r="AG119" s="312" t="str">
        <f t="shared" ca="1" si="1324"/>
        <v/>
      </c>
      <c r="AH119" s="1254"/>
      <c r="AI119" s="199">
        <f t="shared" ref="AI119" ca="1" si="1358">AF119*$AC119</f>
        <v>0</v>
      </c>
      <c r="AJ119" s="199">
        <f t="shared" ref="AJ119" ca="1" si="1359">AI119*$AE119</f>
        <v>0</v>
      </c>
      <c r="AK119" s="216">
        <f t="shared" ref="AK119:AK130" ca="1" si="1360">IFERROR(AJ119/AF$4,0)</f>
        <v>0</v>
      </c>
      <c r="AL119" s="202">
        <f t="shared" ref="AL119" ca="1" si="1361">AM119/$AC119</f>
        <v>0</v>
      </c>
      <c r="AM119" s="203">
        <f t="shared" ref="AM119" ca="1" si="1362">AN119/$AE119</f>
        <v>0</v>
      </c>
      <c r="AN119" s="203">
        <f t="shared" ref="AN119:AN124" ca="1" si="1363">AO119*AF$4</f>
        <v>0</v>
      </c>
      <c r="AO119" s="204">
        <f t="shared" ref="AO119" ca="1" si="1364">$N119-AK119</f>
        <v>0</v>
      </c>
      <c r="AP119" s="205"/>
      <c r="AQ119" s="206">
        <f t="shared" ref="AQ119" ca="1" si="1365">AP119*$AC119</f>
        <v>0</v>
      </c>
      <c r="AR119" s="206">
        <f t="shared" ref="AR119" ca="1" si="1366">AQ119*$AE119</f>
        <v>0</v>
      </c>
      <c r="AS119" s="207">
        <f t="shared" ref="AS119:AS130" ca="1" si="1367">IFERROR(AR119/AF$4,0)</f>
        <v>0</v>
      </c>
      <c r="AT119" s="391">
        <f t="shared" si="1351"/>
        <v>0</v>
      </c>
      <c r="AU119" s="391">
        <f t="shared" ca="1" si="804"/>
        <v>0</v>
      </c>
      <c r="AV119" s="391">
        <f t="shared" ref="AV119" ca="1" si="1368">AU119*$AE119</f>
        <v>0</v>
      </c>
      <c r="AW119" s="394">
        <f t="shared" ref="AW119:AW130" ca="1" si="1369">IFERROR(AV119/AF$4,0)</f>
        <v>0</v>
      </c>
      <c r="AX119" s="1007" t="str">
        <f t="shared" ca="1" si="936"/>
        <v/>
      </c>
      <c r="AY119" s="1255"/>
      <c r="AZ119" s="312" t="str">
        <f t="shared" ca="1" si="1337"/>
        <v/>
      </c>
      <c r="BA119" s="1254"/>
      <c r="BB119" s="199">
        <f t="shared" ref="BB119" ca="1" si="1370">AY119*$AC119</f>
        <v>0</v>
      </c>
      <c r="BC119" s="199">
        <f t="shared" ref="BC119" ca="1" si="1371">BB119*$AE119</f>
        <v>0</v>
      </c>
      <c r="BD119" s="216">
        <f t="shared" ref="BD119:BD130" ca="1" si="1372">IFERROR(BC119/AY$4,0)</f>
        <v>0</v>
      </c>
      <c r="BE119" s="202">
        <f t="shared" ref="BE119" ca="1" si="1373">BF119/$AC119</f>
        <v>0</v>
      </c>
      <c r="BF119" s="203">
        <f t="shared" ref="BF119" ca="1" si="1374">BG119/$AE119</f>
        <v>0</v>
      </c>
      <c r="BG119" s="203">
        <f t="shared" ref="BG119:BG124" ca="1" si="1375">BH119*AY$4</f>
        <v>0</v>
      </c>
      <c r="BH119" s="204">
        <f t="shared" ref="BH119" ca="1" si="1376">$N119-BD119</f>
        <v>0</v>
      </c>
      <c r="BI119" s="1253"/>
      <c r="BJ119" s="206">
        <f t="shared" ref="BJ119" ca="1" si="1377">BI119*$AC119</f>
        <v>0</v>
      </c>
      <c r="BK119" s="206">
        <f t="shared" ref="BK119" ca="1" si="1378">BJ119*$AE119</f>
        <v>0</v>
      </c>
      <c r="BL119" s="207">
        <f t="shared" ref="BL119:BL130" ca="1" si="1379">IFERROR(BK119/AY$4,0)</f>
        <v>0</v>
      </c>
      <c r="BM119" s="391">
        <f t="shared" si="1352"/>
        <v>0</v>
      </c>
      <c r="BN119" s="391">
        <f t="shared" ca="1" si="807"/>
        <v>0</v>
      </c>
      <c r="BO119" s="391">
        <f t="shared" ref="BO119" ca="1" si="1380">BN119*$AE119</f>
        <v>0</v>
      </c>
      <c r="BP119" s="886">
        <f t="shared" ca="1" si="1311"/>
        <v>0</v>
      </c>
      <c r="BQ119" s="1007" t="str">
        <f t="shared" ca="1" si="1312"/>
        <v/>
      </c>
      <c r="BR119" s="1007"/>
    </row>
    <row r="120" spans="1:70" ht="13.5" hidden="1" customHeight="1" outlineLevel="1" x14ac:dyDescent="0.2">
      <c r="A120" s="367"/>
      <c r="B120" s="367"/>
      <c r="C120" s="367" t="str">
        <f t="shared" ca="1" si="1314"/>
        <v>LU0292107991:USD</v>
      </c>
      <c r="D120" s="368" t="str">
        <f t="shared" ca="1" si="1315"/>
        <v>LU0292107991</v>
      </c>
      <c r="E120" s="369" t="str">
        <f t="shared" ca="1" si="1315"/>
        <v>3067298</v>
      </c>
      <c r="F120" s="367" t="s">
        <v>465</v>
      </c>
      <c r="G120" s="414"/>
      <c r="H120" s="1713" t="str">
        <f t="shared" ca="1" si="1316"/>
        <v></v>
      </c>
      <c r="I120" s="1683" t="str">
        <f t="shared" ref="I120" ca="1" si="1381">HYPERLINK(OFFSET(Origine,MATCH($F120,Descrizioni,0),MATCH(I$14,Intestazioni,0)-1,1,1),"i")</f>
        <v>i</v>
      </c>
      <c r="J120" s="1713" t="str">
        <f t="shared" ref="J120:K120" ca="1" si="1382">HYPERLINK(OFFSET(Origine,MATCH($F120,Descrizioni,0),MATCH(J$14,Intestazioni,0)-1,1,1),"")</f>
        <v></v>
      </c>
      <c r="K120" s="1716" t="str">
        <f t="shared" ca="1" si="1382"/>
        <v></v>
      </c>
      <c r="L120" s="1717" t="str">
        <f t="shared" ca="1" si="1319"/>
        <v></v>
      </c>
      <c r="M120" s="366" t="str">
        <f t="shared" ca="1" si="1320"/>
        <v>Unit</v>
      </c>
      <c r="N120" s="1320"/>
      <c r="O120" s="1310" cm="1">
        <f t="array" aca="1" ref="O120" ca="1">SUM(IF($AF$14:$BQ$14="I_ctrlv",AF120:BQ120))</f>
        <v>0</v>
      </c>
      <c r="P120" s="432">
        <f t="shared" ca="1" si="1307"/>
        <v>0</v>
      </c>
      <c r="Q120" s="391">
        <f t="array" aca="1" ref="Q120" ca="1">SUM(IF($AF$14:$BQ$14="I_pos",AF120:BQ120))</f>
        <v>0</v>
      </c>
      <c r="R120" s="391">
        <f t="array" aca="1" ref="R120" ca="1">SUM(IF($AF$14:$BQ$14="P_Pos",AF120:BQ120))</f>
        <v>0</v>
      </c>
      <c r="S120" s="1314"/>
      <c r="T120" s="391"/>
      <c r="U120" s="366"/>
      <c r="V120" s="391">
        <f t="array" aca="1" ref="V120" ca="1">SUM(IF($AF$14:$BQ$14="O_Pos",AF120:BQ120))</f>
        <v>0</v>
      </c>
      <c r="W120" s="1310"/>
      <c r="X120" s="1312">
        <f t="shared" ref="X120:AA120" ca="1" si="1383">OFFSET(Origine,MATCH($F120,Descrizioni,0),MATCH(X$14,Intestazioni,0)-1,1,1)</f>
        <v>0</v>
      </c>
      <c r="Y120" s="1312">
        <f t="shared" ca="1" si="1383"/>
        <v>0</v>
      </c>
      <c r="Z120" s="1312">
        <f t="shared" ca="1" si="1383"/>
        <v>0</v>
      </c>
      <c r="AA120" s="1313">
        <f t="shared" ca="1" si="1383"/>
        <v>0</v>
      </c>
      <c r="AB120" s="367" t="str">
        <f t="shared" ref="AB120" ca="1" si="1384">OFFSET(Origine,MATCH($F120,Descrizioni,0),MATCH(AB$14,Intestazioni,0)-1,1,1)</f>
        <v>USD</v>
      </c>
      <c r="AC120" s="392">
        <f t="shared" ref="AC120" ca="1" si="1385">_xlfn.NUMBERVALUE(OFFSET(Origine,MATCH($F120,Descrizioni,0),MATCH(AC$14,Intestazioni,0)-1,1,1))</f>
        <v>86.364999999999995</v>
      </c>
      <c r="AD120" s="393">
        <f t="shared" ca="1" si="1322"/>
        <v>0</v>
      </c>
      <c r="AE120" s="378">
        <f t="shared" ca="1" si="1323"/>
        <v>0.78225</v>
      </c>
      <c r="AF120" s="214"/>
      <c r="AG120" s="312" t="str">
        <f t="shared" ca="1" si="1324"/>
        <v/>
      </c>
      <c r="AH120" s="1254"/>
      <c r="AI120" s="199">
        <f ca="1">AF120*$AC120</f>
        <v>0</v>
      </c>
      <c r="AJ120" s="199">
        <f ca="1">AI120*$AE120</f>
        <v>0</v>
      </c>
      <c r="AK120" s="216">
        <f t="shared" ca="1" si="1360"/>
        <v>0</v>
      </c>
      <c r="AL120" s="202">
        <f ca="1">AM120/$AC120</f>
        <v>0</v>
      </c>
      <c r="AM120" s="203">
        <f ca="1">AN120/$AE120</f>
        <v>0</v>
      </c>
      <c r="AN120" s="203">
        <f t="shared" ca="1" si="1363"/>
        <v>0</v>
      </c>
      <c r="AO120" s="204">
        <f ca="1">$N120-AK120</f>
        <v>0</v>
      </c>
      <c r="AP120" s="205"/>
      <c r="AQ120" s="206">
        <f ca="1">AP120*$AC120</f>
        <v>0</v>
      </c>
      <c r="AR120" s="206">
        <f ca="1">AQ120*$AE120</f>
        <v>0</v>
      </c>
      <c r="AS120" s="207">
        <f t="shared" ca="1" si="1367"/>
        <v>0</v>
      </c>
      <c r="AT120" s="391">
        <f t="shared" si="1351"/>
        <v>0</v>
      </c>
      <c r="AU120" s="391">
        <f t="shared" ca="1" si="804"/>
        <v>0</v>
      </c>
      <c r="AV120" s="391">
        <f ca="1">AU120*$AE120</f>
        <v>0</v>
      </c>
      <c r="AW120" s="394">
        <f t="shared" ca="1" si="1369"/>
        <v>0</v>
      </c>
      <c r="AX120" s="1007" t="str">
        <f t="shared" ca="1" si="936"/>
        <v/>
      </c>
      <c r="AY120" s="1255"/>
      <c r="AZ120" s="312" t="str">
        <f t="shared" ca="1" si="1337"/>
        <v/>
      </c>
      <c r="BA120" s="1254"/>
      <c r="BB120" s="199">
        <f ca="1">AY120*$AC120</f>
        <v>0</v>
      </c>
      <c r="BC120" s="199">
        <f ca="1">BB120*$AE120</f>
        <v>0</v>
      </c>
      <c r="BD120" s="216">
        <f t="shared" ca="1" si="1372"/>
        <v>0</v>
      </c>
      <c r="BE120" s="202">
        <f ca="1">BF120/$AC120</f>
        <v>0</v>
      </c>
      <c r="BF120" s="203">
        <f ca="1">BG120/$AE120</f>
        <v>0</v>
      </c>
      <c r="BG120" s="203">
        <f t="shared" ca="1" si="1375"/>
        <v>0</v>
      </c>
      <c r="BH120" s="204">
        <f ca="1">$N120-BD120</f>
        <v>0</v>
      </c>
      <c r="BI120" s="1253"/>
      <c r="BJ120" s="206">
        <f ca="1">BI120*$AC120</f>
        <v>0</v>
      </c>
      <c r="BK120" s="206">
        <f ca="1">BJ120*$AE120</f>
        <v>0</v>
      </c>
      <c r="BL120" s="207">
        <f t="shared" ca="1" si="1379"/>
        <v>0</v>
      </c>
      <c r="BM120" s="391">
        <f t="shared" si="1352"/>
        <v>0</v>
      </c>
      <c r="BN120" s="391">
        <f t="shared" ca="1" si="807"/>
        <v>0</v>
      </c>
      <c r="BO120" s="391">
        <f ca="1">BN120*$AE120</f>
        <v>0</v>
      </c>
      <c r="BP120" s="886">
        <f t="shared" ca="1" si="1311"/>
        <v>0</v>
      </c>
      <c r="BQ120" s="1007" t="str">
        <f t="shared" ca="1" si="1312"/>
        <v/>
      </c>
      <c r="BR120" s="1007"/>
    </row>
    <row r="121" spans="1:70" ht="13.5" hidden="1" customHeight="1" outlineLevel="1" x14ac:dyDescent="0.2">
      <c r="A121" s="367"/>
      <c r="B121" s="367"/>
      <c r="C121" s="367" t="str">
        <f t="shared" ca="1" si="1314"/>
        <v>IE00B27YCK28:USD</v>
      </c>
      <c r="D121" s="368" t="str">
        <f t="shared" ca="1" si="1315"/>
        <v>IE00B27YCK28</v>
      </c>
      <c r="E121" s="369" t="str">
        <f t="shared" ca="1" si="1315"/>
        <v>3477137</v>
      </c>
      <c r="F121" s="367" t="s">
        <v>774</v>
      </c>
      <c r="G121" s="414"/>
      <c r="H121" s="1713" t="str">
        <f t="shared" ca="1" si="1316"/>
        <v></v>
      </c>
      <c r="I121" s="1683" t="str">
        <f t="shared" ref="I121" ca="1" si="1386">HYPERLINK(OFFSET(Origine,MATCH($F121,Descrizioni,0),MATCH(I$14,Intestazioni,0)-1,1,1),"i")</f>
        <v>i</v>
      </c>
      <c r="J121" s="1713" t="str">
        <f t="shared" ref="J121:K121" ca="1" si="1387">HYPERLINK(OFFSET(Origine,MATCH($F121,Descrizioni,0),MATCH(J$14,Intestazioni,0)-1,1,1),"")</f>
        <v></v>
      </c>
      <c r="K121" s="1716" t="str">
        <f t="shared" ca="1" si="1387"/>
        <v></v>
      </c>
      <c r="L121" s="1717" t="str">
        <f t="shared" ca="1" si="1319"/>
        <v></v>
      </c>
      <c r="M121" s="366" t="str">
        <f t="shared" ca="1" si="1320"/>
        <v>Unit</v>
      </c>
      <c r="N121" s="1039"/>
      <c r="O121" s="1310" cm="1">
        <f t="array" aca="1" ref="O121" ca="1">SUM(IF($AF$14:$BQ$14="I_ctrlv",AF121:BQ121))</f>
        <v>0</v>
      </c>
      <c r="P121" s="418">
        <f t="shared" ca="1" si="1307"/>
        <v>0</v>
      </c>
      <c r="Q121" s="391">
        <f t="array" aca="1" ref="Q121" ca="1">SUM(IF($AF$14:$BQ$14="I_pos",AF121:BQ121))</f>
        <v>0</v>
      </c>
      <c r="R121" s="391">
        <f t="array" aca="1" ref="R121" ca="1">SUM(IF($AF$14:$BQ$14="P_Pos",AF121:BQ121))</f>
        <v>0</v>
      </c>
      <c r="S121" s="1314"/>
      <c r="T121" s="391"/>
      <c r="U121" s="366"/>
      <c r="V121" s="391">
        <f t="array" aca="1" ref="V121" ca="1">SUM(IF($AF$14:$BQ$14="O_Pos",AF121:BQ121))</f>
        <v>0</v>
      </c>
      <c r="W121" s="1310"/>
      <c r="X121" s="1312">
        <f t="shared" ref="X121:AA121" ca="1" si="1388">OFFSET(Origine,MATCH($F121,Descrizioni,0),MATCH(X$14,Intestazioni,0)-1,1,1)</f>
        <v>0</v>
      </c>
      <c r="Y121" s="1312">
        <f t="shared" ca="1" si="1388"/>
        <v>0</v>
      </c>
      <c r="Z121" s="1312">
        <f t="shared" ca="1" si="1388"/>
        <v>0</v>
      </c>
      <c r="AA121" s="1313">
        <f t="shared" ca="1" si="1388"/>
        <v>0</v>
      </c>
      <c r="AB121" s="367" t="str">
        <f t="shared" ref="AB121" ca="1" si="1389">OFFSET(Origine,MATCH($F121,Descrizioni,0),MATCH(AB$14,Intestazioni,0)-1,1,1)</f>
        <v>USD</v>
      </c>
      <c r="AC121" s="392">
        <f t="shared" ref="AC121" ca="1" si="1390">_xlfn.NUMBERVALUE(OFFSET(Origine,MATCH($F121,Descrizioni,0),MATCH(AC$14,Intestazioni,0)-1,1,1))</f>
        <v>21.02</v>
      </c>
      <c r="AD121" s="393">
        <f t="shared" ca="1" si="1322"/>
        <v>0</v>
      </c>
      <c r="AE121" s="378">
        <f t="shared" ca="1" si="1323"/>
        <v>0.78225</v>
      </c>
      <c r="AF121" s="214"/>
      <c r="AG121" s="312" t="str">
        <f t="shared" ca="1" si="1324"/>
        <v/>
      </c>
      <c r="AH121" s="1254"/>
      <c r="AI121" s="199">
        <f t="shared" ref="AI121" ca="1" si="1391">AF121*$AC121</f>
        <v>0</v>
      </c>
      <c r="AJ121" s="199">
        <f t="shared" ref="AJ121" ca="1" si="1392">AI121*$AE121</f>
        <v>0</v>
      </c>
      <c r="AK121" s="216">
        <f t="shared" ca="1" si="1360"/>
        <v>0</v>
      </c>
      <c r="AL121" s="202">
        <f t="shared" ref="AL121:AL124" ca="1" si="1393">AM121/$AC121</f>
        <v>0</v>
      </c>
      <c r="AM121" s="203">
        <f t="shared" ref="AM121:AM124" ca="1" si="1394">AN121/$AE121</f>
        <v>0</v>
      </c>
      <c r="AN121" s="203">
        <f t="shared" ca="1" si="1363"/>
        <v>0</v>
      </c>
      <c r="AO121" s="204">
        <f t="shared" ref="AO121:AO124" ca="1" si="1395">$N121-AK121</f>
        <v>0</v>
      </c>
      <c r="AP121" s="205"/>
      <c r="AQ121" s="206">
        <f t="shared" ref="AQ121" ca="1" si="1396">AP121*$AC121</f>
        <v>0</v>
      </c>
      <c r="AR121" s="206">
        <f t="shared" ref="AR121" ca="1" si="1397">AQ121*$AE121</f>
        <v>0</v>
      </c>
      <c r="AS121" s="207">
        <f t="shared" ca="1" si="1367"/>
        <v>0</v>
      </c>
      <c r="AT121" s="391">
        <f t="shared" si="1351"/>
        <v>0</v>
      </c>
      <c r="AU121" s="391">
        <f t="shared" ca="1" si="804"/>
        <v>0</v>
      </c>
      <c r="AV121" s="391">
        <f t="shared" ref="AV121" ca="1" si="1398">AU121*$AE121</f>
        <v>0</v>
      </c>
      <c r="AW121" s="394">
        <f t="shared" ca="1" si="1369"/>
        <v>0</v>
      </c>
      <c r="AX121" s="1007" t="str">
        <f t="shared" ca="1" si="936"/>
        <v/>
      </c>
      <c r="AY121" s="1255"/>
      <c r="AZ121" s="312" t="str">
        <f t="shared" ca="1" si="1337"/>
        <v/>
      </c>
      <c r="BA121" s="1254"/>
      <c r="BB121" s="199">
        <f t="shared" ref="BB121:BB124" ca="1" si="1399">AY121*$AC121</f>
        <v>0</v>
      </c>
      <c r="BC121" s="199">
        <f t="shared" ref="BC121:BC124" ca="1" si="1400">BB121*$AE121</f>
        <v>0</v>
      </c>
      <c r="BD121" s="216">
        <f t="shared" ca="1" si="1372"/>
        <v>0</v>
      </c>
      <c r="BE121" s="202">
        <f t="shared" ref="BE121:BE124" ca="1" si="1401">BF121/$AC121</f>
        <v>0</v>
      </c>
      <c r="BF121" s="203">
        <f t="shared" ref="BF121:BF124" ca="1" si="1402">BG121/$AE121</f>
        <v>0</v>
      </c>
      <c r="BG121" s="203">
        <f t="shared" ca="1" si="1375"/>
        <v>0</v>
      </c>
      <c r="BH121" s="204">
        <f t="shared" ref="BH121:BH124" ca="1" si="1403">$N121-BD121</f>
        <v>0</v>
      </c>
      <c r="BI121" s="1253"/>
      <c r="BJ121" s="206">
        <f t="shared" ref="BJ121:BJ124" ca="1" si="1404">BI121*$AC121</f>
        <v>0</v>
      </c>
      <c r="BK121" s="206">
        <f t="shared" ref="BK121:BK124" ca="1" si="1405">BJ121*$AE121</f>
        <v>0</v>
      </c>
      <c r="BL121" s="207">
        <f t="shared" ca="1" si="1379"/>
        <v>0</v>
      </c>
      <c r="BM121" s="391">
        <f t="shared" si="1352"/>
        <v>0</v>
      </c>
      <c r="BN121" s="391">
        <f t="shared" ca="1" si="807"/>
        <v>0</v>
      </c>
      <c r="BO121" s="391">
        <f t="shared" ref="BO121:BO124" ca="1" si="1406">BN121*$AE121</f>
        <v>0</v>
      </c>
      <c r="BP121" s="886">
        <f t="shared" ca="1" si="1311"/>
        <v>0</v>
      </c>
      <c r="BQ121" s="1007" t="str">
        <f t="shared" ca="1" si="1312"/>
        <v/>
      </c>
      <c r="BR121" s="1007"/>
    </row>
    <row r="122" spans="1:70" ht="13.5" hidden="1" customHeight="1" outlineLevel="1" x14ac:dyDescent="0.2">
      <c r="A122" s="367"/>
      <c r="B122" s="367"/>
      <c r="C122" s="367" t="str">
        <f t="shared" ca="1" si="1314"/>
        <v>DE000A0Q4R85:USD</v>
      </c>
      <c r="D122" s="368" t="str">
        <f t="shared" ca="1" si="1315"/>
        <v>DE000A0Q4R85</v>
      </c>
      <c r="E122" s="369" t="str">
        <f t="shared" ca="1" si="1315"/>
        <v>43398616</v>
      </c>
      <c r="F122" s="367" t="s">
        <v>827</v>
      </c>
      <c r="G122" s="414"/>
      <c r="H122" s="1713" t="str">
        <f t="shared" ca="1" si="1316"/>
        <v></v>
      </c>
      <c r="I122" s="1683" t="str">
        <f t="shared" ref="I122" ca="1" si="1407">HYPERLINK(OFFSET(Origine,MATCH($F122,Descrizioni,0),MATCH(I$14,Intestazioni,0)-1,1,1),"i")</f>
        <v>i</v>
      </c>
      <c r="J122" s="1713" t="str">
        <f t="shared" ref="J122:K122" ca="1" si="1408">HYPERLINK(OFFSET(Origine,MATCH($F122,Descrizioni,0),MATCH(J$14,Intestazioni,0)-1,1,1),"")</f>
        <v></v>
      </c>
      <c r="K122" s="1716" t="str">
        <f t="shared" ca="1" si="1408"/>
        <v></v>
      </c>
      <c r="L122" s="1717" t="str">
        <f t="shared" ca="1" si="1319"/>
        <v></v>
      </c>
      <c r="M122" s="366" t="str">
        <f t="shared" ca="1" si="1320"/>
        <v>Unit</v>
      </c>
      <c r="N122" s="1039"/>
      <c r="O122" s="1310" cm="1">
        <f t="array" aca="1" ref="O122" ca="1">SUM(IF($AF$14:$BQ$14="I_ctrlv",AF122:BQ122))</f>
        <v>0</v>
      </c>
      <c r="P122" s="418">
        <f t="shared" ca="1" si="1307"/>
        <v>0</v>
      </c>
      <c r="Q122" s="391">
        <f t="array" aca="1" ref="Q122" ca="1">SUM(IF($AF$14:$BQ$14="I_pos",AF122:BQ122))</f>
        <v>0</v>
      </c>
      <c r="R122" s="391">
        <f t="array" aca="1" ref="R122" ca="1">SUM(IF($AF$14:$BQ$14="P_Pos",AF122:BQ122))</f>
        <v>0</v>
      </c>
      <c r="S122" s="1314"/>
      <c r="T122" s="391"/>
      <c r="U122" s="366"/>
      <c r="V122" s="391">
        <f t="array" aca="1" ref="V122" ca="1">SUM(IF($AF$14:$BQ$14="O_Pos",AF122:BQ122))</f>
        <v>0</v>
      </c>
      <c r="W122" s="1310"/>
      <c r="X122" s="1312">
        <f t="shared" ref="X122:AA122" ca="1" si="1409">OFFSET(Origine,MATCH($F122,Descrizioni,0),MATCH(X$14,Intestazioni,0)-1,1,1)</f>
        <v>0</v>
      </c>
      <c r="Y122" s="1312">
        <f t="shared" ca="1" si="1409"/>
        <v>0</v>
      </c>
      <c r="Z122" s="1312">
        <f t="shared" ca="1" si="1409"/>
        <v>0</v>
      </c>
      <c r="AA122" s="1313">
        <f t="shared" ca="1" si="1409"/>
        <v>0</v>
      </c>
      <c r="AB122" s="367" t="str">
        <f t="shared" ref="AB122" ca="1" si="1410">OFFSET(Origine,MATCH($F122,Descrizioni,0),MATCH(AB$14,Intestazioni,0)-1,1,1)</f>
        <v>USD</v>
      </c>
      <c r="AC122" s="392">
        <f t="shared" ref="AC122" ca="1" si="1411">_xlfn.NUMBERVALUE(OFFSET(Origine,MATCH($F122,Descrizioni,0),MATCH(AC$14,Intestazioni,0)-1,1,1))</f>
        <v>53.44</v>
      </c>
      <c r="AD122" s="393">
        <f t="shared" ca="1" si="1322"/>
        <v>0</v>
      </c>
      <c r="AE122" s="378">
        <f t="shared" ca="1" si="1323"/>
        <v>0.78225</v>
      </c>
      <c r="AF122" s="214"/>
      <c r="AG122" s="312" t="str">
        <f t="shared" ca="1" si="1324"/>
        <v/>
      </c>
      <c r="AH122" s="1254"/>
      <c r="AI122" s="199">
        <f ca="1">AF122*$AC122</f>
        <v>0</v>
      </c>
      <c r="AJ122" s="199">
        <f ca="1">AI122*$AE122</f>
        <v>0</v>
      </c>
      <c r="AK122" s="216">
        <f t="shared" ca="1" si="1360"/>
        <v>0</v>
      </c>
      <c r="AL122" s="202">
        <f t="shared" ca="1" si="1393"/>
        <v>0</v>
      </c>
      <c r="AM122" s="203">
        <f t="shared" ca="1" si="1394"/>
        <v>0</v>
      </c>
      <c r="AN122" s="203">
        <f t="shared" ca="1" si="1363"/>
        <v>0</v>
      </c>
      <c r="AO122" s="204">
        <f t="shared" ca="1" si="1395"/>
        <v>0</v>
      </c>
      <c r="AP122" s="205"/>
      <c r="AQ122" s="206">
        <f ca="1">AP122*$AC122</f>
        <v>0</v>
      </c>
      <c r="AR122" s="206">
        <f ca="1">AQ122*$AE122</f>
        <v>0</v>
      </c>
      <c r="AS122" s="207">
        <f t="shared" ca="1" si="1367"/>
        <v>0</v>
      </c>
      <c r="AT122" s="391">
        <f t="shared" si="1351"/>
        <v>0</v>
      </c>
      <c r="AU122" s="391">
        <f t="shared" ref="AU122:AU170" ca="1" si="1412">AI122+IF($T122="",AQ122)</f>
        <v>0</v>
      </c>
      <c r="AV122" s="391">
        <f ca="1">AU122*$AE122</f>
        <v>0</v>
      </c>
      <c r="AW122" s="394">
        <f t="shared" ca="1" si="1369"/>
        <v>0</v>
      </c>
      <c r="AX122" s="1007" t="str">
        <f t="shared" ca="1" si="936"/>
        <v/>
      </c>
      <c r="AY122" s="1255"/>
      <c r="AZ122" s="312" t="str">
        <f t="shared" ca="1" si="1337"/>
        <v/>
      </c>
      <c r="BA122" s="1254"/>
      <c r="BB122" s="199">
        <f t="shared" ca="1" si="1399"/>
        <v>0</v>
      </c>
      <c r="BC122" s="199">
        <f t="shared" ca="1" si="1400"/>
        <v>0</v>
      </c>
      <c r="BD122" s="216">
        <f t="shared" ca="1" si="1372"/>
        <v>0</v>
      </c>
      <c r="BE122" s="202">
        <f t="shared" ca="1" si="1401"/>
        <v>0</v>
      </c>
      <c r="BF122" s="203">
        <f t="shared" ca="1" si="1402"/>
        <v>0</v>
      </c>
      <c r="BG122" s="203">
        <f t="shared" ca="1" si="1375"/>
        <v>0</v>
      </c>
      <c r="BH122" s="204">
        <f t="shared" ca="1" si="1403"/>
        <v>0</v>
      </c>
      <c r="BI122" s="1253"/>
      <c r="BJ122" s="206">
        <f t="shared" ca="1" si="1404"/>
        <v>0</v>
      </c>
      <c r="BK122" s="206">
        <f t="shared" ca="1" si="1405"/>
        <v>0</v>
      </c>
      <c r="BL122" s="207">
        <f t="shared" ca="1" si="1379"/>
        <v>0</v>
      </c>
      <c r="BM122" s="391">
        <f t="shared" si="1352"/>
        <v>0</v>
      </c>
      <c r="BN122" s="391">
        <f t="shared" ref="BN122:BN170" ca="1" si="1413">BB122+IF($T122="",BJ122)</f>
        <v>0</v>
      </c>
      <c r="BO122" s="391">
        <f t="shared" ca="1" si="1406"/>
        <v>0</v>
      </c>
      <c r="BP122" s="886">
        <f t="shared" ca="1" si="1311"/>
        <v>0</v>
      </c>
      <c r="BQ122" s="1007" t="str">
        <f t="shared" ca="1" si="1312"/>
        <v/>
      </c>
      <c r="BR122" s="1007"/>
    </row>
    <row r="123" spans="1:70" ht="13.5" hidden="1" customHeight="1" outlineLevel="1" x14ac:dyDescent="0.2">
      <c r="A123" s="367"/>
      <c r="B123" s="367"/>
      <c r="C123" s="367" t="str">
        <f t="shared" ca="1" si="1314"/>
        <v>IE00BJ5JPG56:USD:P</v>
      </c>
      <c r="D123" s="368" t="str">
        <f t="shared" ca="1" si="1315"/>
        <v>IE00BJ5JPG56</v>
      </c>
      <c r="E123" s="369" t="str">
        <f t="shared" ca="1" si="1315"/>
        <v>47256616</v>
      </c>
      <c r="F123" s="367" t="s">
        <v>850</v>
      </c>
      <c r="G123" s="414"/>
      <c r="H123" s="1713" t="str">
        <f t="shared" ca="1" si="1316"/>
        <v></v>
      </c>
      <c r="I123" s="1683" t="str">
        <f t="shared" ref="I123" ca="1" si="1414">HYPERLINK(OFFSET(Origine,MATCH($F123,Descrizioni,0),MATCH(I$14,Intestazioni,0)-1,1,1),"i")</f>
        <v>i</v>
      </c>
      <c r="J123" s="1713" t="str">
        <f t="shared" ref="J123:K123" ca="1" si="1415">HYPERLINK(OFFSET(Origine,MATCH($F123,Descrizioni,0),MATCH(J$14,Intestazioni,0)-1,1,1),"")</f>
        <v></v>
      </c>
      <c r="K123" s="1716" t="str">
        <f t="shared" ca="1" si="1415"/>
        <v></v>
      </c>
      <c r="L123" s="1717" t="str">
        <f t="shared" ca="1" si="1319"/>
        <v></v>
      </c>
      <c r="M123" s="366" t="str">
        <f t="shared" ca="1" si="1320"/>
        <v>Unit</v>
      </c>
      <c r="N123" s="1039"/>
      <c r="O123" s="1310" cm="1">
        <f t="array" aca="1" ref="O123" ca="1">SUM(IF($AF$14:$BQ$14="I_ctrlv",AF123:BQ123))</f>
        <v>0</v>
      </c>
      <c r="P123" s="418">
        <f t="shared" ca="1" si="1307"/>
        <v>0</v>
      </c>
      <c r="Q123" s="391">
        <f t="array" aca="1" ref="Q123" ca="1">SUM(IF($AF$14:$BQ$14="I_pos",AF123:BQ123))</f>
        <v>0</v>
      </c>
      <c r="R123" s="391">
        <f t="array" aca="1" ref="R123" ca="1">SUM(IF($AF$14:$BQ$14="P_Pos",AF123:BQ123))</f>
        <v>0</v>
      </c>
      <c r="S123" s="1314"/>
      <c r="T123" s="391"/>
      <c r="U123" s="366"/>
      <c r="V123" s="391">
        <f t="array" aca="1" ref="V123" ca="1">SUM(IF($AF$14:$BQ$14="O_Pos",AF123:BQ123))</f>
        <v>0</v>
      </c>
      <c r="W123" s="1310"/>
      <c r="X123" s="1312">
        <f t="shared" ref="X123:AA123" ca="1" si="1416">OFFSET(Origine,MATCH($F123,Descrizioni,0),MATCH(X$14,Intestazioni,0)-1,1,1)</f>
        <v>0</v>
      </c>
      <c r="Y123" s="1312">
        <f t="shared" ca="1" si="1416"/>
        <v>0</v>
      </c>
      <c r="Z123" s="1312">
        <f t="shared" ca="1" si="1416"/>
        <v>0</v>
      </c>
      <c r="AA123" s="1313">
        <f t="shared" ca="1" si="1416"/>
        <v>0</v>
      </c>
      <c r="AB123" s="367" t="str">
        <f t="shared" ref="AB123" ca="1" si="1417">OFFSET(Origine,MATCH($F123,Descrizioni,0),MATCH(AB$14,Intestazioni,0)-1,1,1)</f>
        <v>USD</v>
      </c>
      <c r="AC123" s="392">
        <f t="shared" ref="AC123" ca="1" si="1418">_xlfn.NUMBERVALUE(OFFSET(Origine,MATCH($F123,Descrizioni,0),MATCH(AC$14,Intestazioni,0)-1,1,1))</f>
        <v>5.7910000000000004</v>
      </c>
      <c r="AD123" s="393">
        <f t="shared" ca="1" si="1322"/>
        <v>0</v>
      </c>
      <c r="AE123" s="378">
        <f t="shared" ca="1" si="1323"/>
        <v>0.78225</v>
      </c>
      <c r="AF123" s="214"/>
      <c r="AG123" s="312" t="str">
        <f t="shared" ca="1" si="1324"/>
        <v/>
      </c>
      <c r="AH123" s="1254"/>
      <c r="AI123" s="199">
        <f t="shared" ref="AI123" ca="1" si="1419">AF123*$AC123</f>
        <v>0</v>
      </c>
      <c r="AJ123" s="199">
        <f t="shared" ref="AJ123" ca="1" si="1420">AI123*$AE123</f>
        <v>0</v>
      </c>
      <c r="AK123" s="216">
        <f t="shared" ca="1" si="1360"/>
        <v>0</v>
      </c>
      <c r="AL123" s="202">
        <f t="shared" ca="1" si="1393"/>
        <v>0</v>
      </c>
      <c r="AM123" s="203">
        <f t="shared" ca="1" si="1394"/>
        <v>0</v>
      </c>
      <c r="AN123" s="203">
        <f t="shared" ca="1" si="1363"/>
        <v>0</v>
      </c>
      <c r="AO123" s="204">
        <f t="shared" ca="1" si="1395"/>
        <v>0</v>
      </c>
      <c r="AP123" s="205"/>
      <c r="AQ123" s="206">
        <f t="shared" ref="AQ123" ca="1" si="1421">AP123*$AC123</f>
        <v>0</v>
      </c>
      <c r="AR123" s="206">
        <f t="shared" ref="AR123" ca="1" si="1422">AQ123*$AE123</f>
        <v>0</v>
      </c>
      <c r="AS123" s="207">
        <f t="shared" ca="1" si="1367"/>
        <v>0</v>
      </c>
      <c r="AT123" s="391">
        <f t="shared" si="1351"/>
        <v>0</v>
      </c>
      <c r="AU123" s="391">
        <f t="shared" ca="1" si="1412"/>
        <v>0</v>
      </c>
      <c r="AV123" s="391">
        <f t="shared" ref="AV123" ca="1" si="1423">AU123*$AE123</f>
        <v>0</v>
      </c>
      <c r="AW123" s="394">
        <f t="shared" ca="1" si="1369"/>
        <v>0</v>
      </c>
      <c r="AX123" s="1007" t="str">
        <f t="shared" ca="1" si="936"/>
        <v/>
      </c>
      <c r="AY123" s="1255"/>
      <c r="AZ123" s="312" t="str">
        <f t="shared" ca="1" si="1337"/>
        <v/>
      </c>
      <c r="BA123" s="1254"/>
      <c r="BB123" s="199">
        <f t="shared" ca="1" si="1399"/>
        <v>0</v>
      </c>
      <c r="BC123" s="199">
        <f t="shared" ca="1" si="1400"/>
        <v>0</v>
      </c>
      <c r="BD123" s="216">
        <f t="shared" ca="1" si="1372"/>
        <v>0</v>
      </c>
      <c r="BE123" s="202">
        <f t="shared" ca="1" si="1401"/>
        <v>0</v>
      </c>
      <c r="BF123" s="203">
        <f t="shared" ca="1" si="1402"/>
        <v>0</v>
      </c>
      <c r="BG123" s="203">
        <f t="shared" ca="1" si="1375"/>
        <v>0</v>
      </c>
      <c r="BH123" s="204">
        <f t="shared" ca="1" si="1403"/>
        <v>0</v>
      </c>
      <c r="BI123" s="1253"/>
      <c r="BJ123" s="206">
        <f t="shared" ca="1" si="1404"/>
        <v>0</v>
      </c>
      <c r="BK123" s="206">
        <f t="shared" ca="1" si="1405"/>
        <v>0</v>
      </c>
      <c r="BL123" s="207">
        <f t="shared" ca="1" si="1379"/>
        <v>0</v>
      </c>
      <c r="BM123" s="391">
        <f t="shared" si="1352"/>
        <v>0</v>
      </c>
      <c r="BN123" s="391">
        <f t="shared" ca="1" si="1413"/>
        <v>0</v>
      </c>
      <c r="BO123" s="391">
        <f t="shared" ca="1" si="1406"/>
        <v>0</v>
      </c>
      <c r="BP123" s="886">
        <f t="shared" ca="1" si="1311"/>
        <v>0</v>
      </c>
      <c r="BQ123" s="1007" t="str">
        <f t="shared" ca="1" si="1312"/>
        <v/>
      </c>
      <c r="BR123" s="1007"/>
    </row>
    <row r="124" spans="1:70" ht="13.5" hidden="1" customHeight="1" outlineLevel="1" x14ac:dyDescent="0.2">
      <c r="A124" s="367"/>
      <c r="B124" s="367"/>
      <c r="C124" s="367" t="str">
        <f t="shared" ca="1" si="1314"/>
        <v>US46138E8003:USD:P</v>
      </c>
      <c r="D124" s="368" t="str">
        <f t="shared" ca="1" si="1315"/>
        <v>US46138E8003</v>
      </c>
      <c r="E124" s="369" t="str">
        <f t="shared" ca="1" si="1315"/>
        <v>41970675</v>
      </c>
      <c r="F124" s="367" t="s">
        <v>4254</v>
      </c>
      <c r="G124" s="414"/>
      <c r="H124" s="1713" t="str">
        <f t="shared" ca="1" si="1316"/>
        <v></v>
      </c>
      <c r="I124" s="1683" t="str">
        <f t="shared" ref="I124:I125" ca="1" si="1424">HYPERLINK(OFFSET(Origine,MATCH($F124,Descrizioni,0),MATCH(I$14,Intestazioni,0)-1,1,1),"i")</f>
        <v>i</v>
      </c>
      <c r="J124" s="1713" t="str">
        <f t="shared" ref="J124:K125" ca="1" si="1425">HYPERLINK(OFFSET(Origine,MATCH($F124,Descrizioni,0),MATCH(J$14,Intestazioni,0)-1,1,1),"")</f>
        <v></v>
      </c>
      <c r="K124" s="1716" t="str">
        <f t="shared" ca="1" si="1425"/>
        <v></v>
      </c>
      <c r="L124" s="1717" t="str">
        <f t="shared" ca="1" si="1319"/>
        <v></v>
      </c>
      <c r="M124" s="366" t="str">
        <f t="shared" ca="1" si="1320"/>
        <v>Unit</v>
      </c>
      <c r="N124" s="1039"/>
      <c r="O124" s="1310" cm="1">
        <f t="array" aca="1" ref="O124" ca="1">SUM(IF($AF$14:$BQ$14="I_ctrlv",AF124:BQ124))</f>
        <v>56480.405624999999</v>
      </c>
      <c r="P124" s="418">
        <f t="shared" ca="1" si="1307"/>
        <v>8.6232960943533644E-3</v>
      </c>
      <c r="Q124" s="391">
        <f t="array" aca="1" ref="Q124" ca="1">SUM(IF($AF$14:$BQ$14="I_pos",AF124:BQ124))</f>
        <v>1500</v>
      </c>
      <c r="R124" s="391">
        <f t="array" aca="1" ref="R124" ca="1">SUM(IF($AF$14:$BQ$14="P_Pos",AF124:BQ124))</f>
        <v>-1500</v>
      </c>
      <c r="S124" s="1314"/>
      <c r="T124" s="391"/>
      <c r="U124" s="366"/>
      <c r="V124" s="391">
        <f t="array" aca="1" ref="V124" ca="1">SUM(IF($AF$14:$BQ$14="O_Pos",AF124:BQ124))</f>
        <v>0</v>
      </c>
      <c r="W124" s="1310"/>
      <c r="X124" s="1312">
        <f t="shared" ref="X124:AA125" ca="1" si="1426">OFFSET(Origine,MATCH($F124,Descrizioni,0),MATCH(X$14,Intestazioni,0)-1,1,1)</f>
        <v>0</v>
      </c>
      <c r="Y124" s="1312">
        <f t="shared" ca="1" si="1426"/>
        <v>0</v>
      </c>
      <c r="Z124" s="1312">
        <f t="shared" ca="1" si="1426"/>
        <v>0</v>
      </c>
      <c r="AA124" s="1313">
        <f t="shared" ca="1" si="1426"/>
        <v>0</v>
      </c>
      <c r="AB124" s="367" t="str">
        <f t="shared" ref="AB124:AB125" ca="1" si="1427">OFFSET(Origine,MATCH($F124,Descrizioni,0),MATCH(AB$14,Intestazioni,0)-1,1,1)</f>
        <v>USD</v>
      </c>
      <c r="AC124" s="392">
        <f t="shared" ref="AC124:AC125" ca="1" si="1428">_xlfn.NUMBERVALUE(OFFSET(Origine,MATCH($F124,Descrizioni,0),MATCH(AC$14,Intestazioni,0)-1,1,1))</f>
        <v>48.134999999999998</v>
      </c>
      <c r="AD124" s="393">
        <f t="shared" ca="1" si="1322"/>
        <v>0</v>
      </c>
      <c r="AE124" s="378">
        <f t="shared" ca="1" si="1323"/>
        <v>0.78225</v>
      </c>
      <c r="AF124" s="214">
        <f>1500</f>
        <v>1500</v>
      </c>
      <c r="AG124" s="312">
        <f t="shared" ca="1" si="1324"/>
        <v>-3.5757211538461564E-2</v>
      </c>
      <c r="AH124" s="1254">
        <v>49.92</v>
      </c>
      <c r="AI124" s="199">
        <f ca="1">AF124*$AC124</f>
        <v>72202.5</v>
      </c>
      <c r="AJ124" s="199">
        <f ca="1">AI124*$AE124</f>
        <v>56480.405624999999</v>
      </c>
      <c r="AK124" s="216">
        <f t="shared" ca="1" si="1360"/>
        <v>9.6677195833004461E-3</v>
      </c>
      <c r="AL124" s="202">
        <f t="shared" ca="1" si="1393"/>
        <v>-1500</v>
      </c>
      <c r="AM124" s="203">
        <f t="shared" ca="1" si="1394"/>
        <v>-72202.5</v>
      </c>
      <c r="AN124" s="203">
        <f t="shared" ca="1" si="1363"/>
        <v>-56480.405624999999</v>
      </c>
      <c r="AO124" s="204">
        <f t="shared" ca="1" si="1395"/>
        <v>-9.6677195833004461E-3</v>
      </c>
      <c r="AP124" s="205"/>
      <c r="AQ124" s="206">
        <f ca="1">AP124*$AC124</f>
        <v>0</v>
      </c>
      <c r="AR124" s="206">
        <f ca="1">AQ124*$AE124</f>
        <v>0</v>
      </c>
      <c r="AS124" s="207">
        <f t="shared" ca="1" si="1367"/>
        <v>0</v>
      </c>
      <c r="AT124" s="391">
        <f t="shared" si="1351"/>
        <v>1500</v>
      </c>
      <c r="AU124" s="391">
        <f t="shared" ca="1" si="1412"/>
        <v>72202.5</v>
      </c>
      <c r="AV124" s="391">
        <f ca="1">AU124*$AE124</f>
        <v>56480.405624999999</v>
      </c>
      <c r="AW124" s="394">
        <f t="shared" ca="1" si="1369"/>
        <v>9.6677195833004461E-3</v>
      </c>
      <c r="AX124" s="1007" t="str">
        <f t="shared" ca="1" si="936"/>
        <v>V</v>
      </c>
      <c r="AY124" s="1318"/>
      <c r="AZ124" s="312" t="str">
        <f t="shared" ca="1" si="1337"/>
        <v/>
      </c>
      <c r="BA124" s="1254"/>
      <c r="BB124" s="199">
        <f t="shared" ca="1" si="1399"/>
        <v>0</v>
      </c>
      <c r="BC124" s="199">
        <f t="shared" ca="1" si="1400"/>
        <v>0</v>
      </c>
      <c r="BD124" s="216">
        <f t="shared" ca="1" si="1372"/>
        <v>0</v>
      </c>
      <c r="BE124" s="202">
        <f t="shared" ca="1" si="1401"/>
        <v>0</v>
      </c>
      <c r="BF124" s="203">
        <f t="shared" ca="1" si="1402"/>
        <v>0</v>
      </c>
      <c r="BG124" s="203">
        <f t="shared" ca="1" si="1375"/>
        <v>0</v>
      </c>
      <c r="BH124" s="204">
        <f t="shared" ca="1" si="1403"/>
        <v>0</v>
      </c>
      <c r="BI124" s="1253"/>
      <c r="BJ124" s="206">
        <f t="shared" ca="1" si="1404"/>
        <v>0</v>
      </c>
      <c r="BK124" s="206">
        <f t="shared" ca="1" si="1405"/>
        <v>0</v>
      </c>
      <c r="BL124" s="207">
        <f t="shared" ca="1" si="1379"/>
        <v>0</v>
      </c>
      <c r="BM124" s="391">
        <f t="shared" si="1352"/>
        <v>0</v>
      </c>
      <c r="BN124" s="391">
        <f t="shared" ca="1" si="1413"/>
        <v>0</v>
      </c>
      <c r="BO124" s="391">
        <f t="shared" ca="1" si="1406"/>
        <v>0</v>
      </c>
      <c r="BP124" s="886">
        <f t="shared" ref="BP124" ca="1" si="1429">IFERROR(BO124/AY$4,0)</f>
        <v>0</v>
      </c>
      <c r="BQ124" s="1007" t="str">
        <f ca="1">IF(OR(BD124&lt;&gt;0,BL124&lt;&gt;0),"V","")</f>
        <v/>
      </c>
      <c r="BR124" s="1007"/>
    </row>
    <row r="125" spans="1:70" ht="13.5" hidden="1" customHeight="1" outlineLevel="1" x14ac:dyDescent="0.2">
      <c r="A125" s="367"/>
      <c r="B125" s="367"/>
      <c r="C125" s="367" t="str">
        <f t="shared" ca="1" si="1314"/>
        <v>LU1255011410:EUR</v>
      </c>
      <c r="D125" s="368" t="str">
        <f t="shared" ca="1" si="1315"/>
        <v>LU1255011410</v>
      </c>
      <c r="E125" s="369" t="str">
        <f t="shared" ca="1" si="1315"/>
        <v>28738500</v>
      </c>
      <c r="F125" s="367" t="s">
        <v>900</v>
      </c>
      <c r="G125" s="414"/>
      <c r="H125" s="1713" t="str">
        <f t="shared" ca="1" si="1316"/>
        <v></v>
      </c>
      <c r="I125" s="1683" t="str">
        <f t="shared" ca="1" si="1424"/>
        <v>i</v>
      </c>
      <c r="J125" s="1713" t="str">
        <f t="shared" ca="1" si="1425"/>
        <v></v>
      </c>
      <c r="K125" s="1716" t="str">
        <f t="shared" ca="1" si="1425"/>
        <v></v>
      </c>
      <c r="L125" s="1717" t="str">
        <f t="shared" ca="1" si="1319"/>
        <v></v>
      </c>
      <c r="M125" s="366" t="str">
        <f t="shared" ca="1" si="1320"/>
        <v>Unit</v>
      </c>
      <c r="N125" s="1039"/>
      <c r="O125" s="1310" cm="1">
        <f t="array" aca="1" ref="O125" ca="1">SUM(IF($AF$14:$BQ$14="I_ctrlv",AF125:BQ125))</f>
        <v>17921.214257226002</v>
      </c>
      <c r="P125" s="418">
        <f t="shared" ca="1" si="1307"/>
        <v>2.7361690342040073E-3</v>
      </c>
      <c r="Q125" s="391">
        <f t="array" aca="1" ref="Q125" ca="1">SUM(IF($AF$14:$BQ$14="I_pos",AF125:BQ125))</f>
        <v>676.95600000000002</v>
      </c>
      <c r="R125" s="391">
        <f t="array" aca="1" ref="R125" ca="1">SUM(IF($AF$14:$BQ$14="P_Pos",AF125:BQ125))</f>
        <v>-676.95600000000002</v>
      </c>
      <c r="S125" s="1314"/>
      <c r="T125" s="391"/>
      <c r="U125" s="366"/>
      <c r="V125" s="391">
        <f t="array" aca="1" ref="V125" ca="1">SUM(IF($AF$14:$BQ$14="O_Pos",AF125:BQ125))</f>
        <v>0</v>
      </c>
      <c r="W125" s="1310"/>
      <c r="X125" s="1312">
        <f t="shared" ca="1" si="1426"/>
        <v>0</v>
      </c>
      <c r="Y125" s="1312">
        <f t="shared" ca="1" si="1426"/>
        <v>0</v>
      </c>
      <c r="Z125" s="1312">
        <f t="shared" ca="1" si="1426"/>
        <v>0</v>
      </c>
      <c r="AA125" s="1313">
        <f t="shared" ca="1" si="1426"/>
        <v>0</v>
      </c>
      <c r="AB125" s="367" t="str">
        <f t="shared" ca="1" si="1427"/>
        <v>EUR</v>
      </c>
      <c r="AC125" s="392">
        <f t="shared" ca="1" si="1428"/>
        <v>29.17</v>
      </c>
      <c r="AD125" s="393">
        <f t="shared" ca="1" si="1322"/>
        <v>0</v>
      </c>
      <c r="AE125" s="378">
        <f t="shared" ref="AE125" ca="1" si="1430">_xlfn.NUMBERVALUE(OFFSET(Origine,MATCH(AB125&amp;"/"&amp;MRif,LUKB_Name,0),MATCH("Price",Intestazioni,0)-1,1,1))</f>
        <v>0.90754999999999997</v>
      </c>
      <c r="AF125" s="214"/>
      <c r="AG125" s="312" t="str">
        <f t="shared" ref="AG125" ca="1" si="1431">IFERROR($AC125/AH125-1,"")</f>
        <v/>
      </c>
      <c r="AH125" s="1254"/>
      <c r="AI125" s="199">
        <f ca="1">AF125*$AC125</f>
        <v>0</v>
      </c>
      <c r="AJ125" s="199">
        <f ca="1">AI125*$AE125</f>
        <v>0</v>
      </c>
      <c r="AK125" s="216">
        <f t="shared" ref="AK125" ca="1" si="1432">IFERROR(AJ125/AF$4,0)</f>
        <v>0</v>
      </c>
      <c r="AL125" s="202">
        <f t="shared" ref="AL125" ca="1" si="1433">AM125/$AC125</f>
        <v>0</v>
      </c>
      <c r="AM125" s="203">
        <f t="shared" ref="AM125" ca="1" si="1434">AN125/$AE125</f>
        <v>0</v>
      </c>
      <c r="AN125" s="203">
        <f t="shared" ref="AN125" ca="1" si="1435">AO125*AF$4</f>
        <v>0</v>
      </c>
      <c r="AO125" s="204">
        <f t="shared" ref="AO125" ca="1" si="1436">$N125-AK125</f>
        <v>0</v>
      </c>
      <c r="AP125" s="205"/>
      <c r="AQ125" s="206">
        <f ca="1">AP125*$AC125</f>
        <v>0</v>
      </c>
      <c r="AR125" s="206">
        <f ca="1">AQ125*$AE125</f>
        <v>0</v>
      </c>
      <c r="AS125" s="207">
        <f t="shared" ref="AS125" ca="1" si="1437">IFERROR(AR125/AF$4,0)</f>
        <v>0</v>
      </c>
      <c r="AT125" s="391">
        <f t="shared" ref="AT125" si="1438">AF125+AP125</f>
        <v>0</v>
      </c>
      <c r="AU125" s="391">
        <f t="shared" ref="AU125" ca="1" si="1439">AI125+IF($T125="",AQ125)</f>
        <v>0</v>
      </c>
      <c r="AV125" s="391">
        <f ca="1">AU125*$AE125</f>
        <v>0</v>
      </c>
      <c r="AW125" s="394">
        <f t="shared" ref="AW125" ca="1" si="1440">IFERROR(AV125/AF$4,0)</f>
        <v>0</v>
      </c>
      <c r="AX125" s="1007" t="str">
        <f t="shared" ca="1" si="936"/>
        <v/>
      </c>
      <c r="AY125" s="1318">
        <v>676.95600000000002</v>
      </c>
      <c r="AZ125" s="312">
        <f t="shared" ref="AZ125" ca="1" si="1441">IFERROR($AC125/BA125-1,"")</f>
        <v>-0.21012726780395341</v>
      </c>
      <c r="BA125" s="1254">
        <v>36.93</v>
      </c>
      <c r="BB125" s="199">
        <f t="shared" ref="BB125" ca="1" si="1442">AY125*$AC125</f>
        <v>19746.806520000002</v>
      </c>
      <c r="BC125" s="199">
        <f t="shared" ref="BC125" ca="1" si="1443">BB125*$AE125</f>
        <v>17921.214257226002</v>
      </c>
      <c r="BD125" s="216">
        <f t="shared" ref="BD125" ca="1" si="1444">IFERROR(BC125/AY$4,0)</f>
        <v>2.532738418384484E-2</v>
      </c>
      <c r="BE125" s="202">
        <f t="shared" ref="BE125" ca="1" si="1445">BF125/$AC125</f>
        <v>-676.95600000000002</v>
      </c>
      <c r="BF125" s="203">
        <f t="shared" ref="BF125" ca="1" si="1446">BG125/$AE125</f>
        <v>-19746.806520000002</v>
      </c>
      <c r="BG125" s="203">
        <f t="shared" ref="BG125" ca="1" si="1447">BH125*AY$4</f>
        <v>-17921.214257226002</v>
      </c>
      <c r="BH125" s="204">
        <f t="shared" ref="BH125" ca="1" si="1448">$N125-BD125</f>
        <v>-2.532738418384484E-2</v>
      </c>
      <c r="BI125" s="1253"/>
      <c r="BJ125" s="206">
        <f t="shared" ref="BJ125" ca="1" si="1449">BI125*$AC125</f>
        <v>0</v>
      </c>
      <c r="BK125" s="206">
        <f t="shared" ref="BK125" ca="1" si="1450">BJ125*$AE125</f>
        <v>0</v>
      </c>
      <c r="BL125" s="207">
        <f t="shared" ref="BL125" ca="1" si="1451">IFERROR(BK125/AY$4,0)</f>
        <v>0</v>
      </c>
      <c r="BM125" s="391">
        <f t="shared" ref="BM125" si="1452">AY125+BI125</f>
        <v>676.95600000000002</v>
      </c>
      <c r="BN125" s="391">
        <f t="shared" ref="BN125" ca="1" si="1453">BB125+IF($T125="",BJ125)</f>
        <v>19746.806520000002</v>
      </c>
      <c r="BO125" s="391">
        <f t="shared" ref="BO125" ca="1" si="1454">BN125*$AE125</f>
        <v>17921.214257226002</v>
      </c>
      <c r="BP125" s="886">
        <f t="shared" ca="1" si="1311"/>
        <v>2.532738418384484E-2</v>
      </c>
      <c r="BQ125" s="1007" t="str">
        <f t="shared" ca="1" si="1312"/>
        <v>V</v>
      </c>
      <c r="BR125" s="1007"/>
    </row>
    <row r="126" spans="1:70" ht="13.5" customHeight="1" collapsed="1" x14ac:dyDescent="0.2">
      <c r="A126" s="346"/>
      <c r="B126" s="346" t="s">
        <v>423</v>
      </c>
      <c r="C126" s="346"/>
      <c r="D126" s="347"/>
      <c r="E126" s="348"/>
      <c r="F126" s="346"/>
      <c r="G126" s="349"/>
      <c r="H126" s="1682"/>
      <c r="I126" s="1682"/>
      <c r="J126" s="1682"/>
      <c r="K126" s="1682"/>
      <c r="L126" s="1682"/>
      <c r="M126" s="345"/>
      <c r="N126" s="1036"/>
      <c r="O126" s="1315" cm="1">
        <f t="array" aca="1" ref="O126" ca="1">SUM(IF($AF$14:$BQ$14="I_ctrlv",AF126:BQ126))</f>
        <v>0</v>
      </c>
      <c r="P126" s="351">
        <f t="shared" ca="1" si="1307"/>
        <v>0</v>
      </c>
      <c r="Q126" s="421"/>
      <c r="R126" s="421"/>
      <c r="S126" s="1035"/>
      <c r="T126" s="421"/>
      <c r="U126" s="345"/>
      <c r="V126" s="422">
        <f ca="1">COUNTIF(V127:V128,"&lt;&gt;0")</f>
        <v>0</v>
      </c>
      <c r="W126" s="1303"/>
      <c r="X126" s="1304"/>
      <c r="Y126" s="1304"/>
      <c r="Z126" s="1304"/>
      <c r="AA126" s="1305"/>
      <c r="AB126" s="346"/>
      <c r="AC126" s="355"/>
      <c r="AD126" s="1306"/>
      <c r="AE126" s="356"/>
      <c r="AF126" s="357"/>
      <c r="AG126" s="359"/>
      <c r="AH126" s="875"/>
      <c r="AI126" s="359"/>
      <c r="AJ126" s="360">
        <f ca="1">SUM(AJ$127:AJ$128)</f>
        <v>0</v>
      </c>
      <c r="AK126" s="361">
        <f t="shared" ca="1" si="1360"/>
        <v>0</v>
      </c>
      <c r="AL126" s="362"/>
      <c r="AM126" s="359"/>
      <c r="AN126" s="360">
        <f ca="1">SUM(AN$127:AN$128)</f>
        <v>0</v>
      </c>
      <c r="AO126" s="363">
        <f ca="1">IFERROR(AN126/AF$4,0)</f>
        <v>0</v>
      </c>
      <c r="AP126" s="362"/>
      <c r="AQ126" s="359"/>
      <c r="AR126" s="360">
        <f ca="1">SUM(AR$127:AR$128)</f>
        <v>0</v>
      </c>
      <c r="AS126" s="363">
        <f t="shared" ca="1" si="1367"/>
        <v>0</v>
      </c>
      <c r="AT126" s="359"/>
      <c r="AU126" s="359"/>
      <c r="AV126" s="360">
        <f ca="1">SUM(AV$127:AV$128)</f>
        <v>0</v>
      </c>
      <c r="AW126" s="361">
        <f t="shared" ca="1" si="1369"/>
        <v>0</v>
      </c>
      <c r="AX126" s="1007" t="str">
        <f t="shared" ca="1" si="936"/>
        <v/>
      </c>
      <c r="AY126" s="1307"/>
      <c r="AZ126" s="359"/>
      <c r="BA126" s="875"/>
      <c r="BB126" s="359"/>
      <c r="BC126" s="360">
        <f ca="1">SUM(BC$127:BC$128)</f>
        <v>0</v>
      </c>
      <c r="BD126" s="361">
        <f t="shared" ca="1" si="1372"/>
        <v>0</v>
      </c>
      <c r="BE126" s="362"/>
      <c r="BF126" s="359"/>
      <c r="BG126" s="360">
        <f ca="1">SUM(BG$127:BG$128)</f>
        <v>0</v>
      </c>
      <c r="BH126" s="363">
        <f ca="1">IFERROR(BG126/AY$4,0)</f>
        <v>0</v>
      </c>
      <c r="BI126" s="1308"/>
      <c r="BJ126" s="359"/>
      <c r="BK126" s="360">
        <f ca="1">SUM(BK$127:BK$128)</f>
        <v>0</v>
      </c>
      <c r="BL126" s="363">
        <f t="shared" ca="1" si="1379"/>
        <v>0</v>
      </c>
      <c r="BM126" s="359"/>
      <c r="BN126" s="359"/>
      <c r="BO126" s="360">
        <f ca="1">SUM(BO$127:BO$128)</f>
        <v>0</v>
      </c>
      <c r="BP126" s="876">
        <f t="shared" ca="1" si="1311"/>
        <v>0</v>
      </c>
      <c r="BQ126" s="1007" t="str">
        <f t="shared" ca="1" si="1312"/>
        <v/>
      </c>
      <c r="BR126" s="1007"/>
    </row>
    <row r="127" spans="1:70" ht="13.5" hidden="1" customHeight="1" outlineLevel="1" x14ac:dyDescent="0.2">
      <c r="A127" s="367"/>
      <c r="B127" s="367"/>
      <c r="C127" s="367" t="str">
        <f t="shared" ref="C127:E128" ca="1" si="1455">OFFSET(Origine,MATCH($F127,Descrizioni,0),MATCH(C$14,Intestazioni,0)-1,1,1)</f>
        <v>LU0390136736:USD</v>
      </c>
      <c r="D127" s="368" t="str">
        <f t="shared" ca="1" si="1455"/>
        <v>LU0390136736</v>
      </c>
      <c r="E127" s="369" t="str">
        <f t="shared" ca="1" si="1455"/>
        <v>4613685</v>
      </c>
      <c r="F127" s="367" t="s">
        <v>424</v>
      </c>
      <c r="G127" s="414"/>
      <c r="H127" s="1713" t="str">
        <f ca="1">HYPERLINK(OFFSET(Origine,MATCH($F127,Descrizioni,0),MATCH(H$14,Intestazioni,0)-1,1,1),"")</f>
        <v></v>
      </c>
      <c r="I127" s="1683" t="str">
        <f ca="1">HYPERLINK(OFFSET(Origine,MATCH($F127,Descrizioni,0),MATCH(I$14,Intestazioni,0)-1,1,1),"i")</f>
        <v>i</v>
      </c>
      <c r="J127" s="1713" t="str">
        <f ca="1">HYPERLINK(OFFSET(Origine,MATCH($F127,Descrizioni,0),MATCH(J$14,Intestazioni,0)-1,1,1),"")</f>
        <v></v>
      </c>
      <c r="K127" s="1716" t="str">
        <f ca="1">HYPERLINK(OFFSET(Origine,MATCH($F127,Descrizioni,0),MATCH(K$14,Intestazioni,0)-1,1,1),"")</f>
        <v></v>
      </c>
      <c r="L127" s="1717" t="str">
        <f ca="1">IFERROR(HYPERLINK("https://www.zonebourse.com/mods_a/charts/TV/inc_dyna_graph.php?c="&amp;OFFSET(Origine,MATCH($F127,Descrizioni,0),MATCH(L$14,Intestazioni,0)-1,1,1)&amp;"&amp;style=TradingView.CANDLES&amp;showAT=1",""),"")</f>
        <v></v>
      </c>
      <c r="M127" s="366" t="str">
        <f ca="1">(OFFSET(Origine,MATCH($F127,Descrizioni,0),MATCH(M$14,Intestazioni,0)-1,1,1))</f>
        <v>Unit</v>
      </c>
      <c r="N127" s="1039"/>
      <c r="O127" s="1310" cm="1">
        <f t="array" aca="1" ref="O127" ca="1">SUM(IF($AF$14:$BQ$14="I_ctrlv",AF127:BQ127))</f>
        <v>0</v>
      </c>
      <c r="P127" s="428">
        <f t="shared" ca="1" si="1307"/>
        <v>0</v>
      </c>
      <c r="Q127" s="391">
        <f t="array" aca="1" ref="Q127" ca="1">SUM(IF($AF$14:$BQ$14="I_pos",AF127:BQ127))</f>
        <v>0</v>
      </c>
      <c r="R127" s="391">
        <f t="array" aca="1" ref="R127" ca="1">SUM(IF($AF$14:$BQ$14="P_Pos",AF127:BQ127))</f>
        <v>0</v>
      </c>
      <c r="S127" s="1314"/>
      <c r="T127" s="391"/>
      <c r="U127" s="366"/>
      <c r="V127" s="391">
        <f t="array" aca="1" ref="V127" ca="1">SUM(IF($AF$14:$BQ$14="O_Pos",AF127:BQ127))</f>
        <v>0</v>
      </c>
      <c r="W127" s="1310"/>
      <c r="X127" s="1312">
        <f t="shared" ref="X127:AA127" ca="1" si="1456">OFFSET(Origine,MATCH($F127,Descrizioni,0),MATCH(X$14,Intestazioni,0)-1,1,1)</f>
        <v>5.7500000000000002E-2</v>
      </c>
      <c r="Y127" s="1312">
        <f t="shared" ca="1" si="1456"/>
        <v>0</v>
      </c>
      <c r="Z127" s="1312">
        <f t="shared" ca="1" si="1456"/>
        <v>2.5399999999999999E-2</v>
      </c>
      <c r="AA127" s="1313">
        <f t="shared" ca="1" si="1456"/>
        <v>0</v>
      </c>
      <c r="AB127" s="367" t="str">
        <f ca="1">OFFSET(Origine,MATCH($F127,Descrizioni,0),MATCH(AB$14,Intestazioni,0)-1,1,1)</f>
        <v>USD</v>
      </c>
      <c r="AC127" s="392">
        <f ca="1">_xlfn.NUMBERVALUE(OFFSET(Origine,MATCH($F127,Descrizioni,0),MATCH(AC$14,Intestazioni,0)-1,1,1))</f>
        <v>31.73</v>
      </c>
      <c r="AD127" s="393">
        <f ca="1">_xlfn.NUMBERVALUE(OFFSET(Origine,MATCH($F127,Descrizioni,0),MATCH(AD$14,Intestazioni,0)-1,1,1))</f>
        <v>0</v>
      </c>
      <c r="AE127" s="378">
        <f ca="1">_xlfn.NUMBERVALUE(OFFSET(Origine,MATCH(AB127&amp;"/"&amp;MRif,LUKB_Name,0),MATCH("Price",Intestazioni,0)-1,1,1))</f>
        <v>0.78225</v>
      </c>
      <c r="AF127" s="214">
        <f>7000+-2000+-5000</f>
        <v>0</v>
      </c>
      <c r="AG127" s="312" t="str">
        <f t="shared" ref="AG127:AG128" ca="1" si="1457">IFERROR($AC127/AH127-1,"")</f>
        <v/>
      </c>
      <c r="AH127" s="1254"/>
      <c r="AI127" s="199">
        <f ca="1">AF127*$AC127</f>
        <v>0</v>
      </c>
      <c r="AJ127" s="199">
        <f ca="1">AI127*$AE127</f>
        <v>0</v>
      </c>
      <c r="AK127" s="216">
        <f t="shared" ca="1" si="1360"/>
        <v>0</v>
      </c>
      <c r="AL127" s="202">
        <f ca="1">AM127/$AC127</f>
        <v>0</v>
      </c>
      <c r="AM127" s="203">
        <f ca="1">AN127/$AE127</f>
        <v>0</v>
      </c>
      <c r="AN127" s="203">
        <f ca="1">AO127*AF$4</f>
        <v>0</v>
      </c>
      <c r="AO127" s="204">
        <f ca="1">$N127-AK127</f>
        <v>0</v>
      </c>
      <c r="AP127" s="205"/>
      <c r="AQ127" s="206">
        <f ca="1">AP127*$AC127</f>
        <v>0</v>
      </c>
      <c r="AR127" s="206">
        <f ca="1">AQ127*$AE127</f>
        <v>0</v>
      </c>
      <c r="AS127" s="207">
        <f t="shared" ca="1" si="1367"/>
        <v>0</v>
      </c>
      <c r="AT127" s="391">
        <f>AF127+AP127</f>
        <v>0</v>
      </c>
      <c r="AU127" s="391">
        <f t="shared" ca="1" si="1412"/>
        <v>0</v>
      </c>
      <c r="AV127" s="391">
        <f ca="1">AU127*$AE127</f>
        <v>0</v>
      </c>
      <c r="AW127" s="394">
        <f t="shared" ca="1" si="1369"/>
        <v>0</v>
      </c>
      <c r="AX127" s="1007" t="str">
        <f t="shared" ca="1" si="936"/>
        <v/>
      </c>
      <c r="AY127" s="1255"/>
      <c r="AZ127" s="312" t="str">
        <f t="shared" ref="AZ127:AZ128" ca="1" si="1458">IFERROR($AC127/BA127-1,"")</f>
        <v/>
      </c>
      <c r="BA127" s="1254"/>
      <c r="BB127" s="199">
        <f ca="1">AY127*$AC127</f>
        <v>0</v>
      </c>
      <c r="BC127" s="199">
        <f ca="1">BB127*$AE127</f>
        <v>0</v>
      </c>
      <c r="BD127" s="216">
        <f t="shared" ca="1" si="1372"/>
        <v>0</v>
      </c>
      <c r="BE127" s="202">
        <f ca="1">BF127/$AC127</f>
        <v>0</v>
      </c>
      <c r="BF127" s="203">
        <f ca="1">BG127/$AE127</f>
        <v>0</v>
      </c>
      <c r="BG127" s="203">
        <f ca="1">BH127*AY$4</f>
        <v>0</v>
      </c>
      <c r="BH127" s="204">
        <f ca="1">$N127-BD127</f>
        <v>0</v>
      </c>
      <c r="BI127" s="1253"/>
      <c r="BJ127" s="206">
        <f ca="1">BI127*$AC127</f>
        <v>0</v>
      </c>
      <c r="BK127" s="206">
        <f ca="1">BJ127*$AE127</f>
        <v>0</v>
      </c>
      <c r="BL127" s="207">
        <f t="shared" ca="1" si="1379"/>
        <v>0</v>
      </c>
      <c r="BM127" s="391">
        <f>AY127+BI127</f>
        <v>0</v>
      </c>
      <c r="BN127" s="391">
        <f t="shared" ca="1" si="1413"/>
        <v>0</v>
      </c>
      <c r="BO127" s="391">
        <f ca="1">BN127*$AE127</f>
        <v>0</v>
      </c>
      <c r="BP127" s="886">
        <f t="shared" ca="1" si="1311"/>
        <v>0</v>
      </c>
      <c r="BQ127" s="1007" t="str">
        <f t="shared" ca="1" si="1312"/>
        <v/>
      </c>
      <c r="BR127" s="1007"/>
    </row>
    <row r="128" spans="1:70" ht="13.5" hidden="1" customHeight="1" outlineLevel="1" x14ac:dyDescent="0.2">
      <c r="A128" s="367"/>
      <c r="B128" s="367"/>
      <c r="C128" s="367" t="str">
        <f t="shared" ca="1" si="1455"/>
        <v>LU2128486979:USD</v>
      </c>
      <c r="D128" s="368" t="str">
        <f t="shared" ca="1" si="1455"/>
        <v>LU2128486979</v>
      </c>
      <c r="E128" s="369" t="str">
        <f t="shared" ca="1" si="1455"/>
        <v>56356692</v>
      </c>
      <c r="F128" s="367" t="s">
        <v>777</v>
      </c>
      <c r="G128" s="414"/>
      <c r="H128" s="1713" t="str">
        <f ca="1">HYPERLINK(OFFSET(Origine,MATCH($F128,Descrizioni,0),MATCH(H$14,Intestazioni,0)-1,1,1),"")</f>
        <v></v>
      </c>
      <c r="I128" s="1683" t="str">
        <f ca="1">HYPERLINK(OFFSET(Origine,MATCH($F128,Descrizioni,0),MATCH(I$14,Intestazioni,0)-1,1,1),"i")</f>
        <v>i</v>
      </c>
      <c r="J128" s="1713" t="str">
        <f ca="1">HYPERLINK(OFFSET(Origine,MATCH($F128,Descrizioni,0),MATCH(J$14,Intestazioni,0)-1,1,1),"")</f>
        <v></v>
      </c>
      <c r="K128" s="1716" t="str">
        <f ca="1">HYPERLINK(OFFSET(Origine,MATCH($F128,Descrizioni,0),MATCH(K$14,Intestazioni,0)-1,1,1),"")</f>
        <v></v>
      </c>
      <c r="L128" s="1717" t="str">
        <f ca="1">IFERROR(HYPERLINK("https://www.zonebourse.com/mods_a/charts/TV/inc_dyna_graph.php?c="&amp;OFFSET(Origine,MATCH($F128,Descrizioni,0),MATCH(L$14,Intestazioni,0)-1,1,1)&amp;"&amp;style=TradingView.CANDLES&amp;showAT=1",""),"")</f>
        <v></v>
      </c>
      <c r="M128" s="366" t="str">
        <f ca="1">(OFFSET(Origine,MATCH($F128,Descrizioni,0),MATCH(M$14,Intestazioni,0)-1,1,1))</f>
        <v>Unit</v>
      </c>
      <c r="N128" s="1039"/>
      <c r="O128" s="1310" cm="1">
        <f t="array" aca="1" ref="O128" ca="1">SUM(IF($AF$14:$BQ$14="I_ctrlv",AF128:BQ128))</f>
        <v>0</v>
      </c>
      <c r="P128" s="428">
        <f t="shared" ca="1" si="1307"/>
        <v>0</v>
      </c>
      <c r="Q128" s="391">
        <f t="array" aca="1" ref="Q128" ca="1">SUM(IF($AF$14:$BQ$14="I_pos",AF128:BQ128))</f>
        <v>0</v>
      </c>
      <c r="R128" s="391">
        <f t="array" aca="1" ref="R128" ca="1">SUM(IF($AF$14:$BQ$14="P_Pos",AF128:BQ128))</f>
        <v>0</v>
      </c>
      <c r="S128" s="1314"/>
      <c r="T128" s="391"/>
      <c r="U128" s="366"/>
      <c r="V128" s="391">
        <f t="array" aca="1" ref="V128" ca="1">SUM(IF($AF$14:$BQ$14="O_Pos",AF128:BQ128))</f>
        <v>0</v>
      </c>
      <c r="W128" s="1310"/>
      <c r="X128" s="1312">
        <f t="shared" ref="X128:AA128" ca="1" si="1459">OFFSET(Origine,MATCH($F128,Descrizioni,0),MATCH(X$14,Intestazioni,0)-1,1,1)</f>
        <v>5.7500000000000002E-2</v>
      </c>
      <c r="Y128" s="1312">
        <f t="shared" ca="1" si="1459"/>
        <v>0</v>
      </c>
      <c r="Z128" s="1312">
        <f t="shared" ca="1" si="1459"/>
        <v>2.5399999999999999E-2</v>
      </c>
      <c r="AA128" s="1313">
        <f t="shared" ca="1" si="1459"/>
        <v>0</v>
      </c>
      <c r="AB128" s="367" t="str">
        <f ca="1">OFFSET(Origine,MATCH($F128,Descrizioni,0),MATCH(AB$14,Intestazioni,0)-1,1,1)</f>
        <v>USD</v>
      </c>
      <c r="AC128" s="392">
        <f ca="1">_xlfn.NUMBERVALUE(OFFSET(Origine,MATCH($F128,Descrizioni,0),MATCH(AC$14,Intestazioni,0)-1,1,1))</f>
        <v>408.06130000000002</v>
      </c>
      <c r="AD128" s="393">
        <f ca="1">_xlfn.NUMBERVALUE(OFFSET(Origine,MATCH($F128,Descrizioni,0),MATCH(AD$14,Intestazioni,0)-1,1,1))</f>
        <v>0</v>
      </c>
      <c r="AE128" s="378">
        <f ca="1">_xlfn.NUMBERVALUE(OFFSET(Origine,MATCH(AB128&amp;"/"&amp;MRif,LUKB_Name,0),MATCH("Price",Intestazioni,0)-1,1,1))</f>
        <v>0.78225</v>
      </c>
      <c r="AF128" s="214"/>
      <c r="AG128" s="312" t="str">
        <f t="shared" ca="1" si="1457"/>
        <v/>
      </c>
      <c r="AH128" s="1254"/>
      <c r="AI128" s="199">
        <f ca="1">AF128*$AC128</f>
        <v>0</v>
      </c>
      <c r="AJ128" s="199">
        <f ca="1">AI128*$AE128</f>
        <v>0</v>
      </c>
      <c r="AK128" s="216">
        <f t="shared" ca="1" si="1360"/>
        <v>0</v>
      </c>
      <c r="AL128" s="202">
        <f ca="1">AM128/$AC128</f>
        <v>0</v>
      </c>
      <c r="AM128" s="203">
        <f ca="1">AN128/$AE128</f>
        <v>0</v>
      </c>
      <c r="AN128" s="203">
        <f ca="1">AO128*AF$4</f>
        <v>0</v>
      </c>
      <c r="AO128" s="204">
        <f ca="1">$N128-AK128</f>
        <v>0</v>
      </c>
      <c r="AP128" s="205"/>
      <c r="AQ128" s="206">
        <f ca="1">AP128*$AC128</f>
        <v>0</v>
      </c>
      <c r="AR128" s="206">
        <f ca="1">AQ128*$AE128</f>
        <v>0</v>
      </c>
      <c r="AS128" s="207">
        <f t="shared" ca="1" si="1367"/>
        <v>0</v>
      </c>
      <c r="AT128" s="391">
        <f>AF128+AP128</f>
        <v>0</v>
      </c>
      <c r="AU128" s="391">
        <f t="shared" ca="1" si="1412"/>
        <v>0</v>
      </c>
      <c r="AV128" s="391">
        <f ca="1">AU128*$AE128</f>
        <v>0</v>
      </c>
      <c r="AW128" s="394">
        <f t="shared" ca="1" si="1369"/>
        <v>0</v>
      </c>
      <c r="AX128" s="1007" t="str">
        <f t="shared" ca="1" si="936"/>
        <v/>
      </c>
      <c r="AY128" s="1255"/>
      <c r="AZ128" s="312" t="str">
        <f t="shared" ca="1" si="1458"/>
        <v/>
      </c>
      <c r="BA128" s="1254"/>
      <c r="BB128" s="199">
        <f ca="1">AY128*$AC128</f>
        <v>0</v>
      </c>
      <c r="BC128" s="199">
        <f ca="1">BB128*$AE128</f>
        <v>0</v>
      </c>
      <c r="BD128" s="216">
        <f t="shared" ca="1" si="1372"/>
        <v>0</v>
      </c>
      <c r="BE128" s="202">
        <f ca="1">BF128/$AC128</f>
        <v>0</v>
      </c>
      <c r="BF128" s="203">
        <f ca="1">BG128/$AE128</f>
        <v>0</v>
      </c>
      <c r="BG128" s="203">
        <f ca="1">BH128*AY$4</f>
        <v>0</v>
      </c>
      <c r="BH128" s="204">
        <f ca="1">$N128-BD128</f>
        <v>0</v>
      </c>
      <c r="BI128" s="1253"/>
      <c r="BJ128" s="206">
        <f ca="1">BI128*$AC128</f>
        <v>0</v>
      </c>
      <c r="BK128" s="206">
        <f ca="1">BJ128*$AE128</f>
        <v>0</v>
      </c>
      <c r="BL128" s="207">
        <f t="shared" ca="1" si="1379"/>
        <v>0</v>
      </c>
      <c r="BM128" s="391">
        <f>AY128+BI128</f>
        <v>0</v>
      </c>
      <c r="BN128" s="391">
        <f t="shared" ca="1" si="1413"/>
        <v>0</v>
      </c>
      <c r="BO128" s="391">
        <f ca="1">BN128*$AE128</f>
        <v>0</v>
      </c>
      <c r="BP128" s="886">
        <f t="shared" ca="1" si="1311"/>
        <v>0</v>
      </c>
      <c r="BQ128" s="1007" t="str">
        <f t="shared" ca="1" si="1312"/>
        <v/>
      </c>
      <c r="BR128" s="1007"/>
    </row>
    <row r="129" spans="1:70" ht="13.5" customHeight="1" collapsed="1" x14ac:dyDescent="0.2">
      <c r="A129" s="346"/>
      <c r="B129" s="346" t="s">
        <v>491</v>
      </c>
      <c r="C129" s="346"/>
      <c r="D129" s="347"/>
      <c r="E129" s="348"/>
      <c r="F129" s="346"/>
      <c r="G129" s="349"/>
      <c r="H129" s="1682"/>
      <c r="I129" s="1682"/>
      <c r="J129" s="1682"/>
      <c r="K129" s="1682"/>
      <c r="L129" s="1682"/>
      <c r="M129" s="345"/>
      <c r="N129" s="1036"/>
      <c r="O129" s="1315" cm="1">
        <f t="array" aca="1" ref="O129" ca="1">SUM(IF($AF$14:$BQ$14="I_ctrlv",AF129:BQ129))</f>
        <v>37692.325125000003</v>
      </c>
      <c r="P129" s="351">
        <f t="shared" ca="1" si="1307"/>
        <v>5.754775951779644E-3</v>
      </c>
      <c r="Q129" s="421"/>
      <c r="R129" s="421"/>
      <c r="S129" s="1035"/>
      <c r="T129" s="421"/>
      <c r="U129" s="345"/>
      <c r="V129" s="422">
        <f ca="1">COUNTIF(V130:V131,"&lt;&gt;0")</f>
        <v>0</v>
      </c>
      <c r="W129" s="1303"/>
      <c r="X129" s="1304"/>
      <c r="Y129" s="1304"/>
      <c r="Z129" s="1304"/>
      <c r="AA129" s="1305"/>
      <c r="AB129" s="346"/>
      <c r="AC129" s="355"/>
      <c r="AD129" s="1306"/>
      <c r="AE129" s="356"/>
      <c r="AF129" s="357"/>
      <c r="AG129" s="359"/>
      <c r="AH129" s="875"/>
      <c r="AI129" s="359"/>
      <c r="AJ129" s="360">
        <f ca="1">SUM(AJ$130:AJ$131)</f>
        <v>27636.110250000002</v>
      </c>
      <c r="AK129" s="361">
        <f t="shared" ca="1" si="1360"/>
        <v>4.7304576040777188E-3</v>
      </c>
      <c r="AL129" s="362"/>
      <c r="AM129" s="359"/>
      <c r="AN129" s="360">
        <f ca="1">SUM(AN$130:AN$131)</f>
        <v>-27636.110250000002</v>
      </c>
      <c r="AO129" s="363">
        <f ca="1">IFERROR(AN129/AF$4,0)</f>
        <v>-4.7304576040777188E-3</v>
      </c>
      <c r="AP129" s="362"/>
      <c r="AQ129" s="359"/>
      <c r="AR129" s="360">
        <f ca="1">SUM(AR$130:AR$131)</f>
        <v>0</v>
      </c>
      <c r="AS129" s="363">
        <f t="shared" ca="1" si="1367"/>
        <v>0</v>
      </c>
      <c r="AT129" s="359"/>
      <c r="AU129" s="359"/>
      <c r="AV129" s="360">
        <f ca="1">SUM(AV$130:AV$131)</f>
        <v>27636.110250000002</v>
      </c>
      <c r="AW129" s="361">
        <f t="shared" ca="1" si="1369"/>
        <v>4.7304576040777188E-3</v>
      </c>
      <c r="AX129" s="1007" t="str">
        <f t="shared" ca="1" si="936"/>
        <v>V</v>
      </c>
      <c r="AY129" s="1307"/>
      <c r="AZ129" s="359"/>
      <c r="BA129" s="875"/>
      <c r="BB129" s="359"/>
      <c r="BC129" s="360">
        <f ca="1">SUM(BC$130:BC$131)</f>
        <v>10056.214874999998</v>
      </c>
      <c r="BD129" s="361">
        <f t="shared" ca="1" si="1372"/>
        <v>1.4212073686453677E-2</v>
      </c>
      <c r="BE129" s="362"/>
      <c r="BF129" s="359"/>
      <c r="BG129" s="360">
        <f ca="1">SUM(BG$130:BG$131)</f>
        <v>-10056.214874999998</v>
      </c>
      <c r="BH129" s="363">
        <f ca="1">IFERROR(BG129/AY$4,0)</f>
        <v>-1.4212073686453677E-2</v>
      </c>
      <c r="BI129" s="1308"/>
      <c r="BJ129" s="359"/>
      <c r="BK129" s="360">
        <f ca="1">SUM(BK$130:BK$131)</f>
        <v>0</v>
      </c>
      <c r="BL129" s="363">
        <f t="shared" ca="1" si="1379"/>
        <v>0</v>
      </c>
      <c r="BM129" s="359"/>
      <c r="BN129" s="359"/>
      <c r="BO129" s="360">
        <f ca="1">SUM(BO$130:BO$131)</f>
        <v>10056.214874999998</v>
      </c>
      <c r="BP129" s="876">
        <f t="shared" ca="1" si="1311"/>
        <v>1.4212073686453677E-2</v>
      </c>
      <c r="BQ129" s="1007" t="str">
        <f t="shared" ref="BQ129:BQ131" ca="1" si="1460">IF(OR(BD129&lt;&gt;0,BL129&lt;&gt;0),"V","")</f>
        <v>V</v>
      </c>
      <c r="BR129" s="1007"/>
    </row>
    <row r="130" spans="1:70" ht="13.5" hidden="1" customHeight="1" outlineLevel="1" x14ac:dyDescent="0.2">
      <c r="A130" s="367"/>
      <c r="B130" s="367"/>
      <c r="C130" s="367" t="str">
        <f t="shared" ref="C130:E131" ca="1" si="1461">OFFSET(Origine,MATCH($F130,Descrizioni,0),MATCH(C$14,Intestazioni,0)-1,1,1)</f>
        <v>US37954Y7159:USD</v>
      </c>
      <c r="D130" s="368" t="str">
        <f t="shared" ca="1" si="1461"/>
        <v>US37954Y7159</v>
      </c>
      <c r="E130" s="369" t="str">
        <f t="shared" ca="1" si="1461"/>
        <v>33923402</v>
      </c>
      <c r="F130" s="367" t="s">
        <v>780</v>
      </c>
      <c r="G130" s="414"/>
      <c r="H130" s="1713" t="str">
        <f ca="1">HYPERLINK(OFFSET(Origine,MATCH($F130,Descrizioni,0),MATCH(H$14,Intestazioni,0)-1,1,1),"")</f>
        <v></v>
      </c>
      <c r="I130" s="1683" t="str">
        <f ca="1">HYPERLINK(OFFSET(Origine,MATCH($F130,Descrizioni,0),MATCH(I$14,Intestazioni,0)-1,1,1),"i")</f>
        <v>i</v>
      </c>
      <c r="J130" s="1713" t="str">
        <f t="shared" ref="J130:K131" ca="1" si="1462">HYPERLINK(OFFSET(Origine,MATCH($F130,Descrizioni,0),MATCH(J$14,Intestazioni,0)-1,1,1),"")</f>
        <v></v>
      </c>
      <c r="K130" s="1716" t="str">
        <f t="shared" ca="1" si="1462"/>
        <v></v>
      </c>
      <c r="L130" s="1717" t="str">
        <f ca="1">IFERROR(HYPERLINK("https://www.zonebourse.com/mods_a/charts/TV/inc_dyna_graph.php?c="&amp;OFFSET(Origine,MATCH($F130,Descrizioni,0),MATCH(L$14,Intestazioni,0)-1,1,1)&amp;"&amp;style=TradingView.CANDLES&amp;showAT=1",""),"")</f>
        <v></v>
      </c>
      <c r="M130" s="366" t="str">
        <f ca="1">(OFFSET(Origine,MATCH($F130,Descrizioni,0),MATCH(M$14,Intestazioni,0)-1,1,1))</f>
        <v>Unit</v>
      </c>
      <c r="N130" s="1039"/>
      <c r="O130" s="1310" cm="1">
        <f t="array" aca="1" ref="O130" ca="1">SUM(IF($AF$14:$BQ$14="I_ctrlv",AF130:BQ130))</f>
        <v>10056.214874999998</v>
      </c>
      <c r="P130" s="418">
        <f t="shared" ca="1" si="1307"/>
        <v>1.5353593426953313E-3</v>
      </c>
      <c r="Q130" s="391">
        <f t="array" aca="1" ref="Q130" ca="1">SUM(IF($AF$14:$BQ$14="I_pos",AF130:BQ130))</f>
        <v>350</v>
      </c>
      <c r="R130" s="391">
        <f t="array" aca="1" ref="R130" ca="1">SUM(IF($AF$14:$BQ$14="P_Pos",AF130:BQ130))</f>
        <v>-349.99999999999994</v>
      </c>
      <c r="S130" s="1321"/>
      <c r="T130" s="391"/>
      <c r="U130" s="366"/>
      <c r="V130" s="391">
        <f t="array" aca="1" ref="V130" ca="1">SUM(IF($AF$14:$BQ$14="O_Pos",AF130:BQ130))</f>
        <v>0</v>
      </c>
      <c r="W130" s="1310"/>
      <c r="X130" s="1312">
        <f t="shared" ref="X130:AA131" ca="1" si="1463">OFFSET(Origine,MATCH($F130,Descrizioni,0),MATCH(X$14,Intestazioni,0)-1,1,1)</f>
        <v>0</v>
      </c>
      <c r="Y130" s="1312">
        <f t="shared" ca="1" si="1463"/>
        <v>0</v>
      </c>
      <c r="Z130" s="1312">
        <f t="shared" ca="1" si="1463"/>
        <v>0</v>
      </c>
      <c r="AA130" s="1313">
        <f t="shared" ca="1" si="1463"/>
        <v>0</v>
      </c>
      <c r="AB130" s="367" t="str">
        <f ca="1">OFFSET(Origine,MATCH($F130,Descrizioni,0),MATCH(AB$14,Intestazioni,0)-1,1,1)</f>
        <v>USD</v>
      </c>
      <c r="AC130" s="392">
        <f t="shared" ref="AC130:AD131" ca="1" si="1464">_xlfn.NUMBERVALUE(OFFSET(Origine,MATCH($F130,Descrizioni,0),MATCH(AC$14,Intestazioni,0)-1,1,1))</f>
        <v>36.729999999999997</v>
      </c>
      <c r="AD130" s="393">
        <f t="shared" ca="1" si="1464"/>
        <v>0</v>
      </c>
      <c r="AE130" s="378">
        <f ca="1">_xlfn.NUMBERVALUE(OFFSET(Origine,MATCH(AB130&amp;"/"&amp;MRif,LUKB_Name,0),MATCH("Price",Intestazioni,0)-1,1,1))</f>
        <v>0.78225</v>
      </c>
      <c r="AF130" s="214">
        <f>700+-700</f>
        <v>0</v>
      </c>
      <c r="AG130" s="312" t="str">
        <f t="shared" ref="AG130" ca="1" si="1465">IFERROR($AC130/AH130-1,"")</f>
        <v/>
      </c>
      <c r="AH130" s="1254"/>
      <c r="AI130" s="199">
        <f ca="1">AF130*$AC130</f>
        <v>0</v>
      </c>
      <c r="AJ130" s="199">
        <f ca="1">AI130*$AE130</f>
        <v>0</v>
      </c>
      <c r="AK130" s="216">
        <f t="shared" ca="1" si="1360"/>
        <v>0</v>
      </c>
      <c r="AL130" s="202">
        <f ca="1">AM130/$AC130</f>
        <v>0</v>
      </c>
      <c r="AM130" s="203">
        <f ca="1">AN130/$AE130</f>
        <v>0</v>
      </c>
      <c r="AN130" s="203">
        <f ca="1">AO130*AF$4</f>
        <v>0</v>
      </c>
      <c r="AO130" s="204">
        <f ca="1">$N130-AK130</f>
        <v>0</v>
      </c>
      <c r="AP130" s="205"/>
      <c r="AQ130" s="206">
        <f ca="1">AP130*$AC130</f>
        <v>0</v>
      </c>
      <c r="AR130" s="206">
        <f ca="1">AQ130*$AE130</f>
        <v>0</v>
      </c>
      <c r="AS130" s="207">
        <f t="shared" ca="1" si="1367"/>
        <v>0</v>
      </c>
      <c r="AT130" s="391">
        <f t="shared" ref="AT130" si="1466">AF130+AP130</f>
        <v>0</v>
      </c>
      <c r="AU130" s="391">
        <f t="shared" ref="AU130" ca="1" si="1467">AI130+IF($T130="",AQ130)</f>
        <v>0</v>
      </c>
      <c r="AV130" s="391">
        <f ca="1">AU130*$AE130</f>
        <v>0</v>
      </c>
      <c r="AW130" s="394">
        <f t="shared" ca="1" si="1369"/>
        <v>0</v>
      </c>
      <c r="AX130" s="1007" t="str">
        <f t="shared" ca="1" si="936"/>
        <v/>
      </c>
      <c r="AY130" s="1255">
        <v>350</v>
      </c>
      <c r="AZ130" s="312">
        <f t="shared" ref="AZ130" ca="1" si="1468">IFERROR($AC130/BA130-1,"")</f>
        <v>0.28292001397135857</v>
      </c>
      <c r="BA130" s="1254">
        <v>28.63</v>
      </c>
      <c r="BB130" s="199">
        <f ca="1">AY130*$AC130</f>
        <v>12855.499999999998</v>
      </c>
      <c r="BC130" s="199">
        <f ca="1">BB130*$AE130</f>
        <v>10056.214874999998</v>
      </c>
      <c r="BD130" s="216">
        <f t="shared" ca="1" si="1372"/>
        <v>1.4212073686453677E-2</v>
      </c>
      <c r="BE130" s="202">
        <f ca="1">BF130/$AC130</f>
        <v>-349.99999999999994</v>
      </c>
      <c r="BF130" s="203">
        <f ca="1">BG130/$AE130</f>
        <v>-12855.499999999996</v>
      </c>
      <c r="BG130" s="203">
        <f ca="1">BH130*AY$4</f>
        <v>-10056.214874999998</v>
      </c>
      <c r="BH130" s="204">
        <f ca="1">$N130-BD130</f>
        <v>-1.4212073686453677E-2</v>
      </c>
      <c r="BI130" s="1253"/>
      <c r="BJ130" s="206">
        <f ca="1">BI130*$AC130</f>
        <v>0</v>
      </c>
      <c r="BK130" s="206">
        <f ca="1">BJ130*$AE130</f>
        <v>0</v>
      </c>
      <c r="BL130" s="207">
        <f t="shared" ca="1" si="1379"/>
        <v>0</v>
      </c>
      <c r="BM130" s="391">
        <f t="shared" ref="BM130" si="1469">AY130+BI130</f>
        <v>350</v>
      </c>
      <c r="BN130" s="391">
        <f t="shared" ref="BN130" ca="1" si="1470">BB130+IF($T130="",BJ130)</f>
        <v>12855.499999999998</v>
      </c>
      <c r="BO130" s="391">
        <f ca="1">BN130*$AE130</f>
        <v>10056.214874999998</v>
      </c>
      <c r="BP130" s="886">
        <f t="shared" ca="1" si="1311"/>
        <v>1.4212073686453677E-2</v>
      </c>
      <c r="BQ130" s="1007" t="str">
        <f t="shared" ca="1" si="1460"/>
        <v>V</v>
      </c>
      <c r="BR130" s="1007"/>
    </row>
    <row r="131" spans="1:70" ht="13.5" hidden="1" customHeight="1" outlineLevel="1" x14ac:dyDescent="0.2">
      <c r="A131" s="367"/>
      <c r="B131" s="367"/>
      <c r="C131" s="367" t="str">
        <f t="shared" ca="1" si="1461"/>
        <v>IE00B1XNHC34:USD</v>
      </c>
      <c r="D131" s="368" t="s">
        <v>2871</v>
      </c>
      <c r="E131" s="369" t="str">
        <f t="shared" ca="1" si="1461"/>
        <v>3246465</v>
      </c>
      <c r="F131" s="367" t="s">
        <v>781</v>
      </c>
      <c r="G131" s="414"/>
      <c r="H131" s="1713" t="str">
        <f ca="1">HYPERLINK(OFFSET(Origine,MATCH($F131,Descrizioni,0),MATCH(H$14,Intestazioni,0)-1,1,1),"")</f>
        <v></v>
      </c>
      <c r="I131" s="1683" t="str">
        <f ca="1">HYPERLINK(OFFSET(Origine,MATCH($F131,Descrizioni,0),MATCH(I$14,Intestazioni,0)-1,1,1),"i")</f>
        <v>i</v>
      </c>
      <c r="J131" s="1713" t="str">
        <f t="shared" ca="1" si="1462"/>
        <v></v>
      </c>
      <c r="K131" s="1716" t="str">
        <f t="shared" ca="1" si="1462"/>
        <v></v>
      </c>
      <c r="L131" s="1717" t="str">
        <f ca="1">IFERROR(HYPERLINK("https://www.zonebourse.com/mods_a/charts/TV/inc_dyna_graph.php?c="&amp;OFFSET(Origine,MATCH($F131,Descrizioni,0),MATCH(L$14,Intestazioni,0)-1,1,1)&amp;"&amp;style=TradingView.CANDLES&amp;showAT=1",""),"")</f>
        <v></v>
      </c>
      <c r="M131" s="366" t="str">
        <f ca="1">(OFFSET(Origine,MATCH($F131,Descrizioni,0),MATCH(M$14,Intestazioni,0)-1,1,1))</f>
        <v>Unit</v>
      </c>
      <c r="N131" s="1039"/>
      <c r="O131" s="1310" cm="1">
        <f t="array" aca="1" ref="O131" ca="1">SUM(IF($AF$14:$BQ$14="I_ctrlv",AF131:BQ131))</f>
        <v>27636.110250000002</v>
      </c>
      <c r="P131" s="418">
        <f t="shared" ca="1" si="1307"/>
        <v>4.2194166090843126E-3</v>
      </c>
      <c r="Q131" s="391">
        <f t="array" aca="1" ref="Q131" ca="1">SUM(IF($AF$14:$BQ$14="I_pos",AF131:BQ131))</f>
        <v>3500</v>
      </c>
      <c r="R131" s="391">
        <f t="array" aca="1" ref="R131" ca="1">SUM(IF($AF$14:$BQ$14="P_Pos",AF131:BQ131))</f>
        <v>-3500</v>
      </c>
      <c r="S131" s="1321"/>
      <c r="T131" s="391"/>
      <c r="U131" s="366"/>
      <c r="V131" s="391">
        <f t="array" aca="1" ref="V131" ca="1">SUM(IF($AF$14:$BQ$14="O_Pos",AF131:BQ131))</f>
        <v>0</v>
      </c>
      <c r="W131" s="1310"/>
      <c r="X131" s="1312">
        <f t="shared" ca="1" si="1463"/>
        <v>0</v>
      </c>
      <c r="Y131" s="1312">
        <f t="shared" ca="1" si="1463"/>
        <v>0</v>
      </c>
      <c r="Z131" s="1312">
        <f t="shared" ca="1" si="1463"/>
        <v>6.4999999999999997E-3</v>
      </c>
      <c r="AA131" s="1313">
        <f t="shared" ca="1" si="1463"/>
        <v>0</v>
      </c>
      <c r="AB131" s="367" t="str">
        <f ca="1">OFFSET(Origine,MATCH($F131,Descrizioni,0),MATCH(AB$14,Intestazioni,0)-1,1,1)</f>
        <v>USD</v>
      </c>
      <c r="AC131" s="392">
        <f t="shared" ca="1" si="1464"/>
        <v>10.093999999999999</v>
      </c>
      <c r="AD131" s="393">
        <f t="shared" ca="1" si="1464"/>
        <v>0</v>
      </c>
      <c r="AE131" s="378">
        <f ca="1">_xlfn.NUMBERVALUE(OFFSET(Origine,MATCH(AB131&amp;"/"&amp;MRif,LUKB_Name,0),MATCH("Price",Intestazioni,0)-1,1,1))</f>
        <v>0.78225</v>
      </c>
      <c r="AF131" s="214">
        <f>3500</f>
        <v>3500</v>
      </c>
      <c r="AG131" s="312">
        <f t="shared" ref="AG131" ca="1" si="1471">IFERROR($AC131/AH131-1,"")</f>
        <v>-0.25314826050283379</v>
      </c>
      <c r="AH131" s="1254">
        <v>13.5154</v>
      </c>
      <c r="AI131" s="199">
        <f ca="1">AF131*$AC131</f>
        <v>35329</v>
      </c>
      <c r="AJ131" s="199">
        <f ca="1">AI131*$AE131</f>
        <v>27636.110250000002</v>
      </c>
      <c r="AK131" s="216">
        <f t="shared" ref="AK131" ca="1" si="1472">IFERROR(AJ131/AF$4,0)</f>
        <v>4.7304576040777188E-3</v>
      </c>
      <c r="AL131" s="202">
        <f ca="1">AM131/$AC131</f>
        <v>-3500</v>
      </c>
      <c r="AM131" s="203">
        <f ca="1">AN131/$AE131</f>
        <v>-35329</v>
      </c>
      <c r="AN131" s="203">
        <f ca="1">AO131*AF$4</f>
        <v>-27636.110250000002</v>
      </c>
      <c r="AO131" s="204">
        <f ca="1">$N131-AK131</f>
        <v>-4.7304576040777188E-3</v>
      </c>
      <c r="AP131" s="205"/>
      <c r="AQ131" s="206">
        <f ca="1">AP131*$AC131</f>
        <v>0</v>
      </c>
      <c r="AR131" s="206">
        <f ca="1">AQ131*$AE131</f>
        <v>0</v>
      </c>
      <c r="AS131" s="207">
        <f t="shared" ref="AS131" ca="1" si="1473">IFERROR(AR131/AF$4,0)</f>
        <v>0</v>
      </c>
      <c r="AT131" s="391">
        <f>AF131+AP131</f>
        <v>3500</v>
      </c>
      <c r="AU131" s="391">
        <f t="shared" ca="1" si="1412"/>
        <v>35329</v>
      </c>
      <c r="AV131" s="391">
        <f ca="1">AU131*$AE131</f>
        <v>27636.110250000002</v>
      </c>
      <c r="AW131" s="394">
        <f t="shared" ref="AW131" ca="1" si="1474">IFERROR(AV131/AF$4,0)</f>
        <v>4.7304576040777188E-3</v>
      </c>
      <c r="AX131" s="1007" t="str">
        <f t="shared" ca="1" si="936"/>
        <v>V</v>
      </c>
      <c r="AY131" s="1255"/>
      <c r="AZ131" s="312" t="str">
        <f t="shared" ref="AZ131" ca="1" si="1475">IFERROR($AC131/BA131-1,"")</f>
        <v/>
      </c>
      <c r="BA131" s="1254"/>
      <c r="BB131" s="199">
        <f ca="1">AY131*$AC131</f>
        <v>0</v>
      </c>
      <c r="BC131" s="199">
        <f ca="1">BB131*$AE131</f>
        <v>0</v>
      </c>
      <c r="BD131" s="216">
        <f t="shared" ref="BD131" ca="1" si="1476">IFERROR(BC131/AY$4,0)</f>
        <v>0</v>
      </c>
      <c r="BE131" s="202">
        <f ca="1">BF131/$AC131</f>
        <v>0</v>
      </c>
      <c r="BF131" s="203">
        <f ca="1">BG131/$AE131</f>
        <v>0</v>
      </c>
      <c r="BG131" s="203">
        <f ca="1">BH131*AY$4</f>
        <v>0</v>
      </c>
      <c r="BH131" s="204">
        <f ca="1">$N131-BD131</f>
        <v>0</v>
      </c>
      <c r="BI131" s="1253"/>
      <c r="BJ131" s="206">
        <f ca="1">BI131*$AC131</f>
        <v>0</v>
      </c>
      <c r="BK131" s="206">
        <f ca="1">BJ131*$AE131</f>
        <v>0</v>
      </c>
      <c r="BL131" s="207">
        <f t="shared" ref="BL131" ca="1" si="1477">IFERROR(BK131/AY$4,0)</f>
        <v>0</v>
      </c>
      <c r="BM131" s="391">
        <f>AY131+BI131</f>
        <v>0</v>
      </c>
      <c r="BN131" s="391">
        <f t="shared" ca="1" si="1413"/>
        <v>0</v>
      </c>
      <c r="BO131" s="391">
        <f ca="1">BN131*$AE131</f>
        <v>0</v>
      </c>
      <c r="BP131" s="886">
        <f t="shared" ca="1" si="1311"/>
        <v>0</v>
      </c>
      <c r="BQ131" s="1007" t="str">
        <f t="shared" ca="1" si="1460"/>
        <v/>
      </c>
      <c r="BR131" s="1007"/>
    </row>
    <row r="132" spans="1:70" ht="13.5" customHeight="1" x14ac:dyDescent="0.2">
      <c r="A132" s="435" t="s">
        <v>577</v>
      </c>
      <c r="B132" s="435"/>
      <c r="C132" s="435"/>
      <c r="D132" s="436"/>
      <c r="E132" s="437"/>
      <c r="F132" s="435"/>
      <c r="G132" s="438"/>
      <c r="H132" s="1721"/>
      <c r="I132" s="1685"/>
      <c r="J132" s="1685"/>
      <c r="K132" s="1685"/>
      <c r="L132" s="1685"/>
      <c r="M132" s="434"/>
      <c r="N132" s="1322">
        <f>SUM(N$133,N$135)</f>
        <v>0</v>
      </c>
      <c r="O132" s="1323" cm="1">
        <f t="array" aca="1" ref="O132" ca="1">SUM(IF($AF$14:$BQ$14="I_ctrlv",AF132:BQ132))</f>
        <v>0</v>
      </c>
      <c r="P132" s="440">
        <f t="shared" ca="1" si="1307"/>
        <v>0</v>
      </c>
      <c r="Q132" s="441"/>
      <c r="R132" s="441"/>
      <c r="S132" s="1047"/>
      <c r="T132" s="441"/>
      <c r="U132" s="434"/>
      <c r="V132" s="441">
        <f ca="1">SUM(V135,V133)</f>
        <v>0</v>
      </c>
      <c r="W132" s="1323"/>
      <c r="X132" s="1324"/>
      <c r="Y132" s="1324"/>
      <c r="Z132" s="1324"/>
      <c r="AA132" s="1325"/>
      <c r="AB132" s="435"/>
      <c r="AC132" s="443"/>
      <c r="AD132" s="1326"/>
      <c r="AE132" s="444"/>
      <c r="AF132" s="445"/>
      <c r="AG132" s="447"/>
      <c r="AH132" s="1327"/>
      <c r="AI132" s="447"/>
      <c r="AJ132" s="448">
        <f ca="1">SUM(AJ$133,AJ$135)</f>
        <v>0</v>
      </c>
      <c r="AK132" s="449">
        <f ca="1">IFERROR(AJ132/AF$4,0)</f>
        <v>0</v>
      </c>
      <c r="AL132" s="450"/>
      <c r="AM132" s="451"/>
      <c r="AN132" s="448">
        <f ca="1">SUM(AN$133,AN$135)</f>
        <v>0</v>
      </c>
      <c r="AO132" s="452">
        <f ca="1">IFERROR(AN132/AF$4,0)</f>
        <v>0</v>
      </c>
      <c r="AP132" s="450"/>
      <c r="AQ132" s="451"/>
      <c r="AR132" s="448">
        <f ca="1">SUM(AR$133,AR$135)</f>
        <v>0</v>
      </c>
      <c r="AS132" s="452">
        <f ca="1">IFERROR(AR132/AF$4,0)</f>
        <v>0</v>
      </c>
      <c r="AT132" s="451"/>
      <c r="AU132" s="451"/>
      <c r="AV132" s="448">
        <f ca="1">SUM(AV$133,AV$135)</f>
        <v>0</v>
      </c>
      <c r="AW132" s="449">
        <f ca="1">IFERROR(AV132/AF$4,0)</f>
        <v>0</v>
      </c>
      <c r="AX132" s="1007" t="str">
        <f t="shared" ca="1" si="936"/>
        <v/>
      </c>
      <c r="AY132" s="1328"/>
      <c r="AZ132" s="447"/>
      <c r="BA132" s="1327"/>
      <c r="BB132" s="447"/>
      <c r="BC132" s="448">
        <f ca="1">SUM(BC$133,BC$135)</f>
        <v>0</v>
      </c>
      <c r="BD132" s="449">
        <f ca="1">IFERROR(BC132/AY$4,0)</f>
        <v>0</v>
      </c>
      <c r="BE132" s="450"/>
      <c r="BF132" s="451"/>
      <c r="BG132" s="448">
        <f ca="1">SUM(BG$133,BG$135)</f>
        <v>0</v>
      </c>
      <c r="BH132" s="452">
        <f ca="1">IFERROR(BG132/AY$4,0)</f>
        <v>0</v>
      </c>
      <c r="BI132" s="1329"/>
      <c r="BJ132" s="451"/>
      <c r="BK132" s="448">
        <f ca="1">SUM(BK$133,BK$135)</f>
        <v>0</v>
      </c>
      <c r="BL132" s="452">
        <f ca="1">IFERROR(BK132/AY$4,0)</f>
        <v>0</v>
      </c>
      <c r="BM132" s="451"/>
      <c r="BN132" s="451"/>
      <c r="BO132" s="448">
        <f ca="1">SUM(BO$133,BO$135)</f>
        <v>0</v>
      </c>
      <c r="BP132" s="903">
        <f t="shared" ca="1" si="1311"/>
        <v>0</v>
      </c>
      <c r="BQ132" s="1007" t="str">
        <f t="shared" ca="1" si="1312"/>
        <v/>
      </c>
      <c r="BR132" s="1007"/>
    </row>
    <row r="133" spans="1:70" ht="13.5" customHeight="1" collapsed="1" x14ac:dyDescent="0.2">
      <c r="A133" s="456"/>
      <c r="B133" s="456" t="s">
        <v>397</v>
      </c>
      <c r="C133" s="456"/>
      <c r="D133" s="457"/>
      <c r="E133" s="458"/>
      <c r="F133" s="456"/>
      <c r="G133" s="459"/>
      <c r="H133" s="1686"/>
      <c r="I133" s="1686"/>
      <c r="J133" s="1686"/>
      <c r="K133" s="1686"/>
      <c r="L133" s="1686"/>
      <c r="M133" s="455"/>
      <c r="N133" s="1051">
        <f>SUM(N$134)</f>
        <v>0</v>
      </c>
      <c r="O133" s="1330" cm="1">
        <f t="array" aca="1" ref="O133" ca="1">SUM(IF($AF$14:$BQ$14="I_ctrlv",AF133:BQ133))</f>
        <v>0</v>
      </c>
      <c r="P133" s="461">
        <f t="shared" ca="1" si="1307"/>
        <v>0</v>
      </c>
      <c r="Q133" s="462"/>
      <c r="R133" s="462"/>
      <c r="S133" s="904"/>
      <c r="T133" s="462"/>
      <c r="U133" s="455"/>
      <c r="V133" s="462">
        <f ca="1">COUNTIF(V134,"&lt;&gt;0")</f>
        <v>0</v>
      </c>
      <c r="W133" s="1330"/>
      <c r="X133" s="1331"/>
      <c r="Y133" s="1331"/>
      <c r="Z133" s="1331"/>
      <c r="AA133" s="1332"/>
      <c r="AB133" s="456"/>
      <c r="AC133" s="465"/>
      <c r="AD133" s="1333"/>
      <c r="AE133" s="466"/>
      <c r="AF133" s="467"/>
      <c r="AG133" s="456"/>
      <c r="AH133" s="1334"/>
      <c r="AI133" s="456"/>
      <c r="AJ133" s="469">
        <f ca="1">SUM(AJ$134)</f>
        <v>0</v>
      </c>
      <c r="AK133" s="470">
        <f ca="1">IFERROR(AJ133/AF$4,0)</f>
        <v>0</v>
      </c>
      <c r="AL133" s="471"/>
      <c r="AM133" s="456"/>
      <c r="AN133" s="469">
        <f ca="1">SUM(AN$134)</f>
        <v>0</v>
      </c>
      <c r="AO133" s="472">
        <f ca="1">IFERROR(AN133/AF$4,0)</f>
        <v>0</v>
      </c>
      <c r="AP133" s="471"/>
      <c r="AQ133" s="456"/>
      <c r="AR133" s="469">
        <f ca="1">SUM(AR$134)</f>
        <v>0</v>
      </c>
      <c r="AS133" s="472">
        <f ca="1">IFERROR(AR133/AF$4,0)</f>
        <v>0</v>
      </c>
      <c r="AT133" s="456"/>
      <c r="AU133" s="456"/>
      <c r="AV133" s="469">
        <f ca="1">SUM(AV$134)</f>
        <v>0</v>
      </c>
      <c r="AW133" s="470">
        <f ca="1">IFERROR(AV133/AF$4,0)</f>
        <v>0</v>
      </c>
      <c r="AX133" s="1007" t="str">
        <f t="shared" ca="1" si="936"/>
        <v/>
      </c>
      <c r="AY133" s="1335"/>
      <c r="AZ133" s="456"/>
      <c r="BA133" s="1334"/>
      <c r="BB133" s="456"/>
      <c r="BC133" s="469">
        <f ca="1">SUM(BC$134)</f>
        <v>0</v>
      </c>
      <c r="BD133" s="470">
        <f ca="1">IFERROR(BC133/AY$4,0)</f>
        <v>0</v>
      </c>
      <c r="BE133" s="471"/>
      <c r="BF133" s="456"/>
      <c r="BG133" s="469">
        <f ca="1">SUM(BG$134)</f>
        <v>0</v>
      </c>
      <c r="BH133" s="472">
        <f ca="1">IFERROR(BG133/AY$4,0)</f>
        <v>0</v>
      </c>
      <c r="BI133" s="1336"/>
      <c r="BJ133" s="456"/>
      <c r="BK133" s="469">
        <f ca="1">SUM(BK$134)</f>
        <v>0</v>
      </c>
      <c r="BL133" s="472">
        <f ca="1">IFERROR(BK133/AY$4,0)</f>
        <v>0</v>
      </c>
      <c r="BM133" s="456"/>
      <c r="BN133" s="456"/>
      <c r="BO133" s="469">
        <f ca="1">SUM(BO$134)</f>
        <v>0</v>
      </c>
      <c r="BP133" s="914">
        <f t="shared" ca="1" si="1311"/>
        <v>0</v>
      </c>
      <c r="BQ133" s="1007" t="str">
        <f t="shared" ca="1" si="1312"/>
        <v/>
      </c>
      <c r="BR133" s="1007"/>
    </row>
    <row r="134" spans="1:70" ht="13.5" hidden="1" customHeight="1" outlineLevel="1" x14ac:dyDescent="0.2">
      <c r="A134" s="478"/>
      <c r="B134" s="478"/>
      <c r="C134" s="478" t="str">
        <f ca="1">OFFSET(Origine,MATCH($F134,Descrizioni,0),MATCH(C$14,Intestazioni,0)-1,1,1)</f>
        <v>CH0014420829:CHF</v>
      </c>
      <c r="D134" s="479" t="str">
        <f ca="1">OFFSET(Origine,MATCH($F134,Descrizioni,0),MATCH(D$14,Intestazioni,0)-1,1,1)</f>
        <v>CH0014420829</v>
      </c>
      <c r="E134" s="480" t="str">
        <f ca="1">OFFSET(Origine,MATCH($F134,Descrizioni,0),MATCH(E$14,Intestazioni,0)-1,1,1)</f>
        <v>1442082</v>
      </c>
      <c r="F134" s="478" t="s">
        <v>578</v>
      </c>
      <c r="G134" s="481"/>
      <c r="H134" s="1723" t="str">
        <f ca="1">HYPERLINK(OFFSET(Origine,MATCH($F134,Descrizioni,0),MATCH(H$14,Intestazioni,0)-1,1,1),"")</f>
        <v></v>
      </c>
      <c r="I134" s="1687" t="str">
        <f ca="1">HYPERLINK(OFFSET(Origine,MATCH($F134,Descrizioni,0),MATCH(I$14,Intestazioni,0)-1,1,1),"i")</f>
        <v>i</v>
      </c>
      <c r="J134" s="1723" t="str">
        <f ca="1">HYPERLINK(OFFSET(Origine,MATCH($F134,Descrizioni,0),MATCH(J$14,Intestazioni,0)-1,1,1),"")</f>
        <v></v>
      </c>
      <c r="K134" s="1724" t="str">
        <f ca="1">HYPERLINK(OFFSET(Origine,MATCH($F134,Descrizioni,0),MATCH(K$14,Intestazioni,0)-1,1,1),"")</f>
        <v></v>
      </c>
      <c r="L134" s="1725" t="str">
        <f ca="1">IFERROR(HYPERLINK("https://www.zonebourse.com/mods_a/charts/TV/inc_dyna_graph.php?c="&amp;OFFSET(Origine,MATCH($F134,Descrizioni,0),MATCH(L$14,Intestazioni,0)-1,1,1)&amp;"&amp;style=TradingView.CANDLES&amp;showAT=1",""),"")</f>
        <v></v>
      </c>
      <c r="M134" s="477" t="str">
        <f ca="1">(OFFSET(Origine,MATCH($F134,Descrizioni,0),MATCH(M$14,Intestazioni,0)-1,1,1))</f>
        <v>Unit</v>
      </c>
      <c r="N134" s="1055"/>
      <c r="O134" s="1337" cm="1">
        <f t="array" aca="1" ref="O134" ca="1">SUM(IF($AF$14:$BQ$14="I_ctrlv",AF134:BQ134))</f>
        <v>0</v>
      </c>
      <c r="P134" s="483">
        <f t="shared" ca="1" si="1307"/>
        <v>0</v>
      </c>
      <c r="Q134" s="484">
        <f t="array" aca="1" ref="Q134" ca="1">SUM(IF($AF$14:$BQ$14="I_pos",AF134:BQ134))</f>
        <v>0</v>
      </c>
      <c r="R134" s="484">
        <f t="array" aca="1" ref="R134" ca="1">SUM(IF($AF$14:$BQ$14="P_Pos",AF134:BQ134))</f>
        <v>0</v>
      </c>
      <c r="S134" s="661"/>
      <c r="T134" s="484"/>
      <c r="U134" s="477"/>
      <c r="V134" s="484">
        <f t="array" aca="1" ref="V134" ca="1">SUM(IF($AF$14:$BQ$14="O_Pos",AF134:BQ134))</f>
        <v>0</v>
      </c>
      <c r="W134" s="1337"/>
      <c r="X134" s="1338">
        <f t="shared" ref="X134:AA134" ca="1" si="1478">OFFSET(Origine,MATCH($F134,Descrizioni,0),MATCH(X$14,Intestazioni,0)-1,1,1)</f>
        <v>0</v>
      </c>
      <c r="Y134" s="1338">
        <f t="shared" ca="1" si="1478"/>
        <v>0</v>
      </c>
      <c r="Z134" s="1338">
        <f t="shared" ca="1" si="1478"/>
        <v>0</v>
      </c>
      <c r="AA134" s="1339">
        <f t="shared" ca="1" si="1478"/>
        <v>0</v>
      </c>
      <c r="AB134" s="478" t="str">
        <f ca="1">OFFSET(Origine,MATCH($F134,Descrizioni,0),MATCH(AB$14,Intestazioni,0)-1,1,1)</f>
        <v>CHF</v>
      </c>
      <c r="AC134" s="486">
        <f ca="1">_xlfn.NUMBERVALUE(OFFSET(Origine,MATCH($F134,Descrizioni,0),MATCH(AC$14,Intestazioni,0)-1,1,1))</f>
        <v>103.8</v>
      </c>
      <c r="AD134" s="487">
        <f ca="1">_xlfn.NUMBERVALUE(OFFSET(Origine,MATCH($F134,Descrizioni,0),MATCH(AD$14,Intestazioni,0)-1,1,1))</f>
        <v>0</v>
      </c>
      <c r="AE134" s="488">
        <f ca="1">_xlfn.NUMBERVALUE(OFFSET(Origine,MATCH(AB134&amp;"/"&amp;MRif,LUKB_Name,0),MATCH("Price",Intestazioni,0)-1,1,1))</f>
        <v>1.0000001300000001</v>
      </c>
      <c r="AF134" s="214"/>
      <c r="AG134" s="312" t="str">
        <f ca="1">IFERROR($AC134/AH134-1,"")</f>
        <v/>
      </c>
      <c r="AH134" s="1254"/>
      <c r="AI134" s="199">
        <f ca="1">AF134*$AC134</f>
        <v>0</v>
      </c>
      <c r="AJ134" s="199">
        <f ca="1">AI134*$AE134</f>
        <v>0</v>
      </c>
      <c r="AK134" s="216">
        <f ca="1">IFERROR(AJ134/AF$4,0)</f>
        <v>0</v>
      </c>
      <c r="AL134" s="202">
        <f ca="1">AM134/$AC134</f>
        <v>0</v>
      </c>
      <c r="AM134" s="203">
        <f ca="1">AN134/$AE134</f>
        <v>0</v>
      </c>
      <c r="AN134" s="203">
        <f ca="1">AO134*AF$4</f>
        <v>0</v>
      </c>
      <c r="AO134" s="204">
        <f ca="1">$N134-AK134</f>
        <v>0</v>
      </c>
      <c r="AP134" s="205"/>
      <c r="AQ134" s="206">
        <f ca="1">AP134*$AC134</f>
        <v>0</v>
      </c>
      <c r="AR134" s="206">
        <f ca="1">AQ134*$AE134</f>
        <v>0</v>
      </c>
      <c r="AS134" s="207">
        <f ca="1">IFERROR(AR134/AF$4,0)</f>
        <v>0</v>
      </c>
      <c r="AT134" s="484">
        <f>AF134+AP134</f>
        <v>0</v>
      </c>
      <c r="AU134" s="484">
        <f t="shared" ca="1" si="1412"/>
        <v>0</v>
      </c>
      <c r="AV134" s="484">
        <f ca="1">AU134*$AE134</f>
        <v>0</v>
      </c>
      <c r="AW134" s="490">
        <f ca="1">IFERROR(AV134/AF$4,0)</f>
        <v>0</v>
      </c>
      <c r="AX134" s="1007" t="str">
        <f t="shared" ca="1" si="936"/>
        <v/>
      </c>
      <c r="AY134" s="1255"/>
      <c r="AZ134" s="312" t="str">
        <f ca="1">IFERROR($AC134/BA134-1,"")</f>
        <v/>
      </c>
      <c r="BA134" s="1254"/>
      <c r="BB134" s="199">
        <f ca="1">AY134*$AC134</f>
        <v>0</v>
      </c>
      <c r="BC134" s="199">
        <f ca="1">BB134*$AE134</f>
        <v>0</v>
      </c>
      <c r="BD134" s="216">
        <f ca="1">IFERROR(BC134/AY$4,0)</f>
        <v>0</v>
      </c>
      <c r="BE134" s="202">
        <f ca="1">BF134/$AC134</f>
        <v>0</v>
      </c>
      <c r="BF134" s="203">
        <f ca="1">BG134/$AE134</f>
        <v>0</v>
      </c>
      <c r="BG134" s="203">
        <f ca="1">BH134*AY$4</f>
        <v>0</v>
      </c>
      <c r="BH134" s="204">
        <f ca="1">$N134-BD134</f>
        <v>0</v>
      </c>
      <c r="BI134" s="1253"/>
      <c r="BJ134" s="206">
        <f ca="1">BI134*$AC134</f>
        <v>0</v>
      </c>
      <c r="BK134" s="206">
        <f ca="1">BJ134*$AE134</f>
        <v>0</v>
      </c>
      <c r="BL134" s="207">
        <f ca="1">IFERROR(BK134/AY$4,0)</f>
        <v>0</v>
      </c>
      <c r="BM134" s="484">
        <f>AY134+BI134</f>
        <v>0</v>
      </c>
      <c r="BN134" s="484">
        <f t="shared" ca="1" si="1413"/>
        <v>0</v>
      </c>
      <c r="BO134" s="484">
        <f ca="1">BN134*$AE134</f>
        <v>0</v>
      </c>
      <c r="BP134" s="1340">
        <f t="shared" ca="1" si="1311"/>
        <v>0</v>
      </c>
      <c r="BQ134" s="1007" t="str">
        <f t="shared" ca="1" si="1312"/>
        <v/>
      </c>
      <c r="BR134" s="1007"/>
    </row>
    <row r="135" spans="1:70" ht="13.5" customHeight="1" collapsed="1" x14ac:dyDescent="0.2">
      <c r="A135" s="456"/>
      <c r="B135" s="456" t="s">
        <v>782</v>
      </c>
      <c r="C135" s="456"/>
      <c r="D135" s="457"/>
      <c r="E135" s="458"/>
      <c r="F135" s="456"/>
      <c r="G135" s="459"/>
      <c r="H135" s="1686"/>
      <c r="I135" s="1686"/>
      <c r="J135" s="1686"/>
      <c r="K135" s="1686"/>
      <c r="L135" s="1686"/>
      <c r="M135" s="455"/>
      <c r="N135" s="1051">
        <f>SUM(N$136)</f>
        <v>0</v>
      </c>
      <c r="O135" s="1330" cm="1">
        <f t="array" aca="1" ref="O135" ca="1">SUM(IF($AF$14:$BQ$14="I_ctrlv",AF135:BQ135))</f>
        <v>0</v>
      </c>
      <c r="P135" s="461">
        <f t="shared" ca="1" si="1307"/>
        <v>0</v>
      </c>
      <c r="Q135" s="462"/>
      <c r="R135" s="462"/>
      <c r="S135" s="904"/>
      <c r="T135" s="462"/>
      <c r="U135" s="455"/>
      <c r="V135" s="462">
        <f ca="1">COUNTIF(V136,"&lt;&gt;0")</f>
        <v>0</v>
      </c>
      <c r="W135" s="1330"/>
      <c r="X135" s="1331"/>
      <c r="Y135" s="1331"/>
      <c r="Z135" s="1331"/>
      <c r="AA135" s="1332"/>
      <c r="AB135" s="456"/>
      <c r="AC135" s="465"/>
      <c r="AD135" s="1333"/>
      <c r="AE135" s="466"/>
      <c r="AF135" s="467"/>
      <c r="AG135" s="456"/>
      <c r="AH135" s="1334"/>
      <c r="AI135" s="456"/>
      <c r="AJ135" s="469">
        <f ca="1">SUM(AJ$136)</f>
        <v>0</v>
      </c>
      <c r="AK135" s="470">
        <f ca="1">IFERROR(AJ135/AF$4,0)</f>
        <v>0</v>
      </c>
      <c r="AL135" s="471"/>
      <c r="AM135" s="456"/>
      <c r="AN135" s="469">
        <f ca="1">SUM(AN$136)</f>
        <v>0</v>
      </c>
      <c r="AO135" s="472">
        <f ca="1">IFERROR(AN135/AF$4,0)</f>
        <v>0</v>
      </c>
      <c r="AP135" s="471"/>
      <c r="AQ135" s="456"/>
      <c r="AR135" s="469">
        <f ca="1">SUM(AR$136)</f>
        <v>0</v>
      </c>
      <c r="AS135" s="472">
        <f ca="1">IFERROR(AR135/AF$4,0)</f>
        <v>0</v>
      </c>
      <c r="AT135" s="456"/>
      <c r="AU135" s="456"/>
      <c r="AV135" s="469">
        <f ca="1">SUM(AV$136)</f>
        <v>0</v>
      </c>
      <c r="AW135" s="470">
        <f ca="1">IFERROR(AV135/AF$4,0)</f>
        <v>0</v>
      </c>
      <c r="AX135" s="1007" t="str">
        <f t="shared" ca="1" si="936"/>
        <v/>
      </c>
      <c r="AY135" s="1335"/>
      <c r="AZ135" s="456"/>
      <c r="BA135" s="1334"/>
      <c r="BB135" s="456"/>
      <c r="BC135" s="469">
        <f ca="1">SUM(BC$136)</f>
        <v>0</v>
      </c>
      <c r="BD135" s="470">
        <f ca="1">IFERROR(BC135/AY$4,0)</f>
        <v>0</v>
      </c>
      <c r="BE135" s="471"/>
      <c r="BF135" s="456"/>
      <c r="BG135" s="469">
        <f ca="1">SUM(BG$136)</f>
        <v>0</v>
      </c>
      <c r="BH135" s="472">
        <f ca="1">IFERROR(BG135/AY$4,0)</f>
        <v>0</v>
      </c>
      <c r="BI135" s="1336"/>
      <c r="BJ135" s="456"/>
      <c r="BK135" s="469">
        <f ca="1">SUM(BK$136)</f>
        <v>0</v>
      </c>
      <c r="BL135" s="472">
        <f ca="1">IFERROR(BK135/AY$4,0)</f>
        <v>0</v>
      </c>
      <c r="BM135" s="456"/>
      <c r="BN135" s="456"/>
      <c r="BO135" s="469">
        <f ca="1">SUM(BO$136)</f>
        <v>0</v>
      </c>
      <c r="BP135" s="914">
        <f t="shared" ca="1" si="1311"/>
        <v>0</v>
      </c>
      <c r="BQ135" s="1007" t="str">
        <f t="shared" ca="1" si="1312"/>
        <v/>
      </c>
      <c r="BR135" s="1007"/>
    </row>
    <row r="136" spans="1:70" ht="13.5" hidden="1" customHeight="1" outlineLevel="1" x14ac:dyDescent="0.2">
      <c r="A136" s="478"/>
      <c r="B136" s="478"/>
      <c r="C136" s="478" t="str">
        <f ca="1">OFFSET(Origine,MATCH($F136,Descrizioni,0),MATCH(C$14,Intestazioni,0)-1,1,1)</f>
        <v>IE00BSJCQV56:EUR</v>
      </c>
      <c r="D136" s="479" t="str">
        <f ca="1">OFFSET(Origine,MATCH($F136,Descrizioni,0),MATCH(D$14,Intestazioni,0)-1,1,1)</f>
        <v>IE00BSJCQV56</v>
      </c>
      <c r="E136" s="480" t="str">
        <f ca="1">OFFSET(Origine,MATCH($F136,Descrizioni,0),MATCH(E$14,Intestazioni,0)-1,1,1)</f>
        <v>29091268</v>
      </c>
      <c r="F136" s="478" t="s">
        <v>783</v>
      </c>
      <c r="G136" s="481"/>
      <c r="H136" s="1723" t="str">
        <f ca="1">HYPERLINK(OFFSET(Origine,MATCH($F136,Descrizioni,0),MATCH(H$14,Intestazioni,0)-1,1,1),"")</f>
        <v></v>
      </c>
      <c r="I136" s="1687" t="str">
        <f ca="1">HYPERLINK(OFFSET(Origine,MATCH($F136,Descrizioni,0),MATCH(I$14,Intestazioni,0)-1,1,1),"i")</f>
        <v>i</v>
      </c>
      <c r="J136" s="1723" t="str">
        <f ca="1">HYPERLINK(OFFSET(Origine,MATCH($F136,Descrizioni,0),MATCH(J$14,Intestazioni,0)-1,1,1),"")</f>
        <v></v>
      </c>
      <c r="K136" s="1724" t="str">
        <f ca="1">HYPERLINK(OFFSET(Origine,MATCH($F136,Descrizioni,0),MATCH(K$14,Intestazioni,0)-1,1,1),"")</f>
        <v></v>
      </c>
      <c r="L136" s="1726" t="str">
        <f ca="1">IFERROR(HYPERLINK("https://www.zonebourse.com/mods_a/charts/TV/inc_dyna_graph.php?c="&amp;OFFSET(Origine,MATCH($F136,Descrizioni,0),MATCH(L$14,Intestazioni,0)-1,1,1)&amp;"&amp;style=TradingView.CANDLES&amp;showAT=1",""),"")</f>
        <v></v>
      </c>
      <c r="M136" s="477" t="str">
        <f ca="1">(OFFSET(Origine,MATCH($F136,Descrizioni,0),MATCH(M$14,Intestazioni,0)-1,1,1))</f>
        <v>Unit</v>
      </c>
      <c r="N136" s="1055"/>
      <c r="O136" s="1337" cm="1">
        <f t="array" aca="1" ref="O136" ca="1">SUM(IF($AF$14:$BQ$14="I_ctrlv",AF136:BQ136))</f>
        <v>0</v>
      </c>
      <c r="P136" s="483">
        <f t="shared" ca="1" si="1307"/>
        <v>0</v>
      </c>
      <c r="Q136" s="484">
        <f t="array" aca="1" ref="Q136" ca="1">SUM(IF($AF$14:$BQ$14="I_pos",AF136:BQ136))</f>
        <v>0</v>
      </c>
      <c r="R136" s="484">
        <f t="array" aca="1" ref="R136" ca="1">SUM(IF($AF$14:$BQ$14="P_Pos",AF136:BQ136))</f>
        <v>0</v>
      </c>
      <c r="S136" s="661"/>
      <c r="T136" s="484"/>
      <c r="U136" s="477"/>
      <c r="V136" s="484">
        <f t="array" aca="1" ref="V136" ca="1">SUM(IF($AF$14:$BQ$14="O_Pos",AF136:BQ136))</f>
        <v>0</v>
      </c>
      <c r="W136" s="1337"/>
      <c r="X136" s="1338">
        <f t="shared" ref="X136:AA136" ca="1" si="1479">OFFSET(Origine,MATCH($F136,Descrizioni,0),MATCH(X$14,Intestazioni,0)-1,1,1)</f>
        <v>0</v>
      </c>
      <c r="Y136" s="1338">
        <f t="shared" ca="1" si="1479"/>
        <v>0</v>
      </c>
      <c r="Z136" s="1338">
        <f t="shared" ca="1" si="1479"/>
        <v>0</v>
      </c>
      <c r="AA136" s="1339">
        <f t="shared" ca="1" si="1479"/>
        <v>0</v>
      </c>
      <c r="AB136" s="478" t="str">
        <f ca="1">OFFSET(Origine,MATCH($F136,Descrizioni,0),MATCH(AB$14,Intestazioni,0)-1,1,1)</f>
        <v>EUR</v>
      </c>
      <c r="AC136" s="486">
        <f ca="1">_xlfn.NUMBERVALUE(OFFSET(Origine,MATCH($F136,Descrizioni,0),MATCH(AC$14,Intestazioni,0)-1,1,1))</f>
        <v>31.88</v>
      </c>
      <c r="AD136" s="487">
        <f ca="1">_xlfn.NUMBERVALUE(OFFSET(Origine,MATCH($F136,Descrizioni,0),MATCH(AD$14,Intestazioni,0)-1,1,1))</f>
        <v>0</v>
      </c>
      <c r="AE136" s="488">
        <f ca="1">_xlfn.NUMBERVALUE(OFFSET(Origine,MATCH(AB136&amp;"/"&amp;MRif,LUKB_Name,0),MATCH("Price",Intestazioni,0)-1,1,1))</f>
        <v>0.90754999999999997</v>
      </c>
      <c r="AF136" s="214"/>
      <c r="AG136" s="312" t="str">
        <f ca="1">IFERROR($AC136/AH136-1,"")</f>
        <v/>
      </c>
      <c r="AH136" s="1254"/>
      <c r="AI136" s="199">
        <f ca="1">AF136*$AC136</f>
        <v>0</v>
      </c>
      <c r="AJ136" s="199">
        <f ca="1">AI136*$AE136</f>
        <v>0</v>
      </c>
      <c r="AK136" s="216">
        <f ca="1">IFERROR(AJ136/AF$4,0)</f>
        <v>0</v>
      </c>
      <c r="AL136" s="202">
        <f ca="1">AM136/$AC136</f>
        <v>0</v>
      </c>
      <c r="AM136" s="203">
        <f ca="1">AN136/$AE136</f>
        <v>0</v>
      </c>
      <c r="AN136" s="203">
        <f ca="1">AO136*AF$4</f>
        <v>0</v>
      </c>
      <c r="AO136" s="204">
        <f ca="1">$N136-AK136</f>
        <v>0</v>
      </c>
      <c r="AP136" s="205"/>
      <c r="AQ136" s="206">
        <f ca="1">AP136*$AC136</f>
        <v>0</v>
      </c>
      <c r="AR136" s="206">
        <f ca="1">AQ136*$AE136</f>
        <v>0</v>
      </c>
      <c r="AS136" s="207">
        <f ca="1">IFERROR(AR136/AF$4,0)</f>
        <v>0</v>
      </c>
      <c r="AT136" s="484">
        <f>AF136+AP136</f>
        <v>0</v>
      </c>
      <c r="AU136" s="484">
        <f t="shared" ca="1" si="1412"/>
        <v>0</v>
      </c>
      <c r="AV136" s="484">
        <f ca="1">AU136*$AE136</f>
        <v>0</v>
      </c>
      <c r="AW136" s="490">
        <f ca="1">IFERROR(AV136/AF$4,0)</f>
        <v>0</v>
      </c>
      <c r="AX136" s="1007" t="str">
        <f t="shared" ca="1" si="936"/>
        <v/>
      </c>
      <c r="AY136" s="1255"/>
      <c r="AZ136" s="312" t="str">
        <f ca="1">IFERROR($AC136/BA136-1,"")</f>
        <v/>
      </c>
      <c r="BA136" s="1254"/>
      <c r="BB136" s="199">
        <f ca="1">AY136*$AC136</f>
        <v>0</v>
      </c>
      <c r="BC136" s="199">
        <f ca="1">BB136*$AE136</f>
        <v>0</v>
      </c>
      <c r="BD136" s="216">
        <f ca="1">IFERROR(BC136/AY$4,0)</f>
        <v>0</v>
      </c>
      <c r="BE136" s="202">
        <f ca="1">BF136/$AC136</f>
        <v>0</v>
      </c>
      <c r="BF136" s="203">
        <f ca="1">BG136/$AE136</f>
        <v>0</v>
      </c>
      <c r="BG136" s="203">
        <f ca="1">BH136*AY$4</f>
        <v>0</v>
      </c>
      <c r="BH136" s="204">
        <f ca="1">$N136-BD136</f>
        <v>0</v>
      </c>
      <c r="BI136" s="1253"/>
      <c r="BJ136" s="206">
        <f ca="1">BI136*$AC136</f>
        <v>0</v>
      </c>
      <c r="BK136" s="206">
        <f ca="1">BJ136*$AE136</f>
        <v>0</v>
      </c>
      <c r="BL136" s="207">
        <f ca="1">IFERROR(BK136/AY$4,0)</f>
        <v>0</v>
      </c>
      <c r="BM136" s="484">
        <f>AY136+BI136</f>
        <v>0</v>
      </c>
      <c r="BN136" s="484">
        <f t="shared" ca="1" si="1413"/>
        <v>0</v>
      </c>
      <c r="BO136" s="484">
        <f ca="1">BN136*$AE136</f>
        <v>0</v>
      </c>
      <c r="BP136" s="1340">
        <f t="shared" ca="1" si="1311"/>
        <v>0</v>
      </c>
      <c r="BQ136" s="1007" t="str">
        <f t="shared" ca="1" si="1312"/>
        <v/>
      </c>
      <c r="BR136" s="1007"/>
    </row>
    <row r="137" spans="1:70" ht="13.5" customHeight="1" x14ac:dyDescent="0.2">
      <c r="A137" s="492" t="s">
        <v>393</v>
      </c>
      <c r="B137" s="492"/>
      <c r="C137" s="492"/>
      <c r="D137" s="493"/>
      <c r="E137" s="494"/>
      <c r="F137" s="492"/>
      <c r="G137" s="495"/>
      <c r="H137" s="1727"/>
      <c r="I137" s="1688"/>
      <c r="J137" s="1688"/>
      <c r="K137" s="1688"/>
      <c r="L137" s="1688"/>
      <c r="M137" s="491"/>
      <c r="N137" s="1341">
        <f>SUMIF($B$138:$B$161,"&gt;A",$N$138:$N$161)</f>
        <v>0.15</v>
      </c>
      <c r="O137" s="1342" cm="1">
        <f t="array" aca="1" ref="O137" ca="1">SUM(IF($AF$14:$BQ$14="I_ctrlv",AF137:BQ137))</f>
        <v>2614611.6380400099</v>
      </c>
      <c r="P137" s="498">
        <f t="shared" ca="1" si="1307"/>
        <v>0.3991927833567373</v>
      </c>
      <c r="Q137" s="499"/>
      <c r="R137" s="499"/>
      <c r="S137" s="1059"/>
      <c r="T137" s="499"/>
      <c r="U137" s="491"/>
      <c r="V137" s="499">
        <f ca="1">SUM(V138,V153,V156,V159)</f>
        <v>0</v>
      </c>
      <c r="W137" s="1342"/>
      <c r="X137" s="1343"/>
      <c r="Y137" s="1343"/>
      <c r="Z137" s="1343"/>
      <c r="AA137" s="1344"/>
      <c r="AB137" s="492"/>
      <c r="AC137" s="501"/>
      <c r="AD137" s="1345"/>
      <c r="AE137" s="502"/>
      <c r="AF137" s="503"/>
      <c r="AG137" s="492"/>
      <c r="AH137" s="1346"/>
      <c r="AI137" s="492"/>
      <c r="AJ137" s="499">
        <f ca="1">SUMIF($B$138:$B$161,"&gt;A",AJ$138:AJ$161)</f>
        <v>2614611.6380400099</v>
      </c>
      <c r="AK137" s="505">
        <f t="shared" ref="AK137" ca="1" si="1480">IFERROR(AJ137/AF$4,0)</f>
        <v>0.44754161830268657</v>
      </c>
      <c r="AL137" s="506"/>
      <c r="AM137" s="492"/>
      <c r="AN137" s="499">
        <f ca="1">SUMIF($B$138:$B$161,"&gt;A",AN$138:AN$161)</f>
        <v>-1738287.0021471542</v>
      </c>
      <c r="AO137" s="507">
        <f ca="1">IFERROR(AN137/AF$4,0)</f>
        <v>-0.29754161830268666</v>
      </c>
      <c r="AP137" s="508"/>
      <c r="AQ137" s="496"/>
      <c r="AR137" s="499">
        <f ca="1">SUMIF($B$138:$B$161,"&gt;A",AR$138:AR$161)</f>
        <v>0</v>
      </c>
      <c r="AS137" s="507">
        <f t="shared" ref="AS137" ca="1" si="1481">IFERROR(AR137/AF$4,0)</f>
        <v>0</v>
      </c>
      <c r="AT137" s="496"/>
      <c r="AU137" s="496"/>
      <c r="AV137" s="499">
        <f ca="1">SUMIF($B$138:$B$161,"&gt;A",AV$138:AV$161)</f>
        <v>2614611.6380400099</v>
      </c>
      <c r="AW137" s="505">
        <f t="shared" ref="AW137" ca="1" si="1482">IFERROR(AV137/AF$4,0)</f>
        <v>0.44754161830268657</v>
      </c>
      <c r="AX137" s="1007" t="str">
        <f t="shared" ca="1" si="936"/>
        <v>V</v>
      </c>
      <c r="AY137" s="1347"/>
      <c r="AZ137" s="492"/>
      <c r="BA137" s="1346"/>
      <c r="BB137" s="492"/>
      <c r="BC137" s="499">
        <f ca="1">SUMIF($B$138:$B$161,"&gt;A",BC$138:BC$161)</f>
        <v>0</v>
      </c>
      <c r="BD137" s="505">
        <f t="shared" ref="BD137" ca="1" si="1483">IFERROR(BC137/AY$4,0)</f>
        <v>0</v>
      </c>
      <c r="BE137" s="506"/>
      <c r="BF137" s="492"/>
      <c r="BG137" s="499">
        <f ca="1">SUMIF($B$138:$B$161,"&gt;A",BG$138:BG$161)</f>
        <v>84909.902075037549</v>
      </c>
      <c r="BH137" s="507">
        <f ca="1">IFERROR(BG137/AY$4,0)</f>
        <v>0.12</v>
      </c>
      <c r="BI137" s="1348"/>
      <c r="BJ137" s="496"/>
      <c r="BK137" s="499">
        <f ca="1">SUMIF($B$138:$B$161,"&gt;A",BK$138:BK$161)</f>
        <v>0</v>
      </c>
      <c r="BL137" s="507">
        <f t="shared" ref="BL137" ca="1" si="1484">IFERROR(BK137/AY$4,0)</f>
        <v>0</v>
      </c>
      <c r="BM137" s="496"/>
      <c r="BN137" s="496"/>
      <c r="BO137" s="499">
        <f ca="1">SUMIF($B$138:$B$161,"&gt;A",BO$138:BO$161)</f>
        <v>0</v>
      </c>
      <c r="BP137" s="926">
        <f t="shared" ca="1" si="1311"/>
        <v>0</v>
      </c>
      <c r="BQ137" s="1007" t="str">
        <f ca="1">IF(OR(BD137&lt;&gt;0,BL137&lt;&gt;0),"V","")</f>
        <v/>
      </c>
      <c r="BR137" s="1007"/>
    </row>
    <row r="138" spans="1:70" ht="13.5" customHeight="1" collapsed="1" x14ac:dyDescent="0.2">
      <c r="A138" s="514"/>
      <c r="B138" s="514" t="s">
        <v>539</v>
      </c>
      <c r="C138" s="514"/>
      <c r="D138" s="515"/>
      <c r="E138" s="516"/>
      <c r="F138" s="514"/>
      <c r="G138" s="517"/>
      <c r="H138" s="1689"/>
      <c r="I138" s="1689"/>
      <c r="J138" s="1689"/>
      <c r="K138" s="1689"/>
      <c r="L138" s="1689"/>
      <c r="M138" s="513"/>
      <c r="N138" s="1063">
        <f>SUM(N$139:N$141)</f>
        <v>0</v>
      </c>
      <c r="O138" s="1349" cm="1">
        <f t="array" aca="1" ref="O138" ca="1">SUM(IF($AF$14:$BQ$14="I_ctrlv",AF138:BQ138))</f>
        <v>0</v>
      </c>
      <c r="P138" s="519">
        <f ca="1">SUMIF($AF$14:$BQ$14,"I_Ctrlv",$AF139:$BQ139)/$P$4</f>
        <v>0</v>
      </c>
      <c r="Q138" s="520"/>
      <c r="R138" s="520"/>
      <c r="S138" s="927"/>
      <c r="T138" s="520"/>
      <c r="U138" s="513"/>
      <c r="V138" s="520">
        <f ca="1">COUNTIF(V139:V147,"&lt;&gt;0")</f>
        <v>0</v>
      </c>
      <c r="W138" s="1349"/>
      <c r="X138" s="1350"/>
      <c r="Y138" s="1350"/>
      <c r="Z138" s="1350"/>
      <c r="AA138" s="1351"/>
      <c r="AB138" s="514"/>
      <c r="AC138" s="523"/>
      <c r="AD138" s="1352"/>
      <c r="AE138" s="524"/>
      <c r="AF138" s="525"/>
      <c r="AG138" s="514"/>
      <c r="AH138" s="1353"/>
      <c r="AI138" s="514"/>
      <c r="AJ138" s="527">
        <f ca="1">SUM(AJ139:AJ141)</f>
        <v>0</v>
      </c>
      <c r="AK138" s="528">
        <f ca="1">IFERROR(AJ139/AF$4,0)</f>
        <v>0</v>
      </c>
      <c r="AL138" s="529"/>
      <c r="AM138" s="514"/>
      <c r="AN138" s="527">
        <f ca="1">SUM(AN$139:AN$141)</f>
        <v>0</v>
      </c>
      <c r="AO138" s="530">
        <f ca="1">IFERROR(AN139/AF$4,0)</f>
        <v>0</v>
      </c>
      <c r="AP138" s="529"/>
      <c r="AQ138" s="514"/>
      <c r="AR138" s="527">
        <f ca="1">SUM(AR$139:AR$141)</f>
        <v>0</v>
      </c>
      <c r="AS138" s="530">
        <f ca="1">IFERROR(AR139/AF$4,0)</f>
        <v>0</v>
      </c>
      <c r="AT138" s="514"/>
      <c r="AU138" s="514"/>
      <c r="AV138" s="527">
        <f ca="1">SUM(AV$139:AV$141)</f>
        <v>0</v>
      </c>
      <c r="AW138" s="528">
        <f ca="1">IFERROR(AV139/AF$4,0)</f>
        <v>0</v>
      </c>
      <c r="AX138" s="1007" t="str">
        <f t="shared" ca="1" si="936"/>
        <v/>
      </c>
      <c r="AY138" s="1354"/>
      <c r="AZ138" s="514"/>
      <c r="BA138" s="1353"/>
      <c r="BB138" s="514"/>
      <c r="BC138" s="527">
        <f ca="1">SUM(BC$139:BC$141)</f>
        <v>0</v>
      </c>
      <c r="BD138" s="528">
        <f ca="1">IFERROR(BC139/AY$4,0)</f>
        <v>0</v>
      </c>
      <c r="BE138" s="529"/>
      <c r="BF138" s="514"/>
      <c r="BG138" s="527">
        <f ca="1">SUM(BG$139:BG$141)</f>
        <v>0</v>
      </c>
      <c r="BH138" s="530">
        <f ca="1">IFERROR(BG139/AY$4,0)</f>
        <v>0</v>
      </c>
      <c r="BI138" s="1355"/>
      <c r="BJ138" s="514"/>
      <c r="BK138" s="527">
        <f ca="1">SUM(BK$139:BK$141)</f>
        <v>0</v>
      </c>
      <c r="BL138" s="530">
        <f ca="1">IFERROR(BK139/AY$4,0)</f>
        <v>0</v>
      </c>
      <c r="BM138" s="514"/>
      <c r="BN138" s="514"/>
      <c r="BO138" s="527">
        <f ca="1">SUM(BO$139:BO$141)</f>
        <v>0</v>
      </c>
      <c r="BP138" s="937">
        <f ca="1">IFERROR(BO139/AY$4,0)</f>
        <v>0</v>
      </c>
      <c r="BQ138" s="1007" t="str">
        <f t="shared" ca="1" si="1312"/>
        <v/>
      </c>
      <c r="BR138" s="1007"/>
    </row>
    <row r="139" spans="1:70" ht="13.5" hidden="1" customHeight="1" outlineLevel="1" x14ac:dyDescent="0.2">
      <c r="A139" s="535"/>
      <c r="B139" s="535"/>
      <c r="C139" s="535" t="str">
        <f t="shared" ref="C139:E141" ca="1" si="1485">OFFSET(Origine,MATCH($F139,Descrizioni,0),MATCH(C$14,Intestazioni,0)-1,1,1)</f>
        <v>IE00BDFL4P12:USD</v>
      </c>
      <c r="D139" s="536" t="str">
        <f t="shared" ca="1" si="1485"/>
        <v>IE00BDFL4P12</v>
      </c>
      <c r="E139" s="537" t="str">
        <f t="shared" ca="1" si="1485"/>
        <v>36082553</v>
      </c>
      <c r="F139" s="535" t="s">
        <v>540</v>
      </c>
      <c r="G139" s="538"/>
      <c r="H139" s="1729" t="str">
        <f ca="1">HYPERLINK(OFFSET(Origine,MATCH($F139,Descrizioni,0),MATCH(H$14,Intestazioni,0)-1,1,1),"")</f>
        <v></v>
      </c>
      <c r="I139" s="1690" t="str">
        <f t="shared" ref="I139" ca="1" si="1486">HYPERLINK(OFFSET(Origine,MATCH($F139,Descrizioni,0),MATCH(I$14,Intestazioni,0)-1,1,1),"i")</f>
        <v>i</v>
      </c>
      <c r="J139" s="1729" t="str">
        <f t="shared" ref="J139:K139" ca="1" si="1487">HYPERLINK(OFFSET(Origine,MATCH($F139,Descrizioni,0),MATCH(J$14,Intestazioni,0)-1,1,1),"")</f>
        <v></v>
      </c>
      <c r="K139" s="1730" t="str">
        <f t="shared" ca="1" si="1487"/>
        <v></v>
      </c>
      <c r="L139" s="1731" t="str">
        <f ca="1">IFERROR(HYPERLINK("https://www.zonebourse.com/mods_a/charts/TV/inc_dyna_graph.php?c="&amp;OFFSET(Origine,MATCH($F139,Descrizioni,0),MATCH(L$14,Intestazioni,0)-1,1,1)&amp;"&amp;style=TradingView.CANDLES&amp;showAT=1",""),"")</f>
        <v></v>
      </c>
      <c r="M139" s="534" t="str">
        <f ca="1">(OFFSET(Origine,MATCH($F139,Descrizioni,0),MATCH(M$14,Intestazioni,0)-1,1,1))</f>
        <v>Unit</v>
      </c>
      <c r="N139" s="1066"/>
      <c r="O139" s="1356" cm="1">
        <f t="array" aca="1" ref="O139" ca="1">SUM(IF($AF$14:$BQ$14="I_ctrlv",AF139:BQ139))</f>
        <v>0</v>
      </c>
      <c r="P139" s="540">
        <f t="shared" ref="P139:P152" ca="1" si="1488">SUMIF($AF$14:$BQ$14,"I_Ctrlv",$AF139:$BQ139)/$P$4</f>
        <v>0</v>
      </c>
      <c r="Q139" s="541">
        <f t="array" aca="1" ref="Q139" ca="1">SUM(IF($AF$14:$BQ$14="I_pos",AF139:BQ139))</f>
        <v>0</v>
      </c>
      <c r="R139" s="541">
        <f t="array" aca="1" ref="R139" ca="1">SUM(IF($AF$14:$BQ$14="P_Pos",AF139:BQ139))</f>
        <v>0</v>
      </c>
      <c r="S139" s="1357"/>
      <c r="T139" s="541"/>
      <c r="U139" s="534"/>
      <c r="V139" s="541">
        <f t="array" aca="1" ref="V139" ca="1">SUM(IF($AF$14:$BQ$14="O_Pos",AF139:BQ139))</f>
        <v>0</v>
      </c>
      <c r="W139" s="1356"/>
      <c r="X139" s="1358">
        <f t="shared" ref="X139:AA139" ca="1" si="1489">OFFSET(Origine,MATCH($F139,Descrizioni,0),MATCH(X$14,Intestazioni,0)-1,1,1)</f>
        <v>0</v>
      </c>
      <c r="Y139" s="1358">
        <f t="shared" ca="1" si="1489"/>
        <v>0</v>
      </c>
      <c r="Z139" s="1358">
        <f t="shared" ca="1" si="1489"/>
        <v>0</v>
      </c>
      <c r="AA139" s="1359">
        <f t="shared" ca="1" si="1489"/>
        <v>0</v>
      </c>
      <c r="AB139" s="535" t="str">
        <f t="shared" ref="AB139" ca="1" si="1490">OFFSET(Origine,MATCH($F139,Descrizioni,0),MATCH(AB$14,Intestazioni,0)-1,1,1)</f>
        <v>USD</v>
      </c>
      <c r="AC139" s="543">
        <f t="shared" ref="AC139:AD141" ca="1" si="1491">_xlfn.NUMBERVALUE(OFFSET(Origine,MATCH($F139,Descrizioni,0),MATCH(AC$14,Intestazioni,0)-1,1,1))</f>
        <v>9.1724999999999994</v>
      </c>
      <c r="AD139" s="544">
        <f t="shared" ca="1" si="1491"/>
        <v>0</v>
      </c>
      <c r="AE139" s="545">
        <f ca="1">_xlfn.NUMBERVALUE(OFFSET(Origine,MATCH(AB139&amp;"/"&amp;MRif,LUKB_Name,0),MATCH("Price",Intestazioni,0)-1,1,1))</f>
        <v>0.78225</v>
      </c>
      <c r="AF139" s="214"/>
      <c r="AG139" s="312" t="str">
        <f t="shared" ref="AG139:AG141" ca="1" si="1492">IFERROR($AC139/AH139-1,"")</f>
        <v/>
      </c>
      <c r="AH139" s="1254"/>
      <c r="AI139" s="199">
        <f t="shared" ref="AI139:AI141" ca="1" si="1493">AF139*$AC139</f>
        <v>0</v>
      </c>
      <c r="AJ139" s="199">
        <f t="shared" ref="AJ139:AJ141" ca="1" si="1494">AI139*$AE139</f>
        <v>0</v>
      </c>
      <c r="AK139" s="216">
        <f t="shared" ref="AK139:AK157" ca="1" si="1495">IFERROR(AJ139/AF$4,0)</f>
        <v>0</v>
      </c>
      <c r="AL139" s="202">
        <f t="shared" ref="AL139:AL141" ca="1" si="1496">AM139/$AC139</f>
        <v>0</v>
      </c>
      <c r="AM139" s="203">
        <f t="shared" ref="AM139:AM141" ca="1" si="1497">AN139/$AE139</f>
        <v>0</v>
      </c>
      <c r="AN139" s="203">
        <f t="shared" ref="AN139:AN141" ca="1" si="1498">AO139*AF$4</f>
        <v>0</v>
      </c>
      <c r="AO139" s="204">
        <f t="shared" ref="AO139:AO141" ca="1" si="1499">$N139-AK139</f>
        <v>0</v>
      </c>
      <c r="AP139" s="205"/>
      <c r="AQ139" s="206">
        <f t="shared" ref="AQ139:AQ141" ca="1" si="1500">AP139*$AC139</f>
        <v>0</v>
      </c>
      <c r="AR139" s="206">
        <f t="shared" ref="AR139:AR141" ca="1" si="1501">AQ139*$AE139</f>
        <v>0</v>
      </c>
      <c r="AS139" s="207">
        <f t="shared" ref="AS139:AS157" ca="1" si="1502">IFERROR(AR139/AF$4,0)</f>
        <v>0</v>
      </c>
      <c r="AT139" s="541">
        <f>AF139+AP139</f>
        <v>0</v>
      </c>
      <c r="AU139" s="541">
        <f t="shared" ca="1" si="1412"/>
        <v>0</v>
      </c>
      <c r="AV139" s="541">
        <f t="shared" ref="AV139:AV141" ca="1" si="1503">AU139*$AE139</f>
        <v>0</v>
      </c>
      <c r="AW139" s="546">
        <f t="shared" ref="AW139:AW157" ca="1" si="1504">IFERROR(AV139/AF$4,0)</f>
        <v>0</v>
      </c>
      <c r="AX139" s="1007" t="str">
        <f t="shared" ca="1" si="936"/>
        <v/>
      </c>
      <c r="AY139" s="1255"/>
      <c r="AZ139" s="312" t="str">
        <f t="shared" ref="AZ139:AZ141" ca="1" si="1505">IFERROR($AC139/BA139-1,"")</f>
        <v/>
      </c>
      <c r="BA139" s="1254"/>
      <c r="BB139" s="199">
        <f t="shared" ref="BB139:BB141" ca="1" si="1506">AY139*$AC139</f>
        <v>0</v>
      </c>
      <c r="BC139" s="199">
        <f t="shared" ref="BC139:BC141" ca="1" si="1507">BB139*$AE139</f>
        <v>0</v>
      </c>
      <c r="BD139" s="216">
        <f t="shared" ref="BD139:BD157" ca="1" si="1508">IFERROR(BC139/AY$4,0)</f>
        <v>0</v>
      </c>
      <c r="BE139" s="202">
        <f t="shared" ref="BE139:BE141" ca="1" si="1509">BF139/$AC139</f>
        <v>0</v>
      </c>
      <c r="BF139" s="203">
        <f t="shared" ref="BF139:BF141" ca="1" si="1510">BG139/$AE139</f>
        <v>0</v>
      </c>
      <c r="BG139" s="203">
        <f t="shared" ref="BG139:BG141" ca="1" si="1511">BH139*AY$4</f>
        <v>0</v>
      </c>
      <c r="BH139" s="204">
        <f t="shared" ref="BH139:BH141" ca="1" si="1512">$N139-BD139</f>
        <v>0</v>
      </c>
      <c r="BI139" s="1253"/>
      <c r="BJ139" s="206">
        <f t="shared" ref="BJ139:BJ141" ca="1" si="1513">BI139*$AC139</f>
        <v>0</v>
      </c>
      <c r="BK139" s="206">
        <f t="shared" ref="BK139:BK141" ca="1" si="1514">BJ139*$AE139</f>
        <v>0</v>
      </c>
      <c r="BL139" s="207">
        <f t="shared" ref="BL139:BL157" ca="1" si="1515">IFERROR(BK139/AY$4,0)</f>
        <v>0</v>
      </c>
      <c r="BM139" s="541">
        <f>AY139+BI139</f>
        <v>0</v>
      </c>
      <c r="BN139" s="541">
        <f t="shared" ca="1" si="1413"/>
        <v>0</v>
      </c>
      <c r="BO139" s="541">
        <f t="shared" ref="BO139:BO141" ca="1" si="1516">BN139*$AE139</f>
        <v>0</v>
      </c>
      <c r="BP139" s="918">
        <f t="shared" ref="BP139:BP170" ca="1" si="1517">IFERROR(BO139/AY$4,0)</f>
        <v>0</v>
      </c>
      <c r="BQ139" s="1007" t="str">
        <f t="shared" ca="1" si="1312"/>
        <v/>
      </c>
      <c r="BR139" s="1007"/>
    </row>
    <row r="140" spans="1:70" ht="13.5" hidden="1" customHeight="1" outlineLevel="1" x14ac:dyDescent="0.2">
      <c r="A140" s="535"/>
      <c r="B140" s="535"/>
      <c r="C140" s="535" t="str">
        <f t="shared" ca="1" si="1485"/>
        <v>IE00B53H0131:USD</v>
      </c>
      <c r="D140" s="536" t="str">
        <f t="shared" ca="1" si="1485"/>
        <v>IE00B53H0131</v>
      </c>
      <c r="E140" s="537" t="str">
        <f t="shared" ca="1" si="1485"/>
        <v>11926603</v>
      </c>
      <c r="F140" s="535" t="s">
        <v>786</v>
      </c>
      <c r="G140" s="538"/>
      <c r="H140" s="1729" t="str">
        <f ca="1">HYPERLINK(OFFSET(Origine,MATCH($F140,Descrizioni,0),MATCH(H$14,Intestazioni,0)-1,1,1),"")</f>
        <v></v>
      </c>
      <c r="I140" s="1690" t="str">
        <f t="shared" ref="I140" ca="1" si="1518">HYPERLINK(OFFSET(Origine,MATCH($F140,Descrizioni,0),MATCH(I$14,Intestazioni,0)-1,1,1),"i")</f>
        <v>i</v>
      </c>
      <c r="J140" s="1729" t="str">
        <f t="shared" ref="J140:K140" ca="1" si="1519">HYPERLINK(OFFSET(Origine,MATCH($F140,Descrizioni,0),MATCH(J$14,Intestazioni,0)-1,1,1),"")</f>
        <v></v>
      </c>
      <c r="K140" s="1730" t="str">
        <f t="shared" ca="1" si="1519"/>
        <v></v>
      </c>
      <c r="L140" s="1731" t="str">
        <f ca="1">IFERROR(HYPERLINK("https://www.zonebourse.com/mods_a/charts/TV/inc_dyna_graph.php?c="&amp;OFFSET(Origine,MATCH($F140,Descrizioni,0),MATCH(L$14,Intestazioni,0)-1,1,1)&amp;"&amp;style=TradingView.CANDLES&amp;showAT=1",""),"")</f>
        <v></v>
      </c>
      <c r="M140" s="534" t="str">
        <f ca="1">(OFFSET(Origine,MATCH($F140,Descrizioni,0),MATCH(M$14,Intestazioni,0)-1,1,1))</f>
        <v>Unit</v>
      </c>
      <c r="N140" s="1066"/>
      <c r="O140" s="1356" cm="1">
        <f t="array" aca="1" ref="O140" ca="1">SUM(IF($AF$14:$BQ$14="I_ctrlv",AF140:BQ140))</f>
        <v>0</v>
      </c>
      <c r="P140" s="540">
        <f t="shared" ca="1" si="1488"/>
        <v>0</v>
      </c>
      <c r="Q140" s="541">
        <f t="array" aca="1" ref="Q140" ca="1">SUM(IF($AF$14:$BQ$14="I_pos",AF140:BQ140))</f>
        <v>0</v>
      </c>
      <c r="R140" s="541">
        <f t="array" aca="1" ref="R140" ca="1">SUM(IF($AF$14:$BQ$14="P_Pos",AF140:BQ140))</f>
        <v>0</v>
      </c>
      <c r="S140" s="1357"/>
      <c r="T140" s="541"/>
      <c r="U140" s="534"/>
      <c r="V140" s="541">
        <f t="array" aca="1" ref="V140" ca="1">SUM(IF($AF$14:$BQ$14="O_Pos",AF140:BQ140))</f>
        <v>0</v>
      </c>
      <c r="W140" s="1356"/>
      <c r="X140" s="1358">
        <f t="shared" ref="X140:AA140" ca="1" si="1520">OFFSET(Origine,MATCH($F140,Descrizioni,0),MATCH(X$14,Intestazioni,0)-1,1,1)</f>
        <v>0</v>
      </c>
      <c r="Y140" s="1358">
        <f t="shared" ca="1" si="1520"/>
        <v>0</v>
      </c>
      <c r="Z140" s="1358">
        <f t="shared" ca="1" si="1520"/>
        <v>0</v>
      </c>
      <c r="AA140" s="1359">
        <f t="shared" ca="1" si="1520"/>
        <v>0</v>
      </c>
      <c r="AB140" s="535" t="str">
        <f t="shared" ref="AB140" ca="1" si="1521">OFFSET(Origine,MATCH($F140,Descrizioni,0),MATCH(AB$14,Intestazioni,0)-1,1,1)</f>
        <v>USD</v>
      </c>
      <c r="AC140" s="543">
        <f t="shared" ref="AC140" ca="1" si="1522">_xlfn.NUMBERVALUE(OFFSET(Origine,MATCH($F140,Descrizioni,0),MATCH(AC$14,Intestazioni,0)-1,1,1))</f>
        <v>126.5</v>
      </c>
      <c r="AD140" s="544">
        <f t="shared" ca="1" si="1491"/>
        <v>0</v>
      </c>
      <c r="AE140" s="545">
        <f ca="1">_xlfn.NUMBERVALUE(OFFSET(Origine,MATCH(AB140&amp;"/"&amp;MRif,LUKB_Name,0),MATCH("Price",Intestazioni,0)-1,1,1))</f>
        <v>0.78225</v>
      </c>
      <c r="AF140" s="214"/>
      <c r="AG140" s="312" t="str">
        <f t="shared" ca="1" si="1492"/>
        <v/>
      </c>
      <c r="AH140" s="1254"/>
      <c r="AI140" s="199">
        <f t="shared" ca="1" si="1493"/>
        <v>0</v>
      </c>
      <c r="AJ140" s="199">
        <f t="shared" ca="1" si="1494"/>
        <v>0</v>
      </c>
      <c r="AK140" s="216">
        <f t="shared" ca="1" si="1495"/>
        <v>0</v>
      </c>
      <c r="AL140" s="202">
        <f t="shared" ca="1" si="1496"/>
        <v>0</v>
      </c>
      <c r="AM140" s="203">
        <f t="shared" ca="1" si="1497"/>
        <v>0</v>
      </c>
      <c r="AN140" s="203">
        <f t="shared" ca="1" si="1498"/>
        <v>0</v>
      </c>
      <c r="AO140" s="204">
        <f t="shared" ca="1" si="1499"/>
        <v>0</v>
      </c>
      <c r="AP140" s="205"/>
      <c r="AQ140" s="206">
        <f t="shared" ca="1" si="1500"/>
        <v>0</v>
      </c>
      <c r="AR140" s="206">
        <f t="shared" ca="1" si="1501"/>
        <v>0</v>
      </c>
      <c r="AS140" s="207">
        <f t="shared" ca="1" si="1502"/>
        <v>0</v>
      </c>
      <c r="AT140" s="541">
        <f>AF140+AP140</f>
        <v>0</v>
      </c>
      <c r="AU140" s="541">
        <f t="shared" ca="1" si="1412"/>
        <v>0</v>
      </c>
      <c r="AV140" s="541">
        <f t="shared" ca="1" si="1503"/>
        <v>0</v>
      </c>
      <c r="AW140" s="546">
        <f t="shared" ca="1" si="1504"/>
        <v>0</v>
      </c>
      <c r="AX140" s="1007" t="str">
        <f t="shared" ca="1" si="936"/>
        <v/>
      </c>
      <c r="AY140" s="1255"/>
      <c r="AZ140" s="312" t="str">
        <f t="shared" ca="1" si="1505"/>
        <v/>
      </c>
      <c r="BA140" s="1254"/>
      <c r="BB140" s="199">
        <f t="shared" ca="1" si="1506"/>
        <v>0</v>
      </c>
      <c r="BC140" s="199">
        <f t="shared" ca="1" si="1507"/>
        <v>0</v>
      </c>
      <c r="BD140" s="216">
        <f t="shared" ca="1" si="1508"/>
        <v>0</v>
      </c>
      <c r="BE140" s="202">
        <f t="shared" ca="1" si="1509"/>
        <v>0</v>
      </c>
      <c r="BF140" s="203">
        <f t="shared" ca="1" si="1510"/>
        <v>0</v>
      </c>
      <c r="BG140" s="203">
        <f t="shared" ca="1" si="1511"/>
        <v>0</v>
      </c>
      <c r="BH140" s="204">
        <f t="shared" ca="1" si="1512"/>
        <v>0</v>
      </c>
      <c r="BI140" s="1253"/>
      <c r="BJ140" s="206">
        <f t="shared" ca="1" si="1513"/>
        <v>0</v>
      </c>
      <c r="BK140" s="206">
        <f t="shared" ca="1" si="1514"/>
        <v>0</v>
      </c>
      <c r="BL140" s="207">
        <f t="shared" ca="1" si="1515"/>
        <v>0</v>
      </c>
      <c r="BM140" s="541">
        <f>AY140+BI140</f>
        <v>0</v>
      </c>
      <c r="BN140" s="541">
        <f t="shared" ca="1" si="1413"/>
        <v>0</v>
      </c>
      <c r="BO140" s="541">
        <f t="shared" ca="1" si="1516"/>
        <v>0</v>
      </c>
      <c r="BP140" s="918">
        <f t="shared" ca="1" si="1517"/>
        <v>0</v>
      </c>
      <c r="BQ140" s="1007" t="str">
        <f t="shared" ca="1" si="1312"/>
        <v/>
      </c>
      <c r="BR140" s="1007"/>
    </row>
    <row r="141" spans="1:70" ht="13.5" hidden="1" customHeight="1" outlineLevel="1" x14ac:dyDescent="0.2">
      <c r="A141" s="535"/>
      <c r="B141" s="535"/>
      <c r="C141" s="535" t="str">
        <f t="shared" ca="1" si="1485"/>
        <v>IE00BFXR6159:USD</v>
      </c>
      <c r="D141" s="536" t="str">
        <f t="shared" ca="1" si="1485"/>
        <v>IE00BFXR6159</v>
      </c>
      <c r="E141" s="537" t="str">
        <f t="shared" ca="1" si="1485"/>
        <v>112547249</v>
      </c>
      <c r="F141" s="535" t="s">
        <v>787</v>
      </c>
      <c r="G141" s="538"/>
      <c r="H141" s="1729" t="str">
        <f ca="1">HYPERLINK(OFFSET(Origine,MATCH($F141,Descrizioni,0),MATCH(H$14,Intestazioni,0)-1,1,1),"")</f>
        <v></v>
      </c>
      <c r="I141" s="1690" t="str">
        <f t="shared" ref="I141" ca="1" si="1523">HYPERLINK(OFFSET(Origine,MATCH($F141,Descrizioni,0),MATCH(I$14,Intestazioni,0)-1,1,1),"i")</f>
        <v>i</v>
      </c>
      <c r="J141" s="1729" t="str">
        <f t="shared" ref="J141:K141" ca="1" si="1524">HYPERLINK(OFFSET(Origine,MATCH($F141,Descrizioni,0),MATCH(J$14,Intestazioni,0)-1,1,1),"")</f>
        <v></v>
      </c>
      <c r="K141" s="1730" t="str">
        <f t="shared" ca="1" si="1524"/>
        <v></v>
      </c>
      <c r="L141" s="1731" t="str">
        <f ca="1">IFERROR(HYPERLINK("https://www.zonebourse.com/mods_a/charts/TV/inc_dyna_graph.php?c="&amp;OFFSET(Origine,MATCH($F141,Descrizioni,0),MATCH(L$14,Intestazioni,0)-1,1,1)&amp;"&amp;style=TradingView.CANDLES&amp;showAT=1",""),"")</f>
        <v></v>
      </c>
      <c r="M141" s="534" t="str">
        <f ca="1">(OFFSET(Origine,MATCH($F141,Descrizioni,0),MATCH(M$14,Intestazioni,0)-1,1,1))</f>
        <v>Unit</v>
      </c>
      <c r="N141" s="1066"/>
      <c r="O141" s="1356" cm="1">
        <f t="array" aca="1" ref="O141" ca="1">SUM(IF($AF$14:$BQ$14="I_ctrlv",AF141:BQ141))</f>
        <v>0</v>
      </c>
      <c r="P141" s="540">
        <f t="shared" ca="1" si="1488"/>
        <v>0</v>
      </c>
      <c r="Q141" s="541">
        <f t="array" aca="1" ref="Q141" ca="1">SUM(IF($AF$14:$BQ$14="I_pos",AF141:BQ141))</f>
        <v>0</v>
      </c>
      <c r="R141" s="541">
        <f t="array" aca="1" ref="R141" ca="1">SUM(IF($AF$14:$BQ$14="P_Pos",AF141:BQ141))</f>
        <v>0</v>
      </c>
      <c r="S141" s="1357"/>
      <c r="T141" s="541"/>
      <c r="U141" s="534"/>
      <c r="V141" s="541">
        <f t="array" aca="1" ref="V141" ca="1">SUM(IF($AF$14:$BQ$14="O_Pos",AF141:BQ141))</f>
        <v>0</v>
      </c>
      <c r="W141" s="1356"/>
      <c r="X141" s="1358">
        <f t="shared" ref="X141:AA141" ca="1" si="1525">OFFSET(Origine,MATCH($F141,Descrizioni,0),MATCH(X$14,Intestazioni,0)-1,1,1)</f>
        <v>0</v>
      </c>
      <c r="Y141" s="1358">
        <f t="shared" ca="1" si="1525"/>
        <v>0</v>
      </c>
      <c r="Z141" s="1358">
        <f t="shared" ca="1" si="1525"/>
        <v>0</v>
      </c>
      <c r="AA141" s="1359">
        <f t="shared" ca="1" si="1525"/>
        <v>0</v>
      </c>
      <c r="AB141" s="535" t="str">
        <f t="shared" ref="AB141" ca="1" si="1526">OFFSET(Origine,MATCH($F141,Descrizioni,0),MATCH(AB$14,Intestazioni,0)-1,1,1)</f>
        <v>USD</v>
      </c>
      <c r="AC141" s="543">
        <f t="shared" ref="AC141" ca="1" si="1527">_xlfn.NUMBERVALUE(OFFSET(Origine,MATCH($F141,Descrizioni,0),MATCH(AC$14,Intestazioni,0)-1,1,1))</f>
        <v>16.881</v>
      </c>
      <c r="AD141" s="544">
        <f t="shared" ca="1" si="1491"/>
        <v>0</v>
      </c>
      <c r="AE141" s="545">
        <f ca="1">_xlfn.NUMBERVALUE(OFFSET(Origine,MATCH(AB141&amp;"/"&amp;MRif,LUKB_Name,0),MATCH("Price",Intestazioni,0)-1,1,1))</f>
        <v>0.78225</v>
      </c>
      <c r="AF141" s="214"/>
      <c r="AG141" s="312" t="str">
        <f t="shared" ca="1" si="1492"/>
        <v/>
      </c>
      <c r="AH141" s="1254"/>
      <c r="AI141" s="199">
        <f t="shared" ca="1" si="1493"/>
        <v>0</v>
      </c>
      <c r="AJ141" s="199">
        <f t="shared" ca="1" si="1494"/>
        <v>0</v>
      </c>
      <c r="AK141" s="216">
        <f t="shared" ca="1" si="1495"/>
        <v>0</v>
      </c>
      <c r="AL141" s="202">
        <f t="shared" ca="1" si="1496"/>
        <v>0</v>
      </c>
      <c r="AM141" s="203">
        <f t="shared" ca="1" si="1497"/>
        <v>0</v>
      </c>
      <c r="AN141" s="203">
        <f t="shared" ca="1" si="1498"/>
        <v>0</v>
      </c>
      <c r="AO141" s="204">
        <f t="shared" ca="1" si="1499"/>
        <v>0</v>
      </c>
      <c r="AP141" s="205"/>
      <c r="AQ141" s="206">
        <f t="shared" ca="1" si="1500"/>
        <v>0</v>
      </c>
      <c r="AR141" s="206">
        <f t="shared" ca="1" si="1501"/>
        <v>0</v>
      </c>
      <c r="AS141" s="207">
        <f t="shared" ca="1" si="1502"/>
        <v>0</v>
      </c>
      <c r="AT141" s="541">
        <f>AF141+AP141</f>
        <v>0</v>
      </c>
      <c r="AU141" s="541">
        <f t="shared" ca="1" si="1412"/>
        <v>0</v>
      </c>
      <c r="AV141" s="541">
        <f t="shared" ca="1" si="1503"/>
        <v>0</v>
      </c>
      <c r="AW141" s="546">
        <f t="shared" ca="1" si="1504"/>
        <v>0</v>
      </c>
      <c r="AX141" s="1007" t="str">
        <f t="shared" ca="1" si="936"/>
        <v/>
      </c>
      <c r="AY141" s="1255"/>
      <c r="AZ141" s="312" t="str">
        <f t="shared" ca="1" si="1505"/>
        <v/>
      </c>
      <c r="BA141" s="1254"/>
      <c r="BB141" s="199">
        <f t="shared" ca="1" si="1506"/>
        <v>0</v>
      </c>
      <c r="BC141" s="199">
        <f t="shared" ca="1" si="1507"/>
        <v>0</v>
      </c>
      <c r="BD141" s="216">
        <f t="shared" ca="1" si="1508"/>
        <v>0</v>
      </c>
      <c r="BE141" s="202">
        <f t="shared" ca="1" si="1509"/>
        <v>0</v>
      </c>
      <c r="BF141" s="203">
        <f t="shared" ca="1" si="1510"/>
        <v>0</v>
      </c>
      <c r="BG141" s="203">
        <f t="shared" ca="1" si="1511"/>
        <v>0</v>
      </c>
      <c r="BH141" s="204">
        <f t="shared" ca="1" si="1512"/>
        <v>0</v>
      </c>
      <c r="BI141" s="1253"/>
      <c r="BJ141" s="206">
        <f t="shared" ca="1" si="1513"/>
        <v>0</v>
      </c>
      <c r="BK141" s="206">
        <f t="shared" ca="1" si="1514"/>
        <v>0</v>
      </c>
      <c r="BL141" s="207">
        <f t="shared" ca="1" si="1515"/>
        <v>0</v>
      </c>
      <c r="BM141" s="541">
        <f>AY141+BI141</f>
        <v>0</v>
      </c>
      <c r="BN141" s="541">
        <f t="shared" ca="1" si="1413"/>
        <v>0</v>
      </c>
      <c r="BO141" s="541">
        <f t="shared" ca="1" si="1516"/>
        <v>0</v>
      </c>
      <c r="BP141" s="918">
        <f t="shared" ca="1" si="1517"/>
        <v>0</v>
      </c>
      <c r="BQ141" s="1007" t="str">
        <f t="shared" ca="1" si="1312"/>
        <v/>
      </c>
      <c r="BR141" s="1007"/>
    </row>
    <row r="142" spans="1:70" ht="13.5" customHeight="1" collapsed="1" x14ac:dyDescent="0.2">
      <c r="A142" s="514"/>
      <c r="B142" s="514" t="s">
        <v>901</v>
      </c>
      <c r="C142" s="514"/>
      <c r="D142" s="515"/>
      <c r="E142" s="516"/>
      <c r="F142" s="1360"/>
      <c r="G142" s="1361"/>
      <c r="H142" s="1689"/>
      <c r="I142" s="1689"/>
      <c r="J142" s="1689"/>
      <c r="K142" s="1689"/>
      <c r="L142" s="1689"/>
      <c r="M142" s="513"/>
      <c r="N142" s="1063">
        <f>SUM(N$143:N$152)</f>
        <v>0.06</v>
      </c>
      <c r="O142" s="1349" cm="1">
        <f t="array" aca="1" ref="O142" ca="1">SUM(IF($AF$14:$BQ$14="I_ctrlv",AF142:BQ142))</f>
        <v>2514387.8124150098</v>
      </c>
      <c r="P142" s="519">
        <f t="shared" ca="1" si="1488"/>
        <v>0.38389084431239962</v>
      </c>
      <c r="Q142" s="520"/>
      <c r="R142" s="520"/>
      <c r="S142" s="927"/>
      <c r="T142" s="520"/>
      <c r="U142" s="513"/>
      <c r="V142" s="520">
        <f ca="1">COUNTIF(V143:V152,"&lt;&gt;0")</f>
        <v>0</v>
      </c>
      <c r="W142" s="1349"/>
      <c r="X142" s="1350"/>
      <c r="Y142" s="1350"/>
      <c r="Z142" s="1350"/>
      <c r="AA142" s="1351"/>
      <c r="AB142" s="514"/>
      <c r="AC142" s="523"/>
      <c r="AD142" s="1352"/>
      <c r="AE142" s="524"/>
      <c r="AF142" s="525"/>
      <c r="AG142" s="514"/>
      <c r="AH142" s="1353"/>
      <c r="AI142" s="514"/>
      <c r="AJ142" s="527">
        <f ca="1">SUM(AJ$143:AJ$152)</f>
        <v>2514387.8124150098</v>
      </c>
      <c r="AK142" s="528">
        <f t="shared" ca="1" si="1495"/>
        <v>0.43038636187373452</v>
      </c>
      <c r="AL142" s="529"/>
      <c r="AM142" s="514"/>
      <c r="AN142" s="527">
        <f ca="1">SUM(AN$143:AN$152)</f>
        <v>-2163857.9580578678</v>
      </c>
      <c r="AO142" s="530">
        <f ca="1">IFERROR(AN142/AF$4,0)</f>
        <v>-0.37038636187373458</v>
      </c>
      <c r="AP142" s="529"/>
      <c r="AQ142" s="514"/>
      <c r="AR142" s="527">
        <f ca="1">SUM(AR$143:AR$152)</f>
        <v>0</v>
      </c>
      <c r="AS142" s="530">
        <f t="shared" ca="1" si="1502"/>
        <v>0</v>
      </c>
      <c r="AT142" s="514"/>
      <c r="AU142" s="514"/>
      <c r="AV142" s="527">
        <f ca="1">SUM(AV$143:AV$152)</f>
        <v>2514387.8124150098</v>
      </c>
      <c r="AW142" s="528">
        <f t="shared" ca="1" si="1504"/>
        <v>0.43038636187373452</v>
      </c>
      <c r="AX142" s="1007" t="str">
        <f t="shared" ca="1" si="936"/>
        <v>V</v>
      </c>
      <c r="AY142" s="1354"/>
      <c r="AZ142" s="514"/>
      <c r="BA142" s="1353"/>
      <c r="BB142" s="514"/>
      <c r="BC142" s="527">
        <f ca="1">SUM(BC$143:BC$152)</f>
        <v>0</v>
      </c>
      <c r="BD142" s="528">
        <f t="shared" ca="1" si="1508"/>
        <v>0</v>
      </c>
      <c r="BE142" s="529"/>
      <c r="BF142" s="514"/>
      <c r="BG142" s="527">
        <f ca="1">SUM(BG$143:BG$152)</f>
        <v>42454.951037518775</v>
      </c>
      <c r="BH142" s="530">
        <f ca="1">IFERROR(BG142/AY$4,0)</f>
        <v>0.06</v>
      </c>
      <c r="BI142" s="1355"/>
      <c r="BJ142" s="514"/>
      <c r="BK142" s="527">
        <f ca="1">SUM(BK$143:BK$152)</f>
        <v>0</v>
      </c>
      <c r="BL142" s="530">
        <f t="shared" ca="1" si="1515"/>
        <v>0</v>
      </c>
      <c r="BM142" s="514"/>
      <c r="BN142" s="514"/>
      <c r="BO142" s="527">
        <f ca="1">SUM(BO$143:BO$152)</f>
        <v>0</v>
      </c>
      <c r="BP142" s="937">
        <f t="shared" ca="1" si="1517"/>
        <v>0</v>
      </c>
      <c r="BQ142" s="1007" t="str">
        <f ca="1">IF(OR(BD142&lt;&gt;0,BL142&lt;&gt;0),"V","")</f>
        <v/>
      </c>
      <c r="BR142" s="1007"/>
    </row>
    <row r="143" spans="1:70" ht="13.5" hidden="1" customHeight="1" outlineLevel="1" x14ac:dyDescent="0.2">
      <c r="A143" s="535"/>
      <c r="B143" s="535"/>
      <c r="C143" s="535" t="str">
        <f t="shared" ref="C143:C152" ca="1" si="1528">OFFSET(Origine,MATCH($F143,Descrizioni,0),MATCH(C$14,Intestazioni,0)-1,1,1)</f>
        <v>CH0106027128:CHF</v>
      </c>
      <c r="D143" s="536" t="str">
        <f t="shared" ref="D143:E152" ca="1" si="1529">OFFSET(Origine,MATCH($F143,Descrizioni,0),MATCH(D$14,Intestazioni,0)-1,1,1)</f>
        <v>CH0106027128</v>
      </c>
      <c r="E143" s="537" t="str">
        <f t="shared" ca="1" si="1529"/>
        <v>10602712</v>
      </c>
      <c r="F143" s="535" t="s">
        <v>396</v>
      </c>
      <c r="G143" s="538"/>
      <c r="H143" s="1729" t="str">
        <f t="shared" ref="H143:H152" ca="1" si="1530">HYPERLINK(OFFSET(Origine,MATCH($F143,Descrizioni,0),MATCH(H$14,Intestazioni,0)-1,1,1),"")</f>
        <v></v>
      </c>
      <c r="I143" s="1690" t="str">
        <f t="shared" ref="I143" ca="1" si="1531">HYPERLINK(OFFSET(Origine,MATCH($F143,Descrizioni,0),MATCH(I$14,Intestazioni,0)-1,1,1),"i")</f>
        <v>i</v>
      </c>
      <c r="J143" s="1729" t="str">
        <f t="shared" ref="J143:K143" ca="1" si="1532">HYPERLINK(OFFSET(Origine,MATCH($F143,Descrizioni,0),MATCH(J$14,Intestazioni,0)-1,1,1),"")</f>
        <v></v>
      </c>
      <c r="K143" s="1730" t="str">
        <f t="shared" ca="1" si="1532"/>
        <v></v>
      </c>
      <c r="L143" s="1731" t="str">
        <f t="shared" ref="L143:L152" ca="1" si="1533">IFERROR(HYPERLINK("https://www.zonebourse.com/mods_a/charts/TV/inc_dyna_graph.php?c="&amp;OFFSET(Origine,MATCH($F143,Descrizioni,0),MATCH(L$14,Intestazioni,0)-1,1,1)&amp;"&amp;style=TradingView.CANDLES&amp;showAT=1",""),"")</f>
        <v></v>
      </c>
      <c r="M143" s="534" t="str">
        <f t="shared" ref="M143:M152" ca="1" si="1534">(OFFSET(Origine,MATCH($F143,Descrizioni,0),MATCH(M$14,Intestazioni,0)-1,1,1))</f>
        <v>Unit</v>
      </c>
      <c r="N143" s="1066">
        <v>0.03</v>
      </c>
      <c r="O143" s="1356" cm="1">
        <f t="array" aca="1" ref="O143" ca="1">SUM(IF($AF$14:$BQ$14="I_ctrlv",AF143:BQ143))</f>
        <v>0</v>
      </c>
      <c r="P143" s="540">
        <f t="shared" ca="1" si="1488"/>
        <v>0</v>
      </c>
      <c r="Q143" s="541">
        <f t="array" aca="1" ref="Q143" ca="1">SUM(IF($AF$14:$BQ$14="I_pos",AF143:BQ143))</f>
        <v>0</v>
      </c>
      <c r="R143" s="541">
        <f t="array" aca="1" ref="R143" ca="1">SUM(IF($AF$14:$BQ$14="P_Pos",AF143:BQ143))</f>
        <v>1167.9290130368615</v>
      </c>
      <c r="S143" s="1357"/>
      <c r="T143" s="541"/>
      <c r="U143" s="534"/>
      <c r="V143" s="541">
        <f t="array" aca="1" ref="V143" ca="1">SUM(IF($AF$14:$BQ$14="O_Pos",AF143:BQ143))</f>
        <v>0</v>
      </c>
      <c r="W143" s="1356"/>
      <c r="X143" s="1358">
        <f t="shared" ref="X143:AA143" ca="1" si="1535">OFFSET(Origine,MATCH($F143,Descrizioni,0),MATCH(X$14,Intestazioni,0)-1,1,1)</f>
        <v>0</v>
      </c>
      <c r="Y143" s="1358">
        <f t="shared" ca="1" si="1535"/>
        <v>0</v>
      </c>
      <c r="Z143" s="1358">
        <f t="shared" ca="1" si="1535"/>
        <v>0</v>
      </c>
      <c r="AA143" s="1359">
        <f t="shared" ca="1" si="1535"/>
        <v>0</v>
      </c>
      <c r="AB143" s="535" t="str">
        <f t="shared" ref="AB143" ca="1" si="1536">OFFSET(Origine,MATCH($F143,Descrizioni,0),MATCH(AB$14,Intestazioni,0)-1,1,1)</f>
        <v>CHF</v>
      </c>
      <c r="AC143" s="543">
        <f t="shared" ref="AC143:AD152" ca="1" si="1537">_xlfn.NUMBERVALUE(OFFSET(Origine,MATCH($F143,Descrizioni,0),MATCH(AC$14,Intestazioni,0)-1,1,1))</f>
        <v>168.24</v>
      </c>
      <c r="AD143" s="544">
        <f t="shared" ca="1" si="1537"/>
        <v>0</v>
      </c>
      <c r="AE143" s="545">
        <f t="shared" ref="AE143:AE152" ca="1" si="1538">_xlfn.NUMBERVALUE(OFFSET(Origine,MATCH(AB143&amp;"/"&amp;MRif,LUKB_Name,0),MATCH("Price",Intestazioni,0)-1,1,1))</f>
        <v>1.0000001300000001</v>
      </c>
      <c r="AF143" s="214"/>
      <c r="AG143" s="312" t="str">
        <f t="shared" ref="AG143:AG152" ca="1" si="1539">IFERROR($AC143/AH143-1,"")</f>
        <v/>
      </c>
      <c r="AH143" s="1254"/>
      <c r="AI143" s="199">
        <f t="shared" ref="AI143:AI152" ca="1" si="1540">AF143*$AC143</f>
        <v>0</v>
      </c>
      <c r="AJ143" s="199">
        <f t="shared" ref="AJ143:AJ152" ca="1" si="1541">AI143*$AE143</f>
        <v>0</v>
      </c>
      <c r="AK143" s="216">
        <f t="shared" ca="1" si="1495"/>
        <v>0</v>
      </c>
      <c r="AL143" s="202">
        <f t="shared" ref="AL143:AL144" ca="1" si="1542">AM143/$AC143</f>
        <v>1041.7552567411653</v>
      </c>
      <c r="AM143" s="203">
        <f t="shared" ref="AM143:AM144" ca="1" si="1543">AN143/$AE143</f>
        <v>175264.90439413366</v>
      </c>
      <c r="AN143" s="203">
        <f t="shared" ref="AN143:AN152" ca="1" si="1544">AO143*AF$4</f>
        <v>175264.92717857123</v>
      </c>
      <c r="AO143" s="204">
        <f t="shared" ref="AO143:AO144" ca="1" si="1545">$N143-AK143</f>
        <v>0.03</v>
      </c>
      <c r="AP143" s="205"/>
      <c r="AQ143" s="206">
        <f t="shared" ref="AQ143:AQ152" ca="1" si="1546">AP143*$AC143</f>
        <v>0</v>
      </c>
      <c r="AR143" s="206">
        <f t="shared" ref="AR143:AR152" ca="1" si="1547">AQ143*$AE143</f>
        <v>0</v>
      </c>
      <c r="AS143" s="207">
        <f t="shared" ca="1" si="1502"/>
        <v>0</v>
      </c>
      <c r="AT143" s="541">
        <f t="shared" ref="AT143:AT152" si="1548">AF143+AP143</f>
        <v>0</v>
      </c>
      <c r="AU143" s="541">
        <f t="shared" ca="1" si="1412"/>
        <v>0</v>
      </c>
      <c r="AV143" s="541">
        <f t="shared" ref="AV143:AV152" ca="1" si="1549">AU143*$AE143</f>
        <v>0</v>
      </c>
      <c r="AW143" s="546">
        <f t="shared" ca="1" si="1504"/>
        <v>0</v>
      </c>
      <c r="AX143" s="1007" t="str">
        <f t="shared" ca="1" si="936"/>
        <v/>
      </c>
      <c r="AY143" s="1255"/>
      <c r="AZ143" s="312" t="str">
        <f t="shared" ref="AZ143:AZ152" ca="1" si="1550">IFERROR($AC143/BA143-1,"")</f>
        <v/>
      </c>
      <c r="BA143" s="1254"/>
      <c r="BB143" s="199">
        <f t="shared" ref="BB143:BB152" ca="1" si="1551">AY143*$AC143</f>
        <v>0</v>
      </c>
      <c r="BC143" s="199">
        <f t="shared" ref="BC143:BC152" ca="1" si="1552">BB143*$AE143</f>
        <v>0</v>
      </c>
      <c r="BD143" s="216">
        <f t="shared" ca="1" si="1508"/>
        <v>0</v>
      </c>
      <c r="BE143" s="202">
        <f t="shared" ref="BE143:BE144" ca="1" si="1553">BF143/$AC143</f>
        <v>126.17375629569618</v>
      </c>
      <c r="BF143" s="203">
        <f t="shared" ref="BF143:BF144" ca="1" si="1554">BG143/$AE143</f>
        <v>21227.472759187927</v>
      </c>
      <c r="BG143" s="203">
        <f t="shared" ref="BG143:BG152" ca="1" si="1555">BH143*AY$4</f>
        <v>21227.475518759387</v>
      </c>
      <c r="BH143" s="204">
        <f t="shared" ref="BH143:BH144" ca="1" si="1556">$N143-BD143</f>
        <v>0.03</v>
      </c>
      <c r="BI143" s="1253"/>
      <c r="BJ143" s="206">
        <f t="shared" ref="BJ143:BJ152" ca="1" si="1557">BI143*$AC143</f>
        <v>0</v>
      </c>
      <c r="BK143" s="206">
        <f t="shared" ref="BK143:BK152" ca="1" si="1558">BJ143*$AE143</f>
        <v>0</v>
      </c>
      <c r="BL143" s="207">
        <f t="shared" ca="1" si="1515"/>
        <v>0</v>
      </c>
      <c r="BM143" s="541">
        <f t="shared" ref="BM143:BM152" si="1559">AY143+BI143</f>
        <v>0</v>
      </c>
      <c r="BN143" s="541">
        <f t="shared" ca="1" si="1413"/>
        <v>0</v>
      </c>
      <c r="BO143" s="541">
        <f t="shared" ref="BO143:BO152" ca="1" si="1560">BN143*$AE143</f>
        <v>0</v>
      </c>
      <c r="BP143" s="918">
        <f t="shared" ca="1" si="1517"/>
        <v>0</v>
      </c>
      <c r="BQ143" s="1007" t="str">
        <f t="shared" ca="1" si="1312"/>
        <v/>
      </c>
      <c r="BR143" s="1007"/>
    </row>
    <row r="144" spans="1:70" ht="13.5" hidden="1" customHeight="1" outlineLevel="1" x14ac:dyDescent="0.2">
      <c r="A144" s="535"/>
      <c r="B144" s="535"/>
      <c r="C144" s="535" t="str">
        <f t="shared" ca="1" si="1528"/>
        <v>CH0104136236:USD</v>
      </c>
      <c r="D144" s="536" t="str">
        <f t="shared" ca="1" si="1529"/>
        <v>CH0104136236</v>
      </c>
      <c r="E144" s="537" t="str">
        <f t="shared" ca="1" si="1529"/>
        <v>10413623</v>
      </c>
      <c r="F144" s="535" t="s">
        <v>789</v>
      </c>
      <c r="G144" s="538"/>
      <c r="H144" s="1729" t="str">
        <f t="shared" ca="1" si="1530"/>
        <v></v>
      </c>
      <c r="I144" s="1690" t="str">
        <f t="shared" ref="I144" ca="1" si="1561">HYPERLINK(OFFSET(Origine,MATCH($F144,Descrizioni,0),MATCH(I$14,Intestazioni,0)-1,1,1),"i")</f>
        <v>i</v>
      </c>
      <c r="J144" s="1729" t="str">
        <f t="shared" ref="J144:K144" ca="1" si="1562">HYPERLINK(OFFSET(Origine,MATCH($F144,Descrizioni,0),MATCH(J$14,Intestazioni,0)-1,1,1),"")</f>
        <v></v>
      </c>
      <c r="K144" s="1730" t="str">
        <f t="shared" ca="1" si="1562"/>
        <v></v>
      </c>
      <c r="L144" s="1731" t="str">
        <f t="shared" ca="1" si="1533"/>
        <v></v>
      </c>
      <c r="M144" s="534" t="str">
        <f t="shared" ca="1" si="1534"/>
        <v>Unit</v>
      </c>
      <c r="N144" s="1066">
        <v>0.03</v>
      </c>
      <c r="O144" s="1356" cm="1">
        <f t="array" aca="1" ref="O144" ca="1">SUM(IF($AF$14:$BQ$14="I_ctrlv",AF144:BQ144))</f>
        <v>0</v>
      </c>
      <c r="P144" s="540">
        <f t="shared" ca="1" si="1488"/>
        <v>0</v>
      </c>
      <c r="Q144" s="541">
        <f t="array" aca="1" ref="Q144" ca="1">SUM(IF($AF$14:$BQ$14="I_pos",AF144:BQ144))</f>
        <v>0</v>
      </c>
      <c r="R144" s="541">
        <f t="array" aca="1" ref="R144" ca="1">SUM(IF($AF$14:$BQ$14="P_Pos",AF144:BQ144))</f>
        <v>512.73474963800413</v>
      </c>
      <c r="S144" s="1357"/>
      <c r="T144" s="541"/>
      <c r="U144" s="534"/>
      <c r="V144" s="541">
        <f t="array" aca="1" ref="V144" ca="1">SUM(IF($AF$14:$BQ$14="O_Pos",AF144:BQ144))</f>
        <v>0</v>
      </c>
      <c r="W144" s="1356"/>
      <c r="X144" s="1358">
        <f t="shared" ref="X144:AA144" ca="1" si="1563">OFFSET(Origine,MATCH($F144,Descrizioni,0),MATCH(X$14,Intestazioni,0)-1,1,1)</f>
        <v>0</v>
      </c>
      <c r="Y144" s="1358">
        <f t="shared" ca="1" si="1563"/>
        <v>0</v>
      </c>
      <c r="Z144" s="1358">
        <f t="shared" ca="1" si="1563"/>
        <v>0</v>
      </c>
      <c r="AA144" s="1359">
        <f t="shared" ca="1" si="1563"/>
        <v>0</v>
      </c>
      <c r="AB144" s="535" t="str">
        <f t="shared" ref="AB144" ca="1" si="1564">OFFSET(Origine,MATCH($F144,Descrizioni,0),MATCH(AB$14,Intestazioni,0)-1,1,1)</f>
        <v>USD</v>
      </c>
      <c r="AC144" s="543">
        <f t="shared" ref="AC144" ca="1" si="1565">_xlfn.NUMBERVALUE(OFFSET(Origine,MATCH($F144,Descrizioni,0),MATCH(AC$14,Intestazioni,0)-1,1,1))</f>
        <v>489.9</v>
      </c>
      <c r="AD144" s="544">
        <f t="shared" ca="1" si="1537"/>
        <v>0</v>
      </c>
      <c r="AE144" s="545">
        <f t="shared" ca="1" si="1538"/>
        <v>0.78225</v>
      </c>
      <c r="AF144" s="214"/>
      <c r="AG144" s="312" t="str">
        <f t="shared" ca="1" si="1539"/>
        <v/>
      </c>
      <c r="AH144" s="1254"/>
      <c r="AI144" s="199">
        <f t="shared" ca="1" si="1540"/>
        <v>0</v>
      </c>
      <c r="AJ144" s="199">
        <f t="shared" ca="1" si="1541"/>
        <v>0</v>
      </c>
      <c r="AK144" s="216">
        <f t="shared" ca="1" si="1495"/>
        <v>0</v>
      </c>
      <c r="AL144" s="202">
        <f t="shared" ca="1" si="1542"/>
        <v>457.3429675835938</v>
      </c>
      <c r="AM144" s="203">
        <f t="shared" ca="1" si="1543"/>
        <v>224052.31981920259</v>
      </c>
      <c r="AN144" s="203">
        <f t="shared" ca="1" si="1544"/>
        <v>175264.92717857123</v>
      </c>
      <c r="AO144" s="204">
        <f t="shared" ca="1" si="1545"/>
        <v>0.03</v>
      </c>
      <c r="AP144" s="205"/>
      <c r="AQ144" s="206">
        <f t="shared" ca="1" si="1546"/>
        <v>0</v>
      </c>
      <c r="AR144" s="206">
        <f t="shared" ca="1" si="1547"/>
        <v>0</v>
      </c>
      <c r="AS144" s="207">
        <f t="shared" ca="1" si="1502"/>
        <v>0</v>
      </c>
      <c r="AT144" s="541">
        <f t="shared" si="1548"/>
        <v>0</v>
      </c>
      <c r="AU144" s="541">
        <f t="shared" ca="1" si="1412"/>
        <v>0</v>
      </c>
      <c r="AV144" s="541">
        <f t="shared" ca="1" si="1549"/>
        <v>0</v>
      </c>
      <c r="AW144" s="546">
        <f t="shared" ca="1" si="1504"/>
        <v>0</v>
      </c>
      <c r="AX144" s="1007" t="str">
        <f t="shared" ca="1" si="936"/>
        <v/>
      </c>
      <c r="AY144" s="1255"/>
      <c r="AZ144" s="312" t="str">
        <f t="shared" ca="1" si="1550"/>
        <v/>
      </c>
      <c r="BA144" s="1254"/>
      <c r="BB144" s="199">
        <f t="shared" ca="1" si="1551"/>
        <v>0</v>
      </c>
      <c r="BC144" s="199">
        <f t="shared" ca="1" si="1552"/>
        <v>0</v>
      </c>
      <c r="BD144" s="216">
        <f t="shared" ca="1" si="1508"/>
        <v>0</v>
      </c>
      <c r="BE144" s="202">
        <f t="shared" ca="1" si="1553"/>
        <v>55.391782054410271</v>
      </c>
      <c r="BF144" s="203">
        <f t="shared" ca="1" si="1554"/>
        <v>27136.434028455591</v>
      </c>
      <c r="BG144" s="203">
        <f t="shared" ca="1" si="1555"/>
        <v>21227.475518759387</v>
      </c>
      <c r="BH144" s="204">
        <f t="shared" ca="1" si="1556"/>
        <v>0.03</v>
      </c>
      <c r="BI144" s="1253"/>
      <c r="BJ144" s="206">
        <f t="shared" ca="1" si="1557"/>
        <v>0</v>
      </c>
      <c r="BK144" s="206">
        <f t="shared" ca="1" si="1558"/>
        <v>0</v>
      </c>
      <c r="BL144" s="207">
        <f t="shared" ca="1" si="1515"/>
        <v>0</v>
      </c>
      <c r="BM144" s="541">
        <f t="shared" si="1559"/>
        <v>0</v>
      </c>
      <c r="BN144" s="541">
        <f t="shared" ca="1" si="1413"/>
        <v>0</v>
      </c>
      <c r="BO144" s="541">
        <f t="shared" ca="1" si="1560"/>
        <v>0</v>
      </c>
      <c r="BP144" s="918">
        <f t="shared" ca="1" si="1517"/>
        <v>0</v>
      </c>
      <c r="BQ144" s="1007" t="str">
        <f t="shared" ca="1" si="1312"/>
        <v/>
      </c>
      <c r="BR144" s="1007"/>
    </row>
    <row r="145" spans="1:70" ht="13.5" hidden="1" customHeight="1" outlineLevel="1" x14ac:dyDescent="0.2">
      <c r="A145" s="535"/>
      <c r="B145" s="535"/>
      <c r="C145" s="535" t="str">
        <f t="shared" ca="1" si="1528"/>
        <v>FR0003999010:CHF</v>
      </c>
      <c r="D145" s="1362" t="str">
        <f t="shared" ca="1" si="1529"/>
        <v>FR0003999010</v>
      </c>
      <c r="E145" s="1363" t="str">
        <f t="shared" ca="1" si="1529"/>
        <v>274701</v>
      </c>
      <c r="F145" s="1364" t="s">
        <v>793</v>
      </c>
      <c r="G145" s="1365"/>
      <c r="H145" s="1729" t="str">
        <f t="shared" ca="1" si="1530"/>
        <v></v>
      </c>
      <c r="I145" s="1729" t="str">
        <f t="shared" ref="I145" ca="1" si="1566">HYPERLINK(OFFSET(Origine,MATCH($F145,Descrizioni,0),MATCH(I$14,Intestazioni,0)-1,1,1),"i")</f>
        <v>i</v>
      </c>
      <c r="J145" s="1729" t="str">
        <f t="shared" ref="J145:K145" ca="1" si="1567">HYPERLINK(OFFSET(Origine,MATCH($F145,Descrizioni,0),MATCH(J$14,Intestazioni,0)-1,1,1),"")</f>
        <v></v>
      </c>
      <c r="K145" s="1730" t="str">
        <f t="shared" ca="1" si="1567"/>
        <v></v>
      </c>
      <c r="L145" s="1731" t="str">
        <f t="shared" ca="1" si="1533"/>
        <v></v>
      </c>
      <c r="M145" s="1366" t="str">
        <f t="shared" ca="1" si="1534"/>
        <v>Unit</v>
      </c>
      <c r="N145" s="1066"/>
      <c r="O145" s="1367" cm="1">
        <f t="array" aca="1" ref="O145" ca="1">SUM(IF($AF$14:$BQ$14="I_ctrlv",AF145:BQ145))</f>
        <v>897197.11663561012</v>
      </c>
      <c r="P145" s="1368">
        <f t="shared" ca="1" si="1488"/>
        <v>0.13698195517782202</v>
      </c>
      <c r="Q145" s="1369">
        <f t="array" aca="1" ref="Q145" ca="1">SUM(IF($AF$14:$BQ$14="I_pos",AF145:BQ145))</f>
        <v>7</v>
      </c>
      <c r="R145" s="1369">
        <f t="array" aca="1" ref="R145" ca="1">SUM(IF($AF$14:$BQ$14="P_Pos",AF145:BQ145))</f>
        <v>-7</v>
      </c>
      <c r="S145" s="1370"/>
      <c r="T145" s="1369"/>
      <c r="U145" s="1366"/>
      <c r="V145" s="1369">
        <f t="array" aca="1" ref="V145" ca="1">SUM(IF($AF$14:$BQ$14="O_Pos",AF145:BQ145))</f>
        <v>0</v>
      </c>
      <c r="W145" s="1367"/>
      <c r="X145" s="1371">
        <f t="shared" ref="X145:AA145" ca="1" si="1568">OFFSET(Origine,MATCH($F145,Descrizioni,0),MATCH(X$14,Intestazioni,0)-1,1,1)</f>
        <v>0</v>
      </c>
      <c r="Y145" s="1371">
        <f t="shared" ca="1" si="1568"/>
        <v>0</v>
      </c>
      <c r="Z145" s="1371">
        <f t="shared" ca="1" si="1568"/>
        <v>0</v>
      </c>
      <c r="AA145" s="1372">
        <f t="shared" ca="1" si="1568"/>
        <v>0</v>
      </c>
      <c r="AB145" s="1364" t="str">
        <f t="shared" ref="AB145" ca="1" si="1569">OFFSET(Origine,MATCH($F145,Descrizioni,0),MATCH(AB$14,Intestazioni,0)-1,1,1)</f>
        <v>CHF</v>
      </c>
      <c r="AC145" s="1373">
        <f t="shared" ref="AC145" ca="1" si="1570">_xlfn.NUMBERVALUE(OFFSET(Origine,MATCH($F145,Descrizioni,0),MATCH(AC$14,Intestazioni,0)-1,1,1))</f>
        <v>128171</v>
      </c>
      <c r="AD145" s="1374">
        <f t="shared" ca="1" si="1537"/>
        <v>0</v>
      </c>
      <c r="AE145" s="1375">
        <f t="shared" ca="1" si="1538"/>
        <v>1.0000001300000001</v>
      </c>
      <c r="AF145" s="1376">
        <v>7</v>
      </c>
      <c r="AG145" s="312" t="str">
        <f t="shared" ca="1" si="1539"/>
        <v/>
      </c>
      <c r="AH145" s="1377"/>
      <c r="AI145" s="1378">
        <f t="shared" ca="1" si="1540"/>
        <v>897197</v>
      </c>
      <c r="AJ145" s="1378">
        <f t="shared" ca="1" si="1541"/>
        <v>897197.11663561012</v>
      </c>
      <c r="AK145" s="1379">
        <f t="shared" ca="1" si="1495"/>
        <v>0.1535727309072204</v>
      </c>
      <c r="AL145" s="202">
        <f t="shared" ref="AL145:AL147" ca="1" si="1571">AM145/$AC145</f>
        <v>-7</v>
      </c>
      <c r="AM145" s="203">
        <f t="shared" ref="AM145:AM147" ca="1" si="1572">AN145/$AE145</f>
        <v>-897197</v>
      </c>
      <c r="AN145" s="203">
        <f t="shared" ca="1" si="1544"/>
        <v>-897197.11663561012</v>
      </c>
      <c r="AO145" s="204">
        <f t="shared" ref="AO145:AO152" ca="1" si="1573">$N145-AK145</f>
        <v>-0.1535727309072204</v>
      </c>
      <c r="AP145" s="205"/>
      <c r="AQ145" s="206">
        <f t="shared" ca="1" si="1546"/>
        <v>0</v>
      </c>
      <c r="AR145" s="206">
        <f t="shared" ca="1" si="1547"/>
        <v>0</v>
      </c>
      <c r="AS145" s="207">
        <f t="shared" ca="1" si="1502"/>
        <v>0</v>
      </c>
      <c r="AT145" s="541">
        <f t="shared" si="1548"/>
        <v>7</v>
      </c>
      <c r="AU145" s="541">
        <f t="shared" ca="1" si="1412"/>
        <v>897197</v>
      </c>
      <c r="AV145" s="541">
        <f t="shared" ca="1" si="1549"/>
        <v>897197.11663561012</v>
      </c>
      <c r="AW145" s="546">
        <f t="shared" ca="1" si="1504"/>
        <v>0.1535727309072204</v>
      </c>
      <c r="AX145" s="1007" t="str">
        <f t="shared" ca="1" si="936"/>
        <v>V</v>
      </c>
      <c r="AY145" s="1255"/>
      <c r="AZ145" s="312" t="str">
        <f t="shared" ca="1" si="1550"/>
        <v/>
      </c>
      <c r="BA145" s="1377"/>
      <c r="BB145" s="199">
        <f t="shared" ca="1" si="1551"/>
        <v>0</v>
      </c>
      <c r="BC145" s="199">
        <f t="shared" ca="1" si="1552"/>
        <v>0</v>
      </c>
      <c r="BD145" s="216">
        <f t="shared" ca="1" si="1508"/>
        <v>0</v>
      </c>
      <c r="BE145" s="202">
        <f t="shared" ref="BE145:BE147" ca="1" si="1574">BF145/$AC145</f>
        <v>0</v>
      </c>
      <c r="BF145" s="203">
        <f t="shared" ref="BF145:BF147" ca="1" si="1575">BG145/$AE145</f>
        <v>0</v>
      </c>
      <c r="BG145" s="203">
        <f t="shared" ca="1" si="1555"/>
        <v>0</v>
      </c>
      <c r="BH145" s="204">
        <f t="shared" ref="BH145:BH152" ca="1" si="1576">$N145-BD145</f>
        <v>0</v>
      </c>
      <c r="BI145" s="1253"/>
      <c r="BJ145" s="206">
        <f t="shared" ca="1" si="1557"/>
        <v>0</v>
      </c>
      <c r="BK145" s="206">
        <f t="shared" ca="1" si="1558"/>
        <v>0</v>
      </c>
      <c r="BL145" s="207">
        <f t="shared" ca="1" si="1515"/>
        <v>0</v>
      </c>
      <c r="BM145" s="541">
        <f t="shared" si="1559"/>
        <v>0</v>
      </c>
      <c r="BN145" s="541">
        <f t="shared" ca="1" si="1413"/>
        <v>0</v>
      </c>
      <c r="BO145" s="541">
        <f t="shared" ca="1" si="1560"/>
        <v>0</v>
      </c>
      <c r="BP145" s="918">
        <f t="shared" ca="1" si="1517"/>
        <v>0</v>
      </c>
      <c r="BQ145" s="1007" t="str">
        <f t="shared" ref="BQ145:BQ147" ca="1" si="1577">IF(OR(BD145&lt;&gt;0,BL145&lt;&gt;0),"V","")</f>
        <v/>
      </c>
      <c r="BR145" s="1007"/>
    </row>
    <row r="146" spans="1:70" ht="13.5" hidden="1" customHeight="1" outlineLevel="1" x14ac:dyDescent="0.2">
      <c r="A146" s="535"/>
      <c r="B146" s="535"/>
      <c r="C146" s="535" t="str">
        <f t="shared" ca="1" si="1528"/>
        <v>ZAE000003992:CHF</v>
      </c>
      <c r="D146" s="536" t="str">
        <f t="shared" ca="1" si="1529"/>
        <v>ZAE000003992</v>
      </c>
      <c r="E146" s="537" t="str">
        <f t="shared" ca="1" si="1529"/>
        <v>281626</v>
      </c>
      <c r="F146" s="535" t="s">
        <v>794</v>
      </c>
      <c r="G146" s="538"/>
      <c r="H146" s="1729" t="str">
        <f t="shared" ca="1" si="1530"/>
        <v></v>
      </c>
      <c r="I146" s="1729" t="str">
        <f t="shared" ref="I146" ca="1" si="1578">HYPERLINK(OFFSET(Origine,MATCH($F146,Descrizioni,0),MATCH(I$14,Intestazioni,0)-1,1,1),"i")</f>
        <v>i</v>
      </c>
      <c r="J146" s="1729" t="str">
        <f t="shared" ref="J146:K146" ca="1" si="1579">HYPERLINK(OFFSET(Origine,MATCH($F146,Descrizioni,0),MATCH(J$14,Intestazioni,0)-1,1,1),"")</f>
        <v></v>
      </c>
      <c r="K146" s="1730" t="str">
        <f t="shared" ca="1" si="1579"/>
        <v></v>
      </c>
      <c r="L146" s="1731" t="str">
        <f t="shared" ca="1" si="1533"/>
        <v></v>
      </c>
      <c r="M146" s="534" t="str">
        <f t="shared" ca="1" si="1534"/>
        <v>Unit</v>
      </c>
      <c r="N146" s="1066"/>
      <c r="O146" s="1356" cm="1">
        <f t="array" aca="1" ref="O146" ca="1">SUM(IF($AF$14:$BQ$14="I_ctrlv",AF146:BQ146))</f>
        <v>632320.08220160007</v>
      </c>
      <c r="P146" s="540">
        <f t="shared" ca="1" si="1488"/>
        <v>9.6541149711869778E-2</v>
      </c>
      <c r="Q146" s="541">
        <f t="array" aca="1" ref="Q146" ca="1">SUM(IF($AF$14:$BQ$14="I_pos",AF146:BQ146))</f>
        <v>1600</v>
      </c>
      <c r="R146" s="541">
        <f t="array" aca="1" ref="R146" ca="1">SUM(IF($AF$14:$BQ$14="P_Pos",AF146:BQ146))</f>
        <v>-1600</v>
      </c>
      <c r="S146" s="1357"/>
      <c r="T146" s="541"/>
      <c r="U146" s="534"/>
      <c r="V146" s="541">
        <f t="array" aca="1" ref="V146" ca="1">SUM(IF($AF$14:$BQ$14="O_Pos",AF146:BQ146))</f>
        <v>0</v>
      </c>
      <c r="W146" s="1356"/>
      <c r="X146" s="1358">
        <f t="shared" ref="X146:AA146" ca="1" si="1580">OFFSET(Origine,MATCH($F146,Descrizioni,0),MATCH(X$14,Intestazioni,0)-1,1,1)</f>
        <v>0</v>
      </c>
      <c r="Y146" s="1358">
        <f t="shared" ca="1" si="1580"/>
        <v>0</v>
      </c>
      <c r="Z146" s="1358">
        <f t="shared" ca="1" si="1580"/>
        <v>0</v>
      </c>
      <c r="AA146" s="1359">
        <f t="shared" ca="1" si="1580"/>
        <v>0</v>
      </c>
      <c r="AB146" s="535" t="str">
        <f t="shared" ref="AB146" ca="1" si="1581">OFFSET(Origine,MATCH($F146,Descrizioni,0),MATCH(AB$14,Intestazioni,0)-1,1,1)</f>
        <v>CHF</v>
      </c>
      <c r="AC146" s="543">
        <f t="shared" ref="AC146" ca="1" si="1582">_xlfn.NUMBERVALUE(OFFSET(Origine,MATCH($F146,Descrizioni,0),MATCH(AC$14,Intestazioni,0)-1,1,1))</f>
        <v>395.2</v>
      </c>
      <c r="AD146" s="544">
        <f t="shared" ca="1" si="1537"/>
        <v>0</v>
      </c>
      <c r="AE146" s="545">
        <f t="shared" ca="1" si="1538"/>
        <v>1.0000001300000001</v>
      </c>
      <c r="AF146" s="214">
        <v>1600</v>
      </c>
      <c r="AG146" s="312">
        <f t="shared" ca="1" si="1539"/>
        <v>2.3238015138772075</v>
      </c>
      <c r="AH146" s="1254">
        <v>118.9</v>
      </c>
      <c r="AI146" s="199">
        <f t="shared" ca="1" si="1540"/>
        <v>632320</v>
      </c>
      <c r="AJ146" s="199">
        <f t="shared" ca="1" si="1541"/>
        <v>632320.08220160007</v>
      </c>
      <c r="AK146" s="216">
        <f t="shared" ca="1" si="1495"/>
        <v>0.10823387640312396</v>
      </c>
      <c r="AL146" s="202">
        <f t="shared" ca="1" si="1571"/>
        <v>-1600</v>
      </c>
      <c r="AM146" s="203">
        <f t="shared" ca="1" si="1572"/>
        <v>-632320</v>
      </c>
      <c r="AN146" s="203">
        <f t="shared" ca="1" si="1544"/>
        <v>-632320.08220160007</v>
      </c>
      <c r="AO146" s="204">
        <f t="shared" ca="1" si="1573"/>
        <v>-0.10823387640312396</v>
      </c>
      <c r="AP146" s="205"/>
      <c r="AQ146" s="206">
        <f t="shared" ca="1" si="1546"/>
        <v>0</v>
      </c>
      <c r="AR146" s="206">
        <f t="shared" ca="1" si="1547"/>
        <v>0</v>
      </c>
      <c r="AS146" s="207">
        <f t="shared" ca="1" si="1502"/>
        <v>0</v>
      </c>
      <c r="AT146" s="541">
        <f t="shared" si="1548"/>
        <v>1600</v>
      </c>
      <c r="AU146" s="541">
        <f t="shared" ca="1" si="1412"/>
        <v>632320</v>
      </c>
      <c r="AV146" s="541">
        <f t="shared" ca="1" si="1549"/>
        <v>632320.08220160007</v>
      </c>
      <c r="AW146" s="546">
        <f t="shared" ca="1" si="1504"/>
        <v>0.10823387640312396</v>
      </c>
      <c r="AX146" s="1007" t="str">
        <f t="shared" ca="1" si="936"/>
        <v>V</v>
      </c>
      <c r="AY146" s="1255"/>
      <c r="AZ146" s="312" t="str">
        <f t="shared" ca="1" si="1550"/>
        <v/>
      </c>
      <c r="BA146" s="1254"/>
      <c r="BB146" s="199">
        <f t="shared" ca="1" si="1551"/>
        <v>0</v>
      </c>
      <c r="BC146" s="199">
        <f t="shared" ca="1" si="1552"/>
        <v>0</v>
      </c>
      <c r="BD146" s="216">
        <f t="shared" ca="1" si="1508"/>
        <v>0</v>
      </c>
      <c r="BE146" s="202">
        <f t="shared" ca="1" si="1574"/>
        <v>0</v>
      </c>
      <c r="BF146" s="203">
        <f t="shared" ca="1" si="1575"/>
        <v>0</v>
      </c>
      <c r="BG146" s="203">
        <f t="shared" ca="1" si="1555"/>
        <v>0</v>
      </c>
      <c r="BH146" s="204">
        <f t="shared" ca="1" si="1576"/>
        <v>0</v>
      </c>
      <c r="BI146" s="1253"/>
      <c r="BJ146" s="206">
        <f t="shared" ca="1" si="1557"/>
        <v>0</v>
      </c>
      <c r="BK146" s="206">
        <f t="shared" ca="1" si="1558"/>
        <v>0</v>
      </c>
      <c r="BL146" s="207">
        <f t="shared" ca="1" si="1515"/>
        <v>0</v>
      </c>
      <c r="BM146" s="541">
        <f t="shared" si="1559"/>
        <v>0</v>
      </c>
      <c r="BN146" s="541">
        <f t="shared" ca="1" si="1413"/>
        <v>0</v>
      </c>
      <c r="BO146" s="541">
        <f t="shared" ca="1" si="1560"/>
        <v>0</v>
      </c>
      <c r="BP146" s="918">
        <f t="shared" ca="1" si="1517"/>
        <v>0</v>
      </c>
      <c r="BQ146" s="1007" t="str">
        <f t="shared" ca="1" si="1577"/>
        <v/>
      </c>
      <c r="BR146" s="1007"/>
    </row>
    <row r="147" spans="1:70" ht="13.5" hidden="1" customHeight="1" outlineLevel="1" x14ac:dyDescent="0.2">
      <c r="A147" s="535"/>
      <c r="B147" s="535"/>
      <c r="C147" s="535" t="str">
        <f t="shared" ca="1" si="1528"/>
        <v>ZAE000003950:CHF</v>
      </c>
      <c r="D147" s="1362" t="str">
        <f t="shared" ca="1" si="1529"/>
        <v>ZAE000003950</v>
      </c>
      <c r="E147" s="1363" t="str">
        <f t="shared" ca="1" si="1529"/>
        <v>281624</v>
      </c>
      <c r="F147" s="1364" t="s">
        <v>795</v>
      </c>
      <c r="G147" s="1365"/>
      <c r="H147" s="1729" t="str">
        <f t="shared" ca="1" si="1530"/>
        <v></v>
      </c>
      <c r="I147" s="1729" t="str">
        <f t="shared" ref="I147" ca="1" si="1583">HYPERLINK(OFFSET(Origine,MATCH($F147,Descrizioni,0),MATCH(I$14,Intestazioni,0)-1,1,1),"i")</f>
        <v>i</v>
      </c>
      <c r="J147" s="1729" t="str">
        <f t="shared" ref="J147:K147" ca="1" si="1584">HYPERLINK(OFFSET(Origine,MATCH($F147,Descrizioni,0),MATCH(J$14,Intestazioni,0)-1,1,1),"")</f>
        <v></v>
      </c>
      <c r="K147" s="1730" t="str">
        <f t="shared" ca="1" si="1584"/>
        <v></v>
      </c>
      <c r="L147" s="1731" t="str">
        <f t="shared" ca="1" si="1533"/>
        <v></v>
      </c>
      <c r="M147" s="1366" t="str">
        <f t="shared" ca="1" si="1534"/>
        <v>Unit</v>
      </c>
      <c r="N147" s="1066"/>
      <c r="O147" s="1367" cm="1">
        <f t="array" aca="1" ref="O147" ca="1">SUM(IF($AF$14:$BQ$14="I_ctrlv",AF147:BQ147))</f>
        <v>579710.07536230003</v>
      </c>
      <c r="P147" s="1368">
        <f t="shared" ca="1" si="1488"/>
        <v>8.8508777042427919E-2</v>
      </c>
      <c r="Q147" s="1369">
        <f t="array" aca="1" ref="Q147" ca="1">SUM(IF($AF$14:$BQ$14="I_pos",AF147:BQ147))</f>
        <v>145</v>
      </c>
      <c r="R147" s="1369">
        <f t="array" aca="1" ref="R147" ca="1">SUM(IF($AF$14:$BQ$14="P_Pos",AF147:BQ147))</f>
        <v>-145</v>
      </c>
      <c r="S147" s="1380"/>
      <c r="T147" s="1369"/>
      <c r="U147" s="1366"/>
      <c r="V147" s="1369">
        <f t="array" aca="1" ref="V147" ca="1">SUM(IF($AF$14:$BQ$14="O_Pos",AF147:BQ147))</f>
        <v>0</v>
      </c>
      <c r="W147" s="1367"/>
      <c r="X147" s="1371">
        <f t="shared" ref="X147:AA147" ca="1" si="1585">OFFSET(Origine,MATCH($F147,Descrizioni,0),MATCH(X$14,Intestazioni,0)-1,1,1)</f>
        <v>0</v>
      </c>
      <c r="Y147" s="1371">
        <f t="shared" ca="1" si="1585"/>
        <v>0</v>
      </c>
      <c r="Z147" s="1371">
        <f t="shared" ca="1" si="1585"/>
        <v>0</v>
      </c>
      <c r="AA147" s="1372">
        <f t="shared" ca="1" si="1585"/>
        <v>0</v>
      </c>
      <c r="AB147" s="1364" t="str">
        <f t="shared" ref="AB147" ca="1" si="1586">OFFSET(Origine,MATCH($F147,Descrizioni,0),MATCH(AB$14,Intestazioni,0)-1,1,1)</f>
        <v>CHF</v>
      </c>
      <c r="AC147" s="1373">
        <f t="shared" ref="AC147" ca="1" si="1587">_xlfn.NUMBERVALUE(OFFSET(Origine,MATCH($F147,Descrizioni,0),MATCH(AC$14,Intestazioni,0)-1,1,1))</f>
        <v>3998</v>
      </c>
      <c r="AD147" s="1374">
        <f t="shared" ca="1" si="1537"/>
        <v>0</v>
      </c>
      <c r="AE147" s="1375">
        <f t="shared" ca="1" si="1538"/>
        <v>1.0000001300000001</v>
      </c>
      <c r="AF147" s="1376">
        <v>145</v>
      </c>
      <c r="AG147" s="312" t="str">
        <f t="shared" ca="1" si="1539"/>
        <v/>
      </c>
      <c r="AH147" s="1377"/>
      <c r="AI147" s="1378">
        <f t="shared" ca="1" si="1540"/>
        <v>579710</v>
      </c>
      <c r="AJ147" s="1378">
        <f t="shared" ca="1" si="1541"/>
        <v>579710.07536230003</v>
      </c>
      <c r="AK147" s="1379">
        <f t="shared" ca="1" si="1495"/>
        <v>9.9228650824985748E-2</v>
      </c>
      <c r="AL147" s="202">
        <f t="shared" ca="1" si="1571"/>
        <v>-145</v>
      </c>
      <c r="AM147" s="203">
        <f t="shared" ca="1" si="1572"/>
        <v>-579710</v>
      </c>
      <c r="AN147" s="203">
        <f t="shared" ca="1" si="1544"/>
        <v>-579710.07536230003</v>
      </c>
      <c r="AO147" s="204">
        <f t="shared" ca="1" si="1573"/>
        <v>-9.9228650824985748E-2</v>
      </c>
      <c r="AP147" s="205"/>
      <c r="AQ147" s="206">
        <f t="shared" ca="1" si="1546"/>
        <v>0</v>
      </c>
      <c r="AR147" s="206">
        <f t="shared" ca="1" si="1547"/>
        <v>0</v>
      </c>
      <c r="AS147" s="207">
        <f t="shared" ca="1" si="1502"/>
        <v>0</v>
      </c>
      <c r="AT147" s="541">
        <f t="shared" si="1548"/>
        <v>145</v>
      </c>
      <c r="AU147" s="541">
        <f t="shared" ca="1" si="1412"/>
        <v>579710</v>
      </c>
      <c r="AV147" s="541">
        <f t="shared" ca="1" si="1549"/>
        <v>579710.07536230003</v>
      </c>
      <c r="AW147" s="546">
        <f t="shared" ca="1" si="1504"/>
        <v>9.9228650824985748E-2</v>
      </c>
      <c r="AX147" s="1007" t="str">
        <f t="shared" ca="1" si="936"/>
        <v>V</v>
      </c>
      <c r="AY147" s="1255"/>
      <c r="AZ147" s="312" t="str">
        <f t="shared" ca="1" si="1550"/>
        <v/>
      </c>
      <c r="BA147" s="1377"/>
      <c r="BB147" s="199">
        <f t="shared" ca="1" si="1551"/>
        <v>0</v>
      </c>
      <c r="BC147" s="199">
        <f t="shared" ca="1" si="1552"/>
        <v>0</v>
      </c>
      <c r="BD147" s="216">
        <f t="shared" ca="1" si="1508"/>
        <v>0</v>
      </c>
      <c r="BE147" s="202">
        <f t="shared" ca="1" si="1574"/>
        <v>0</v>
      </c>
      <c r="BF147" s="203">
        <f t="shared" ca="1" si="1575"/>
        <v>0</v>
      </c>
      <c r="BG147" s="203">
        <f t="shared" ca="1" si="1555"/>
        <v>0</v>
      </c>
      <c r="BH147" s="204">
        <f t="shared" ca="1" si="1576"/>
        <v>0</v>
      </c>
      <c r="BI147" s="1253"/>
      <c r="BJ147" s="206">
        <f t="shared" ca="1" si="1557"/>
        <v>0</v>
      </c>
      <c r="BK147" s="206">
        <f t="shared" ca="1" si="1558"/>
        <v>0</v>
      </c>
      <c r="BL147" s="207">
        <f t="shared" ca="1" si="1515"/>
        <v>0</v>
      </c>
      <c r="BM147" s="541">
        <f t="shared" si="1559"/>
        <v>0</v>
      </c>
      <c r="BN147" s="541">
        <f t="shared" ca="1" si="1413"/>
        <v>0</v>
      </c>
      <c r="BO147" s="541">
        <f t="shared" ca="1" si="1560"/>
        <v>0</v>
      </c>
      <c r="BP147" s="918">
        <f t="shared" ca="1" si="1517"/>
        <v>0</v>
      </c>
      <c r="BQ147" s="1007" t="str">
        <f t="shared" ca="1" si="1577"/>
        <v/>
      </c>
      <c r="BR147" s="1007"/>
    </row>
    <row r="148" spans="1:70" ht="13.5" hidden="1" customHeight="1" outlineLevel="1" x14ac:dyDescent="0.2">
      <c r="A148" s="535"/>
      <c r="B148" s="535"/>
      <c r="C148" s="535" t="str">
        <f t="shared" ca="1" si="1528"/>
        <v>CH0183136008:USD</v>
      </c>
      <c r="D148" s="536" t="str">
        <f t="shared" ca="1" si="1529"/>
        <v>CH0183136008</v>
      </c>
      <c r="E148" s="537" t="str">
        <f t="shared" ca="1" si="1529"/>
        <v>18313600</v>
      </c>
      <c r="F148" s="547" t="s">
        <v>796</v>
      </c>
      <c r="G148" s="549"/>
      <c r="H148" s="1729" t="str">
        <f t="shared" ca="1" si="1530"/>
        <v></v>
      </c>
      <c r="I148" s="1690" t="str">
        <f t="shared" ref="I148" ca="1" si="1588">HYPERLINK(OFFSET(Origine,MATCH($F148,Descrizioni,0),MATCH(I$14,Intestazioni,0)-1,1,1),"i")</f>
        <v>i</v>
      </c>
      <c r="J148" s="1729" t="str">
        <f t="shared" ref="J148:K148" ca="1" si="1589">HYPERLINK(OFFSET(Origine,MATCH($F148,Descrizioni,0),MATCH(J$14,Intestazioni,0)-1,1,1),"")</f>
        <v></v>
      </c>
      <c r="K148" s="1730" t="str">
        <f t="shared" ca="1" si="1589"/>
        <v></v>
      </c>
      <c r="L148" s="1731" t="str">
        <f t="shared" ca="1" si="1533"/>
        <v></v>
      </c>
      <c r="M148" s="534" t="str">
        <f t="shared" ca="1" si="1534"/>
        <v>Unit</v>
      </c>
      <c r="N148" s="1066"/>
      <c r="O148" s="1356" cm="1">
        <f t="array" aca="1" ref="O148" ca="1">SUM(IF($AF$14:$BQ$14="I_ctrlv",AF148:BQ148))</f>
        <v>0</v>
      </c>
      <c r="P148" s="540">
        <f t="shared" ca="1" si="1488"/>
        <v>0</v>
      </c>
      <c r="Q148" s="541">
        <f t="array" aca="1" ref="Q148" ca="1">SUM(IF($AF$14:$BQ$14="I_pos",AF148:BQ148))</f>
        <v>0</v>
      </c>
      <c r="R148" s="541">
        <f t="array" aca="1" ref="R148" ca="1">SUM(IF($AF$14:$BQ$14="P_Pos",AF148:BQ148))</f>
        <v>0</v>
      </c>
      <c r="S148" s="1381"/>
      <c r="T148" s="541"/>
      <c r="U148" s="534"/>
      <c r="V148" s="541">
        <f t="array" aca="1" ref="V148" ca="1">SUM(IF($AF$14:$BQ$14="O_Pos",AF148:BQ148))</f>
        <v>0</v>
      </c>
      <c r="W148" s="1356"/>
      <c r="X148" s="1358">
        <f t="shared" ref="X148:AA148" ca="1" si="1590">OFFSET(Origine,MATCH($F148,Descrizioni,0),MATCH(X$14,Intestazioni,0)-1,1,1)</f>
        <v>0</v>
      </c>
      <c r="Y148" s="1358">
        <f t="shared" ca="1" si="1590"/>
        <v>0</v>
      </c>
      <c r="Z148" s="1358">
        <f t="shared" ca="1" si="1590"/>
        <v>0</v>
      </c>
      <c r="AA148" s="1359">
        <f t="shared" ca="1" si="1590"/>
        <v>0</v>
      </c>
      <c r="AB148" s="535" t="str">
        <f t="shared" ref="AB148" ca="1" si="1591">OFFSET(Origine,MATCH($F148,Descrizioni,0),MATCH(AB$14,Intestazioni,0)-1,1,1)</f>
        <v>USD</v>
      </c>
      <c r="AC148" s="543">
        <f t="shared" ref="AC148:AC149" ca="1" si="1592">_xlfn.NUMBERVALUE(OFFSET(Origine,MATCH($F148,Descrizioni,0),MATCH(AC$14,Intestazioni,0)-1,1,1))</f>
        <v>742.8</v>
      </c>
      <c r="AD148" s="544">
        <f t="shared" ca="1" si="1537"/>
        <v>0</v>
      </c>
      <c r="AE148" s="545">
        <f t="shared" ca="1" si="1538"/>
        <v>0.78225</v>
      </c>
      <c r="AF148" s="214"/>
      <c r="AG148" s="312" t="str">
        <f t="shared" ca="1" si="1539"/>
        <v/>
      </c>
      <c r="AH148" s="1254"/>
      <c r="AI148" s="199">
        <f t="shared" ca="1" si="1540"/>
        <v>0</v>
      </c>
      <c r="AJ148" s="199">
        <f t="shared" ca="1" si="1541"/>
        <v>0</v>
      </c>
      <c r="AK148" s="216">
        <f t="shared" ca="1" si="1495"/>
        <v>0</v>
      </c>
      <c r="AL148" s="202">
        <f ca="1">AM148/$AC148</f>
        <v>0</v>
      </c>
      <c r="AM148" s="203">
        <f ca="1">AN148/$AE148</f>
        <v>0</v>
      </c>
      <c r="AN148" s="203">
        <f t="shared" ca="1" si="1544"/>
        <v>0</v>
      </c>
      <c r="AO148" s="204">
        <f t="shared" ca="1" si="1573"/>
        <v>0</v>
      </c>
      <c r="AP148" s="205"/>
      <c r="AQ148" s="206">
        <f t="shared" ca="1" si="1546"/>
        <v>0</v>
      </c>
      <c r="AR148" s="206">
        <f t="shared" ca="1" si="1547"/>
        <v>0</v>
      </c>
      <c r="AS148" s="207">
        <f t="shared" ca="1" si="1502"/>
        <v>0</v>
      </c>
      <c r="AT148" s="541">
        <f t="shared" si="1548"/>
        <v>0</v>
      </c>
      <c r="AU148" s="541">
        <f t="shared" ca="1" si="1412"/>
        <v>0</v>
      </c>
      <c r="AV148" s="541">
        <f t="shared" ca="1" si="1549"/>
        <v>0</v>
      </c>
      <c r="AW148" s="546">
        <f t="shared" ca="1" si="1504"/>
        <v>0</v>
      </c>
      <c r="AX148" s="1007" t="str">
        <f t="shared" ca="1" si="936"/>
        <v/>
      </c>
      <c r="AY148" s="1255"/>
      <c r="AZ148" s="312" t="str">
        <f t="shared" ca="1" si="1550"/>
        <v/>
      </c>
      <c r="BA148" s="1254"/>
      <c r="BB148" s="199">
        <f t="shared" ca="1" si="1551"/>
        <v>0</v>
      </c>
      <c r="BC148" s="199">
        <f t="shared" ca="1" si="1552"/>
        <v>0</v>
      </c>
      <c r="BD148" s="216">
        <f t="shared" ca="1" si="1508"/>
        <v>0</v>
      </c>
      <c r="BE148" s="202">
        <f ca="1">BF148/$AC148</f>
        <v>0</v>
      </c>
      <c r="BF148" s="203">
        <f ca="1">BG148/$AE148</f>
        <v>0</v>
      </c>
      <c r="BG148" s="203">
        <f t="shared" ca="1" si="1555"/>
        <v>0</v>
      </c>
      <c r="BH148" s="204">
        <f t="shared" ca="1" si="1576"/>
        <v>0</v>
      </c>
      <c r="BI148" s="1253"/>
      <c r="BJ148" s="206">
        <f t="shared" ca="1" si="1557"/>
        <v>0</v>
      </c>
      <c r="BK148" s="206">
        <f t="shared" ca="1" si="1558"/>
        <v>0</v>
      </c>
      <c r="BL148" s="207">
        <f t="shared" ca="1" si="1515"/>
        <v>0</v>
      </c>
      <c r="BM148" s="541">
        <f t="shared" si="1559"/>
        <v>0</v>
      </c>
      <c r="BN148" s="541">
        <f t="shared" ca="1" si="1413"/>
        <v>0</v>
      </c>
      <c r="BO148" s="541">
        <f t="shared" ca="1" si="1560"/>
        <v>0</v>
      </c>
      <c r="BP148" s="918">
        <f t="shared" ca="1" si="1517"/>
        <v>0</v>
      </c>
      <c r="BQ148" s="1007" t="str">
        <f t="shared" ref="BQ148:BQ170" ca="1" si="1593">IF(SUM(BD148,BL148,BP148)&lt;&gt;0,"V","")</f>
        <v/>
      </c>
      <c r="BR148" s="1007"/>
    </row>
    <row r="149" spans="1:70" ht="13.5" hidden="1" customHeight="1" outlineLevel="1" x14ac:dyDescent="0.2">
      <c r="A149" s="535"/>
      <c r="B149" s="535"/>
      <c r="C149" s="535" t="str">
        <f t="shared" ca="1" si="1528"/>
        <v>CH0183136057:CHF</v>
      </c>
      <c r="D149" s="536" t="str">
        <f t="shared" ca="1" si="1529"/>
        <v>CH0183136057</v>
      </c>
      <c r="E149" s="537" t="str">
        <f t="shared" ca="1" si="1529"/>
        <v>18313605</v>
      </c>
      <c r="F149" s="535" t="s">
        <v>797</v>
      </c>
      <c r="G149" s="538"/>
      <c r="H149" s="1729" t="str">
        <f t="shared" ca="1" si="1530"/>
        <v></v>
      </c>
      <c r="I149" s="1729" t="str">
        <f t="shared" ref="I149" ca="1" si="1594">HYPERLINK(OFFSET(Origine,MATCH($F149,Descrizioni,0),MATCH(I$14,Intestazioni,0)-1,1,1),"i")</f>
        <v>i</v>
      </c>
      <c r="J149" s="1729" t="str">
        <f t="shared" ref="J149:K149" ca="1" si="1595">HYPERLINK(OFFSET(Origine,MATCH($F149,Descrizioni,0),MATCH(J$14,Intestazioni,0)-1,1,1),"")</f>
        <v></v>
      </c>
      <c r="K149" s="1730" t="str">
        <f t="shared" ca="1" si="1595"/>
        <v></v>
      </c>
      <c r="L149" s="1731" t="str">
        <f t="shared" ca="1" si="1533"/>
        <v></v>
      </c>
      <c r="M149" s="534" t="str">
        <f t="shared" ca="1" si="1534"/>
        <v>Unit</v>
      </c>
      <c r="N149" s="1066"/>
      <c r="O149" s="1356" cm="1">
        <f t="array" aca="1" ref="O149" ca="1">SUM(IF($AF$14:$BQ$14="I_ctrlv",AF149:BQ149))</f>
        <v>0</v>
      </c>
      <c r="P149" s="540">
        <f t="shared" ca="1" si="1488"/>
        <v>0</v>
      </c>
      <c r="Q149" s="541">
        <f t="array" aca="1" ref="Q149" ca="1">SUM(IF($AF$14:$BQ$14="I_pos",AF149:BQ149))</f>
        <v>0</v>
      </c>
      <c r="R149" s="541">
        <f t="array" aca="1" ref="R149" ca="1">SUM(IF($AF$14:$BQ$14="P_Pos",AF149:BQ149))</f>
        <v>0</v>
      </c>
      <c r="S149" s="1357"/>
      <c r="T149" s="541"/>
      <c r="U149" s="534"/>
      <c r="V149" s="541">
        <f t="array" aca="1" ref="V149" ca="1">SUM(IF($AF$14:$BQ$14="O_Pos",AF149:BQ149))</f>
        <v>0</v>
      </c>
      <c r="W149" s="1356"/>
      <c r="X149" s="1358">
        <f t="shared" ref="X149:AA149" ca="1" si="1596">OFFSET(Origine,MATCH($F149,Descrizioni,0),MATCH(X$14,Intestazioni,0)-1,1,1)</f>
        <v>0</v>
      </c>
      <c r="Y149" s="1358">
        <f t="shared" ca="1" si="1596"/>
        <v>0</v>
      </c>
      <c r="Z149" s="1358">
        <f t="shared" ca="1" si="1596"/>
        <v>5.0000000000000001E-3</v>
      </c>
      <c r="AA149" s="1359">
        <f t="shared" ca="1" si="1596"/>
        <v>0</v>
      </c>
      <c r="AB149" s="535" t="str">
        <f t="shared" ref="AB149" ca="1" si="1597">OFFSET(Origine,MATCH($F149,Descrizioni,0),MATCH(AB$14,Intestazioni,0)-1,1,1)</f>
        <v>CHF</v>
      </c>
      <c r="AC149" s="543">
        <f t="shared" ca="1" si="1592"/>
        <v>471.75</v>
      </c>
      <c r="AD149" s="544">
        <f t="shared" ca="1" si="1537"/>
        <v>0</v>
      </c>
      <c r="AE149" s="545">
        <f t="shared" ca="1" si="1538"/>
        <v>1.0000001300000001</v>
      </c>
      <c r="AF149" s="214">
        <f>175+-175</f>
        <v>0</v>
      </c>
      <c r="AG149" s="312" t="str">
        <f t="shared" ca="1" si="1539"/>
        <v/>
      </c>
      <c r="AH149" s="1254"/>
      <c r="AI149" s="199">
        <f t="shared" ca="1" si="1540"/>
        <v>0</v>
      </c>
      <c r="AJ149" s="199">
        <f t="shared" ca="1" si="1541"/>
        <v>0</v>
      </c>
      <c r="AK149" s="216">
        <f t="shared" ca="1" si="1495"/>
        <v>0</v>
      </c>
      <c r="AL149" s="202">
        <f ca="1">AM149/$AC149</f>
        <v>0</v>
      </c>
      <c r="AM149" s="203">
        <f ca="1">AN149/$AE149</f>
        <v>0</v>
      </c>
      <c r="AN149" s="203">
        <f t="shared" ca="1" si="1544"/>
        <v>0</v>
      </c>
      <c r="AO149" s="204">
        <f t="shared" ca="1" si="1573"/>
        <v>0</v>
      </c>
      <c r="AP149" s="205"/>
      <c r="AQ149" s="206">
        <f t="shared" ca="1" si="1546"/>
        <v>0</v>
      </c>
      <c r="AR149" s="206">
        <f t="shared" ca="1" si="1547"/>
        <v>0</v>
      </c>
      <c r="AS149" s="207">
        <f t="shared" ca="1" si="1502"/>
        <v>0</v>
      </c>
      <c r="AT149" s="541">
        <f t="shared" si="1548"/>
        <v>0</v>
      </c>
      <c r="AU149" s="541">
        <f t="shared" ca="1" si="1412"/>
        <v>0</v>
      </c>
      <c r="AV149" s="541">
        <f t="shared" ca="1" si="1549"/>
        <v>0</v>
      </c>
      <c r="AW149" s="546">
        <f t="shared" ca="1" si="1504"/>
        <v>0</v>
      </c>
      <c r="AX149" s="1007" t="str">
        <f t="shared" ca="1" si="936"/>
        <v/>
      </c>
      <c r="AY149" s="1255"/>
      <c r="AZ149" s="312" t="str">
        <f t="shared" ca="1" si="1550"/>
        <v/>
      </c>
      <c r="BA149" s="1254"/>
      <c r="BB149" s="199">
        <f t="shared" ca="1" si="1551"/>
        <v>0</v>
      </c>
      <c r="BC149" s="199">
        <f t="shared" ca="1" si="1552"/>
        <v>0</v>
      </c>
      <c r="BD149" s="216">
        <f t="shared" ca="1" si="1508"/>
        <v>0</v>
      </c>
      <c r="BE149" s="202">
        <f ca="1">BF149/$AC149</f>
        <v>0</v>
      </c>
      <c r="BF149" s="203">
        <f ca="1">BG149/$AE149</f>
        <v>0</v>
      </c>
      <c r="BG149" s="203">
        <f t="shared" ca="1" si="1555"/>
        <v>0</v>
      </c>
      <c r="BH149" s="204">
        <f t="shared" ca="1" si="1576"/>
        <v>0</v>
      </c>
      <c r="BI149" s="1253"/>
      <c r="BJ149" s="206">
        <f t="shared" ca="1" si="1557"/>
        <v>0</v>
      </c>
      <c r="BK149" s="206">
        <f t="shared" ca="1" si="1558"/>
        <v>0</v>
      </c>
      <c r="BL149" s="207">
        <f t="shared" ca="1" si="1515"/>
        <v>0</v>
      </c>
      <c r="BM149" s="541">
        <f t="shared" si="1559"/>
        <v>0</v>
      </c>
      <c r="BN149" s="541">
        <f t="shared" ca="1" si="1413"/>
        <v>0</v>
      </c>
      <c r="BO149" s="541">
        <f t="shared" ca="1" si="1560"/>
        <v>0</v>
      </c>
      <c r="BP149" s="918">
        <f t="shared" ca="1" si="1517"/>
        <v>0</v>
      </c>
      <c r="BQ149" s="1007" t="str">
        <f t="shared" ref="BQ149:BQ151" ca="1" si="1598">IF(OR(BD149&lt;&gt;0,BL149&lt;&gt;0),"V","")</f>
        <v/>
      </c>
      <c r="BR149" s="1007"/>
    </row>
    <row r="150" spans="1:70" ht="13.5" hidden="1" customHeight="1" outlineLevel="1" x14ac:dyDescent="0.2">
      <c r="A150" s="535"/>
      <c r="B150" s="535"/>
      <c r="C150" s="535" t="str">
        <f t="shared" ca="1" si="1528"/>
        <v>XD0002818892:USD</v>
      </c>
      <c r="D150" s="536" t="str">
        <f t="shared" ca="1" si="1529"/>
        <v>XD0002818892</v>
      </c>
      <c r="E150" s="537" t="str">
        <f t="shared" ca="1" si="1529"/>
        <v>281889</v>
      </c>
      <c r="F150" s="535" t="s">
        <v>798</v>
      </c>
      <c r="G150" s="538"/>
      <c r="H150" s="1729" t="str">
        <f t="shared" ca="1" si="1530"/>
        <v></v>
      </c>
      <c r="I150" s="1729" t="str">
        <f t="shared" ref="I150" ca="1" si="1599">HYPERLINK(OFFSET(Origine,MATCH($F150,Descrizioni,0),MATCH(I$14,Intestazioni,0)-1,1,1),"i")</f>
        <v>i</v>
      </c>
      <c r="J150" s="1729" t="str">
        <f t="shared" ref="J150:K150" ca="1" si="1600">HYPERLINK(OFFSET(Origine,MATCH($F150,Descrizioni,0),MATCH(J$14,Intestazioni,0)-1,1,1),"")</f>
        <v></v>
      </c>
      <c r="K150" s="1730" t="str">
        <f t="shared" ca="1" si="1600"/>
        <v></v>
      </c>
      <c r="L150" s="1731" t="str">
        <f t="shared" ca="1" si="1533"/>
        <v></v>
      </c>
      <c r="M150" s="534" t="str">
        <f t="shared" ca="1" si="1534"/>
        <v>Unit</v>
      </c>
      <c r="N150" s="1066"/>
      <c r="O150" s="1356" cm="1">
        <f t="array" aca="1" ref="O150" ca="1">SUM(IF($AF$14:$BQ$14="I_ctrlv",AF150:BQ150))</f>
        <v>183310.50937499999</v>
      </c>
      <c r="P150" s="540">
        <f t="shared" ca="1" si="1488"/>
        <v>2.7987419390056185E-2</v>
      </c>
      <c r="Q150" s="541">
        <f t="array" aca="1" ref="Q150" ca="1">SUM(IF($AF$14:$BQ$14="I_pos",AF150:BQ150))</f>
        <v>45</v>
      </c>
      <c r="R150" s="541">
        <f t="array" aca="1" ref="R150" ca="1">SUM(IF($AF$14:$BQ$14="P_Pos",AF150:BQ150))</f>
        <v>-45</v>
      </c>
      <c r="S150" s="1357"/>
      <c r="T150" s="541"/>
      <c r="U150" s="534"/>
      <c r="V150" s="541">
        <f t="array" aca="1" ref="V150" ca="1">SUM(IF($AF$14:$BQ$14="O_Pos",AF150:BQ150))</f>
        <v>0</v>
      </c>
      <c r="W150" s="1356"/>
      <c r="X150" s="1358">
        <f t="shared" ref="X150:AA150" ca="1" si="1601">OFFSET(Origine,MATCH($F150,Descrizioni,0),MATCH(X$14,Intestazioni,0)-1,1,1)</f>
        <v>0</v>
      </c>
      <c r="Y150" s="1358">
        <f t="shared" ca="1" si="1601"/>
        <v>0</v>
      </c>
      <c r="Z150" s="1358">
        <f t="shared" ca="1" si="1601"/>
        <v>0</v>
      </c>
      <c r="AA150" s="1359">
        <f t="shared" ca="1" si="1601"/>
        <v>0</v>
      </c>
      <c r="AB150" s="535" t="s">
        <v>366</v>
      </c>
      <c r="AC150" s="543">
        <f t="shared" ref="AC150" ca="1" si="1602">_xlfn.NUMBERVALUE(OFFSET(Origine,MATCH($F150,Descrizioni,0),MATCH(AC$14,Intestazioni,0)-1,1,1))</f>
        <v>5207.5</v>
      </c>
      <c r="AD150" s="544">
        <f t="shared" ca="1" si="1537"/>
        <v>0</v>
      </c>
      <c r="AE150" s="545">
        <f t="shared" ca="1" si="1538"/>
        <v>0.78225</v>
      </c>
      <c r="AF150" s="214">
        <f>90+-45</f>
        <v>45</v>
      </c>
      <c r="AG150" s="312">
        <f t="shared" ca="1" si="1539"/>
        <v>3.9832535885167468</v>
      </c>
      <c r="AH150" s="1254">
        <v>1045</v>
      </c>
      <c r="AI150" s="199">
        <f t="shared" ca="1" si="1540"/>
        <v>234337.5</v>
      </c>
      <c r="AJ150" s="199">
        <f t="shared" ca="1" si="1541"/>
        <v>183310.50937499999</v>
      </c>
      <c r="AK150" s="216">
        <f t="shared" ca="1" si="1495"/>
        <v>3.1377157824890665E-2</v>
      </c>
      <c r="AL150" s="202">
        <f ca="1">AM150/$AC150</f>
        <v>-45</v>
      </c>
      <c r="AM150" s="203">
        <f ca="1">AN150/$AE150</f>
        <v>-234337.5</v>
      </c>
      <c r="AN150" s="203">
        <f t="shared" ca="1" si="1544"/>
        <v>-183310.50937499999</v>
      </c>
      <c r="AO150" s="204">
        <f t="shared" ca="1" si="1573"/>
        <v>-3.1377157824890665E-2</v>
      </c>
      <c r="AP150" s="205"/>
      <c r="AQ150" s="206">
        <f t="shared" ca="1" si="1546"/>
        <v>0</v>
      </c>
      <c r="AR150" s="206">
        <f t="shared" ca="1" si="1547"/>
        <v>0</v>
      </c>
      <c r="AS150" s="207">
        <f t="shared" ca="1" si="1502"/>
        <v>0</v>
      </c>
      <c r="AT150" s="541">
        <f t="shared" si="1548"/>
        <v>45</v>
      </c>
      <c r="AU150" s="541">
        <f t="shared" ca="1" si="1412"/>
        <v>234337.5</v>
      </c>
      <c r="AV150" s="541">
        <f t="shared" ca="1" si="1549"/>
        <v>183310.50937499999</v>
      </c>
      <c r="AW150" s="546">
        <f t="shared" ca="1" si="1504"/>
        <v>3.1377157824890665E-2</v>
      </c>
      <c r="AX150" s="1007" t="str">
        <f t="shared" ref="AX150:AX175" ca="1" si="1603">IF(OR(AK150&lt;&gt;0,AS150&lt;&gt;0),"V","")</f>
        <v>V</v>
      </c>
      <c r="AY150" s="1255"/>
      <c r="AZ150" s="312" t="str">
        <f t="shared" ca="1" si="1550"/>
        <v/>
      </c>
      <c r="BA150" s="1254"/>
      <c r="BB150" s="199">
        <f t="shared" ca="1" si="1551"/>
        <v>0</v>
      </c>
      <c r="BC150" s="199">
        <f t="shared" ca="1" si="1552"/>
        <v>0</v>
      </c>
      <c r="BD150" s="216">
        <f t="shared" ca="1" si="1508"/>
        <v>0</v>
      </c>
      <c r="BE150" s="202">
        <f ca="1">BF150/$AC150</f>
        <v>0</v>
      </c>
      <c r="BF150" s="203">
        <f ca="1">BG150/$AE150</f>
        <v>0</v>
      </c>
      <c r="BG150" s="203">
        <f t="shared" ca="1" si="1555"/>
        <v>0</v>
      </c>
      <c r="BH150" s="204">
        <f t="shared" ca="1" si="1576"/>
        <v>0</v>
      </c>
      <c r="BI150" s="1253"/>
      <c r="BJ150" s="206">
        <f t="shared" ca="1" si="1557"/>
        <v>0</v>
      </c>
      <c r="BK150" s="206">
        <f t="shared" ca="1" si="1558"/>
        <v>0</v>
      </c>
      <c r="BL150" s="207">
        <f t="shared" ca="1" si="1515"/>
        <v>0</v>
      </c>
      <c r="BM150" s="541">
        <f t="shared" si="1559"/>
        <v>0</v>
      </c>
      <c r="BN150" s="541">
        <f t="shared" ca="1" si="1413"/>
        <v>0</v>
      </c>
      <c r="BO150" s="541">
        <f t="shared" ca="1" si="1560"/>
        <v>0</v>
      </c>
      <c r="BP150" s="918">
        <f t="shared" ca="1" si="1517"/>
        <v>0</v>
      </c>
      <c r="BQ150" s="1007" t="str">
        <f t="shared" ca="1" si="1598"/>
        <v/>
      </c>
      <c r="BR150" s="1007"/>
    </row>
    <row r="151" spans="1:70" ht="13.5" hidden="1" customHeight="1" outlineLevel="1" x14ac:dyDescent="0.2">
      <c r="A151" s="535"/>
      <c r="B151" s="535"/>
      <c r="C151" s="535" t="str">
        <f t="shared" ca="1" si="1528"/>
        <v>CH0002813837:CHF</v>
      </c>
      <c r="D151" s="1362" t="str">
        <f t="shared" ca="1" si="1529"/>
        <v>CH0002813837</v>
      </c>
      <c r="E151" s="1363" t="str">
        <f t="shared" ca="1" si="1529"/>
        <v>281383</v>
      </c>
      <c r="F151" s="1364" t="s">
        <v>799</v>
      </c>
      <c r="G151" s="1365"/>
      <c r="H151" s="1729" t="str">
        <f t="shared" ca="1" si="1530"/>
        <v></v>
      </c>
      <c r="I151" s="1729" t="str">
        <f t="shared" ref="I151" ca="1" si="1604">HYPERLINK(OFFSET(Origine,MATCH($F151,Descrizioni,0),MATCH(I$14,Intestazioni,0)-1,1,1),"i")</f>
        <v>i</v>
      </c>
      <c r="J151" s="1729" t="str">
        <f t="shared" ref="J151:K151" ca="1" si="1605">HYPERLINK(OFFSET(Origine,MATCH($F151,Descrizioni,0),MATCH(J$14,Intestazioni,0)-1,1,1),"")</f>
        <v></v>
      </c>
      <c r="K151" s="1730" t="str">
        <f t="shared" ca="1" si="1605"/>
        <v></v>
      </c>
      <c r="L151" s="1731" t="str">
        <f t="shared" ca="1" si="1533"/>
        <v></v>
      </c>
      <c r="M151" s="1366" t="str">
        <f t="shared" ca="1" si="1534"/>
        <v>Unit</v>
      </c>
      <c r="N151" s="1066"/>
      <c r="O151" s="1367" cm="1">
        <f t="array" aca="1" ref="O151" ca="1">SUM(IF($AF$14:$BQ$14="I_ctrlv",AF151:BQ151))</f>
        <v>221850.02884050002</v>
      </c>
      <c r="P151" s="1368">
        <f t="shared" ca="1" si="1488"/>
        <v>3.3871542990223789E-2</v>
      </c>
      <c r="Q151" s="1369">
        <f t="array" aca="1" ref="Q151" ca="1">SUM(IF($AF$14:$BQ$14="I_pos",AF151:BQ151))</f>
        <v>300</v>
      </c>
      <c r="R151" s="1369">
        <f t="array" aca="1" ref="R151" ca="1">SUM(IF($AF$14:$BQ$14="P_Pos",AF151:BQ151))</f>
        <v>-300.00000000000006</v>
      </c>
      <c r="S151" s="1380"/>
      <c r="T151" s="1369"/>
      <c r="U151" s="1366"/>
      <c r="V151" s="1369">
        <f t="array" aca="1" ref="V151" ca="1">SUM(IF($AF$14:$BQ$14="O_Pos",AF151:BQ151))</f>
        <v>0</v>
      </c>
      <c r="W151" s="1367"/>
      <c r="X151" s="1371">
        <f t="shared" ref="X151:AA151" ca="1" si="1606">OFFSET(Origine,MATCH($F151,Descrizioni,0),MATCH(X$14,Intestazioni,0)-1,1,1)</f>
        <v>0</v>
      </c>
      <c r="Y151" s="1371">
        <f t="shared" ca="1" si="1606"/>
        <v>0</v>
      </c>
      <c r="Z151" s="1371">
        <f t="shared" ca="1" si="1606"/>
        <v>0</v>
      </c>
      <c r="AA151" s="1372">
        <f t="shared" ca="1" si="1606"/>
        <v>0</v>
      </c>
      <c r="AB151" s="1364" t="str">
        <f t="shared" ref="AB151" ca="1" si="1607">OFFSET(Origine,MATCH($F151,Descrizioni,0),MATCH(AB$14,Intestazioni,0)-1,1,1)</f>
        <v>CHF</v>
      </c>
      <c r="AC151" s="1373">
        <f t="shared" ref="AC151" ca="1" si="1608">_xlfn.NUMBERVALUE(OFFSET(Origine,MATCH($F151,Descrizioni,0),MATCH(AC$14,Intestazioni,0)-1,1,1))</f>
        <v>739.5</v>
      </c>
      <c r="AD151" s="1374">
        <f t="shared" ca="1" si="1537"/>
        <v>0</v>
      </c>
      <c r="AE151" s="1375">
        <f t="shared" ca="1" si="1538"/>
        <v>1.0000001300000001</v>
      </c>
      <c r="AF151" s="1376">
        <v>300</v>
      </c>
      <c r="AG151" s="312" t="str">
        <f t="shared" ca="1" si="1539"/>
        <v/>
      </c>
      <c r="AH151" s="1377"/>
      <c r="AI151" s="1378">
        <f t="shared" ca="1" si="1540"/>
        <v>221850</v>
      </c>
      <c r="AJ151" s="1378">
        <f t="shared" ca="1" si="1541"/>
        <v>221850.02884050002</v>
      </c>
      <c r="AK151" s="1379">
        <f t="shared" ca="1" si="1495"/>
        <v>3.7973945913513808E-2</v>
      </c>
      <c r="AL151" s="202">
        <f ca="1">AM151/$AC151</f>
        <v>-300.00000000000006</v>
      </c>
      <c r="AM151" s="203">
        <f ca="1">AN151/$AE151</f>
        <v>-221850.00000000003</v>
      </c>
      <c r="AN151" s="203">
        <f t="shared" ca="1" si="1544"/>
        <v>-221850.02884050005</v>
      </c>
      <c r="AO151" s="204">
        <f t="shared" ca="1" si="1573"/>
        <v>-3.7973945913513808E-2</v>
      </c>
      <c r="AP151" s="205"/>
      <c r="AQ151" s="206">
        <f t="shared" ca="1" si="1546"/>
        <v>0</v>
      </c>
      <c r="AR151" s="206">
        <f t="shared" ca="1" si="1547"/>
        <v>0</v>
      </c>
      <c r="AS151" s="207">
        <f t="shared" ca="1" si="1502"/>
        <v>0</v>
      </c>
      <c r="AT151" s="541">
        <f t="shared" si="1548"/>
        <v>300</v>
      </c>
      <c r="AU151" s="541">
        <f t="shared" ca="1" si="1412"/>
        <v>221850</v>
      </c>
      <c r="AV151" s="541">
        <f t="shared" ca="1" si="1549"/>
        <v>221850.02884050002</v>
      </c>
      <c r="AW151" s="546">
        <f t="shared" ca="1" si="1504"/>
        <v>3.7973945913513808E-2</v>
      </c>
      <c r="AX151" s="1007" t="str">
        <f t="shared" ca="1" si="1603"/>
        <v>V</v>
      </c>
      <c r="AY151" s="1255"/>
      <c r="AZ151" s="312" t="str">
        <f t="shared" ca="1" si="1550"/>
        <v/>
      </c>
      <c r="BA151" s="1377"/>
      <c r="BB151" s="199">
        <f t="shared" ca="1" si="1551"/>
        <v>0</v>
      </c>
      <c r="BC151" s="199">
        <f t="shared" ca="1" si="1552"/>
        <v>0</v>
      </c>
      <c r="BD151" s="216">
        <f t="shared" ca="1" si="1508"/>
        <v>0</v>
      </c>
      <c r="BE151" s="202">
        <f ca="1">BF151/$AC151</f>
        <v>0</v>
      </c>
      <c r="BF151" s="203">
        <f ca="1">BG151/$AE151</f>
        <v>0</v>
      </c>
      <c r="BG151" s="203">
        <f t="shared" ca="1" si="1555"/>
        <v>0</v>
      </c>
      <c r="BH151" s="204">
        <f t="shared" ca="1" si="1576"/>
        <v>0</v>
      </c>
      <c r="BI151" s="1253"/>
      <c r="BJ151" s="206">
        <f t="shared" ca="1" si="1557"/>
        <v>0</v>
      </c>
      <c r="BK151" s="206">
        <f t="shared" ca="1" si="1558"/>
        <v>0</v>
      </c>
      <c r="BL151" s="207">
        <f t="shared" ca="1" si="1515"/>
        <v>0</v>
      </c>
      <c r="BM151" s="541">
        <f t="shared" si="1559"/>
        <v>0</v>
      </c>
      <c r="BN151" s="541">
        <f t="shared" ca="1" si="1413"/>
        <v>0</v>
      </c>
      <c r="BO151" s="541">
        <f t="shared" ca="1" si="1560"/>
        <v>0</v>
      </c>
      <c r="BP151" s="918">
        <f t="shared" ca="1" si="1517"/>
        <v>0</v>
      </c>
      <c r="BQ151" s="1007" t="str">
        <f t="shared" ca="1" si="1598"/>
        <v/>
      </c>
      <c r="BR151" s="1007"/>
    </row>
    <row r="152" spans="1:70" ht="13.5" hidden="1" customHeight="1" outlineLevel="1" x14ac:dyDescent="0.2">
      <c r="A152" s="535"/>
      <c r="B152" s="535"/>
      <c r="C152" s="535" t="str">
        <f t="shared" ca="1" si="1528"/>
        <v>CH0106027193:USD</v>
      </c>
      <c r="D152" s="536" t="str">
        <f t="shared" ca="1" si="1529"/>
        <v>CH0106027193</v>
      </c>
      <c r="E152" s="537" t="str">
        <f t="shared" ca="1" si="1529"/>
        <v>10602719</v>
      </c>
      <c r="F152" s="535" t="s">
        <v>650</v>
      </c>
      <c r="G152" s="538"/>
      <c r="H152" s="1729" t="str">
        <f t="shared" ca="1" si="1530"/>
        <v></v>
      </c>
      <c r="I152" s="1690" t="str">
        <f t="shared" ref="I152" ca="1" si="1609">HYPERLINK(OFFSET(Origine,MATCH($F152,Descrizioni,0),MATCH(I$14,Intestazioni,0)-1,1,1),"i")</f>
        <v>i</v>
      </c>
      <c r="J152" s="1729" t="str">
        <f t="shared" ref="J152:K152" ca="1" si="1610">HYPERLINK(OFFSET(Origine,MATCH($F152,Descrizioni,0),MATCH(J$14,Intestazioni,0)-1,1,1),"")</f>
        <v></v>
      </c>
      <c r="K152" s="1730" t="str">
        <f t="shared" ca="1" si="1610"/>
        <v></v>
      </c>
      <c r="L152" s="1731" t="str">
        <f t="shared" ca="1" si="1533"/>
        <v></v>
      </c>
      <c r="M152" s="534" t="str">
        <f t="shared" ca="1" si="1534"/>
        <v>Unit</v>
      </c>
      <c r="N152" s="1066"/>
      <c r="O152" s="1356" cm="1">
        <f t="array" aca="1" ref="O152" ca="1">SUM(IF($AF$14:$BQ$14="I_ctrlv",AF152:BQ152))</f>
        <v>0</v>
      </c>
      <c r="P152" s="540">
        <f t="shared" ca="1" si="1488"/>
        <v>0</v>
      </c>
      <c r="Q152" s="541">
        <f t="array" aca="1" ref="Q152" ca="1">SUM(IF($AF$14:$BQ$14="I_pos",AF152:BQ152))</f>
        <v>0</v>
      </c>
      <c r="R152" s="541">
        <f t="array" aca="1" ref="R152" ca="1">SUM(IF($AF$14:$BQ$14="P_Pos",AF152:BQ152))</f>
        <v>0</v>
      </c>
      <c r="S152" s="1357"/>
      <c r="T152" s="541"/>
      <c r="U152" s="534"/>
      <c r="V152" s="541">
        <f t="array" aca="1" ref="V152" ca="1">SUM(IF($AF$14:$BQ$14="O_Pos",AF152:BQ152))</f>
        <v>0</v>
      </c>
      <c r="W152" s="1356"/>
      <c r="X152" s="1358">
        <f t="shared" ref="X152:AA152" ca="1" si="1611">OFFSET(Origine,MATCH($F152,Descrizioni,0),MATCH(X$14,Intestazioni,0)-1,1,1)</f>
        <v>0</v>
      </c>
      <c r="Y152" s="1358">
        <f t="shared" ca="1" si="1611"/>
        <v>0</v>
      </c>
      <c r="Z152" s="1358">
        <f t="shared" ca="1" si="1611"/>
        <v>0</v>
      </c>
      <c r="AA152" s="1359">
        <f t="shared" ca="1" si="1611"/>
        <v>0</v>
      </c>
      <c r="AB152" s="535" t="str">
        <f t="shared" ref="AB152" ca="1" si="1612">OFFSET(Origine,MATCH($F152,Descrizioni,0),MATCH(AB$14,Intestazioni,0)-1,1,1)</f>
        <v>USD</v>
      </c>
      <c r="AC152" s="543">
        <f t="shared" ref="AC152" ca="1" si="1613">_xlfn.NUMBERVALUE(OFFSET(Origine,MATCH($F152,Descrizioni,0),MATCH(AC$14,Intestazioni,0)-1,1,1))</f>
        <v>163.58000000000001</v>
      </c>
      <c r="AD152" s="544">
        <f t="shared" ca="1" si="1537"/>
        <v>0</v>
      </c>
      <c r="AE152" s="545">
        <f t="shared" ca="1" si="1538"/>
        <v>0.78225</v>
      </c>
      <c r="AF152" s="214"/>
      <c r="AG152" s="312" t="str">
        <f t="shared" ca="1" si="1539"/>
        <v/>
      </c>
      <c r="AH152" s="1254"/>
      <c r="AI152" s="199">
        <f t="shared" ca="1" si="1540"/>
        <v>0</v>
      </c>
      <c r="AJ152" s="199">
        <f t="shared" ca="1" si="1541"/>
        <v>0</v>
      </c>
      <c r="AK152" s="216">
        <f t="shared" ca="1" si="1495"/>
        <v>0</v>
      </c>
      <c r="AL152" s="202">
        <f ca="1">AM152/$AC152</f>
        <v>0</v>
      </c>
      <c r="AM152" s="203">
        <f ca="1">AN152/$AE152</f>
        <v>0</v>
      </c>
      <c r="AN152" s="203">
        <f t="shared" ca="1" si="1544"/>
        <v>0</v>
      </c>
      <c r="AO152" s="204">
        <f t="shared" ca="1" si="1573"/>
        <v>0</v>
      </c>
      <c r="AP152" s="205"/>
      <c r="AQ152" s="206">
        <f t="shared" ca="1" si="1546"/>
        <v>0</v>
      </c>
      <c r="AR152" s="206">
        <f t="shared" ca="1" si="1547"/>
        <v>0</v>
      </c>
      <c r="AS152" s="207">
        <f t="shared" ca="1" si="1502"/>
        <v>0</v>
      </c>
      <c r="AT152" s="541">
        <f t="shared" si="1548"/>
        <v>0</v>
      </c>
      <c r="AU152" s="541">
        <f t="shared" ca="1" si="1412"/>
        <v>0</v>
      </c>
      <c r="AV152" s="541">
        <f t="shared" ca="1" si="1549"/>
        <v>0</v>
      </c>
      <c r="AW152" s="546">
        <f t="shared" ca="1" si="1504"/>
        <v>0</v>
      </c>
      <c r="AX152" s="1007" t="str">
        <f t="shared" ca="1" si="1603"/>
        <v/>
      </c>
      <c r="AY152" s="1255"/>
      <c r="AZ152" s="312" t="str">
        <f t="shared" ca="1" si="1550"/>
        <v/>
      </c>
      <c r="BA152" s="1254"/>
      <c r="BB152" s="199">
        <f t="shared" ca="1" si="1551"/>
        <v>0</v>
      </c>
      <c r="BC152" s="199">
        <f t="shared" ca="1" si="1552"/>
        <v>0</v>
      </c>
      <c r="BD152" s="216">
        <f t="shared" ca="1" si="1508"/>
        <v>0</v>
      </c>
      <c r="BE152" s="202">
        <f ca="1">BF152/$AC152</f>
        <v>0</v>
      </c>
      <c r="BF152" s="203">
        <f ca="1">BG152/$AE152</f>
        <v>0</v>
      </c>
      <c r="BG152" s="203">
        <f t="shared" ca="1" si="1555"/>
        <v>0</v>
      </c>
      <c r="BH152" s="204">
        <f t="shared" ca="1" si="1576"/>
        <v>0</v>
      </c>
      <c r="BI152" s="1253"/>
      <c r="BJ152" s="206">
        <f t="shared" ca="1" si="1557"/>
        <v>0</v>
      </c>
      <c r="BK152" s="206">
        <f t="shared" ca="1" si="1558"/>
        <v>0</v>
      </c>
      <c r="BL152" s="207">
        <f t="shared" ca="1" si="1515"/>
        <v>0</v>
      </c>
      <c r="BM152" s="541">
        <f t="shared" si="1559"/>
        <v>0</v>
      </c>
      <c r="BN152" s="541">
        <f t="shared" ca="1" si="1413"/>
        <v>0</v>
      </c>
      <c r="BO152" s="541">
        <f t="shared" ca="1" si="1560"/>
        <v>0</v>
      </c>
      <c r="BP152" s="918">
        <f t="shared" ca="1" si="1517"/>
        <v>0</v>
      </c>
      <c r="BQ152" s="1007" t="str">
        <f t="shared" ca="1" si="1593"/>
        <v/>
      </c>
      <c r="BR152" s="1007"/>
    </row>
    <row r="153" spans="1:70" ht="13.5" customHeight="1" collapsed="1" x14ac:dyDescent="0.2">
      <c r="A153" s="514"/>
      <c r="B153" s="514" t="s">
        <v>514</v>
      </c>
      <c r="C153" s="514"/>
      <c r="D153" s="515"/>
      <c r="E153" s="516"/>
      <c r="F153" s="514"/>
      <c r="G153" s="517"/>
      <c r="H153" s="1689"/>
      <c r="I153" s="1689"/>
      <c r="J153" s="1689"/>
      <c r="K153" s="1689"/>
      <c r="L153" s="1689"/>
      <c r="M153" s="513"/>
      <c r="N153" s="1063">
        <f>SUM(N$154:N$155)</f>
        <v>0.03</v>
      </c>
      <c r="O153" s="1349" cm="1">
        <f t="array" aca="1" ref="O153" ca="1">SUM(IF($AF$14:$BQ$14="I_ctrlv",AF153:BQ153))</f>
        <v>0</v>
      </c>
      <c r="P153" s="1063">
        <f ca="1">SUM(P$154:P$155)</f>
        <v>0</v>
      </c>
      <c r="Q153" s="520"/>
      <c r="R153" s="520"/>
      <c r="S153" s="927"/>
      <c r="T153" s="520"/>
      <c r="U153" s="513"/>
      <c r="V153" s="520">
        <f ca="1">COUNTIF(V154,"&lt;&gt;0")</f>
        <v>0</v>
      </c>
      <c r="W153" s="1349"/>
      <c r="X153" s="1350"/>
      <c r="Y153" s="1350"/>
      <c r="Z153" s="1350"/>
      <c r="AA153" s="1351"/>
      <c r="AB153" s="514"/>
      <c r="AC153" s="523"/>
      <c r="AD153" s="1352"/>
      <c r="AE153" s="524"/>
      <c r="AF153" s="525"/>
      <c r="AG153" s="514"/>
      <c r="AH153" s="1353"/>
      <c r="AI153" s="514"/>
      <c r="AJ153" s="527">
        <f ca="1">SUM(AJ$154:AJ$155)</f>
        <v>0</v>
      </c>
      <c r="AK153" s="528">
        <f t="shared" ca="1" si="1495"/>
        <v>0</v>
      </c>
      <c r="AL153" s="529"/>
      <c r="AM153" s="514"/>
      <c r="AN153" s="527">
        <f ca="1">SUM(AN$154:AN$155)</f>
        <v>175264.92717857123</v>
      </c>
      <c r="AO153" s="530">
        <f ca="1">IFERROR(AN153/AF$4,0)</f>
        <v>2.9999999999999995E-2</v>
      </c>
      <c r="AP153" s="529"/>
      <c r="AQ153" s="514"/>
      <c r="AR153" s="527">
        <f ca="1">SUM(AR$154:AR$155)</f>
        <v>0</v>
      </c>
      <c r="AS153" s="530">
        <f t="shared" ca="1" si="1502"/>
        <v>0</v>
      </c>
      <c r="AT153" s="514"/>
      <c r="AU153" s="514"/>
      <c r="AV153" s="527">
        <f ca="1">SUM(AV$154:AV$155)</f>
        <v>0</v>
      </c>
      <c r="AW153" s="528">
        <f t="shared" ca="1" si="1504"/>
        <v>0</v>
      </c>
      <c r="AX153" s="1007" t="str">
        <f t="shared" ca="1" si="1603"/>
        <v/>
      </c>
      <c r="AY153" s="1354"/>
      <c r="AZ153" s="514"/>
      <c r="BA153" s="1353"/>
      <c r="BB153" s="514"/>
      <c r="BC153" s="527">
        <f ca="1">SUM(BC$154:BC$155)</f>
        <v>0</v>
      </c>
      <c r="BD153" s="528">
        <f t="shared" ca="1" si="1508"/>
        <v>0</v>
      </c>
      <c r="BE153" s="529"/>
      <c r="BF153" s="514"/>
      <c r="BG153" s="527">
        <f ca="1">SUM(BG$154:BG$155)</f>
        <v>21227.475518759387</v>
      </c>
      <c r="BH153" s="530">
        <f ca="1">IFERROR(BG153/AY$4,0)</f>
        <v>0.03</v>
      </c>
      <c r="BI153" s="1355"/>
      <c r="BJ153" s="514"/>
      <c r="BK153" s="527">
        <f ca="1">SUM(BK$154:BK$155)</f>
        <v>0</v>
      </c>
      <c r="BL153" s="530">
        <f t="shared" ca="1" si="1515"/>
        <v>0</v>
      </c>
      <c r="BM153" s="514"/>
      <c r="BN153" s="514"/>
      <c r="BO153" s="527">
        <f ca="1">SUM(BO$154:BO$155)</f>
        <v>0</v>
      </c>
      <c r="BP153" s="937">
        <f t="shared" ca="1" si="1517"/>
        <v>0</v>
      </c>
      <c r="BQ153" s="1007" t="str">
        <f t="shared" ref="BQ153:BQ154" ca="1" si="1614">IF(OR(BD153&lt;&gt;0,BL153&lt;&gt;0),"V","")</f>
        <v/>
      </c>
      <c r="BR153" s="1007"/>
    </row>
    <row r="154" spans="1:70" ht="13.5" hidden="1" customHeight="1" outlineLevel="1" x14ac:dyDescent="0.2">
      <c r="A154" s="535"/>
      <c r="B154" s="535"/>
      <c r="C154" s="535" t="str">
        <f t="shared" ref="C154:E155" ca="1" si="1615">OFFSET(Origine,MATCH($F154,Descrizioni,0),MATCH(C$14,Intestazioni,0)-1,1,1)</f>
        <v>GB00B15KYH63:USD:LSS</v>
      </c>
      <c r="D154" s="536" t="str">
        <f t="shared" ca="1" si="1615"/>
        <v>GB00B15KYH63</v>
      </c>
      <c r="E154" s="537" t="str">
        <f t="shared" ca="1" si="1615"/>
        <v>2726117</v>
      </c>
      <c r="F154" s="535" t="s">
        <v>515</v>
      </c>
      <c r="G154" s="538"/>
      <c r="H154" s="1729" t="str">
        <f ca="1">HYPERLINK(OFFSET(Origine,MATCH($F154,Descrizioni,0),MATCH(H$14,Intestazioni,0)-1,1,1),"")</f>
        <v></v>
      </c>
      <c r="I154" s="1690" t="str">
        <f ca="1">HYPERLINK(OFFSET(Origine,MATCH($F154,Descrizioni,0),MATCH(I$14,Intestazioni,0)-1,1,1),"i")</f>
        <v>i</v>
      </c>
      <c r="J154" s="1729" t="str">
        <f ca="1">HYPERLINK(OFFSET(Origine,MATCH($F154,Descrizioni,0),MATCH(J$14,Intestazioni,0)-1,1,1),"")</f>
        <v></v>
      </c>
      <c r="K154" s="1730" t="str">
        <f ca="1">HYPERLINK(OFFSET(Origine,MATCH($F154,Descrizioni,0),MATCH(K$14,Intestazioni,0)-1,1,1),"")</f>
        <v></v>
      </c>
      <c r="L154" s="1731" t="str">
        <f ca="1">IFERROR(HYPERLINK("https://www.zonebourse.com/mods_a/charts/TV/inc_dyna_graph.php?c="&amp;OFFSET(Origine,MATCH($F154,Descrizioni,0),MATCH(L$14,Intestazioni,0)-1,1,1)&amp;"&amp;style=TradingView.CANDLES&amp;showAT=1",""),"")</f>
        <v></v>
      </c>
      <c r="M154" s="534" t="str">
        <f ca="1">(OFFSET(Origine,MATCH($F154,Descrizioni,0),MATCH(M$14,Intestazioni,0)-1,1,1))</f>
        <v>Unit</v>
      </c>
      <c r="N154" s="1066">
        <v>0.03</v>
      </c>
      <c r="O154" s="1356" cm="1">
        <f t="array" aca="1" ref="O154" ca="1">SUM(IF($AF$14:$BQ$14="I_ctrlv",AF154:BQ154))</f>
        <v>0</v>
      </c>
      <c r="P154" s="540">
        <f t="shared" ref="P154:P170" ca="1" si="1616">SUMIF($AF$14:$BQ$14,"I_Ctrlv",$AF154:$BQ154)/$P$4</f>
        <v>0</v>
      </c>
      <c r="Q154" s="541">
        <f t="array" aca="1" ref="Q154" ca="1">SUM(IF($AF$14:$BQ$14="I_pos",AF154:BQ154))</f>
        <v>0</v>
      </c>
      <c r="R154" s="541">
        <f t="array" aca="1" ref="R154" ca="1">SUM(IF($AF$14:$BQ$14="P_Pos",AF154:BQ154))</f>
        <v>42119.262854354754</v>
      </c>
      <c r="S154" s="1357"/>
      <c r="T154" s="541"/>
      <c r="U154" s="534"/>
      <c r="V154" s="541">
        <f t="array" aca="1" ref="V154" ca="1">SUM(IF($AF$14:$BQ$14="O_Pos",AF154:BQ154))</f>
        <v>0</v>
      </c>
      <c r="W154" s="1356"/>
      <c r="X154" s="1358">
        <f t="shared" ref="X154:AA154" ca="1" si="1617">OFFSET(Origine,MATCH($F154,Descrizioni,0),MATCH(X$14,Intestazioni,0)-1,1,1)</f>
        <v>0</v>
      </c>
      <c r="Y154" s="1358">
        <f t="shared" ca="1" si="1617"/>
        <v>0</v>
      </c>
      <c r="Z154" s="1358">
        <f t="shared" ca="1" si="1617"/>
        <v>4.8999999999999998E-3</v>
      </c>
      <c r="AA154" s="1359">
        <f t="shared" ca="1" si="1617"/>
        <v>0</v>
      </c>
      <c r="AB154" s="535" t="str">
        <f ca="1">OFFSET(Origine,MATCH($F154,Descrizioni,0),MATCH(AB$14,Intestazioni,0)-1,1,1)</f>
        <v>USD</v>
      </c>
      <c r="AC154" s="543">
        <f ca="1">_xlfn.NUMBERVALUE(OFFSET(Origine,MATCH($F154,Descrizioni,0),MATCH(AC$14,Intestazioni,0)-1,1,1))</f>
        <v>5.9637500000000001</v>
      </c>
      <c r="AD154" s="544">
        <f ca="1">_xlfn.NUMBERVALUE(OFFSET(Origine,MATCH($F154,Descrizioni,0),MATCH(AD$14,Intestazioni,0)-1,1,1))</f>
        <v>0</v>
      </c>
      <c r="AE154" s="545">
        <f ca="1">_xlfn.NUMBERVALUE(OFFSET(Origine,MATCH(AB154&amp;"/"&amp;MRif,LUKB_Name,0),MATCH("Price",Intestazioni,0)-1,1,1))</f>
        <v>0.78225</v>
      </c>
      <c r="AF154" s="214">
        <f>15000+7000+-22000</f>
        <v>0</v>
      </c>
      <c r="AG154" s="312" t="str">
        <f t="shared" ref="AG154:AG155" ca="1" si="1618">IFERROR($AC154/AH154-1,"")</f>
        <v/>
      </c>
      <c r="AH154" s="1254"/>
      <c r="AI154" s="199">
        <f ca="1">AF154*$AC154</f>
        <v>0</v>
      </c>
      <c r="AJ154" s="199">
        <f ca="1">AI154*$AE154</f>
        <v>0</v>
      </c>
      <c r="AK154" s="216">
        <f t="shared" ca="1" si="1495"/>
        <v>0</v>
      </c>
      <c r="AL154" s="202">
        <f ca="1">AM154/$AC154</f>
        <v>37569.032876831283</v>
      </c>
      <c r="AM154" s="203">
        <f ca="1">AN154/$AE154</f>
        <v>224052.31981920259</v>
      </c>
      <c r="AN154" s="203">
        <f ca="1">AO154*AF$4</f>
        <v>175264.92717857123</v>
      </c>
      <c r="AO154" s="204">
        <f ca="1">$N154-AK154</f>
        <v>0.03</v>
      </c>
      <c r="AP154" s="205"/>
      <c r="AQ154" s="206">
        <f ca="1">AP154*$AC154</f>
        <v>0</v>
      </c>
      <c r="AR154" s="206">
        <f ca="1">AQ154*$AE154</f>
        <v>0</v>
      </c>
      <c r="AS154" s="207">
        <f t="shared" ca="1" si="1502"/>
        <v>0</v>
      </c>
      <c r="AT154" s="541">
        <f>AF154+AP154</f>
        <v>0</v>
      </c>
      <c r="AU154" s="541">
        <f t="shared" ca="1" si="1412"/>
        <v>0</v>
      </c>
      <c r="AV154" s="541">
        <f ca="1">AU154*$AE154</f>
        <v>0</v>
      </c>
      <c r="AW154" s="546">
        <f t="shared" ca="1" si="1504"/>
        <v>0</v>
      </c>
      <c r="AX154" s="1007" t="str">
        <f t="shared" ca="1" si="1603"/>
        <v/>
      </c>
      <c r="AY154" s="1255"/>
      <c r="AZ154" s="312" t="str">
        <f t="shared" ref="AZ154:AZ155" ca="1" si="1619">IFERROR($AC154/BA154-1,"")</f>
        <v/>
      </c>
      <c r="BA154" s="1254"/>
      <c r="BB154" s="199">
        <f ca="1">AY154*$AC154</f>
        <v>0</v>
      </c>
      <c r="BC154" s="199">
        <f ca="1">BB154*$AE154</f>
        <v>0</v>
      </c>
      <c r="BD154" s="216">
        <f t="shared" ca="1" si="1508"/>
        <v>0</v>
      </c>
      <c r="BE154" s="202">
        <f ca="1">BF154/$AC154</f>
        <v>4550.2299775234696</v>
      </c>
      <c r="BF154" s="203">
        <f ca="1">BG154/$AE154</f>
        <v>27136.434028455591</v>
      </c>
      <c r="BG154" s="203">
        <f ca="1">BH154*AY$4</f>
        <v>21227.475518759387</v>
      </c>
      <c r="BH154" s="204">
        <f ca="1">$N154-BD154</f>
        <v>0.03</v>
      </c>
      <c r="BI154" s="1253"/>
      <c r="BJ154" s="206">
        <f ca="1">BI154*$AC154</f>
        <v>0</v>
      </c>
      <c r="BK154" s="206">
        <f ca="1">BJ154*$AE154</f>
        <v>0</v>
      </c>
      <c r="BL154" s="207">
        <f t="shared" ca="1" si="1515"/>
        <v>0</v>
      </c>
      <c r="BM154" s="541">
        <f>AY154+BI154</f>
        <v>0</v>
      </c>
      <c r="BN154" s="541">
        <f t="shared" ca="1" si="1413"/>
        <v>0</v>
      </c>
      <c r="BO154" s="541">
        <f ca="1">BN154*$AE154</f>
        <v>0</v>
      </c>
      <c r="BP154" s="918">
        <f t="shared" ca="1" si="1517"/>
        <v>0</v>
      </c>
      <c r="BQ154" s="1007" t="str">
        <f t="shared" ca="1" si="1614"/>
        <v/>
      </c>
      <c r="BR154" s="1007"/>
    </row>
    <row r="155" spans="1:70" ht="13.5" hidden="1" customHeight="1" outlineLevel="1" x14ac:dyDescent="0.2">
      <c r="A155" s="535"/>
      <c r="B155" s="535"/>
      <c r="C155" s="535" t="str">
        <f t="shared" ca="1" si="1615"/>
        <v>GB00B15KYH63:USD:LSS</v>
      </c>
      <c r="D155" s="536" t="str">
        <f t="shared" ca="1" si="1615"/>
        <v>GB00B15KYH63</v>
      </c>
      <c r="E155" s="537" t="str">
        <f t="shared" ca="1" si="1615"/>
        <v>2726117</v>
      </c>
      <c r="F155" s="535" t="s">
        <v>515</v>
      </c>
      <c r="G155" s="538"/>
      <c r="H155" s="1729" t="str">
        <f ca="1">HYPERLINK(OFFSET(Origine,MATCH($F155,Descrizioni,0),MATCH(H$14,Intestazioni,0)-1,1,1),"")</f>
        <v></v>
      </c>
      <c r="I155" s="1690" t="str">
        <f ca="1">HYPERLINK(OFFSET(Origine,MATCH($F155,Descrizioni,0),MATCH(I$14,Intestazioni,0)-1,1,1),"i")</f>
        <v>i</v>
      </c>
      <c r="J155" s="1729" t="str">
        <f ca="1">HYPERLINK(OFFSET(Origine,MATCH($F155,Descrizioni,0),MATCH(J$14,Intestazioni,0)-1,1,1),"")</f>
        <v></v>
      </c>
      <c r="K155" s="1730" t="str">
        <f ca="1">HYPERLINK(OFFSET(Origine,MATCH($F155,Descrizioni,0),MATCH(K$14,Intestazioni,0)-1,1,1),"")</f>
        <v></v>
      </c>
      <c r="L155" s="1731" t="str">
        <f ca="1">IFERROR(HYPERLINK("https://www.zonebourse.com/mods_a/charts/TV/inc_dyna_graph.php?c="&amp;OFFSET(Origine,MATCH($F155,Descrizioni,0),MATCH(L$14,Intestazioni,0)-1,1,1)&amp;"&amp;style=TradingView.CANDLES&amp;showAT=1",""),"")</f>
        <v></v>
      </c>
      <c r="M155" s="534" t="str">
        <f ca="1">(OFFSET(Origine,MATCH($F155,Descrizioni,0),MATCH(M$14,Intestazioni,0)-1,1,1))</f>
        <v>Unit</v>
      </c>
      <c r="N155" s="1066"/>
      <c r="O155" s="1356" cm="1">
        <f t="array" aca="1" ref="O155" ca="1">SUM(IF($AF$14:$BQ$14="I_ctrlv",AF155:BQ155))</f>
        <v>0</v>
      </c>
      <c r="P155" s="540">
        <f t="shared" ca="1" si="1616"/>
        <v>0</v>
      </c>
      <c r="Q155" s="541">
        <f t="array" aca="1" ref="Q155" ca="1">SUM(IF($AF$14:$BQ$14="I_pos",AF155:BQ155))</f>
        <v>0</v>
      </c>
      <c r="R155" s="541">
        <f t="array" aca="1" ref="R155" ca="1">SUM(IF($AF$14:$BQ$14="P_Pos",AF155:BQ155))</f>
        <v>0</v>
      </c>
      <c r="S155" s="1357"/>
      <c r="T155" s="541"/>
      <c r="U155" s="534"/>
      <c r="V155" s="541">
        <f t="array" aca="1" ref="V155" ca="1">SUM(IF($AF$14:$BQ$14="O_Pos",AF155:BQ155))</f>
        <v>0</v>
      </c>
      <c r="W155" s="1356"/>
      <c r="X155" s="1358">
        <f t="shared" ref="X155:AA155" ca="1" si="1620">OFFSET(Origine,MATCH($F155,Descrizioni,0),MATCH(X$14,Intestazioni,0)-1,1,1)</f>
        <v>0</v>
      </c>
      <c r="Y155" s="1358">
        <f t="shared" ca="1" si="1620"/>
        <v>0</v>
      </c>
      <c r="Z155" s="1358">
        <f t="shared" ca="1" si="1620"/>
        <v>4.8999999999999998E-3</v>
      </c>
      <c r="AA155" s="1359">
        <f t="shared" ca="1" si="1620"/>
        <v>0</v>
      </c>
      <c r="AB155" s="535" t="str">
        <f ca="1">OFFSET(Origine,MATCH($F155,Descrizioni,0),MATCH(AB$14,Intestazioni,0)-1,1,1)</f>
        <v>USD</v>
      </c>
      <c r="AC155" s="543">
        <f ca="1">_xlfn.NUMBERVALUE(OFFSET(Origine,MATCH($F155,Descrizioni,0),MATCH(AC$14,Intestazioni,0)-1,1,1))</f>
        <v>5.9637500000000001</v>
      </c>
      <c r="AD155" s="544">
        <f ca="1">_xlfn.NUMBERVALUE(OFFSET(Origine,MATCH($F155,Descrizioni,0),MATCH(AD$14,Intestazioni,0)-1,1,1))</f>
        <v>0</v>
      </c>
      <c r="AE155" s="545">
        <f ca="1">_xlfn.NUMBERVALUE(OFFSET(Origine,MATCH(AB155&amp;"/"&amp;MRif,LUKB_Name,0),MATCH("Price",Intestazioni,0)-1,1,1))</f>
        <v>0.78225</v>
      </c>
      <c r="AF155" s="214"/>
      <c r="AG155" s="312" t="str">
        <f t="shared" ca="1" si="1618"/>
        <v/>
      </c>
      <c r="AH155" s="1254"/>
      <c r="AI155" s="199">
        <f ca="1">AF155*$AC155</f>
        <v>0</v>
      </c>
      <c r="AJ155" s="199">
        <f ca="1">AI155*$AE155</f>
        <v>0</v>
      </c>
      <c r="AK155" s="216">
        <f t="shared" ca="1" si="1495"/>
        <v>0</v>
      </c>
      <c r="AL155" s="202">
        <f ca="1">AM155/$AC155</f>
        <v>0</v>
      </c>
      <c r="AM155" s="203">
        <f ca="1">AN155/$AE155</f>
        <v>0</v>
      </c>
      <c r="AN155" s="203">
        <f ca="1">AO155*AF$4</f>
        <v>0</v>
      </c>
      <c r="AO155" s="204">
        <f ca="1">$N155-AK155</f>
        <v>0</v>
      </c>
      <c r="AP155" s="205"/>
      <c r="AQ155" s="206">
        <f ca="1">AP155*$AC155</f>
        <v>0</v>
      </c>
      <c r="AR155" s="206">
        <f ca="1">AQ155*$AE155</f>
        <v>0</v>
      </c>
      <c r="AS155" s="207">
        <f t="shared" ca="1" si="1502"/>
        <v>0</v>
      </c>
      <c r="AT155" s="541">
        <f>AF155+AP155</f>
        <v>0</v>
      </c>
      <c r="AU155" s="541">
        <f t="shared" ca="1" si="1412"/>
        <v>0</v>
      </c>
      <c r="AV155" s="541">
        <f ca="1">AU155*$AE155</f>
        <v>0</v>
      </c>
      <c r="AW155" s="546">
        <f t="shared" ca="1" si="1504"/>
        <v>0</v>
      </c>
      <c r="AX155" s="1007" t="str">
        <f t="shared" ca="1" si="1603"/>
        <v/>
      </c>
      <c r="AY155" s="1255"/>
      <c r="AZ155" s="312" t="str">
        <f t="shared" ca="1" si="1619"/>
        <v/>
      </c>
      <c r="BA155" s="1254"/>
      <c r="BB155" s="199">
        <f ca="1">AY155*$AC155</f>
        <v>0</v>
      </c>
      <c r="BC155" s="199">
        <f ca="1">BB155*$AE155</f>
        <v>0</v>
      </c>
      <c r="BD155" s="216">
        <f t="shared" ca="1" si="1508"/>
        <v>0</v>
      </c>
      <c r="BE155" s="202">
        <f ca="1">BF155/$AC155</f>
        <v>0</v>
      </c>
      <c r="BF155" s="203">
        <f ca="1">BG155/$AE155</f>
        <v>0</v>
      </c>
      <c r="BG155" s="203">
        <f ca="1">BH155*AY$4</f>
        <v>0</v>
      </c>
      <c r="BH155" s="204">
        <f ca="1">$N155-BD155</f>
        <v>0</v>
      </c>
      <c r="BI155" s="1253"/>
      <c r="BJ155" s="206">
        <f ca="1">BI155*$AC155</f>
        <v>0</v>
      </c>
      <c r="BK155" s="206">
        <f ca="1">BJ155*$AE155</f>
        <v>0</v>
      </c>
      <c r="BL155" s="207">
        <f t="shared" ca="1" si="1515"/>
        <v>0</v>
      </c>
      <c r="BM155" s="541">
        <f>AY155+BI155</f>
        <v>0</v>
      </c>
      <c r="BN155" s="541">
        <f t="shared" ca="1" si="1413"/>
        <v>0</v>
      </c>
      <c r="BO155" s="541">
        <f ca="1">BN155*$AE155</f>
        <v>0</v>
      </c>
      <c r="BP155" s="918">
        <f t="shared" ca="1" si="1517"/>
        <v>0</v>
      </c>
      <c r="BQ155" s="1007" t="str">
        <f t="shared" ca="1" si="1593"/>
        <v/>
      </c>
      <c r="BR155" s="1007"/>
    </row>
    <row r="156" spans="1:70" ht="13.5" customHeight="1" collapsed="1" x14ac:dyDescent="0.2">
      <c r="A156" s="514"/>
      <c r="B156" s="514" t="s">
        <v>481</v>
      </c>
      <c r="C156" s="514"/>
      <c r="D156" s="515"/>
      <c r="E156" s="516"/>
      <c r="F156" s="514"/>
      <c r="G156" s="517"/>
      <c r="H156" s="1689"/>
      <c r="I156" s="1689"/>
      <c r="J156" s="1689"/>
      <c r="K156" s="1689"/>
      <c r="L156" s="1689"/>
      <c r="M156" s="513"/>
      <c r="N156" s="1063">
        <f>SUM(N$157:N$158)</f>
        <v>0.03</v>
      </c>
      <c r="O156" s="1349" cm="1">
        <f t="array" aca="1" ref="O156" ca="1">SUM(IF($AF$14:$BQ$14="I_ctrlv",AF156:BQ156))</f>
        <v>0</v>
      </c>
      <c r="P156" s="519">
        <f t="shared" ca="1" si="1616"/>
        <v>0</v>
      </c>
      <c r="Q156" s="520"/>
      <c r="R156" s="520"/>
      <c r="S156" s="927"/>
      <c r="T156" s="520"/>
      <c r="U156" s="513"/>
      <c r="V156" s="520">
        <f ca="1">COUNTIF(V157:V158,"&lt;&gt;0")</f>
        <v>0</v>
      </c>
      <c r="W156" s="1349"/>
      <c r="X156" s="1350"/>
      <c r="Y156" s="1350"/>
      <c r="Z156" s="1350"/>
      <c r="AA156" s="1351"/>
      <c r="AB156" s="514"/>
      <c r="AC156" s="523"/>
      <c r="AD156" s="1352"/>
      <c r="AE156" s="524"/>
      <c r="AF156" s="525"/>
      <c r="AG156" s="514"/>
      <c r="AH156" s="1353"/>
      <c r="AI156" s="514"/>
      <c r="AJ156" s="527">
        <f ca="1">SUM(AJ$157:AJ$158)</f>
        <v>0</v>
      </c>
      <c r="AK156" s="528">
        <f t="shared" ca="1" si="1495"/>
        <v>0</v>
      </c>
      <c r="AL156" s="529"/>
      <c r="AM156" s="514"/>
      <c r="AN156" s="527">
        <f ca="1">SUM(AN$157:AN$158)</f>
        <v>175264.92717857123</v>
      </c>
      <c r="AO156" s="530">
        <f ca="1">IFERROR(AN156/AF$4,0)</f>
        <v>2.9999999999999995E-2</v>
      </c>
      <c r="AP156" s="529"/>
      <c r="AQ156" s="514"/>
      <c r="AR156" s="527">
        <f ca="1">SUM(AR$157:AR$158)</f>
        <v>0</v>
      </c>
      <c r="AS156" s="530">
        <f t="shared" ca="1" si="1502"/>
        <v>0</v>
      </c>
      <c r="AT156" s="514"/>
      <c r="AU156" s="514"/>
      <c r="AV156" s="527">
        <f ca="1">SUM(AV$157:AV$158)</f>
        <v>0</v>
      </c>
      <c r="AW156" s="528">
        <f t="shared" ca="1" si="1504"/>
        <v>0</v>
      </c>
      <c r="AX156" s="1007" t="str">
        <f t="shared" ca="1" si="1603"/>
        <v/>
      </c>
      <c r="AY156" s="1354"/>
      <c r="AZ156" s="514"/>
      <c r="BA156" s="1353"/>
      <c r="BB156" s="514"/>
      <c r="BC156" s="527">
        <f ca="1">SUM(BC$157:BC$158)</f>
        <v>0</v>
      </c>
      <c r="BD156" s="528">
        <f t="shared" ca="1" si="1508"/>
        <v>0</v>
      </c>
      <c r="BE156" s="529"/>
      <c r="BF156" s="514"/>
      <c r="BG156" s="527">
        <f ca="1">SUM(BG$157:BG$158)</f>
        <v>21227.475518759387</v>
      </c>
      <c r="BH156" s="530">
        <f ca="1">IFERROR(BG156/AY$4,0)</f>
        <v>0.03</v>
      </c>
      <c r="BI156" s="1355"/>
      <c r="BJ156" s="514"/>
      <c r="BK156" s="527">
        <f ca="1">SUM(BK$157:BK$158)</f>
        <v>0</v>
      </c>
      <c r="BL156" s="530">
        <f t="shared" ca="1" si="1515"/>
        <v>0</v>
      </c>
      <c r="BM156" s="514"/>
      <c r="BN156" s="514"/>
      <c r="BO156" s="527">
        <f ca="1">SUM(BO$157:BO$158)</f>
        <v>0</v>
      </c>
      <c r="BP156" s="937">
        <f t="shared" ca="1" si="1517"/>
        <v>0</v>
      </c>
      <c r="BQ156" s="1007" t="str">
        <f t="shared" ca="1" si="1593"/>
        <v/>
      </c>
      <c r="BR156" s="1007"/>
    </row>
    <row r="157" spans="1:70" ht="13.5" hidden="1" customHeight="1" outlineLevel="1" x14ac:dyDescent="0.2">
      <c r="A157" s="535"/>
      <c r="B157" s="535"/>
      <c r="C157" s="535" t="str">
        <f t="shared" ref="C157:E158" ca="1" si="1621">OFFSET(Origine,MATCH($F157,Descrizioni,0),MATCH(C$14,Intestazioni,0)-1,1,1)</f>
        <v>US5007676787:USD</v>
      </c>
      <c r="D157" s="536" t="str">
        <f t="shared" ca="1" si="1621"/>
        <v>US5007676787</v>
      </c>
      <c r="E157" s="537" t="str">
        <f t="shared" ca="1" si="1621"/>
        <v>55988416</v>
      </c>
      <c r="F157" s="535" t="s">
        <v>482</v>
      </c>
      <c r="G157" s="538"/>
      <c r="H157" s="1729" t="str">
        <f ca="1">HYPERLINK(OFFSET(Origine,MATCH($F157,Descrizioni,0),MATCH(H$14,Intestazioni,0)-1,1,1),"")</f>
        <v></v>
      </c>
      <c r="I157" s="1690" t="str">
        <f ca="1">HYPERLINK(OFFSET(Origine,MATCH($F157,Descrizioni,0),MATCH(I$14,Intestazioni,0)-1,1,1),"i")</f>
        <v>i</v>
      </c>
      <c r="J157" s="1729" t="str">
        <f ca="1">HYPERLINK(OFFSET(Origine,MATCH($F157,Descrizioni,0),MATCH(J$14,Intestazioni,0)-1,1,1),"")</f>
        <v></v>
      </c>
      <c r="K157" s="1730" t="str">
        <f ca="1">HYPERLINK(OFFSET(Origine,MATCH($F157,Descrizioni,0),MATCH(K$14,Intestazioni,0)-1,1,1),"")</f>
        <v></v>
      </c>
      <c r="L157" s="1731" t="str">
        <f ca="1">IFERROR(HYPERLINK("https://www.zonebourse.com/mods_a/charts/TV/inc_dyna_graph.php?c="&amp;OFFSET(Origine,MATCH($F157,Descrizioni,0),MATCH(L$14,Intestazioni,0)-1,1,1)&amp;"&amp;style=TradingView.CANDLES&amp;showAT=1",""),"")</f>
        <v></v>
      </c>
      <c r="M157" s="534" t="str">
        <f ca="1">(OFFSET(Origine,MATCH($F157,Descrizioni,0),MATCH(M$14,Intestazioni,0)-1,1,1))</f>
        <v>Unit</v>
      </c>
      <c r="N157" s="1066"/>
      <c r="O157" s="1356" cm="1">
        <f t="array" aca="1" ref="O157" ca="1">SUM(IF($AF$14:$BQ$14="I_ctrlv",AF157:BQ157))</f>
        <v>0</v>
      </c>
      <c r="P157" s="540">
        <f t="shared" ca="1" si="1616"/>
        <v>0</v>
      </c>
      <c r="Q157" s="541">
        <f t="array" aca="1" ref="Q157" ca="1">SUM(IF($AF$14:$BQ$14="I_pos",AF157:BQ157))</f>
        <v>0</v>
      </c>
      <c r="R157" s="541">
        <f t="array" aca="1" ref="R157" ca="1">SUM(IF($AF$14:$BQ$14="P_Pos",AF157:BQ157))</f>
        <v>0</v>
      </c>
      <c r="S157" s="1357"/>
      <c r="T157" s="541"/>
      <c r="U157" s="534"/>
      <c r="V157" s="541">
        <f t="array" aca="1" ref="V157" ca="1">SUM(IF($AF$14:$BQ$14="O_Pos",AF157:BQ157))</f>
        <v>0</v>
      </c>
      <c r="W157" s="1356"/>
      <c r="X157" s="1358">
        <f t="shared" ref="X157:AA157" ca="1" si="1622">OFFSET(Origine,MATCH($F157,Descrizioni,0),MATCH(X$14,Intestazioni,0)-1,1,1)</f>
        <v>0</v>
      </c>
      <c r="Y157" s="1358">
        <f t="shared" ca="1" si="1622"/>
        <v>0</v>
      </c>
      <c r="Z157" s="1358">
        <f t="shared" ca="1" si="1622"/>
        <v>0</v>
      </c>
      <c r="AA157" s="1359">
        <f t="shared" ca="1" si="1622"/>
        <v>0</v>
      </c>
      <c r="AB157" s="535" t="str">
        <f ca="1">OFFSET(Origine,MATCH($F157,Descrizioni,0),MATCH(AB$14,Intestazioni,0)-1,1,1)</f>
        <v>USD</v>
      </c>
      <c r="AC157" s="543">
        <f ca="1">_xlfn.NUMBERVALUE(OFFSET(Origine,MATCH($F157,Descrizioni,0),MATCH(AC$14,Intestazioni,0)-1,1,1))</f>
        <v>29.860099999999999</v>
      </c>
      <c r="AD157" s="544">
        <f ca="1">_xlfn.NUMBERVALUE(OFFSET(Origine,MATCH($F157,Descrizioni,0),MATCH(AD$14,Intestazioni,0)-1,1,1))</f>
        <v>0</v>
      </c>
      <c r="AE157" s="545">
        <f ca="1">_xlfn.NUMBERVALUE(OFFSET(Origine,MATCH(AB157&amp;"/"&amp;MRif,LUKB_Name,0),MATCH("Price",Intestazioni,0)-1,1,1))</f>
        <v>0.78225</v>
      </c>
      <c r="AF157" s="214">
        <f>1800+-1800</f>
        <v>0</v>
      </c>
      <c r="AG157" s="312" t="str">
        <f t="shared" ref="AG157:AG158" ca="1" si="1623">IFERROR($AC157/AH157-1,"")</f>
        <v/>
      </c>
      <c r="AH157" s="1254"/>
      <c r="AI157" s="199">
        <f ca="1">AF157*$AC157</f>
        <v>0</v>
      </c>
      <c r="AJ157" s="199">
        <f ca="1">AI157*$AE157</f>
        <v>0</v>
      </c>
      <c r="AK157" s="216">
        <f t="shared" ca="1" si="1495"/>
        <v>0</v>
      </c>
      <c r="AL157" s="202">
        <f ca="1">AM157/$AC157</f>
        <v>0</v>
      </c>
      <c r="AM157" s="203">
        <f ca="1">AN157/$AE157</f>
        <v>0</v>
      </c>
      <c r="AN157" s="203">
        <f ca="1">AO157*AF$4</f>
        <v>0</v>
      </c>
      <c r="AO157" s="204">
        <f ca="1">$N157-AK157</f>
        <v>0</v>
      </c>
      <c r="AP157" s="205"/>
      <c r="AQ157" s="206">
        <f ca="1">AP157*$AC157</f>
        <v>0</v>
      </c>
      <c r="AR157" s="206">
        <f ca="1">AQ157*$AE157</f>
        <v>0</v>
      </c>
      <c r="AS157" s="207">
        <f t="shared" ca="1" si="1502"/>
        <v>0</v>
      </c>
      <c r="AT157" s="541">
        <f>AF157+AP157</f>
        <v>0</v>
      </c>
      <c r="AU157" s="541">
        <f t="shared" ca="1" si="1412"/>
        <v>0</v>
      </c>
      <c r="AV157" s="541">
        <f ca="1">AU157*$AE157</f>
        <v>0</v>
      </c>
      <c r="AW157" s="546">
        <f t="shared" ca="1" si="1504"/>
        <v>0</v>
      </c>
      <c r="AX157" s="1007" t="str">
        <f t="shared" ca="1" si="1603"/>
        <v/>
      </c>
      <c r="AY157" s="1255"/>
      <c r="AZ157" s="312" t="str">
        <f t="shared" ref="AZ157:AZ158" ca="1" si="1624">IFERROR($AC157/BA157-1,"")</f>
        <v/>
      </c>
      <c r="BA157" s="1254"/>
      <c r="BB157" s="199">
        <f ca="1">AY157*$AC157</f>
        <v>0</v>
      </c>
      <c r="BC157" s="199">
        <f ca="1">BB157*$AE157</f>
        <v>0</v>
      </c>
      <c r="BD157" s="216">
        <f t="shared" ca="1" si="1508"/>
        <v>0</v>
      </c>
      <c r="BE157" s="202">
        <f ca="1">BF157/$AC157</f>
        <v>0</v>
      </c>
      <c r="BF157" s="203">
        <f ca="1">BG157/$AE157</f>
        <v>0</v>
      </c>
      <c r="BG157" s="203">
        <f ca="1">BH157*AY$4</f>
        <v>0</v>
      </c>
      <c r="BH157" s="204">
        <f ca="1">$N157-BD157</f>
        <v>0</v>
      </c>
      <c r="BI157" s="1253"/>
      <c r="BJ157" s="206">
        <f ca="1">BI157*$AC157</f>
        <v>0</v>
      </c>
      <c r="BK157" s="206">
        <f ca="1">BJ157*$AE157</f>
        <v>0</v>
      </c>
      <c r="BL157" s="207">
        <f t="shared" ca="1" si="1515"/>
        <v>0</v>
      </c>
      <c r="BM157" s="541">
        <f>AY157+BI157</f>
        <v>0</v>
      </c>
      <c r="BN157" s="541">
        <f t="shared" ca="1" si="1413"/>
        <v>0</v>
      </c>
      <c r="BO157" s="541">
        <f ca="1">BN157*$AE157</f>
        <v>0</v>
      </c>
      <c r="BP157" s="918">
        <f t="shared" ca="1" si="1517"/>
        <v>0</v>
      </c>
      <c r="BQ157" s="1007" t="str">
        <f t="shared" ca="1" si="1593"/>
        <v/>
      </c>
      <c r="BR157" s="1007"/>
    </row>
    <row r="158" spans="1:70" ht="13.5" hidden="1" customHeight="1" outlineLevel="1" x14ac:dyDescent="0.2">
      <c r="A158" s="535"/>
      <c r="B158" s="535"/>
      <c r="C158" s="535" t="str">
        <f t="shared" ca="1" si="1621"/>
        <v>GB00B15KYB02:USD:LSS</v>
      </c>
      <c r="D158" s="536" t="str">
        <f t="shared" ca="1" si="1621"/>
        <v>GB00B15KYB02</v>
      </c>
      <c r="E158" s="537" t="str">
        <f t="shared" ca="1" si="1621"/>
        <v>2726105</v>
      </c>
      <c r="F158" s="535" t="s">
        <v>541</v>
      </c>
      <c r="G158" s="538"/>
      <c r="H158" s="1729" t="str">
        <f ca="1">HYPERLINK(OFFSET(Origine,MATCH($F158,Descrizioni,0),MATCH(H$14,Intestazioni,0)-1,1,1),"")</f>
        <v></v>
      </c>
      <c r="I158" s="1690" t="str">
        <f ca="1">HYPERLINK(OFFSET(Origine,MATCH($F158,Descrizioni,0),MATCH(I$14,Intestazioni,0)-1,1,1),"i")</f>
        <v>i</v>
      </c>
      <c r="J158" s="1729" t="str">
        <f ca="1">HYPERLINK(OFFSET(Origine,MATCH($F158,Descrizioni,0),MATCH(J$14,Intestazioni,0)-1,1,1),"")</f>
        <v></v>
      </c>
      <c r="K158" s="1730" t="str">
        <f ca="1">HYPERLINK(OFFSET(Origine,MATCH($F158,Descrizioni,0),MATCH(K$14,Intestazioni,0)-1,1,1),"")</f>
        <v></v>
      </c>
      <c r="L158" s="1731" t="str">
        <f ca="1">IFERROR(HYPERLINK("https://www.zonebourse.com/mods_a/charts/TV/inc_dyna_graph.php?c="&amp;OFFSET(Origine,MATCH($F158,Descrizioni,0),MATCH(L$14,Intestazioni,0)-1,1,1)&amp;"&amp;style=TradingView.CANDLES&amp;showAT=1",""),"")</f>
        <v></v>
      </c>
      <c r="M158" s="534" t="str">
        <f ca="1">(OFFSET(Origine,MATCH($F158,Descrizioni,0),MATCH(M$14,Intestazioni,0)-1,1,1))</f>
        <v>Unit</v>
      </c>
      <c r="N158" s="1066">
        <v>0.03</v>
      </c>
      <c r="O158" s="1356" cm="1">
        <f t="array" aca="1" ref="O158" ca="1">SUM(IF($AF$14:$BQ$14="I_ctrlv",AF158:BQ158))</f>
        <v>0</v>
      </c>
      <c r="P158" s="540">
        <f t="shared" ca="1" si="1616"/>
        <v>0</v>
      </c>
      <c r="Q158" s="541">
        <f t="array" aca="1" ref="Q158" ca="1">SUM(IF($AF$14:$BQ$14="I_pos",AF158:BQ158))</f>
        <v>0</v>
      </c>
      <c r="R158" s="541">
        <f t="array" aca="1" ref="R158" ca="1">SUM(IF($AF$14:$BQ$14="P_Pos",AF158:BQ158))</f>
        <v>60483.687418169568</v>
      </c>
      <c r="S158" s="1357"/>
      <c r="T158" s="541"/>
      <c r="U158" s="534"/>
      <c r="V158" s="541">
        <f t="array" aca="1" ref="V158" ca="1">SUM(IF($AF$14:$BQ$14="O_Pos",AF158:BQ158))</f>
        <v>0</v>
      </c>
      <c r="W158" s="1356"/>
      <c r="X158" s="1358">
        <f t="shared" ref="X158:AA158" ca="1" si="1625">OFFSET(Origine,MATCH($F158,Descrizioni,0),MATCH(X$14,Intestazioni,0)-1,1,1)</f>
        <v>0</v>
      </c>
      <c r="Y158" s="1358">
        <f t="shared" ca="1" si="1625"/>
        <v>0</v>
      </c>
      <c r="Z158" s="1358">
        <f t="shared" ca="1" si="1625"/>
        <v>0</v>
      </c>
      <c r="AA158" s="1359">
        <f t="shared" ca="1" si="1625"/>
        <v>0</v>
      </c>
      <c r="AB158" s="535" t="str">
        <f ca="1">OFFSET(Origine,MATCH($F158,Descrizioni,0),MATCH(AB$14,Intestazioni,0)-1,1,1)</f>
        <v>USD</v>
      </c>
      <c r="AC158" s="543">
        <f ca="1">_xlfn.NUMBERVALUE(OFFSET(Origine,MATCH($F158,Descrizioni,0),MATCH(AC$14,Intestazioni,0)-1,1,1))</f>
        <v>4.1529999999999996</v>
      </c>
      <c r="AD158" s="544">
        <f ca="1">_xlfn.NUMBERVALUE(OFFSET(Origine,MATCH($F158,Descrizioni,0),MATCH(AD$14,Intestazioni,0)-1,1,1))</f>
        <v>0</v>
      </c>
      <c r="AE158" s="545">
        <f ca="1">_xlfn.NUMBERVALUE(OFFSET(Origine,MATCH(AB158&amp;"/"&amp;MRif,LUKB_Name,0),MATCH("Price",Intestazioni,0)-1,1,1))</f>
        <v>0.78225</v>
      </c>
      <c r="AF158" s="214"/>
      <c r="AG158" s="312" t="str">
        <f t="shared" ca="1" si="1623"/>
        <v/>
      </c>
      <c r="AH158" s="1254"/>
      <c r="AI158" s="199">
        <f ca="1">AF158*$AC158</f>
        <v>0</v>
      </c>
      <c r="AJ158" s="199">
        <f ca="1">AI158*$AE158</f>
        <v>0</v>
      </c>
      <c r="AK158" s="216">
        <f ca="1">IFERROR(AJ158/AF$4,0)</f>
        <v>0</v>
      </c>
      <c r="AL158" s="202">
        <f ca="1">AM158/$AC158</f>
        <v>53949.511153191095</v>
      </c>
      <c r="AM158" s="203">
        <f ca="1">AN158/$AE158</f>
        <v>224052.31981920259</v>
      </c>
      <c r="AN158" s="203">
        <f ca="1">AO158*AF$4</f>
        <v>175264.92717857123</v>
      </c>
      <c r="AO158" s="204">
        <f ca="1">$N158-AK158</f>
        <v>0.03</v>
      </c>
      <c r="AP158" s="205"/>
      <c r="AQ158" s="206">
        <f ca="1">AP158*$AC158</f>
        <v>0</v>
      </c>
      <c r="AR158" s="206">
        <f ca="1">AQ158*$AE158</f>
        <v>0</v>
      </c>
      <c r="AS158" s="207">
        <f ca="1">IFERROR(AR158/AF$4,0)</f>
        <v>0</v>
      </c>
      <c r="AT158" s="541">
        <f>AF158+AP158</f>
        <v>0</v>
      </c>
      <c r="AU158" s="541">
        <f t="shared" ca="1" si="1412"/>
        <v>0</v>
      </c>
      <c r="AV158" s="541">
        <f ca="1">AU158*$AE158</f>
        <v>0</v>
      </c>
      <c r="AW158" s="546">
        <f ca="1">IFERROR(AV158/AF$4,0)</f>
        <v>0</v>
      </c>
      <c r="AX158" s="1007" t="str">
        <f t="shared" ca="1" si="1603"/>
        <v/>
      </c>
      <c r="AY158" s="1255"/>
      <c r="AZ158" s="312" t="str">
        <f t="shared" ca="1" si="1624"/>
        <v/>
      </c>
      <c r="BA158" s="1254"/>
      <c r="BB158" s="199">
        <f ca="1">AY158*$AC158</f>
        <v>0</v>
      </c>
      <c r="BC158" s="199">
        <f ca="1">BB158*$AE158</f>
        <v>0</v>
      </c>
      <c r="BD158" s="216">
        <f ca="1">IFERROR(BC158/AY$4,0)</f>
        <v>0</v>
      </c>
      <c r="BE158" s="202">
        <f ca="1">BF158/$AC158</f>
        <v>6534.1762649784723</v>
      </c>
      <c r="BF158" s="203">
        <f ca="1">BG158/$AE158</f>
        <v>27136.434028455591</v>
      </c>
      <c r="BG158" s="203">
        <f ca="1">BH158*AY$4</f>
        <v>21227.475518759387</v>
      </c>
      <c r="BH158" s="204">
        <f ca="1">$N158-BD158</f>
        <v>0.03</v>
      </c>
      <c r="BI158" s="1253"/>
      <c r="BJ158" s="206">
        <f ca="1">BI158*$AC158</f>
        <v>0</v>
      </c>
      <c r="BK158" s="206">
        <f ca="1">BJ158*$AE158</f>
        <v>0</v>
      </c>
      <c r="BL158" s="207">
        <f ca="1">IFERROR(BK158/AY$4,0)</f>
        <v>0</v>
      </c>
      <c r="BM158" s="541">
        <f>AY158+BI158</f>
        <v>0</v>
      </c>
      <c r="BN158" s="541">
        <f t="shared" ca="1" si="1413"/>
        <v>0</v>
      </c>
      <c r="BO158" s="541">
        <f ca="1">BN158*$AE158</f>
        <v>0</v>
      </c>
      <c r="BP158" s="918">
        <f t="shared" ca="1" si="1517"/>
        <v>0</v>
      </c>
      <c r="BQ158" s="1007" t="str">
        <f t="shared" ca="1" si="1593"/>
        <v/>
      </c>
      <c r="BR158" s="1007"/>
    </row>
    <row r="159" spans="1:70" ht="13.5" customHeight="1" collapsed="1" x14ac:dyDescent="0.2">
      <c r="A159" s="514"/>
      <c r="B159" s="514" t="s">
        <v>542</v>
      </c>
      <c r="C159" s="514"/>
      <c r="D159" s="515"/>
      <c r="E159" s="516"/>
      <c r="F159" s="514"/>
      <c r="G159" s="517"/>
      <c r="H159" s="1689"/>
      <c r="I159" s="1689"/>
      <c r="J159" s="1689"/>
      <c r="K159" s="1689"/>
      <c r="L159" s="1689"/>
      <c r="M159" s="513"/>
      <c r="N159" s="1063">
        <f>SUM(N$161)</f>
        <v>0.03</v>
      </c>
      <c r="O159" s="1349" cm="1">
        <f t="array" aca="1" ref="O159" ca="1">SUM(IF($AF$14:$BQ$14="I_ctrlv",AF159:BQ159))</f>
        <v>100223.825625</v>
      </c>
      <c r="P159" s="519">
        <f t="shared" ca="1" si="1616"/>
        <v>1.5301939044337647E-2</v>
      </c>
      <c r="Q159" s="520"/>
      <c r="R159" s="520"/>
      <c r="S159" s="927"/>
      <c r="T159" s="520"/>
      <c r="U159" s="513"/>
      <c r="V159" s="520">
        <f ca="1">COUNTIF(V161,"&lt;&gt;0")</f>
        <v>0</v>
      </c>
      <c r="W159" s="1349"/>
      <c r="X159" s="1350"/>
      <c r="Y159" s="1350"/>
      <c r="Z159" s="1350"/>
      <c r="AA159" s="1351"/>
      <c r="AB159" s="514"/>
      <c r="AC159" s="523"/>
      <c r="AD159" s="1352"/>
      <c r="AE159" s="524"/>
      <c r="AF159" s="525"/>
      <c r="AG159" s="514"/>
      <c r="AH159" s="1353"/>
      <c r="AI159" s="514"/>
      <c r="AJ159" s="527">
        <f ca="1">SUM(AJ160:AJ161)</f>
        <v>100223.825625</v>
      </c>
      <c r="AK159" s="528">
        <f t="shared" ref="AK159" ca="1" si="1626">IFERROR(AJ159/AF$4,0)</f>
        <v>1.7155256428952066E-2</v>
      </c>
      <c r="AL159" s="529"/>
      <c r="AM159" s="514"/>
      <c r="AN159" s="527">
        <f ca="1">SUM(AN160:AN161)</f>
        <v>75041.101553571236</v>
      </c>
      <c r="AO159" s="530">
        <f ca="1">IFERROR(AN159/AF$4,0)</f>
        <v>1.2844743571047932E-2</v>
      </c>
      <c r="AP159" s="529"/>
      <c r="AQ159" s="514"/>
      <c r="AR159" s="527">
        <f ca="1">SUM(AR160:AR161)</f>
        <v>0</v>
      </c>
      <c r="AS159" s="530">
        <f t="shared" ref="AS159" ca="1" si="1627">IFERROR(AR159/AF$4,0)</f>
        <v>0</v>
      </c>
      <c r="AT159" s="514"/>
      <c r="AU159" s="514"/>
      <c r="AV159" s="527">
        <f ca="1">SUM(AV160:AV161)</f>
        <v>100223.825625</v>
      </c>
      <c r="AW159" s="528">
        <f t="shared" ref="AW159:AW170" ca="1" si="1628">IFERROR(AV159/AF$4,0)</f>
        <v>1.7155256428952066E-2</v>
      </c>
      <c r="AX159" s="1007" t="str">
        <f t="shared" ca="1" si="1603"/>
        <v>V</v>
      </c>
      <c r="AY159" s="1354"/>
      <c r="AZ159" s="514"/>
      <c r="BA159" s="1353"/>
      <c r="BB159" s="514"/>
      <c r="BC159" s="527">
        <f ca="1">SUM(BC$170)</f>
        <v>0</v>
      </c>
      <c r="BD159" s="528">
        <f t="shared" ref="BD159" ca="1" si="1629">IFERROR(BC159/AY$4,0)</f>
        <v>0</v>
      </c>
      <c r="BE159" s="529"/>
      <c r="BF159" s="514"/>
      <c r="BG159" s="527">
        <f ca="1">SUM(BG$170)</f>
        <v>0</v>
      </c>
      <c r="BH159" s="530">
        <f ca="1">IFERROR(BG159/AY$4,0)</f>
        <v>0</v>
      </c>
      <c r="BI159" s="1355"/>
      <c r="BJ159" s="514"/>
      <c r="BK159" s="527">
        <f ca="1">SUM(BK$170)</f>
        <v>0</v>
      </c>
      <c r="BL159" s="530">
        <f t="shared" ref="BL159" ca="1" si="1630">IFERROR(BK159/AY$4,0)</f>
        <v>0</v>
      </c>
      <c r="BM159" s="514"/>
      <c r="BN159" s="514"/>
      <c r="BO159" s="527">
        <f ca="1">SUM(BO$170)</f>
        <v>0</v>
      </c>
      <c r="BP159" s="937">
        <f t="shared" ca="1" si="1517"/>
        <v>0</v>
      </c>
      <c r="BQ159" s="1007" t="str">
        <f t="shared" ca="1" si="1593"/>
        <v/>
      </c>
      <c r="BR159" s="1007"/>
    </row>
    <row r="160" spans="1:70" ht="13.5" hidden="1" customHeight="1" outlineLevel="1" x14ac:dyDescent="0.2">
      <c r="A160" s="535"/>
      <c r="B160" s="535"/>
      <c r="C160" s="535" t="str">
        <f t="shared" ref="C160:E161" ca="1" si="1631">OFFSET(Origine,MATCH($F160,Descrizioni,0),MATCH(C$14,Intestazioni,0)-1,1,1)</f>
        <v>GB00B15KXQ89:USD</v>
      </c>
      <c r="D160" s="536" t="str">
        <f t="shared" ca="1" si="1631"/>
        <v>GB00B15KXQ89</v>
      </c>
      <c r="E160" s="537" t="str">
        <f t="shared" ca="1" si="1631"/>
        <v>2723229</v>
      </c>
      <c r="F160" s="535" t="s">
        <v>4402</v>
      </c>
      <c r="G160" s="538"/>
      <c r="H160" s="1729" t="str">
        <f ca="1">HYPERLINK(OFFSET(Origine,MATCH($F160,Descrizioni,0),MATCH(H$14,Intestazioni,0)-1,1,1),"")</f>
        <v></v>
      </c>
      <c r="I160" s="1690" t="str">
        <f ca="1">HYPERLINK(OFFSET(Origine,MATCH($F160,Descrizioni,0),MATCH(I$14,Intestazioni,0)-1,1,1),"i")</f>
        <v>i</v>
      </c>
      <c r="J160" s="1729" t="str">
        <f ca="1">HYPERLINK(OFFSET(Origine,MATCH($F160,Descrizioni,0),MATCH(J$14,Intestazioni,0)-1,1,1),"")</f>
        <v></v>
      </c>
      <c r="K160" s="1730" t="str">
        <f ca="1">HYPERLINK(OFFSET(Origine,MATCH($F160,Descrizioni,0),MATCH(K$14,Intestazioni,0)-1,1,1),"")</f>
        <v></v>
      </c>
      <c r="L160" s="1731" t="str">
        <f ca="1">IFERROR(HYPERLINK("https://www.zonebourse.com/mods_a/charts/TV/inc_dyna_graph.php?c="&amp;OFFSET(Origine,MATCH($F160,Descrizioni,0),MATCH(L$14,Intestazioni,0)-1,1,1)&amp;"&amp;style=TradingView.CANDLES&amp;showAT=1",""),"")</f>
        <v></v>
      </c>
      <c r="M160" s="534" t="str">
        <f ca="1">(OFFSET(Origine,MATCH($F160,Descrizioni,0),MATCH(M$14,Intestazioni,0)-1,1,1))</f>
        <v>Unit</v>
      </c>
      <c r="N160" s="1066"/>
      <c r="O160" s="1356" cm="1">
        <f t="array" aca="1" ref="O160" ca="1">SUM(IF($AF$14:$BQ$14="I_ctrlv",AF160:BQ160))</f>
        <v>49682.653124999997</v>
      </c>
      <c r="P160" s="540">
        <f t="shared" ca="1" si="1616"/>
        <v>7.5854311580986541E-3</v>
      </c>
      <c r="Q160" s="541">
        <f t="array" aca="1" ref="Q160" ca="1">SUM(IF($AF$14:$BQ$14="I_pos",AF160:BQ160))</f>
        <v>1250</v>
      </c>
      <c r="R160" s="541">
        <f t="array" aca="1" ref="R160" ca="1">SUM(IF($AF$14:$BQ$14="P_Pos",AF160:BQ160))</f>
        <v>-1250</v>
      </c>
      <c r="S160" s="1357"/>
      <c r="T160" s="541"/>
      <c r="U160" s="534"/>
      <c r="V160" s="541">
        <f t="array" aca="1" ref="V160" ca="1">SUM(IF($AF$14:$BQ$14="O_Pos",AF160:BQ160))</f>
        <v>0</v>
      </c>
      <c r="W160" s="1356"/>
      <c r="X160" s="1358">
        <f t="shared" ref="X160:AA161" ca="1" si="1632">OFFSET(Origine,MATCH($F160,Descrizioni,0),MATCH(X$14,Intestazioni,0)-1,1,1)</f>
        <v>0</v>
      </c>
      <c r="Y160" s="1358">
        <f t="shared" ca="1" si="1632"/>
        <v>0</v>
      </c>
      <c r="Z160" s="1358">
        <f t="shared" ca="1" si="1632"/>
        <v>0</v>
      </c>
      <c r="AA160" s="1359">
        <f t="shared" ca="1" si="1632"/>
        <v>0</v>
      </c>
      <c r="AB160" s="535" t="str">
        <f ca="1">OFFSET(Origine,MATCH($F160,Descrizioni,0),MATCH(AB$14,Intestazioni,0)-1,1,1)</f>
        <v>USD</v>
      </c>
      <c r="AC160" s="543">
        <f ca="1">_xlfn.NUMBERVALUE(OFFSET(Origine,MATCH($F160,Descrizioni,0),MATCH(AC$14,Intestazioni,0)-1,1,1))</f>
        <v>50.81</v>
      </c>
      <c r="AD160" s="544">
        <f ca="1">_xlfn.NUMBERVALUE(OFFSET(Origine,MATCH($F160,Descrizioni,0),MATCH(AD$14,Intestazioni,0)-1,1,1))</f>
        <v>0</v>
      </c>
      <c r="AE160" s="545">
        <f ca="1">_xlfn.NUMBERVALUE(OFFSET(Origine,MATCH(AB160&amp;"/"&amp;MRif,LUKB_Name,0),MATCH("Price",Intestazioni,0)-1,1,1))</f>
        <v>0.78225</v>
      </c>
      <c r="AF160" s="214">
        <f>1250</f>
        <v>1250</v>
      </c>
      <c r="AG160" s="312">
        <f ca="1">IFERROR($AC160/AH160-1,"")</f>
        <v>-9.3585494248390466E-3</v>
      </c>
      <c r="AH160" s="1254">
        <v>51.29</v>
      </c>
      <c r="AI160" s="199">
        <f ca="1">AF160*$AC160</f>
        <v>63512.5</v>
      </c>
      <c r="AJ160" s="199">
        <f ca="1">AI160*$AE160</f>
        <v>49682.653124999997</v>
      </c>
      <c r="AK160" s="216">
        <f ca="1">IFERROR(AJ160/AF$4,0)</f>
        <v>8.5041520727726829E-3</v>
      </c>
      <c r="AL160" s="202">
        <f ca="1">AM160/$AC160</f>
        <v>-1250</v>
      </c>
      <c r="AM160" s="203">
        <f ca="1">AN160/$AE160</f>
        <v>-63512.500000000007</v>
      </c>
      <c r="AN160" s="203">
        <f ca="1">AO160*AF$4</f>
        <v>-49682.653125000004</v>
      </c>
      <c r="AO160" s="204">
        <f ca="1">$N160-AK160</f>
        <v>-8.5041520727726829E-3</v>
      </c>
      <c r="AP160" s="205"/>
      <c r="AQ160" s="206">
        <f ca="1">AP160*$AC160</f>
        <v>0</v>
      </c>
      <c r="AR160" s="206">
        <f ca="1">AQ160*$AE160</f>
        <v>0</v>
      </c>
      <c r="AS160" s="207">
        <f ca="1">IFERROR(AR160/AF$4,0)</f>
        <v>0</v>
      </c>
      <c r="AT160" s="541">
        <f>AF160+AP160</f>
        <v>1250</v>
      </c>
      <c r="AU160" s="541">
        <f t="shared" ref="AU160" ca="1" si="1633">AI160+IF($T160="",AQ160)</f>
        <v>63512.5</v>
      </c>
      <c r="AV160" s="541">
        <f ca="1">AU160*$AE160</f>
        <v>49682.653124999997</v>
      </c>
      <c r="AW160" s="546">
        <f t="shared" ref="AW160" ca="1" si="1634">IFERROR(AV160/AF$4,0)</f>
        <v>8.5041520727726829E-3</v>
      </c>
      <c r="AX160" s="1007" t="str">
        <f t="shared" ref="AX160" ca="1" si="1635">IF(OR(AK160&lt;&gt;0,AS160&lt;&gt;0),"V","")</f>
        <v>V</v>
      </c>
      <c r="AY160" s="1255"/>
      <c r="AZ160" s="312" t="str">
        <f ca="1">IFERROR($AC160/BA160-1,"")</f>
        <v/>
      </c>
      <c r="BA160" s="1254"/>
      <c r="BB160" s="199">
        <f ca="1">AY160*$AC160</f>
        <v>0</v>
      </c>
      <c r="BC160" s="199">
        <f ca="1">BB160*$AE160</f>
        <v>0</v>
      </c>
      <c r="BD160" s="216">
        <f ca="1">IFERROR(BC160/AY$4,0)</f>
        <v>0</v>
      </c>
      <c r="BE160" s="202">
        <f ca="1">BF160/$AC160</f>
        <v>0</v>
      </c>
      <c r="BF160" s="203">
        <f ca="1">BG160/$AE160</f>
        <v>0</v>
      </c>
      <c r="BG160" s="203">
        <f ca="1">BH160*AY$4</f>
        <v>0</v>
      </c>
      <c r="BH160" s="204">
        <f ca="1">$N160-BD160</f>
        <v>0</v>
      </c>
      <c r="BI160" s="1253"/>
      <c r="BJ160" s="206">
        <f ca="1">BI160*$AC160</f>
        <v>0</v>
      </c>
      <c r="BK160" s="206">
        <f ca="1">BJ160*$AE160</f>
        <v>0</v>
      </c>
      <c r="BL160" s="207">
        <f ca="1">IFERROR(BK160/AY$4,0)</f>
        <v>0</v>
      </c>
      <c r="BM160" s="541">
        <f>AY160+BI160</f>
        <v>0</v>
      </c>
      <c r="BN160" s="541">
        <f t="shared" ref="BN160" ca="1" si="1636">BB160+IF($T160="",BJ160)</f>
        <v>0</v>
      </c>
      <c r="BO160" s="541">
        <f ca="1">BN160*$AE160</f>
        <v>0</v>
      </c>
      <c r="BP160" s="918">
        <f t="shared" ref="BP160" ca="1" si="1637">IFERROR(BO160/AY$4,0)</f>
        <v>0</v>
      </c>
      <c r="BQ160" s="1007" t="str">
        <f t="shared" ref="BQ160" ca="1" si="1638">IF(SUM(BD160,BL160,BP160)&lt;&gt;0,"V","")</f>
        <v/>
      </c>
      <c r="BR160" s="1007"/>
    </row>
    <row r="161" spans="1:70" ht="13.5" hidden="1" customHeight="1" outlineLevel="1" x14ac:dyDescent="0.2">
      <c r="A161" s="535"/>
      <c r="B161" s="535"/>
      <c r="C161" s="535" t="str">
        <f t="shared" ca="1" si="1631"/>
        <v>GB00B15KYG56:USD:LSS</v>
      </c>
      <c r="D161" s="536" t="str">
        <f t="shared" ca="1" si="1631"/>
        <v>GB00B15KYG56</v>
      </c>
      <c r="E161" s="537" t="str">
        <f t="shared" ca="1" si="1631"/>
        <v>2726111</v>
      </c>
      <c r="F161" s="535" t="s">
        <v>543</v>
      </c>
      <c r="G161" s="538"/>
      <c r="H161" s="1729" t="str">
        <f ca="1">HYPERLINK(OFFSET(Origine,MATCH($F161,Descrizioni,0),MATCH(H$14,Intestazioni,0)-1,1,1),"")</f>
        <v></v>
      </c>
      <c r="I161" s="1690" t="str">
        <f ca="1">HYPERLINK(OFFSET(Origine,MATCH($F161,Descrizioni,0),MATCH(I$14,Intestazioni,0)-1,1,1),"i")</f>
        <v>i</v>
      </c>
      <c r="J161" s="1729" t="str">
        <f ca="1">HYPERLINK(OFFSET(Origine,MATCH($F161,Descrizioni,0),MATCH(J$14,Intestazioni,0)-1,1,1),"")</f>
        <v></v>
      </c>
      <c r="K161" s="1730" t="str">
        <f ca="1">HYPERLINK(OFFSET(Origine,MATCH($F161,Descrizioni,0),MATCH(K$14,Intestazioni,0)-1,1,1),"")</f>
        <v></v>
      </c>
      <c r="L161" s="1731" t="str">
        <f ca="1">IFERROR(HYPERLINK("https://www.zonebourse.com/mods_a/charts/TV/inc_dyna_graph.php?c="&amp;OFFSET(Origine,MATCH($F161,Descrizioni,0),MATCH(L$14,Intestazioni,0)-1,1,1)&amp;"&amp;style=TradingView.CANDLES&amp;showAT=1",""),"")</f>
        <v></v>
      </c>
      <c r="M161" s="534" t="str">
        <f ca="1">(OFFSET(Origine,MATCH($F161,Descrizioni,0),MATCH(M$14,Intestazioni,0)-1,1,1))</f>
        <v>Unit</v>
      </c>
      <c r="N161" s="1066">
        <v>0.03</v>
      </c>
      <c r="O161" s="1356" cm="1">
        <f t="array" aca="1" ref="O161" ca="1">SUM(IF($AF$14:$BQ$14="I_ctrlv",AF161:BQ161))</f>
        <v>50541.172500000001</v>
      </c>
      <c r="P161" s="540">
        <f t="shared" ca="1" si="1616"/>
        <v>7.7165078862389937E-3</v>
      </c>
      <c r="Q161" s="541">
        <f t="array" aca="1" ref="Q161" ca="1">SUM(IF($AF$14:$BQ$14="I_pos",AF161:BQ161))</f>
        <v>3500</v>
      </c>
      <c r="R161" s="541">
        <f t="array" aca="1" ref="R161" ca="1">SUM(IF($AF$14:$BQ$14="P_Pos",AF161:BQ161))</f>
        <v>10107.191432700876</v>
      </c>
      <c r="S161" s="1357"/>
      <c r="T161" s="541"/>
      <c r="U161" s="534"/>
      <c r="V161" s="541">
        <f t="array" aca="1" ref="V161" ca="1">SUM(IF($AF$14:$BQ$14="O_Pos",AF161:BQ161))</f>
        <v>0</v>
      </c>
      <c r="W161" s="1356"/>
      <c r="X161" s="1358">
        <f t="shared" ca="1" si="1632"/>
        <v>0</v>
      </c>
      <c r="Y161" s="1358">
        <f t="shared" ca="1" si="1632"/>
        <v>0</v>
      </c>
      <c r="Z161" s="1358">
        <f t="shared" ca="1" si="1632"/>
        <v>0</v>
      </c>
      <c r="AA161" s="1359">
        <f t="shared" ca="1" si="1632"/>
        <v>0</v>
      </c>
      <c r="AB161" s="535" t="str">
        <f ca="1">OFFSET(Origine,MATCH($F161,Descrizioni,0),MATCH(AB$14,Intestazioni,0)-1,1,1)</f>
        <v>USD</v>
      </c>
      <c r="AC161" s="543">
        <f ca="1">_xlfn.NUMBERVALUE(OFFSET(Origine,MATCH($F161,Descrizioni,0),MATCH(AC$14,Intestazioni,0)-1,1,1))</f>
        <v>18.46</v>
      </c>
      <c r="AD161" s="544">
        <f ca="1">_xlfn.NUMBERVALUE(OFFSET(Origine,MATCH($F161,Descrizioni,0),MATCH(AD$14,Intestazioni,0)-1,1,1))</f>
        <v>0</v>
      </c>
      <c r="AE161" s="545">
        <f ca="1">_xlfn.NUMBERVALUE(OFFSET(Origine,MATCH(AB161&amp;"/"&amp;MRif,LUKB_Name,0),MATCH("Price",Intestazioni,0)-1,1,1))</f>
        <v>0.78225</v>
      </c>
      <c r="AF161" s="214">
        <f>3500</f>
        <v>3500</v>
      </c>
      <c r="AG161" s="312">
        <f ca="1">IFERROR($AC161/AH161-1,"")</f>
        <v>2.9883183917414069E-3</v>
      </c>
      <c r="AH161" s="1254">
        <v>18.405000000000001</v>
      </c>
      <c r="AI161" s="199">
        <f ca="1">AF161*$AC161</f>
        <v>64610</v>
      </c>
      <c r="AJ161" s="199">
        <f ca="1">AI161*$AE161</f>
        <v>50541.172500000001</v>
      </c>
      <c r="AK161" s="216">
        <f ca="1">IFERROR(AJ161/AF$4,0)</f>
        <v>8.6511043561793826E-3</v>
      </c>
      <c r="AL161" s="202">
        <f ca="1">AM161/$AC161</f>
        <v>8637.1787551030648</v>
      </c>
      <c r="AM161" s="203">
        <f ca="1">AN161/$AE161</f>
        <v>159442.31981920259</v>
      </c>
      <c r="AN161" s="203">
        <f ca="1">AO161*AF$4</f>
        <v>124723.75467857123</v>
      </c>
      <c r="AO161" s="204">
        <f ca="1">$N161-AK161</f>
        <v>2.1348895643820615E-2</v>
      </c>
      <c r="AP161" s="205"/>
      <c r="AQ161" s="206">
        <f ca="1">AP161*$AC161</f>
        <v>0</v>
      </c>
      <c r="AR161" s="206">
        <f ca="1">AQ161*$AE161</f>
        <v>0</v>
      </c>
      <c r="AS161" s="207">
        <f ca="1">IFERROR(AR161/AF$4,0)</f>
        <v>0</v>
      </c>
      <c r="AT161" s="541">
        <f>AF161+AP161</f>
        <v>3500</v>
      </c>
      <c r="AU161" s="541">
        <f t="shared" ca="1" si="1412"/>
        <v>64610</v>
      </c>
      <c r="AV161" s="541">
        <f ca="1">AU161*$AE161</f>
        <v>50541.172500000001</v>
      </c>
      <c r="AW161" s="546">
        <f t="shared" ca="1" si="1628"/>
        <v>8.6511043561793826E-3</v>
      </c>
      <c r="AX161" s="1007" t="str">
        <f t="shared" ca="1" si="1603"/>
        <v>V</v>
      </c>
      <c r="AY161" s="1255"/>
      <c r="AZ161" s="312" t="str">
        <f ca="1">IFERROR($AC161/BA161-1,"")</f>
        <v/>
      </c>
      <c r="BA161" s="1254"/>
      <c r="BB161" s="199">
        <f ca="1">AY161*$AC161</f>
        <v>0</v>
      </c>
      <c r="BC161" s="199">
        <f ca="1">BB161*$AE161</f>
        <v>0</v>
      </c>
      <c r="BD161" s="216">
        <f ca="1">IFERROR(BC161/AY$4,0)</f>
        <v>0</v>
      </c>
      <c r="BE161" s="202">
        <f ca="1">BF161/$AC161</f>
        <v>1470.012677597811</v>
      </c>
      <c r="BF161" s="203">
        <f ca="1">BG161/$AE161</f>
        <v>27136.434028455591</v>
      </c>
      <c r="BG161" s="203">
        <f ca="1">BH161*AY$4</f>
        <v>21227.475518759387</v>
      </c>
      <c r="BH161" s="204">
        <f ca="1">$N161-BD161</f>
        <v>0.03</v>
      </c>
      <c r="BI161" s="1253"/>
      <c r="BJ161" s="206">
        <f ca="1">BI161*$AC161</f>
        <v>0</v>
      </c>
      <c r="BK161" s="206">
        <f ca="1">BJ161*$AE161</f>
        <v>0</v>
      </c>
      <c r="BL161" s="207">
        <f ca="1">IFERROR(BK161/AY$4,0)</f>
        <v>0</v>
      </c>
      <c r="BM161" s="541">
        <f>AY161+BI161</f>
        <v>0</v>
      </c>
      <c r="BN161" s="541">
        <f t="shared" ca="1" si="1413"/>
        <v>0</v>
      </c>
      <c r="BO161" s="541">
        <f ca="1">BN161*$AE161</f>
        <v>0</v>
      </c>
      <c r="BP161" s="918">
        <f t="shared" ca="1" si="1517"/>
        <v>0</v>
      </c>
      <c r="BQ161" s="1007" t="str">
        <f t="shared" ca="1" si="1593"/>
        <v/>
      </c>
      <c r="BR161" s="1007"/>
    </row>
    <row r="162" spans="1:70" ht="13.5" customHeight="1" x14ac:dyDescent="0.2">
      <c r="A162" s="1382" t="s">
        <v>624</v>
      </c>
      <c r="B162" s="1382"/>
      <c r="C162" s="1382"/>
      <c r="D162" s="1383"/>
      <c r="E162" s="1384"/>
      <c r="F162" s="1382"/>
      <c r="G162" s="1385"/>
      <c r="H162" s="1839"/>
      <c r="I162" s="1822"/>
      <c r="J162" s="1822"/>
      <c r="K162" s="1822"/>
      <c r="L162" s="1822"/>
      <c r="M162" s="1386"/>
      <c r="N162" s="1387">
        <f>SUMIF($B$163:$B$170,"&gt;A",$N$163:$N$170)</f>
        <v>0</v>
      </c>
      <c r="O162" s="1388" cm="1">
        <f t="array" aca="1" ref="O162" ca="1">SUM(IF($AF$14:$BQ$14="I_ctrlv",AF162:BQ162))</f>
        <v>49146.885989094357</v>
      </c>
      <c r="P162" s="1389">
        <f t="shared" ca="1" si="1616"/>
        <v>7.5036314861697219E-3</v>
      </c>
      <c r="Q162" s="1390"/>
      <c r="R162" s="1390"/>
      <c r="S162" s="1391"/>
      <c r="T162" s="1390"/>
      <c r="U162" s="1386"/>
      <c r="V162" s="1390" cm="1">
        <f t="array" aca="1" ref="V162" ca="1">SUM(IF(B163:B170&lt;&gt;"",V163:V170))</f>
        <v>1</v>
      </c>
      <c r="W162" s="1388"/>
      <c r="X162" s="1392"/>
      <c r="Y162" s="1392"/>
      <c r="Z162" s="1392"/>
      <c r="AA162" s="1393"/>
      <c r="AB162" s="1382"/>
      <c r="AC162" s="1394"/>
      <c r="AD162" s="1395"/>
      <c r="AE162" s="1396"/>
      <c r="AF162" s="1397"/>
      <c r="AG162" s="1382"/>
      <c r="AH162" s="1398"/>
      <c r="AI162" s="1382"/>
      <c r="AJ162" s="1390">
        <f ca="1">SUMIF($B$163:$B$170,"&gt;A",AJ$163:AJ$170)</f>
        <v>0</v>
      </c>
      <c r="AK162" s="1399">
        <f t="shared" ref="AK162:AK169" ca="1" si="1639">IFERROR(AJ162/AF$4,0)</f>
        <v>0</v>
      </c>
      <c r="AL162" s="1400"/>
      <c r="AM162" s="1382"/>
      <c r="AN162" s="1390">
        <f ca="1">SUMIF($B$163:$B$170,"&gt;A",AN$163:AN$170)</f>
        <v>0</v>
      </c>
      <c r="AO162" s="1401">
        <f ca="1">IFERROR(AN162/AF$4,0)</f>
        <v>0</v>
      </c>
      <c r="AP162" s="1402"/>
      <c r="AQ162" s="1403"/>
      <c r="AR162" s="1390">
        <f ca="1">SUMIF($B$163:$B$170,"&gt;A",AR$163:AR$170)</f>
        <v>0</v>
      </c>
      <c r="AS162" s="1401">
        <f t="shared" ref="AS162:AS169" ca="1" si="1640">IFERROR(AR162/AF$4,0)</f>
        <v>0</v>
      </c>
      <c r="AT162" s="1403"/>
      <c r="AU162" s="1403"/>
      <c r="AV162" s="1390">
        <f ca="1">SUMIF($B$163:$B$170,"&gt;A",AV$163:AV$170)</f>
        <v>0</v>
      </c>
      <c r="AW162" s="1399">
        <f t="shared" ca="1" si="1628"/>
        <v>0</v>
      </c>
      <c r="AX162" s="1007" t="str">
        <f t="shared" ca="1" si="1603"/>
        <v/>
      </c>
      <c r="AY162" s="1404"/>
      <c r="AZ162" s="1382"/>
      <c r="BA162" s="1398"/>
      <c r="BB162" s="1382"/>
      <c r="BC162" s="1390">
        <f ca="1">SUMIF($B$163:$B$170,"&gt;A",BC$163:BC$170)</f>
        <v>49146.885989094357</v>
      </c>
      <c r="BD162" s="1399">
        <f t="shared" ref="BD162:BD169" ca="1" si="1641">IFERROR(BC162/AY$4,0)</f>
        <v>6.9457462257810687E-2</v>
      </c>
      <c r="BE162" s="1400"/>
      <c r="BF162" s="1382"/>
      <c r="BG162" s="1390">
        <f ca="1">SUMIF($B$163:$B$170,"&gt;A",BG$163:BG$170)</f>
        <v>-49146.885989094349</v>
      </c>
      <c r="BH162" s="1401">
        <f ca="1">IFERROR(BG162/AY$4,0)</f>
        <v>-6.9457462257810687E-2</v>
      </c>
      <c r="BI162" s="1405"/>
      <c r="BJ162" s="1403"/>
      <c r="BK162" s="1390">
        <f ca="1">SUMIF($B$163:$B$170,"&gt;A",BK$163:BK$170)</f>
        <v>0</v>
      </c>
      <c r="BL162" s="1401">
        <f t="shared" ref="BL162:BL169" ca="1" si="1642">IFERROR(BK162/AY$4,0)</f>
        <v>0</v>
      </c>
      <c r="BM162" s="1403"/>
      <c r="BN162" s="1403"/>
      <c r="BO162" s="1390">
        <f ca="1">SUMIF($B$163:$B$170,"&gt;A",BO$163:BO$170)</f>
        <v>49146.885989094357</v>
      </c>
      <c r="BP162" s="1406">
        <f t="shared" ca="1" si="1517"/>
        <v>6.9457462257810687E-2</v>
      </c>
      <c r="BQ162" s="1007" t="str">
        <f t="shared" ca="1" si="1593"/>
        <v>V</v>
      </c>
      <c r="BR162" s="1007"/>
    </row>
    <row r="163" spans="1:70" ht="13.5" customHeight="1" collapsed="1" x14ac:dyDescent="0.2">
      <c r="A163" s="1407"/>
      <c r="B163" s="1407" t="s">
        <v>625</v>
      </c>
      <c r="C163" s="1407"/>
      <c r="D163" s="1408"/>
      <c r="E163" s="1409"/>
      <c r="F163" s="1407"/>
      <c r="G163" s="1410"/>
      <c r="H163" s="1823"/>
      <c r="I163" s="1823"/>
      <c r="J163" s="1823"/>
      <c r="K163" s="1823"/>
      <c r="L163" s="1823"/>
      <c r="M163" s="1411"/>
      <c r="N163" s="1412">
        <f>SUM(N$164:N$165)</f>
        <v>0</v>
      </c>
      <c r="O163" s="1413" cm="1">
        <f t="array" aca="1" ref="O163" ca="1">SUM(IF($AF$14:$BQ$14="I_ctrlv",AF163:BQ163))</f>
        <v>49146.885989094357</v>
      </c>
      <c r="P163" s="1414">
        <f t="shared" ca="1" si="1616"/>
        <v>7.5036314861697219E-3</v>
      </c>
      <c r="Q163" s="1415"/>
      <c r="R163" s="1415"/>
      <c r="S163" s="1416"/>
      <c r="T163" s="1415"/>
      <c r="U163" s="1411"/>
      <c r="V163" s="1415">
        <f ca="1">COUNTIF(V164:V167,"&lt;&gt;0")</f>
        <v>1</v>
      </c>
      <c r="W163" s="1413"/>
      <c r="X163" s="1417"/>
      <c r="Y163" s="1417"/>
      <c r="Z163" s="1417"/>
      <c r="AA163" s="1418"/>
      <c r="AB163" s="1407"/>
      <c r="AC163" s="1419"/>
      <c r="AD163" s="1420"/>
      <c r="AE163" s="1421"/>
      <c r="AF163" s="1422"/>
      <c r="AG163" s="1407"/>
      <c r="AH163" s="1423"/>
      <c r="AI163" s="1407"/>
      <c r="AJ163" s="1424">
        <f ca="1">SUM(AJ$164:AJ$165)</f>
        <v>0</v>
      </c>
      <c r="AK163" s="1425">
        <f t="shared" ca="1" si="1639"/>
        <v>0</v>
      </c>
      <c r="AL163" s="1426"/>
      <c r="AM163" s="1407"/>
      <c r="AN163" s="1424">
        <f ca="1">SUM(AN$164:AN$165)</f>
        <v>0</v>
      </c>
      <c r="AO163" s="1427">
        <f ca="1">IFERROR(AN163/AF$4,0)</f>
        <v>0</v>
      </c>
      <c r="AP163" s="1426"/>
      <c r="AQ163" s="1407"/>
      <c r="AR163" s="1424">
        <f ca="1">SUM(AR$164:AR$165)</f>
        <v>0</v>
      </c>
      <c r="AS163" s="1427">
        <f t="shared" ca="1" si="1640"/>
        <v>0</v>
      </c>
      <c r="AT163" s="1407"/>
      <c r="AU163" s="1407"/>
      <c r="AV163" s="1424">
        <f ca="1">SUM(AV$164:AV$165)</f>
        <v>0</v>
      </c>
      <c r="AW163" s="1425">
        <f t="shared" ca="1" si="1628"/>
        <v>0</v>
      </c>
      <c r="AX163" s="1007" t="str">
        <f t="shared" ca="1" si="1603"/>
        <v/>
      </c>
      <c r="AY163" s="1428"/>
      <c r="AZ163" s="1407"/>
      <c r="BA163" s="1423"/>
      <c r="BB163" s="1407"/>
      <c r="BC163" s="1424">
        <f ca="1">SUM(BC$164:BC$165)</f>
        <v>49146.885989094357</v>
      </c>
      <c r="BD163" s="1425">
        <f t="shared" ca="1" si="1641"/>
        <v>6.9457462257810687E-2</v>
      </c>
      <c r="BE163" s="1426"/>
      <c r="BF163" s="1407"/>
      <c r="BG163" s="1424">
        <f ca="1">SUM(BG$164:BG$165)</f>
        <v>-49146.885989094349</v>
      </c>
      <c r="BH163" s="1427">
        <f ca="1">IFERROR(BG163/AY$4,0)</f>
        <v>-6.9457462257810687E-2</v>
      </c>
      <c r="BI163" s="1429"/>
      <c r="BJ163" s="1407"/>
      <c r="BK163" s="1424">
        <f ca="1">SUM(BK$164:BK$165)</f>
        <v>0</v>
      </c>
      <c r="BL163" s="1427">
        <f t="shared" ca="1" si="1642"/>
        <v>0</v>
      </c>
      <c r="BM163" s="1407"/>
      <c r="BN163" s="1407"/>
      <c r="BO163" s="1424">
        <f ca="1">SUM(BO$164:BO$165)</f>
        <v>49146.885989094357</v>
      </c>
      <c r="BP163" s="1430">
        <f t="shared" ca="1" si="1517"/>
        <v>6.9457462257810687E-2</v>
      </c>
      <c r="BQ163" s="1007" t="str">
        <f t="shared" ca="1" si="1593"/>
        <v>V</v>
      </c>
      <c r="BR163" s="1007"/>
    </row>
    <row r="164" spans="1:70" ht="13.5" hidden="1" customHeight="1" outlineLevel="1" x14ac:dyDescent="0.2">
      <c r="A164" s="1431"/>
      <c r="B164" s="1431"/>
      <c r="C164" s="1431" t="str">
        <f t="shared" ref="C164:E165" ca="1" si="1643">OFFSET(Origine,MATCH($F164,Descrizioni,0),MATCH(C$14,Intestazioni,0)-1,1,1)</f>
        <v>LU1309082177:CHF</v>
      </c>
      <c r="D164" s="1432" t="str">
        <f t="shared" ca="1" si="1643"/>
        <v>LU1309082177</v>
      </c>
      <c r="E164" s="1433" t="str">
        <f t="shared" ca="1" si="1643"/>
        <v>30229186</v>
      </c>
      <c r="F164" s="1431" t="s">
        <v>902</v>
      </c>
      <c r="G164" s="1434"/>
      <c r="H164" s="1825" t="str">
        <f ca="1">HYPERLINK(OFFSET(Origine,MATCH($F164,Descrizioni,0),MATCH(H$14,Intestazioni,0)-1,1,1),"")</f>
        <v></v>
      </c>
      <c r="I164" s="1824" t="str">
        <f t="shared" ref="I164:I170" ca="1" si="1644">HYPERLINK(OFFSET(Origine,MATCH($F164,Descrizioni,0),MATCH(I$14,Intestazioni,0)-1,1,1),"i")</f>
        <v>i</v>
      </c>
      <c r="J164" s="1825" t="str">
        <f t="shared" ref="J164:K170" ca="1" si="1645">HYPERLINK(OFFSET(Origine,MATCH($F164,Descrizioni,0),MATCH(J$14,Intestazioni,0)-1,1,1),"")</f>
        <v></v>
      </c>
      <c r="K164" s="1826" t="str">
        <f t="shared" ca="1" si="1645"/>
        <v></v>
      </c>
      <c r="L164" s="1827" t="str">
        <f ca="1">IFERROR(HYPERLINK("https://www.zonebourse.com/mods_a/charts/TV/inc_dyna_graph.php?c="&amp;OFFSET(Origine,MATCH($F164,Descrizioni,0),MATCH(L$14,Intestazioni,0)-1,1,1)&amp;"&amp;style=TradingView.CANDLES&amp;showAT=1",""),"")</f>
        <v></v>
      </c>
      <c r="M164" s="1435" t="str">
        <f ca="1">(OFFSET(Origine,MATCH($F164,Descrizioni,0),MATCH(M$14,Intestazioni,0)-1,1,1))</f>
        <v>Unit</v>
      </c>
      <c r="N164" s="1436"/>
      <c r="O164" s="1437" cm="1">
        <f t="array" aca="1" ref="O164" ca="1">SUM(IF($AF$14:$BQ$14="I_ctrlv",AF164:BQ164))</f>
        <v>49146.885989094357</v>
      </c>
      <c r="P164" s="1438">
        <f t="shared" ca="1" si="1616"/>
        <v>7.5036314861697219E-3</v>
      </c>
      <c r="Q164" s="1439">
        <f t="array" aca="1" ref="Q164" ca="1">SUM(IF($AF$14:$BQ$14="I_pos",AF164:BQ164))</f>
        <v>199.08</v>
      </c>
      <c r="R164" s="1439">
        <f t="array" aca="1" ref="R164" ca="1">SUM(IF($AF$14:$BQ$14="P_Pos",AF164:BQ164))</f>
        <v>-199.07999999999998</v>
      </c>
      <c r="S164" s="1440"/>
      <c r="T164" s="1439"/>
      <c r="U164" s="1435"/>
      <c r="V164" s="1439">
        <v>1</v>
      </c>
      <c r="W164" s="1439"/>
      <c r="X164" s="1441">
        <f t="shared" ref="X164:AA164" ca="1" si="1646">OFFSET(Origine,MATCH($F164,Descrizioni,0),MATCH(X$14,Intestazioni,0)-1,1,1)</f>
        <v>0.03</v>
      </c>
      <c r="Y164" s="1441">
        <f t="shared" ca="1" si="1646"/>
        <v>0</v>
      </c>
      <c r="Z164" s="1441">
        <f t="shared" ca="1" si="1646"/>
        <v>1.7000000000000001E-2</v>
      </c>
      <c r="AA164" s="1442">
        <f t="shared" ca="1" si="1646"/>
        <v>0.2</v>
      </c>
      <c r="AB164" s="1431" t="str">
        <f t="shared" ref="AB164" ca="1" si="1647">OFFSET(Origine,MATCH($F164,Descrizioni,0),MATCH(AB$14,Intestazioni,0)-1,1,1)</f>
        <v>CHF</v>
      </c>
      <c r="AC164" s="1443">
        <f t="shared" ref="AC164:AD165" ca="1" si="1648">_xlfn.NUMBERVALUE(OFFSET(Origine,MATCH($F164,Descrizioni,0),MATCH(AC$14,Intestazioni,0)-1,1,1))</f>
        <v>246.87</v>
      </c>
      <c r="AD164" s="1444">
        <f t="shared" ca="1" si="1648"/>
        <v>0</v>
      </c>
      <c r="AE164" s="1445">
        <f ca="1">_xlfn.NUMBERVALUE(OFFSET(Origine,MATCH(AB164&amp;"/"&amp;MRif,LUKB_Name,0),MATCH("Price",Intestazioni,0)-1,1,1))</f>
        <v>1.0000001300000001</v>
      </c>
      <c r="AF164" s="1446"/>
      <c r="AG164" s="312" t="str">
        <f t="shared" ref="AG164" ca="1" si="1649">IFERROR($AC164/AH164-1,"")</f>
        <v/>
      </c>
      <c r="AH164" s="1254"/>
      <c r="AI164" s="199">
        <f ca="1">AF164*$AC164</f>
        <v>0</v>
      </c>
      <c r="AJ164" s="199">
        <f t="shared" ref="AJ164" ca="1" si="1650">AI164*$AE164</f>
        <v>0</v>
      </c>
      <c r="AK164" s="216">
        <f t="shared" ca="1" si="1639"/>
        <v>0</v>
      </c>
      <c r="AL164" s="202">
        <f t="shared" ref="AL164" ca="1" si="1651">AM164/$AC164</f>
        <v>0</v>
      </c>
      <c r="AM164" s="203">
        <f t="shared" ref="AM164" ca="1" si="1652">AN164/$AE164</f>
        <v>0</v>
      </c>
      <c r="AN164" s="203">
        <f t="shared" ref="AN164" ca="1" si="1653">AO164*AF$4</f>
        <v>0</v>
      </c>
      <c r="AO164" s="204">
        <f t="shared" ref="AO164" ca="1" si="1654">$N164-AK164</f>
        <v>0</v>
      </c>
      <c r="AP164" s="1447"/>
      <c r="AQ164" s="206">
        <f t="shared" ref="AQ164" ca="1" si="1655">AP164*$AC164</f>
        <v>0</v>
      </c>
      <c r="AR164" s="206">
        <f t="shared" ref="AR164" ca="1" si="1656">AQ164*$AE164</f>
        <v>0</v>
      </c>
      <c r="AS164" s="207">
        <f t="shared" ca="1" si="1640"/>
        <v>0</v>
      </c>
      <c r="AT164" s="1448">
        <f>AF164+AP164</f>
        <v>0</v>
      </c>
      <c r="AU164" s="541">
        <f t="shared" ca="1" si="1412"/>
        <v>0</v>
      </c>
      <c r="AV164" s="541">
        <f t="shared" ref="AV164" ca="1" si="1657">AU164*$AE164</f>
        <v>0</v>
      </c>
      <c r="AW164" s="546">
        <f t="shared" ca="1" si="1628"/>
        <v>0</v>
      </c>
      <c r="AX164" s="1007" t="str">
        <f t="shared" ca="1" si="1603"/>
        <v/>
      </c>
      <c r="AY164" s="1449">
        <v>199.08</v>
      </c>
      <c r="AZ164" s="312">
        <f t="shared" ref="AZ164" ca="1" si="1658">IFERROR($AC164/BA164-1,"")</f>
        <v>0.47016523949811773</v>
      </c>
      <c r="BA164" s="1254">
        <v>167.91990000000001</v>
      </c>
      <c r="BB164" s="199">
        <f ca="1">AY164*$AC164</f>
        <v>49146.879600000007</v>
      </c>
      <c r="BC164" s="199">
        <f t="shared" ref="BC164" ca="1" si="1659">BB164*$AE164</f>
        <v>49146.885989094357</v>
      </c>
      <c r="BD164" s="216">
        <f t="shared" ca="1" si="1641"/>
        <v>6.9457462257810687E-2</v>
      </c>
      <c r="BE164" s="202">
        <f t="shared" ref="BE164" ca="1" si="1660">BF164/$AC164</f>
        <v>-199.07999999999998</v>
      </c>
      <c r="BF164" s="203">
        <f t="shared" ref="BF164" ca="1" si="1661">BG164/$AE164</f>
        <v>-49146.8796</v>
      </c>
      <c r="BG164" s="203">
        <f t="shared" ref="BG164" ca="1" si="1662">BH164*AY$4</f>
        <v>-49146.885989094349</v>
      </c>
      <c r="BH164" s="204">
        <f t="shared" ref="BH164" ca="1" si="1663">$N164-BD164</f>
        <v>-6.9457462257810687E-2</v>
      </c>
      <c r="BI164" s="1447"/>
      <c r="BJ164" s="206">
        <f t="shared" ref="BJ164" ca="1" si="1664">BI164*$AC164</f>
        <v>0</v>
      </c>
      <c r="BK164" s="206">
        <f t="shared" ref="BK164" ca="1" si="1665">BJ164*$AE164</f>
        <v>0</v>
      </c>
      <c r="BL164" s="207">
        <f t="shared" ca="1" si="1642"/>
        <v>0</v>
      </c>
      <c r="BM164" s="1448">
        <f>AY164+BI164</f>
        <v>199.08</v>
      </c>
      <c r="BN164" s="541">
        <f t="shared" ca="1" si="1413"/>
        <v>49146.879600000007</v>
      </c>
      <c r="BO164" s="541">
        <f t="shared" ref="BO164" ca="1" si="1666">BN164*$AE164</f>
        <v>49146.885989094357</v>
      </c>
      <c r="BP164" s="918">
        <f t="shared" ca="1" si="1517"/>
        <v>6.9457462257810687E-2</v>
      </c>
      <c r="BQ164" s="1007" t="str">
        <f t="shared" ca="1" si="1593"/>
        <v>V</v>
      </c>
      <c r="BR164" s="1007"/>
    </row>
    <row r="165" spans="1:70" ht="13.5" hidden="1" customHeight="1" outlineLevel="1" x14ac:dyDescent="0.2">
      <c r="A165" s="1431"/>
      <c r="B165" s="1431"/>
      <c r="C165" s="1431" t="str">
        <f t="shared" ca="1" si="1643"/>
        <v>LU0627757692:CHF</v>
      </c>
      <c r="D165" s="1437" t="str">
        <f t="shared" ca="1" si="1643"/>
        <v>LU0627757692</v>
      </c>
      <c r="E165" s="1450" t="str">
        <f t="shared" ca="1" si="1643"/>
        <v>13047810</v>
      </c>
      <c r="F165" s="1431" t="s">
        <v>903</v>
      </c>
      <c r="G165" s="1434"/>
      <c r="H165" s="1825" t="str">
        <f ca="1">HYPERLINK(OFFSET(Origine,MATCH($F165,Descrizioni,0),MATCH(H$14,Intestazioni,0)-1,1,1),"")</f>
        <v></v>
      </c>
      <c r="I165" s="1824" t="str">
        <f t="shared" ca="1" si="1644"/>
        <v>i</v>
      </c>
      <c r="J165" s="1825" t="str">
        <f t="shared" ca="1" si="1645"/>
        <v></v>
      </c>
      <c r="K165" s="1826" t="str">
        <f t="shared" ca="1" si="1645"/>
        <v></v>
      </c>
      <c r="L165" s="1827" t="str">
        <f ca="1">IFERROR(HYPERLINK("https://www.zonebourse.com/mods_a/charts/TV/inc_dyna_graph.php?c="&amp;OFFSET(Origine,MATCH($F165,Descrizioni,0),MATCH(L$14,Intestazioni,0)-1,1,1)&amp;"&amp;style=TradingView.CANDLES&amp;showAT=1",""),"")</f>
        <v></v>
      </c>
      <c r="M165" s="1433" t="str">
        <f ca="1">(OFFSET(Origine,MATCH($F165,Descrizioni,0),MATCH(M$14,Intestazioni,0)-1,1,1))</f>
        <v>Unit</v>
      </c>
      <c r="N165" s="1451"/>
      <c r="O165" s="1452" cm="1">
        <f t="array" aca="1" ref="O165" ca="1">SUM(IF($AF$14:$BQ$14="I_ctrlv",AF165:BQ165))</f>
        <v>0</v>
      </c>
      <c r="P165" s="1453">
        <f t="shared" ca="1" si="1616"/>
        <v>0</v>
      </c>
      <c r="Q165" s="1454">
        <f t="array" aca="1" ref="Q165" ca="1">SUM(IF($AF$14:$BQ$14="I_pos",AF165:BQ165))</f>
        <v>0</v>
      </c>
      <c r="R165" s="1439">
        <f t="array" aca="1" ref="R165" ca="1">SUM(IF($AF$14:$BQ$14="P_Pos",AF165:BQ165))</f>
        <v>0</v>
      </c>
      <c r="S165" s="1440"/>
      <c r="T165" s="1439"/>
      <c r="U165" s="1433"/>
      <c r="V165" s="1439">
        <f t="array" aca="1" ref="V165" ca="1">SUM(IF($AF$14:$BQ$14="O_Pos",AF165:BQ165))</f>
        <v>0</v>
      </c>
      <c r="W165" s="1439"/>
      <c r="X165" s="1455">
        <f t="shared" ref="X165:AA165" ca="1" si="1667">OFFSET(Origine,MATCH($F165,Descrizioni,0),MATCH(X$14,Intestazioni,0)-1,1,1)</f>
        <v>0.05</v>
      </c>
      <c r="Y165" s="1455">
        <f t="shared" ca="1" si="1667"/>
        <v>0.02</v>
      </c>
      <c r="Z165" s="1455">
        <f t="shared" ca="1" si="1667"/>
        <v>2.2100000000000002E-2</v>
      </c>
      <c r="AA165" s="1456">
        <f t="shared" ca="1" si="1667"/>
        <v>0.18</v>
      </c>
      <c r="AB165" s="1435" t="str">
        <f t="shared" ref="AB165" ca="1" si="1668">OFFSET(Origine,MATCH($F165,Descrizioni,0),MATCH(AB$14,Intestazioni,0)-1,1,1)</f>
        <v>CHF</v>
      </c>
      <c r="AC165" s="1431">
        <f t="shared" ref="AC165" ca="1" si="1669">_xlfn.NUMBERVALUE(OFFSET(Origine,MATCH($F165,Descrizioni,0),MATCH(AC$14,Intestazioni,0)-1,1,1))</f>
        <v>12107.97</v>
      </c>
      <c r="AD165" s="1457">
        <f t="shared" ca="1" si="1648"/>
        <v>0</v>
      </c>
      <c r="AE165" s="1443">
        <f ca="1">_xlfn.NUMBERVALUE(OFFSET(Origine,MATCH(AB165&amp;"/"&amp;MRif,LUKB_Name,0),MATCH("Price",Intestazioni,0)-1,1,1))</f>
        <v>1.0000001300000001</v>
      </c>
      <c r="AF165" s="1446"/>
      <c r="AG165" s="312" t="str">
        <f t="shared" ref="AG165" ca="1" si="1670">IFERROR($AC165/AH165-1,"")</f>
        <v/>
      </c>
      <c r="AH165" s="1254"/>
      <c r="AI165" s="199">
        <f ca="1">AF165*$AC165</f>
        <v>0</v>
      </c>
      <c r="AJ165" s="199">
        <f t="shared" ref="AJ165" ca="1" si="1671">AI165*$AE165</f>
        <v>0</v>
      </c>
      <c r="AK165" s="216">
        <f t="shared" ref="AK165" ca="1" si="1672">IFERROR(AJ165/AF$4,0)</f>
        <v>0</v>
      </c>
      <c r="AL165" s="202">
        <f t="shared" ref="AL165" ca="1" si="1673">AM165/$AC165</f>
        <v>0</v>
      </c>
      <c r="AM165" s="203">
        <f t="shared" ref="AM165" ca="1" si="1674">AN165/$AE165</f>
        <v>0</v>
      </c>
      <c r="AN165" s="203">
        <f t="shared" ref="AN165" ca="1" si="1675">AO165*AF$4</f>
        <v>0</v>
      </c>
      <c r="AO165" s="204">
        <f t="shared" ref="AO165" ca="1" si="1676">$N165-AK165</f>
        <v>0</v>
      </c>
      <c r="AP165" s="1447"/>
      <c r="AQ165" s="206">
        <f t="shared" ref="AQ165" ca="1" si="1677">AP165*$AC165</f>
        <v>0</v>
      </c>
      <c r="AR165" s="206">
        <f t="shared" ref="AR165" ca="1" si="1678">AQ165*$AE165</f>
        <v>0</v>
      </c>
      <c r="AS165" s="207">
        <f t="shared" ref="AS165" ca="1" si="1679">IFERROR(AR165/AF$4,0)</f>
        <v>0</v>
      </c>
      <c r="AT165" s="1448">
        <f>AF165+AP165</f>
        <v>0</v>
      </c>
      <c r="AU165" s="541">
        <f t="shared" ca="1" si="1412"/>
        <v>0</v>
      </c>
      <c r="AV165" s="541">
        <f t="shared" ref="AV165" ca="1" si="1680">AU165*$AE165</f>
        <v>0</v>
      </c>
      <c r="AW165" s="546">
        <f t="shared" ref="AW165" ca="1" si="1681">IFERROR(AV165/AF$4,0)</f>
        <v>0</v>
      </c>
      <c r="AX165" s="1007" t="str">
        <f t="shared" ca="1" si="1603"/>
        <v/>
      </c>
      <c r="AY165" s="1255">
        <f>6+-6</f>
        <v>0</v>
      </c>
      <c r="AZ165" s="312" t="str">
        <f t="shared" ref="AZ165" ca="1" si="1682">IFERROR($AC165/BA165-1,"")</f>
        <v/>
      </c>
      <c r="BA165" s="1254"/>
      <c r="BB165" s="199">
        <f ca="1">AY165*$AC165</f>
        <v>0</v>
      </c>
      <c r="BC165" s="199">
        <f t="shared" ref="BC165" ca="1" si="1683">BB165*$AE165</f>
        <v>0</v>
      </c>
      <c r="BD165" s="216">
        <f t="shared" ref="BD165" ca="1" si="1684">IFERROR(BC165/AY$4,0)</f>
        <v>0</v>
      </c>
      <c r="BE165" s="202">
        <f t="shared" ref="BE165" ca="1" si="1685">BF165/$AC165</f>
        <v>0</v>
      </c>
      <c r="BF165" s="203">
        <f t="shared" ref="BF165" ca="1" si="1686">BG165/$AE165</f>
        <v>0</v>
      </c>
      <c r="BG165" s="203">
        <f t="shared" ref="BG165" ca="1" si="1687">BH165*AY$4</f>
        <v>0</v>
      </c>
      <c r="BH165" s="204">
        <f t="shared" ref="BH165" ca="1" si="1688">$N165-BD165</f>
        <v>0</v>
      </c>
      <c r="BI165" s="1447"/>
      <c r="BJ165" s="206">
        <f t="shared" ref="BJ165" ca="1" si="1689">BI165*$AC165</f>
        <v>0</v>
      </c>
      <c r="BK165" s="206">
        <f t="shared" ref="BK165" ca="1" si="1690">BJ165*$AE165</f>
        <v>0</v>
      </c>
      <c r="BL165" s="207">
        <f t="shared" ref="BL165" ca="1" si="1691">IFERROR(BK165/AY$4,0)</f>
        <v>0</v>
      </c>
      <c r="BM165" s="1448">
        <f>AY165+BI165</f>
        <v>0</v>
      </c>
      <c r="BN165" s="541">
        <f t="shared" ca="1" si="1413"/>
        <v>0</v>
      </c>
      <c r="BO165" s="541">
        <f t="shared" ref="BO165" ca="1" si="1692">BN165*$AE165</f>
        <v>0</v>
      </c>
      <c r="BP165" s="918">
        <f t="shared" ca="1" si="1517"/>
        <v>0</v>
      </c>
      <c r="BQ165" s="1007" t="str">
        <f t="shared" ca="1" si="1593"/>
        <v/>
      </c>
      <c r="BR165" s="1007"/>
    </row>
    <row r="166" spans="1:70" ht="13.5" customHeight="1" collapsed="1" x14ac:dyDescent="0.2">
      <c r="A166" s="1407"/>
      <c r="B166" s="1407" t="s">
        <v>904</v>
      </c>
      <c r="C166" s="1407"/>
      <c r="D166" s="1408"/>
      <c r="E166" s="1409"/>
      <c r="F166" s="1407"/>
      <c r="G166" s="1410"/>
      <c r="H166" s="1823"/>
      <c r="I166" s="1823"/>
      <c r="J166" s="1823"/>
      <c r="K166" s="1823"/>
      <c r="L166" s="1823"/>
      <c r="M166" s="1411"/>
      <c r="N166" s="1412">
        <f>SUM(N$167:N$168)</f>
        <v>0</v>
      </c>
      <c r="O166" s="1413" cm="1">
        <f t="array" aca="1" ref="O166" ca="1">SUM(IF($AF$14:$BQ$14="I_ctrlv",AF166:BQ166))</f>
        <v>0</v>
      </c>
      <c r="P166" s="1414">
        <f t="shared" ca="1" si="1616"/>
        <v>0</v>
      </c>
      <c r="Q166" s="1415"/>
      <c r="R166" s="1415"/>
      <c r="S166" s="1416"/>
      <c r="T166" s="1415"/>
      <c r="U166" s="1411"/>
      <c r="V166" s="1415">
        <f ca="1">COUNTIF(V167:V168,"&lt;&gt;0")</f>
        <v>0</v>
      </c>
      <c r="W166" s="1413"/>
      <c r="X166" s="1417"/>
      <c r="Y166" s="1417"/>
      <c r="Z166" s="1417"/>
      <c r="AA166" s="1418"/>
      <c r="AB166" s="1407"/>
      <c r="AC166" s="1419"/>
      <c r="AD166" s="1420"/>
      <c r="AE166" s="1421"/>
      <c r="AF166" s="1422"/>
      <c r="AG166" s="1407"/>
      <c r="AH166" s="1423"/>
      <c r="AI166" s="1407"/>
      <c r="AJ166" s="1424">
        <f ca="1">SUM(AJ$167:AJ$168)</f>
        <v>0</v>
      </c>
      <c r="AK166" s="1425">
        <f t="shared" ca="1" si="1639"/>
        <v>0</v>
      </c>
      <c r="AL166" s="1426"/>
      <c r="AM166" s="1407"/>
      <c r="AN166" s="1424">
        <f ca="1">SUM(AN$167:AN$168)</f>
        <v>0</v>
      </c>
      <c r="AO166" s="1427">
        <f ca="1">IFERROR(AN166/AF$4,0)</f>
        <v>0</v>
      </c>
      <c r="AP166" s="1426"/>
      <c r="AQ166" s="1407"/>
      <c r="AR166" s="1424">
        <f ca="1">SUM(AR$167:AR$168)</f>
        <v>0</v>
      </c>
      <c r="AS166" s="1427">
        <f t="shared" ca="1" si="1640"/>
        <v>0</v>
      </c>
      <c r="AT166" s="1407"/>
      <c r="AU166" s="1407"/>
      <c r="AV166" s="1424">
        <f ca="1">SUM(AV$167:AV$168)</f>
        <v>0</v>
      </c>
      <c r="AW166" s="1425">
        <f t="shared" ca="1" si="1628"/>
        <v>0</v>
      </c>
      <c r="AX166" s="1007" t="str">
        <f t="shared" ca="1" si="1603"/>
        <v/>
      </c>
      <c r="AY166" s="1428"/>
      <c r="AZ166" s="1407"/>
      <c r="BA166" s="1423"/>
      <c r="BB166" s="1407"/>
      <c r="BC166" s="1424">
        <f ca="1">SUM(BC$167:BC$168)</f>
        <v>0</v>
      </c>
      <c r="BD166" s="1425">
        <f t="shared" ca="1" si="1641"/>
        <v>0</v>
      </c>
      <c r="BE166" s="1426"/>
      <c r="BF166" s="1407"/>
      <c r="BG166" s="1424">
        <f ca="1">SUM(BG$167:BG$168)</f>
        <v>0</v>
      </c>
      <c r="BH166" s="1427">
        <f ca="1">IFERROR(BG166/AY$4,0)</f>
        <v>0</v>
      </c>
      <c r="BI166" s="1429"/>
      <c r="BJ166" s="1407"/>
      <c r="BK166" s="1424">
        <f ca="1">SUM(BK$167:BK$168)</f>
        <v>0</v>
      </c>
      <c r="BL166" s="1427">
        <f t="shared" ca="1" si="1642"/>
        <v>0</v>
      </c>
      <c r="BM166" s="1407"/>
      <c r="BN166" s="1407"/>
      <c r="BO166" s="1424">
        <f ca="1">SUM(BO$167:BO$168)</f>
        <v>0</v>
      </c>
      <c r="BP166" s="1430">
        <f t="shared" ca="1" si="1517"/>
        <v>0</v>
      </c>
      <c r="BQ166" s="1007" t="str">
        <f t="shared" ca="1" si="1593"/>
        <v/>
      </c>
      <c r="BR166" s="1007"/>
    </row>
    <row r="167" spans="1:70" ht="13.5" hidden="1" customHeight="1" outlineLevel="1" x14ac:dyDescent="0.2">
      <c r="A167" s="1431"/>
      <c r="B167" s="1431"/>
      <c r="C167" s="1431" t="str">
        <f t="shared" ref="C167:E168" ca="1" si="1693">OFFSET(Origine,MATCH($F167,Descrizioni,0),MATCH(C$14,Intestazioni,0)-1,1,1)</f>
        <v>CH0106027128:CHF</v>
      </c>
      <c r="D167" s="1437" t="str">
        <f t="shared" ca="1" si="1693"/>
        <v>CH0106027128</v>
      </c>
      <c r="E167" s="1432" t="str">
        <f t="shared" ca="1" si="1693"/>
        <v>10602712</v>
      </c>
      <c r="F167" s="1431" t="s">
        <v>396</v>
      </c>
      <c r="G167" s="1434"/>
      <c r="H167" s="1825" t="str">
        <f ca="1">HYPERLINK(OFFSET(Origine,MATCH($F167,Descrizioni,0),MATCH(H$14,Intestazioni,0)-1,1,1),"")</f>
        <v></v>
      </c>
      <c r="I167" s="1824" t="str">
        <f t="shared" ca="1" si="1644"/>
        <v>i</v>
      </c>
      <c r="J167" s="1825" t="str">
        <f t="shared" ca="1" si="1645"/>
        <v></v>
      </c>
      <c r="K167" s="1826" t="str">
        <f t="shared" ca="1" si="1645"/>
        <v></v>
      </c>
      <c r="L167" s="1827" t="str">
        <f ca="1">IFERROR(HYPERLINK("https://www.zonebourse.com/mods_a/charts/TV/inc_dyna_graph.php?c="&amp;OFFSET(Origine,MATCH($F167,Descrizioni,0),MATCH(L$14,Intestazioni,0)-1,1,1)&amp;"&amp;style=TradingView.CANDLES&amp;showAT=1",""),"")</f>
        <v></v>
      </c>
      <c r="M167" s="1433" t="str">
        <f ca="1">(OFFSET(Origine,MATCH($F167,Descrizioni,0),MATCH(M$14,Intestazioni,0)-1,1,1))</f>
        <v>Unit</v>
      </c>
      <c r="N167" s="1451"/>
      <c r="O167" s="1452" cm="1">
        <f t="array" aca="1" ref="O167" ca="1">SUM(IF($AF$14:$BQ$14="I_ctrlv",AF167:BQ167))</f>
        <v>0</v>
      </c>
      <c r="P167" s="1453">
        <f t="shared" ca="1" si="1616"/>
        <v>0</v>
      </c>
      <c r="Q167" s="1454">
        <f t="array" aca="1" ref="Q167" ca="1">SUM(IF($AF$14:$BQ$14="I_pos",AF167:BQ167))</f>
        <v>0</v>
      </c>
      <c r="R167" s="1439">
        <f t="array" aca="1" ref="R167" ca="1">SUM(IF($AF$14:$BQ$14="P_Pos",AF167:BQ167))</f>
        <v>0</v>
      </c>
      <c r="S167" s="1440"/>
      <c r="T167" s="1439"/>
      <c r="U167" s="1433"/>
      <c r="V167" s="1439">
        <f t="array" aca="1" ref="V167" ca="1">SUM(IF($AF$14:$BQ$14="O_Pos",AF167:BQ167))</f>
        <v>0</v>
      </c>
      <c r="W167" s="1439"/>
      <c r="X167" s="1455">
        <f t="shared" ref="X167:AA167" ca="1" si="1694">OFFSET(Origine,MATCH($F167,Descrizioni,0),MATCH(X$14,Intestazioni,0)-1,1,1)</f>
        <v>0</v>
      </c>
      <c r="Y167" s="1455">
        <f t="shared" ca="1" si="1694"/>
        <v>0</v>
      </c>
      <c r="Z167" s="1455">
        <f t="shared" ca="1" si="1694"/>
        <v>0</v>
      </c>
      <c r="AA167" s="1456">
        <f t="shared" ca="1" si="1694"/>
        <v>0</v>
      </c>
      <c r="AB167" s="1435" t="str">
        <f t="shared" ref="AB167" ca="1" si="1695">OFFSET(Origine,MATCH($F167,Descrizioni,0),MATCH(AB$14,Intestazioni,0)-1,1,1)</f>
        <v>CHF</v>
      </c>
      <c r="AC167" s="1431">
        <f t="shared" ref="AC167:AD168" ca="1" si="1696">_xlfn.NUMBERVALUE(OFFSET(Origine,MATCH($F167,Descrizioni,0),MATCH(AC$14,Intestazioni,0)-1,1,1))</f>
        <v>168.24</v>
      </c>
      <c r="AD167" s="1457">
        <f t="shared" ca="1" si="1696"/>
        <v>0</v>
      </c>
      <c r="AE167" s="1443">
        <f ca="1">_xlfn.NUMBERVALUE(OFFSET(Origine,MATCH(AB167&amp;"/"&amp;MRif,LUKB_Name,0),MATCH("Price",Intestazioni,0)-1,1,1))</f>
        <v>1.0000001300000001</v>
      </c>
      <c r="AF167" s="214"/>
      <c r="AG167" s="312" t="str">
        <f t="shared" ref="AG167:AG168" ca="1" si="1697">IFERROR($AC167/AH167-1,"")</f>
        <v/>
      </c>
      <c r="AH167" s="1254"/>
      <c r="AI167" s="199">
        <f t="shared" ref="AI167:AI168" ca="1" si="1698">AF167*$AC167</f>
        <v>0</v>
      </c>
      <c r="AJ167" s="199">
        <f t="shared" ref="AJ167:AJ168" ca="1" si="1699">AI167*$AE167</f>
        <v>0</v>
      </c>
      <c r="AK167" s="216">
        <f t="shared" ca="1" si="1639"/>
        <v>0</v>
      </c>
      <c r="AL167" s="202">
        <f t="shared" ref="AL167" ca="1" si="1700">AM167/$AC167</f>
        <v>0</v>
      </c>
      <c r="AM167" s="203">
        <f t="shared" ref="AM167" ca="1" si="1701">AN167/$AE167</f>
        <v>0</v>
      </c>
      <c r="AN167" s="203">
        <f t="shared" ref="AN167:AN168" ca="1" si="1702">AO167*AF$4</f>
        <v>0</v>
      </c>
      <c r="AO167" s="204">
        <f t="shared" ref="AO167:AO168" ca="1" si="1703">$N167-AK167</f>
        <v>0</v>
      </c>
      <c r="AP167" s="205"/>
      <c r="AQ167" s="206">
        <f t="shared" ref="AQ167:AQ168" ca="1" si="1704">AP167*$AC167</f>
        <v>0</v>
      </c>
      <c r="AR167" s="206">
        <f t="shared" ref="AR167:AR168" ca="1" si="1705">AQ167*$AE167</f>
        <v>0</v>
      </c>
      <c r="AS167" s="207">
        <f t="shared" ca="1" si="1640"/>
        <v>0</v>
      </c>
      <c r="AT167" s="541">
        <f>AF167+AP167</f>
        <v>0</v>
      </c>
      <c r="AU167" s="541">
        <f t="shared" ca="1" si="1412"/>
        <v>0</v>
      </c>
      <c r="AV167" s="541">
        <f t="shared" ref="AV167:AV168" ca="1" si="1706">AU167*$AE167</f>
        <v>0</v>
      </c>
      <c r="AW167" s="546">
        <f t="shared" ca="1" si="1628"/>
        <v>0</v>
      </c>
      <c r="AX167" s="1007" t="str">
        <f t="shared" ca="1" si="1603"/>
        <v/>
      </c>
      <c r="AY167" s="1255"/>
      <c r="AZ167" s="312" t="str">
        <f t="shared" ref="AZ167:AZ168" ca="1" si="1707">IFERROR($AC167/BA167-1,"")</f>
        <v/>
      </c>
      <c r="BA167" s="1254"/>
      <c r="BB167" s="199">
        <f t="shared" ref="BB167:BB168" ca="1" si="1708">AY167*$AC167</f>
        <v>0</v>
      </c>
      <c r="BC167" s="199">
        <f t="shared" ref="BC167:BC168" ca="1" si="1709">BB167*$AE167</f>
        <v>0</v>
      </c>
      <c r="BD167" s="216">
        <f t="shared" ca="1" si="1641"/>
        <v>0</v>
      </c>
      <c r="BE167" s="202">
        <f t="shared" ref="BE167" ca="1" si="1710">BF167/$AC167</f>
        <v>0</v>
      </c>
      <c r="BF167" s="203">
        <f t="shared" ref="BF167" ca="1" si="1711">BG167/$AE167</f>
        <v>0</v>
      </c>
      <c r="BG167" s="203">
        <f t="shared" ref="BG167:BG168" ca="1" si="1712">BH167*AY$4</f>
        <v>0</v>
      </c>
      <c r="BH167" s="204">
        <f t="shared" ref="BH167:BH168" ca="1" si="1713">$N167-BD167</f>
        <v>0</v>
      </c>
      <c r="BI167" s="1253"/>
      <c r="BJ167" s="206">
        <f t="shared" ref="BJ167:BJ168" ca="1" si="1714">BI167*$AC167</f>
        <v>0</v>
      </c>
      <c r="BK167" s="206">
        <f t="shared" ref="BK167:BK168" ca="1" si="1715">BJ167*$AE167</f>
        <v>0</v>
      </c>
      <c r="BL167" s="207">
        <f t="shared" ca="1" si="1642"/>
        <v>0</v>
      </c>
      <c r="BM167" s="541">
        <f>AY167+BI167</f>
        <v>0</v>
      </c>
      <c r="BN167" s="541">
        <f t="shared" ca="1" si="1413"/>
        <v>0</v>
      </c>
      <c r="BO167" s="541">
        <f t="shared" ref="BO167:BO168" ca="1" si="1716">BN167*$AE167</f>
        <v>0</v>
      </c>
      <c r="BP167" s="918">
        <f t="shared" ca="1" si="1517"/>
        <v>0</v>
      </c>
      <c r="BQ167" s="1007" t="str">
        <f t="shared" ca="1" si="1593"/>
        <v/>
      </c>
      <c r="BR167" s="1007"/>
    </row>
    <row r="168" spans="1:70" ht="13.5" hidden="1" customHeight="1" outlineLevel="1" x14ac:dyDescent="0.2">
      <c r="A168" s="1431"/>
      <c r="B168" s="1431"/>
      <c r="C168" s="1431" t="str">
        <f t="shared" ca="1" si="1693"/>
        <v>CH0106027193:USD</v>
      </c>
      <c r="D168" s="1437" t="str">
        <f t="shared" ca="1" si="1693"/>
        <v>CH0106027193</v>
      </c>
      <c r="E168" s="1432" t="str">
        <f t="shared" ca="1" si="1693"/>
        <v>10602719</v>
      </c>
      <c r="F168" s="1431" t="s">
        <v>650</v>
      </c>
      <c r="G168" s="1434"/>
      <c r="H168" s="1825" t="str">
        <f ca="1">HYPERLINK(OFFSET(Origine,MATCH($F168,Descrizioni,0),MATCH(H$14,Intestazioni,0)-1,1,1),"")</f>
        <v></v>
      </c>
      <c r="I168" s="1824" t="str">
        <f t="shared" ca="1" si="1644"/>
        <v>i</v>
      </c>
      <c r="J168" s="1825" t="str">
        <f t="shared" ca="1" si="1645"/>
        <v></v>
      </c>
      <c r="K168" s="1826" t="str">
        <f t="shared" ca="1" si="1645"/>
        <v></v>
      </c>
      <c r="L168" s="1827" t="str">
        <f ca="1">IFERROR(HYPERLINK("https://www.zonebourse.com/mods_a/charts/TV/inc_dyna_graph.php?c="&amp;OFFSET(Origine,MATCH($F168,Descrizioni,0),MATCH(L$14,Intestazioni,0)-1,1,1)&amp;"&amp;style=TradingView.CANDLES&amp;showAT=1",""),"")</f>
        <v></v>
      </c>
      <c r="M168" s="1433" t="str">
        <f ca="1">(OFFSET(Origine,MATCH($F168,Descrizioni,0),MATCH(M$14,Intestazioni,0)-1,1,1))</f>
        <v>Unit</v>
      </c>
      <c r="N168" s="1451"/>
      <c r="O168" s="1452" cm="1">
        <f t="array" aca="1" ref="O168" ca="1">SUM(IF($AF$14:$BQ$14="I_ctrlv",AF168:BQ168))</f>
        <v>0</v>
      </c>
      <c r="P168" s="1453">
        <f t="shared" ca="1" si="1616"/>
        <v>0</v>
      </c>
      <c r="Q168" s="1454">
        <f t="array" aca="1" ref="Q168" ca="1">SUM(IF($AF$14:$BQ$14="I_pos",AF168:BQ168))</f>
        <v>0</v>
      </c>
      <c r="R168" s="1439">
        <f t="array" aca="1" ref="R168" ca="1">SUM(IF($AF$14:$BQ$14="P_Pos",AF168:BQ168))</f>
        <v>0</v>
      </c>
      <c r="S168" s="1440"/>
      <c r="T168" s="1439"/>
      <c r="U168" s="1433"/>
      <c r="V168" s="1439">
        <f t="array" aca="1" ref="V168" ca="1">SUM(IF($AF$14:$BQ$14="O_Pos",AF168:BQ168))</f>
        <v>0</v>
      </c>
      <c r="W168" s="1439"/>
      <c r="X168" s="1455">
        <f t="shared" ref="X168:AA168" ca="1" si="1717">OFFSET(Origine,MATCH($F168,Descrizioni,0),MATCH(X$14,Intestazioni,0)-1,1,1)</f>
        <v>0</v>
      </c>
      <c r="Y168" s="1455">
        <f t="shared" ca="1" si="1717"/>
        <v>0</v>
      </c>
      <c r="Z168" s="1455">
        <f t="shared" ca="1" si="1717"/>
        <v>0</v>
      </c>
      <c r="AA168" s="1456">
        <f t="shared" ca="1" si="1717"/>
        <v>0</v>
      </c>
      <c r="AB168" s="1435" t="str">
        <f t="shared" ref="AB168" ca="1" si="1718">OFFSET(Origine,MATCH($F168,Descrizioni,0),MATCH(AB$14,Intestazioni,0)-1,1,1)</f>
        <v>USD</v>
      </c>
      <c r="AC168" s="1431">
        <f t="shared" ref="AC168" ca="1" si="1719">_xlfn.NUMBERVALUE(OFFSET(Origine,MATCH($F168,Descrizioni,0),MATCH(AC$14,Intestazioni,0)-1,1,1))</f>
        <v>163.58000000000001</v>
      </c>
      <c r="AD168" s="1457">
        <f t="shared" ca="1" si="1696"/>
        <v>0</v>
      </c>
      <c r="AE168" s="1443">
        <f ca="1">_xlfn.NUMBERVALUE(OFFSET(Origine,MATCH(AB168&amp;"/"&amp;MRif,LUKB_Name,0),MATCH("Price",Intestazioni,0)-1,1,1))</f>
        <v>0.78225</v>
      </c>
      <c r="AF168" s="214"/>
      <c r="AG168" s="312" t="str">
        <f t="shared" ca="1" si="1697"/>
        <v/>
      </c>
      <c r="AH168" s="1254"/>
      <c r="AI168" s="199">
        <f t="shared" ca="1" si="1698"/>
        <v>0</v>
      </c>
      <c r="AJ168" s="199">
        <f t="shared" ca="1" si="1699"/>
        <v>0</v>
      </c>
      <c r="AK168" s="216">
        <f t="shared" ca="1" si="1639"/>
        <v>0</v>
      </c>
      <c r="AL168" s="202">
        <f ca="1">AM168/$AC168</f>
        <v>0</v>
      </c>
      <c r="AM168" s="203">
        <f ca="1">AN168/$AE168</f>
        <v>0</v>
      </c>
      <c r="AN168" s="203">
        <f t="shared" ca="1" si="1702"/>
        <v>0</v>
      </c>
      <c r="AO168" s="204">
        <f t="shared" ca="1" si="1703"/>
        <v>0</v>
      </c>
      <c r="AP168" s="205"/>
      <c r="AQ168" s="206">
        <f t="shared" ca="1" si="1704"/>
        <v>0</v>
      </c>
      <c r="AR168" s="206">
        <f t="shared" ca="1" si="1705"/>
        <v>0</v>
      </c>
      <c r="AS168" s="207">
        <f t="shared" ca="1" si="1640"/>
        <v>0</v>
      </c>
      <c r="AT168" s="541">
        <f>AF168+AP168</f>
        <v>0</v>
      </c>
      <c r="AU168" s="541">
        <f t="shared" ca="1" si="1412"/>
        <v>0</v>
      </c>
      <c r="AV168" s="541">
        <f t="shared" ca="1" si="1706"/>
        <v>0</v>
      </c>
      <c r="AW168" s="546">
        <f t="shared" ca="1" si="1628"/>
        <v>0</v>
      </c>
      <c r="AX168" s="1007" t="str">
        <f t="shared" ca="1" si="1603"/>
        <v/>
      </c>
      <c r="AY168" s="1255"/>
      <c r="AZ168" s="312" t="str">
        <f t="shared" ca="1" si="1707"/>
        <v/>
      </c>
      <c r="BA168" s="1254"/>
      <c r="BB168" s="199">
        <f t="shared" ca="1" si="1708"/>
        <v>0</v>
      </c>
      <c r="BC168" s="199">
        <f t="shared" ca="1" si="1709"/>
        <v>0</v>
      </c>
      <c r="BD168" s="216">
        <f t="shared" ca="1" si="1641"/>
        <v>0</v>
      </c>
      <c r="BE168" s="202">
        <f ca="1">BF168/$AC168</f>
        <v>0</v>
      </c>
      <c r="BF168" s="203">
        <f ca="1">BG168/$AE168</f>
        <v>0</v>
      </c>
      <c r="BG168" s="203">
        <f t="shared" ca="1" si="1712"/>
        <v>0</v>
      </c>
      <c r="BH168" s="204">
        <f t="shared" ca="1" si="1713"/>
        <v>0</v>
      </c>
      <c r="BI168" s="1253"/>
      <c r="BJ168" s="206">
        <f t="shared" ca="1" si="1714"/>
        <v>0</v>
      </c>
      <c r="BK168" s="206">
        <f t="shared" ca="1" si="1715"/>
        <v>0</v>
      </c>
      <c r="BL168" s="207">
        <f t="shared" ca="1" si="1642"/>
        <v>0</v>
      </c>
      <c r="BM168" s="541">
        <f>AY168+BI168</f>
        <v>0</v>
      </c>
      <c r="BN168" s="541">
        <f t="shared" ca="1" si="1413"/>
        <v>0</v>
      </c>
      <c r="BO168" s="541">
        <f t="shared" ca="1" si="1716"/>
        <v>0</v>
      </c>
      <c r="BP168" s="918">
        <f t="shared" ca="1" si="1517"/>
        <v>0</v>
      </c>
      <c r="BQ168" s="1007" t="str">
        <f t="shared" ca="1" si="1593"/>
        <v/>
      </c>
      <c r="BR168" s="1007"/>
    </row>
    <row r="169" spans="1:70" ht="13.5" customHeight="1" collapsed="1" thickBot="1" x14ac:dyDescent="0.25">
      <c r="A169" s="1407"/>
      <c r="B169" s="1407" t="s">
        <v>905</v>
      </c>
      <c r="C169" s="1407"/>
      <c r="D169" s="1408"/>
      <c r="E169" s="1409"/>
      <c r="F169" s="1407"/>
      <c r="G169" s="1410"/>
      <c r="H169" s="1823"/>
      <c r="I169" s="1823"/>
      <c r="J169" s="1823"/>
      <c r="K169" s="1823"/>
      <c r="L169" s="1823"/>
      <c r="M169" s="1411"/>
      <c r="N169" s="1412">
        <f>SUM(N$170)</f>
        <v>0</v>
      </c>
      <c r="O169" s="1413" cm="1">
        <f t="array" aca="1" ref="O169" ca="1">SUM(IF($AF$14:$BQ$14="I_ctrlv",AF169:BQ169))</f>
        <v>0</v>
      </c>
      <c r="P169" s="1414">
        <f t="shared" ca="1" si="1616"/>
        <v>0</v>
      </c>
      <c r="Q169" s="1415"/>
      <c r="R169" s="1415"/>
      <c r="S169" s="1416"/>
      <c r="T169" s="1415"/>
      <c r="U169" s="1411"/>
      <c r="V169" s="1415">
        <f ca="1">COUNTIF(V170,"&lt;&gt;0")</f>
        <v>0</v>
      </c>
      <c r="W169" s="1413"/>
      <c r="X169" s="1417"/>
      <c r="Y169" s="1417"/>
      <c r="Z169" s="1417"/>
      <c r="AA169" s="1418"/>
      <c r="AB169" s="1407"/>
      <c r="AC169" s="1419"/>
      <c r="AD169" s="1420"/>
      <c r="AE169" s="1421"/>
      <c r="AF169" s="1422"/>
      <c r="AG169" s="1407"/>
      <c r="AH169" s="1423"/>
      <c r="AI169" s="1407"/>
      <c r="AJ169" s="1424">
        <f ca="1">SUM(AJ$170)</f>
        <v>0</v>
      </c>
      <c r="AK169" s="1425">
        <f t="shared" ca="1" si="1639"/>
        <v>0</v>
      </c>
      <c r="AL169" s="1426"/>
      <c r="AM169" s="1407"/>
      <c r="AN169" s="1424">
        <f ca="1">SUM(AN$170)</f>
        <v>0</v>
      </c>
      <c r="AO169" s="1427">
        <f ca="1">IFERROR(AN169/AF$4,0)</f>
        <v>0</v>
      </c>
      <c r="AP169" s="1426"/>
      <c r="AQ169" s="1407"/>
      <c r="AR169" s="1424">
        <f ca="1">SUM(AR$170)</f>
        <v>0</v>
      </c>
      <c r="AS169" s="1427">
        <f t="shared" ca="1" si="1640"/>
        <v>0</v>
      </c>
      <c r="AT169" s="1407"/>
      <c r="AU169" s="1407"/>
      <c r="AV169" s="1424">
        <f ca="1">SUM(AV$170)</f>
        <v>0</v>
      </c>
      <c r="AW169" s="1425">
        <f t="shared" ca="1" si="1628"/>
        <v>0</v>
      </c>
      <c r="AX169" s="1007" t="str">
        <f t="shared" ca="1" si="1603"/>
        <v/>
      </c>
      <c r="AY169" s="1428"/>
      <c r="AZ169" s="1407"/>
      <c r="BA169" s="1423"/>
      <c r="BB169" s="1407"/>
      <c r="BC169" s="1424">
        <f ca="1">SUM(BC$170)</f>
        <v>0</v>
      </c>
      <c r="BD169" s="1425">
        <f t="shared" ca="1" si="1641"/>
        <v>0</v>
      </c>
      <c r="BE169" s="1426"/>
      <c r="BF169" s="1407"/>
      <c r="BG169" s="1424">
        <f ca="1">SUM(BG$170)</f>
        <v>0</v>
      </c>
      <c r="BH169" s="1427">
        <f ca="1">IFERROR(BG169/AY$4,0)</f>
        <v>0</v>
      </c>
      <c r="BI169" s="1429"/>
      <c r="BJ169" s="1407"/>
      <c r="BK169" s="1424">
        <f ca="1">SUM(BK$170)</f>
        <v>0</v>
      </c>
      <c r="BL169" s="1427">
        <f t="shared" ca="1" si="1642"/>
        <v>0</v>
      </c>
      <c r="BM169" s="1407"/>
      <c r="BN169" s="1407"/>
      <c r="BO169" s="1424">
        <f ca="1">SUM(BO$170)</f>
        <v>0</v>
      </c>
      <c r="BP169" s="1430">
        <f t="shared" ca="1" si="1517"/>
        <v>0</v>
      </c>
      <c r="BQ169" s="1007" t="str">
        <f t="shared" ca="1" si="1593"/>
        <v/>
      </c>
      <c r="BR169" s="1007"/>
    </row>
    <row r="170" spans="1:70" ht="13.5" hidden="1" customHeight="1" outlineLevel="1" thickBot="1" x14ac:dyDescent="0.25">
      <c r="A170" s="1431"/>
      <c r="B170" s="1431"/>
      <c r="C170" s="1431" t="str">
        <f ca="1">OFFSET(Origine,MATCH($F170,Descrizioni,0),MATCH(C$14,Intestazioni,0)-1,1,1)</f>
        <v>GB00B15KYG56:USD:LSS</v>
      </c>
      <c r="D170" s="1437" t="str">
        <f ca="1">OFFSET(Origine,MATCH($F170,Descrizioni,0),MATCH(D$14,Intestazioni,0)-1,1,1)</f>
        <v>GB00B15KYG56</v>
      </c>
      <c r="E170" s="1432" t="str">
        <f ca="1">OFFSET(Origine,MATCH($F170,Descrizioni,0),MATCH(E$14,Intestazioni,0)-1,1,1)</f>
        <v>2726111</v>
      </c>
      <c r="F170" s="1431" t="s">
        <v>543</v>
      </c>
      <c r="G170" s="1434"/>
      <c r="H170" s="1825" t="str">
        <f ca="1">HYPERLINK(OFFSET(Origine,MATCH($F170,Descrizioni,0),MATCH(H$14,Intestazioni,0)-1,1,1),"")</f>
        <v></v>
      </c>
      <c r="I170" s="1824" t="str">
        <f t="shared" ca="1" si="1644"/>
        <v>i</v>
      </c>
      <c r="J170" s="1825" t="str">
        <f t="shared" ca="1" si="1645"/>
        <v></v>
      </c>
      <c r="K170" s="1826" t="str">
        <f t="shared" ca="1" si="1645"/>
        <v></v>
      </c>
      <c r="L170" s="1827" t="str">
        <f ca="1">IFERROR(HYPERLINK("https://www.zonebourse.com/mods_a/charts/TV/inc_dyna_graph.php?c="&amp;OFFSET(Origine,MATCH($F170,Descrizioni,0),MATCH(L$14,Intestazioni,0)-1,1,1)&amp;"&amp;style=TradingView.CANDLES&amp;showAT=1",""),"")</f>
        <v></v>
      </c>
      <c r="M170" s="1433" t="str">
        <f ca="1">(OFFSET(Origine,MATCH($F170,Descrizioni,0),MATCH(M$14,Intestazioni,0)-1,1,1))</f>
        <v>Unit</v>
      </c>
      <c r="N170" s="1451"/>
      <c r="O170" s="1458" cm="1">
        <f t="array" aca="1" ref="O170" ca="1">SUM(IF($AF$14:$BQ$14="I_ctrlv",AF170:BQ170))</f>
        <v>0</v>
      </c>
      <c r="P170" s="1459">
        <f t="shared" ca="1" si="1616"/>
        <v>0</v>
      </c>
      <c r="Q170" s="1460">
        <f t="array" aca="1" ref="Q170" ca="1">SUM(IF($AF$14:$BQ$14="I_pos",AF170:BQ170))</f>
        <v>0</v>
      </c>
      <c r="R170" s="1439">
        <f t="array" aca="1" ref="R170" ca="1">SUM(IF($AF$14:$BQ$14="P_Pos",AF170:BQ170))</f>
        <v>0</v>
      </c>
      <c r="S170" s="1440"/>
      <c r="T170" s="1439"/>
      <c r="U170" s="1433"/>
      <c r="V170" s="1439">
        <f t="array" aca="1" ref="V170" ca="1">SUM(IF($AF$14:$BQ$14="O_Pos",AF170:BQ170))</f>
        <v>0</v>
      </c>
      <c r="W170" s="1439"/>
      <c r="X170" s="1455">
        <f t="shared" ref="X170:AA170" ca="1" si="1720">OFFSET(Origine,MATCH($F170,Descrizioni,0),MATCH(X$14,Intestazioni,0)-1,1,1)</f>
        <v>0</v>
      </c>
      <c r="Y170" s="1455">
        <f t="shared" ca="1" si="1720"/>
        <v>0</v>
      </c>
      <c r="Z170" s="1455">
        <f t="shared" ca="1" si="1720"/>
        <v>0</v>
      </c>
      <c r="AA170" s="1456">
        <f t="shared" ca="1" si="1720"/>
        <v>0</v>
      </c>
      <c r="AB170" s="1435" t="str">
        <f ca="1">OFFSET(Origine,MATCH($F170,Descrizioni,0),MATCH(AB$14,Intestazioni,0)-1,1,1)</f>
        <v>USD</v>
      </c>
      <c r="AC170" s="1431">
        <f ca="1">_xlfn.NUMBERVALUE(OFFSET(Origine,MATCH($F170,Descrizioni,0),MATCH(AC$14,Intestazioni,0)-1,1,1))</f>
        <v>18.46</v>
      </c>
      <c r="AD170" s="1457">
        <f ca="1">_xlfn.NUMBERVALUE(OFFSET(Origine,MATCH($F170,Descrizioni,0),MATCH(AD$14,Intestazioni,0)-1,1,1))</f>
        <v>0</v>
      </c>
      <c r="AE170" s="1443">
        <f ca="1">_xlfn.NUMBERVALUE(OFFSET(Origine,MATCH(AB170&amp;"/"&amp;MRif,LUKB_Name,0),MATCH("Price",Intestazioni,0)-1,1,1))</f>
        <v>0.78225</v>
      </c>
      <c r="AF170" s="214"/>
      <c r="AG170" s="312" t="str">
        <f ca="1">IFERROR($AC170/AH170-1,"")</f>
        <v/>
      </c>
      <c r="AH170" s="1254"/>
      <c r="AI170" s="199">
        <f ca="1">AF170*$AC170</f>
        <v>0</v>
      </c>
      <c r="AJ170" s="199">
        <f ca="1">AI170*$AE170</f>
        <v>0</v>
      </c>
      <c r="AK170" s="216">
        <f ca="1">IFERROR(AJ170/AF$4,0)</f>
        <v>0</v>
      </c>
      <c r="AL170" s="202">
        <f ca="1">AM170/$AC170</f>
        <v>0</v>
      </c>
      <c r="AM170" s="203">
        <f ca="1">AN170/$AE170</f>
        <v>0</v>
      </c>
      <c r="AN170" s="203">
        <f ca="1">AO170*AF$4</f>
        <v>0</v>
      </c>
      <c r="AO170" s="204">
        <f ca="1">$N170-AK170</f>
        <v>0</v>
      </c>
      <c r="AP170" s="205"/>
      <c r="AQ170" s="206">
        <f ca="1">AP170*$AC170</f>
        <v>0</v>
      </c>
      <c r="AR170" s="206">
        <f ca="1">AQ170*$AE170</f>
        <v>0</v>
      </c>
      <c r="AS170" s="207">
        <f ca="1">IFERROR(AR170/AF$4,0)</f>
        <v>0</v>
      </c>
      <c r="AT170" s="541">
        <f>AF170+AP170</f>
        <v>0</v>
      </c>
      <c r="AU170" s="541">
        <f t="shared" ca="1" si="1412"/>
        <v>0</v>
      </c>
      <c r="AV170" s="541">
        <f ca="1">AU170*$AE170</f>
        <v>0</v>
      </c>
      <c r="AW170" s="546">
        <f t="shared" ca="1" si="1628"/>
        <v>0</v>
      </c>
      <c r="AX170" s="1007" t="str">
        <f t="shared" ca="1" si="1603"/>
        <v/>
      </c>
      <c r="AY170" s="1255"/>
      <c r="AZ170" s="312" t="str">
        <f ca="1">IFERROR($AC170/BA170-1,"")</f>
        <v/>
      </c>
      <c r="BA170" s="1254"/>
      <c r="BB170" s="199">
        <f ca="1">AY170*$AC170</f>
        <v>0</v>
      </c>
      <c r="BC170" s="199">
        <f ca="1">BB170*$AE170</f>
        <v>0</v>
      </c>
      <c r="BD170" s="216">
        <f ca="1">IFERROR(BC170/AY$4,0)</f>
        <v>0</v>
      </c>
      <c r="BE170" s="202">
        <f ca="1">BF170/$AC170</f>
        <v>0</v>
      </c>
      <c r="BF170" s="203">
        <f ca="1">BG170/$AE170</f>
        <v>0</v>
      </c>
      <c r="BG170" s="203">
        <f ca="1">BH170*AY$4</f>
        <v>0</v>
      </c>
      <c r="BH170" s="204">
        <f ca="1">$N170-BD170</f>
        <v>0</v>
      </c>
      <c r="BI170" s="1253"/>
      <c r="BJ170" s="206">
        <f ca="1">BI170*$AC170</f>
        <v>0</v>
      </c>
      <c r="BK170" s="206">
        <f ca="1">BJ170*$AE170</f>
        <v>0</v>
      </c>
      <c r="BL170" s="207">
        <f ca="1">IFERROR(BK170/AY$4,0)</f>
        <v>0</v>
      </c>
      <c r="BM170" s="541">
        <f>AY170+BI170</f>
        <v>0</v>
      </c>
      <c r="BN170" s="541">
        <f t="shared" ca="1" si="1413"/>
        <v>0</v>
      </c>
      <c r="BO170" s="541">
        <f ca="1">BN170*$AE170</f>
        <v>0</v>
      </c>
      <c r="BP170" s="918">
        <f t="shared" ca="1" si="1517"/>
        <v>0</v>
      </c>
      <c r="BQ170" s="1007" t="str">
        <f t="shared" ca="1" si="1593"/>
        <v/>
      </c>
      <c r="BR170" s="1007"/>
    </row>
    <row r="171" spans="1:70" ht="13.5" customHeight="1" x14ac:dyDescent="0.2">
      <c r="A171" s="1461"/>
      <c r="B171" s="1461"/>
      <c r="C171" s="1461"/>
      <c r="D171" s="1462"/>
      <c r="E171" s="1463"/>
      <c r="F171" s="1461"/>
      <c r="G171" s="1464"/>
      <c r="H171" s="1828"/>
      <c r="I171" s="1828"/>
      <c r="J171" s="1828"/>
      <c r="K171" s="1828"/>
      <c r="L171" s="1828"/>
      <c r="M171" s="1466"/>
      <c r="N171" s="1467"/>
      <c r="O171" s="1468"/>
      <c r="P171" s="1467"/>
      <c r="Q171" s="1468"/>
      <c r="R171" s="1468"/>
      <c r="S171" s="1465"/>
      <c r="T171" s="1468"/>
      <c r="U171" s="1466"/>
      <c r="V171" s="1469"/>
      <c r="W171" s="1469"/>
      <c r="X171" s="1466"/>
      <c r="Y171" s="1466"/>
      <c r="Z171" s="1466"/>
      <c r="AA171" s="1466"/>
      <c r="AB171" s="1461"/>
      <c r="AC171" s="1461"/>
      <c r="AD171" s="1470"/>
      <c r="AE171" s="1471"/>
      <c r="AF171" s="1472"/>
      <c r="AG171" s="1472"/>
      <c r="AH171" s="1473"/>
      <c r="AI171" s="1472"/>
      <c r="AJ171" s="1472"/>
      <c r="AK171" s="1474"/>
      <c r="AL171" s="1472"/>
      <c r="AM171" s="1472"/>
      <c r="AN171" s="1472"/>
      <c r="AO171" s="1474"/>
      <c r="AP171" s="1472"/>
      <c r="AQ171" s="1472"/>
      <c r="AR171" s="1472"/>
      <c r="AS171" s="1474"/>
      <c r="AT171" s="1472"/>
      <c r="AU171" s="1472"/>
      <c r="AV171" s="1472"/>
      <c r="AW171" s="1474"/>
      <c r="AX171" s="1007" t="str">
        <f t="shared" si="1603"/>
        <v/>
      </c>
      <c r="AY171" s="1475"/>
      <c r="AZ171" s="1472"/>
      <c r="BA171" s="1473"/>
      <c r="BB171" s="1472"/>
      <c r="BC171" s="1472"/>
      <c r="BD171" s="1474"/>
      <c r="BE171" s="1472"/>
      <c r="BF171" s="1472"/>
      <c r="BG171" s="1472"/>
      <c r="BH171" s="1474"/>
      <c r="BI171" s="1476"/>
      <c r="BJ171" s="1472"/>
      <c r="BK171" s="1472"/>
      <c r="BL171" s="1474"/>
      <c r="BM171" s="1472"/>
      <c r="BN171" s="1472"/>
      <c r="BO171" s="1472"/>
      <c r="BP171" s="1474"/>
      <c r="BQ171" s="1477" t="s">
        <v>718</v>
      </c>
      <c r="BR171" s="996"/>
    </row>
    <row r="172" spans="1:70" ht="13.5" customHeight="1" x14ac:dyDescent="0.2">
      <c r="A172" s="946" t="s">
        <v>805</v>
      </c>
      <c r="B172" s="946"/>
      <c r="C172" s="946"/>
      <c r="D172" s="1079"/>
      <c r="E172" s="1478"/>
      <c r="F172" s="946"/>
      <c r="G172" s="1160"/>
      <c r="H172" s="1829"/>
      <c r="I172" s="1829"/>
      <c r="J172" s="1829"/>
      <c r="K172" s="1830"/>
      <c r="L172" s="1830"/>
      <c r="M172" s="624"/>
      <c r="N172" s="1479"/>
      <c r="O172" s="1480" t="s">
        <v>381</v>
      </c>
      <c r="P172" s="1481" t="s">
        <v>366</v>
      </c>
      <c r="Q172" s="1480" t="s">
        <v>369</v>
      </c>
      <c r="R172" s="946"/>
      <c r="S172" s="1161"/>
      <c r="T172" s="946"/>
      <c r="U172" s="624"/>
      <c r="V172" s="1482"/>
      <c r="W172" s="1482"/>
      <c r="X172" s="624"/>
      <c r="Y172" s="624"/>
      <c r="Z172" s="624"/>
      <c r="AA172" s="1483"/>
      <c r="AB172" s="946"/>
      <c r="AC172" s="946"/>
      <c r="AD172" s="1484"/>
      <c r="AE172" s="1485"/>
      <c r="AF172" s="2017" t="s">
        <v>369</v>
      </c>
      <c r="AG172" s="2018"/>
      <c r="AH172" s="2018"/>
      <c r="AI172" s="1480" t="s">
        <v>381</v>
      </c>
      <c r="AJ172" s="1480" t="s">
        <v>366</v>
      </c>
      <c r="AK172" s="1486" t="s">
        <v>478</v>
      </c>
      <c r="AL172" s="1487" t="s">
        <v>369</v>
      </c>
      <c r="AM172" s="1480" t="s">
        <v>381</v>
      </c>
      <c r="AN172" s="1480" t="s">
        <v>366</v>
      </c>
      <c r="AO172" s="1488" t="s">
        <v>806</v>
      </c>
      <c r="AP172" s="1487" t="s">
        <v>369</v>
      </c>
      <c r="AQ172" s="1480" t="s">
        <v>381</v>
      </c>
      <c r="AR172" s="1480" t="s">
        <v>366</v>
      </c>
      <c r="AS172" s="1488" t="s">
        <v>806</v>
      </c>
      <c r="AT172" s="1489" t="s">
        <v>369</v>
      </c>
      <c r="AU172" s="1480" t="s">
        <v>381</v>
      </c>
      <c r="AV172" s="1480" t="s">
        <v>366</v>
      </c>
      <c r="AW172" s="1486" t="s">
        <v>806</v>
      </c>
      <c r="AX172" s="1007" t="str">
        <f t="shared" si="1603"/>
        <v>V</v>
      </c>
      <c r="AY172" s="2011" t="s">
        <v>369</v>
      </c>
      <c r="AZ172" s="2012"/>
      <c r="BA172" s="2012"/>
      <c r="BB172" s="1480" t="s">
        <v>381</v>
      </c>
      <c r="BC172" s="1480" t="s">
        <v>366</v>
      </c>
      <c r="BD172" s="1486" t="s">
        <v>478</v>
      </c>
      <c r="BE172" s="1487" t="s">
        <v>369</v>
      </c>
      <c r="BF172" s="1480" t="s">
        <v>381</v>
      </c>
      <c r="BG172" s="1480" t="s">
        <v>366</v>
      </c>
      <c r="BH172" s="1488" t="s">
        <v>806</v>
      </c>
      <c r="BI172" s="1490" t="s">
        <v>369</v>
      </c>
      <c r="BJ172" s="1480" t="s">
        <v>381</v>
      </c>
      <c r="BK172" s="1480" t="s">
        <v>366</v>
      </c>
      <c r="BL172" s="1488" t="s">
        <v>806</v>
      </c>
      <c r="BM172" s="1489" t="s">
        <v>369</v>
      </c>
      <c r="BN172" s="1480" t="s">
        <v>381</v>
      </c>
      <c r="BO172" s="1480" t="s">
        <v>366</v>
      </c>
      <c r="BP172" s="1491" t="s">
        <v>806</v>
      </c>
      <c r="BQ172" s="1007" t="str">
        <f t="shared" ref="BQ172:BQ175" si="1721">IF(OR(BD172&lt;&gt;0,BL172&lt;&gt;0),"V","")</f>
        <v>V</v>
      </c>
      <c r="BR172" s="1086"/>
    </row>
    <row r="173" spans="1:70" s="706" customFormat="1" ht="13.5" customHeight="1" x14ac:dyDescent="0.2">
      <c r="A173" s="959"/>
      <c r="B173" s="617" t="s">
        <v>807</v>
      </c>
      <c r="C173" s="959"/>
      <c r="D173" s="95"/>
      <c r="E173" s="1492"/>
      <c r="F173" s="959"/>
      <c r="G173" s="1493"/>
      <c r="H173" s="1696"/>
      <c r="I173" s="1831"/>
      <c r="J173" s="1831"/>
      <c r="K173" s="1832"/>
      <c r="L173" s="1832"/>
      <c r="M173" s="959"/>
      <c r="N173" s="1495"/>
      <c r="O173" s="954">
        <f ca="1">O174/$P$4</f>
        <v>8.1917663719323519E-2</v>
      </c>
      <c r="P173" s="954">
        <f ca="1">P174/$P$4</f>
        <v>0.16912709068085161</v>
      </c>
      <c r="Q173" s="954">
        <f ca="1">Q174/$P$4</f>
        <v>0.71245314979464358</v>
      </c>
      <c r="R173" s="962"/>
      <c r="S173" s="1494"/>
      <c r="T173" s="962"/>
      <c r="U173" s="959"/>
      <c r="V173" s="1496"/>
      <c r="W173" s="1496"/>
      <c r="X173" s="959"/>
      <c r="Y173" s="959"/>
      <c r="Z173" s="959"/>
      <c r="AA173" s="959"/>
      <c r="AB173" s="959"/>
      <c r="AC173" s="959"/>
      <c r="AD173" s="1497"/>
      <c r="AE173" s="965"/>
      <c r="AF173" s="2019">
        <f t="array" aca="1" ref="AF173" ca="1">SUM(IF($AB$15:$AB$170=AF$172,AK$15:AK$170))</f>
        <v>0.70750080515931535</v>
      </c>
      <c r="AG173" s="2020"/>
      <c r="AH173" s="2020"/>
      <c r="AI173" s="959">
        <f t="array" aca="1" ref="AI173" ca="1">SUM(IF($AB$15:$AB$170=AI$172,AK$15:AK$170))</f>
        <v>8.4962174935452134E-2</v>
      </c>
      <c r="AJ173" s="959">
        <f t="array" aca="1" ref="AJ173" ca="1">SUM(IF($AB$15:$AB$170=AJ$172,AK$15:AK$170))</f>
        <v>0.16661391781224744</v>
      </c>
      <c r="AK173" s="960">
        <f t="array" aca="1" ref="AK173" ca="1">SUM(IF($AB$15:$AB$170=AK$172,AK$15:AK$170))</f>
        <v>4.092310209298515E-2</v>
      </c>
      <c r="AL173" s="1089">
        <f t="array" aca="1" ref="AL173" ca="1">SUM(IF($AB$15:$AB$170=AL$172,AO$15:AO$170))</f>
        <v>4.6499194840684731E-2</v>
      </c>
      <c r="AM173" s="959">
        <f t="array" aca="1" ref="AM173" ca="1">SUM(IF($AB$15:$AB$170=AM$172,AO$15:AO$170))</f>
        <v>6.0037825064547884E-2</v>
      </c>
      <c r="AN173" s="959">
        <f t="array" aca="1" ref="AN173" ca="1">SUM(IF($AB$15:$AB$170=AN$172,AO$15:AO$170))</f>
        <v>5.8386082187752562E-2</v>
      </c>
      <c r="AO173" s="960">
        <f t="array" aca="1" ref="AO173" ca="1">SUM(IF($AB$15:$AB$170=AO$172,AO$15:AO$170))</f>
        <v>0</v>
      </c>
      <c r="AP173" s="1089">
        <f t="array" aca="1" ref="AP173" ca="1">SUM(IF($AB$15:$AB$170=AP$172,AS$15:AS$170))</f>
        <v>-8.3731823269069718E-3</v>
      </c>
      <c r="AQ173" s="959">
        <f t="array" aca="1" ref="AQ173" ca="1">SUM(IF($AB$15:$AB$170=AQ$172,AS$15:AS$170))</f>
        <v>0</v>
      </c>
      <c r="AR173" s="959">
        <f t="array" aca="1" ref="AR173" ca="1">SUM(IF($AB$15:$AB$170=AR$172,AS$15:AS$170))</f>
        <v>0</v>
      </c>
      <c r="AS173" s="960">
        <f t="array" aca="1" ref="AS173" ca="1">SUM(IF($AB$15:$AB$170=AS$172,AS$15:AS$170))</f>
        <v>0</v>
      </c>
      <c r="AT173" s="1089">
        <f t="array" aca="1" ref="AT173" ca="1">SUM(IF($AB$15:$AB$170=AT$172,AW$15:AW$170))</f>
        <v>0.70750080515931535</v>
      </c>
      <c r="AU173" s="959">
        <f t="array" aca="1" ref="AU173" ca="1">SUM(IF($AB$15:$AB$170=AU$172,AW$15:AW$170))</f>
        <v>8.4962174935452134E-2</v>
      </c>
      <c r="AV173" s="959">
        <f t="array" aca="1" ref="AV173" ca="1">SUM(IF($AB$15:$AB$170=AV$172,AW$15:AW$170))</f>
        <v>0.16661391781224744</v>
      </c>
      <c r="AW173" s="1498">
        <f t="array" aca="1" ref="AW173" ca="1">SUM(IF($AB$15:$AB$170=AW$172,AW$15:AW$170))</f>
        <v>0</v>
      </c>
      <c r="AX173" s="1007" t="str">
        <f t="shared" ca="1" si="1603"/>
        <v>V</v>
      </c>
      <c r="AY173" s="2013">
        <f t="array" aca="1" ref="AY173" ca="1">SUM(IF($AB$15:$AB$170=AY$172,BD$15:BD$170))</f>
        <v>0.75334224783894677</v>
      </c>
      <c r="AZ173" s="2014"/>
      <c r="BA173" s="2014"/>
      <c r="BB173" s="1499">
        <f t="array" aca="1" ref="BB173" ca="1">SUM(IF($AB$15:$AB$170=BB$172,BD$15:BD$170))</f>
        <v>5.6780617341973164E-2</v>
      </c>
      <c r="BC173" s="1499">
        <f t="array" aca="1" ref="BC173" ca="1">SUM(IF($AB$15:$AB$170=BC$172,BD$15:BD$170))</f>
        <v>0.1898771350944613</v>
      </c>
      <c r="BD173" s="1500">
        <f t="array" aca="1" ref="BD173" ca="1">SUM(IF($AB$15:$AB$170=BD$172,BD$15:BD$170))</f>
        <v>0</v>
      </c>
      <c r="BE173" s="1089">
        <f t="array" aca="1" ref="BE173" ca="1">SUM(IF($AB$15:$AB$170=BE$172,BH$15:BH$170))</f>
        <v>6.5775216105348755E-4</v>
      </c>
      <c r="BF173" s="959">
        <f t="array" aca="1" ref="BF173" ca="1">SUM(IF($AB$15:$AB$170=BF$172,BH$15:BH$170))</f>
        <v>8.821938265802684E-2</v>
      </c>
      <c r="BG173" s="959">
        <f t="array" aca="1" ref="BG173" ca="1">SUM(IF($AB$15:$AB$170=BG$172,BH$15:BH$170))</f>
        <v>3.5122864905538675E-2</v>
      </c>
      <c r="BH173" s="960">
        <f t="array" aca="1" ref="BH173" ca="1">SUM(IF($AB$15:$AB$170=BH$172,BH$15:BH$170))</f>
        <v>0</v>
      </c>
      <c r="BI173" s="1501">
        <f t="array" aca="1" ref="BI173" ca="1">SUM(IF($AB$15:$AB$170=BI$172,BL$15:BL$170))</f>
        <v>-7.8156610945876503E-2</v>
      </c>
      <c r="BJ173" s="959">
        <f t="array" aca="1" ref="BJ173" ca="1">SUM(IF($AB$15:$AB$170=BJ$172,BL$15:BL$170))</f>
        <v>3.2065164762455009E-2</v>
      </c>
      <c r="BK173" s="959">
        <f t="array" aca="1" ref="BK173" ca="1">SUM(IF($AB$15:$AB$170=BK$172,BL$15:BL$170))</f>
        <v>0</v>
      </c>
      <c r="BL173" s="960">
        <f t="array" aca="1" ref="BL173" ca="1">SUM(IF($AB$15:$AB$170=BL$172,BL$15:BL$170))</f>
        <v>0</v>
      </c>
      <c r="BM173" s="1089">
        <f t="array" aca="1" ref="BM173" ca="1">SUM(IF($AB$15:$AB$170=BM$172,BP$15:BP$170))</f>
        <v>0.72127707890802006</v>
      </c>
      <c r="BN173" s="959">
        <f t="array" aca="1" ref="BN173" ca="1">SUM(IF($AB$15:$AB$170=BN$172,BP$15:BP$170))</f>
        <v>8.8845782104428173E-2</v>
      </c>
      <c r="BO173" s="959">
        <f t="array" aca="1" ref="BO173" ca="1">SUM(IF($AB$15:$AB$170=BO$172,BP$15:BP$170))</f>
        <v>0.1898771350944613</v>
      </c>
      <c r="BP173" s="954">
        <f t="array" aca="1" ref="BP173" ca="1">SUM(IF($AB$15:$AB$170=BP$172,BP$15:BP$170))</f>
        <v>0</v>
      </c>
      <c r="BQ173" s="1007" t="str">
        <f t="shared" ca="1" si="1721"/>
        <v/>
      </c>
      <c r="BR173" s="1090"/>
    </row>
    <row r="174" spans="1:70" s="617" customFormat="1" ht="13.5" customHeight="1" x14ac:dyDescent="0.2">
      <c r="A174" s="665"/>
      <c r="B174" s="665" t="s">
        <v>808</v>
      </c>
      <c r="C174" s="665"/>
      <c r="D174" s="1502"/>
      <c r="E174" s="1503"/>
      <c r="F174" s="665"/>
      <c r="G174" s="481"/>
      <c r="H174" s="1833"/>
      <c r="I174" s="1833"/>
      <c r="J174" s="1833"/>
      <c r="K174" s="1833"/>
      <c r="L174" s="1833"/>
      <c r="M174" s="665"/>
      <c r="N174" s="1337"/>
      <c r="O174" s="1337">
        <f t="array" aca="1" ref="O174" ca="1">SUM(IF($AB$15:$AB$170=O$172,O$15:O$170))</f>
        <v>536539.95225206099</v>
      </c>
      <c r="P174" s="1337">
        <f t="array" aca="1" ref="P174" ca="1">SUM(IF($AB$15:$AB$170=P$172,O$15:O$170))</f>
        <v>1107739.6136363284</v>
      </c>
      <c r="Q174" s="1337">
        <f t="array" aca="1" ref="Q174" ca="1">SUM(IF($AB$15:$AB$170=Q$172,O$15:O$170))</f>
        <v>4666387.7070810245</v>
      </c>
      <c r="R174" s="665"/>
      <c r="S174" s="915"/>
      <c r="T174" s="665"/>
      <c r="U174" s="665"/>
      <c r="V174" s="665"/>
      <c r="W174" s="665"/>
      <c r="X174" s="665"/>
      <c r="Y174" s="665"/>
      <c r="Z174" s="665"/>
      <c r="AA174" s="665"/>
      <c r="AB174" s="665"/>
      <c r="AC174" s="665"/>
      <c r="AD174" s="1504"/>
      <c r="AE174" s="1505"/>
      <c r="AF174" s="2021">
        <f t="array" aca="1" ref="AF174" ca="1">SUM(IF($AB$15:$AB$170=AF$172,AJ$15:AJ$170))</f>
        <v>4133335.9031675984</v>
      </c>
      <c r="AG174" s="2022"/>
      <c r="AH174" s="2022"/>
      <c r="AI174" s="1337">
        <f t="array" aca="1" ref="AI174" ca="1">SUM(IF($AB$15:$AB$170=AI$172,AJ$15:AJ$170))</f>
        <v>496362.98009983491</v>
      </c>
      <c r="AJ174" s="1337">
        <f t="array" aca="1" ref="AJ174" ca="1">SUM(IF($AB$15:$AB$170=AJ$172,AJ$15:AJ$170))</f>
        <v>973385.87241000007</v>
      </c>
      <c r="AK174" s="1506">
        <f t="array" aca="1" ref="AK174" ca="1">SUM(IF($AB$15:$AB$170=AK$172,AJ$15:AJ$170))</f>
        <v>239079.48360827597</v>
      </c>
      <c r="AL174" s="1507">
        <f t="array" aca="1" ref="AL174" ca="1">SUM(IF($AB$15:$AB$170=AL$172,AN$15:AN$170))</f>
        <v>271655.93325382622</v>
      </c>
      <c r="AM174" s="1337">
        <f t="array" aca="1" ref="AM174" ca="1">SUM(IF($AB$15:$AB$170=AM$172,AN$15:AN$170))</f>
        <v>350750.83459659276</v>
      </c>
      <c r="AN174" s="1337">
        <f t="array" aca="1" ref="AN174" ca="1">SUM(IF($AB$15:$AB$170=AN$172,AN$15:AN$170))</f>
        <v>341101.0814292843</v>
      </c>
      <c r="AO174" s="972">
        <f t="array" aca="1" ref="AO174" ca="1">SUM(IF($AB$15:$AB$170=AO$172,AN$15:AN$170))</f>
        <v>0</v>
      </c>
      <c r="AP174" s="1507">
        <f t="array" aca="1" ref="AP174" ca="1">SUM(IF($AB$15:$AB$170=AP$172,AR$15:AR$170))</f>
        <v>-48917.506359275008</v>
      </c>
      <c r="AQ174" s="1337">
        <f t="array" aca="1" ref="AQ174" ca="1">SUM(IF($AB$15:$AB$170=AQ$172,AR$15:AR$170))</f>
        <v>0</v>
      </c>
      <c r="AR174" s="1337">
        <f t="array" aca="1" ref="AR174" ca="1">SUM(IF($AB$15:$AB$170=AR$172,AR$15:AR$170))</f>
        <v>0</v>
      </c>
      <c r="AS174" s="972">
        <f t="array" aca="1" ref="AS174" ca="1">SUM(IF($AB$15:$AB$170=AS$172,AR$15:AR$170))</f>
        <v>0</v>
      </c>
      <c r="AT174" s="1337">
        <f t="array" aca="1" ref="AT174" ca="1">SUM(IF($AB$15:$AB$170=AT$172,AV$15:AV$170))</f>
        <v>4133335.9031675984</v>
      </c>
      <c r="AU174" s="1337">
        <f t="array" aca="1" ref="AU174" ca="1">SUM(IF($AB$15:$AB$170=AU$172,AV$15:AV$170))</f>
        <v>496362.98009983491</v>
      </c>
      <c r="AV174" s="1337">
        <f t="array" aca="1" ref="AV174" ca="1">SUM(IF($AB$15:$AB$170=AV$172,AV$15:AV$170))</f>
        <v>973385.87241000007</v>
      </c>
      <c r="AW174" s="676">
        <f t="array" aca="1" ref="AW174" ca="1">SUM(IF($AB$15:$AB$170=AW$172,AV$15:AV$170))</f>
        <v>0</v>
      </c>
      <c r="AX174" s="1007" t="str">
        <f t="shared" ca="1" si="1603"/>
        <v>V</v>
      </c>
      <c r="AY174" s="1924">
        <f t="array" aca="1" ref="AY174" ca="1">SUM(IF($AB$15:$AB$170=AY$172,BC$15:BC$170))</f>
        <v>533051.80391342554</v>
      </c>
      <c r="AZ174" s="1925"/>
      <c r="BA174" s="1925"/>
      <c r="BB174" s="1508">
        <f t="array" aca="1" ref="BB174" ca="1">SUM(IF($AB$15:$AB$170=BB$172,BC$15:BC$170))</f>
        <v>40176.972152226001</v>
      </c>
      <c r="BC174" s="1508">
        <f t="array" aca="1" ref="BC174" ca="1">SUM(IF($AB$15:$AB$170=BC$172,BC$15:BC$170))</f>
        <v>134353.74122632822</v>
      </c>
      <c r="BD174" s="1508">
        <f t="array" aca="1" ref="BD174" ca="1">SUM(IF($AB$15:$AB$170=BD$172,BC$15:BC$170))</f>
        <v>0</v>
      </c>
      <c r="BE174" s="1507">
        <f t="array" aca="1" ref="BE174" ca="1">SUM(IF($AB$15:$AB$170=BE$172,BG$15:BG$170))</f>
        <v>465.4141247271109</v>
      </c>
      <c r="BF174" s="1337">
        <f t="array" aca="1" ref="BF174" ca="1">SUM(IF($AB$15:$AB$170=BF$172,BG$15:BG$170))</f>
        <v>62422.49285511105</v>
      </c>
      <c r="BG174" s="1337">
        <f t="array" aca="1" ref="BG174" ca="1">SUM(IF($AB$15:$AB$170=BG$172,BG$15:BG$170))</f>
        <v>24852.325164367223</v>
      </c>
      <c r="BH174" s="972">
        <f t="array" aca="1" ref="BH174" ca="1">SUM(IF($AB$15:$AB$170=BH$172,BG$15:BG$170))</f>
        <v>0</v>
      </c>
      <c r="BI174" s="1507">
        <f t="array" aca="1" ref="BI174" ca="1">SUM(IF($AB$15:$AB$170=BI$172,BK$15:BK$170))</f>
        <v>-55302.251516093209</v>
      </c>
      <c r="BJ174" s="1337">
        <f t="array" aca="1" ref="BJ174" ca="1">SUM(IF($AB$15:$AB$170=BJ$172,BK$15:BK$170))</f>
        <v>22688.75</v>
      </c>
      <c r="BK174" s="1337">
        <f t="array" aca="1" ref="BK174" ca="1">SUM(IF($AB$15:$AB$170=BK$172,BK$15:BK$170))</f>
        <v>0</v>
      </c>
      <c r="BL174" s="972">
        <f t="array" aca="1" ref="BL174" ca="1">SUM(IF($AB$15:$AB$170=BL$172,BK$15:BK$170))</f>
        <v>0</v>
      </c>
      <c r="BM174" s="1337">
        <f t="array" aca="1" ref="BM174" ca="1">SUM(IF($AB$15:$AB$170=BM$172,BO$15:BO$170))</f>
        <v>510363.05096388794</v>
      </c>
      <c r="BN174" s="1337">
        <f t="array" aca="1" ref="BN174" ca="1">SUM(IF($AB$15:$AB$170=BN$172,BO$15:BO$170))</f>
        <v>62865.722152226008</v>
      </c>
      <c r="BO174" s="1337">
        <f t="array" aca="1" ref="BO174" ca="1">SUM(IF($AB$15:$AB$170=BO$172,BO$15:BO$170))</f>
        <v>134353.74122632822</v>
      </c>
      <c r="BP174" s="1339">
        <f t="array" aca="1" ref="BP174" ca="1">SUM(IF($AB$15:$AB$170=BP$172,BO$15:BO$170))</f>
        <v>0</v>
      </c>
      <c r="BQ174" s="1007" t="str">
        <f t="shared" ca="1" si="1721"/>
        <v/>
      </c>
      <c r="BR174" s="989"/>
    </row>
    <row r="175" spans="1:70" s="617" customFormat="1" ht="13.5" customHeight="1" thickBot="1" x14ac:dyDescent="0.25">
      <c r="A175" s="1509"/>
      <c r="B175" s="1509" t="s">
        <v>809</v>
      </c>
      <c r="C175" s="1509"/>
      <c r="D175" s="1510"/>
      <c r="E175" s="1511"/>
      <c r="F175" s="1509"/>
      <c r="G175" s="1512"/>
      <c r="H175" s="1834"/>
      <c r="I175" s="1834"/>
      <c r="J175" s="1834"/>
      <c r="K175" s="1835"/>
      <c r="L175" s="1835"/>
      <c r="M175" s="1509"/>
      <c r="N175" s="1514"/>
      <c r="O175" s="1514"/>
      <c r="P175" s="1514"/>
      <c r="Q175" s="1514"/>
      <c r="R175" s="1514"/>
      <c r="S175" s="1513"/>
      <c r="T175" s="1514"/>
      <c r="U175" s="1509"/>
      <c r="V175" s="1514"/>
      <c r="W175" s="1514"/>
      <c r="X175" s="1509"/>
      <c r="Y175" s="1509"/>
      <c r="Z175" s="1509"/>
      <c r="AA175" s="1509"/>
      <c r="AB175" s="1509"/>
      <c r="AC175" s="1509"/>
      <c r="AD175" s="1515"/>
      <c r="AE175" s="1516"/>
      <c r="AF175" s="2023">
        <f t="array" aca="1" ref="AF175" ca="1">SUM(IF($AB$15:$AB$170=AF$172,AI$15:AI$170))</f>
        <v>4133335.3658340001</v>
      </c>
      <c r="AG175" s="2024"/>
      <c r="AH175" s="2024"/>
      <c r="AI175" s="1514">
        <f t="array" aca="1" ref="AI175" ca="1">SUM(IF($AB$15:$AB$170=AI$172,AI$15:AI$170))</f>
        <v>546926.31821920001</v>
      </c>
      <c r="AJ175" s="1514">
        <f t="array" aca="1" ref="AJ175" ca="1">SUM(IF($AB$15:$AB$170=AJ$172,AI$15:AI$170))</f>
        <v>1244341.1599999999</v>
      </c>
      <c r="AK175" s="1517">
        <f t="array" aca="1" ref="AK175" ca="1">SUM(IF($AB$15:$AB$170=AK$172,AI$15:AI$170))</f>
        <v>434650.456519</v>
      </c>
      <c r="AL175" s="1518">
        <f t="array" aca="1" ref="AL175" ca="1">SUM(IF($AB$15:$AB$170=AL$172,AM$15:AM$170))</f>
        <v>271655.89793855837</v>
      </c>
      <c r="AM175" s="1514">
        <f t="array" aca="1" ref="AM175" ca="1">SUM(IF($AB$15:$AB$170=AM$172,AM$15:AM$170))</f>
        <v>386481.00335694209</v>
      </c>
      <c r="AN175" s="1514">
        <f t="array" aca="1" ref="AN175" ca="1">SUM(IF($AB$15:$AB$170=AN$172,AM$15:AM$170))</f>
        <v>436051.23864401947</v>
      </c>
      <c r="AO175" s="1519">
        <f t="array" aca="1" ref="AO175" ca="1">SUM(IF($AB$15:$AB$170=AO$172,AM$15:AM$170))</f>
        <v>0</v>
      </c>
      <c r="AP175" s="1518">
        <f t="array" aca="1" ref="AP175" ca="1">SUM(IF($AB$15:$AB$170=AP$172,AQ$15:AQ$170))</f>
        <v>0</v>
      </c>
      <c r="AQ175" s="1514">
        <f t="array" aca="1" ref="AQ175" ca="1">SUM(IF($AB$15:$AB$170=AQ$172,AQ$15:AQ$170))</f>
        <v>0</v>
      </c>
      <c r="AR175" s="1514">
        <f t="array" aca="1" ref="AR175" ca="1">SUM(IF($AB$15:$AB$170=AR$172,AQ$15:AQ$170))</f>
        <v>0</v>
      </c>
      <c r="AS175" s="1519">
        <f t="array" aca="1" ref="AS175" ca="1">SUM(IF($AB$15:$AB$170=AS$172,AQ$15:AQ$170))</f>
        <v>0</v>
      </c>
      <c r="AT175" s="1514">
        <f t="array" aca="1" ref="AT175" ca="1">SUM(IF($AB$15:$AB$170=AT$172,AU$15:AU$170))</f>
        <v>4133335.3658340001</v>
      </c>
      <c r="AU175" s="1514">
        <f t="array" aca="1" ref="AU175" ca="1">SUM(IF($AB$15:$AB$170=AU$172,AU$15:AU$170))</f>
        <v>546926.31821920001</v>
      </c>
      <c r="AV175" s="1514">
        <f t="array" aca="1" ref="AV175" ca="1">SUM(IF($AB$15:$AB$170=AV$172,AU$15:AU$170))</f>
        <v>1244341.1599999999</v>
      </c>
      <c r="AW175" s="1520">
        <f t="array" aca="1" ref="AW175" ca="1">SUM(IF($AB$15:$AB$170=AW$172,AU$15:AU$170))</f>
        <v>0</v>
      </c>
      <c r="AX175" s="1007" t="str">
        <f t="shared" ca="1" si="1603"/>
        <v>V</v>
      </c>
      <c r="AY175" s="2015">
        <f t="array" aca="1" ref="AY175" ca="1">SUM(IF($AB$15:$AB$170=AY$172,BB$15:BB$170))</f>
        <v>533051.73461670009</v>
      </c>
      <c r="AZ175" s="2016"/>
      <c r="BA175" s="2016"/>
      <c r="BB175" s="1521">
        <f t="array" aca="1" ref="BB175" ca="1">SUM(IF($AB$15:$AB$170=BB$172,BB$15:BB$170))</f>
        <v>44269.706520000007</v>
      </c>
      <c r="BC175" s="1521" t="s">
        <v>856</v>
      </c>
      <c r="BD175" s="1521">
        <f t="array" aca="1" ref="BD175" ca="1">SUM(IF($AB$15:$AB$170=BD$172,BB$15:BB$170))</f>
        <v>0</v>
      </c>
      <c r="BE175" s="1518">
        <f t="array" aca="1" ref="BE175" ca="1">SUM(IF($AB$15:$AB$170=BE$172,BF$15:BF$170))</f>
        <v>465.41406422317959</v>
      </c>
      <c r="BF175" s="1514">
        <f t="array" aca="1" ref="BF175" ca="1">SUM(IF($AB$15:$AB$170=BF$172,BF$15:BF$170))</f>
        <v>68781.326489021056</v>
      </c>
      <c r="BG175" s="1514">
        <f t="array" aca="1" ref="BG175" ca="1">SUM(IF($AB$15:$AB$170=BG$172,BF$15:BF$170))</f>
        <v>31770.310213316905</v>
      </c>
      <c r="BH175" s="1519">
        <f t="array" aca="1" ref="BH175" ca="1">SUM(IF($AB$15:$AB$170=BH$172,BF$15:BF$170))</f>
        <v>0</v>
      </c>
      <c r="BI175" s="1518">
        <f t="array" aca="1" ref="BI175" ca="1">SUM(IF($AB$15:$AB$170=BI$172,BJ$15:BJ$170))</f>
        <v>-22688.749999999993</v>
      </c>
      <c r="BJ175" s="1514">
        <f t="array" aca="1" ref="BJ175" ca="1">SUM(IF($AB$15:$AB$170=BJ$172,BJ$15:BJ$170))</f>
        <v>25000</v>
      </c>
      <c r="BK175" s="1514">
        <f t="array" aca="1" ref="BK175" ca="1">SUM(IF($AB$15:$AB$170=BK$172,BJ$15:BJ$170))</f>
        <v>0</v>
      </c>
      <c r="BL175" s="1519">
        <f t="array" aca="1" ref="BL175" ca="1">SUM(IF($AB$15:$AB$170=BL$172,BJ$15:BJ$170))</f>
        <v>0</v>
      </c>
      <c r="BM175" s="1514">
        <f t="array" aca="1" ref="BM175" ca="1">SUM(IF($AB$15:$AB$170=BM$172,BN$15:BN$170))</f>
        <v>510362.98461669998</v>
      </c>
      <c r="BN175" s="1514">
        <f t="array" aca="1" ref="BN175" ca="1">SUM(IF($AB$15:$AB$170=BN$172,BN$15:BN$170))</f>
        <v>69269.706520000007</v>
      </c>
      <c r="BO175" s="1514">
        <f t="array" aca="1" ref="BO175" ca="1">SUM(IF($AB$15:$AB$170=BO$172,BN$15:BN$170))</f>
        <v>171752.94500010001</v>
      </c>
      <c r="BP175" s="1522">
        <f t="array" aca="1" ref="BP175" ca="1">SUM(IF($AB$15:$AB$170=BP$172,BN$15:BN$170))</f>
        <v>0</v>
      </c>
      <c r="BQ175" s="1007" t="str">
        <f t="shared" ca="1" si="1721"/>
        <v/>
      </c>
      <c r="BR175" s="989"/>
    </row>
    <row r="176" spans="1:70" ht="13.5" customHeight="1" collapsed="1" x14ac:dyDescent="0.2">
      <c r="O176" s="1469"/>
      <c r="P176" s="1469"/>
      <c r="Q176" s="1469"/>
    </row>
    <row r="177" spans="1:70" ht="13.5" hidden="1" customHeight="1" outlineLevel="1" x14ac:dyDescent="0.2">
      <c r="A177" s="1527"/>
      <c r="B177" s="1527"/>
      <c r="C177" s="1527"/>
      <c r="D177" s="1528"/>
      <c r="E177" s="1529"/>
      <c r="F177" s="1527"/>
      <c r="G177" s="1530"/>
      <c r="H177" s="1836"/>
      <c r="I177" s="1836"/>
      <c r="J177" s="1836"/>
      <c r="K177" s="1836"/>
      <c r="L177" s="1836"/>
      <c r="M177" s="1532"/>
      <c r="N177" s="1533"/>
      <c r="O177" s="1534"/>
      <c r="P177" s="1533"/>
      <c r="Q177" s="1534"/>
      <c r="R177" s="1534"/>
      <c r="S177" s="1531"/>
      <c r="T177" s="1534"/>
      <c r="U177" s="1532"/>
      <c r="V177" s="1535"/>
      <c r="W177" s="1535"/>
      <c r="X177" s="1532"/>
      <c r="Y177" s="1532"/>
      <c r="Z177" s="1532"/>
      <c r="AA177" s="1532"/>
      <c r="AB177" s="1536"/>
      <c r="AC177" s="1536"/>
      <c r="AD177" s="1537"/>
      <c r="AE177" s="1538" t="s">
        <v>906</v>
      </c>
      <c r="AF177" s="2025" t="s">
        <v>868</v>
      </c>
      <c r="AG177" s="2025"/>
      <c r="AH177" s="2025"/>
      <c r="AI177" s="1536" t="s">
        <v>907</v>
      </c>
      <c r="AJ177" s="1536" t="s">
        <v>665</v>
      </c>
      <c r="AK177" s="1539"/>
      <c r="AL177" s="1527"/>
      <c r="AM177" s="1527"/>
      <c r="AN177" s="1527"/>
      <c r="AO177" s="1540"/>
      <c r="AP177" s="1527"/>
      <c r="AQ177" s="1527"/>
      <c r="AR177" s="1527"/>
      <c r="AS177" s="1540"/>
      <c r="AT177" s="1536" t="s">
        <v>868</v>
      </c>
      <c r="AU177" s="1536" t="s">
        <v>907</v>
      </c>
      <c r="AV177" s="1536" t="s">
        <v>665</v>
      </c>
      <c r="AW177" s="1539" t="s">
        <v>869</v>
      </c>
      <c r="AX177" s="1541"/>
      <c r="AY177" s="1542" t="s">
        <v>868</v>
      </c>
      <c r="AZ177" s="1542"/>
      <c r="BA177" s="1542"/>
      <c r="BB177" s="1536" t="s">
        <v>907</v>
      </c>
      <c r="BC177" s="1536" t="s">
        <v>665</v>
      </c>
      <c r="BD177" s="1543" t="s">
        <v>869</v>
      </c>
      <c r="BE177" s="1527"/>
      <c r="BF177" s="1527"/>
      <c r="BG177" s="1527"/>
      <c r="BH177" s="1540"/>
      <c r="BI177" s="1544"/>
      <c r="BJ177" s="1527"/>
      <c r="BK177" s="1527"/>
      <c r="BL177" s="1540"/>
      <c r="BM177" s="1536" t="s">
        <v>868</v>
      </c>
      <c r="BN177" s="1536" t="s">
        <v>907</v>
      </c>
      <c r="BO177" s="1536" t="s">
        <v>665</v>
      </c>
      <c r="BP177" s="1539" t="s">
        <v>869</v>
      </c>
      <c r="BQ177" s="1541"/>
      <c r="BR177" s="1541"/>
    </row>
    <row r="178" spans="1:70" ht="13.5" hidden="1" customHeight="1" outlineLevel="1" thickBot="1" x14ac:dyDescent="0.25">
      <c r="A178" s="1545"/>
      <c r="B178" s="1545"/>
      <c r="C178" s="1545"/>
      <c r="D178" s="1546"/>
      <c r="E178" s="1547"/>
      <c r="F178" s="1545"/>
      <c r="G178" s="1512"/>
      <c r="H178" s="1837"/>
      <c r="I178" s="1837"/>
      <c r="J178" s="1837"/>
      <c r="K178" s="1837"/>
      <c r="L178" s="1837"/>
      <c r="M178" s="1549"/>
      <c r="N178" s="1550"/>
      <c r="O178" s="1551"/>
      <c r="P178" s="1550"/>
      <c r="Q178" s="1551"/>
      <c r="R178" s="1551"/>
      <c r="S178" s="1548"/>
      <c r="T178" s="1551"/>
      <c r="U178" s="1549"/>
      <c r="V178" s="1509"/>
      <c r="W178" s="1509"/>
      <c r="X178" s="1549"/>
      <c r="Y178" s="1549"/>
      <c r="Z178" s="1549"/>
      <c r="AA178" s="1549"/>
      <c r="AB178" s="1545"/>
      <c r="AC178" s="1545"/>
      <c r="AD178" s="1515"/>
      <c r="AE178" s="1552"/>
      <c r="AF178" s="2010">
        <f ca="1">SUMPRODUCT($Z$15:$Z$170,AJ$15:AJ$170)/(AF$4-SUM($AJ$145,$AJ$147,$AJ$151))</f>
        <v>1.4460966820154465E-3</v>
      </c>
      <c r="AG178" s="2010"/>
      <c r="AH178" s="2010"/>
      <c r="AI178" s="1553">
        <f>0.3%+0.5%</f>
        <v>8.0000000000000002E-3</v>
      </c>
      <c r="AJ178" s="1554">
        <f ca="1">SUM(AF178:AI178)</f>
        <v>9.4460966820154469E-3</v>
      </c>
      <c r="AK178" s="1555">
        <f ca="1">SUMPRODUCT($AA$15:$AA$170,AJ$15:AJ$170)/(AF$4-SUM($AJ$145,$AJ$147,$AJ$151))</f>
        <v>0</v>
      </c>
      <c r="AL178" s="1545"/>
      <c r="AM178" s="1545"/>
      <c r="AN178" s="1545"/>
      <c r="AO178" s="1556"/>
      <c r="AP178" s="1545"/>
      <c r="AQ178" s="1545"/>
      <c r="AR178" s="1545"/>
      <c r="AS178" s="1556"/>
      <c r="AT178" s="1553">
        <f ca="1">SUMPRODUCT($Z$15:$Z$170,AV$15:AV$170)/AF$4</f>
        <v>1.0256074454950165E-3</v>
      </c>
      <c r="AU178" s="1553">
        <f>0.3%+0.5%</f>
        <v>8.0000000000000002E-3</v>
      </c>
      <c r="AV178" s="1554">
        <f ca="1">SUM(AF178:AU178)</f>
        <v>2.7917800809525911E-2</v>
      </c>
      <c r="AW178" s="1555">
        <f ca="1">SUMPRODUCT($AA$15:$AA$170,AV$15:AV$170)/AF$4</f>
        <v>0</v>
      </c>
      <c r="AX178" s="1557"/>
      <c r="AY178" s="1558">
        <f ca="1">SUMPRODUCT($Z$15:$Z$170,BC$15:BC$170)/AY$4</f>
        <v>1.9618033858941164E-3</v>
      </c>
      <c r="AZ178" s="1558"/>
      <c r="BA178" s="1558"/>
      <c r="BB178" s="1553">
        <v>8.3999999999999995E-3</v>
      </c>
      <c r="BC178" s="1554">
        <f ca="1">SUM(AY178:BB178)</f>
        <v>1.0361803385894116E-2</v>
      </c>
      <c r="BD178" s="1559">
        <f ca="1">SUMPRODUCT($AA$15:$AA$170,BC$15:BC$170)/AY$4</f>
        <v>1.389149245156214E-2</v>
      </c>
      <c r="BE178" s="1545"/>
      <c r="BF178" s="1545"/>
      <c r="BG178" s="1545"/>
      <c r="BH178" s="1556"/>
      <c r="BI178" s="1560"/>
      <c r="BJ178" s="1545"/>
      <c r="BK178" s="1545"/>
      <c r="BL178" s="1556"/>
      <c r="BM178" s="1553">
        <f ca="1">SUMPRODUCT($Z$15:$Z$170,BO$15:BO$170)/AY$4</f>
        <v>1.2770006722169511E-3</v>
      </c>
      <c r="BN178" s="1553">
        <f>0.3%+0.5%</f>
        <v>8.0000000000000002E-3</v>
      </c>
      <c r="BO178" s="1554">
        <f ca="1">SUM(AY178:BN178)</f>
        <v>4.3892099895567326E-2</v>
      </c>
      <c r="BP178" s="1555">
        <f ca="1">SUMPRODUCT($AA$15:$AA$170,BO$15:BO$170)/AY$4</f>
        <v>1.389149245156214E-2</v>
      </c>
      <c r="BQ178" s="1557"/>
      <c r="BR178" s="1561"/>
    </row>
  </sheetData>
  <autoFilter ref="A14:BQ175" xr:uid="{120EC6ED-269C-4C55-8E89-5646232A484C}"/>
  <dataConsolidate/>
  <mergeCells count="32">
    <mergeCell ref="AF178:AH178"/>
    <mergeCell ref="AY172:BA172"/>
    <mergeCell ref="AY173:BA173"/>
    <mergeCell ref="AY174:BA174"/>
    <mergeCell ref="AY175:BA175"/>
    <mergeCell ref="AF172:AH172"/>
    <mergeCell ref="AF173:AH173"/>
    <mergeCell ref="AF174:AH174"/>
    <mergeCell ref="AF175:AH175"/>
    <mergeCell ref="AF177:AH177"/>
    <mergeCell ref="AF1:AW1"/>
    <mergeCell ref="AY1:BP1"/>
    <mergeCell ref="AF2:AW2"/>
    <mergeCell ref="AY2:BP2"/>
    <mergeCell ref="AF5:AW5"/>
    <mergeCell ref="AY5:BP5"/>
    <mergeCell ref="AF11:AW11"/>
    <mergeCell ref="AY11:BP11"/>
    <mergeCell ref="AF3:AW3"/>
    <mergeCell ref="AY3:BP3"/>
    <mergeCell ref="AF4:AW4"/>
    <mergeCell ref="AY4:BP4"/>
    <mergeCell ref="AF12:AW12"/>
    <mergeCell ref="AY12:BP12"/>
    <mergeCell ref="AF13:AK13"/>
    <mergeCell ref="AL13:AO13"/>
    <mergeCell ref="AP13:AS13"/>
    <mergeCell ref="AT13:AW13"/>
    <mergeCell ref="AY13:BD13"/>
    <mergeCell ref="BE13:BH13"/>
    <mergeCell ref="BI13:BL13"/>
    <mergeCell ref="BM13:BP13"/>
  </mergeCells>
  <conditionalFormatting sqref="AL162:AM162 AO162 BE162:BF162 BH162 AL137:AM137 AO137 BE137:BF137 BH137 AL153:AM153 AO153 BE153:BF153 BH153 BE163:BH170 AL163:AO170 BE138:BH152 AL138:AO152 AL154:AO158 BE154:BH161 AL160:AO161 AL159:AM159 AO159 AL15:AO136 BE15:BH136">
    <cfRule type="expression" dxfId="151" priority="37">
      <formula>ABS(#REF!)&lt;0.01</formula>
    </cfRule>
  </conditionalFormatting>
  <conditionalFormatting sqref="BV71">
    <cfRule type="dataBar" priority="17">
      <dataBar>
        <cfvo type="min"/>
        <cfvo type="max"/>
        <color rgb="FF63C384"/>
      </dataBar>
      <extLst>
        <ext xmlns:x14="http://schemas.microsoft.com/office/spreadsheetml/2009/9/main" uri="{B025F937-C7B1-47D3-B67F-A62EFF666E3E}">
          <x14:id>{F7F9DB42-60F2-40AF-905F-B70832955E88}</x14:id>
        </ext>
      </extLst>
    </cfRule>
  </conditionalFormatting>
  <conditionalFormatting sqref="AG167:AG168 AG170 AG157:AG158 AG154:AG155 AG143:AG152 AG139:AG141 AG136 AG134 AG127:AG128 AG110:AG115 AG90:AG91 AG164:AG165 AG86:AG88 AG130:AG131 AG117:AG125 AG160:AG161 AG48:AG70 AG72:AG84 AG93:AG108">
    <cfRule type="dataBar" priority="13">
      <dataBar>
        <cfvo type="min"/>
        <cfvo type="max"/>
        <color rgb="FF63C384"/>
      </dataBar>
      <extLst>
        <ext xmlns:x14="http://schemas.microsoft.com/office/spreadsheetml/2009/9/main" uri="{B025F937-C7B1-47D3-B67F-A62EFF666E3E}">
          <x14:id>{464F56E9-80D9-415E-BF1F-E254F8160160}</x14:id>
        </ext>
      </extLst>
    </cfRule>
  </conditionalFormatting>
  <conditionalFormatting sqref="AZ167:AZ168 AZ170 AZ157:AZ158 AZ154:AZ155 AZ143:AZ152 AZ139:AZ141 AZ136 AZ134 AZ127:AZ128 AZ110:AZ115 AZ90:AZ91 AZ164:AZ165 AZ86:AZ88 AZ130:AZ131 AZ117:AZ125 AZ160:AZ161 AZ48:AZ70 AZ72:AZ84 AZ93:AZ108">
    <cfRule type="dataBar" priority="9">
      <dataBar>
        <cfvo type="min"/>
        <cfvo type="max"/>
        <color rgb="FF63C384"/>
      </dataBar>
      <extLst>
        <ext xmlns:x14="http://schemas.microsoft.com/office/spreadsheetml/2009/9/main" uri="{B025F937-C7B1-47D3-B67F-A62EFF666E3E}">
          <x14:id>{906ACEF6-ABD2-428E-AF65-603C32DBB185}</x14:id>
        </ext>
      </extLst>
    </cfRule>
  </conditionalFormatting>
  <conditionalFormatting sqref="AE167:AE168 AC81:AD85 AC15:AD24 AC131:AD137 AC74:AD74 AC46:AD47 AD73 AC130 AC25:AC45 AC141:AD162 AC51:AD71 AC87:AD129">
    <cfRule type="expression" dxfId="150" priority="2013">
      <formula>$M15="Pct"</formula>
    </cfRule>
  </conditionalFormatting>
  <conditionalFormatting sqref="AE165 AC75:AD75 AC163:AD164 AC138:AD140 AC166:AD166 AC169:AD169 AE170 AC48:AD50 AC76:AC80">
    <cfRule type="expression" dxfId="149" priority="2026">
      <formula>$M48="Pct"</formula>
    </cfRule>
  </conditionalFormatting>
  <conditionalFormatting sqref="AG170 AG167:AG168 AZ170 AZ167:AZ168 AG164:AG165 AZ164:AZ165 AG157:AG158 AG154:AG155 AZ157:AZ158 AZ154:AZ155 AG143:AG152 AG139:AG141 AG136 AG134 AZ143:AZ152 AZ139:AZ141 AZ136 AZ134 AG127:AG128 AZ127:AZ128 AG130:AG131 AZ130:AZ131 AG110:AG115 AZ110:AZ115 AG117:AG125 AZ117:AZ125 AG160:AG161 AZ160:AZ161 AG90:AG91 AZ90:AZ91 AG86:AG88 AZ86:AZ88 AG25:AG45 AZ25:AZ45 AG48:AG70 AZ48:AZ70 AG72:AG84 AZ72:AZ84 AG93:AG108 AZ93:AZ108">
    <cfRule type="expression" dxfId="148" priority="2038">
      <formula>$M:$M="Pct"</formula>
    </cfRule>
  </conditionalFormatting>
  <conditionalFormatting sqref="AY25:BP45 A25:AW45">
    <cfRule type="expression" dxfId="147" priority="6">
      <formula>IFERROR(AND($G25&gt;0,$G25-TODAY()&lt;30),FALSE)</formula>
    </cfRule>
  </conditionalFormatting>
  <conditionalFormatting sqref="AD130">
    <cfRule type="expression" dxfId="146" priority="4">
      <formula>$M130="Pct"</formula>
    </cfRule>
  </conditionalFormatting>
  <conditionalFormatting sqref="AG25:AG45">
    <cfRule type="dataBar" priority="10997">
      <dataBar>
        <cfvo type="min"/>
        <cfvo type="max"/>
        <color rgb="FF63C384"/>
      </dataBar>
      <extLst>
        <ext xmlns:x14="http://schemas.microsoft.com/office/spreadsheetml/2009/9/main" uri="{B025F937-C7B1-47D3-B67F-A62EFF666E3E}">
          <x14:id>{96200FBE-FF0D-4C20-A3BF-3056D100CFC8}</x14:id>
        </ext>
      </extLst>
    </cfRule>
  </conditionalFormatting>
  <conditionalFormatting sqref="AZ25:AZ45">
    <cfRule type="dataBar" priority="10999">
      <dataBar>
        <cfvo type="min"/>
        <cfvo type="max"/>
        <color rgb="FF63C384"/>
      </dataBar>
      <extLst>
        <ext xmlns:x14="http://schemas.microsoft.com/office/spreadsheetml/2009/9/main" uri="{B025F937-C7B1-47D3-B67F-A62EFF666E3E}">
          <x14:id>{ADE71D4B-0F83-4FB6-B332-CDCF53F01846}</x14:id>
        </ext>
      </extLst>
    </cfRule>
  </conditionalFormatting>
  <conditionalFormatting sqref="BP15:BP170">
    <cfRule type="expression" dxfId="145" priority="11178">
      <formula>$BD$15:$BD$170=0</formula>
    </cfRule>
  </conditionalFormatting>
  <conditionalFormatting sqref="AC24:AC170">
    <cfRule type="expression" dxfId="144" priority="2">
      <formula>NOT(_xlfn.ISFORMULA($AC24))</formula>
    </cfRule>
  </conditionalFormatting>
  <conditionalFormatting sqref="AE16:AE23">
    <cfRule type="expression" dxfId="143" priority="1">
      <formula>NOT(_xlfn.ISFORMULA($AE16))</formula>
    </cfRule>
  </conditionalFormatting>
  <dataValidations count="1">
    <dataValidation type="list" allowBlank="1" showInputMessage="1" showErrorMessage="1" sqref="H16:J16 S164:S165 F110:F115 F170 S170 F127:F128 S127:S128 F160:F161 S160:S161 F139:F141 S139:S141 F157:F158 S157:S158 F154:F155 S154:S155 F167:F168 S167:S168 F90:F91 S90:S91 F86:F88 U135 H135:M135 U132:U133 H132:M133 F164:F165 S16:S23 S86:S88 S110:S115 F130:F136 S130:S136 F117:F125 S143:S152 S117:S125 F48:F70 F143:F152 S25:S45 F25:F45 S72:S84 S48:S70 F72:F84 F93:F108 S93:S108" xr:uid="{6F3F67A2-54BA-441E-B424-364CD85E33C8}">
      <formula1>Descrizioni</formula1>
    </dataValidation>
  </dataValidations>
  <pageMargins left="0.19685039370078741" right="0.19685039370078741" top="0.39370078740157483" bottom="0.39370078740157483" header="0.11811023622047245" footer="0.19685039370078741"/>
  <pageSetup paperSize="9" scale="58" fitToHeight="0" orientation="landscape"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F7F9DB42-60F2-40AF-905F-B70832955E88}">
            <x14:dataBar minLength="0" maxLength="100" border="1" negativeBarBorderColorSameAsPositive="0">
              <x14:cfvo type="autoMin"/>
              <x14:cfvo type="autoMax"/>
              <x14:borderColor rgb="FF63C384"/>
              <x14:negativeFillColor rgb="FFFF0000"/>
              <x14:negativeBorderColor rgb="FFFF0000"/>
              <x14:axisColor rgb="FF000000"/>
            </x14:dataBar>
          </x14:cfRule>
          <xm:sqref>BV71</xm:sqref>
        </x14:conditionalFormatting>
        <x14:conditionalFormatting xmlns:xm="http://schemas.microsoft.com/office/excel/2006/main">
          <x14:cfRule type="dataBar" id="{464F56E9-80D9-415E-BF1F-E254F8160160}">
            <x14:dataBar minLength="0" maxLength="100" border="1" negativeBarBorderColorSameAsPositive="0">
              <x14:cfvo type="autoMin"/>
              <x14:cfvo type="autoMax"/>
              <x14:borderColor rgb="FF63C384"/>
              <x14:negativeFillColor rgb="FFFF0000"/>
              <x14:negativeBorderColor rgb="FFFF0000"/>
              <x14:axisColor rgb="FF000000"/>
            </x14:dataBar>
          </x14:cfRule>
          <xm:sqref>AG167:AG168 AG170 AG157:AG158 AG154:AG155 AG143:AG152 AG139:AG141 AG136 AG134 AG127:AG128 AG110:AG115 AG90:AG91 AG164:AG165 AG86:AG88 AG130:AG131 AG117:AG125 AG160:AG161 AG48:AG70 AG72:AG84 AG93:AG108</xm:sqref>
        </x14:conditionalFormatting>
        <x14:conditionalFormatting xmlns:xm="http://schemas.microsoft.com/office/excel/2006/main">
          <x14:cfRule type="dataBar" id="{906ACEF6-ABD2-428E-AF65-603C32DBB185}">
            <x14:dataBar minLength="0" maxLength="100" border="1" negativeBarBorderColorSameAsPositive="0">
              <x14:cfvo type="autoMin"/>
              <x14:cfvo type="autoMax"/>
              <x14:borderColor rgb="FF63C384"/>
              <x14:negativeFillColor rgb="FFFF0000"/>
              <x14:negativeBorderColor rgb="FFFF0000"/>
              <x14:axisColor rgb="FF000000"/>
            </x14:dataBar>
          </x14:cfRule>
          <xm:sqref>AZ167:AZ168 AZ170 AZ157:AZ158 AZ154:AZ155 AZ143:AZ152 AZ139:AZ141 AZ136 AZ134 AZ127:AZ128 AZ110:AZ115 AZ90:AZ91 AZ164:AZ165 AZ86:AZ88 AZ130:AZ131 AZ117:AZ125 AZ160:AZ161 AZ48:AZ70 AZ72:AZ84 AZ93:AZ108</xm:sqref>
        </x14:conditionalFormatting>
        <x14:conditionalFormatting xmlns:xm="http://schemas.microsoft.com/office/excel/2006/main">
          <x14:cfRule type="dataBar" id="{96200FBE-FF0D-4C20-A3BF-3056D100CFC8}">
            <x14:dataBar minLength="0" maxLength="100" border="1" negativeBarBorderColorSameAsPositive="0">
              <x14:cfvo type="autoMin"/>
              <x14:cfvo type="autoMax"/>
              <x14:borderColor rgb="FF63C384"/>
              <x14:negativeFillColor rgb="FFFF0000"/>
              <x14:negativeBorderColor rgb="FFFF0000"/>
              <x14:axisColor rgb="FF000000"/>
            </x14:dataBar>
          </x14:cfRule>
          <xm:sqref>AG25:AG45</xm:sqref>
        </x14:conditionalFormatting>
        <x14:conditionalFormatting xmlns:xm="http://schemas.microsoft.com/office/excel/2006/main">
          <x14:cfRule type="dataBar" id="{ADE71D4B-0F83-4FB6-B332-CDCF53F01846}">
            <x14:dataBar minLength="0" maxLength="100" border="1" negativeBarBorderColorSameAsPositive="0">
              <x14:cfvo type="autoMin"/>
              <x14:cfvo type="autoMax"/>
              <x14:borderColor rgb="FF63C384"/>
              <x14:negativeFillColor rgb="FFFF0000"/>
              <x14:negativeBorderColor rgb="FFFF0000"/>
              <x14:axisColor rgb="FF000000"/>
            </x14:dataBar>
          </x14:cfRule>
          <xm:sqref>AZ25:AZ45</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AB50D-4F06-4A53-92B9-5309B2C99E7F}">
  <sheetPr codeName="Valori">
    <tabColor theme="0" tint="-0.14999847407452621"/>
    <outlinePr summaryBelow="0" summaryRight="0"/>
  </sheetPr>
  <dimension ref="A1:BB400"/>
  <sheetViews>
    <sheetView showGridLines="0" topLeftCell="AT1" zoomScaleNormal="100" workbookViewId="0">
      <pane ySplit="2" topLeftCell="A229" activePane="bottomLeft" state="frozen"/>
      <selection pane="bottomLeft" activeCell="AY238" sqref="AY238"/>
    </sheetView>
  </sheetViews>
  <sheetFormatPr defaultColWidth="86.5703125" defaultRowHeight="15" customHeight="1" outlineLevelCol="3" x14ac:dyDescent="0.2"/>
  <cols>
    <col min="1" max="1" width="20.5703125" style="142" customWidth="1" collapsed="1"/>
    <col min="2" max="2" width="15.28515625" style="142" customWidth="1"/>
    <col min="3" max="3" width="3.28515625" style="1666" customWidth="1"/>
    <col min="4" max="4" width="5.140625" style="35" bestFit="1" customWidth="1"/>
    <col min="5" max="5" width="12.5703125" style="142" customWidth="1" outlineLevel="1"/>
    <col min="6" max="6" width="8.7109375" style="34" customWidth="1" outlineLevel="1"/>
    <col min="7" max="7" width="4.5703125" style="747" customWidth="1" outlineLevel="1"/>
    <col min="8" max="8" width="4.42578125" style="1621" customWidth="1" outlineLevel="1"/>
    <col min="9" max="9" width="18.7109375" style="142" customWidth="1" outlineLevel="1"/>
    <col min="10" max="10" width="45.7109375" style="142" customWidth="1" outlineLevel="1"/>
    <col min="11" max="11" width="7.5703125" style="142" customWidth="1"/>
    <col min="12" max="12" width="6.140625" style="612" customWidth="1"/>
    <col min="13" max="13" width="57.140625" style="1562" customWidth="1"/>
    <col min="14" max="14" width="8.28515625" style="1622" customWidth="1" outlineLevel="1"/>
    <col min="15" max="15" width="10.42578125" style="747" customWidth="1" outlineLevel="1"/>
    <col min="16" max="16" width="4.28515625" style="747" customWidth="1" outlineLevel="1"/>
    <col min="17" max="19" width="4.28515625" style="142" customWidth="1" outlineLevel="1"/>
    <col min="20" max="20" width="5" style="142" customWidth="1"/>
    <col min="21" max="21" width="7.85546875" style="142" bestFit="1" customWidth="1"/>
    <col min="22" max="22" width="8.140625" style="615" customWidth="1"/>
    <col min="23" max="23" width="10.7109375" style="142" customWidth="1" outlineLevel="1"/>
    <col min="24" max="25" width="12.140625" style="142" customWidth="1" outlineLevel="1"/>
    <col min="26" max="27" width="8.7109375" style="142" customWidth="1" outlineLevel="1"/>
    <col min="28" max="28" width="9.28515625" style="142" customWidth="1" outlineLevel="1"/>
    <col min="29" max="29" width="7.85546875" style="1564" customWidth="1" outlineLevel="1"/>
    <col min="30" max="30" width="9.42578125" style="611" customWidth="1" outlineLevel="1"/>
    <col min="31" max="31" width="8.42578125" style="142" customWidth="1" outlineLevel="1"/>
    <col min="32" max="32" width="8.85546875" style="612" customWidth="1" outlineLevel="1"/>
    <col min="33" max="33" width="8.42578125" style="612" customWidth="1"/>
    <col min="34" max="34" width="6.140625" style="142" customWidth="1" outlineLevel="1"/>
    <col min="35" max="35" width="7.85546875" style="612" customWidth="1" outlineLevel="1"/>
    <col min="36" max="36" width="8.5703125" style="95" customWidth="1" outlineLevel="1"/>
    <col min="37" max="37" width="7.42578125" style="612" customWidth="1" outlineLevel="1"/>
    <col min="38" max="38" width="8.28515625" style="142" customWidth="1" outlineLevel="1"/>
    <col min="39" max="39" width="7.85546875" style="35" customWidth="1"/>
    <col min="40" max="40" width="10" style="142" customWidth="1" outlineLevel="3"/>
    <col min="41" max="41" width="9" style="142" customWidth="1" outlineLevel="3" collapsed="1"/>
    <col min="42" max="42" width="6" style="142" customWidth="1" outlineLevel="3"/>
    <col min="43" max="43" width="9.5703125" style="142" customWidth="1" outlineLevel="3"/>
    <col min="44" max="44" width="31.5703125" style="1565" customWidth="1" outlineLevel="1" collapsed="1"/>
    <col min="45" max="45" width="31.5703125" style="1566" customWidth="1" outlineLevel="1"/>
    <col min="46" max="46" width="13.140625" style="1567" customWidth="1" outlineLevel="1"/>
    <col min="47" max="47" width="31.5703125" style="1568" customWidth="1" outlineLevel="1"/>
    <col min="48" max="48" width="31.5703125" style="1569" customWidth="1" outlineLevel="1"/>
    <col min="49" max="49" width="35.85546875" style="1570" customWidth="1" outlineLevel="1"/>
    <col min="50" max="50" width="11" style="1570" customWidth="1"/>
    <col min="51" max="51" width="47.140625" style="1567" customWidth="1"/>
    <col min="52" max="52" width="68.42578125" style="1572" customWidth="1"/>
    <col min="53" max="53" width="27.28515625" style="1572" customWidth="1"/>
    <col min="54" max="54" width="16" style="1567" customWidth="1"/>
    <col min="55" max="16384" width="86.5703125" style="142"/>
  </cols>
  <sheetData>
    <row r="1" spans="1:54" ht="60" customHeight="1" x14ac:dyDescent="0.2">
      <c r="G1" s="142"/>
      <c r="H1" s="612"/>
      <c r="I1" s="1562"/>
      <c r="M1" s="142"/>
      <c r="N1" s="1563"/>
      <c r="O1" s="142"/>
      <c r="P1" s="142"/>
      <c r="Z1" s="612"/>
      <c r="AA1" s="612"/>
      <c r="AE1" s="612"/>
      <c r="AG1" s="142"/>
      <c r="AH1" s="35"/>
      <c r="AK1" s="142"/>
      <c r="AM1" s="1565"/>
      <c r="AN1" s="1566"/>
      <c r="AO1" s="1567"/>
      <c r="AP1" s="1568"/>
      <c r="AQ1" s="1569"/>
      <c r="AR1" s="1570"/>
      <c r="AS1" s="1571"/>
      <c r="AT1" s="1570"/>
      <c r="AU1" s="1567"/>
      <c r="AV1" s="1572"/>
      <c r="AW1" s="1572"/>
      <c r="AX1" s="142"/>
      <c r="AY1" s="142"/>
      <c r="AZ1" s="142"/>
      <c r="BA1" s="142"/>
      <c r="BB1" s="142"/>
    </row>
    <row r="2" spans="1:54" ht="15" customHeight="1" x14ac:dyDescent="0.2">
      <c r="A2" s="1223" t="s">
        <v>678</v>
      </c>
      <c r="B2" s="1223" t="s">
        <v>908</v>
      </c>
      <c r="C2" s="1667" t="s">
        <v>909</v>
      </c>
      <c r="D2" s="144" t="s">
        <v>677</v>
      </c>
      <c r="E2" s="1223" t="s">
        <v>679</v>
      </c>
      <c r="F2" s="1223" t="s">
        <v>680</v>
      </c>
      <c r="G2" s="1223" t="s">
        <v>687</v>
      </c>
      <c r="H2" s="1223" t="s">
        <v>910</v>
      </c>
      <c r="I2" s="1223" t="s">
        <v>911</v>
      </c>
      <c r="J2" s="1223" t="s">
        <v>912</v>
      </c>
      <c r="K2" s="1223" t="s">
        <v>913</v>
      </c>
      <c r="L2" s="784" t="s">
        <v>914</v>
      </c>
      <c r="M2" s="1223" t="s">
        <v>9</v>
      </c>
      <c r="N2" s="1573" t="s">
        <v>915</v>
      </c>
      <c r="O2" s="1574" t="s">
        <v>916</v>
      </c>
      <c r="P2" s="1575" t="s">
        <v>917</v>
      </c>
      <c r="Q2" s="1576" t="s">
        <v>918</v>
      </c>
      <c r="R2" s="1223" t="s">
        <v>919</v>
      </c>
      <c r="S2" s="1223" t="s">
        <v>814</v>
      </c>
      <c r="T2" s="1223" t="s">
        <v>920</v>
      </c>
      <c r="U2" s="1223" t="s">
        <v>695</v>
      </c>
      <c r="V2" s="1577" t="s">
        <v>696</v>
      </c>
      <c r="W2" s="1578" t="s">
        <v>693</v>
      </c>
      <c r="X2" s="1579" t="s">
        <v>921</v>
      </c>
      <c r="Y2" s="1580" t="s">
        <v>922</v>
      </c>
      <c r="Z2" s="1581" t="s">
        <v>923</v>
      </c>
      <c r="AA2" s="1582" t="s">
        <v>924</v>
      </c>
      <c r="AB2" s="1582" t="s">
        <v>925</v>
      </c>
      <c r="AC2" s="1581" t="s">
        <v>926</v>
      </c>
      <c r="AD2" s="1583" t="s">
        <v>927</v>
      </c>
      <c r="AE2" s="1584" t="s">
        <v>681</v>
      </c>
      <c r="AF2" s="1585" t="s">
        <v>928</v>
      </c>
      <c r="AG2" s="1581" t="s">
        <v>929</v>
      </c>
      <c r="AH2" s="1586" t="s">
        <v>697</v>
      </c>
      <c r="AI2" s="1587" t="s">
        <v>930</v>
      </c>
      <c r="AJ2" s="1588" t="s">
        <v>931</v>
      </c>
      <c r="AK2" s="1589" t="s">
        <v>932</v>
      </c>
      <c r="AL2" s="1586" t="s">
        <v>933</v>
      </c>
      <c r="AM2" s="1586" t="s">
        <v>934</v>
      </c>
      <c r="AN2" s="1586" t="s">
        <v>935</v>
      </c>
      <c r="AO2" s="148" t="s">
        <v>866</v>
      </c>
      <c r="AP2" s="148" t="s">
        <v>867</v>
      </c>
      <c r="AQ2" s="148" t="s">
        <v>868</v>
      </c>
      <c r="AR2" s="148" t="s">
        <v>869</v>
      </c>
      <c r="AS2" s="1223" t="s">
        <v>684</v>
      </c>
      <c r="AT2" s="144" t="s">
        <v>685</v>
      </c>
      <c r="AU2" s="144" t="s">
        <v>686</v>
      </c>
      <c r="AV2" s="1223" t="s">
        <v>683</v>
      </c>
      <c r="AW2" s="1223" t="s">
        <v>682</v>
      </c>
      <c r="AX2" s="1223" t="s">
        <v>936</v>
      </c>
      <c r="AY2" s="142"/>
      <c r="AZ2" s="142"/>
      <c r="BA2" s="142"/>
      <c r="BB2" s="142"/>
    </row>
    <row r="3" spans="1:54" ht="15" customHeight="1" x14ac:dyDescent="0.2">
      <c r="A3" s="142" t="s">
        <v>937</v>
      </c>
      <c r="B3" s="142" t="s">
        <v>938</v>
      </c>
      <c r="C3" s="1668" t="str">
        <f>HYPERLINK("https://boersenundmaerkte.lukb.ch/lukb/details/"&amp;Valori[[#This Row],[LUKB_id]],"è")</f>
        <v>è</v>
      </c>
      <c r="D3" s="142" t="str" cm="1">
        <f t="array" aca="1" ref="D3" ca="1">OFFSET(POrigin,MATCH(Valori[[#This Row],[LUKB_id]],PID,0),MATCH("SC_GROUPED",PIntestazioni,0)-1,1,1)</f>
        <v>CUR</v>
      </c>
      <c r="E3" s="413" t="str" cm="1">
        <f t="array" aca="1" ref="E3" ca="1">OFFSET(POrigin,MATCH(Valori[[#This Row],[LUKB_id]],PID,0),MATCH("isin",PIntestazioni,0)-1,1,1)</f>
        <v>XC0001458402</v>
      </c>
      <c r="F3" s="34" t="str" cm="1">
        <f t="array" aca="1" ref="F3" ca="1">OFFSET(POrigin,MATCH(Valori[[#This Row],[LUKB_id]],PID,0),MATCH("NSIN_CH",PLabel,0)-1,1,1)</f>
        <v>968876</v>
      </c>
      <c r="G3" s="95" t="str" cm="1">
        <f t="array" aca="1" ref="G3" ca="1">IF(OFFSET(POrigin,MATCH(Valori[[#This Row],[LUKB_id]],PID,0),MATCH("INSTRUNIT",PLabel,0)-1,1,1)="Nominal","Pct","Unit")</f>
        <v>Unit</v>
      </c>
      <c r="H3" s="612">
        <f ca="1">MAX(OFFSET(POrigin,MATCH(Valori[[#This Row],[LUKB_id]],PID,0),MATCH("PRICINGAMT",PLabel,0)-1,1,1),1)</f>
        <v>1</v>
      </c>
      <c r="I3" s="615" t="str" cm="1">
        <f t="array" aca="1" ref="I3" ca="1">OFFSET(POrigin,MATCH(Valori[[#This Row],[LUKB_id]],PID,0),MATCH("M_NAME",PLabel,0)-1,1,1)</f>
        <v>AUD/EUR</v>
      </c>
      <c r="J3" s="142" t="s">
        <v>477</v>
      </c>
      <c r="M3" s="142" t="str" cm="1">
        <f t="array" aca="1" ref="M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3" s="1563">
        <f ca="1">COUNTIF('CHF M'!smo_id,Valori[[#This Row],[smo_id]])+COUNTIF('CHF MA'!smo_id,Valori[[#This Row],[smo_id]])+COUNTIF('EUR MB'!smo_id,Valori[[#This Row],[smo_id]])+COUNTIF('EUR M'!smo_id,Valori[[#This Row],[smo_id]])+COUNTIF(AGCO!smo_id,Valori[[#This Row],[smo_id]])</f>
        <v>0</v>
      </c>
      <c r="O3" s="1590" cm="1">
        <f t="array" aca="1" ref="O3" ca="1">SUM(IF('CHF M'!smo_id=Valori[[#This Row],[smo_id]],'CHF M'!Posizione))+SUM(IF('CHF MA'!smo_id=Valori[[#This Row],[smo_id]],'CHF MA'!Posizione))+SUM(IF('EUR MB'!smo_id=Valori[[#This Row],[smo_id]],'EUR MB'!Posizione))+SUM(IF('EUR M'!smo_id=Valori[[#This Row],[smo_id]],'EUR M'!Posizione))+SUM(IF(AGCO!smo_id=Valori[[#This Row],[smo_id]],AGCO!Posizione))</f>
        <v>0</v>
      </c>
      <c r="P3" s="1661" t="str">
        <f>HYPERLINK(Valori[[#This Row],[P_Source]],"è")</f>
        <v>è</v>
      </c>
      <c r="Q3" s="1663" t="str">
        <f>HYPERLINK(Valori[[#This Row],[Info_W]],"i")</f>
        <v>i</v>
      </c>
      <c r="R3" s="1664" t="str">
        <f>HYPERLINK(Valori[[#This Row],[FN_W]],"")</f>
        <v></v>
      </c>
      <c r="S3" s="1665" t="str">
        <f>HYPERLINK(Valori[[#This Row],[MS_Link]],"")</f>
        <v></v>
      </c>
      <c r="T3" s="1665" t="str">
        <f>HYPERLINK(Valori[[#This Row],[C_source]],"")</f>
        <v></v>
      </c>
      <c r="U3" s="142" t="str" cm="1">
        <f t="array" aca="1" ref="U3" ca="1">OFFSET(POrigin,MATCH(Valori[[#This Row],[LUKB_id]],PID,0),MATCH("M_CUR",PLabel,0)-1,1,1)</f>
        <v>EUR</v>
      </c>
      <c r="V3" s="1562">
        <f ca="1">(Valori[[#This Row],[Last]]+Valori[[#This Row],[Acc. Int]])/Valori[[#This Row],[Pr.Amt]]/IF(Valori[[#This Row],[P_Type]]="Pct",100,1)</f>
        <v>0.60610000000000008</v>
      </c>
      <c r="W3" s="1591" cm="1">
        <f t="array" aca="1" ref="W3" ca="1">OFFSET(POrigin,MATCH(Valori[[#This Row],[LUKB_id]],PID,0),MATCH("NC2_PR",PLabel,0)-1,1,1)/100</f>
        <v>-2.5508100000000001E-3</v>
      </c>
      <c r="X3" s="1592" cm="1">
        <f t="array" aca="1" ref="X3" ca="1">OFFSET(POrigin,MATCH(Valori[[#This Row],[LUKB_id]],PID,0),MATCH("LVAL",PLabel,0)-1,1,1)</f>
        <v>0.60610000000000008</v>
      </c>
      <c r="Y3" s="1593" cm="1">
        <f t="array" aca="1" ref="Y3" ca="1">OFFSET(POrigin,MATCH(Valori[[#This Row],[LUKB_id]],PID,0),MATCH("LVAL:datetime",PLabel,0)-1,1,1)</f>
        <v>46084.796307870369</v>
      </c>
      <c r="Z3" s="1594" cm="1">
        <f t="array" aca="1" ref="Z3" ca="1">OFFSET(POrigin,MATCH(Valori[[#This Row],[LUKB_id]],PID,0),MATCH("BID:volume",PLabel,0)-1,1,1)</f>
        <v>0</v>
      </c>
      <c r="AA3" s="1595" cm="1">
        <f t="array" aca="1" ref="AA3" ca="1">OFFSET(POrigin,MATCH(Valori[[#This Row],[LUKB_id]],PID,0),MATCH("BID",PLabel,0)-1,1,1)</f>
        <v>0.60570000000000002</v>
      </c>
      <c r="AB3" s="1595" cm="1">
        <f t="array" aca="1" ref="AB3" ca="1">OFFSET(POrigin,MATCH(Valori[[#This Row],[LUKB_id]],PID,0),MATCH("ASK",PLabel,0)-1,1,1)</f>
        <v>0.60650000000000004</v>
      </c>
      <c r="AC3" s="1594" cm="1">
        <f t="array" aca="1" ref="AC3" ca="1">OFFSET(POrigin,MATCH(Valori[[#This Row],[LUKB_id]],PID,0),MATCH("ASK:volume",PLabel,0)-1,1,1)</f>
        <v>0</v>
      </c>
      <c r="AD3" s="1596" cm="1">
        <f t="array" aca="1" ref="AD3" ca="1">OFFSET(POrigin,MATCH(Valori[[#This Row],[LUKB_id]],PID,0),MATCH("BID-ASK Spread %",PLabel,0)-1,1,1)</f>
        <v>8.8013642114530266E-4</v>
      </c>
      <c r="AE3" s="1597" t="str" cm="1">
        <f t="array" aca="1" ref="AE3" ca="1">IF(OFFSET(POrigin,MATCH(Valori[[#This Row],[LUKB_id]],PID,0),MATCH("MATURITY",PLabel,0)-1,1,1)&gt;0,OFFSET(POrigin,MATCH(Valori[[#This Row],[LUKB_id]],PID,0),MATCH("MATURITY",PLabel,0)-1,1,1),"")</f>
        <v/>
      </c>
      <c r="AF3" s="1598" cm="1">
        <f t="array" aca="1" ref="AF3" ca="1">OFFSET(POrigin,MATCH(Valori[[#This Row],[LUKB_id]],PID,0),MATCH("ACCINT",PLabel,0)-1,1,1)</f>
        <v>0</v>
      </c>
      <c r="AG3" s="1594" cm="1">
        <f t="array" aca="1" ref="AG3" ca="1">OFFSET(POrigin,MATCH(Valori[[#This Row],[LUKB_id]],PID,0),MATCH("DENOM",PLabel,0)-1,1,1)</f>
        <v>0</v>
      </c>
      <c r="AH3" s="1599" cm="1">
        <f t="array" aca="1" ref="AH3" ca="1">(OFFSET(POrigin,MATCH(Valori[[#This Row],[LUKB_id]],PID,0),MATCH("YIELD",PLabel,0)-1,1,1)+OFFSET(POrigin,MATCH(Valori[[#This Row],[LUKB_id]],PID,0),MATCH("YLDEQ",PLabel,0)-1,1,1))/100</f>
        <v>0</v>
      </c>
      <c r="AI3" s="1600">
        <f ca="1">OFFSET(POrigin,MATCH(Valori[[#This Row],[LUKB_id]],PID,0),MATCH("DIVIDEND",PLabel,0)-1,1,1)</f>
        <v>0</v>
      </c>
      <c r="AJ3" s="1601">
        <f ca="1">OFFSET(POrigin,MATCH(Valori[[#This Row],[LUKB_id]],PID,0),MATCH("DIVIDEND:datetime",PLabel,0)-1,1,1)</f>
        <v>0</v>
      </c>
      <c r="AK3" s="1602">
        <f ca="1">OFFSET(POrigin,MATCH(Valori[[#This Row],[LUKB_id]],PID,0),MATCH("INTEREST",PLabel,0)-1,1,1)</f>
        <v>0</v>
      </c>
      <c r="AL3" s="1603">
        <f ca="1">OFFSET(POrigin,MATCH(Valori[[#This Row],[LUKB_id]],PID,0),MATCH("4W_PERF_PR",PLabel,0)-1,1,1)/100</f>
        <v>3.1138639063295396E-2</v>
      </c>
      <c r="AM3" s="1603">
        <f ca="1">OFFSET(POrigin,MATCH(Valori[[#This Row],[LUKB_id]],PID,0),MATCH("12W_PERF_PR",PLabel,0)-1,1,1)/100</f>
        <v>6.7832352165890453E-2</v>
      </c>
      <c r="AN3" s="1603">
        <f ca="1">OFFSET(POrigin,MATCH(Valori[[#This Row],[LUKB_id]],PID,0),MATCH("YTD_PERF_PR",PLabel,0)-1,1,1)/100</f>
        <v>6.6795739999999992E-2</v>
      </c>
      <c r="AO3" s="1591"/>
      <c r="AP3" s="1591"/>
      <c r="AQ3" s="1591"/>
      <c r="AR3" s="1591"/>
      <c r="AS3" s="1890"/>
      <c r="AT3" s="1890"/>
      <c r="AU3" s="610"/>
      <c r="AV3" s="1891"/>
      <c r="AW3" s="1604" t="str">
        <f>"https://boersenundmaerkte.lukb.ch/lukb/details/"&amp;Valori[[#This Row],[LUKB_id]]</f>
        <v>https://boersenundmaerkte.lukb.ch/lukb/details/968876,176,814</v>
      </c>
      <c r="AX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 s="142"/>
      <c r="AZ3" s="142"/>
      <c r="BA3" s="142"/>
      <c r="BB3" s="142"/>
    </row>
    <row r="4" spans="1:54" ht="15" customHeight="1" x14ac:dyDescent="0.2">
      <c r="A4" s="142" t="s">
        <v>724</v>
      </c>
      <c r="B4" s="142" t="s">
        <v>939</v>
      </c>
      <c r="C4" s="1668" t="str">
        <f>HYPERLINK("https://boersenundmaerkte.lukb.ch/lukb/details/"&amp;Valori[[#This Row],[LUKB_id]],"è")</f>
        <v>è</v>
      </c>
      <c r="D4" s="142" t="str" cm="1">
        <f t="array" aca="1" ref="D4" ca="1">OFFSET(POrigin,MATCH(Valori[[#This Row],[LUKB_id]],PID,0),MATCH("SC_GROUPED",PIntestazioni,0)-1,1,1)</f>
        <v>CUR</v>
      </c>
      <c r="E4" s="413" t="str" cm="1">
        <f t="array" aca="1" ref="E4" ca="1">OFFSET(POrigin,MATCH(Valori[[#This Row],[LUKB_id]],PID,0),MATCH("isin",PIntestazioni,0)-1,1,1)</f>
        <v>XC0001458410</v>
      </c>
      <c r="F4" s="34" t="str" cm="1">
        <f t="array" aca="1" ref="F4" ca="1">OFFSET(POrigin,MATCH(Valori[[#This Row],[LUKB_id]],PID,0),MATCH("NSIN_CH",PLabel,0)-1,1,1)</f>
        <v>499048</v>
      </c>
      <c r="G4" s="95" t="str" cm="1">
        <f t="array" aca="1" ref="G4" ca="1">IF(OFFSET(POrigin,MATCH(Valori[[#This Row],[LUKB_id]],PID,0),MATCH("INSTRUNIT",PLabel,0)-1,1,1)="Nominal","Pct","Unit")</f>
        <v>Unit</v>
      </c>
      <c r="H4" s="612">
        <f ca="1">MAX(OFFSET(POrigin,MATCH(Valori[[#This Row],[LUKB_id]],PID,0),MATCH("PRICINGAMT",PLabel,0)-1,1,1),1)</f>
        <v>1</v>
      </c>
      <c r="I4" s="615" t="str" cm="1">
        <f t="array" aca="1" ref="I4" ca="1">OFFSET(POrigin,MATCH(Valori[[#This Row],[LUKB_id]],PID,0),MATCH("M_NAME",PLabel,0)-1,1,1)</f>
        <v>AUD/CHF</v>
      </c>
      <c r="J4" s="142" t="s">
        <v>477</v>
      </c>
      <c r="M4" s="142" t="str" cm="1">
        <f t="array" aca="1" ref="M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4" s="1563">
        <f ca="1">COUNTIF('CHF M'!smo_id,Valori[[#This Row],[smo_id]])+COUNTIF('CHF MA'!smo_id,Valori[[#This Row],[smo_id]])+COUNTIF('EUR MB'!smo_id,Valori[[#This Row],[smo_id]])+COUNTIF('EUR M'!smo_id,Valori[[#This Row],[smo_id]])+COUNTIF(AGCO!smo_id,Valori[[#This Row],[smo_id]])</f>
        <v>2</v>
      </c>
      <c r="O4" s="1590">
        <v>57722.359999999986</v>
      </c>
      <c r="P4" s="1661" t="str">
        <f>HYPERLINK(Valori[[#This Row],[P_Source]],"è")</f>
        <v>è</v>
      </c>
      <c r="Q4" s="1663" t="str">
        <f>HYPERLINK(Valori[[#This Row],[Info_W]],"i")</f>
        <v>i</v>
      </c>
      <c r="R4" s="1664" t="str">
        <f>HYPERLINK(Valori[[#This Row],[FN_W]],"")</f>
        <v></v>
      </c>
      <c r="S4" s="1665" t="str">
        <f>HYPERLINK(Valori[[#This Row],[MS_Link]],"")</f>
        <v></v>
      </c>
      <c r="T4" s="1665" t="str">
        <f>HYPERLINK(Valori[[#This Row],[C_source]],"")</f>
        <v></v>
      </c>
      <c r="U4" s="142" t="str" cm="1">
        <f t="array" aca="1" ref="U4" ca="1">OFFSET(POrigin,MATCH(Valori[[#This Row],[LUKB_id]],PID,0),MATCH("M_CUR",PLabel,0)-1,1,1)</f>
        <v>CHF</v>
      </c>
      <c r="V4" s="1562">
        <f ca="1">(Valori[[#This Row],[Last]]+Valori[[#This Row],[Acc. Int]])/Valori[[#This Row],[Pr.Amt]]/IF(Valori[[#This Row],[P_Type]]="Pct",100,1)</f>
        <v>0.55005000000000004</v>
      </c>
      <c r="W4" s="1591" cm="1">
        <f t="array" aca="1" ref="W4" ca="1">OFFSET(POrigin,MATCH(Valori[[#This Row],[LUKB_id]],PID,0),MATCH("NC2_PR",PLabel,0)-1,1,1)/100</f>
        <v>-5.7840000000000001E-3</v>
      </c>
      <c r="X4" s="1592" cm="1">
        <f t="array" aca="1" ref="X4" ca="1">OFFSET(POrigin,MATCH(Valori[[#This Row],[LUKB_id]],PID,0),MATCH("LVAL",PLabel,0)-1,1,1)</f>
        <v>0.55005000000000004</v>
      </c>
      <c r="Y4" s="1593" cm="1">
        <f t="array" aca="1" ref="Y4" ca="1">OFFSET(POrigin,MATCH(Valori[[#This Row],[LUKB_id]],PID,0),MATCH("LVAL:datetime",PLabel,0)-1,1,1)</f>
        <v>46084.796249999999</v>
      </c>
      <c r="Z4" s="1594" cm="1">
        <f t="array" aca="1" ref="Z4" ca="1">OFFSET(POrigin,MATCH(Valori[[#This Row],[LUKB_id]],PID,0),MATCH("BID:volume",PLabel,0)-1,1,1)</f>
        <v>0</v>
      </c>
      <c r="AA4" s="1595" cm="1">
        <f t="array" aca="1" ref="AA4" ca="1">OFFSET(POrigin,MATCH(Valori[[#This Row],[LUKB_id]],PID,0),MATCH("BID",PLabel,0)-1,1,1)</f>
        <v>0.54930000000000001</v>
      </c>
      <c r="AB4" s="1595" cm="1">
        <f t="array" aca="1" ref="AB4" ca="1">OFFSET(POrigin,MATCH(Valori[[#This Row],[LUKB_id]],PID,0),MATCH("ASK",PLabel,0)-1,1,1)</f>
        <v>0.55080000000000007</v>
      </c>
      <c r="AC4" s="1594" cm="1">
        <f t="array" aca="1" ref="AC4" ca="1">OFFSET(POrigin,MATCH(Valori[[#This Row],[LUKB_id]],PID,0),MATCH("ASK:volume",PLabel,0)-1,1,1)</f>
        <v>0</v>
      </c>
      <c r="AD4" s="1596" cm="1">
        <f t="array" aca="1" ref="AD4" ca="1">OFFSET(POrigin,MATCH(Valori[[#This Row],[LUKB_id]],PID,0),MATCH("BID-ASK Spread %",PLabel,0)-1,1,1)</f>
        <v>1.8188432157148742E-3</v>
      </c>
      <c r="AE4" s="1597" t="str" cm="1">
        <f t="array" aca="1" ref="AE4" ca="1">IF(OFFSET(POrigin,MATCH(Valori[[#This Row],[LUKB_id]],PID,0),MATCH("MATURITY",PLabel,0)-1,1,1)&gt;0,OFFSET(POrigin,MATCH(Valori[[#This Row],[LUKB_id]],PID,0),MATCH("MATURITY",PLabel,0)-1,1,1),"")</f>
        <v/>
      </c>
      <c r="AF4" s="1598" cm="1">
        <f t="array" aca="1" ref="AF4" ca="1">OFFSET(POrigin,MATCH(Valori[[#This Row],[LUKB_id]],PID,0),MATCH("ACCINT",PLabel,0)-1,1,1)</f>
        <v>0</v>
      </c>
      <c r="AG4" s="1594" cm="1">
        <f t="array" aca="1" ref="AG4" ca="1">OFFSET(POrigin,MATCH(Valori[[#This Row],[LUKB_id]],PID,0),MATCH("DENOM",PLabel,0)-1,1,1)</f>
        <v>0</v>
      </c>
      <c r="AH4" s="1599" cm="1">
        <f t="array" aca="1" ref="AH4" ca="1">(OFFSET(POrigin,MATCH(Valori[[#This Row],[LUKB_id]],PID,0),MATCH("YIELD",PLabel,0)-1,1,1)+OFFSET(POrigin,MATCH(Valori[[#This Row],[LUKB_id]],PID,0),MATCH("YLDEQ",PLabel,0)-1,1,1))/100</f>
        <v>0</v>
      </c>
      <c r="AI4" s="1600">
        <f ca="1">OFFSET(POrigin,MATCH(Valori[[#This Row],[LUKB_id]],PID,0),MATCH("DIVIDEND",PLabel,0)-1,1,1)</f>
        <v>0</v>
      </c>
      <c r="AJ4" s="1601">
        <f ca="1">OFFSET(POrigin,MATCH(Valori[[#This Row],[LUKB_id]],PID,0),MATCH("DIVIDEND:datetime",PLabel,0)-1,1,1)</f>
        <v>0</v>
      </c>
      <c r="AK4" s="1602">
        <f ca="1">OFFSET(POrigin,MATCH(Valori[[#This Row],[LUKB_id]],PID,0),MATCH("INTEREST",PLabel,0)-1,1,1)</f>
        <v>0</v>
      </c>
      <c r="AL4" s="1603">
        <f ca="1">OFFSET(POrigin,MATCH(Valori[[#This Row],[LUKB_id]],PID,0),MATCH("4W_PERF_PR",PLabel,0)-1,1,1)/100</f>
        <v>2.1227503461005912E-2</v>
      </c>
      <c r="AM4" s="1603">
        <f ca="1">OFFSET(POrigin,MATCH(Valori[[#This Row],[LUKB_id]],PID,0),MATCH("12W_PERF_PR",PLabel,0)-1,1,1)/100</f>
        <v>3.556387459054753E-2</v>
      </c>
      <c r="AN4" s="1603">
        <f ca="1">OFFSET(POrigin,MATCH(Valori[[#This Row],[LUKB_id]],PID,0),MATCH("YTD_PERF_PR",PLabel,0)-1,1,1)/100</f>
        <v>4.0086980000000001E-2</v>
      </c>
      <c r="AO4" s="1591"/>
      <c r="AP4" s="1591"/>
      <c r="AQ4" s="1591"/>
      <c r="AR4" s="1591"/>
      <c r="AS4" s="1890" t="s">
        <v>877</v>
      </c>
      <c r="AT4" s="1890" t="s">
        <v>877</v>
      </c>
      <c r="AU4" s="610"/>
      <c r="AV4" s="1891" t="s">
        <v>940</v>
      </c>
      <c r="AW4" s="1604" t="str">
        <f>"https://boersenundmaerkte.lukb.ch/lukb/details/"&amp;Valori[[#This Row],[LUKB_id]]</f>
        <v>https://boersenundmaerkte.lukb.ch/lukb/details/499048,176,1</v>
      </c>
      <c r="AX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 s="142"/>
      <c r="AZ4" s="142"/>
      <c r="BA4" s="142"/>
      <c r="BB4" s="142"/>
    </row>
    <row r="5" spans="1:54" ht="15" customHeight="1" x14ac:dyDescent="0.2">
      <c r="A5" s="142" t="s">
        <v>941</v>
      </c>
      <c r="B5" s="142" t="str" cm="1">
        <f t="array" aca="1" ref="B5" ca="1">OFFSET(POrigin,MATCH(Valori[[#This Row],[smo_id]],Posizioni[smo_id],0),MATCH("LUKB_id",PIntestazioni,0)-1,1,1)</f>
        <v>275003,176,1</v>
      </c>
      <c r="C5" s="1668" t="str">
        <f ca="1">HYPERLINK("https://boersenundmaerkte.lukb.ch/lukb/details/"&amp;Valori[[#This Row],[LUKB_id]],"è")</f>
        <v>è</v>
      </c>
      <c r="D5" s="142" t="str" cm="1">
        <f t="array" aca="1" ref="D5" ca="1">OFFSET(POrigin,MATCH(Valori[[#This Row],[LUKB_id]],PID,0),MATCH("SC_GROUPED",PIntestazioni,0)-1,1,1)</f>
        <v>CUR</v>
      </c>
      <c r="E5" s="413" t="str" cm="1">
        <f t="array" aca="1" ref="E5" ca="1">OFFSET(POrigin,MATCH(Valori[[#This Row],[LUKB_id]],PID,0),MATCH("isin",PIntestazioni,0)-1,1,1)</f>
        <v>XD0002750038</v>
      </c>
      <c r="F5" s="34" t="str" cm="1">
        <f t="array" aca="1" ref="F5" ca="1">OFFSET(POrigin,MATCH(Valori[[#This Row],[LUKB_id]],PID,0),MATCH("NSIN_CH",PLabel,0)-1,1,1)</f>
        <v>275003</v>
      </c>
      <c r="G5" s="95" t="str" cm="1">
        <f t="array" aca="1" ref="G5" ca="1">IF(OFFSET(POrigin,MATCH(Valori[[#This Row],[LUKB_id]],PID,0),MATCH("INSTRUNIT",PLabel,0)-1,1,1)="Nominal","Pct","Unit")</f>
        <v>Unit</v>
      </c>
      <c r="H5" s="612">
        <f ca="1">MAX(OFFSET(POrigin,MATCH(Valori[[#This Row],[LUKB_id]],PID,0),MATCH("PRICINGAMT",PLabel,0)-1,1,1),1)</f>
        <v>1</v>
      </c>
      <c r="I5" s="615" t="str" cm="1">
        <f t="array" aca="1" ref="I5" ca="1">OFFSET(POrigin,MATCH(Valori[[#This Row],[LUKB_id]],PID,0),MATCH("M_NAME",PLabel,0)-1,1,1)</f>
        <v>CAD/CHF</v>
      </c>
      <c r="J5" s="142" t="s">
        <v>942</v>
      </c>
      <c r="M5" s="142" t="str" cm="1">
        <f t="array" aca="1" ref="M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5" s="1563">
        <f ca="1">COUNTIF('CHF M'!smo_id,Valori[[#This Row],[smo_id]])+COUNTIF('CHF MA'!smo_id,Valori[[#This Row],[smo_id]])+COUNTIF('EUR MB'!smo_id,Valori[[#This Row],[smo_id]])+COUNTIF('EUR M'!smo_id,Valori[[#This Row],[smo_id]])+COUNTIF(AGCO!smo_id,Valori[[#This Row],[smo_id]])</f>
        <v>0</v>
      </c>
      <c r="O5" s="1590" cm="1">
        <f t="array" aca="1" ref="O5" ca="1">SUM(IF('CHF M'!smo_id=Valori[[#This Row],[smo_id]],'CHF M'!Posizione))+SUM(IF('CHF MA'!smo_id=Valori[[#This Row],[smo_id]],'CHF MA'!Posizione))+SUM(IF('EUR MB'!smo_id=Valori[[#This Row],[smo_id]],'EUR MB'!Posizione))+SUM(IF('EUR M'!smo_id=Valori[[#This Row],[smo_id]],'EUR M'!Posizione))+SUM(IF(AGCO!smo_id=Valori[[#This Row],[smo_id]],AGCO!Posizione))</f>
        <v>0</v>
      </c>
      <c r="P5" s="1661" t="str">
        <f ca="1">HYPERLINK(Valori[[#This Row],[P_Source]],"è")</f>
        <v>è</v>
      </c>
      <c r="Q5" s="1663" t="str">
        <f>HYPERLINK(Valori[[#This Row],[Info_W]],"i")</f>
        <v>i</v>
      </c>
      <c r="R5" s="1664" t="str">
        <f>HYPERLINK(Valori[[#This Row],[FN_W]],"")</f>
        <v></v>
      </c>
      <c r="S5" s="1665" t="str">
        <f>HYPERLINK(Valori[[#This Row],[MS_Link]],"")</f>
        <v></v>
      </c>
      <c r="T5" s="1665" t="str">
        <f>HYPERLINK(Valori[[#This Row],[C_source]],"")</f>
        <v></v>
      </c>
      <c r="U5" s="142" t="str" cm="1">
        <f t="array" aca="1" ref="U5" ca="1">OFFSET(POrigin,MATCH(Valori[[#This Row],[LUKB_id]],PID,0),MATCH("M_CUR",PLabel,0)-1,1,1)</f>
        <v>CHF</v>
      </c>
      <c r="V5" s="1562">
        <f ca="1">(Valori[[#This Row],[Last]]+Valori[[#This Row],[Acc. Int]])/Valori[[#This Row],[Pr.Amt]]/IF(Valori[[#This Row],[P_Type]]="Pct",100,1)</f>
        <v>0.57235000000000003</v>
      </c>
      <c r="W5" s="1591" cm="1">
        <f t="array" aca="1" ref="W5" ca="1">OFFSET(POrigin,MATCH(Valori[[#This Row],[LUKB_id]],PID,0),MATCH("NC2_PR",PLabel,0)-1,1,1)/100</f>
        <v>4.5634100000000004E-3</v>
      </c>
      <c r="X5" s="1592" cm="1">
        <f t="array" aca="1" ref="X5" ca="1">OFFSET(POrigin,MATCH(Valori[[#This Row],[LUKB_id]],PID,0),MATCH("LVAL",PLabel,0)-1,1,1)</f>
        <v>0.57235000000000003</v>
      </c>
      <c r="Y5" s="1593" cm="1">
        <f t="array" aca="1" ref="Y5" ca="1">OFFSET(POrigin,MATCH(Valori[[#This Row],[LUKB_id]],PID,0),MATCH("LVAL:datetime",PLabel,0)-1,1,1)</f>
        <v>46084.79619212963</v>
      </c>
      <c r="Z5" s="1594" cm="1">
        <f t="array" aca="1" ref="Z5" ca="1">OFFSET(POrigin,MATCH(Valori[[#This Row],[LUKB_id]],PID,0),MATCH("BID:volume",PLabel,0)-1,1,1)</f>
        <v>0</v>
      </c>
      <c r="AA5" s="1595" cm="1">
        <f t="array" aca="1" ref="AA5" ca="1">OFFSET(POrigin,MATCH(Valori[[#This Row],[LUKB_id]],PID,0),MATCH("BID",PLabel,0)-1,1,1)</f>
        <v>0.5716</v>
      </c>
      <c r="AB5" s="1595" cm="1">
        <f t="array" aca="1" ref="AB5" ca="1">OFFSET(POrigin,MATCH(Valori[[#This Row],[LUKB_id]],PID,0),MATCH("ASK",PLabel,0)-1,1,1)</f>
        <v>0.57310000000000005</v>
      </c>
      <c r="AC5" s="1594" cm="1">
        <f t="array" aca="1" ref="AC5" ca="1">OFFSET(POrigin,MATCH(Valori[[#This Row],[LUKB_id]],PID,0),MATCH("ASK:volume",PLabel,0)-1,1,1)</f>
        <v>0</v>
      </c>
      <c r="AD5" s="1596" cm="1">
        <f t="array" aca="1" ref="AD5" ca="1">OFFSET(POrigin,MATCH(Valori[[#This Row],[LUKB_id]],PID,0),MATCH("BID-ASK Spread %",PLabel,0)-1,1,1)</f>
        <v>1.7479461632582379E-3</v>
      </c>
      <c r="AE5" s="1597" t="str" cm="1">
        <f t="array" aca="1" ref="AE5" ca="1">IF(OFFSET(POrigin,MATCH(Valori[[#This Row],[LUKB_id]],PID,0),MATCH("MATURITY",PLabel,0)-1,1,1)&gt;0,OFFSET(POrigin,MATCH(Valori[[#This Row],[LUKB_id]],PID,0),MATCH("MATURITY",PLabel,0)-1,1,1),"")</f>
        <v/>
      </c>
      <c r="AF5" s="1598" cm="1">
        <f t="array" aca="1" ref="AF5" ca="1">OFFSET(POrigin,MATCH(Valori[[#This Row],[LUKB_id]],PID,0),MATCH("ACCINT",PLabel,0)-1,1,1)</f>
        <v>0</v>
      </c>
      <c r="AG5" s="1594" cm="1">
        <f t="array" aca="1" ref="AG5" ca="1">OFFSET(POrigin,MATCH(Valori[[#This Row],[LUKB_id]],PID,0),MATCH("DENOM",PLabel,0)-1,1,1)</f>
        <v>0</v>
      </c>
      <c r="AH5" s="1599" cm="1">
        <f t="array" aca="1" ref="AH5" ca="1">(OFFSET(POrigin,MATCH(Valori[[#This Row],[LUKB_id]],PID,0),MATCH("YIELD",PLabel,0)-1,1,1)+OFFSET(POrigin,MATCH(Valori[[#This Row],[LUKB_id]],PID,0),MATCH("YLDEQ",PLabel,0)-1,1,1))/100</f>
        <v>0</v>
      </c>
      <c r="AI5" s="1600">
        <f ca="1">OFFSET(POrigin,MATCH(Valori[[#This Row],[LUKB_id]],PID,0),MATCH("DIVIDEND",PLabel,0)-1,1,1)</f>
        <v>0</v>
      </c>
      <c r="AJ5" s="1601">
        <f ca="1">OFFSET(POrigin,MATCH(Valori[[#This Row],[LUKB_id]],PID,0),MATCH("DIVIDEND:datetime",PLabel,0)-1,1,1)</f>
        <v>0</v>
      </c>
      <c r="AK5" s="1602">
        <f ca="1">OFFSET(POrigin,MATCH(Valori[[#This Row],[LUKB_id]],PID,0),MATCH("INTEREST",PLabel,0)-1,1,1)</f>
        <v>0</v>
      </c>
      <c r="AL5" s="1603">
        <f ca="1">OFFSET(POrigin,MATCH(Valori[[#This Row],[LUKB_id]],PID,0),MATCH("4W_PERF_PR",PLabel,0)-1,1,1)/100</f>
        <v>-1.7548477669560231E-4</v>
      </c>
      <c r="AM5" s="1603">
        <f ca="1">OFFSET(POrigin,MATCH(Valori[[#This Row],[LUKB_id]],PID,0),MATCH("12W_PERF_PR",PLabel,0)-1,1,1)/100</f>
        <v>-2.1636472911479254E-2</v>
      </c>
      <c r="AN5" s="1603">
        <f ca="1">OFFSET(POrigin,MATCH(Valori[[#This Row],[LUKB_id]],PID,0),MATCH("YTD_PERF_PR",PLabel,0)-1,1,1)/100</f>
        <v>-8.83193E-3</v>
      </c>
      <c r="AO5" s="1591"/>
      <c r="AP5" s="1591"/>
      <c r="AQ5" s="1591"/>
      <c r="AR5" s="1591"/>
      <c r="AS5" s="1890" t="s">
        <v>877</v>
      </c>
      <c r="AT5" s="1890" t="s">
        <v>877</v>
      </c>
      <c r="AU5" s="610"/>
      <c r="AV5" s="1891" t="s">
        <v>943</v>
      </c>
      <c r="AW5" s="1604" t="str">
        <f ca="1">"https://boersenundmaerkte.lukb.ch/lukb/details/"&amp;Valori[[#This Row],[LUKB_id]]</f>
        <v>https://boersenundmaerkte.lukb.ch/lukb/details/275003,176,1</v>
      </c>
      <c r="AX5"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 s="142"/>
      <c r="AZ5" s="142"/>
      <c r="BA5" s="142"/>
      <c r="BB5" s="142"/>
    </row>
    <row r="6" spans="1:54" ht="15" customHeight="1" x14ac:dyDescent="0.2">
      <c r="A6" s="142" t="s">
        <v>944</v>
      </c>
      <c r="B6" s="142" t="s">
        <v>945</v>
      </c>
      <c r="C6" s="1668" t="str">
        <f>HYPERLINK("https://boersenundmaerkte.lukb.ch/lukb/details/"&amp;Valori[[#This Row],[LUKB_id]],"è")</f>
        <v>è</v>
      </c>
      <c r="D6" s="142" t="str" cm="1">
        <f t="array" aca="1" ref="D6" ca="1">OFFSET(POrigin,MATCH(Valori[[#This Row],[LUKB_id]],PID,0),MATCH("SC_GROUPED",PIntestazioni,0)-1,1,1)</f>
        <v>CUR</v>
      </c>
      <c r="E6" s="413" t="str" cm="1">
        <f t="array" aca="1" ref="E6" ca="1">OFFSET(POrigin,MATCH(Valori[[#This Row],[LUKB_id]],PID,0),MATCH("isin",PIntestazioni,0)-1,1,1)</f>
        <v>XD0009688793</v>
      </c>
      <c r="F6" s="34" t="str" cm="1">
        <f t="array" aca="1" ref="F6" ca="1">OFFSET(POrigin,MATCH(Valori[[#This Row],[LUKB_id]],PID,0),MATCH("NSIN_CH",PLabel,0)-1,1,1)</f>
        <v>968879</v>
      </c>
      <c r="G6" s="95" t="str" cm="1">
        <f t="array" aca="1" ref="G6" ca="1">IF(OFFSET(POrigin,MATCH(Valori[[#This Row],[LUKB_id]],PID,0),MATCH("INSTRUNIT",PLabel,0)-1,1,1)="Nominal","Pct","Unit")</f>
        <v>Unit</v>
      </c>
      <c r="H6" s="612">
        <f ca="1">MAX(OFFSET(POrigin,MATCH(Valori[[#This Row],[LUKB_id]],PID,0),MATCH("PRICINGAMT",PLabel,0)-1,1,1),1)</f>
        <v>1</v>
      </c>
      <c r="I6" s="615" t="str" cm="1">
        <f t="array" aca="1" ref="I6" ca="1">OFFSET(POrigin,MATCH(Valori[[#This Row],[LUKB_id]],PID,0),MATCH("M_NAME",PLabel,0)-1,1,1)</f>
        <v>CAD/EUR</v>
      </c>
      <c r="J6" s="142" t="s">
        <v>942</v>
      </c>
      <c r="M6" s="142" t="str" cm="1">
        <f t="array" aca="1" ref="M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6" s="1563">
        <f ca="1">COUNTIF('CHF M'!smo_id,Valori[[#This Row],[smo_id]])+COUNTIF('CHF MA'!smo_id,Valori[[#This Row],[smo_id]])+COUNTIF('EUR MB'!smo_id,Valori[[#This Row],[smo_id]])+COUNTIF('EUR M'!smo_id,Valori[[#This Row],[smo_id]])+COUNTIF(AGCO!smo_id,Valori[[#This Row],[smo_id]])</f>
        <v>0</v>
      </c>
      <c r="O6" s="1590" cm="1">
        <f t="array" aca="1" ref="O6" ca="1">SUM(IF('CHF M'!smo_id=Valori[[#This Row],[smo_id]],'CHF M'!Posizione))+SUM(IF('CHF MA'!smo_id=Valori[[#This Row],[smo_id]],'CHF MA'!Posizione))+SUM(IF('EUR MB'!smo_id=Valori[[#This Row],[smo_id]],'EUR MB'!Posizione))+SUM(IF('EUR M'!smo_id=Valori[[#This Row],[smo_id]],'EUR M'!Posizione))+SUM(IF(AGCO!smo_id=Valori[[#This Row],[smo_id]],AGCO!Posizione))</f>
        <v>0</v>
      </c>
      <c r="P6" s="1661" t="str">
        <f>HYPERLINK(Valori[[#This Row],[P_Source]],"è")</f>
        <v>è</v>
      </c>
      <c r="Q6" s="1663" t="str">
        <f>HYPERLINK(Valori[[#This Row],[Info_W]],"i")</f>
        <v>i</v>
      </c>
      <c r="R6" s="1664" t="str">
        <f>HYPERLINK(Valori[[#This Row],[FN_W]],"")</f>
        <v></v>
      </c>
      <c r="S6" s="1665" t="str">
        <f>HYPERLINK(Valori[[#This Row],[MS_Link]],"")</f>
        <v></v>
      </c>
      <c r="T6" s="1665" t="str">
        <f>HYPERLINK(Valori[[#This Row],[C_source]],"")</f>
        <v></v>
      </c>
      <c r="U6" s="142" t="str" cm="1">
        <f t="array" aca="1" ref="U6" ca="1">OFFSET(POrigin,MATCH(Valori[[#This Row],[LUKB_id]],PID,0),MATCH("M_CUR",PLabel,0)-1,1,1)</f>
        <v>EUR</v>
      </c>
      <c r="V6" s="1562">
        <f ca="1">(Valori[[#This Row],[Last]]+Valori[[#This Row],[Acc. Int]])/Valori[[#This Row],[Pr.Amt]]/IF(Valori[[#This Row],[P_Type]]="Pct",100,1)</f>
        <v>0.63060101000000002</v>
      </c>
      <c r="W6" s="1591" cm="1">
        <f t="array" aca="1" ref="W6" ca="1">OFFSET(POrigin,MATCH(Valori[[#This Row],[LUKB_id]],PID,0),MATCH("NC2_PR",PLabel,0)-1,1,1)/100</f>
        <v>8.0697599999999987E-3</v>
      </c>
      <c r="X6" s="1592" cm="1">
        <f t="array" aca="1" ref="X6" ca="1">OFFSET(POrigin,MATCH(Valori[[#This Row],[LUKB_id]],PID,0),MATCH("LVAL",PLabel,0)-1,1,1)</f>
        <v>0.63060101000000002</v>
      </c>
      <c r="Y6" s="1593" cm="1">
        <f t="array" aca="1" ref="Y6" ca="1">OFFSET(POrigin,MATCH(Valori[[#This Row],[LUKB_id]],PID,0),MATCH("LVAL:datetime",PLabel,0)-1,1,1)</f>
        <v>46084.796284722222</v>
      </c>
      <c r="Z6" s="1594" cm="1">
        <f t="array" aca="1" ref="Z6" ca="1">OFFSET(POrigin,MATCH(Valori[[#This Row],[LUKB_id]],PID,0),MATCH("BID:volume",PLabel,0)-1,1,1)</f>
        <v>0</v>
      </c>
      <c r="AA6" s="1595" cm="1">
        <f t="array" aca="1" ref="AA6" ca="1">OFFSET(POrigin,MATCH(Valori[[#This Row],[LUKB_id]],PID,0),MATCH("BID",PLabel,0)-1,1,1)</f>
        <v>0.630413</v>
      </c>
      <c r="AB6" s="1595" cm="1">
        <f t="array" aca="1" ref="AB6" ca="1">OFFSET(POrigin,MATCH(Valori[[#This Row],[LUKB_id]],PID,0),MATCH("ASK",PLabel,0)-1,1,1)</f>
        <v>0.63078899999999993</v>
      </c>
      <c r="AC6" s="1594" cm="1">
        <f t="array" aca="1" ref="AC6" ca="1">OFFSET(POrigin,MATCH(Valori[[#This Row],[LUKB_id]],PID,0),MATCH("ASK:volume",PLabel,0)-1,1,1)</f>
        <v>0</v>
      </c>
      <c r="AD6" s="1596" cm="1">
        <f t="array" aca="1" ref="AD6" ca="1">OFFSET(POrigin,MATCH(Valori[[#This Row],[LUKB_id]],PID,0),MATCH("BID-ASK Spread %",PLabel,0)-1,1,1)</f>
        <v>3.9754389767466636E-4</v>
      </c>
      <c r="AE6" s="1597" t="str" cm="1">
        <f t="array" aca="1" ref="AE6" ca="1">IF(OFFSET(POrigin,MATCH(Valori[[#This Row],[LUKB_id]],PID,0),MATCH("MATURITY",PLabel,0)-1,1,1)&gt;0,OFFSET(POrigin,MATCH(Valori[[#This Row],[LUKB_id]],PID,0),MATCH("MATURITY",PLabel,0)-1,1,1),"")</f>
        <v/>
      </c>
      <c r="AF6" s="1598" cm="1">
        <f t="array" aca="1" ref="AF6" ca="1">OFFSET(POrigin,MATCH(Valori[[#This Row],[LUKB_id]],PID,0),MATCH("ACCINT",PLabel,0)-1,1,1)</f>
        <v>0</v>
      </c>
      <c r="AG6" s="1594" cm="1">
        <f t="array" aca="1" ref="AG6" ca="1">OFFSET(POrigin,MATCH(Valori[[#This Row],[LUKB_id]],PID,0),MATCH("DENOM",PLabel,0)-1,1,1)</f>
        <v>0</v>
      </c>
      <c r="AH6" s="1599" cm="1">
        <f t="array" aca="1" ref="AH6" ca="1">(OFFSET(POrigin,MATCH(Valori[[#This Row],[LUKB_id]],PID,0),MATCH("YIELD",PLabel,0)-1,1,1)+OFFSET(POrigin,MATCH(Valori[[#This Row],[LUKB_id]],PID,0),MATCH("YLDEQ",PLabel,0)-1,1,1))/100</f>
        <v>0</v>
      </c>
      <c r="AI6" s="1600">
        <f ca="1">OFFSET(POrigin,MATCH(Valori[[#This Row],[LUKB_id]],PID,0),MATCH("DIVIDEND",PLabel,0)-1,1,1)</f>
        <v>0</v>
      </c>
      <c r="AJ6" s="1601">
        <f ca="1">OFFSET(POrigin,MATCH(Valori[[#This Row],[LUKB_id]],PID,0),MATCH("DIVIDEND:datetime",PLabel,0)-1,1,1)</f>
        <v>0</v>
      </c>
      <c r="AK6" s="1602">
        <f ca="1">OFFSET(POrigin,MATCH(Valori[[#This Row],[LUKB_id]],PID,0),MATCH("INTEREST",PLabel,0)-1,1,1)</f>
        <v>0</v>
      </c>
      <c r="AL6" s="1603">
        <f ca="1">OFFSET(POrigin,MATCH(Valori[[#This Row],[LUKB_id]],PID,0),MATCH("4W_PERF_PR",PLabel,0)-1,1,1)/100</f>
        <v>9.2858539626485305E-3</v>
      </c>
      <c r="AM6" s="1603">
        <f ca="1">OFFSET(POrigin,MATCH(Valori[[#This Row],[LUKB_id]],PID,0),MATCH("12W_PERF_PR",PLabel,0)-1,1,1)/100</f>
        <v>8.6521972559339515E-3</v>
      </c>
      <c r="AN6" s="1603">
        <f ca="1">OFFSET(POrigin,MATCH(Valori[[#This Row],[LUKB_id]],PID,0),MATCH("YTD_PERF_PR",PLabel,0)-1,1,1)/100</f>
        <v>1.6717219999999998E-2</v>
      </c>
      <c r="AO6" s="1591"/>
      <c r="AP6" s="1591"/>
      <c r="AQ6" s="1591"/>
      <c r="AR6" s="1591"/>
      <c r="AS6" s="1890"/>
      <c r="AT6" s="1890"/>
      <c r="AU6" s="610"/>
      <c r="AV6" s="1891"/>
      <c r="AW6" s="1604" t="str">
        <f>"https://boersenundmaerkte.lukb.ch/lukb/details/"&amp;Valori[[#This Row],[LUKB_id]]</f>
        <v>https://boersenundmaerkte.lukb.ch/lukb/details/968879,149,814</v>
      </c>
      <c r="AX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 s="142"/>
      <c r="AZ6" s="142"/>
      <c r="BA6" s="142"/>
      <c r="BB6" s="142"/>
    </row>
    <row r="7" spans="1:54" ht="15" customHeight="1" x14ac:dyDescent="0.2">
      <c r="A7" s="142" t="s">
        <v>719</v>
      </c>
      <c r="B7" s="142" t="str" cm="1">
        <f t="array" aca="1" ref="B7" ca="1">OFFSET(POrigin,MATCH(Valori[[#This Row],[smo_id]],Posizioni[smo_id],0),MATCH("LUKB_id",PIntestazioni,0)-1,1,1)</f>
        <v>35487400,149,1</v>
      </c>
      <c r="C7" s="1668" t="str">
        <f ca="1">HYPERLINK("https://boersenundmaerkte.lukb.ch/lukb/details/"&amp;Valori[[#This Row],[LUKB_id]],"è")</f>
        <v>è</v>
      </c>
      <c r="D7" s="142" t="str" cm="1">
        <f t="array" aca="1" ref="D7" ca="1">OFFSET(POrigin,MATCH(Valori[[#This Row],[LUKB_id]],PID,0),MATCH("SC_GROUPED",PIntestazioni,0)-1,1,1)</f>
        <v>CUR</v>
      </c>
      <c r="E7" s="413" cm="1">
        <f t="array" aca="1" ref="E7" ca="1">OFFSET(POrigin,MATCH(Valori[[#This Row],[LUKB_id]],PID,0),MATCH("isin",PIntestazioni,0)-1,1,1)</f>
        <v>0</v>
      </c>
      <c r="F7" s="34" t="str" cm="1">
        <f t="array" aca="1" ref="F7" ca="1">OFFSET(POrigin,MATCH(Valori[[#This Row],[LUKB_id]],PID,0),MATCH("NSIN_CH",PLabel,0)-1,1,1)</f>
        <v>35487400</v>
      </c>
      <c r="G7" s="95" t="str" cm="1">
        <f t="array" aca="1" ref="G7" ca="1">IF(OFFSET(POrigin,MATCH(Valori[[#This Row],[LUKB_id]],PID,0),MATCH("INSTRUNIT",PLabel,0)-1,1,1)="Nominal","Pct","Unit")</f>
        <v>Unit</v>
      </c>
      <c r="H7" s="612">
        <f ca="1">MAX(OFFSET(POrigin,MATCH(Valori[[#This Row],[LUKB_id]],PID,0),MATCH("PRICINGAMT",PLabel,0)-1,1,1),1)</f>
        <v>1</v>
      </c>
      <c r="I7" s="615" t="str" cm="1">
        <f t="array" aca="1" ref="I7" ca="1">OFFSET(POrigin,MATCH(Valori[[#This Row],[LUKB_id]],PID,0),MATCH("M_NAME",PLabel,0)-1,1,1)</f>
        <v>CHF/CHF</v>
      </c>
      <c r="J7" s="142" t="s">
        <v>391</v>
      </c>
      <c r="M7" s="142" t="str" cm="1">
        <f t="array" aca="1" ref="M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7" s="1563">
        <f ca="1">COUNTIF('CHF M'!smo_id,Valori[[#This Row],[smo_id]])+COUNTIF('CHF MA'!smo_id,Valori[[#This Row],[smo_id]])+COUNTIF('EUR MB'!smo_id,Valori[[#This Row],[smo_id]])+COUNTIF('EUR M'!smo_id,Valori[[#This Row],[smo_id]])+COUNTIF(AGCO!smo_id,Valori[[#This Row],[smo_id]])</f>
        <v>3</v>
      </c>
      <c r="O7" s="1590">
        <v>3016735.1730470029</v>
      </c>
      <c r="P7" s="1661" t="str">
        <f ca="1">HYPERLINK(Valori[[#This Row],[P_Source]],"è")</f>
        <v>è</v>
      </c>
      <c r="Q7" s="1663" t="str">
        <f>HYPERLINK(Valori[[#This Row],[Info_W]],"i")</f>
        <v>i</v>
      </c>
      <c r="R7" s="1664" t="str">
        <f>HYPERLINK(Valori[[#This Row],[FN_W]],"")</f>
        <v></v>
      </c>
      <c r="S7" s="1665" t="str">
        <f>HYPERLINK(Valori[[#This Row],[MS_Link]],"")</f>
        <v></v>
      </c>
      <c r="T7" s="1665" t="str">
        <f>HYPERLINK(Valori[[#This Row],[C_source]],"")</f>
        <v></v>
      </c>
      <c r="U7" s="142" t="str" cm="1">
        <f t="array" aca="1" ref="U7" ca="1">OFFSET(POrigin,MATCH(Valori[[#This Row],[LUKB_id]],PID,0),MATCH("M_CUR",PLabel,0)-1,1,1)</f>
        <v>CHF</v>
      </c>
      <c r="V7" s="1562">
        <f ca="1">(Valori[[#This Row],[Last]]+Valori[[#This Row],[Acc. Int]])/Valori[[#This Row],[Pr.Amt]]/IF(Valori[[#This Row],[P_Type]]="Pct",100,1)</f>
        <v>1.0000001300000001</v>
      </c>
      <c r="W7" s="1591" cm="1">
        <f t="array" aca="1" ref="W7" ca="1">OFFSET(POrigin,MATCH(Valori[[#This Row],[LUKB_id]],PID,0),MATCH("NC2_PR",PLabel,0)-1,1,1)/100</f>
        <v>0</v>
      </c>
      <c r="X7" s="1592" cm="1">
        <f t="array" aca="1" ref="X7" ca="1">OFFSET(POrigin,MATCH(Valori[[#This Row],[LUKB_id]],PID,0),MATCH("LVAL",PLabel,0)-1,1,1)</f>
        <v>1.0000001300000001</v>
      </c>
      <c r="Y7" s="1593" cm="1">
        <f t="array" aca="1" ref="Y7" ca="1">OFFSET(POrigin,MATCH(Valori[[#This Row],[LUKB_id]],PID,0),MATCH("LVAL:datetime",PLabel,0)-1,1,1)</f>
        <v>46084.796284722222</v>
      </c>
      <c r="Z7" s="1594" cm="1">
        <f t="array" aca="1" ref="Z7" ca="1">OFFSET(POrigin,MATCH(Valori[[#This Row],[LUKB_id]],PID,0),MATCH("BID:volume",PLabel,0)-1,1,1)</f>
        <v>0</v>
      </c>
      <c r="AA7" s="1595" cm="1">
        <f t="array" aca="1" ref="AA7" ca="1">OFFSET(POrigin,MATCH(Valori[[#This Row],[LUKB_id]],PID,0),MATCH("BID",PLabel,0)-1,1,1)</f>
        <v>0.99948899999999996</v>
      </c>
      <c r="AB7" s="1595" cm="1">
        <f t="array" aca="1" ref="AB7" ca="1">OFFSET(POrigin,MATCH(Valori[[#This Row],[LUKB_id]],PID,0),MATCH("ASK",PLabel,0)-1,1,1)</f>
        <v>1.0005109999999999</v>
      </c>
      <c r="AC7" s="1594" cm="1">
        <f t="array" aca="1" ref="AC7" ca="1">OFFSET(POrigin,MATCH(Valori[[#This Row],[LUKB_id]],PID,0),MATCH("ASK:volume",PLabel,0)-1,1,1)</f>
        <v>0</v>
      </c>
      <c r="AD7" s="1596" cm="1">
        <f t="array" aca="1" ref="AD7" ca="1">OFFSET(POrigin,MATCH(Valori[[#This Row],[LUKB_id]],PID,0),MATCH("BID-ASK Spread %",PLabel,0)-1,1,1)</f>
        <v>6.8144940688228393E-4</v>
      </c>
      <c r="AE7" s="1597" t="str" cm="1">
        <f t="array" aca="1" ref="AE7" ca="1">IF(OFFSET(POrigin,MATCH(Valori[[#This Row],[LUKB_id]],PID,0),MATCH("MATURITY",PLabel,0)-1,1,1)&gt;0,OFFSET(POrigin,MATCH(Valori[[#This Row],[LUKB_id]],PID,0),MATCH("MATURITY",PLabel,0)-1,1,1),"")</f>
        <v/>
      </c>
      <c r="AF7" s="1598" cm="1">
        <f t="array" aca="1" ref="AF7" ca="1">OFFSET(POrigin,MATCH(Valori[[#This Row],[LUKB_id]],PID,0),MATCH("ACCINT",PLabel,0)-1,1,1)</f>
        <v>0</v>
      </c>
      <c r="AG7" s="1594" cm="1">
        <f t="array" aca="1" ref="AG7" ca="1">OFFSET(POrigin,MATCH(Valori[[#This Row],[LUKB_id]],PID,0),MATCH("DENOM",PLabel,0)-1,1,1)</f>
        <v>0</v>
      </c>
      <c r="AH7" s="1599" cm="1">
        <f t="array" aca="1" ref="AH7" ca="1">(OFFSET(POrigin,MATCH(Valori[[#This Row],[LUKB_id]],PID,0),MATCH("YIELD",PLabel,0)-1,1,1)+OFFSET(POrigin,MATCH(Valori[[#This Row],[LUKB_id]],PID,0),MATCH("YLDEQ",PLabel,0)-1,1,1))/100</f>
        <v>0</v>
      </c>
      <c r="AI7" s="1600">
        <f ca="1">OFFSET(POrigin,MATCH(Valori[[#This Row],[LUKB_id]],PID,0),MATCH("DIVIDEND",PLabel,0)-1,1,1)</f>
        <v>0</v>
      </c>
      <c r="AJ7" s="1601">
        <f ca="1">OFFSET(POrigin,MATCH(Valori[[#This Row],[LUKB_id]],PID,0),MATCH("DIVIDEND:datetime",PLabel,0)-1,1,1)</f>
        <v>0</v>
      </c>
      <c r="AK7" s="1602">
        <f ca="1">OFFSET(POrigin,MATCH(Valori[[#This Row],[LUKB_id]],PID,0),MATCH("INTEREST",PLabel,0)-1,1,1)</f>
        <v>0</v>
      </c>
      <c r="AL7" s="1603">
        <f ca="1">OFFSET(POrigin,MATCH(Valori[[#This Row],[LUKB_id]],PID,0),MATCH("4W_PERF_PR",PLabel,0)-1,1,1)/100</f>
        <v>0</v>
      </c>
      <c r="AM7" s="1603">
        <f ca="1">OFFSET(POrigin,MATCH(Valori[[#This Row],[LUKB_id]],PID,0),MATCH("12W_PERF_PR",PLabel,0)-1,1,1)/100</f>
        <v>0</v>
      </c>
      <c r="AN7" s="1603">
        <f ca="1">OFFSET(POrigin,MATCH(Valori[[#This Row],[LUKB_id]],PID,0),MATCH("YTD_PERF_PR",PLabel,0)-1,1,1)/100</f>
        <v>0</v>
      </c>
      <c r="AO7" s="1591"/>
      <c r="AP7" s="1591"/>
      <c r="AQ7" s="1591"/>
      <c r="AR7" s="1591"/>
      <c r="AS7" s="1890" t="s">
        <v>877</v>
      </c>
      <c r="AT7" s="1890" t="s">
        <v>877</v>
      </c>
      <c r="AU7" s="610"/>
      <c r="AV7" s="1891"/>
      <c r="AW7" s="1604" t="str">
        <f ca="1">"https://boersenundmaerkte.lukb.ch/lukb/details/"&amp;Valori[[#This Row],[LUKB_id]]</f>
        <v>https://boersenundmaerkte.lukb.ch/lukb/details/35487400,149,1</v>
      </c>
      <c r="AX7"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 s="142"/>
      <c r="AZ7" s="142"/>
      <c r="BA7" s="142"/>
      <c r="BB7" s="142"/>
    </row>
    <row r="8" spans="1:54" ht="15" customHeight="1" x14ac:dyDescent="0.2">
      <c r="A8" s="142" t="s">
        <v>833</v>
      </c>
      <c r="B8" s="142" t="s">
        <v>946</v>
      </c>
      <c r="C8" s="1668" t="str">
        <f>HYPERLINK("https://boersenundmaerkte.lukb.ch/lukb/details/"&amp;Valori[[#This Row],[LUKB_id]],"è")</f>
        <v>è</v>
      </c>
      <c r="D8" s="142" t="str" cm="1">
        <f t="array" aca="1" ref="D8" ca="1">OFFSET(POrigin,MATCH(Valori[[#This Row],[LUKB_id]],PID,0),MATCH("SC_GROUPED",PIntestazioni,0)-1,1,1)</f>
        <v>CUR</v>
      </c>
      <c r="E8" s="413" t="str" cm="1">
        <f t="array" aca="1" ref="E8" ca="1">OFFSET(POrigin,MATCH(Valori[[#This Row],[LUKB_id]],PID,0),MATCH("isin",PIntestazioni,0)-1,1,1)</f>
        <v>CH0009688802</v>
      </c>
      <c r="F8" s="34" t="str" cm="1">
        <f t="array" aca="1" ref="F8" ca="1">OFFSET(POrigin,MATCH(Valori[[#This Row],[LUKB_id]],PID,0),MATCH("NSIN_CH",PLabel,0)-1,1,1)</f>
        <v>968880</v>
      </c>
      <c r="G8" s="95" t="str" cm="1">
        <f t="array" aca="1" ref="G8" ca="1">IF(OFFSET(POrigin,MATCH(Valori[[#This Row],[LUKB_id]],PID,0),MATCH("INSTRUNIT",PLabel,0)-1,1,1)="Nominal","Pct","Unit")</f>
        <v>Unit</v>
      </c>
      <c r="H8" s="612">
        <f ca="1">MAX(OFFSET(POrigin,MATCH(Valori[[#This Row],[LUKB_id]],PID,0),MATCH("PRICINGAMT",PLabel,0)-1,1,1),1)</f>
        <v>1</v>
      </c>
      <c r="I8" s="615" t="str" cm="1">
        <f t="array" aca="1" ref="I8" ca="1">OFFSET(POrigin,MATCH(Valori[[#This Row],[LUKB_id]],PID,0),MATCH("M_NAME",PLabel,0)-1,1,1)</f>
        <v>CHF/EUR</v>
      </c>
      <c r="J8" s="142" t="s">
        <v>391</v>
      </c>
      <c r="M8" s="142" t="str" cm="1">
        <f t="array" aca="1" ref="M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8" s="1563">
        <f ca="1">COUNTIF('CHF M'!smo_id,Valori[[#This Row],[smo_id]])+COUNTIF('CHF MA'!smo_id,Valori[[#This Row],[smo_id]])+COUNTIF('EUR MB'!smo_id,Valori[[#This Row],[smo_id]])+COUNTIF('EUR M'!smo_id,Valori[[#This Row],[smo_id]])+COUNTIF(AGCO!smo_id,Valori[[#This Row],[smo_id]])</f>
        <v>2</v>
      </c>
      <c r="O8" s="1590">
        <v>67525.410330000042</v>
      </c>
      <c r="P8" s="1661" t="str">
        <f>HYPERLINK(Valori[[#This Row],[P_Source]],"è")</f>
        <v>è</v>
      </c>
      <c r="Q8" s="1663" t="str">
        <f>HYPERLINK(Valori[[#This Row],[Info_W]],"i")</f>
        <v>i</v>
      </c>
      <c r="R8" s="1664" t="str">
        <f>HYPERLINK(Valori[[#This Row],[FN_W]],"")</f>
        <v></v>
      </c>
      <c r="S8" s="1665" t="str">
        <f>HYPERLINK(Valori[[#This Row],[MS_Link]],"")</f>
        <v></v>
      </c>
      <c r="T8" s="1665" t="str">
        <f>HYPERLINK(Valori[[#This Row],[C_source]],"")</f>
        <v></v>
      </c>
      <c r="U8" s="142" t="str" cm="1">
        <f t="array" aca="1" ref="U8" ca="1">OFFSET(POrigin,MATCH(Valori[[#This Row],[LUKB_id]],PID,0),MATCH("M_CUR",PLabel,0)-1,1,1)</f>
        <v>EUR</v>
      </c>
      <c r="V8" s="1562">
        <f ca="1">(Valori[[#This Row],[Last]]+Valori[[#This Row],[Acc. Int]])/Valori[[#This Row],[Pr.Amt]]/IF(Valori[[#This Row],[P_Type]]="Pct",100,1)</f>
        <v>1.10173835</v>
      </c>
      <c r="W8" s="1591" cm="1">
        <f t="array" aca="1" ref="W8" ca="1">OFFSET(POrigin,MATCH(Valori[[#This Row],[LUKB_id]],PID,0),MATCH("NC2_PR",PLabel,0)-1,1,1)/100</f>
        <v>3.3595599999999997E-3</v>
      </c>
      <c r="X8" s="1592" cm="1">
        <f t="array" aca="1" ref="X8" ca="1">OFFSET(POrigin,MATCH(Valori[[#This Row],[LUKB_id]],PID,0),MATCH("LVAL",PLabel,0)-1,1,1)</f>
        <v>1.10173835</v>
      </c>
      <c r="Y8" s="1593" cm="1">
        <f t="array" aca="1" ref="Y8" ca="1">OFFSET(POrigin,MATCH(Valori[[#This Row],[LUKB_id]],PID,0),MATCH("LVAL:datetime",PLabel,0)-1,1,1)</f>
        <v>46084.796284722222</v>
      </c>
      <c r="Z8" s="1594" cm="1">
        <f t="array" aca="1" ref="Z8" ca="1">OFFSET(POrigin,MATCH(Valori[[#This Row],[LUKB_id]],PID,0),MATCH("BID:volume",PLabel,0)-1,1,1)</f>
        <v>0</v>
      </c>
      <c r="AA8" s="1595" cm="1">
        <f t="array" aca="1" ref="AA8" ca="1">OFFSET(POrigin,MATCH(Valori[[#This Row],[LUKB_id]],PID,0),MATCH("BID",PLabel,0)-1,1,1)</f>
        <v>1.101329</v>
      </c>
      <c r="AB8" s="1595" cm="1">
        <f t="array" aca="1" ref="AB8" ca="1">OFFSET(POrigin,MATCH(Valori[[#This Row],[LUKB_id]],PID,0),MATCH("ASK",PLabel,0)-1,1,1)</f>
        <v>1.1021479999999999</v>
      </c>
      <c r="AC8" s="1594" cm="1">
        <f t="array" aca="1" ref="AC8" ca="1">OFFSET(POrigin,MATCH(Valori[[#This Row],[LUKB_id]],PID,0),MATCH("ASK:volume",PLabel,0)-1,1,1)</f>
        <v>0</v>
      </c>
      <c r="AD8" s="1596" cm="1">
        <f t="array" aca="1" ref="AD8" ca="1">OFFSET(POrigin,MATCH(Valori[[#This Row],[LUKB_id]],PID,0),MATCH("BID-ASK Spread %",PLabel,0)-1,1,1)</f>
        <v>4.9564180166696806E-4</v>
      </c>
      <c r="AE8" s="1597" t="str" cm="1">
        <f t="array" aca="1" ref="AE8" ca="1">IF(OFFSET(POrigin,MATCH(Valori[[#This Row],[LUKB_id]],PID,0),MATCH("MATURITY",PLabel,0)-1,1,1)&gt;0,OFFSET(POrigin,MATCH(Valori[[#This Row],[LUKB_id]],PID,0),MATCH("MATURITY",PLabel,0)-1,1,1),"")</f>
        <v/>
      </c>
      <c r="AF8" s="1598" cm="1">
        <f t="array" aca="1" ref="AF8" ca="1">OFFSET(POrigin,MATCH(Valori[[#This Row],[LUKB_id]],PID,0),MATCH("ACCINT",PLabel,0)-1,1,1)</f>
        <v>0</v>
      </c>
      <c r="AG8" s="1594" cm="1">
        <f t="array" aca="1" ref="AG8" ca="1">OFFSET(POrigin,MATCH(Valori[[#This Row],[LUKB_id]],PID,0),MATCH("DENOM",PLabel,0)-1,1,1)</f>
        <v>0</v>
      </c>
      <c r="AH8" s="1599" cm="1">
        <f t="array" aca="1" ref="AH8" ca="1">(OFFSET(POrigin,MATCH(Valori[[#This Row],[LUKB_id]],PID,0),MATCH("YIELD",PLabel,0)-1,1,1)+OFFSET(POrigin,MATCH(Valori[[#This Row],[LUKB_id]],PID,0),MATCH("YLDEQ",PLabel,0)-1,1,1))/100</f>
        <v>0</v>
      </c>
      <c r="AI8" s="1600">
        <f ca="1">OFFSET(POrigin,MATCH(Valori[[#This Row],[LUKB_id]],PID,0),MATCH("DIVIDEND",PLabel,0)-1,1,1)</f>
        <v>0</v>
      </c>
      <c r="AJ8" s="1601">
        <f ca="1">OFFSET(POrigin,MATCH(Valori[[#This Row],[LUKB_id]],PID,0),MATCH("DIVIDEND:datetime",PLabel,0)-1,1,1)</f>
        <v>0</v>
      </c>
      <c r="AK8" s="1602">
        <f ca="1">OFFSET(POrigin,MATCH(Valori[[#This Row],[LUKB_id]],PID,0),MATCH("INTEREST",PLabel,0)-1,1,1)</f>
        <v>0</v>
      </c>
      <c r="AL8" s="1603">
        <f ca="1">OFFSET(POrigin,MATCH(Valori[[#This Row],[LUKB_id]],PID,0),MATCH("4W_PERF_PR",PLabel,0)-1,1,1)/100</f>
        <v>9.4906515809089452E-3</v>
      </c>
      <c r="AM8" s="1603">
        <f ca="1">OFFSET(POrigin,MATCH(Valori[[#This Row],[LUKB_id]],PID,0),MATCH("12W_PERF_PR",PLabel,0)-1,1,1)/100</f>
        <v>3.1090390360869125E-2</v>
      </c>
      <c r="AN8" s="1603">
        <f ca="1">OFFSET(POrigin,MATCH(Valori[[#This Row],[LUKB_id]],PID,0),MATCH("YTD_PERF_PR",PLabel,0)-1,1,1)/100</f>
        <v>2.576968E-2</v>
      </c>
      <c r="AO8" s="1591"/>
      <c r="AP8" s="1591"/>
      <c r="AQ8" s="1591"/>
      <c r="AR8" s="1591"/>
      <c r="AS8" s="1890"/>
      <c r="AT8" s="1890"/>
      <c r="AU8" s="610"/>
      <c r="AV8" s="1891"/>
      <c r="AW8" s="1604" t="str">
        <f>"https://boersenundmaerkte.lukb.ch/lukb/details/"&amp;Valori[[#This Row],[LUKB_id]]</f>
        <v>https://boersenundmaerkte.lukb.ch/lukb/details/968880,149,814</v>
      </c>
      <c r="AX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 s="142"/>
      <c r="AZ8" s="142"/>
      <c r="BA8" s="142"/>
      <c r="BB8" s="142"/>
    </row>
    <row r="9" spans="1:54" ht="15" customHeight="1" x14ac:dyDescent="0.2">
      <c r="A9" s="142" t="s">
        <v>947</v>
      </c>
      <c r="B9" s="142" t="str" cm="1">
        <f t="array" aca="1" ref="B9" ca="1">OFFSET(POrigin,MATCH(Valori[[#This Row],[smo_id]],Posizioni[smo_id],0),MATCH("LUKB_id",PIntestazioni,0)-1,1,1)</f>
        <v>506040,149,1</v>
      </c>
      <c r="C9" s="1668" t="str">
        <f ca="1">HYPERLINK("https://boersenundmaerkte.lukb.ch/lukb/details/"&amp;Valori[[#This Row],[LUKB_id]],"è")</f>
        <v>è</v>
      </c>
      <c r="D9" s="142" t="str" cm="1">
        <f t="array" aca="1" ref="D9" ca="1">OFFSET(POrigin,MATCH(Valori[[#This Row],[LUKB_id]],PID,0),MATCH("SC_GROUPED",PIntestazioni,0)-1,1,1)</f>
        <v>CUR</v>
      </c>
      <c r="E9" s="413" t="str" cm="1">
        <f t="array" aca="1" ref="E9" ca="1">OFFSET(POrigin,MATCH(Valori[[#This Row],[LUKB_id]],PID,0),MATCH("isin",PIntestazioni,0)-1,1,1)</f>
        <v>XD0005060401</v>
      </c>
      <c r="F9" s="34" t="str" cm="1">
        <f t="array" aca="1" ref="F9" ca="1">OFFSET(POrigin,MATCH(Valori[[#This Row],[LUKB_id]],PID,0),MATCH("NSIN_CH",PLabel,0)-1,1,1)</f>
        <v>506040</v>
      </c>
      <c r="G9" s="95" t="str" cm="1">
        <f t="array" aca="1" ref="G9" ca="1">IF(OFFSET(POrigin,MATCH(Valori[[#This Row],[LUKB_id]],PID,0),MATCH("INSTRUNIT",PLabel,0)-1,1,1)="Nominal","Pct","Unit")</f>
        <v>Unit</v>
      </c>
      <c r="H9" s="612">
        <f ca="1">MAX(OFFSET(POrigin,MATCH(Valori[[#This Row],[LUKB_id]],PID,0),MATCH("PRICINGAMT",PLabel,0)-1,1,1),1)</f>
        <v>1</v>
      </c>
      <c r="I9" s="615" t="str" cm="1">
        <f t="array" aca="1" ref="I9" ca="1">OFFSET(POrigin,MATCH(Valori[[#This Row],[LUKB_id]],PID,0),MATCH("M_NAME",PLabel,0)-1,1,1)</f>
        <v>CNY/CHF</v>
      </c>
      <c r="J9" s="142" t="s">
        <v>948</v>
      </c>
      <c r="M9" s="142" t="str" cm="1">
        <f t="array" aca="1" ref="M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CNY</v>
      </c>
      <c r="N9" s="1563">
        <f ca="1">COUNTIF('CHF M'!smo_id,Valori[[#This Row],[smo_id]])+COUNTIF('CHF MA'!smo_id,Valori[[#This Row],[smo_id]])+COUNTIF('EUR MB'!smo_id,Valori[[#This Row],[smo_id]])+COUNTIF('EUR M'!smo_id,Valori[[#This Row],[smo_id]])+COUNTIF(AGCO!smo_id,Valori[[#This Row],[smo_id]])</f>
        <v>0</v>
      </c>
      <c r="O9" s="1590" cm="1">
        <f t="array" aca="1" ref="O9" ca="1">SUM(IF('CHF M'!smo_id=Valori[[#This Row],[smo_id]],'CHF M'!Posizione))+SUM(IF('CHF MA'!smo_id=Valori[[#This Row],[smo_id]],'CHF MA'!Posizione))+SUM(IF('EUR MB'!smo_id=Valori[[#This Row],[smo_id]],'EUR MB'!Posizione))+SUM(IF('EUR M'!smo_id=Valori[[#This Row],[smo_id]],'EUR M'!Posizione))+SUM(IF(AGCO!smo_id=Valori[[#This Row],[smo_id]],AGCO!Posizione))</f>
        <v>0</v>
      </c>
      <c r="P9" s="1661" t="str">
        <f ca="1">HYPERLINK(Valori[[#This Row],[P_Source]],"è")</f>
        <v>è</v>
      </c>
      <c r="Q9" s="1663" t="str">
        <f>HYPERLINK(Valori[[#This Row],[Info_W]],"i")</f>
        <v>i</v>
      </c>
      <c r="R9" s="1664" t="str">
        <f>HYPERLINK(Valori[[#This Row],[FN_W]],"")</f>
        <v></v>
      </c>
      <c r="S9" s="1665" t="str">
        <f>HYPERLINK(Valori[[#This Row],[MS_Link]],"")</f>
        <v></v>
      </c>
      <c r="T9" s="1665" t="str">
        <f>HYPERLINK(Valori[[#This Row],[C_source]],"")</f>
        <v></v>
      </c>
      <c r="U9" s="142" t="str" cm="1">
        <f t="array" aca="1" ref="U9" ca="1">OFFSET(POrigin,MATCH(Valori[[#This Row],[LUKB_id]],PID,0),MATCH("M_CUR",PLabel,0)-1,1,1)</f>
        <v>CHF</v>
      </c>
      <c r="V9" s="1562">
        <f ca="1">(Valori[[#This Row],[Last]]+Valori[[#This Row],[Acc. Int]])/Valori[[#This Row],[Pr.Amt]]/IF(Valori[[#This Row],[P_Type]]="Pct",100,1)</f>
        <v>0.11338803</v>
      </c>
      <c r="W9" s="1591" cm="1">
        <f t="array" aca="1" ref="W9" ca="1">OFFSET(POrigin,MATCH(Valori[[#This Row],[LUKB_id]],PID,0),MATCH("NC2_PR",PLabel,0)-1,1,1)/100</f>
        <v>1.5311599999999999E-3</v>
      </c>
      <c r="X9" s="1592" cm="1">
        <f t="array" aca="1" ref="X9" ca="1">OFFSET(POrigin,MATCH(Valori[[#This Row],[LUKB_id]],PID,0),MATCH("LVAL",PLabel,0)-1,1,1)</f>
        <v>0.11338803</v>
      </c>
      <c r="Y9" s="1593" cm="1">
        <f t="array" aca="1" ref="Y9" ca="1">OFFSET(POrigin,MATCH(Valori[[#This Row],[LUKB_id]],PID,0),MATCH("LVAL:datetime",PLabel,0)-1,1,1)</f>
        <v>46084.796284722222</v>
      </c>
      <c r="Z9" s="1594" cm="1">
        <f t="array" aca="1" ref="Z9" ca="1">OFFSET(POrigin,MATCH(Valori[[#This Row],[LUKB_id]],PID,0),MATCH("BID:volume",PLabel,0)-1,1,1)</f>
        <v>0</v>
      </c>
      <c r="AA9" s="1595" cm="1">
        <f t="array" aca="1" ref="AA9" ca="1">OFFSET(POrigin,MATCH(Valori[[#This Row],[LUKB_id]],PID,0),MATCH("BID",PLabel,0)-1,1,1)</f>
        <v>0.113343</v>
      </c>
      <c r="AB9" s="1595" cm="1">
        <f t="array" aca="1" ref="AB9" ca="1">OFFSET(POrigin,MATCH(Valori[[#This Row],[LUKB_id]],PID,0),MATCH("ASK",PLabel,0)-1,1,1)</f>
        <v>0.11343299999999999</v>
      </c>
      <c r="AC9" s="1594" cm="1">
        <f t="array" aca="1" ref="AC9" ca="1">OFFSET(POrigin,MATCH(Valori[[#This Row],[LUKB_id]],PID,0),MATCH("ASK:volume",PLabel,0)-1,1,1)</f>
        <v>0</v>
      </c>
      <c r="AD9" s="1596" cm="1">
        <f t="array" aca="1" ref="AD9" ca="1">OFFSET(POrigin,MATCH(Valori[[#This Row],[LUKB_id]],PID,0),MATCH("BID-ASK Spread %",PLabel,0)-1,1,1)</f>
        <v>5.2922653541844389E-4</v>
      </c>
      <c r="AE9" s="1597" t="str" cm="1">
        <f t="array" aca="1" ref="AE9" ca="1">IF(OFFSET(POrigin,MATCH(Valori[[#This Row],[LUKB_id]],PID,0),MATCH("MATURITY",PLabel,0)-1,1,1)&gt;0,OFFSET(POrigin,MATCH(Valori[[#This Row],[LUKB_id]],PID,0),MATCH("MATURITY",PLabel,0)-1,1,1),"")</f>
        <v/>
      </c>
      <c r="AF9" s="1598" cm="1">
        <f t="array" aca="1" ref="AF9" ca="1">OFFSET(POrigin,MATCH(Valori[[#This Row],[LUKB_id]],PID,0),MATCH("ACCINT",PLabel,0)-1,1,1)</f>
        <v>0</v>
      </c>
      <c r="AG9" s="1594" cm="1">
        <f t="array" aca="1" ref="AG9" ca="1">OFFSET(POrigin,MATCH(Valori[[#This Row],[LUKB_id]],PID,0),MATCH("DENOM",PLabel,0)-1,1,1)</f>
        <v>0</v>
      </c>
      <c r="AH9" s="1599" cm="1">
        <f t="array" aca="1" ref="AH9" ca="1">(OFFSET(POrigin,MATCH(Valori[[#This Row],[LUKB_id]],PID,0),MATCH("YIELD",PLabel,0)-1,1,1)+OFFSET(POrigin,MATCH(Valori[[#This Row],[LUKB_id]],PID,0),MATCH("YLDEQ",PLabel,0)-1,1,1))/100</f>
        <v>0</v>
      </c>
      <c r="AI9" s="1600">
        <f ca="1">OFFSET(POrigin,MATCH(Valori[[#This Row],[LUKB_id]],PID,0),MATCH("DIVIDEND",PLabel,0)-1,1,1)</f>
        <v>0</v>
      </c>
      <c r="AJ9" s="1601">
        <f ca="1">OFFSET(POrigin,MATCH(Valori[[#This Row],[LUKB_id]],PID,0),MATCH("DIVIDEND:datetime",PLabel,0)-1,1,1)</f>
        <v>0</v>
      </c>
      <c r="AK9" s="1602">
        <f ca="1">OFFSET(POrigin,MATCH(Valori[[#This Row],[LUKB_id]],PID,0),MATCH("INTEREST",PLabel,0)-1,1,1)</f>
        <v>0</v>
      </c>
      <c r="AL9" s="1603">
        <f ca="1">OFFSET(POrigin,MATCH(Valori[[#This Row],[LUKB_id]],PID,0),MATCH("4W_PERF_PR",PLabel,0)-1,1,1)/100</f>
        <v>8.6517197687386894E-3</v>
      </c>
      <c r="AM9" s="1603">
        <f ca="1">OFFSET(POrigin,MATCH(Valori[[#This Row],[LUKB_id]],PID,0),MATCH("12W_PERF_PR",PLabel,0)-1,1,1)/100</f>
        <v>-7.7826379218020551E-3</v>
      </c>
      <c r="AN9" s="1603">
        <f ca="1">OFFSET(POrigin,MATCH(Valori[[#This Row],[LUKB_id]],PID,0),MATCH("YTD_PERF_PR",PLabel,0)-1,1,1)/100</f>
        <v>5.0692000000000001E-4</v>
      </c>
      <c r="AO9" s="1591"/>
      <c r="AP9" s="1591"/>
      <c r="AQ9" s="1591"/>
      <c r="AR9" s="1591"/>
      <c r="AS9" s="1890" t="s">
        <v>877</v>
      </c>
      <c r="AT9" s="1890" t="s">
        <v>877</v>
      </c>
      <c r="AU9" s="610"/>
      <c r="AV9" s="1891" t="s">
        <v>949</v>
      </c>
      <c r="AW9" s="1604" t="str">
        <f ca="1">"https://boersenundmaerkte.lukb.ch/lukb/details/"&amp;Valori[[#This Row],[LUKB_id]]</f>
        <v>https://boersenundmaerkte.lukb.ch/lukb/details/506040,149,1</v>
      </c>
      <c r="AX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 s="142"/>
      <c r="AZ9" s="142"/>
      <c r="BA9" s="142"/>
      <c r="BB9" s="142"/>
    </row>
    <row r="10" spans="1:54" ht="15" customHeight="1" x14ac:dyDescent="0.2">
      <c r="A10" s="142" t="s">
        <v>832</v>
      </c>
      <c r="B10" s="142" t="s">
        <v>950</v>
      </c>
      <c r="C10" s="1668" t="str">
        <f>HYPERLINK("https://boersenundmaerkte.lukb.ch/lukb/details/"&amp;Valori[[#This Row],[LUKB_id]],"è")</f>
        <v>è</v>
      </c>
      <c r="D10" s="142" t="str" cm="1">
        <f t="array" aca="1" ref="D10" ca="1">OFFSET(POrigin,MATCH(Valori[[#This Row],[LUKB_id]],PID,0),MATCH("SC_GROUPED",PIntestazioni,0)-1,1,1)</f>
        <v>CUR</v>
      </c>
      <c r="E10" s="413" cm="1">
        <f t="array" aca="1" ref="E10" ca="1">OFFSET(POrigin,MATCH(Valori[[#This Row],[LUKB_id]],PID,0),MATCH("isin",PIntestazioni,0)-1,1,1)</f>
        <v>0</v>
      </c>
      <c r="F10" s="34" t="str" cm="1">
        <f t="array" aca="1" ref="F10" ca="1">OFFSET(POrigin,MATCH(Valori[[#This Row],[LUKB_id]],PID,0),MATCH("NSIN_CH",PLabel,0)-1,1,1)</f>
        <v>990879</v>
      </c>
      <c r="G10" s="95" t="str" cm="1">
        <f t="array" aca="1" ref="G10" ca="1">IF(OFFSET(POrigin,MATCH(Valori[[#This Row],[LUKB_id]],PID,0),MATCH("INSTRUNIT",PLabel,0)-1,1,1)="Nominal","Pct","Unit")</f>
        <v>Unit</v>
      </c>
      <c r="H10" s="612">
        <f ca="1">MAX(OFFSET(POrigin,MATCH(Valori[[#This Row],[LUKB_id]],PID,0),MATCH("PRICINGAMT",PLabel,0)-1,1,1),1)</f>
        <v>1</v>
      </c>
      <c r="I10" s="615" t="str" cm="1">
        <f t="array" aca="1" ref="I10" ca="1">OFFSET(POrigin,MATCH(Valori[[#This Row],[LUKB_id]],PID,0),MATCH("M_NAME",PLabel,0)-1,1,1)</f>
        <v>EUR/EUR</v>
      </c>
      <c r="J10" s="142" t="s">
        <v>427</v>
      </c>
      <c r="M10" s="142" t="str" cm="1">
        <f t="array" aca="1" ref="M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0" s="1563">
        <f ca="1">COUNTIF('CHF M'!smo_id,Valori[[#This Row],[smo_id]])+COUNTIF('CHF MA'!smo_id,Valori[[#This Row],[smo_id]])+COUNTIF('EUR MB'!smo_id,Valori[[#This Row],[smo_id]])+COUNTIF('EUR M'!smo_id,Valori[[#This Row],[smo_id]])+COUNTIF(AGCO!smo_id,Valori[[#This Row],[smo_id]])</f>
        <v>2</v>
      </c>
      <c r="O10" s="1590">
        <v>106599.20997659999</v>
      </c>
      <c r="P10" s="1661" t="str">
        <f>HYPERLINK(Valori[[#This Row],[P_Source]],"è")</f>
        <v>è</v>
      </c>
      <c r="Q10" s="1663" t="str">
        <f>HYPERLINK(Valori[[#This Row],[Info_W]],"i")</f>
        <v>i</v>
      </c>
      <c r="R10" s="1664" t="str">
        <f>HYPERLINK(Valori[[#This Row],[FN_W]],"")</f>
        <v></v>
      </c>
      <c r="S10" s="1665" t="str">
        <f>HYPERLINK(Valori[[#This Row],[MS_Link]],"")</f>
        <v></v>
      </c>
      <c r="T10" s="1665" t="str">
        <f>HYPERLINK(Valori[[#This Row],[C_source]],"")</f>
        <v></v>
      </c>
      <c r="U10" s="142" t="str" cm="1">
        <f t="array" aca="1" ref="U10" ca="1">OFFSET(POrigin,MATCH(Valori[[#This Row],[LUKB_id]],PID,0),MATCH("M_CUR",PLabel,0)-1,1,1)</f>
        <v>EUR</v>
      </c>
      <c r="V10" s="1562">
        <f ca="1">(Valori[[#This Row],[Last]]+Valori[[#This Row],[Acc. Int]])/Valori[[#This Row],[Pr.Amt]]/IF(Valori[[#This Row],[P_Type]]="Pct",100,1)</f>
        <v>1</v>
      </c>
      <c r="W10" s="1591" cm="1">
        <f t="array" aca="1" ref="W10" ca="1">OFFSET(POrigin,MATCH(Valori[[#This Row],[LUKB_id]],PID,0),MATCH("NC2_PR",PLabel,0)-1,1,1)/100</f>
        <v>0</v>
      </c>
      <c r="X10" s="1592" cm="1">
        <f t="array" aca="1" ref="X10" ca="1">OFFSET(POrigin,MATCH(Valori[[#This Row],[LUKB_id]],PID,0),MATCH("LVAL",PLabel,0)-1,1,1)</f>
        <v>1</v>
      </c>
      <c r="Y10" s="1593" cm="1">
        <f t="array" aca="1" ref="Y10" ca="1">OFFSET(POrigin,MATCH(Valori[[#This Row],[LUKB_id]],PID,0),MATCH("LVAL:datetime",PLabel,0)-1,1,1)</f>
        <v>45085.927268518521</v>
      </c>
      <c r="Z10" s="1594" cm="1">
        <f t="array" aca="1" ref="Z10" ca="1">OFFSET(POrigin,MATCH(Valori[[#This Row],[LUKB_id]],PID,0),MATCH("BID:volume",PLabel,0)-1,1,1)</f>
        <v>0</v>
      </c>
      <c r="AA10" s="1595" cm="1">
        <f t="array" aca="1" ref="AA10" ca="1">OFFSET(POrigin,MATCH(Valori[[#This Row],[LUKB_id]],PID,0),MATCH("BID",PLabel,0)-1,1,1)</f>
        <v>0</v>
      </c>
      <c r="AB10" s="1595" cm="1">
        <f t="array" aca="1" ref="AB10" ca="1">OFFSET(POrigin,MATCH(Valori[[#This Row],[LUKB_id]],PID,0),MATCH("ASK",PLabel,0)-1,1,1)</f>
        <v>0</v>
      </c>
      <c r="AC10" s="1594" cm="1">
        <f t="array" aca="1" ref="AC10" ca="1">OFFSET(POrigin,MATCH(Valori[[#This Row],[LUKB_id]],PID,0),MATCH("ASK:volume",PLabel,0)-1,1,1)</f>
        <v>0</v>
      </c>
      <c r="AD10" s="1596" cm="1">
        <f t="array" aca="1" ref="AD10" ca="1">OFFSET(POrigin,MATCH(Valori[[#This Row],[LUKB_id]],PID,0),MATCH("BID-ASK Spread %",PLabel,0)-1,1,1)</f>
        <v>0</v>
      </c>
      <c r="AE10" s="1597" t="str" cm="1">
        <f t="array" aca="1" ref="AE10" ca="1">IF(OFFSET(POrigin,MATCH(Valori[[#This Row],[LUKB_id]],PID,0),MATCH("MATURITY",PLabel,0)-1,1,1)&gt;0,OFFSET(POrigin,MATCH(Valori[[#This Row],[LUKB_id]],PID,0),MATCH("MATURITY",PLabel,0)-1,1,1),"")</f>
        <v/>
      </c>
      <c r="AF10" s="1598" cm="1">
        <f t="array" aca="1" ref="AF10" ca="1">OFFSET(POrigin,MATCH(Valori[[#This Row],[LUKB_id]],PID,0),MATCH("ACCINT",PLabel,0)-1,1,1)</f>
        <v>0</v>
      </c>
      <c r="AG10" s="1594" cm="1">
        <f t="array" aca="1" ref="AG10" ca="1">OFFSET(POrigin,MATCH(Valori[[#This Row],[LUKB_id]],PID,0),MATCH("DENOM",PLabel,0)-1,1,1)</f>
        <v>0</v>
      </c>
      <c r="AH10" s="1599" cm="1">
        <f t="array" aca="1" ref="AH10" ca="1">(OFFSET(POrigin,MATCH(Valori[[#This Row],[LUKB_id]],PID,0),MATCH("YIELD",PLabel,0)-1,1,1)+OFFSET(POrigin,MATCH(Valori[[#This Row],[LUKB_id]],PID,0),MATCH("YLDEQ",PLabel,0)-1,1,1))/100</f>
        <v>0</v>
      </c>
      <c r="AI10" s="1600">
        <f ca="1">OFFSET(POrigin,MATCH(Valori[[#This Row],[LUKB_id]],PID,0),MATCH("DIVIDEND",PLabel,0)-1,1,1)</f>
        <v>0</v>
      </c>
      <c r="AJ10" s="1601">
        <f ca="1">OFFSET(POrigin,MATCH(Valori[[#This Row],[LUKB_id]],PID,0),MATCH("DIVIDEND:datetime",PLabel,0)-1,1,1)</f>
        <v>0</v>
      </c>
      <c r="AK10" s="1602">
        <f ca="1">OFFSET(POrigin,MATCH(Valori[[#This Row],[LUKB_id]],PID,0),MATCH("INTEREST",PLabel,0)-1,1,1)</f>
        <v>0</v>
      </c>
      <c r="AL10" s="1603">
        <f ca="1">OFFSET(POrigin,MATCH(Valori[[#This Row],[LUKB_id]],PID,0),MATCH("4W_PERF_PR",PLabel,0)-1,1,1)/100</f>
        <v>0</v>
      </c>
      <c r="AM10" s="1603">
        <f ca="1">OFFSET(POrigin,MATCH(Valori[[#This Row],[LUKB_id]],PID,0),MATCH("12W_PERF_PR",PLabel,0)-1,1,1)/100</f>
        <v>0</v>
      </c>
      <c r="AN10" s="1603">
        <f ca="1">OFFSET(POrigin,MATCH(Valori[[#This Row],[LUKB_id]],PID,0),MATCH("YTD_PERF_PR",PLabel,0)-1,1,1)/100</f>
        <v>0</v>
      </c>
      <c r="AO10" s="1591"/>
      <c r="AP10" s="1591"/>
      <c r="AQ10" s="1591"/>
      <c r="AR10" s="1591"/>
      <c r="AS10" s="1890"/>
      <c r="AT10" s="1890"/>
      <c r="AU10" s="610"/>
      <c r="AV10" s="1891"/>
      <c r="AW10" s="1604" t="str">
        <f>"https://boersenundmaerkte.lukb.ch/lukb/details/"&amp;Valori[[#This Row],[LUKB_id]]</f>
        <v>https://boersenundmaerkte.lukb.ch/lukb/details/990879,13,814</v>
      </c>
      <c r="AX1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 s="142"/>
      <c r="AZ10" s="142"/>
      <c r="BA10" s="142"/>
      <c r="BB10" s="142"/>
    </row>
    <row r="11" spans="1:54" ht="15" customHeight="1" x14ac:dyDescent="0.2">
      <c r="A11" s="142" t="s">
        <v>720</v>
      </c>
      <c r="B11" s="142" t="s">
        <v>951</v>
      </c>
      <c r="C11" s="1668" t="str">
        <f>HYPERLINK("https://boersenundmaerkte.lukb.ch/lukb/details/"&amp;Valori[[#This Row],[LUKB_id]],"è")</f>
        <v>è</v>
      </c>
      <c r="D11" s="142" t="str" cm="1">
        <f t="array" aca="1" ref="D11" ca="1">OFFSET(POrigin,MATCH(Valori[[#This Row],[LUKB_id]],PID,0),MATCH("SC_GROUPED",PIntestazioni,0)-1,1,1)</f>
        <v>CUR</v>
      </c>
      <c r="E11" s="413" t="str" cm="1">
        <f t="array" aca="1" ref="E11" ca="1">OFFSET(POrigin,MATCH(Valori[[#This Row],[LUKB_id]],PID,0),MATCH("isin",PIntestazioni,0)-1,1,1)</f>
        <v>EU0009654078</v>
      </c>
      <c r="F11" s="34" t="str" cm="1">
        <f t="array" aca="1" ref="F11" ca="1">OFFSET(POrigin,MATCH(Valori[[#This Row],[LUKB_id]],PID,0),MATCH("NSIN_CH",PLabel,0)-1,1,1)</f>
        <v>897789</v>
      </c>
      <c r="G11" s="95" t="str" cm="1">
        <f t="array" aca="1" ref="G11" ca="1">IF(OFFSET(POrigin,MATCH(Valori[[#This Row],[LUKB_id]],PID,0),MATCH("INSTRUNIT",PLabel,0)-1,1,1)="Nominal","Pct","Unit")</f>
        <v>Unit</v>
      </c>
      <c r="H11" s="612">
        <f ca="1">MAX(OFFSET(POrigin,MATCH(Valori[[#This Row],[LUKB_id]],PID,0),MATCH("PRICINGAMT",PLabel,0)-1,1,1),1)</f>
        <v>1</v>
      </c>
      <c r="I11" s="615" t="str" cm="1">
        <f t="array" aca="1" ref="I11" ca="1">OFFSET(POrigin,MATCH(Valori[[#This Row],[LUKB_id]],PID,0),MATCH("M_NAME",PLabel,0)-1,1,1)</f>
        <v>EUR/CHF</v>
      </c>
      <c r="J11" s="142" t="s">
        <v>427</v>
      </c>
      <c r="M11" s="142" t="str" cm="1">
        <f t="array" aca="1" ref="M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1" s="1563">
        <f ca="1">COUNTIF('CHF M'!smo_id,Valori[[#This Row],[smo_id]])+COUNTIF('CHF MA'!smo_id,Valori[[#This Row],[smo_id]])+COUNTIF('EUR MB'!smo_id,Valori[[#This Row],[smo_id]])+COUNTIF('EUR M'!smo_id,Valori[[#This Row],[smo_id]])+COUNTIF(AGCO!smo_id,Valori[[#This Row],[smo_id]])</f>
        <v>3</v>
      </c>
      <c r="O11" s="1590">
        <v>537279.17549999978</v>
      </c>
      <c r="P11" s="1661" t="str">
        <f>HYPERLINK(Valori[[#This Row],[P_Source]],"è")</f>
        <v>è</v>
      </c>
      <c r="Q11" s="1663" t="str">
        <f>HYPERLINK(Valori[[#This Row],[Info_W]],"i")</f>
        <v>i</v>
      </c>
      <c r="R11" s="1664" t="str">
        <f>HYPERLINK(Valori[[#This Row],[FN_W]],"")</f>
        <v></v>
      </c>
      <c r="S11" s="1665" t="str">
        <f>HYPERLINK(Valori[[#This Row],[MS_Link]],"")</f>
        <v></v>
      </c>
      <c r="T11" s="1665" t="str">
        <f>HYPERLINK(Valori[[#This Row],[C_source]],"")</f>
        <v></v>
      </c>
      <c r="U11" s="142" t="str" cm="1">
        <f t="array" aca="1" ref="U11" ca="1">OFFSET(POrigin,MATCH(Valori[[#This Row],[LUKB_id]],PID,0),MATCH("M_CUR",PLabel,0)-1,1,1)</f>
        <v>CHF</v>
      </c>
      <c r="V11" s="1562">
        <f ca="1">(Valori[[#This Row],[Last]]+Valori[[#This Row],[Acc. Int]])/Valori[[#This Row],[Pr.Amt]]/IF(Valori[[#This Row],[P_Type]]="Pct",100,1)</f>
        <v>0.90755000000000008</v>
      </c>
      <c r="W11" s="1591" cm="1">
        <f t="array" aca="1" ref="W11" ca="1">OFFSET(POrigin,MATCH(Valori[[#This Row],[LUKB_id]],PID,0),MATCH("NC2_PR",PLabel,0)-1,1,1)/100</f>
        <v>-3.4041599999999998E-3</v>
      </c>
      <c r="X11" s="1592" cm="1">
        <f t="array" aca="1" ref="X11" ca="1">OFFSET(POrigin,MATCH(Valori[[#This Row],[LUKB_id]],PID,0),MATCH("LVAL",PLabel,0)-1,1,1)</f>
        <v>0.90755000000000008</v>
      </c>
      <c r="Y11" s="1593" cm="1">
        <f t="array" aca="1" ref="Y11" ca="1">OFFSET(POrigin,MATCH(Valori[[#This Row],[LUKB_id]],PID,0),MATCH("LVAL:datetime",PLabel,0)-1,1,1)</f>
        <v>46084.796307870369</v>
      </c>
      <c r="Z11" s="1594" cm="1">
        <f t="array" aca="1" ref="Z11" ca="1">OFFSET(POrigin,MATCH(Valori[[#This Row],[LUKB_id]],PID,0),MATCH("BID:volume",PLabel,0)-1,1,1)</f>
        <v>0</v>
      </c>
      <c r="AA11" s="1595" cm="1">
        <f t="array" aca="1" ref="AA11" ca="1">OFFSET(POrigin,MATCH(Valori[[#This Row],[LUKB_id]],PID,0),MATCH("BID",PLabel,0)-1,1,1)</f>
        <v>0.9073</v>
      </c>
      <c r="AB11" s="1595" cm="1">
        <f t="array" aca="1" ref="AB11" ca="1">OFFSET(POrigin,MATCH(Valori[[#This Row],[LUKB_id]],PID,0),MATCH("ASK",PLabel,0)-1,1,1)</f>
        <v>0.90780000000000005</v>
      </c>
      <c r="AC11" s="1594" cm="1">
        <f t="array" aca="1" ref="AC11" ca="1">OFFSET(POrigin,MATCH(Valori[[#This Row],[LUKB_id]],PID,0),MATCH("ASK:volume",PLabel,0)-1,1,1)</f>
        <v>0</v>
      </c>
      <c r="AD11" s="1596" cm="1">
        <f t="array" aca="1" ref="AD11" ca="1">OFFSET(POrigin,MATCH(Valori[[#This Row],[LUKB_id]],PID,0),MATCH("BID-ASK Spread %",PLabel,0)-1,1,1)</f>
        <v>3.6732295033797824E-4</v>
      </c>
      <c r="AE11" s="1597" t="str" cm="1">
        <f t="array" aca="1" ref="AE11" ca="1">IF(OFFSET(POrigin,MATCH(Valori[[#This Row],[LUKB_id]],PID,0),MATCH("MATURITY",PLabel,0)-1,1,1)&gt;0,OFFSET(POrigin,MATCH(Valori[[#This Row],[LUKB_id]],PID,0),MATCH("MATURITY",PLabel,0)-1,1,1),"")</f>
        <v/>
      </c>
      <c r="AF11" s="1598" cm="1">
        <f t="array" aca="1" ref="AF11" ca="1">OFFSET(POrigin,MATCH(Valori[[#This Row],[LUKB_id]],PID,0),MATCH("ACCINT",PLabel,0)-1,1,1)</f>
        <v>0</v>
      </c>
      <c r="AG11" s="1594" cm="1">
        <f t="array" aca="1" ref="AG11" ca="1">OFFSET(POrigin,MATCH(Valori[[#This Row],[LUKB_id]],PID,0),MATCH("DENOM",PLabel,0)-1,1,1)</f>
        <v>0</v>
      </c>
      <c r="AH11" s="1599" cm="1">
        <f t="array" aca="1" ref="AH11" ca="1">(OFFSET(POrigin,MATCH(Valori[[#This Row],[LUKB_id]],PID,0),MATCH("YIELD",PLabel,0)-1,1,1)+OFFSET(POrigin,MATCH(Valori[[#This Row],[LUKB_id]],PID,0),MATCH("YLDEQ",PLabel,0)-1,1,1))/100</f>
        <v>0</v>
      </c>
      <c r="AI11" s="1600">
        <f ca="1">OFFSET(POrigin,MATCH(Valori[[#This Row],[LUKB_id]],PID,0),MATCH("DIVIDEND",PLabel,0)-1,1,1)</f>
        <v>0</v>
      </c>
      <c r="AJ11" s="1601">
        <f ca="1">OFFSET(POrigin,MATCH(Valori[[#This Row],[LUKB_id]],PID,0),MATCH("DIVIDEND:datetime",PLabel,0)-1,1,1)</f>
        <v>0</v>
      </c>
      <c r="AK11" s="1602">
        <f ca="1">OFFSET(POrigin,MATCH(Valori[[#This Row],[LUKB_id]],PID,0),MATCH("INTEREST",PLabel,0)-1,1,1)</f>
        <v>0</v>
      </c>
      <c r="AL11" s="1603">
        <f ca="1">OFFSET(POrigin,MATCH(Valori[[#This Row],[LUKB_id]],PID,0),MATCH("4W_PERF_PR",PLabel,0)-1,1,1)/100</f>
        <v>-9.4632077010932073E-3</v>
      </c>
      <c r="AM11" s="1603">
        <f ca="1">OFFSET(POrigin,MATCH(Valori[[#This Row],[LUKB_id]],PID,0),MATCH("12W_PERF_PR",PLabel,0)-1,1,1)/100</f>
        <v>-3.0036747084198755E-2</v>
      </c>
      <c r="AN11" s="1603">
        <f ca="1">OFFSET(POrigin,MATCH(Valori[[#This Row],[LUKB_id]],PID,0),MATCH("YTD_PERF_PR",PLabel,0)-1,1,1)/100</f>
        <v>-2.5030889999999997E-2</v>
      </c>
      <c r="AO11" s="1591"/>
      <c r="AP11" s="1591"/>
      <c r="AQ11" s="1591"/>
      <c r="AR11" s="1591"/>
      <c r="AS11" s="1890" t="s">
        <v>952</v>
      </c>
      <c r="AT11" s="1890" t="s">
        <v>877</v>
      </c>
      <c r="AU11" s="610"/>
      <c r="AV11" s="1891" t="s">
        <v>953</v>
      </c>
      <c r="AW11" s="1604" t="str">
        <f>"https://boersenundmaerkte.lukb.ch/lukb/details/"&amp;Valori[[#This Row],[LUKB_id]]</f>
        <v>https://boersenundmaerkte.lukb.ch/lukb/details/897789,176,1</v>
      </c>
      <c r="AX11"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1" s="142"/>
      <c r="AZ11" s="142"/>
      <c r="BA11" s="142"/>
      <c r="BB11" s="142"/>
    </row>
    <row r="12" spans="1:54" ht="15" customHeight="1" x14ac:dyDescent="0.2">
      <c r="A12" s="142" t="s">
        <v>835</v>
      </c>
      <c r="B12" s="142" t="s">
        <v>954</v>
      </c>
      <c r="C12" s="1668" t="str">
        <f>HYPERLINK("https://boersenundmaerkte.lukb.ch/lukb/details/"&amp;Valori[[#This Row],[LUKB_id]],"è")</f>
        <v>è</v>
      </c>
      <c r="D12" s="142" t="str" cm="1">
        <f t="array" aca="1" ref="D12" ca="1">OFFSET(POrigin,MATCH(Valori[[#This Row],[LUKB_id]],PID,0),MATCH("SC_GROUPED",PIntestazioni,0)-1,1,1)</f>
        <v>CUR</v>
      </c>
      <c r="E12" s="413" t="str" cm="1">
        <f t="array" aca="1" ref="E12" ca="1">OFFSET(POrigin,MATCH(Valori[[#This Row],[LUKB_id]],PID,0),MATCH("isin",PIntestazioni,0)-1,1,1)</f>
        <v>GB0008283987</v>
      </c>
      <c r="F12" s="34" t="str" cm="1">
        <f t="array" aca="1" ref="F12" ca="1">OFFSET(POrigin,MATCH(Valori[[#This Row],[LUKB_id]],PID,0),MATCH("NSIN_CH",PLabel,0)-1,1,1)</f>
        <v>947552</v>
      </c>
      <c r="G12" s="95" t="str" cm="1">
        <f t="array" aca="1" ref="G12" ca="1">IF(OFFSET(POrigin,MATCH(Valori[[#This Row],[LUKB_id]],PID,0),MATCH("INSTRUNIT",PLabel,0)-1,1,1)="Nominal","Pct","Unit")</f>
        <v>Unit</v>
      </c>
      <c r="H12" s="612">
        <f ca="1">MAX(OFFSET(POrigin,MATCH(Valori[[#This Row],[LUKB_id]],PID,0),MATCH("PRICINGAMT",PLabel,0)-1,1,1),1)</f>
        <v>1</v>
      </c>
      <c r="I12" s="615" t="str" cm="1">
        <f t="array" aca="1" ref="I12" ca="1">OFFSET(POrigin,MATCH(Valori[[#This Row],[LUKB_id]],PID,0),MATCH("M_NAME",PLabel,0)-1,1,1)</f>
        <v>GBP/EUR</v>
      </c>
      <c r="J12" s="142" t="s">
        <v>723</v>
      </c>
      <c r="M12" s="142" t="str" cm="1">
        <f t="array" aca="1" ref="M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2" s="1563">
        <f ca="1">COUNTIF('CHF M'!smo_id,Valori[[#This Row],[smo_id]])+COUNTIF('CHF MA'!smo_id,Valori[[#This Row],[smo_id]])+COUNTIF('EUR MB'!smo_id,Valori[[#This Row],[smo_id]])+COUNTIF('EUR M'!smo_id,Valori[[#This Row],[smo_id]])+COUNTIF(AGCO!smo_id,Valori[[#This Row],[smo_id]])</f>
        <v>2</v>
      </c>
      <c r="O12" s="1590" cm="1">
        <f t="array" aca="1" ref="O12" ca="1">SUM(IF('CHF M'!smo_id=Valori[[#This Row],[smo_id]],'CHF M'!Posizione))+SUM(IF('CHF MA'!smo_id=Valori[[#This Row],[smo_id]],'CHF MA'!Posizione))+SUM(IF('EUR MB'!smo_id=Valori[[#This Row],[smo_id]],'EUR MB'!Posizione))+SUM(IF('EUR M'!smo_id=Valori[[#This Row],[smo_id]],'EUR M'!Posizione))+SUM(IF(AGCO!smo_id=Valori[[#This Row],[smo_id]],AGCO!Posizione))</f>
        <v>0</v>
      </c>
      <c r="P12" s="1661" t="str">
        <f>HYPERLINK(Valori[[#This Row],[P_Source]],"è")</f>
        <v>è</v>
      </c>
      <c r="Q12" s="1663" t="str">
        <f>HYPERLINK(Valori[[#This Row],[Info_W]],"i")</f>
        <v>i</v>
      </c>
      <c r="R12" s="1664" t="str">
        <f>HYPERLINK(Valori[[#This Row],[FN_W]],"")</f>
        <v></v>
      </c>
      <c r="S12" s="1665" t="str">
        <f>HYPERLINK(Valori[[#This Row],[MS_Link]],"")</f>
        <v></v>
      </c>
      <c r="T12" s="1665" t="str">
        <f>HYPERLINK(Valori[[#This Row],[C_source]],"")</f>
        <v></v>
      </c>
      <c r="U12" s="142" t="str" cm="1">
        <f t="array" aca="1" ref="U12" ca="1">OFFSET(POrigin,MATCH(Valori[[#This Row],[LUKB_id]],PID,0),MATCH("M_CUR",PLabel,0)-1,1,1)</f>
        <v>EUR</v>
      </c>
      <c r="V12" s="1562">
        <f ca="1">(Valori[[#This Row],[Last]]+Valori[[#This Row],[Acc. Int]])/Valori[[#This Row],[Pr.Amt]]/IF(Valori[[#This Row],[P_Type]]="Pct",100,1)</f>
        <v>1.1492567300000001</v>
      </c>
      <c r="W12" s="1591" cm="1">
        <f t="array" aca="1" ref="W12" ca="1">OFFSET(POrigin,MATCH(Valori[[#This Row],[LUKB_id]],PID,0),MATCH("NC2_PR",PLabel,0)-1,1,1)/100</f>
        <v>2.1744000000000004E-3</v>
      </c>
      <c r="X12" s="1592" cm="1">
        <f t="array" aca="1" ref="X12" ca="1">OFFSET(POrigin,MATCH(Valori[[#This Row],[LUKB_id]],PID,0),MATCH("LVAL",PLabel,0)-1,1,1)</f>
        <v>1.1492567300000001</v>
      </c>
      <c r="Y12" s="1593" cm="1">
        <f t="array" aca="1" ref="Y12" ca="1">OFFSET(POrigin,MATCH(Valori[[#This Row],[LUKB_id]],PID,0),MATCH("LVAL:datetime",PLabel,0)-1,1,1)</f>
        <v>46084.796284722222</v>
      </c>
      <c r="Z12" s="1594" cm="1">
        <f t="array" aca="1" ref="Z12" ca="1">OFFSET(POrigin,MATCH(Valori[[#This Row],[LUKB_id]],PID,0),MATCH("BID:volume",PLabel,0)-1,1,1)</f>
        <v>0</v>
      </c>
      <c r="AA12" s="1595" cm="1">
        <f t="array" aca="1" ref="AA12" ca="1">OFFSET(POrigin,MATCH(Valori[[#This Row],[LUKB_id]],PID,0),MATCH("BID",PLabel,0)-1,1,1)</f>
        <v>1.1490469999999999</v>
      </c>
      <c r="AB12" s="1595" cm="1">
        <f t="array" aca="1" ref="AB12" ca="1">OFFSET(POrigin,MATCH(Valori[[#This Row],[LUKB_id]],PID,0),MATCH("ASK",PLabel,0)-1,1,1)</f>
        <v>1.149467</v>
      </c>
      <c r="AC12" s="1594" cm="1">
        <f t="array" aca="1" ref="AC12" ca="1">OFFSET(POrigin,MATCH(Valori[[#This Row],[LUKB_id]],PID,0),MATCH("ASK:volume",PLabel,0)-1,1,1)</f>
        <v>0</v>
      </c>
      <c r="AD12" s="1596" cm="1">
        <f t="array" aca="1" ref="AD12" ca="1">OFFSET(POrigin,MATCH(Valori[[#This Row],[LUKB_id]],PID,0),MATCH("BID-ASK Spread %",PLabel,0)-1,1,1)</f>
        <v>2.4365051118752475E-4</v>
      </c>
      <c r="AE12" s="1597" t="str" cm="1">
        <f t="array" aca="1" ref="AE12" ca="1">IF(OFFSET(POrigin,MATCH(Valori[[#This Row],[LUKB_id]],PID,0),MATCH("MATURITY",PLabel,0)-1,1,1)&gt;0,OFFSET(POrigin,MATCH(Valori[[#This Row],[LUKB_id]],PID,0),MATCH("MATURITY",PLabel,0)-1,1,1),"")</f>
        <v/>
      </c>
      <c r="AF12" s="1598" cm="1">
        <f t="array" aca="1" ref="AF12" ca="1">OFFSET(POrigin,MATCH(Valori[[#This Row],[LUKB_id]],PID,0),MATCH("ACCINT",PLabel,0)-1,1,1)</f>
        <v>0</v>
      </c>
      <c r="AG12" s="1594" cm="1">
        <f t="array" aca="1" ref="AG12" ca="1">OFFSET(POrigin,MATCH(Valori[[#This Row],[LUKB_id]],PID,0),MATCH("DENOM",PLabel,0)-1,1,1)</f>
        <v>0</v>
      </c>
      <c r="AH12" s="1599" cm="1">
        <f t="array" aca="1" ref="AH12" ca="1">(OFFSET(POrigin,MATCH(Valori[[#This Row],[LUKB_id]],PID,0),MATCH("YIELD",PLabel,0)-1,1,1)+OFFSET(POrigin,MATCH(Valori[[#This Row],[LUKB_id]],PID,0),MATCH("YLDEQ",PLabel,0)-1,1,1))/100</f>
        <v>0</v>
      </c>
      <c r="AI12" s="1600">
        <f ca="1">OFFSET(POrigin,MATCH(Valori[[#This Row],[LUKB_id]],PID,0),MATCH("DIVIDEND",PLabel,0)-1,1,1)</f>
        <v>0</v>
      </c>
      <c r="AJ12" s="1601">
        <f ca="1">OFFSET(POrigin,MATCH(Valori[[#This Row],[LUKB_id]],PID,0),MATCH("DIVIDEND:datetime",PLabel,0)-1,1,1)</f>
        <v>0</v>
      </c>
      <c r="AK12" s="1602">
        <f ca="1">OFFSET(POrigin,MATCH(Valori[[#This Row],[LUKB_id]],PID,0),MATCH("INTEREST",PLabel,0)-1,1,1)</f>
        <v>0</v>
      </c>
      <c r="AL12" s="1603">
        <f ca="1">OFFSET(POrigin,MATCH(Valori[[#This Row],[LUKB_id]],PID,0),MATCH("4W_PERF_PR",PLabel,0)-1,1,1)/100</f>
        <v>-1.0560116091561884E-2</v>
      </c>
      <c r="AM12" s="1603">
        <f ca="1">OFFSET(POrigin,MATCH(Valori[[#This Row],[LUKB_id]],PID,0),MATCH("12W_PERF_PR",PLabel,0)-1,1,1)/100</f>
        <v>1.7663118348037574E-3</v>
      </c>
      <c r="AN12" s="1603">
        <f ca="1">OFFSET(POrigin,MATCH(Valori[[#This Row],[LUKB_id]],PID,0),MATCH("YTD_PERF_PR",PLabel,0)-1,1,1)/100</f>
        <v>1.9039899999999999E-3</v>
      </c>
      <c r="AO12" s="1591"/>
      <c r="AP12" s="1591"/>
      <c r="AQ12" s="1591"/>
      <c r="AR12" s="1591"/>
      <c r="AS12" s="1890"/>
      <c r="AT12" s="1890"/>
      <c r="AU12" s="610"/>
      <c r="AV12" s="1891"/>
      <c r="AW12" s="1604" t="str">
        <f>"https://boersenundmaerkte.lukb.ch/lukb/details/"&amp;Valori[[#This Row],[LUKB_id]]</f>
        <v>https://boersenundmaerkte.lukb.ch/lukb/details/947552,149,814</v>
      </c>
      <c r="AX1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 s="142"/>
      <c r="AZ12" s="142"/>
      <c r="BA12" s="142"/>
      <c r="BB12" s="142"/>
    </row>
    <row r="13" spans="1:54" ht="15" customHeight="1" x14ac:dyDescent="0.2">
      <c r="A13" s="142" t="s">
        <v>722</v>
      </c>
      <c r="B13" s="142" t="s">
        <v>955</v>
      </c>
      <c r="C13" s="1668" t="str">
        <f>HYPERLINK("https://boersenundmaerkte.lukb.ch/lukb/details/"&amp;Valori[[#This Row],[LUKB_id]],"è")</f>
        <v>è</v>
      </c>
      <c r="D13" s="142" t="str" cm="1">
        <f t="array" aca="1" ref="D13" ca="1">OFFSET(POrigin,MATCH(Valori[[#This Row],[LUKB_id]],PID,0),MATCH("SC_GROUPED",PIntestazioni,0)-1,1,1)</f>
        <v>CUR</v>
      </c>
      <c r="E13" s="413" t="str" cm="1">
        <f t="array" aca="1" ref="E13" ca="1">OFFSET(POrigin,MATCH(Valori[[#This Row],[LUKB_id]],PID,0),MATCH("isin",PIntestazioni,0)-1,1,1)</f>
        <v>GB0009534727</v>
      </c>
      <c r="F13" s="34" t="str" cm="1">
        <f t="array" aca="1" ref="F13" ca="1">OFFSET(POrigin,MATCH(Valori[[#This Row],[LUKB_id]],PID,0),MATCH("NSIN_CH",PLabel,0)-1,1,1)</f>
        <v>275001</v>
      </c>
      <c r="G13" s="95" t="str" cm="1">
        <f t="array" aca="1" ref="G13" ca="1">IF(OFFSET(POrigin,MATCH(Valori[[#This Row],[LUKB_id]],PID,0),MATCH("INSTRUNIT",PLabel,0)-1,1,1)="Nominal","Pct","Unit")</f>
        <v>Unit</v>
      </c>
      <c r="H13" s="612">
        <f ca="1">MAX(OFFSET(POrigin,MATCH(Valori[[#This Row],[LUKB_id]],PID,0),MATCH("PRICINGAMT",PLabel,0)-1,1,1),1)</f>
        <v>1</v>
      </c>
      <c r="I13" s="615" t="str" cm="1">
        <f t="array" aca="1" ref="I13" ca="1">OFFSET(POrigin,MATCH(Valori[[#This Row],[LUKB_id]],PID,0),MATCH("M_NAME",PLabel,0)-1,1,1)</f>
        <v>GBP/CHF</v>
      </c>
      <c r="J13" s="142" t="s">
        <v>723</v>
      </c>
      <c r="M13" s="142" t="str" cm="1">
        <f t="array" aca="1" ref="M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3" s="1563">
        <f ca="1">COUNTIF('CHF M'!smo_id,Valori[[#This Row],[smo_id]])+COUNTIF('CHF MA'!smo_id,Valori[[#This Row],[smo_id]])+COUNTIF('EUR MB'!smo_id,Valori[[#This Row],[smo_id]])+COUNTIF('EUR M'!smo_id,Valori[[#This Row],[smo_id]])+COUNTIF(AGCO!smo_id,Valori[[#This Row],[smo_id]])</f>
        <v>3</v>
      </c>
      <c r="O13" s="1590" cm="1">
        <f t="array" aca="1" ref="O13" ca="1">SUM(IF('CHF M'!smo_id=Valori[[#This Row],[smo_id]],'CHF M'!Posizione))+SUM(IF('CHF MA'!smo_id=Valori[[#This Row],[smo_id]],'CHF MA'!Posizione))+SUM(IF('EUR MB'!smo_id=Valori[[#This Row],[smo_id]],'EUR MB'!Posizione))+SUM(IF('EUR M'!smo_id=Valori[[#This Row],[smo_id]],'EUR M'!Posizione))+SUM(IF(AGCO!smo_id=Valori[[#This Row],[smo_id]],AGCO!Posizione))</f>
        <v>0</v>
      </c>
      <c r="P13" s="1661" t="str">
        <f>HYPERLINK(Valori[[#This Row],[P_Source]],"è")</f>
        <v>è</v>
      </c>
      <c r="Q13" s="1663" t="str">
        <f>HYPERLINK(Valori[[#This Row],[Info_W]],"i")</f>
        <v>i</v>
      </c>
      <c r="R13" s="1664" t="str">
        <f>HYPERLINK(Valori[[#This Row],[FN_W]],"")</f>
        <v></v>
      </c>
      <c r="S13" s="1665" t="str">
        <f>HYPERLINK(Valori[[#This Row],[MS_Link]],"")</f>
        <v></v>
      </c>
      <c r="T13" s="1665" t="str">
        <f>HYPERLINK(Valori[[#This Row],[C_source]],"")</f>
        <v></v>
      </c>
      <c r="U13" s="142" t="str" cm="1">
        <f t="array" aca="1" ref="U13" ca="1">OFFSET(POrigin,MATCH(Valori[[#This Row],[LUKB_id]],PID,0),MATCH("M_CUR",PLabel,0)-1,1,1)</f>
        <v>CHF</v>
      </c>
      <c r="V13" s="1562">
        <f ca="1">(Valori[[#This Row],[Last]]+Valori[[#This Row],[Acc. Int]])/Valori[[#This Row],[Pr.Amt]]/IF(Valori[[#This Row],[P_Type]]="Pct",100,1)</f>
        <v>1.0431000000000001</v>
      </c>
      <c r="W13" s="1591" cm="1">
        <f t="array" aca="1" ref="W13" ca="1">OFFSET(POrigin,MATCH(Valori[[#This Row],[LUKB_id]],PID,0),MATCH("NC2_PR",PLabel,0)-1,1,1)/100</f>
        <v>-1.2447300000000001E-3</v>
      </c>
      <c r="X13" s="1592" cm="1">
        <f t="array" aca="1" ref="X13" ca="1">OFFSET(POrigin,MATCH(Valori[[#This Row],[LUKB_id]],PID,0),MATCH("LVAL",PLabel,0)-1,1,1)</f>
        <v>1.0431000000000001</v>
      </c>
      <c r="Y13" s="1593" cm="1">
        <f t="array" aca="1" ref="Y13" ca="1">OFFSET(POrigin,MATCH(Valori[[#This Row],[LUKB_id]],PID,0),MATCH("LVAL:datetime",PLabel,0)-1,1,1)</f>
        <v>46084.796261574076</v>
      </c>
      <c r="Z13" s="1594" cm="1">
        <f t="array" aca="1" ref="Z13" ca="1">OFFSET(POrigin,MATCH(Valori[[#This Row],[LUKB_id]],PID,0),MATCH("BID:volume",PLabel,0)-1,1,1)</f>
        <v>0</v>
      </c>
      <c r="AA13" s="1595" cm="1">
        <f t="array" aca="1" ref="AA13" ca="1">OFFSET(POrigin,MATCH(Valori[[#This Row],[LUKB_id]],PID,0),MATCH("BID",PLabel,0)-1,1,1)</f>
        <v>1.0426</v>
      </c>
      <c r="AB13" s="1595" cm="1">
        <f t="array" aca="1" ref="AB13" ca="1">OFFSET(POrigin,MATCH(Valori[[#This Row],[LUKB_id]],PID,0),MATCH("ASK",PLabel,0)-1,1,1)</f>
        <v>1.0436000000000001</v>
      </c>
      <c r="AC13" s="1594" cm="1">
        <f t="array" aca="1" ref="AC13" ca="1">OFFSET(POrigin,MATCH(Valori[[#This Row],[LUKB_id]],PID,0),MATCH("ASK:volume",PLabel,0)-1,1,1)</f>
        <v>0</v>
      </c>
      <c r="AD13" s="1596" cm="1">
        <f t="array" aca="1" ref="AD13" ca="1">OFFSET(POrigin,MATCH(Valori[[#This Row],[LUKB_id]],PID,0),MATCH("BID-ASK Spread %",PLabel,0)-1,1,1)</f>
        <v>6.3922270519055986E-4</v>
      </c>
      <c r="AE13" s="1597" t="str" cm="1">
        <f t="array" aca="1" ref="AE13" ca="1">IF(OFFSET(POrigin,MATCH(Valori[[#This Row],[LUKB_id]],PID,0),MATCH("MATURITY",PLabel,0)-1,1,1)&gt;0,OFFSET(POrigin,MATCH(Valori[[#This Row],[LUKB_id]],PID,0),MATCH("MATURITY",PLabel,0)-1,1,1),"")</f>
        <v/>
      </c>
      <c r="AF13" s="1598" cm="1">
        <f t="array" aca="1" ref="AF13" ca="1">OFFSET(POrigin,MATCH(Valori[[#This Row],[LUKB_id]],PID,0),MATCH("ACCINT",PLabel,0)-1,1,1)</f>
        <v>0</v>
      </c>
      <c r="AG13" s="1594" cm="1">
        <f t="array" aca="1" ref="AG13" ca="1">OFFSET(POrigin,MATCH(Valori[[#This Row],[LUKB_id]],PID,0),MATCH("DENOM",PLabel,0)-1,1,1)</f>
        <v>0</v>
      </c>
      <c r="AH13" s="1599" cm="1">
        <f t="array" aca="1" ref="AH13" ca="1">(OFFSET(POrigin,MATCH(Valori[[#This Row],[LUKB_id]],PID,0),MATCH("YIELD",PLabel,0)-1,1,1)+OFFSET(POrigin,MATCH(Valori[[#This Row],[LUKB_id]],PID,0),MATCH("YLDEQ",PLabel,0)-1,1,1))/100</f>
        <v>0</v>
      </c>
      <c r="AI13" s="1600">
        <f ca="1">OFFSET(POrigin,MATCH(Valori[[#This Row],[LUKB_id]],PID,0),MATCH("DIVIDEND",PLabel,0)-1,1,1)</f>
        <v>0</v>
      </c>
      <c r="AJ13" s="1601">
        <f ca="1">OFFSET(POrigin,MATCH(Valori[[#This Row],[LUKB_id]],PID,0),MATCH("DIVIDEND:datetime",PLabel,0)-1,1,1)</f>
        <v>0</v>
      </c>
      <c r="AK13" s="1602">
        <f ca="1">OFFSET(POrigin,MATCH(Valori[[#This Row],[LUKB_id]],PID,0),MATCH("INTEREST",PLabel,0)-1,1,1)</f>
        <v>0</v>
      </c>
      <c r="AL13" s="1603">
        <f ca="1">OFFSET(POrigin,MATCH(Valori[[#This Row],[LUKB_id]],PID,0),MATCH("4W_PERF_PR",PLabel,0)-1,1,1)/100</f>
        <v>-1.9894894894894995E-2</v>
      </c>
      <c r="AM13" s="1603">
        <f ca="1">OFFSET(POrigin,MATCH(Valori[[#This Row],[LUKB_id]],PID,0),MATCH("12W_PERF_PR",PLabel,0)-1,1,1)/100</f>
        <v>-2.8374732533258881E-2</v>
      </c>
      <c r="AN13" s="1603">
        <f ca="1">OFFSET(POrigin,MATCH(Valori[[#This Row],[LUKB_id]],PID,0),MATCH("YTD_PERF_PR",PLabel,0)-1,1,1)/100</f>
        <v>-2.313167E-2</v>
      </c>
      <c r="AO13" s="1591"/>
      <c r="AP13" s="1591"/>
      <c r="AQ13" s="1591"/>
      <c r="AR13" s="1591"/>
      <c r="AS13" s="1890" t="s">
        <v>877</v>
      </c>
      <c r="AT13" s="1890" t="s">
        <v>877</v>
      </c>
      <c r="AU13" s="610"/>
      <c r="AV13" s="1891" t="s">
        <v>956</v>
      </c>
      <c r="AW13" s="1604" t="str">
        <f>"https://boersenundmaerkte.lukb.ch/lukb/details/"&amp;Valori[[#This Row],[LUKB_id]]</f>
        <v>https://boersenundmaerkte.lukb.ch/lukb/details/275001,176,1</v>
      </c>
      <c r="AX1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 s="142"/>
      <c r="AZ13" s="142"/>
      <c r="BA13" s="142"/>
      <c r="BB13" s="142"/>
    </row>
    <row r="14" spans="1:54" ht="15" customHeight="1" x14ac:dyDescent="0.2">
      <c r="A14" s="142" t="s">
        <v>957</v>
      </c>
      <c r="B14" s="142" t="str" cm="1">
        <f t="array" aca="1" ref="B14" ca="1">OFFSET(POrigin,MATCH(Valori[[#This Row],[smo_id]],Posizioni[smo_id],0),MATCH("LUKB_id",PIntestazioni,0)-1,1,1)</f>
        <v>928212,149,1</v>
      </c>
      <c r="C14" s="1668" t="str">
        <f ca="1">HYPERLINK("https://boersenundmaerkte.lukb.ch/lukb/details/"&amp;Valori[[#This Row],[LUKB_id]],"è")</f>
        <v>è</v>
      </c>
      <c r="D14" s="142" t="str" cm="1">
        <f t="array" aca="1" ref="D14" ca="1">OFFSET(POrigin,MATCH(Valori[[#This Row],[LUKB_id]],PID,0),MATCH("SC_GROUPED",PIntestazioni,0)-1,1,1)</f>
        <v>CUR</v>
      </c>
      <c r="E14" s="413" t="str" cm="1">
        <f t="array" aca="1" ref="E14" ca="1">OFFSET(POrigin,MATCH(Valori[[#This Row],[LUKB_id]],PID,0),MATCH("isin",PIntestazioni,0)-1,1,1)</f>
        <v>QT0009282127</v>
      </c>
      <c r="F14" s="34" t="str" cm="1">
        <f t="array" aca="1" ref="F14" ca="1">OFFSET(POrigin,MATCH(Valori[[#This Row],[LUKB_id]],PID,0),MATCH("NSIN_CH",PLabel,0)-1,1,1)</f>
        <v>928212</v>
      </c>
      <c r="G14" s="95" t="str" cm="1">
        <f t="array" aca="1" ref="G14" ca="1">IF(OFFSET(POrigin,MATCH(Valori[[#This Row],[LUKB_id]],PID,0),MATCH("INSTRUNIT",PLabel,0)-1,1,1)="Nominal","Pct","Unit")</f>
        <v>Unit</v>
      </c>
      <c r="H14" s="612">
        <f ca="1">MAX(OFFSET(POrigin,MATCH(Valori[[#This Row],[LUKB_id]],PID,0),MATCH("PRICINGAMT",PLabel,0)-1,1,1),1)</f>
        <v>1</v>
      </c>
      <c r="I14" s="615" t="str" cm="1">
        <f t="array" aca="1" ref="I14" ca="1">OFFSET(POrigin,MATCH(Valori[[#This Row],[LUKB_id]],PID,0),MATCH("M_NAME",PLabel,0)-1,1,1)</f>
        <v>MXN/CHF</v>
      </c>
      <c r="J14" s="142" t="s">
        <v>563</v>
      </c>
      <c r="M14" s="142" t="str" cm="1">
        <f t="array" aca="1" ref="M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MXN</v>
      </c>
      <c r="N14" s="1563">
        <f ca="1">COUNTIF('CHF M'!smo_id,Valori[[#This Row],[smo_id]])+COUNTIF('CHF MA'!smo_id,Valori[[#This Row],[smo_id]])+COUNTIF('EUR MB'!smo_id,Valori[[#This Row],[smo_id]])+COUNTIF('EUR M'!smo_id,Valori[[#This Row],[smo_id]])+COUNTIF(AGCO!smo_id,Valori[[#This Row],[smo_id]])</f>
        <v>0</v>
      </c>
      <c r="O14" s="1590" cm="1">
        <f t="array" aca="1" ref="O14" ca="1">SUM(IF('CHF M'!smo_id=Valori[[#This Row],[smo_id]],'CHF M'!Posizione))+SUM(IF('CHF MA'!smo_id=Valori[[#This Row],[smo_id]],'CHF MA'!Posizione))+SUM(IF('EUR MB'!smo_id=Valori[[#This Row],[smo_id]],'EUR MB'!Posizione))+SUM(IF('EUR M'!smo_id=Valori[[#This Row],[smo_id]],'EUR M'!Posizione))+SUM(IF(AGCO!smo_id=Valori[[#This Row],[smo_id]],AGCO!Posizione))</f>
        <v>0</v>
      </c>
      <c r="P14" s="1661" t="str">
        <f ca="1">HYPERLINK(Valori[[#This Row],[P_Source]],"è")</f>
        <v>è</v>
      </c>
      <c r="Q14" s="1663" t="str">
        <f>HYPERLINK(Valori[[#This Row],[Info_W]],"i")</f>
        <v>i</v>
      </c>
      <c r="R14" s="1664" t="str">
        <f>HYPERLINK(Valori[[#This Row],[FN_W]],"")</f>
        <v></v>
      </c>
      <c r="S14" s="1665" t="str">
        <f>HYPERLINK(Valori[[#This Row],[MS_Link]],"")</f>
        <v></v>
      </c>
      <c r="T14" s="1665" t="str">
        <f>HYPERLINK(Valori[[#This Row],[C_source]],"")</f>
        <v></v>
      </c>
      <c r="U14" s="142" t="str" cm="1">
        <f t="array" aca="1" ref="U14" ca="1">OFFSET(POrigin,MATCH(Valori[[#This Row],[LUKB_id]],PID,0),MATCH("M_CUR",PLabel,0)-1,1,1)</f>
        <v>CHF</v>
      </c>
      <c r="V14" s="1562">
        <f ca="1">(Valori[[#This Row],[Last]]+Valori[[#This Row],[Acc. Int]])/Valori[[#This Row],[Pr.Amt]]/IF(Valori[[#This Row],[P_Type]]="Pct",100,1)</f>
        <v>4.4286499999999999E-2</v>
      </c>
      <c r="W14" s="1591" cm="1">
        <f t="array" aca="1" ref="W14" ca="1">OFFSET(POrigin,MATCH(Valori[[#This Row],[LUKB_id]],PID,0),MATCH("NC2_PR",PLabel,0)-1,1,1)/100</f>
        <v>-1.5797159999999998E-2</v>
      </c>
      <c r="X14" s="1592" cm="1">
        <f t="array" aca="1" ref="X14" ca="1">OFFSET(POrigin,MATCH(Valori[[#This Row],[LUKB_id]],PID,0),MATCH("LVAL",PLabel,0)-1,1,1)</f>
        <v>4.4286499999999999E-2</v>
      </c>
      <c r="Y14" s="1593" cm="1">
        <f t="array" aca="1" ref="Y14" ca="1">OFFSET(POrigin,MATCH(Valori[[#This Row],[LUKB_id]],PID,0),MATCH("LVAL:datetime",PLabel,0)-1,1,1)</f>
        <v>46084.796284722222</v>
      </c>
      <c r="Z14" s="1594" cm="1">
        <f t="array" aca="1" ref="Z14" ca="1">OFFSET(POrigin,MATCH(Valori[[#This Row],[LUKB_id]],PID,0),MATCH("BID:volume",PLabel,0)-1,1,1)</f>
        <v>0</v>
      </c>
      <c r="AA14" s="1595" cm="1">
        <f t="array" aca="1" ref="AA14" ca="1">OFFSET(POrigin,MATCH(Valori[[#This Row],[LUKB_id]],PID,0),MATCH("BID",PLabel,0)-1,1,1)</f>
        <v>4.4238E-2</v>
      </c>
      <c r="AB14" s="1595" cm="1">
        <f t="array" aca="1" ref="AB14" ca="1">OFFSET(POrigin,MATCH(Valori[[#This Row],[LUKB_id]],PID,0),MATCH("ASK",PLabel,0)-1,1,1)</f>
        <v>4.4334999999999999E-2</v>
      </c>
      <c r="AC14" s="1594" cm="1">
        <f t="array" aca="1" ref="AC14" ca="1">OFFSET(POrigin,MATCH(Valori[[#This Row],[LUKB_id]],PID,0),MATCH("ASK:volume",PLabel,0)-1,1,1)</f>
        <v>0</v>
      </c>
      <c r="AD14" s="1596" cm="1">
        <f t="array" aca="1" ref="AD14" ca="1">OFFSET(POrigin,MATCH(Valori[[#This Row],[LUKB_id]],PID,0),MATCH("BID-ASK Spread %",PLabel,0)-1,1,1)</f>
        <v>1.4607223799233476E-3</v>
      </c>
      <c r="AE14" s="1597" t="str" cm="1">
        <f t="array" aca="1" ref="AE14" ca="1">IF(OFFSET(POrigin,MATCH(Valori[[#This Row],[LUKB_id]],PID,0),MATCH("MATURITY",PLabel,0)-1,1,1)&gt;0,OFFSET(POrigin,MATCH(Valori[[#This Row],[LUKB_id]],PID,0),MATCH("MATURITY",PLabel,0)-1,1,1),"")</f>
        <v/>
      </c>
      <c r="AF14" s="1598" cm="1">
        <f t="array" aca="1" ref="AF14" ca="1">OFFSET(POrigin,MATCH(Valori[[#This Row],[LUKB_id]],PID,0),MATCH("ACCINT",PLabel,0)-1,1,1)</f>
        <v>0</v>
      </c>
      <c r="AG14" s="1594" cm="1">
        <f t="array" aca="1" ref="AG14" ca="1">OFFSET(POrigin,MATCH(Valori[[#This Row],[LUKB_id]],PID,0),MATCH("DENOM",PLabel,0)-1,1,1)</f>
        <v>0</v>
      </c>
      <c r="AH14" s="1599" cm="1">
        <f t="array" aca="1" ref="AH14" ca="1">(OFFSET(POrigin,MATCH(Valori[[#This Row],[LUKB_id]],PID,0),MATCH("YIELD",PLabel,0)-1,1,1)+OFFSET(POrigin,MATCH(Valori[[#This Row],[LUKB_id]],PID,0),MATCH("YLDEQ",PLabel,0)-1,1,1))/100</f>
        <v>0</v>
      </c>
      <c r="AI14" s="1600">
        <f ca="1">OFFSET(POrigin,MATCH(Valori[[#This Row],[LUKB_id]],PID,0),MATCH("DIVIDEND",PLabel,0)-1,1,1)</f>
        <v>0</v>
      </c>
      <c r="AJ14" s="1601">
        <f ca="1">OFFSET(POrigin,MATCH(Valori[[#This Row],[LUKB_id]],PID,0),MATCH("DIVIDEND:datetime",PLabel,0)-1,1,1)</f>
        <v>0</v>
      </c>
      <c r="AK14" s="1602">
        <f ca="1">OFFSET(POrigin,MATCH(Valori[[#This Row],[LUKB_id]],PID,0),MATCH("INTEREST",PLabel,0)-1,1,1)</f>
        <v>0</v>
      </c>
      <c r="AL14" s="1603">
        <f ca="1">OFFSET(POrigin,MATCH(Valori[[#This Row],[LUKB_id]],PID,0),MATCH("4W_PERF_PR",PLabel,0)-1,1,1)/100</f>
        <v>4.1776268000114809E-3</v>
      </c>
      <c r="AM14" s="1603">
        <f ca="1">OFFSET(POrigin,MATCH(Valori[[#This Row],[LUKB_id]],PID,0),MATCH("12W_PERF_PR",PLabel,0)-1,1,1)/100</f>
        <v>1.8297170323701973E-2</v>
      </c>
      <c r="AN14" s="1603">
        <f ca="1">OFFSET(POrigin,MATCH(Valori[[#This Row],[LUKB_id]],PID,0),MATCH("YTD_PERF_PR",PLabel,0)-1,1,1)/100</f>
        <v>6.1228599999999999E-3</v>
      </c>
      <c r="AO14" s="1591"/>
      <c r="AP14" s="1591"/>
      <c r="AQ14" s="1591"/>
      <c r="AR14" s="1591"/>
      <c r="AS14" s="1890" t="s">
        <v>877</v>
      </c>
      <c r="AT14" s="1890" t="s">
        <v>877</v>
      </c>
      <c r="AU14" s="610"/>
      <c r="AV14" s="1891" t="s">
        <v>958</v>
      </c>
      <c r="AW14" s="1604" t="str">
        <f ca="1">"https://boersenundmaerkte.lukb.ch/lukb/details/"&amp;Valori[[#This Row],[LUKB_id]]</f>
        <v>https://boersenundmaerkte.lukb.ch/lukb/details/928212,149,1</v>
      </c>
      <c r="AX1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4" s="142"/>
      <c r="AZ14" s="142"/>
      <c r="BA14" s="142"/>
      <c r="BB14" s="142"/>
    </row>
    <row r="15" spans="1:54" ht="15" customHeight="1" x14ac:dyDescent="0.2">
      <c r="A15" s="142" t="s">
        <v>959</v>
      </c>
      <c r="B15" s="142" t="str" cm="1">
        <f t="array" aca="1" ref="B15" ca="1">OFFSET(POrigin,MATCH(Valori[[#This Row],[smo_id]],Posizioni[smo_id],0),MATCH("LUKB_id",PIntestazioni,0)-1,1,1)</f>
        <v>275014,178,1</v>
      </c>
      <c r="C15" s="1668" t="str">
        <f ca="1">HYPERLINK("https://boersenundmaerkte.lukb.ch/lukb/details/"&amp;Valori[[#This Row],[LUKB_id]],"è")</f>
        <v>è</v>
      </c>
      <c r="D15" s="142" t="str" cm="1">
        <f t="array" aca="1" ref="D15" ca="1">OFFSET(POrigin,MATCH(Valori[[#This Row],[LUKB_id]],PID,0),MATCH("SC_GROUPED",PIntestazioni,0)-1,1,1)</f>
        <v>CUR</v>
      </c>
      <c r="E15" s="413" t="str" cm="1">
        <f t="array" aca="1" ref="E15" ca="1">OFFSET(POrigin,MATCH(Valori[[#This Row],[LUKB_id]],PID,0),MATCH("isin",PIntestazioni,0)-1,1,1)</f>
        <v>NO0010037500</v>
      </c>
      <c r="F15" s="34" t="str" cm="1">
        <f t="array" aca="1" ref="F15" ca="1">OFFSET(POrigin,MATCH(Valori[[#This Row],[LUKB_id]],PID,0),MATCH("NSIN_CH",PLabel,0)-1,1,1)</f>
        <v>275014</v>
      </c>
      <c r="G15" s="95" t="str" cm="1">
        <f t="array" aca="1" ref="G15" ca="1">IF(OFFSET(POrigin,MATCH(Valori[[#This Row],[LUKB_id]],PID,0),MATCH("INSTRUNIT",PLabel,0)-1,1,1)="Nominal","Pct","Unit")</f>
        <v>Unit</v>
      </c>
      <c r="H15" s="612">
        <f ca="1">MAX(OFFSET(POrigin,MATCH(Valori[[#This Row],[LUKB_id]],PID,0),MATCH("PRICINGAMT",PLabel,0)-1,1,1),1)</f>
        <v>100</v>
      </c>
      <c r="I15" s="615" t="str" cm="1">
        <f t="array" aca="1" ref="I15" ca="1">OFFSET(POrigin,MATCH(Valori[[#This Row],[LUKB_id]],PID,0),MATCH("M_NAME",PLabel,0)-1,1,1)</f>
        <v>NOK/CHF</v>
      </c>
      <c r="J15" s="142" t="s">
        <v>960</v>
      </c>
      <c r="M15" s="142" t="str" cm="1">
        <f t="array" aca="1" ref="M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NOK</v>
      </c>
      <c r="N15" s="1563">
        <f ca="1">COUNTIF('CHF M'!smo_id,Valori[[#This Row],[smo_id]])+COUNTIF('CHF MA'!smo_id,Valori[[#This Row],[smo_id]])+COUNTIF('EUR MB'!smo_id,Valori[[#This Row],[smo_id]])+COUNTIF('EUR M'!smo_id,Valori[[#This Row],[smo_id]])+COUNTIF(AGCO!smo_id,Valori[[#This Row],[smo_id]])</f>
        <v>0</v>
      </c>
      <c r="O15" s="1590" cm="1">
        <f t="array" aca="1" ref="O15" ca="1">SUM(IF('CHF M'!smo_id=Valori[[#This Row],[smo_id]],'CHF M'!Posizione))+SUM(IF('CHF MA'!smo_id=Valori[[#This Row],[smo_id]],'CHF MA'!Posizione))+SUM(IF('EUR MB'!smo_id=Valori[[#This Row],[smo_id]],'EUR MB'!Posizione))+SUM(IF('EUR M'!smo_id=Valori[[#This Row],[smo_id]],'EUR M'!Posizione))+SUM(IF(AGCO!smo_id=Valori[[#This Row],[smo_id]],AGCO!Posizione))</f>
        <v>0</v>
      </c>
      <c r="P15" s="1661" t="str">
        <f ca="1">HYPERLINK(Valori[[#This Row],[P_Source]],"è")</f>
        <v>è</v>
      </c>
      <c r="Q15" s="1663" t="str">
        <f>HYPERLINK(Valori[[#This Row],[Info_W]],"i")</f>
        <v>i</v>
      </c>
      <c r="R15" s="1664" t="str">
        <f>HYPERLINK(Valori[[#This Row],[FN_W]],"")</f>
        <v></v>
      </c>
      <c r="S15" s="1665" t="str">
        <f>HYPERLINK(Valori[[#This Row],[MS_Link]],"")</f>
        <v></v>
      </c>
      <c r="T15" s="1665" t="str">
        <f>HYPERLINK(Valori[[#This Row],[C_source]],"")</f>
        <v></v>
      </c>
      <c r="U15" s="142" t="str" cm="1">
        <f t="array" aca="1" ref="U15" ca="1">OFFSET(POrigin,MATCH(Valori[[#This Row],[LUKB_id]],PID,0),MATCH("M_CUR",PLabel,0)-1,1,1)</f>
        <v>CHF</v>
      </c>
      <c r="V15" s="1562">
        <f ca="1">(Valori[[#This Row],[Last]]+Valori[[#This Row],[Acc. Int]])/Valori[[#This Row],[Pr.Amt]]/IF(Valori[[#This Row],[P_Type]]="Pct",100,1)</f>
        <v>8.0640000000000003E-2</v>
      </c>
      <c r="W15" s="1591" cm="1">
        <f t="array" aca="1" ref="W15" ca="1">OFFSET(POrigin,MATCH(Valori[[#This Row],[LUKB_id]],PID,0),MATCH("NC2_PR",PLabel,0)-1,1,1)/100</f>
        <v>-5.7333099999999993E-3</v>
      </c>
      <c r="X15" s="1592" cm="1">
        <f t="array" aca="1" ref="X15" ca="1">OFFSET(POrigin,MATCH(Valori[[#This Row],[LUKB_id]],PID,0),MATCH("LVAL",PLabel,0)-1,1,1)</f>
        <v>8.0640000000000001</v>
      </c>
      <c r="Y15" s="1593" cm="1">
        <f t="array" aca="1" ref="Y15" ca="1">OFFSET(POrigin,MATCH(Valori[[#This Row],[LUKB_id]],PID,0),MATCH("LVAL:datetime",PLabel,0)-1,1,1)</f>
        <v>46084.796157407407</v>
      </c>
      <c r="Z15" s="1594" cm="1">
        <f t="array" aca="1" ref="Z15" ca="1">OFFSET(POrigin,MATCH(Valori[[#This Row],[LUKB_id]],PID,0),MATCH("BID:volume",PLabel,0)-1,1,1)</f>
        <v>0</v>
      </c>
      <c r="AA15" s="1595" cm="1">
        <f t="array" aca="1" ref="AA15" ca="1">OFFSET(POrigin,MATCH(Valori[[#This Row],[LUKB_id]],PID,0),MATCH("BID",PLabel,0)-1,1,1)</f>
        <v>8.0619999999999994</v>
      </c>
      <c r="AB15" s="1595" cm="1">
        <f t="array" aca="1" ref="AB15" ca="1">OFFSET(POrigin,MATCH(Valori[[#This Row],[LUKB_id]],PID,0),MATCH("ASK",PLabel,0)-1,1,1)</f>
        <v>8.0660000000000007</v>
      </c>
      <c r="AC15" s="1594" cm="1">
        <f t="array" aca="1" ref="AC15" ca="1">OFFSET(POrigin,MATCH(Valori[[#This Row],[LUKB_id]],PID,0),MATCH("ASK:volume",PLabel,0)-1,1,1)</f>
        <v>0</v>
      </c>
      <c r="AD15" s="1596" cm="1">
        <f t="array" aca="1" ref="AD15" ca="1">OFFSET(POrigin,MATCH(Valori[[#This Row],[LUKB_id]],PID,0),MATCH("BID-ASK Spread %",PLabel,0)-1,1,1)</f>
        <v>3.3071517155860574E-4</v>
      </c>
      <c r="AE15" s="1597" t="str" cm="1">
        <f t="array" aca="1" ref="AE15" ca="1">IF(OFFSET(POrigin,MATCH(Valori[[#This Row],[LUKB_id]],PID,0),MATCH("MATURITY",PLabel,0)-1,1,1)&gt;0,OFFSET(POrigin,MATCH(Valori[[#This Row],[LUKB_id]],PID,0),MATCH("MATURITY",PLabel,0)-1,1,1),"")</f>
        <v/>
      </c>
      <c r="AF15" s="1598" cm="1">
        <f t="array" aca="1" ref="AF15" ca="1">OFFSET(POrigin,MATCH(Valori[[#This Row],[LUKB_id]],PID,0),MATCH("ACCINT",PLabel,0)-1,1,1)</f>
        <v>0</v>
      </c>
      <c r="AG15" s="1594" cm="1">
        <f t="array" aca="1" ref="AG15" ca="1">OFFSET(POrigin,MATCH(Valori[[#This Row],[LUKB_id]],PID,0),MATCH("DENOM",PLabel,0)-1,1,1)</f>
        <v>0</v>
      </c>
      <c r="AH15" s="1599" cm="1">
        <f t="array" aca="1" ref="AH15" ca="1">(OFFSET(POrigin,MATCH(Valori[[#This Row],[LUKB_id]],PID,0),MATCH("YIELD",PLabel,0)-1,1,1)+OFFSET(POrigin,MATCH(Valori[[#This Row],[LUKB_id]],PID,0),MATCH("YLDEQ",PLabel,0)-1,1,1))/100</f>
        <v>0</v>
      </c>
      <c r="AI15" s="1600">
        <f ca="1">OFFSET(POrigin,MATCH(Valori[[#This Row],[LUKB_id]],PID,0),MATCH("DIVIDEND",PLabel,0)-1,1,1)</f>
        <v>0</v>
      </c>
      <c r="AJ15" s="1601">
        <f ca="1">OFFSET(POrigin,MATCH(Valori[[#This Row],[LUKB_id]],PID,0),MATCH("DIVIDEND:datetime",PLabel,0)-1,1,1)</f>
        <v>0</v>
      </c>
      <c r="AK15" s="1602">
        <f ca="1">OFFSET(POrigin,MATCH(Valori[[#This Row],[LUKB_id]],PID,0),MATCH("INTEREST",PLabel,0)-1,1,1)</f>
        <v>0</v>
      </c>
      <c r="AL15" s="1603">
        <f ca="1">OFFSET(POrigin,MATCH(Valori[[#This Row],[LUKB_id]],PID,0),MATCH("4W_PERF_PR",PLabel,0)-1,1,1)/100</f>
        <v>0</v>
      </c>
      <c r="AM15" s="1603">
        <f ca="1">OFFSET(POrigin,MATCH(Valori[[#This Row],[LUKB_id]],PID,0),MATCH("12W_PERF_PR",PLabel,0)-1,1,1)/100</f>
        <v>0</v>
      </c>
      <c r="AN15" s="1603">
        <f ca="1">OFFSET(POrigin,MATCH(Valori[[#This Row],[LUKB_id]],PID,0),MATCH("YTD_PERF_PR",PLabel,0)-1,1,1)/100</f>
        <v>2.719572E-2</v>
      </c>
      <c r="AO15" s="1591"/>
      <c r="AP15" s="1591"/>
      <c r="AQ15" s="1591"/>
      <c r="AR15" s="1591"/>
      <c r="AS15" s="1890" t="s">
        <v>877</v>
      </c>
      <c r="AT15" s="1890" t="s">
        <v>877</v>
      </c>
      <c r="AU15" s="610"/>
      <c r="AV15" s="1891" t="s">
        <v>961</v>
      </c>
      <c r="AW15" s="1604" t="str">
        <f ca="1">"https://boersenundmaerkte.lukb.ch/lukb/details/"&amp;Valori[[#This Row],[LUKB_id]]</f>
        <v>https://boersenundmaerkte.lukb.ch/lukb/details/275014,178,1</v>
      </c>
      <c r="AX15"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5" s="142"/>
      <c r="AZ15" s="142"/>
      <c r="BA15" s="142"/>
      <c r="BB15" s="142"/>
    </row>
    <row r="16" spans="1:54" ht="15" customHeight="1" x14ac:dyDescent="0.2">
      <c r="A16" s="142" t="s">
        <v>962</v>
      </c>
      <c r="B16" s="142" t="str" cm="1">
        <f t="array" aca="1" ref="B16" ca="1">OFFSET(POrigin,MATCH(Valori[[#This Row],[smo_id]],Posizioni[smo_id],0),MATCH("LUKB_id",PIntestazioni,0)-1,1,1)</f>
        <v>506012,178,1</v>
      </c>
      <c r="C16" s="1668" t="str">
        <f ca="1">HYPERLINK("https://boersenundmaerkte.lukb.ch/lukb/details/"&amp;Valori[[#This Row],[LUKB_id]],"è")</f>
        <v>è</v>
      </c>
      <c r="D16" s="142" t="str" cm="1">
        <f t="array" aca="1" ref="D16" ca="1">OFFSET(POrigin,MATCH(Valori[[#This Row],[LUKB_id]],PID,0),MATCH("SC_GROUPED",PIntestazioni,0)-1,1,1)</f>
        <v>CUR</v>
      </c>
      <c r="E16" s="413" t="str" cm="1">
        <f t="array" aca="1" ref="E16" ca="1">OFFSET(POrigin,MATCH(Valori[[#This Row],[LUKB_id]],PID,0),MATCH("isin",PIntestazioni,0)-1,1,1)</f>
        <v>XC0001458436</v>
      </c>
      <c r="F16" s="34" t="str" cm="1">
        <f t="array" aca="1" ref="F16" ca="1">OFFSET(POrigin,MATCH(Valori[[#This Row],[LUKB_id]],PID,0),MATCH("NSIN_CH",PLabel,0)-1,1,1)</f>
        <v>506012</v>
      </c>
      <c r="G16" s="95" t="str" cm="1">
        <f t="array" aca="1" ref="G16" ca="1">IF(OFFSET(POrigin,MATCH(Valori[[#This Row],[LUKB_id]],PID,0),MATCH("INSTRUNIT",PLabel,0)-1,1,1)="Nominal","Pct","Unit")</f>
        <v>Unit</v>
      </c>
      <c r="H16" s="612">
        <f ca="1">MAX(OFFSET(POrigin,MATCH(Valori[[#This Row],[LUKB_id]],PID,0),MATCH("PRICINGAMT",PLabel,0)-1,1,1),1)</f>
        <v>1</v>
      </c>
      <c r="I16" s="615" t="str" cm="1">
        <f t="array" aca="1" ref="I16" ca="1">OFFSET(POrigin,MATCH(Valori[[#This Row],[LUKB_id]],PID,0),MATCH("M_NAME",PLabel,0)-1,1,1)</f>
        <v>NZD/CHF</v>
      </c>
      <c r="J16" s="142" t="s">
        <v>963</v>
      </c>
      <c r="M16" s="142" t="str" cm="1">
        <f t="array" aca="1" ref="M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NZD</v>
      </c>
      <c r="N16" s="1563">
        <f ca="1">COUNTIF('CHF M'!smo_id,Valori[[#This Row],[smo_id]])+COUNTIF('CHF MA'!smo_id,Valori[[#This Row],[smo_id]])+COUNTIF('EUR MB'!smo_id,Valori[[#This Row],[smo_id]])+COUNTIF('EUR M'!smo_id,Valori[[#This Row],[smo_id]])+COUNTIF(AGCO!smo_id,Valori[[#This Row],[smo_id]])</f>
        <v>0</v>
      </c>
      <c r="O16" s="1590" cm="1">
        <f t="array" aca="1" ref="O16" ca="1">SUM(IF('CHF M'!smo_id=Valori[[#This Row],[smo_id]],'CHF M'!Posizione))+SUM(IF('CHF MA'!smo_id=Valori[[#This Row],[smo_id]],'CHF MA'!Posizione))+SUM(IF('EUR MB'!smo_id=Valori[[#This Row],[smo_id]],'EUR MB'!Posizione))+SUM(IF('EUR M'!smo_id=Valori[[#This Row],[smo_id]],'EUR M'!Posizione))+SUM(IF(AGCO!smo_id=Valori[[#This Row],[smo_id]],AGCO!Posizione))</f>
        <v>0</v>
      </c>
      <c r="P16" s="1661" t="str">
        <f ca="1">HYPERLINK(Valori[[#This Row],[P_Source]],"è")</f>
        <v>è</v>
      </c>
      <c r="Q16" s="1663" t="str">
        <f>HYPERLINK(Valori[[#This Row],[Info_W]],"i")</f>
        <v>i</v>
      </c>
      <c r="R16" s="1664" t="str">
        <f>HYPERLINK(Valori[[#This Row],[FN_W]],"")</f>
        <v></v>
      </c>
      <c r="S16" s="1665" t="str">
        <f>HYPERLINK(Valori[[#This Row],[MS_Link]],"")</f>
        <v></v>
      </c>
      <c r="T16" s="1665" t="str">
        <f>HYPERLINK(Valori[[#This Row],[C_source]],"")</f>
        <v></v>
      </c>
      <c r="U16" s="142" t="str" cm="1">
        <f t="array" aca="1" ref="U16" ca="1">OFFSET(POrigin,MATCH(Valori[[#This Row],[LUKB_id]],PID,0),MATCH("M_CUR",PLabel,0)-1,1,1)</f>
        <v>CHF</v>
      </c>
      <c r="V16" s="1562">
        <f ca="1">(Valori[[#This Row],[Last]]+Valori[[#This Row],[Acc. Int]])/Valori[[#This Row],[Pr.Amt]]/IF(Valori[[#This Row],[P_Type]]="Pct",100,1)</f>
        <v>0.46030499999999996</v>
      </c>
      <c r="W16" s="1591" cm="1">
        <f t="array" aca="1" ref="W16" ca="1">OFFSET(POrigin,MATCH(Valori[[#This Row],[LUKB_id]],PID,0),MATCH("NC2_PR",PLabel,0)-1,1,1)/100</f>
        <v>-5.5952199999999997E-3</v>
      </c>
      <c r="X16" s="1592" cm="1">
        <f t="array" aca="1" ref="X16" ca="1">OFFSET(POrigin,MATCH(Valori[[#This Row],[LUKB_id]],PID,0),MATCH("LVAL",PLabel,0)-1,1,1)</f>
        <v>0.46030499999999996</v>
      </c>
      <c r="Y16" s="1593" cm="1">
        <f t="array" aca="1" ref="Y16" ca="1">OFFSET(POrigin,MATCH(Valori[[#This Row],[LUKB_id]],PID,0),MATCH("LVAL:datetime",PLabel,0)-1,1,1)</f>
        <v>46084.796342592592</v>
      </c>
      <c r="Z16" s="1594" cm="1">
        <f t="array" aca="1" ref="Z16" ca="1">OFFSET(POrigin,MATCH(Valori[[#This Row],[LUKB_id]],PID,0),MATCH("BID:volume",PLabel,0)-1,1,1)</f>
        <v>0</v>
      </c>
      <c r="AA16" s="1595" cm="1">
        <f t="array" aca="1" ref="AA16" ca="1">OFFSET(POrigin,MATCH(Valori[[#This Row],[LUKB_id]],PID,0),MATCH("BID",PLabel,0)-1,1,1)</f>
        <v>0.46026000000000006</v>
      </c>
      <c r="AB16" s="1595" cm="1">
        <f t="array" aca="1" ref="AB16" ca="1">OFFSET(POrigin,MATCH(Valori[[#This Row],[LUKB_id]],PID,0),MATCH("ASK",PLabel,0)-1,1,1)</f>
        <v>0.46035000000000004</v>
      </c>
      <c r="AC16" s="1594" cm="1">
        <f t="array" aca="1" ref="AC16" ca="1">OFFSET(POrigin,MATCH(Valori[[#This Row],[LUKB_id]],PID,0),MATCH("ASK:volume",PLabel,0)-1,1,1)</f>
        <v>0</v>
      </c>
      <c r="AD16" s="1596" cm="1">
        <f t="array" aca="1" ref="AD16" ca="1">OFFSET(POrigin,MATCH(Valori[[#This Row],[LUKB_id]],PID,0),MATCH("BID-ASK Spread %",PLabel,0)-1,1,1)</f>
        <v>1.3035260379323031E-4</v>
      </c>
      <c r="AE16" s="1597" t="str" cm="1">
        <f t="array" aca="1" ref="AE16" ca="1">IF(OFFSET(POrigin,MATCH(Valori[[#This Row],[LUKB_id]],PID,0),MATCH("MATURITY",PLabel,0)-1,1,1)&gt;0,OFFSET(POrigin,MATCH(Valori[[#This Row],[LUKB_id]],PID,0),MATCH("MATURITY",PLabel,0)-1,1,1),"")</f>
        <v/>
      </c>
      <c r="AF16" s="1598" cm="1">
        <f t="array" aca="1" ref="AF16" ca="1">OFFSET(POrigin,MATCH(Valori[[#This Row],[LUKB_id]],PID,0),MATCH("ACCINT",PLabel,0)-1,1,1)</f>
        <v>0</v>
      </c>
      <c r="AG16" s="1594" cm="1">
        <f t="array" aca="1" ref="AG16" ca="1">OFFSET(POrigin,MATCH(Valori[[#This Row],[LUKB_id]],PID,0),MATCH("DENOM",PLabel,0)-1,1,1)</f>
        <v>0</v>
      </c>
      <c r="AH16" s="1599" cm="1">
        <f t="array" aca="1" ref="AH16" ca="1">(OFFSET(POrigin,MATCH(Valori[[#This Row],[LUKB_id]],PID,0),MATCH("YIELD",PLabel,0)-1,1,1)+OFFSET(POrigin,MATCH(Valori[[#This Row],[LUKB_id]],PID,0),MATCH("YLDEQ",PLabel,0)-1,1,1))/100</f>
        <v>0</v>
      </c>
      <c r="AI16" s="1600">
        <f ca="1">OFFSET(POrigin,MATCH(Valori[[#This Row],[LUKB_id]],PID,0),MATCH("DIVIDEND",PLabel,0)-1,1,1)</f>
        <v>0</v>
      </c>
      <c r="AJ16" s="1601">
        <f ca="1">OFFSET(POrigin,MATCH(Valori[[#This Row],[LUKB_id]],PID,0),MATCH("DIVIDEND:datetime",PLabel,0)-1,1,1)</f>
        <v>0</v>
      </c>
      <c r="AK16" s="1602">
        <f ca="1">OFFSET(POrigin,MATCH(Valori[[#This Row],[LUKB_id]],PID,0),MATCH("INTEREST",PLabel,0)-1,1,1)</f>
        <v>0</v>
      </c>
      <c r="AL16" s="1603">
        <f ca="1">OFFSET(POrigin,MATCH(Valori[[#This Row],[LUKB_id]],PID,0),MATCH("4W_PERF_PR",PLabel,0)-1,1,1)/100</f>
        <v>0</v>
      </c>
      <c r="AM16" s="1603">
        <f ca="1">OFFSET(POrigin,MATCH(Valori[[#This Row],[LUKB_id]],PID,0),MATCH("12W_PERF_PR",PLabel,0)-1,1,1)/100</f>
        <v>0</v>
      </c>
      <c r="AN16" s="1603">
        <f ca="1">OFFSET(POrigin,MATCH(Valori[[#This Row],[LUKB_id]],PID,0),MATCH("YTD_PERF_PR",PLabel,0)-1,1,1)/100</f>
        <v>1.0859539999999999E-2</v>
      </c>
      <c r="AO16" s="1591"/>
      <c r="AP16" s="1591"/>
      <c r="AQ16" s="1591"/>
      <c r="AR16" s="1591"/>
      <c r="AS16" s="1890" t="s">
        <v>877</v>
      </c>
      <c r="AT16" s="1890" t="s">
        <v>877</v>
      </c>
      <c r="AU16" s="610"/>
      <c r="AV16" s="1891" t="s">
        <v>964</v>
      </c>
      <c r="AW16" s="1604" t="str">
        <f ca="1">"https://boersenundmaerkte.lukb.ch/lukb/details/"&amp;Valori[[#This Row],[LUKB_id]]</f>
        <v>https://boersenundmaerkte.lukb.ch/lukb/details/506012,178,1</v>
      </c>
      <c r="AX1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 s="142"/>
      <c r="AZ16" s="142"/>
      <c r="BA16" s="142"/>
      <c r="BB16" s="142"/>
    </row>
    <row r="17" spans="1:54" ht="15" customHeight="1" x14ac:dyDescent="0.2">
      <c r="A17" s="142" t="s">
        <v>965</v>
      </c>
      <c r="B17" s="142" t="str" cm="1">
        <f t="array" aca="1" ref="B17" ca="1">OFFSET(POrigin,MATCH(Valori[[#This Row],[smo_id]],Posizioni[smo_id],0),MATCH("LUKB_id",PIntestazioni,0)-1,1,1)</f>
        <v>1049216,149,1</v>
      </c>
      <c r="C17" s="1668" t="str">
        <f ca="1">HYPERLINK("https://boersenundmaerkte.lukb.ch/lukb/details/"&amp;Valori[[#This Row],[LUKB_id]],"è")</f>
        <v>è</v>
      </c>
      <c r="D17" s="142" t="str" cm="1">
        <f t="array" aca="1" ref="D17" ca="1">OFFSET(POrigin,MATCH(Valori[[#This Row],[LUKB_id]],PID,0),MATCH("SC_GROUPED",PIntestazioni,0)-1,1,1)</f>
        <v>CUR</v>
      </c>
      <c r="E17" s="413" t="str" cm="1">
        <f t="array" aca="1" ref="E17" ca="1">OFFSET(POrigin,MATCH(Valori[[#This Row],[LUKB_id]],PID,0),MATCH("isin",PIntestazioni,0)-1,1,1)</f>
        <v>XD0010492169</v>
      </c>
      <c r="F17" s="34" t="str" cm="1">
        <f t="array" aca="1" ref="F17" ca="1">OFFSET(POrigin,MATCH(Valori[[#This Row],[LUKB_id]],PID,0),MATCH("NSIN_CH",PLabel,0)-1,1,1)</f>
        <v>1049216</v>
      </c>
      <c r="G17" s="95" t="str" cm="1">
        <f t="array" aca="1" ref="G17" ca="1">IF(OFFSET(POrigin,MATCH(Valori[[#This Row],[LUKB_id]],PID,0),MATCH("INSTRUNIT",PLabel,0)-1,1,1)="Nominal","Pct","Unit")</f>
        <v>Unit</v>
      </c>
      <c r="H17" s="612">
        <f ca="1">MAX(OFFSET(POrigin,MATCH(Valori[[#This Row],[LUKB_id]],PID,0),MATCH("PRICINGAMT",PLabel,0)-1,1,1),1)</f>
        <v>100</v>
      </c>
      <c r="I17" s="615" t="str" cm="1">
        <f t="array" aca="1" ref="I17" ca="1">OFFSET(POrigin,MATCH(Valori[[#This Row],[LUKB_id]],PID,0),MATCH("M_NAME",PLabel,0)-1,1,1)</f>
        <v>RUB/CHF</v>
      </c>
      <c r="J17" s="142" t="s">
        <v>966</v>
      </c>
      <c r="M17" s="142" t="str" cm="1">
        <f t="array" aca="1" ref="M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RUB</v>
      </c>
      <c r="N17" s="1563">
        <f ca="1">COUNTIF('CHF M'!smo_id,Valori[[#This Row],[smo_id]])+COUNTIF('CHF MA'!smo_id,Valori[[#This Row],[smo_id]])+COUNTIF('EUR MB'!smo_id,Valori[[#This Row],[smo_id]])+COUNTIF('EUR M'!smo_id,Valori[[#This Row],[smo_id]])+COUNTIF(AGCO!smo_id,Valori[[#This Row],[smo_id]])</f>
        <v>0</v>
      </c>
      <c r="O17" s="1590" cm="1">
        <f t="array" aca="1" ref="O17" ca="1">SUM(IF('CHF M'!smo_id=Valori[[#This Row],[smo_id]],'CHF M'!Posizione))+SUM(IF('CHF MA'!smo_id=Valori[[#This Row],[smo_id]],'CHF MA'!Posizione))+SUM(IF('EUR MB'!smo_id=Valori[[#This Row],[smo_id]],'EUR MB'!Posizione))+SUM(IF('EUR M'!smo_id=Valori[[#This Row],[smo_id]],'EUR M'!Posizione))+SUM(IF(AGCO!smo_id=Valori[[#This Row],[smo_id]],AGCO!Posizione))</f>
        <v>0</v>
      </c>
      <c r="P17" s="1661" t="str">
        <f ca="1">HYPERLINK(Valori[[#This Row],[P_Source]],"è")</f>
        <v>è</v>
      </c>
      <c r="Q17" s="1663" t="str">
        <f>HYPERLINK(Valori[[#This Row],[Info_W]],"i")</f>
        <v>i</v>
      </c>
      <c r="R17" s="1664" t="str">
        <f>HYPERLINK(Valori[[#This Row],[FN_W]],"")</f>
        <v></v>
      </c>
      <c r="S17" s="1665" t="str">
        <f>HYPERLINK(Valori[[#This Row],[MS_Link]],"")</f>
        <v></v>
      </c>
      <c r="T17" s="1665" t="str">
        <f>HYPERLINK(Valori[[#This Row],[C_source]],"")</f>
        <v></v>
      </c>
      <c r="U17" s="142" t="str" cm="1">
        <f t="array" aca="1" ref="U17" ca="1">OFFSET(POrigin,MATCH(Valori[[#This Row],[LUKB_id]],PID,0),MATCH("M_CUR",PLabel,0)-1,1,1)</f>
        <v>CHF</v>
      </c>
      <c r="V17" s="1562">
        <f ca="1">(Valori[[#This Row],[Last]]+Valori[[#This Row],[Acc. Int]])/Valori[[#This Row],[Pr.Amt]]/IF(Valori[[#This Row],[P_Type]]="Pct",100,1)</f>
        <v>1.0076313100000001E-2</v>
      </c>
      <c r="W17" s="1591" cm="1">
        <f t="array" aca="1" ref="W17" ca="1">OFFSET(POrigin,MATCH(Valori[[#This Row],[LUKB_id]],PID,0),MATCH("NC2_PR",PLabel,0)-1,1,1)/100</f>
        <v>1.7900800000000001E-3</v>
      </c>
      <c r="X17" s="1592" cm="1">
        <f t="array" aca="1" ref="X17" ca="1">OFFSET(POrigin,MATCH(Valori[[#This Row],[LUKB_id]],PID,0),MATCH("LVAL",PLabel,0)-1,1,1)</f>
        <v>1.0076313100000001</v>
      </c>
      <c r="Y17" s="1593" cm="1">
        <f t="array" aca="1" ref="Y17" ca="1">OFFSET(POrigin,MATCH(Valori[[#This Row],[LUKB_id]],PID,0),MATCH("LVAL:datetime",PLabel,0)-1,1,1)</f>
        <v>46084.796284722222</v>
      </c>
      <c r="Z17" s="1594" cm="1">
        <f t="array" aca="1" ref="Z17" ca="1">OFFSET(POrigin,MATCH(Valori[[#This Row],[LUKB_id]],PID,0),MATCH("BID:volume",PLabel,0)-1,1,1)</f>
        <v>0</v>
      </c>
      <c r="AA17" s="1595" cm="1">
        <f t="array" aca="1" ref="AA17" ca="1">OFFSET(POrigin,MATCH(Valori[[#This Row],[LUKB_id]],PID,0),MATCH("BID",PLabel,0)-1,1,1)</f>
        <v>1.0073220000000001</v>
      </c>
      <c r="AB17" s="1595" cm="1">
        <f t="array" aca="1" ref="AB17" ca="1">OFFSET(POrigin,MATCH(Valori[[#This Row],[LUKB_id]],PID,0),MATCH("ASK",PLabel,0)-1,1,1)</f>
        <v>1.0079400000000001</v>
      </c>
      <c r="AC17" s="1594" cm="1">
        <f t="array" aca="1" ref="AC17" ca="1">OFFSET(POrigin,MATCH(Valori[[#This Row],[LUKB_id]],PID,0),MATCH("ASK:volume",PLabel,0)-1,1,1)</f>
        <v>0</v>
      </c>
      <c r="AD17" s="1596" cm="1">
        <f t="array" aca="1" ref="AD17" ca="1">OFFSET(POrigin,MATCH(Valori[[#This Row],[LUKB_id]],PID,0),MATCH("BID-ASK Spread %",PLabel,0)-1,1,1)</f>
        <v>4.0892163790981983E-4</v>
      </c>
      <c r="AE17" s="1597" t="str" cm="1">
        <f t="array" aca="1" ref="AE17" ca="1">IF(OFFSET(POrigin,MATCH(Valori[[#This Row],[LUKB_id]],PID,0),MATCH("MATURITY",PLabel,0)-1,1,1)&gt;0,OFFSET(POrigin,MATCH(Valori[[#This Row],[LUKB_id]],PID,0),MATCH("MATURITY",PLabel,0)-1,1,1),"")</f>
        <v/>
      </c>
      <c r="AF17" s="1598" cm="1">
        <f t="array" aca="1" ref="AF17" ca="1">OFFSET(POrigin,MATCH(Valori[[#This Row],[LUKB_id]],PID,0),MATCH("ACCINT",PLabel,0)-1,1,1)</f>
        <v>0</v>
      </c>
      <c r="AG17" s="1594" cm="1">
        <f t="array" aca="1" ref="AG17" ca="1">OFFSET(POrigin,MATCH(Valori[[#This Row],[LUKB_id]],PID,0),MATCH("DENOM",PLabel,0)-1,1,1)</f>
        <v>0</v>
      </c>
      <c r="AH17" s="1599" cm="1">
        <f t="array" aca="1" ref="AH17" ca="1">(OFFSET(POrigin,MATCH(Valori[[#This Row],[LUKB_id]],PID,0),MATCH("YIELD",PLabel,0)-1,1,1)+OFFSET(POrigin,MATCH(Valori[[#This Row],[LUKB_id]],PID,0),MATCH("YLDEQ",PLabel,0)-1,1,1))/100</f>
        <v>0</v>
      </c>
      <c r="AI17" s="1600">
        <f ca="1">OFFSET(POrigin,MATCH(Valori[[#This Row],[LUKB_id]],PID,0),MATCH("DIVIDEND",PLabel,0)-1,1,1)</f>
        <v>0</v>
      </c>
      <c r="AJ17" s="1601">
        <f ca="1">OFFSET(POrigin,MATCH(Valori[[#This Row],[LUKB_id]],PID,0),MATCH("DIVIDEND:datetime",PLabel,0)-1,1,1)</f>
        <v>0</v>
      </c>
      <c r="AK17" s="1602">
        <f ca="1">OFFSET(POrigin,MATCH(Valori[[#This Row],[LUKB_id]],PID,0),MATCH("INTEREST",PLabel,0)-1,1,1)</f>
        <v>0</v>
      </c>
      <c r="AL17" s="1603">
        <f ca="1">OFFSET(POrigin,MATCH(Valori[[#This Row],[LUKB_id]],PID,0),MATCH("4W_PERF_PR",PLabel,0)-1,1,1)/100</f>
        <v>-1.3865936226903441E-2</v>
      </c>
      <c r="AM17" s="1603">
        <f ca="1">OFFSET(POrigin,MATCH(Valori[[#This Row],[LUKB_id]],PID,0),MATCH("12W_PERF_PR",PLabel,0)-1,1,1)/100</f>
        <v>-4.5854390320899704E-2</v>
      </c>
      <c r="AN17" s="1603">
        <f ca="1">OFFSET(POrigin,MATCH(Valori[[#This Row],[LUKB_id]],PID,0),MATCH("YTD_PERF_PR",PLabel,0)-1,1,1)/100</f>
        <v>5.5730599999999995E-3</v>
      </c>
      <c r="AO17" s="1591"/>
      <c r="AP17" s="1591"/>
      <c r="AQ17" s="1591"/>
      <c r="AR17" s="1591"/>
      <c r="AS17" s="1890" t="s">
        <v>877</v>
      </c>
      <c r="AT17" s="1890" t="s">
        <v>877</v>
      </c>
      <c r="AU17" s="610"/>
      <c r="AV17" s="1891" t="s">
        <v>967</v>
      </c>
      <c r="AW17" s="1604" t="str">
        <f ca="1">"https://boersenundmaerkte.lukb.ch/lukb/details/"&amp;Valori[[#This Row],[LUKB_id]]</f>
        <v>https://boersenundmaerkte.lukb.ch/lukb/details/1049216,149,1</v>
      </c>
      <c r="AX17"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7" s="142"/>
      <c r="AZ17" s="142"/>
      <c r="BA17" s="142"/>
      <c r="BB17" s="142"/>
    </row>
    <row r="18" spans="1:54" ht="15" customHeight="1" x14ac:dyDescent="0.2">
      <c r="A18" s="142" t="s">
        <v>968</v>
      </c>
      <c r="B18" s="142" t="str" cm="1">
        <f t="array" aca="1" ref="B18" ca="1">OFFSET(POrigin,MATCH(Valori[[#This Row],[smo_id]],Posizioni[smo_id],0),MATCH("LUKB_id",PIntestazioni,0)-1,1,1)</f>
        <v>275013,178,1</v>
      </c>
      <c r="C18" s="1668" t="str">
        <f ca="1">HYPERLINK("https://boersenundmaerkte.lukb.ch/lukb/details/"&amp;Valori[[#This Row],[LUKB_id]],"è")</f>
        <v>è</v>
      </c>
      <c r="D18" s="142" t="str" cm="1">
        <f t="array" aca="1" ref="D18" ca="1">OFFSET(POrigin,MATCH(Valori[[#This Row],[LUKB_id]],PID,0),MATCH("SC_GROUPED",PIntestazioni,0)-1,1,1)</f>
        <v>CUR</v>
      </c>
      <c r="E18" s="413" t="str" cm="1">
        <f t="array" aca="1" ref="E18" ca="1">OFFSET(POrigin,MATCH(Valori[[#This Row],[LUKB_id]],PID,0),MATCH("isin",PIntestazioni,0)-1,1,1)</f>
        <v>XC0001717336</v>
      </c>
      <c r="F18" s="34" t="str" cm="1">
        <f t="array" aca="1" ref="F18" ca="1">OFFSET(POrigin,MATCH(Valori[[#This Row],[LUKB_id]],PID,0),MATCH("NSIN_CH",PLabel,0)-1,1,1)</f>
        <v>275013</v>
      </c>
      <c r="G18" s="95" t="str" cm="1">
        <f t="array" aca="1" ref="G18" ca="1">IF(OFFSET(POrigin,MATCH(Valori[[#This Row],[LUKB_id]],PID,0),MATCH("INSTRUNIT",PLabel,0)-1,1,1)="Nominal","Pct","Unit")</f>
        <v>Unit</v>
      </c>
      <c r="H18" s="612">
        <f ca="1">MAX(OFFSET(POrigin,MATCH(Valori[[#This Row],[LUKB_id]],PID,0),MATCH("PRICINGAMT",PLabel,0)-1,1,1),1)</f>
        <v>100</v>
      </c>
      <c r="I18" s="615" t="str" cm="1">
        <f t="array" aca="1" ref="I18" ca="1">OFFSET(POrigin,MATCH(Valori[[#This Row],[LUKB_id]],PID,0),MATCH("M_NAME",PLabel,0)-1,1,1)</f>
        <v>SEK/CHF</v>
      </c>
      <c r="J18" s="142" t="s">
        <v>969</v>
      </c>
      <c r="M18" s="142" t="str" cm="1">
        <f t="array" aca="1" ref="M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SEK</v>
      </c>
      <c r="N18" s="1563">
        <f ca="1">COUNTIF('CHF M'!smo_id,Valori[[#This Row],[smo_id]])+COUNTIF('CHF MA'!smo_id,Valori[[#This Row],[smo_id]])+COUNTIF('EUR MB'!smo_id,Valori[[#This Row],[smo_id]])+COUNTIF('EUR M'!smo_id,Valori[[#This Row],[smo_id]])+COUNTIF(AGCO!smo_id,Valori[[#This Row],[smo_id]])</f>
        <v>0</v>
      </c>
      <c r="O18" s="1590" cm="1">
        <f t="array" aca="1" ref="O18" ca="1">SUM(IF('CHF M'!smo_id=Valori[[#This Row],[smo_id]],'CHF M'!Posizione))+SUM(IF('CHF MA'!smo_id=Valori[[#This Row],[smo_id]],'CHF MA'!Posizione))+SUM(IF('EUR MB'!smo_id=Valori[[#This Row],[smo_id]],'EUR MB'!Posizione))+SUM(IF('EUR M'!smo_id=Valori[[#This Row],[smo_id]],'EUR M'!Posizione))+SUM(IF(AGCO!smo_id=Valori[[#This Row],[smo_id]],AGCO!Posizione))</f>
        <v>0</v>
      </c>
      <c r="P18" s="1661" t="str">
        <f ca="1">HYPERLINK(Valori[[#This Row],[P_Source]],"è")</f>
        <v>è</v>
      </c>
      <c r="Q18" s="1663" t="str">
        <f>HYPERLINK(Valori[[#This Row],[Info_W]],"i")</f>
        <v>i</v>
      </c>
      <c r="R18" s="1664" t="str">
        <f>HYPERLINK(Valori[[#This Row],[FN_W]],"")</f>
        <v></v>
      </c>
      <c r="S18" s="1665" t="str">
        <f>HYPERLINK(Valori[[#This Row],[MS_Link]],"")</f>
        <v></v>
      </c>
      <c r="T18" s="1665" t="str">
        <f>HYPERLINK(Valori[[#This Row],[C_source]],"")</f>
        <v></v>
      </c>
      <c r="U18" s="142" t="str" cm="1">
        <f t="array" aca="1" ref="U18" ca="1">OFFSET(POrigin,MATCH(Valori[[#This Row],[LUKB_id]],PID,0),MATCH("M_CUR",PLabel,0)-1,1,1)</f>
        <v>CHF</v>
      </c>
      <c r="V18" s="1562">
        <f ca="1">(Valori[[#This Row],[Last]]+Valori[[#This Row],[Acc. Int]])/Valori[[#This Row],[Pr.Amt]]/IF(Valori[[#This Row],[P_Type]]="Pct",100,1)</f>
        <v>8.4205000000000002E-2</v>
      </c>
      <c r="W18" s="1591" cm="1">
        <f t="array" aca="1" ref="W18" ca="1">OFFSET(POrigin,MATCH(Valori[[#This Row],[LUKB_id]],PID,0),MATCH("NC2_PR",PLabel,0)-1,1,1)/100</f>
        <v>-1.010992E-2</v>
      </c>
      <c r="X18" s="1592" cm="1">
        <f t="array" aca="1" ref="X18" ca="1">OFFSET(POrigin,MATCH(Valori[[#This Row],[LUKB_id]],PID,0),MATCH("LVAL",PLabel,0)-1,1,1)</f>
        <v>8.4205000000000005</v>
      </c>
      <c r="Y18" s="1593" cm="1">
        <f t="array" aca="1" ref="Y18" ca="1">OFFSET(POrigin,MATCH(Valori[[#This Row],[LUKB_id]],PID,0),MATCH("LVAL:datetime",PLabel,0)-1,1,1)</f>
        <v>46084.796354166669</v>
      </c>
      <c r="Z18" s="1594" cm="1">
        <f t="array" aca="1" ref="Z18" ca="1">OFFSET(POrigin,MATCH(Valori[[#This Row],[LUKB_id]],PID,0),MATCH("BID:volume",PLabel,0)-1,1,1)</f>
        <v>0</v>
      </c>
      <c r="AA18" s="1595" cm="1">
        <f t="array" aca="1" ref="AA18" ca="1">OFFSET(POrigin,MATCH(Valori[[#This Row],[LUKB_id]],PID,0),MATCH("BID",PLabel,0)-1,1,1)</f>
        <v>8.4190000000000005</v>
      </c>
      <c r="AB18" s="1595" cm="1">
        <f t="array" aca="1" ref="AB18" ca="1">OFFSET(POrigin,MATCH(Valori[[#This Row],[LUKB_id]],PID,0),MATCH("ASK",PLabel,0)-1,1,1)</f>
        <v>8.4220000000000006</v>
      </c>
      <c r="AC18" s="1594" cm="1">
        <f t="array" aca="1" ref="AC18" ca="1">OFFSET(POrigin,MATCH(Valori[[#This Row],[LUKB_id]],PID,0),MATCH("ASK:volume",PLabel,0)-1,1,1)</f>
        <v>0</v>
      </c>
      <c r="AD18" s="1596" cm="1">
        <f t="array" aca="1" ref="AD18" ca="1">OFFSET(POrigin,MATCH(Valori[[#This Row],[LUKB_id]],PID,0),MATCH("BID-ASK Spread %",PLabel,0)-1,1,1)</f>
        <v>2.3752969121141042E-4</v>
      </c>
      <c r="AE18" s="1597" t="str" cm="1">
        <f t="array" aca="1" ref="AE18" ca="1">IF(OFFSET(POrigin,MATCH(Valori[[#This Row],[LUKB_id]],PID,0),MATCH("MATURITY",PLabel,0)-1,1,1)&gt;0,OFFSET(POrigin,MATCH(Valori[[#This Row],[LUKB_id]],PID,0),MATCH("MATURITY",PLabel,0)-1,1,1),"")</f>
        <v/>
      </c>
      <c r="AF18" s="1598" cm="1">
        <f t="array" aca="1" ref="AF18" ca="1">OFFSET(POrigin,MATCH(Valori[[#This Row],[LUKB_id]],PID,0),MATCH("ACCINT",PLabel,0)-1,1,1)</f>
        <v>0</v>
      </c>
      <c r="AG18" s="1594" cm="1">
        <f t="array" aca="1" ref="AG18" ca="1">OFFSET(POrigin,MATCH(Valori[[#This Row],[LUKB_id]],PID,0),MATCH("DENOM",PLabel,0)-1,1,1)</f>
        <v>0</v>
      </c>
      <c r="AH18" s="1599" cm="1">
        <f t="array" aca="1" ref="AH18" ca="1">(OFFSET(POrigin,MATCH(Valori[[#This Row],[LUKB_id]],PID,0),MATCH("YIELD",PLabel,0)-1,1,1)+OFFSET(POrigin,MATCH(Valori[[#This Row],[LUKB_id]],PID,0),MATCH("YLDEQ",PLabel,0)-1,1,1))/100</f>
        <v>0</v>
      </c>
      <c r="AI18" s="1600">
        <f ca="1">OFFSET(POrigin,MATCH(Valori[[#This Row],[LUKB_id]],PID,0),MATCH("DIVIDEND",PLabel,0)-1,1,1)</f>
        <v>0</v>
      </c>
      <c r="AJ18" s="1601">
        <f ca="1">OFFSET(POrigin,MATCH(Valori[[#This Row],[LUKB_id]],PID,0),MATCH("DIVIDEND:datetime",PLabel,0)-1,1,1)</f>
        <v>0</v>
      </c>
      <c r="AK18" s="1602">
        <f ca="1">OFFSET(POrigin,MATCH(Valori[[#This Row],[LUKB_id]],PID,0),MATCH("INTEREST",PLabel,0)-1,1,1)</f>
        <v>0</v>
      </c>
      <c r="AL18" s="1603">
        <f ca="1">OFFSET(POrigin,MATCH(Valori[[#This Row],[LUKB_id]],PID,0),MATCH("4W_PERF_PR",PLabel,0)-1,1,1)/100</f>
        <v>-2.1566597653554172E-2</v>
      </c>
      <c r="AM18" s="1603">
        <f ca="1">OFFSET(POrigin,MATCH(Valori[[#This Row],[LUKB_id]],PID,0),MATCH("12W_PERF_PR",PLabel,0)-1,1,1)/100</f>
        <v>-9.3746360777918845E-3</v>
      </c>
      <c r="AN18" s="1603">
        <f ca="1">OFFSET(POrigin,MATCH(Valori[[#This Row],[LUKB_id]],PID,0),MATCH("YTD_PERF_PR",PLabel,0)-1,1,1)/100</f>
        <v>-2.0872089999999999E-2</v>
      </c>
      <c r="AO18" s="1591"/>
      <c r="AP18" s="1591"/>
      <c r="AQ18" s="1591"/>
      <c r="AR18" s="1591"/>
      <c r="AS18" s="1890" t="s">
        <v>877</v>
      </c>
      <c r="AT18" s="1890" t="s">
        <v>877</v>
      </c>
      <c r="AU18" s="610"/>
      <c r="AV18" s="1891" t="s">
        <v>970</v>
      </c>
      <c r="AW18" s="1604" t="str">
        <f ca="1">"https://boersenundmaerkte.lukb.ch/lukb/details/"&amp;Valori[[#This Row],[LUKB_id]]</f>
        <v>https://boersenundmaerkte.lukb.ch/lukb/details/275013,178,1</v>
      </c>
      <c r="AX1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 s="142"/>
      <c r="AZ18" s="142"/>
      <c r="BA18" s="142"/>
      <c r="BB18" s="142"/>
    </row>
    <row r="19" spans="1:54" ht="15" customHeight="1" x14ac:dyDescent="0.2">
      <c r="A19" s="142" t="s">
        <v>971</v>
      </c>
      <c r="B19" s="142" t="str" cm="1">
        <f t="array" aca="1" ref="B19" ca="1">OFFSET(POrigin,MATCH(Valori[[#This Row],[smo_id]],Posizioni[smo_id],0),MATCH("LUKB_id",PIntestazioni,0)-1,1,1)</f>
        <v>1992409,149,1</v>
      </c>
      <c r="C19" s="1668" t="str">
        <f ca="1">HYPERLINK("https://boersenundmaerkte.lukb.ch/lukb/details/"&amp;Valori[[#This Row],[LUKB_id]],"è")</f>
        <v>è</v>
      </c>
      <c r="D19" s="142" t="str" cm="1">
        <f t="array" aca="1" ref="D19" ca="1">OFFSET(POrigin,MATCH(Valori[[#This Row],[LUKB_id]],PID,0),MATCH("SC_GROUPED",PIntestazioni,0)-1,1,1)</f>
        <v>CUR</v>
      </c>
      <c r="E19" s="413" t="str" cm="1">
        <f t="array" aca="1" ref="E19" ca="1">OFFSET(POrigin,MATCH(Valori[[#This Row],[LUKB_id]],PID,0),MATCH("isin",PIntestazioni,0)-1,1,1)</f>
        <v>QT0019924098</v>
      </c>
      <c r="F19" s="34" t="str" cm="1">
        <f t="array" aca="1" ref="F19" ca="1">OFFSET(POrigin,MATCH(Valori[[#This Row],[LUKB_id]],PID,0),MATCH("NSIN_CH",PLabel,0)-1,1,1)</f>
        <v>1992409</v>
      </c>
      <c r="G19" s="95" t="str" cm="1">
        <f t="array" aca="1" ref="G19" ca="1">IF(OFFSET(POrigin,MATCH(Valori[[#This Row],[LUKB_id]],PID,0),MATCH("INSTRUNIT",PLabel,0)-1,1,1)="Nominal","Pct","Unit")</f>
        <v>Unit</v>
      </c>
      <c r="H19" s="612">
        <f ca="1">MAX(OFFSET(POrigin,MATCH(Valori[[#This Row],[LUKB_id]],PID,0),MATCH("PRICINGAMT",PLabel,0)-1,1,1),1)</f>
        <v>1</v>
      </c>
      <c r="I19" s="615" t="str" cm="1">
        <f t="array" aca="1" ref="I19" ca="1">OFFSET(POrigin,MATCH(Valori[[#This Row],[LUKB_id]],PID,0),MATCH("M_NAME",PLabel,0)-1,1,1)</f>
        <v>TRY/CHF</v>
      </c>
      <c r="J19" s="142" t="s">
        <v>972</v>
      </c>
      <c r="M19" s="142" t="str" cm="1">
        <f t="array" aca="1" ref="M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TRY</v>
      </c>
      <c r="N19" s="1563">
        <f ca="1">COUNTIF('CHF M'!smo_id,Valori[[#This Row],[smo_id]])+COUNTIF('CHF MA'!smo_id,Valori[[#This Row],[smo_id]])+COUNTIF('EUR MB'!smo_id,Valori[[#This Row],[smo_id]])+COUNTIF('EUR M'!smo_id,Valori[[#This Row],[smo_id]])+COUNTIF(AGCO!smo_id,Valori[[#This Row],[smo_id]])</f>
        <v>0</v>
      </c>
      <c r="O19" s="1590" cm="1">
        <f t="array" aca="1" ref="O19" ca="1">SUM(IF('CHF M'!smo_id=Valori[[#This Row],[smo_id]],'CHF M'!Posizione))+SUM(IF('CHF MA'!smo_id=Valori[[#This Row],[smo_id]],'CHF MA'!Posizione))+SUM(IF('EUR MB'!smo_id=Valori[[#This Row],[smo_id]],'EUR MB'!Posizione))+SUM(IF('EUR M'!smo_id=Valori[[#This Row],[smo_id]],'EUR M'!Posizione))+SUM(IF(AGCO!smo_id=Valori[[#This Row],[smo_id]],AGCO!Posizione))</f>
        <v>0</v>
      </c>
      <c r="P19" s="1661" t="str">
        <f ca="1">HYPERLINK(Valori[[#This Row],[P_Source]],"è")</f>
        <v>è</v>
      </c>
      <c r="Q19" s="1663" t="str">
        <f>HYPERLINK(Valori[[#This Row],[Info_W]],"i")</f>
        <v>i</v>
      </c>
      <c r="R19" s="1664" t="str">
        <f>HYPERLINK(Valori[[#This Row],[FN_W]],"")</f>
        <v></v>
      </c>
      <c r="S19" s="1665" t="str">
        <f>HYPERLINK(Valori[[#This Row],[MS_Link]],"")</f>
        <v></v>
      </c>
      <c r="T19" s="1665" t="str">
        <f>HYPERLINK(Valori[[#This Row],[C_source]],"")</f>
        <v></v>
      </c>
      <c r="U19" s="142" t="str" cm="1">
        <f t="array" aca="1" ref="U19" ca="1">OFFSET(POrigin,MATCH(Valori[[#This Row],[LUKB_id]],PID,0),MATCH("M_CUR",PLabel,0)-1,1,1)</f>
        <v>CHF</v>
      </c>
      <c r="V19" s="1562">
        <f ca="1">(Valori[[#This Row],[Last]]+Valori[[#This Row],[Acc. Int]])/Valori[[#This Row],[Pr.Amt]]/IF(Valori[[#This Row],[P_Type]]="Pct",100,1)</f>
        <v>1.7793590000000001E-2</v>
      </c>
      <c r="W19" s="1591" cm="1">
        <f t="array" aca="1" ref="W19" ca="1">OFFSET(POrigin,MATCH(Valori[[#This Row],[LUKB_id]],PID,0),MATCH("NC2_PR",PLabel,0)-1,1,1)/100</f>
        <v>4.0679399999999999E-3</v>
      </c>
      <c r="X19" s="1592" cm="1">
        <f t="array" aca="1" ref="X19" ca="1">OFFSET(POrigin,MATCH(Valori[[#This Row],[LUKB_id]],PID,0),MATCH("LVAL",PLabel,0)-1,1,1)</f>
        <v>1.7793590000000001E-2</v>
      </c>
      <c r="Y19" s="1593" cm="1">
        <f t="array" aca="1" ref="Y19" ca="1">OFFSET(POrigin,MATCH(Valori[[#This Row],[LUKB_id]],PID,0),MATCH("LVAL:datetime",PLabel,0)-1,1,1)</f>
        <v>46084.796284722222</v>
      </c>
      <c r="Z19" s="1594" cm="1">
        <f t="array" aca="1" ref="Z19" ca="1">OFFSET(POrigin,MATCH(Valori[[#This Row],[LUKB_id]],PID,0),MATCH("BID:volume",PLabel,0)-1,1,1)</f>
        <v>0</v>
      </c>
      <c r="AA19" s="1595" cm="1">
        <f t="array" aca="1" ref="AA19" ca="1">OFFSET(POrigin,MATCH(Valori[[#This Row],[LUKB_id]],PID,0),MATCH("BID",PLabel,0)-1,1,1)</f>
        <v>1.7787000000000001E-2</v>
      </c>
      <c r="AB19" s="1595" cm="1">
        <f t="array" aca="1" ref="AB19" ca="1">OFFSET(POrigin,MATCH(Valori[[#This Row],[LUKB_id]],PID,0),MATCH("ASK",PLabel,0)-1,1,1)</f>
        <v>1.78E-2</v>
      </c>
      <c r="AC19" s="1594" cm="1">
        <f t="array" aca="1" ref="AC19" ca="1">OFFSET(POrigin,MATCH(Valori[[#This Row],[LUKB_id]],PID,0),MATCH("ASK:volume",PLabel,0)-1,1,1)</f>
        <v>0</v>
      </c>
      <c r="AD19" s="1596" cm="1">
        <f t="array" aca="1" ref="AD19" ca="1">OFFSET(POrigin,MATCH(Valori[[#This Row],[LUKB_id]],PID,0),MATCH("BID-ASK Spread %",PLabel,0)-1,1,1)</f>
        <v>4.8712856446955907E-4</v>
      </c>
      <c r="AE19" s="1597" t="str" cm="1">
        <f t="array" aca="1" ref="AE19" ca="1">IF(OFFSET(POrigin,MATCH(Valori[[#This Row],[LUKB_id]],PID,0),MATCH("MATURITY",PLabel,0)-1,1,1)&gt;0,OFFSET(POrigin,MATCH(Valori[[#This Row],[LUKB_id]],PID,0),MATCH("MATURITY",PLabel,0)-1,1,1),"")</f>
        <v/>
      </c>
      <c r="AF19" s="1598" cm="1">
        <f t="array" aca="1" ref="AF19" ca="1">OFFSET(POrigin,MATCH(Valori[[#This Row],[LUKB_id]],PID,0),MATCH("ACCINT",PLabel,0)-1,1,1)</f>
        <v>0</v>
      </c>
      <c r="AG19" s="1594" cm="1">
        <f t="array" aca="1" ref="AG19" ca="1">OFFSET(POrigin,MATCH(Valori[[#This Row],[LUKB_id]],PID,0),MATCH("DENOM",PLabel,0)-1,1,1)</f>
        <v>0</v>
      </c>
      <c r="AH19" s="1599" cm="1">
        <f t="array" aca="1" ref="AH19" ca="1">(OFFSET(POrigin,MATCH(Valori[[#This Row],[LUKB_id]],PID,0),MATCH("YIELD",PLabel,0)-1,1,1)+OFFSET(POrigin,MATCH(Valori[[#This Row],[LUKB_id]],PID,0),MATCH("YLDEQ",PLabel,0)-1,1,1))/100</f>
        <v>0</v>
      </c>
      <c r="AI19" s="1600">
        <f ca="1">OFFSET(POrigin,MATCH(Valori[[#This Row],[LUKB_id]],PID,0),MATCH("DIVIDEND",PLabel,0)-1,1,1)</f>
        <v>0</v>
      </c>
      <c r="AJ19" s="1601">
        <f ca="1">OFFSET(POrigin,MATCH(Valori[[#This Row],[LUKB_id]],PID,0),MATCH("DIVIDEND:datetime",PLabel,0)-1,1,1)</f>
        <v>0</v>
      </c>
      <c r="AK19" s="1602">
        <f ca="1">OFFSET(POrigin,MATCH(Valori[[#This Row],[LUKB_id]],PID,0),MATCH("INTEREST",PLabel,0)-1,1,1)</f>
        <v>0</v>
      </c>
      <c r="AL19" s="1603">
        <f ca="1">OFFSET(POrigin,MATCH(Valori[[#This Row],[LUKB_id]],PID,0),MATCH("4W_PERF_PR",PLabel,0)-1,1,1)/100</f>
        <v>-1.1989485157402143E-2</v>
      </c>
      <c r="AM19" s="1603">
        <f ca="1">OFFSET(POrigin,MATCH(Valori[[#This Row],[LUKB_id]],PID,0),MATCH("12W_PERF_PR",PLabel,0)-1,1,1)/100</f>
        <v>-6.5258625054856231E-2</v>
      </c>
      <c r="AN19" s="1603">
        <f ca="1">OFFSET(POrigin,MATCH(Valori[[#This Row],[LUKB_id]],PID,0),MATCH("YTD_PERF_PR",PLabel,0)-1,1,1)/100</f>
        <v>-3.5646249999999997E-2</v>
      </c>
      <c r="AO19" s="1591"/>
      <c r="AP19" s="1591"/>
      <c r="AQ19" s="1591"/>
      <c r="AR19" s="1591"/>
      <c r="AS19" s="1890" t="s">
        <v>877</v>
      </c>
      <c r="AT19" s="1890" t="s">
        <v>877</v>
      </c>
      <c r="AU19" s="610"/>
      <c r="AV19" s="1891" t="s">
        <v>973</v>
      </c>
      <c r="AW19" s="1604" t="str">
        <f ca="1">"https://boersenundmaerkte.lukb.ch/lukb/details/"&amp;Valori[[#This Row],[LUKB_id]]</f>
        <v>https://boersenundmaerkte.lukb.ch/lukb/details/1992409,149,1</v>
      </c>
      <c r="AX19"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9" s="142"/>
      <c r="AZ19" s="142"/>
      <c r="BA19" s="142"/>
      <c r="BB19" s="142"/>
    </row>
    <row r="20" spans="1:54" ht="15" customHeight="1" x14ac:dyDescent="0.2">
      <c r="A20" s="142" t="s">
        <v>721</v>
      </c>
      <c r="B20" s="142" t="s">
        <v>974</v>
      </c>
      <c r="C20" s="1668" t="str">
        <f>HYPERLINK("https://boersenundmaerkte.lukb.ch/lukb/details/"&amp;Valori[[#This Row],[LUKB_id]],"è")</f>
        <v>è</v>
      </c>
      <c r="D20" s="142" t="str" cm="1">
        <f t="array" aca="1" ref="D20" ca="1">OFFSET(POrigin,MATCH(Valori[[#This Row],[LUKB_id]],PID,0),MATCH("SC_GROUPED",PIntestazioni,0)-1,1,1)</f>
        <v>CUR</v>
      </c>
      <c r="E20" s="413" t="str" cm="1">
        <f t="array" aca="1" ref="E20" ca="1">OFFSET(POrigin,MATCH(Valori[[#This Row],[LUKB_id]],PID,0),MATCH("isin",PIntestazioni,0)-1,1,1)</f>
        <v>XC0009652816</v>
      </c>
      <c r="F20" s="34" t="str" cm="1">
        <f t="array" aca="1" ref="F20" ca="1">OFFSET(POrigin,MATCH(Valori[[#This Row],[LUKB_id]],PID,0),MATCH("NSIN_CH",PLabel,0)-1,1,1)</f>
        <v>275000</v>
      </c>
      <c r="G20" s="95" t="str" cm="1">
        <f t="array" aca="1" ref="G20" ca="1">IF(OFFSET(POrigin,MATCH(Valori[[#This Row],[LUKB_id]],PID,0),MATCH("INSTRUNIT",PLabel,0)-1,1,1)="Nominal","Pct","Unit")</f>
        <v>Unit</v>
      </c>
      <c r="H20" s="612">
        <f ca="1">MAX(OFFSET(POrigin,MATCH(Valori[[#This Row],[LUKB_id]],PID,0),MATCH("PRICINGAMT",PLabel,0)-1,1,1),1)</f>
        <v>1</v>
      </c>
      <c r="I20" s="615" t="str" cm="1">
        <f t="array" aca="1" ref="I20" ca="1">OFFSET(POrigin,MATCH(Valori[[#This Row],[LUKB_id]],PID,0),MATCH("M_NAME",PLabel,0)-1,1,1)</f>
        <v>USD/CHF</v>
      </c>
      <c r="J20" s="142" t="s">
        <v>364</v>
      </c>
      <c r="M20" s="142" t="str" cm="1">
        <f t="array" aca="1" ref="M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0" s="1563">
        <f ca="1">COUNTIF('CHF M'!smo_id,Valori[[#This Row],[smo_id]])+COUNTIF('CHF MA'!smo_id,Valori[[#This Row],[smo_id]])+COUNTIF('EUR MB'!smo_id,Valori[[#This Row],[smo_id]])+COUNTIF('EUR M'!smo_id,Valori[[#This Row],[smo_id]])+COUNTIF(AGCO!smo_id,Valori[[#This Row],[smo_id]])</f>
        <v>3</v>
      </c>
      <c r="O20" s="1590">
        <v>394366.1024999998</v>
      </c>
      <c r="P20" s="1661" t="str">
        <f>HYPERLINK(Valori[[#This Row],[P_Source]],"è")</f>
        <v>è</v>
      </c>
      <c r="Q20" s="1663" t="str">
        <f>HYPERLINK(Valori[[#This Row],[Info_W]],"i")</f>
        <v>i</v>
      </c>
      <c r="R20" s="1664" t="str">
        <f>HYPERLINK(Valori[[#This Row],[FN_W]],"")</f>
        <v></v>
      </c>
      <c r="S20" s="1665" t="str">
        <f>HYPERLINK(Valori[[#This Row],[MS_Link]],"")</f>
        <v></v>
      </c>
      <c r="T20" s="1665" t="str">
        <f>HYPERLINK(Valori[[#This Row],[C_source]],"")</f>
        <v></v>
      </c>
      <c r="U20" s="142" t="str" cm="1">
        <f t="array" aca="1" ref="U20" ca="1">OFFSET(POrigin,MATCH(Valori[[#This Row],[LUKB_id]],PID,0),MATCH("M_CUR",PLabel,0)-1,1,1)</f>
        <v>CHF</v>
      </c>
      <c r="V20" s="1562">
        <f ca="1">(Valori[[#This Row],[Last]]+Valori[[#This Row],[Acc. Int]])/Valori[[#This Row],[Pr.Amt]]/IF(Valori[[#This Row],[P_Type]]="Pct",100,1)</f>
        <v>0.78225000000000011</v>
      </c>
      <c r="W20" s="1591" cm="1">
        <f t="array" aca="1" ref="W20" ca="1">OFFSET(POrigin,MATCH(Valori[[#This Row],[LUKB_id]],PID,0),MATCH("NC2_PR",PLabel,0)-1,1,1)/100</f>
        <v>3.97869E-3</v>
      </c>
      <c r="X20" s="1592" cm="1">
        <f t="array" aca="1" ref="X20" ca="1">OFFSET(POrigin,MATCH(Valori[[#This Row],[LUKB_id]],PID,0),MATCH("LVAL",PLabel,0)-1,1,1)</f>
        <v>0.78225000000000011</v>
      </c>
      <c r="Y20" s="1593" cm="1">
        <f t="array" aca="1" ref="Y20" ca="1">OFFSET(POrigin,MATCH(Valori[[#This Row],[LUKB_id]],PID,0),MATCH("LVAL:datetime",PLabel,0)-1,1,1)</f>
        <v>46084.796249999999</v>
      </c>
      <c r="Z20" s="1594" cm="1">
        <f t="array" aca="1" ref="Z20" ca="1">OFFSET(POrigin,MATCH(Valori[[#This Row],[LUKB_id]],PID,0),MATCH("BID:volume",PLabel,0)-1,1,1)</f>
        <v>0</v>
      </c>
      <c r="AA20" s="1595" cm="1">
        <f t="array" aca="1" ref="AA20" ca="1">OFFSET(POrigin,MATCH(Valori[[#This Row],[LUKB_id]],PID,0),MATCH("BID",PLabel,0)-1,1,1)</f>
        <v>0.78200000000000003</v>
      </c>
      <c r="AB20" s="1595" cm="1">
        <f t="array" aca="1" ref="AB20" ca="1">OFFSET(POrigin,MATCH(Valori[[#This Row],[LUKB_id]],PID,0),MATCH("ASK",PLabel,0)-1,1,1)</f>
        <v>0.78250000000000008</v>
      </c>
      <c r="AC20" s="1594" cm="1">
        <f t="array" aca="1" ref="AC20" ca="1">OFFSET(POrigin,MATCH(Valori[[#This Row],[LUKB_id]],PID,0),MATCH("ASK:volume",PLabel,0)-1,1,1)</f>
        <v>0</v>
      </c>
      <c r="AD20" s="1596" cm="1">
        <f t="array" aca="1" ref="AD20" ca="1">OFFSET(POrigin,MATCH(Valori[[#This Row],[LUKB_id]],PID,0),MATCH("BID-ASK Spread %",PLabel,0)-1,1,1)</f>
        <v>4.2616663115282836E-4</v>
      </c>
      <c r="AE20" s="1597" t="str" cm="1">
        <f t="array" aca="1" ref="AE20" ca="1">IF(OFFSET(POrigin,MATCH(Valori[[#This Row],[LUKB_id]],PID,0),MATCH("MATURITY",PLabel,0)-1,1,1)&gt;0,OFFSET(POrigin,MATCH(Valori[[#This Row],[LUKB_id]],PID,0),MATCH("MATURITY",PLabel,0)-1,1,1),"")</f>
        <v/>
      </c>
      <c r="AF20" s="1598" cm="1">
        <f t="array" aca="1" ref="AF20" ca="1">OFFSET(POrigin,MATCH(Valori[[#This Row],[LUKB_id]],PID,0),MATCH("ACCINT",PLabel,0)-1,1,1)</f>
        <v>0</v>
      </c>
      <c r="AG20" s="1594" cm="1">
        <f t="array" aca="1" ref="AG20" ca="1">OFFSET(POrigin,MATCH(Valori[[#This Row],[LUKB_id]],PID,0),MATCH("DENOM",PLabel,0)-1,1,1)</f>
        <v>0</v>
      </c>
      <c r="AH20" s="1599" cm="1">
        <f t="array" aca="1" ref="AH20" ca="1">(OFFSET(POrigin,MATCH(Valori[[#This Row],[LUKB_id]],PID,0),MATCH("YIELD",PLabel,0)-1,1,1)+OFFSET(POrigin,MATCH(Valori[[#This Row],[LUKB_id]],PID,0),MATCH("YLDEQ",PLabel,0)-1,1,1))/100</f>
        <v>0</v>
      </c>
      <c r="AI20" s="1600">
        <f ca="1">OFFSET(POrigin,MATCH(Valori[[#This Row],[LUKB_id]],PID,0),MATCH("DIVIDEND",PLabel,0)-1,1,1)</f>
        <v>0</v>
      </c>
      <c r="AJ20" s="1601">
        <f ca="1">OFFSET(POrigin,MATCH(Valori[[#This Row],[LUKB_id]],PID,0),MATCH("DIVIDEND:datetime",PLabel,0)-1,1,1)</f>
        <v>0</v>
      </c>
      <c r="AK20" s="1602">
        <f ca="1">OFFSET(POrigin,MATCH(Valori[[#This Row],[LUKB_id]],PID,0),MATCH("INTEREST",PLabel,0)-1,1,1)</f>
        <v>0</v>
      </c>
      <c r="AL20" s="1603">
        <f ca="1">OFFSET(POrigin,MATCH(Valori[[#This Row],[LUKB_id]],PID,0),MATCH("4W_PERF_PR",PLabel,0)-1,1,1)/100</f>
        <v>-6.4131340986347196E-4</v>
      </c>
      <c r="AM20" s="1603">
        <f ca="1">OFFSET(POrigin,MATCH(Valori[[#This Row],[LUKB_id]],PID,0),MATCH("12W_PERF_PR",PLabel,0)-1,1,1)/100</f>
        <v>-3.4331040466009863E-2</v>
      </c>
      <c r="AN20" s="1603">
        <f ca="1">OFFSET(POrigin,MATCH(Valori[[#This Row],[LUKB_id]],PID,0),MATCH("YTD_PERF_PR",PLabel,0)-1,1,1)/100</f>
        <v>-1.2871470000000001E-2</v>
      </c>
      <c r="AO20" s="1591"/>
      <c r="AP20" s="1591"/>
      <c r="AQ20" s="1591"/>
      <c r="AR20" s="1591"/>
      <c r="AS20" s="1890" t="s">
        <v>877</v>
      </c>
      <c r="AT20" s="1890" t="s">
        <v>877</v>
      </c>
      <c r="AU20" s="610"/>
      <c r="AV20" s="1891" t="s">
        <v>975</v>
      </c>
      <c r="AW20" s="1604" t="str">
        <f>"https://boersenundmaerkte.lukb.ch/lukb/details/"&amp;Valori[[#This Row],[LUKB_id]]</f>
        <v>https://boersenundmaerkte.lukb.ch/lukb/details/275000,176,1</v>
      </c>
      <c r="AX20"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0" s="142"/>
      <c r="AZ20" s="142"/>
      <c r="BA20" s="142"/>
      <c r="BB20" s="142"/>
    </row>
    <row r="21" spans="1:54" ht="15" customHeight="1" x14ac:dyDescent="0.2">
      <c r="A21" s="142" t="s">
        <v>834</v>
      </c>
      <c r="B21" s="142" t="s">
        <v>976</v>
      </c>
      <c r="C21" s="1668" t="str">
        <f>HYPERLINK("https://boersenundmaerkte.lukb.ch/lukb/details/"&amp;Valori[[#This Row],[LUKB_id]],"è")</f>
        <v>è</v>
      </c>
      <c r="D21" s="142" t="str" cm="1">
        <f t="array" aca="1" ref="D21" ca="1">OFFSET(POrigin,MATCH(Valori[[#This Row],[LUKB_id]],PID,0),MATCH("SC_GROUPED",PIntestazioni,0)-1,1,1)</f>
        <v>CUR</v>
      </c>
      <c r="E21" s="413" t="str" cm="1">
        <f t="array" aca="1" ref="E21" ca="1">OFFSET(POrigin,MATCH(Valori[[#This Row],[LUKB_id]],PID,0),MATCH("isin",PIntestazioni,0)-1,1,1)</f>
        <v>XD0009689841</v>
      </c>
      <c r="F21" s="34" t="str" cm="1">
        <f t="array" aca="1" ref="F21" ca="1">OFFSET(POrigin,MATCH(Valori[[#This Row],[LUKB_id]],PID,0),MATCH("NSIN_CH",PLabel,0)-1,1,1)</f>
        <v>968984</v>
      </c>
      <c r="G21" s="95" t="str" cm="1">
        <f t="array" aca="1" ref="G21" ca="1">IF(OFFSET(POrigin,MATCH(Valori[[#This Row],[LUKB_id]],PID,0),MATCH("INSTRUNIT",PLabel,0)-1,1,1)="Nominal","Pct","Unit")</f>
        <v>Unit</v>
      </c>
      <c r="H21" s="612">
        <f ca="1">MAX(OFFSET(POrigin,MATCH(Valori[[#This Row],[LUKB_id]],PID,0),MATCH("PRICINGAMT",PLabel,0)-1,1,1),1)</f>
        <v>1</v>
      </c>
      <c r="I21" s="615" t="str" cm="1">
        <f t="array" aca="1" ref="I21" ca="1">OFFSET(POrigin,MATCH(Valori[[#This Row],[LUKB_id]],PID,0),MATCH("M_NAME",PLabel,0)-1,1,1)</f>
        <v>USD/EUR</v>
      </c>
      <c r="J21" s="142" t="s">
        <v>364</v>
      </c>
      <c r="M21" s="142" t="str" cm="1">
        <f t="array" aca="1" ref="M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1" s="1563">
        <f ca="1">COUNTIF('CHF M'!smo_id,Valori[[#This Row],[smo_id]])+COUNTIF('CHF MA'!smo_id,Valori[[#This Row],[smo_id]])+COUNTIF('EUR MB'!smo_id,Valori[[#This Row],[smo_id]])+COUNTIF('EUR M'!smo_id,Valori[[#This Row],[smo_id]])+COUNTIF(AGCO!smo_id,Valori[[#This Row],[smo_id]])</f>
        <v>2</v>
      </c>
      <c r="O21" s="1590">
        <v>78499.505999999979</v>
      </c>
      <c r="P21" s="1661" t="str">
        <f>HYPERLINK(Valori[[#This Row],[P_Source]],"è")</f>
        <v>è</v>
      </c>
      <c r="Q21" s="1663" t="str">
        <f>HYPERLINK(Valori[[#This Row],[Info_W]],"i")</f>
        <v>i</v>
      </c>
      <c r="R21" s="1664" t="str">
        <f>HYPERLINK(Valori[[#This Row],[FN_W]],"")</f>
        <v></v>
      </c>
      <c r="S21" s="1665" t="str">
        <f>HYPERLINK(Valori[[#This Row],[MS_Link]],"")</f>
        <v></v>
      </c>
      <c r="T21" s="1665" t="str">
        <f>HYPERLINK(Valori[[#This Row],[C_source]],"")</f>
        <v></v>
      </c>
      <c r="U21" s="142" t="str" cm="1">
        <f t="array" aca="1" ref="U21" ca="1">OFFSET(POrigin,MATCH(Valori[[#This Row],[LUKB_id]],PID,0),MATCH("M_CUR",PLabel,0)-1,1,1)</f>
        <v>EUR</v>
      </c>
      <c r="V21" s="1562">
        <f ca="1">(Valori[[#This Row],[Last]]+Valori[[#This Row],[Acc. Int]])/Valori[[#This Row],[Pr.Amt]]/IF(Valori[[#This Row],[P_Type]]="Pct",100,1)</f>
        <v>0.86199999999999999</v>
      </c>
      <c r="W21" s="1591" cm="1">
        <f t="array" aca="1" ref="W21" ca="1">OFFSET(POrigin,MATCH(Valori[[#This Row],[LUKB_id]],PID,0),MATCH("NC2_PR",PLabel,0)-1,1,1)/100</f>
        <v>7.4801299999999989E-3</v>
      </c>
      <c r="X21" s="1592" cm="1">
        <f t="array" aca="1" ref="X21" ca="1">OFFSET(POrigin,MATCH(Valori[[#This Row],[LUKB_id]],PID,0),MATCH("LVAL",PLabel,0)-1,1,1)</f>
        <v>0.86199999999999999</v>
      </c>
      <c r="Y21" s="1593" cm="1">
        <f t="array" aca="1" ref="Y21" ca="1">OFFSET(POrigin,MATCH(Valori[[#This Row],[LUKB_id]],PID,0),MATCH("LVAL:datetime",PLabel,0)-1,1,1)</f>
        <v>46084.796284722222</v>
      </c>
      <c r="Z21" s="1594" cm="1">
        <f t="array" aca="1" ref="Z21" ca="1">OFFSET(POrigin,MATCH(Valori[[#This Row],[LUKB_id]],PID,0),MATCH("BID:volume",PLabel,0)-1,1,1)</f>
        <v>0</v>
      </c>
      <c r="AA21" s="1595" cm="1">
        <f t="array" aca="1" ref="AA21" ca="1">OFFSET(POrigin,MATCH(Valori[[#This Row],[LUKB_id]],PID,0),MATCH("BID",PLabel,0)-1,1,1)</f>
        <v>0.8619</v>
      </c>
      <c r="AB21" s="1595" cm="1">
        <f t="array" aca="1" ref="AB21" ca="1">OFFSET(POrigin,MATCH(Valori[[#This Row],[LUKB_id]],PID,0),MATCH("ASK",PLabel,0)-1,1,1)</f>
        <v>0.86210000000000009</v>
      </c>
      <c r="AC21" s="1594" cm="1">
        <f t="array" aca="1" ref="AC21" ca="1">OFFSET(POrigin,MATCH(Valori[[#This Row],[LUKB_id]],PID,0),MATCH("ASK:volume",PLabel,0)-1,1,1)</f>
        <v>0</v>
      </c>
      <c r="AD21" s="1596" cm="1">
        <f t="array" aca="1" ref="AD21" ca="1">OFFSET(POrigin,MATCH(Valori[[#This Row],[LUKB_id]],PID,0),MATCH("BID-ASK Spread %",PLabel,0)-1,1,1)</f>
        <v>1.5468502262275339E-4</v>
      </c>
      <c r="AE21" s="1597" t="str" cm="1">
        <f t="array" aca="1" ref="AE21" ca="1">IF(OFFSET(POrigin,MATCH(Valori[[#This Row],[LUKB_id]],PID,0),MATCH("MATURITY",PLabel,0)-1,1,1)&gt;0,OFFSET(POrigin,MATCH(Valori[[#This Row],[LUKB_id]],PID,0),MATCH("MATURITY",PLabel,0)-1,1,1),"")</f>
        <v/>
      </c>
      <c r="AF21" s="1598" cm="1">
        <f t="array" aca="1" ref="AF21" ca="1">OFFSET(POrigin,MATCH(Valori[[#This Row],[LUKB_id]],PID,0),MATCH("ACCINT",PLabel,0)-1,1,1)</f>
        <v>0</v>
      </c>
      <c r="AG21" s="1594" cm="1">
        <f t="array" aca="1" ref="AG21" ca="1">OFFSET(POrigin,MATCH(Valori[[#This Row],[LUKB_id]],PID,0),MATCH("DENOM",PLabel,0)-1,1,1)</f>
        <v>0</v>
      </c>
      <c r="AH21" s="1599" cm="1">
        <f t="array" aca="1" ref="AH21" ca="1">(OFFSET(POrigin,MATCH(Valori[[#This Row],[LUKB_id]],PID,0),MATCH("YIELD",PLabel,0)-1,1,1)+OFFSET(POrigin,MATCH(Valori[[#This Row],[LUKB_id]],PID,0),MATCH("YLDEQ",PLabel,0)-1,1,1))/100</f>
        <v>0</v>
      </c>
      <c r="AI21" s="1600">
        <f ca="1">OFFSET(POrigin,MATCH(Valori[[#This Row],[LUKB_id]],PID,0),MATCH("DIVIDEND",PLabel,0)-1,1,1)</f>
        <v>0</v>
      </c>
      <c r="AJ21" s="1601">
        <f ca="1">OFFSET(POrigin,MATCH(Valori[[#This Row],[LUKB_id]],PID,0),MATCH("DIVIDEND:datetime",PLabel,0)-1,1,1)</f>
        <v>0</v>
      </c>
      <c r="AK21" s="1602">
        <f ca="1">OFFSET(POrigin,MATCH(Valori[[#This Row],[LUKB_id]],PID,0),MATCH("INTEREST",PLabel,0)-1,1,1)</f>
        <v>0</v>
      </c>
      <c r="AL21" s="1603">
        <f ca="1">OFFSET(POrigin,MATCH(Valori[[#This Row],[LUKB_id]],PID,0),MATCH("4W_PERF_PR",PLabel,0)-1,1,1)/100</f>
        <v>8.8432967810399138E-3</v>
      </c>
      <c r="AM21" s="1603">
        <f ca="1">OFFSET(POrigin,MATCH(Valori[[#This Row],[LUKB_id]],PID,0),MATCH("12W_PERF_PR",PLabel,0)-1,1,1)/100</f>
        <v>-4.3058303270103997E-3</v>
      </c>
      <c r="AN21" s="1603">
        <f ca="1">OFFSET(POrigin,MATCH(Valori[[#This Row],[LUKB_id]],PID,0),MATCH("YTD_PERF_PR",PLabel,0)-1,1,1)/100</f>
        <v>1.256901E-2</v>
      </c>
      <c r="AO21" s="1591"/>
      <c r="AP21" s="1591"/>
      <c r="AQ21" s="1591"/>
      <c r="AR21" s="1591"/>
      <c r="AS21" s="1890"/>
      <c r="AT21" s="1890"/>
      <c r="AU21" s="610"/>
      <c r="AV21" s="1891"/>
      <c r="AW21" s="1604" t="str">
        <f>"https://boersenundmaerkte.lukb.ch/lukb/details/"&amp;Valori[[#This Row],[LUKB_id]]</f>
        <v>https://boersenundmaerkte.lukb.ch/lukb/details/968984,149,814</v>
      </c>
      <c r="AX2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 s="142"/>
      <c r="AZ21" s="142"/>
      <c r="BA21" s="142"/>
      <c r="BB21" s="142"/>
    </row>
    <row r="22" spans="1:54" ht="15" customHeight="1" x14ac:dyDescent="0.2">
      <c r="A22" s="142" t="s">
        <v>986</v>
      </c>
      <c r="B22" s="142" t="str" cm="1">
        <f t="array" aca="1" ref="B22" ca="1">OFFSET(POrigin,MATCH(Valori[[#This Row],[smo_id]],Posizioni[smo_id],0),MATCH("LUKB_id",PIntestazioni,0)-1,1,1)</f>
        <v>110048532,16,814</v>
      </c>
      <c r="C22" s="1668" t="str">
        <f ca="1">HYPERLINK("https://boersenundmaerkte.lukb.ch/lukb/details/"&amp;Valori[[#This Row],[LUKB_id]],"è")</f>
        <v>è</v>
      </c>
      <c r="D22" s="142" t="str" cm="1">
        <f t="array" aca="1" ref="D22" ca="1">OFFSET(POrigin,MATCH(Valori[[#This Row],[LUKB_id]],PID,0),MATCH("SC_GROUPED",PIntestazioni,0)-1,1,1)</f>
        <v>BON</v>
      </c>
      <c r="E22" s="413" t="str" cm="1">
        <f t="array" aca="1" ref="E22" ca="1">OFFSET(POrigin,MATCH(Valori[[#This Row],[LUKB_id]],PID,0),MATCH("isin",PIntestazioni,0)-1,1,1)</f>
        <v>DE000GRN0024</v>
      </c>
      <c r="F22" s="34" t="str" cm="1">
        <f t="array" aca="1" ref="F22" ca="1">OFFSET(POrigin,MATCH(Valori[[#This Row],[LUKB_id]],PID,0),MATCH("NSIN_CH",PLabel,0)-1,1,1)</f>
        <v>110048532</v>
      </c>
      <c r="G22" s="95" t="str" cm="1">
        <f t="array" aca="1" ref="G22" ca="1">IF(OFFSET(POrigin,MATCH(Valori[[#This Row],[LUKB_id]],PID,0),MATCH("INSTRUNIT",PLabel,0)-1,1,1)="Nominal","Pct","Unit")</f>
        <v>Pct</v>
      </c>
      <c r="H22" s="612">
        <f ca="1">MAX(OFFSET(POrigin,MATCH(Valori[[#This Row],[LUKB_id]],PID,0),MATCH("PRICINGAMT",PLabel,0)-1,1,1),1)</f>
        <v>1</v>
      </c>
      <c r="I22" s="615" t="str" cm="1">
        <f t="array" aca="1" ref="I22" ca="1">OFFSET(POrigin,MATCH(Valori[[#This Row],[LUKB_id]],PID,0),MATCH("M_NAME",PLabel,0)-1,1,1)</f>
        <v>0.01 DeutscheKr 26</v>
      </c>
      <c r="J22" s="142" t="s">
        <v>504</v>
      </c>
      <c r="M22" s="142" t="str" cm="1">
        <f t="array" aca="1" ref="M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Deutsche Kreditbank AG 23.02.2026</v>
      </c>
      <c r="N22" s="1563">
        <f ca="1">COUNTIF('CHF M'!smo_id,Valori[[#This Row],[smo_id]])+COUNTIF('CHF MA'!smo_id,Valori[[#This Row],[smo_id]])+COUNTIF('EUR MB'!smo_id,Valori[[#This Row],[smo_id]])+COUNTIF('EUR M'!smo_id,Valori[[#This Row],[smo_id]])+COUNTIF(AGCO!smo_id,Valori[[#This Row],[smo_id]])</f>
        <v>0</v>
      </c>
      <c r="O22" s="1590" cm="1">
        <f t="array" aca="1" ref="O22" ca="1">SUM(IF('CHF M'!smo_id=Valori[[#This Row],[smo_id]],'CHF M'!Posizione))+SUM(IF('CHF MA'!smo_id=Valori[[#This Row],[smo_id]],'CHF MA'!Posizione))+SUM(IF('EUR MB'!smo_id=Valori[[#This Row],[smo_id]],'EUR MB'!Posizione))+SUM(IF('EUR M'!smo_id=Valori[[#This Row],[smo_id]],'EUR M'!Posizione))+SUM(IF(AGCO!smo_id=Valori[[#This Row],[smo_id]],AGCO!Posizione))</f>
        <v>0</v>
      </c>
      <c r="P22" s="1661" t="str">
        <f ca="1">HYPERLINK(Valori[[#This Row],[P_Source]],"è")</f>
        <v>è</v>
      </c>
      <c r="Q22" s="1663" t="str">
        <f>HYPERLINK(Valori[[#This Row],[Info_W]],"i")</f>
        <v>i</v>
      </c>
      <c r="R22" s="1664" t="str">
        <f>HYPERLINK(Valori[[#This Row],[FN_W]],"")</f>
        <v></v>
      </c>
      <c r="S22" s="1665" t="str">
        <f>HYPERLINK(Valori[[#This Row],[MS_Link]],"")</f>
        <v></v>
      </c>
      <c r="T22" s="1665" t="str">
        <f>HYPERLINK(Valori[[#This Row],[C_source]],"")</f>
        <v></v>
      </c>
      <c r="U22" s="142" t="str" cm="1">
        <f t="array" aca="1" ref="U22" ca="1">OFFSET(POrigin,MATCH(Valori[[#This Row],[LUKB_id]],PID,0),MATCH("M_CUR",PLabel,0)-1,1,1)</f>
        <v>EUR</v>
      </c>
      <c r="V22" s="1562">
        <f ca="1">(Valori[[#This Row],[Last]]+Valori[[#This Row],[Acc. Int]])/Valori[[#This Row],[Pr.Amt]]/IF(Valori[[#This Row],[P_Type]]="Pct",100,1)</f>
        <v>0.99881917807999998</v>
      </c>
      <c r="W22" s="1591" cm="1">
        <f t="array" aca="1" ref="W22" ca="1">OFFSET(POrigin,MATCH(Valori[[#This Row],[LUKB_id]],PID,0),MATCH("NC2_PR",PLabel,0)-1,1,1)/100</f>
        <v>7.6233273817876107E-4</v>
      </c>
      <c r="X22" s="1592" cm="1">
        <f t="array" aca="1" ref="X22" ca="1">OFFSET(POrigin,MATCH(Valori[[#This Row],[LUKB_id]],PID,0),MATCH("LVAL",PLabel,0)-1,1,1)</f>
        <v>99.872</v>
      </c>
      <c r="Y22" s="1593" cm="1">
        <f t="array" aca="1" ref="Y22" ca="1">OFFSET(POrigin,MATCH(Valori[[#This Row],[LUKB_id]],PID,0),MATCH("LVAL:datetime",PLabel,0)-1,1,1)</f>
        <v>46071.908101851855</v>
      </c>
      <c r="Z22" s="1594" cm="1">
        <f t="array" aca="1" ref="Z22" ca="1">OFFSET(POrigin,MATCH(Valori[[#This Row],[LUKB_id]],PID,0),MATCH("BID:volume",PLabel,0)-1,1,1)</f>
        <v>0</v>
      </c>
      <c r="AA22" s="1595" cm="1">
        <f t="array" aca="1" ref="AA22" ca="1">OFFSET(POrigin,MATCH(Valori[[#This Row],[LUKB_id]],PID,0),MATCH("BID",PLabel,0)-1,1,1)</f>
        <v>0</v>
      </c>
      <c r="AB22" s="1595" cm="1">
        <f t="array" aca="1" ref="AB22" ca="1">OFFSET(POrigin,MATCH(Valori[[#This Row],[LUKB_id]],PID,0),MATCH("ASK",PLabel,0)-1,1,1)</f>
        <v>0</v>
      </c>
      <c r="AC22" s="1594" cm="1">
        <f t="array" aca="1" ref="AC22" ca="1">OFFSET(POrigin,MATCH(Valori[[#This Row],[LUKB_id]],PID,0),MATCH("ASK:volume",PLabel,0)-1,1,1)</f>
        <v>0</v>
      </c>
      <c r="AD22" s="1596" cm="1">
        <f t="array" aca="1" ref="AD22" ca="1">OFFSET(POrigin,MATCH(Valori[[#This Row],[LUKB_id]],PID,0),MATCH("BID-ASK Spread %",PLabel,0)-1,1,1)</f>
        <v>0</v>
      </c>
      <c r="AE22" s="1597" cm="1">
        <f t="array" aca="1" ref="AE22" ca="1">IF(OFFSET(POrigin,MATCH(Valori[[#This Row],[LUKB_id]],PID,0),MATCH("MATURITY",PLabel,0)-1,1,1)&gt;0,OFFSET(POrigin,MATCH(Valori[[#This Row],[LUKB_id]],PID,0),MATCH("MATURITY",PLabel,0)-1,1,1),"")</f>
        <v>46076</v>
      </c>
      <c r="AF22" s="1598" cm="1">
        <f t="array" aca="1" ref="AF22" ca="1">OFFSET(POrigin,MATCH(Valori[[#This Row],[LUKB_id]],PID,0),MATCH("ACCINT",PLabel,0)-1,1,1)</f>
        <v>9.9178080000000002E-3</v>
      </c>
      <c r="AG22" s="1594" cm="1">
        <f t="array" aca="1" ref="AG22" ca="1">OFFSET(POrigin,MATCH(Valori[[#This Row],[LUKB_id]],PID,0),MATCH("DENOM",PLabel,0)-1,1,1)</f>
        <v>1000</v>
      </c>
      <c r="AH22" s="1599" cm="1">
        <f t="array" aca="1" ref="AH22" ca="1">(OFFSET(POrigin,MATCH(Valori[[#This Row],[LUKB_id]],PID,0),MATCH("YIELD",PLabel,0)-1,1,1)+OFFSET(POrigin,MATCH(Valori[[#This Row],[LUKB_id]],PID,0),MATCH("YLDEQ",PLabel,0)-1,1,1))/100</f>
        <v>0</v>
      </c>
      <c r="AI22" s="1600">
        <f ca="1">OFFSET(POrigin,MATCH(Valori[[#This Row],[LUKB_id]],PID,0),MATCH("DIVIDEND",PLabel,0)-1,1,1)</f>
        <v>0</v>
      </c>
      <c r="AJ22" s="1601">
        <f ca="1">OFFSET(POrigin,MATCH(Valori[[#This Row],[LUKB_id]],PID,0),MATCH("DIVIDEND:datetime",PLabel,0)-1,1,1)</f>
        <v>0</v>
      </c>
      <c r="AK22" s="1602">
        <f ca="1">OFFSET(POrigin,MATCH(Valori[[#This Row],[LUKB_id]],PID,0),MATCH("INTEREST",PLabel,0)-1,1,1)</f>
        <v>0.01</v>
      </c>
      <c r="AL22" s="1603">
        <f ca="1">OFFSET(POrigin,MATCH(Valori[[#This Row],[LUKB_id]],PID,0),MATCH("4W_PERF_PR",PLabel,0)-1,1,1)/100</f>
        <v>1.0424184107129001E-3</v>
      </c>
      <c r="AM22" s="1603">
        <f ca="1">OFFSET(POrigin,MATCH(Valori[[#This Row],[LUKB_id]],PID,0),MATCH("12W_PERF_PR",PLabel,0)-1,1,1)/100</f>
        <v>4.5968918171302E-3</v>
      </c>
      <c r="AN22" s="1603">
        <f ca="1">OFFSET(POrigin,MATCH(Valori[[#This Row],[LUKB_id]],PID,0),MATCH("YTD_PERF_PR",PLabel,0)-1,1,1)/100</f>
        <v>2.2099447513813002E-3</v>
      </c>
      <c r="AO22" s="1591"/>
      <c r="AP22" s="1591"/>
      <c r="AQ22" s="1591"/>
      <c r="AR22" s="1591"/>
      <c r="AS22" s="1890"/>
      <c r="AT22" s="1890"/>
      <c r="AU22" s="610"/>
      <c r="AV22" s="1891"/>
      <c r="AW22" s="1604" t="str">
        <f ca="1">"https://boersenundmaerkte.lukb.ch/lukb/details/"&amp;Valori[[#This Row],[LUKB_id]]</f>
        <v>https://boersenundmaerkte.lukb.ch/lukb/details/110048532,16,814</v>
      </c>
      <c r="AX2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 s="142"/>
      <c r="AZ22" s="142"/>
      <c r="BA22" s="142"/>
      <c r="BB22" s="142"/>
    </row>
    <row r="23" spans="1:54" ht="15" customHeight="1" x14ac:dyDescent="0.2">
      <c r="A23" s="142" t="s">
        <v>988</v>
      </c>
      <c r="B23" s="142" t="str" cm="1">
        <f t="array" aca="1" ref="B23" ca="1">OFFSET(POrigin,MATCH(Valori[[#This Row],[smo_id]],Posizioni[smo_id],0),MATCH("LUKB_id",PIntestazioni,0)-1,1,1)</f>
        <v>35483611,4,1</v>
      </c>
      <c r="C23" s="1668" t="str">
        <f ca="1">HYPERLINK("https://boersenundmaerkte.lukb.ch/lukb/details/"&amp;Valori[[#This Row],[LUKB_id]],"è")</f>
        <v>è</v>
      </c>
      <c r="D23" s="142" t="str" cm="1">
        <f t="array" aca="1" ref="D23" ca="1">OFFSET(POrigin,MATCH(Valori[[#This Row],[LUKB_id]],PID,0),MATCH("SC_GROUPED",PIntestazioni,0)-1,1,1)</f>
        <v>BON</v>
      </c>
      <c r="E23" s="413" t="str" cm="1">
        <f t="array" aca="1" ref="E23" ca="1">OFFSET(POrigin,MATCH(Valori[[#This Row],[LUKB_id]],PID,0),MATCH("isin",PIntestazioni,0)-1,1,1)</f>
        <v>CH0354836113</v>
      </c>
      <c r="F23" s="34" t="str" cm="1">
        <f t="array" aca="1" ref="F23" ca="1">OFFSET(POrigin,MATCH(Valori[[#This Row],[LUKB_id]],PID,0),MATCH("NSIN_CH",PLabel,0)-1,1,1)</f>
        <v>35483611</v>
      </c>
      <c r="G23" s="95" t="str" cm="1">
        <f t="array" aca="1" ref="G23" ca="1">IF(OFFSET(POrigin,MATCH(Valori[[#This Row],[LUKB_id]],PID,0),MATCH("INSTRUNIT",PLabel,0)-1,1,1)="Nominal","Pct","Unit")</f>
        <v>Pct</v>
      </c>
      <c r="H23" s="612">
        <f ca="1">MAX(OFFSET(POrigin,MATCH(Valori[[#This Row],[LUKB_id]],PID,0),MATCH("PRICINGAMT",PLabel,0)-1,1,1),1)</f>
        <v>1</v>
      </c>
      <c r="I23" s="615" t="str" cm="1">
        <f t="array" aca="1" ref="I23" ca="1">OFFSET(POrigin,MATCH(Valori[[#This Row],[LUKB_id]],PID,0),MATCH("M_NAME",PLabel,0)-1,1,1)</f>
        <v>0.75 Mobimo 26 Obl</v>
      </c>
      <c r="M23" s="142" t="str" cm="1">
        <f t="array" aca="1" ref="M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Mobimo Holding AG 20.03.26</v>
      </c>
      <c r="N23" s="1563">
        <f ca="1">COUNTIF('CHF M'!smo_id,Valori[[#This Row],[smo_id]])+COUNTIF('CHF MA'!smo_id,Valori[[#This Row],[smo_id]])+COUNTIF('EUR MB'!smo_id,Valori[[#This Row],[smo_id]])+COUNTIF('EUR M'!smo_id,Valori[[#This Row],[smo_id]])+COUNTIF(AGCO!smo_id,Valori[[#This Row],[smo_id]])</f>
        <v>1</v>
      </c>
      <c r="O23" s="1590" cm="1">
        <f t="array" aca="1" ref="O23" ca="1">SUM(IF('CHF M'!smo_id=Valori[[#This Row],[smo_id]],'CHF M'!Posizione))+SUM(IF('CHF MA'!smo_id=Valori[[#This Row],[smo_id]],'CHF MA'!Posizione))+SUM(IF('EUR MB'!smo_id=Valori[[#This Row],[smo_id]],'EUR MB'!Posizione))+SUM(IF('EUR M'!smo_id=Valori[[#This Row],[smo_id]],'EUR M'!Posizione))+SUM(IF(AGCO!smo_id=Valori[[#This Row],[smo_id]],AGCO!Posizione))</f>
        <v>100000</v>
      </c>
      <c r="P23" s="1661" t="str">
        <f ca="1">HYPERLINK(Valori[[#This Row],[P_Source]],"è")</f>
        <v>è</v>
      </c>
      <c r="Q23" s="1663" t="str">
        <f>HYPERLINK(Valori[[#This Row],[Info_W]],"i")</f>
        <v>i</v>
      </c>
      <c r="R23" s="1664" t="str">
        <f>HYPERLINK(Valori[[#This Row],[FN_W]],"")</f>
        <v></v>
      </c>
      <c r="S23" s="1665" t="str">
        <f>HYPERLINK(Valori[[#This Row],[MS_Link]],"")</f>
        <v></v>
      </c>
      <c r="T23" s="1665" t="str">
        <f>HYPERLINK(Valori[[#This Row],[C_source]],"")</f>
        <v></v>
      </c>
      <c r="U23" s="142" t="str" cm="1">
        <f t="array" aca="1" ref="U23" ca="1">OFFSET(POrigin,MATCH(Valori[[#This Row],[LUKB_id]],PID,0),MATCH("M_CUR",PLabel,0)-1,1,1)</f>
        <v>CHF</v>
      </c>
      <c r="V23" s="1562">
        <f ca="1">(Valori[[#This Row],[Last]]+Valori[[#This Row],[Acc. Int]])/Valori[[#This Row],[Pr.Amt]]/IF(Valori[[#This Row],[P_Type]]="Pct",100,1)</f>
        <v>1.0072458333300001</v>
      </c>
      <c r="W23" s="1591" cm="1">
        <f t="array" aca="1" ref="W23" ca="1">OFFSET(POrigin,MATCH(Valori[[#This Row],[LUKB_id]],PID,0),MATCH("NC2_PR",PLabel,0)-1,1,1)/100</f>
        <v>-9.9980003999199993E-5</v>
      </c>
      <c r="X23" s="1592" cm="1">
        <f t="array" aca="1" ref="X23" ca="1">OFFSET(POrigin,MATCH(Valori[[#This Row],[LUKB_id]],PID,0),MATCH("LVAL",PLabel,0)-1,1,1)</f>
        <v>100.01</v>
      </c>
      <c r="Y23" s="1593" cm="1">
        <f t="array" aca="1" ref="Y23" ca="1">OFFSET(POrigin,MATCH(Valori[[#This Row],[LUKB_id]],PID,0),MATCH("LVAL:datetime",PLabel,0)-1,1,1)</f>
        <v>46084.567881944444</v>
      </c>
      <c r="Z23" s="1594" cm="1">
        <f t="array" aca="1" ref="Z23" ca="1">OFFSET(POrigin,MATCH(Valori[[#This Row],[LUKB_id]],PID,0),MATCH("BID:volume",PLabel,0)-1,1,1)</f>
        <v>200000</v>
      </c>
      <c r="AA23" s="1595" cm="1">
        <f t="array" aca="1" ref="AA23" ca="1">OFFSET(POrigin,MATCH(Valori[[#This Row],[LUKB_id]],PID,0),MATCH("BID",PLabel,0)-1,1,1)</f>
        <v>100.01</v>
      </c>
      <c r="AB23" s="1595" cm="1">
        <f t="array" aca="1" ref="AB23" ca="1">OFFSET(POrigin,MATCH(Valori[[#This Row],[LUKB_id]],PID,0),MATCH("ASK",PLabel,0)-1,1,1)</f>
        <v>100.02</v>
      </c>
      <c r="AC23" s="1594" cm="1">
        <f t="array" aca="1" ref="AC23" ca="1">OFFSET(POrigin,MATCH(Valori[[#This Row],[LUKB_id]],PID,0),MATCH("ASK:volume",PLabel,0)-1,1,1)</f>
        <v>200000</v>
      </c>
      <c r="AD23" s="1596" cm="1">
        <f t="array" aca="1" ref="AD23" ca="1">OFFSET(POrigin,MATCH(Valori[[#This Row],[LUKB_id]],PID,0),MATCH("BID-ASK Spread %",PLabel,0)-1,1,1)</f>
        <v>6.6657778962744333E-5</v>
      </c>
      <c r="AE23" s="1597" cm="1">
        <f t="array" aca="1" ref="AE23" ca="1">IF(OFFSET(POrigin,MATCH(Valori[[#This Row],[LUKB_id]],PID,0),MATCH("MATURITY",PLabel,0)-1,1,1)&gt;0,OFFSET(POrigin,MATCH(Valori[[#This Row],[LUKB_id]],PID,0),MATCH("MATURITY",PLabel,0)-1,1,1),"")</f>
        <v>46101</v>
      </c>
      <c r="AF23" s="1598" cm="1">
        <f t="array" aca="1" ref="AF23" ca="1">OFFSET(POrigin,MATCH(Valori[[#This Row],[LUKB_id]],PID,0),MATCH("ACCINT",PLabel,0)-1,1,1)</f>
        <v>0.7145833330000001</v>
      </c>
      <c r="AG23" s="1594" cm="1">
        <f t="array" aca="1" ref="AG23" ca="1">OFFSET(POrigin,MATCH(Valori[[#This Row],[LUKB_id]],PID,0),MATCH("DENOM",PLabel,0)-1,1,1)</f>
        <v>5000</v>
      </c>
      <c r="AH23" s="1599" cm="1">
        <f t="array" aca="1" ref="AH23" ca="1">(OFFSET(POrigin,MATCH(Valori[[#This Row],[LUKB_id]],PID,0),MATCH("YIELD",PLabel,0)-1,1,1)+OFFSET(POrigin,MATCH(Valori[[#This Row],[LUKB_id]],PID,0),MATCH("YLDEQ",PLabel,0)-1,1,1))/100</f>
        <v>2.6802007900000001E-3</v>
      </c>
      <c r="AI23" s="1600">
        <f ca="1">OFFSET(POrigin,MATCH(Valori[[#This Row],[LUKB_id]],PID,0),MATCH("DIVIDEND",PLabel,0)-1,1,1)</f>
        <v>0</v>
      </c>
      <c r="AJ23" s="1601">
        <f ca="1">OFFSET(POrigin,MATCH(Valori[[#This Row],[LUKB_id]],PID,0),MATCH("DIVIDEND:datetime",PLabel,0)-1,1,1)</f>
        <v>0</v>
      </c>
      <c r="AK23" s="1602">
        <f ca="1">OFFSET(POrigin,MATCH(Valori[[#This Row],[LUKB_id]],PID,0),MATCH("INTEREST",PLabel,0)-1,1,1)</f>
        <v>0.75</v>
      </c>
      <c r="AL23" s="1603">
        <f ca="1">OFFSET(POrigin,MATCH(Valori[[#This Row],[LUKB_id]],PID,0),MATCH("4W_PERF_PR",PLabel,0)-1,1,1)/100</f>
        <v>-1.999200319874E-4</v>
      </c>
      <c r="AM23" s="1603">
        <f ca="1">OFFSET(POrigin,MATCH(Valori[[#This Row],[LUKB_id]],PID,0),MATCH("12W_PERF_PR",PLabel,0)-1,1,1)/100</f>
        <v>-5.9952038369299999E-4</v>
      </c>
      <c r="AN23" s="1603">
        <f ca="1">OFFSET(POrigin,MATCH(Valori[[#This Row],[LUKB_id]],PID,0),MATCH("YTD_PERF_PR",PLabel,0)-1,1,1)/100</f>
        <v>-5.9952038369299999E-4</v>
      </c>
      <c r="AO23" s="1591"/>
      <c r="AP23" s="1591"/>
      <c r="AQ23" s="1591"/>
      <c r="AR23" s="1591"/>
      <c r="AS23" s="1890"/>
      <c r="AT23" s="1890"/>
      <c r="AU23" s="610"/>
      <c r="AV23" s="1891"/>
      <c r="AW23" s="1604" t="str">
        <f ca="1">"https://boersenundmaerkte.lukb.ch/lukb/details/"&amp;Valori[[#This Row],[LUKB_id]]</f>
        <v>https://boersenundmaerkte.lukb.ch/lukb/details/35483611,4,1</v>
      </c>
      <c r="AX2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3" s="142"/>
      <c r="AZ23" s="142"/>
      <c r="BA23" s="142"/>
      <c r="BB23" s="142"/>
    </row>
    <row r="24" spans="1:54" ht="15" customHeight="1" x14ac:dyDescent="0.2">
      <c r="A24" s="142" t="s">
        <v>989</v>
      </c>
      <c r="B24" s="142" t="s">
        <v>990</v>
      </c>
      <c r="C24" s="1668" t="str">
        <f>HYPERLINK("https://boersenundmaerkte.lukb.ch/lukb/details/"&amp;Valori[[#This Row],[LUKB_id]],"è")</f>
        <v>è</v>
      </c>
      <c r="D24" s="142" t="str" cm="1">
        <f t="array" aca="1" ref="D24" ca="1">OFFSET(POrigin,MATCH(Valori[[#This Row],[LUKB_id]],PID,0),MATCH("SC_GROUPED",PIntestazioni,0)-1,1,1)</f>
        <v>BON</v>
      </c>
      <c r="E24" s="413" t="str" cm="1">
        <f t="array" aca="1" ref="E24" ca="1">OFFSET(POrigin,MATCH(Valori[[#This Row],[LUKB_id]],PID,0),MATCH("isin",PIntestazioni,0)-1,1,1)</f>
        <v>US683234AT57</v>
      </c>
      <c r="F24" s="34" t="str" cm="1">
        <f t="array" aca="1" ref="F24" ca="1">OFFSET(POrigin,MATCH(Valori[[#This Row],[LUKB_id]],PID,0),MATCH("NSIN_CH",PLabel,0)-1,1,1)</f>
        <v>111006659</v>
      </c>
      <c r="G24" s="95" t="str" cm="1">
        <f t="array" aca="1" ref="G24" ca="1">IF(OFFSET(POrigin,MATCH(Valori[[#This Row],[LUKB_id]],PID,0),MATCH("INSTRUNIT",PLabel,0)-1,1,1)="Nominal","Pct","Unit")</f>
        <v>Pct</v>
      </c>
      <c r="H24" s="612">
        <f ca="1">MAX(OFFSET(POrigin,MATCH(Valori[[#This Row],[LUKB_id]],PID,0),MATCH("PRICINGAMT",PLabel,0)-1,1,1),1)</f>
        <v>1</v>
      </c>
      <c r="I24" s="615" t="str" cm="1">
        <f t="array" aca="1" ref="I24" ca="1">OFFSET(POrigin,MATCH(Valori[[#This Row],[LUKB_id]],PID,0),MATCH("M_NAME",PLabel,0)-1,1,1)</f>
        <v>1.05 Ontari26 B Nts</v>
      </c>
      <c r="M24" s="142" t="str" cm="1">
        <f t="array" aca="1" ref="M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1.050 % Province of Ontario 14.04.26</v>
      </c>
      <c r="N24" s="1563">
        <f ca="1">COUNTIF('CHF M'!smo_id,Valori[[#This Row],[smo_id]])+COUNTIF('CHF MA'!smo_id,Valori[[#This Row],[smo_id]])+COUNTIF('EUR MB'!smo_id,Valori[[#This Row],[smo_id]])+COUNTIF('EUR M'!smo_id,Valori[[#This Row],[smo_id]])+COUNTIF(AGCO!smo_id,Valori[[#This Row],[smo_id]])</f>
        <v>1</v>
      </c>
      <c r="O24" s="1590" cm="1">
        <f t="array" aca="1" ref="O24" ca="1">SUM(IF('CHF M'!smo_id=Valori[[#This Row],[smo_id]],'CHF M'!Posizione))+SUM(IF('CHF MA'!smo_id=Valori[[#This Row],[smo_id]],'CHF MA'!Posizione))+SUM(IF('EUR MB'!smo_id=Valori[[#This Row],[smo_id]],'EUR MB'!Posizione))+SUM(IF('EUR M'!smo_id=Valori[[#This Row],[smo_id]],'EUR M'!Posizione))+SUM(IF(AGCO!smo_id=Valori[[#This Row],[smo_id]],AGCO!Posizione))</f>
        <v>30000</v>
      </c>
      <c r="P24" s="1661" t="str">
        <f>HYPERLINK(Valori[[#This Row],[P_Source]],"è")</f>
        <v>è</v>
      </c>
      <c r="Q24" s="1663" t="str">
        <f>HYPERLINK(Valori[[#This Row],[Info_W]],"i")</f>
        <v>i</v>
      </c>
      <c r="R24" s="1664" t="str">
        <f>HYPERLINK(Valori[[#This Row],[FN_W]],"")</f>
        <v></v>
      </c>
      <c r="S24" s="1665" t="str">
        <f>HYPERLINK(Valori[[#This Row],[MS_Link]],"")</f>
        <v></v>
      </c>
      <c r="T24" s="1665" t="str">
        <f>HYPERLINK(Valori[[#This Row],[C_source]],"")</f>
        <v></v>
      </c>
      <c r="U24" s="142" t="str" cm="1">
        <f t="array" aca="1" ref="U24" ca="1">OFFSET(POrigin,MATCH(Valori[[#This Row],[LUKB_id]],PID,0),MATCH("M_CUR",PLabel,0)-1,1,1)</f>
        <v>USD</v>
      </c>
      <c r="V24" s="1562">
        <f ca="1">(Valori[[#This Row],[Last]]+Valori[[#This Row],[Acc. Int]])/Valori[[#This Row],[Pr.Amt]]/IF(Valori[[#This Row],[P_Type]]="Pct",100,1)</f>
        <v>1.00089416667</v>
      </c>
      <c r="W24" s="1591" cm="1">
        <f t="array" aca="1" ref="W24" ca="1">OFFSET(POrigin,MATCH(Valori[[#This Row],[LUKB_id]],PID,0),MATCH("NC2_PR",PLabel,0)-1,1,1)/100</f>
        <v>1.3042911177769999E-4</v>
      </c>
      <c r="X24" s="1592" cm="1">
        <f t="array" aca="1" ref="X24" ca="1">OFFSET(POrigin,MATCH(Valori[[#This Row],[LUKB_id]],PID,0),MATCH("LVAL",PLabel,0)-1,1,1)</f>
        <v>99.683999999999997</v>
      </c>
      <c r="Y24" s="1593" cm="1">
        <f t="array" aca="1" ref="Y24" ca="1">OFFSET(POrigin,MATCH(Valori[[#This Row],[LUKB_id]],PID,0),MATCH("LVAL:datetime",PLabel,0)-1,1,1)</f>
        <v>46084.751736111109</v>
      </c>
      <c r="Z24" s="1594" cm="1">
        <f t="array" aca="1" ref="Z24" ca="1">OFFSET(POrigin,MATCH(Valori[[#This Row],[LUKB_id]],PID,0),MATCH("BID:volume",PLabel,0)-1,1,1)</f>
        <v>500000</v>
      </c>
      <c r="AA24" s="1595" cm="1">
        <f t="array" aca="1" ref="AA24" ca="1">OFFSET(POrigin,MATCH(Valori[[#This Row],[LUKB_id]],PID,0),MATCH("BID",PLabel,0)-1,1,1)</f>
        <v>99.683000000000007</v>
      </c>
      <c r="AB24" s="1595" cm="1">
        <f t="array" aca="1" ref="AB24" ca="1">OFFSET(POrigin,MATCH(Valori[[#This Row],[LUKB_id]],PID,0),MATCH("ASK",PLabel,0)-1,1,1)</f>
        <v>99.688000000000002</v>
      </c>
      <c r="AC24" s="1594" cm="1">
        <f t="array" aca="1" ref="AC24" ca="1">OFFSET(POrigin,MATCH(Valori[[#This Row],[LUKB_id]],PID,0),MATCH("ASK:volume",PLabel,0)-1,1,1)</f>
        <v>500000</v>
      </c>
      <c r="AD24" s="1596" cm="1">
        <f t="array" aca="1" ref="AD24" ca="1">OFFSET(POrigin,MATCH(Valori[[#This Row],[LUKB_id]],PID,0),MATCH("BID-ASK Spread %",PLabel,0)-1,1,1)</f>
        <v>3.3438776943264106E-5</v>
      </c>
      <c r="AE24" s="1597" cm="1">
        <f t="array" aca="1" ref="AE24" ca="1">IF(OFFSET(POrigin,MATCH(Valori[[#This Row],[LUKB_id]],PID,0),MATCH("MATURITY",PLabel,0)-1,1,1)&gt;0,OFFSET(POrigin,MATCH(Valori[[#This Row],[LUKB_id]],PID,0),MATCH("MATURITY",PLabel,0)-1,1,1),"")</f>
        <v>46126</v>
      </c>
      <c r="AF24" s="1598" cm="1">
        <f t="array" aca="1" ref="AF24" ca="1">OFFSET(POrigin,MATCH(Valori[[#This Row],[LUKB_id]],PID,0),MATCH("ACCINT",PLabel,0)-1,1,1)</f>
        <v>0.40541666700000001</v>
      </c>
      <c r="AG24" s="1594" cm="1">
        <f t="array" aca="1" ref="AG24" ca="1">OFFSET(POrigin,MATCH(Valori[[#This Row],[LUKB_id]],PID,0),MATCH("DENOM",PLabel,0)-1,1,1)</f>
        <v>1000</v>
      </c>
      <c r="AH24" s="1599" cm="1">
        <f t="array" aca="1" ref="AH24" ca="1">(OFFSET(POrigin,MATCH(Valori[[#This Row],[LUKB_id]],PID,0),MATCH("YIELD",PLabel,0)-1,1,1)+OFFSET(POrigin,MATCH(Valori[[#This Row],[LUKB_id]],PID,0),MATCH("YLDEQ",PLabel,0)-1,1,1))/100</f>
        <v>4.0835644169999998E-2</v>
      </c>
      <c r="AI24" s="1600">
        <f ca="1">OFFSET(POrigin,MATCH(Valori[[#This Row],[LUKB_id]],PID,0),MATCH("DIVIDEND",PLabel,0)-1,1,1)</f>
        <v>0</v>
      </c>
      <c r="AJ24" s="1601">
        <f ca="1">OFFSET(POrigin,MATCH(Valori[[#This Row],[LUKB_id]],PID,0),MATCH("DIVIDEND:datetime",PLabel,0)-1,1,1)</f>
        <v>0</v>
      </c>
      <c r="AK24" s="1602">
        <f ca="1">OFFSET(POrigin,MATCH(Valori[[#This Row],[LUKB_id]],PID,0),MATCH("INTEREST",PLabel,0)-1,1,1)</f>
        <v>1.05</v>
      </c>
      <c r="AL24" s="1603">
        <f ca="1">OFFSET(POrigin,MATCH(Valori[[#This Row],[LUKB_id]],PID,0),MATCH("4W_PERF_PR",PLabel,0)-1,1,1)/100</f>
        <v>2.2121446742616999E-3</v>
      </c>
      <c r="AM24" s="1603">
        <f ca="1">OFFSET(POrigin,MATCH(Valori[[#This Row],[LUKB_id]],PID,0),MATCH("12W_PERF_PR",PLabel,0)-1,1,1)/100</f>
        <v>6.7065965032775997E-3</v>
      </c>
      <c r="AN24" s="1603">
        <f ca="1">OFFSET(POrigin,MATCH(Valori[[#This Row],[LUKB_id]],PID,0),MATCH("YTD_PERF_PR",PLabel,0)-1,1,1)/100</f>
        <v>-3.8407258064516198E-2</v>
      </c>
      <c r="AO24" s="1591"/>
      <c r="AP24" s="1591"/>
      <c r="AQ24" s="1591"/>
      <c r="AR24" s="1591"/>
      <c r="AS24" s="1890"/>
      <c r="AT24" s="1890"/>
      <c r="AU24" s="610"/>
      <c r="AV24" s="1891"/>
      <c r="AW24" s="1604" t="str">
        <f>"https://boersenundmaerkte.lukb.ch/lukb/details/"&amp;Valori[[#This Row],[LUKB_id]]</f>
        <v>https://boersenundmaerkte.lukb.ch/lukb/details/111006659,16,333</v>
      </c>
      <c r="AX2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4" s="142"/>
      <c r="AZ24" s="142"/>
      <c r="BA24" s="142"/>
      <c r="BB24" s="142"/>
    </row>
    <row r="25" spans="1:54" ht="15" customHeight="1" x14ac:dyDescent="0.2">
      <c r="A25" s="142" t="s">
        <v>991</v>
      </c>
      <c r="B25" s="142" t="str" cm="1">
        <f t="array" aca="1" ref="B25" ca="1">OFFSET(POrigin,MATCH(Valori[[#This Row],[smo_id]],Posizioni[smo_id],0),MATCH("LUKB_id",PIntestazioni,0)-1,1,1)</f>
        <v>134861404,4,1</v>
      </c>
      <c r="C25" s="1668" t="str">
        <f ca="1">HYPERLINK("https://boersenundmaerkte.lukb.ch/lukb/details/"&amp;Valori[[#This Row],[LUKB_id]],"è")</f>
        <v>è</v>
      </c>
      <c r="D25" s="142" t="str" cm="1">
        <f t="array" aca="1" ref="D25" ca="1">OFFSET(POrigin,MATCH(Valori[[#This Row],[LUKB_id]],PID,0),MATCH("SC_GROUPED",PIntestazioni,0)-1,1,1)</f>
        <v>BON</v>
      </c>
      <c r="E25" s="413" t="str" cm="1">
        <f t="array" aca="1" ref="E25" ca="1">OFFSET(POrigin,MATCH(Valori[[#This Row],[LUKB_id]],PID,0),MATCH("isin",PIntestazioni,0)-1,1,1)</f>
        <v>CH1348614046</v>
      </c>
      <c r="F25" s="34" t="str" cm="1">
        <f t="array" aca="1" ref="F25" ca="1">OFFSET(POrigin,MATCH(Valori[[#This Row],[LUKB_id]],PID,0),MATCH("NSIN_CH",PLabel,0)-1,1,1)</f>
        <v>134861404</v>
      </c>
      <c r="G25" s="95" t="str" cm="1">
        <f t="array" aca="1" ref="G25" ca="1">IF(OFFSET(POrigin,MATCH(Valori[[#This Row],[LUKB_id]],PID,0),MATCH("INSTRUNIT",PLabel,0)-1,1,1)="Nominal","Pct","Unit")</f>
        <v>Pct</v>
      </c>
      <c r="H25" s="612">
        <f ca="1">MAX(OFFSET(POrigin,MATCH(Valori[[#This Row],[LUKB_id]],PID,0),MATCH("PRICINGAMT",PLabel,0)-1,1,1),1)</f>
        <v>1</v>
      </c>
      <c r="I25" s="615" t="str" cm="1">
        <f t="array" aca="1" ref="I25" ca="1">OFFSET(POrigin,MATCH(Valori[[#This Row],[LUKB_id]],PID,0),MATCH("M_NAME",PLabel,0)-1,1,1)</f>
        <v>1.8 Barry Cal26 Obl</v>
      </c>
      <c r="M25" s="142" t="str" cm="1">
        <f t="array" aca="1" ref="M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1.800 % Barry Callebaut AG 15.05.26</v>
      </c>
      <c r="N25" s="1563">
        <f ca="1">COUNTIF('CHF M'!smo_id,Valori[[#This Row],[smo_id]])+COUNTIF('CHF MA'!smo_id,Valori[[#This Row],[smo_id]])+COUNTIF('EUR MB'!smo_id,Valori[[#This Row],[smo_id]])+COUNTIF('EUR M'!smo_id,Valori[[#This Row],[smo_id]])+COUNTIF(AGCO!smo_id,Valori[[#This Row],[smo_id]])</f>
        <v>1</v>
      </c>
      <c r="O25" s="1590" cm="1">
        <f t="array" aca="1" ref="O25" ca="1">SUM(IF('CHF M'!smo_id=Valori[[#This Row],[smo_id]],'CHF M'!Posizione))+SUM(IF('CHF MA'!smo_id=Valori[[#This Row],[smo_id]],'CHF MA'!Posizione))+SUM(IF('EUR MB'!smo_id=Valori[[#This Row],[smo_id]],'EUR MB'!Posizione))+SUM(IF('EUR M'!smo_id=Valori[[#This Row],[smo_id]],'EUR M'!Posizione))+SUM(IF(AGCO!smo_id=Valori[[#This Row],[smo_id]],AGCO!Posizione))</f>
        <v>20000</v>
      </c>
      <c r="P25" s="1661" t="str">
        <f ca="1">HYPERLINK(Valori[[#This Row],[P_Source]],"è")</f>
        <v>è</v>
      </c>
      <c r="Q25" s="1663" t="str">
        <f>HYPERLINK(Valori[[#This Row],[Info_W]],"i")</f>
        <v>i</v>
      </c>
      <c r="R25" s="1664" t="str">
        <f>HYPERLINK(Valori[[#This Row],[FN_W]],"")</f>
        <v></v>
      </c>
      <c r="S25" s="1665" t="str">
        <f>HYPERLINK(Valori[[#This Row],[MS_Link]],"")</f>
        <v></v>
      </c>
      <c r="T25" s="1665" t="str">
        <f>HYPERLINK(Valori[[#This Row],[C_source]],"")</f>
        <v></v>
      </c>
      <c r="U25" s="142" t="str" cm="1">
        <f t="array" aca="1" ref="U25" ca="1">OFFSET(POrigin,MATCH(Valori[[#This Row],[LUKB_id]],PID,0),MATCH("M_CUR",PLabel,0)-1,1,1)</f>
        <v>CHF</v>
      </c>
      <c r="V25" s="1562">
        <f ca="1">(Valori[[#This Row],[Last]]+Valori[[#This Row],[Acc. Int]])/Valori[[#This Row],[Pr.Amt]]/IF(Valori[[#This Row],[P_Type]]="Pct",100,1)</f>
        <v>1.0162</v>
      </c>
      <c r="W25" s="1591" cm="1">
        <f t="array" aca="1" ref="W25" ca="1">OFFSET(POrigin,MATCH(Valori[[#This Row],[LUKB_id]],PID,0),MATCH("NC2_PR",PLabel,0)-1,1,1)/100</f>
        <v>0</v>
      </c>
      <c r="X25" s="1592" cm="1">
        <f t="array" aca="1" ref="X25" ca="1">OFFSET(POrigin,MATCH(Valori[[#This Row],[LUKB_id]],PID,0),MATCH("LVAL",PLabel,0)-1,1,1)</f>
        <v>100.18</v>
      </c>
      <c r="Y25" s="1593" cm="1">
        <f t="array" aca="1" ref="Y25" ca="1">OFFSET(POrigin,MATCH(Valori[[#This Row],[LUKB_id]],PID,0),MATCH("LVAL:datetime",PLabel,0)-1,1,1)</f>
        <v>46084.708333333336</v>
      </c>
      <c r="Z25" s="1594" cm="1">
        <f t="array" aca="1" ref="Z25" ca="1">OFFSET(POrigin,MATCH(Valori[[#This Row],[LUKB_id]],PID,0),MATCH("BID:volume",PLabel,0)-1,1,1)</f>
        <v>100000</v>
      </c>
      <c r="AA25" s="1595" cm="1">
        <f t="array" aca="1" ref="AA25" ca="1">OFFSET(POrigin,MATCH(Valori[[#This Row],[LUKB_id]],PID,0),MATCH("BID",PLabel,0)-1,1,1)</f>
        <v>100.17</v>
      </c>
      <c r="AB25" s="1595" cm="1">
        <f t="array" aca="1" ref="AB25" ca="1">OFFSET(POrigin,MATCH(Valori[[#This Row],[LUKB_id]],PID,0),MATCH("ASK",PLabel,0)-1,1,1)</f>
        <v>100.26</v>
      </c>
      <c r="AC25" s="1594" cm="1">
        <f t="array" aca="1" ref="AC25" ca="1">OFFSET(POrigin,MATCH(Valori[[#This Row],[LUKB_id]],PID,0),MATCH("ASK:volume",PLabel,0)-1,1,1)</f>
        <v>100000</v>
      </c>
      <c r="AD25" s="1596" cm="1">
        <f t="array" aca="1" ref="AD25" ca="1">OFFSET(POrigin,MATCH(Valori[[#This Row],[LUKB_id]],PID,0),MATCH("BID-ASK Spread %",PLabel,0)-1,1,1)</f>
        <v>5.9880239520960349E-4</v>
      </c>
      <c r="AE25" s="1597" cm="1">
        <f t="array" aca="1" ref="AE25" ca="1">IF(OFFSET(POrigin,MATCH(Valori[[#This Row],[LUKB_id]],PID,0),MATCH("MATURITY",PLabel,0)-1,1,1)&gt;0,OFFSET(POrigin,MATCH(Valori[[#This Row],[LUKB_id]],PID,0),MATCH("MATURITY",PLabel,0)-1,1,1),"")</f>
        <v>46157</v>
      </c>
      <c r="AF25" s="1598" cm="1">
        <f t="array" aca="1" ref="AF25" ca="1">OFFSET(POrigin,MATCH(Valori[[#This Row],[LUKB_id]],PID,0),MATCH("ACCINT",PLabel,0)-1,1,1)</f>
        <v>1.44</v>
      </c>
      <c r="AG25" s="1594" cm="1">
        <f t="array" aca="1" ref="AG25" ca="1">OFFSET(POrigin,MATCH(Valori[[#This Row],[LUKB_id]],PID,0),MATCH("DENOM",PLabel,0)-1,1,1)</f>
        <v>5000</v>
      </c>
      <c r="AH25" s="1599" cm="1">
        <f t="array" aca="1" ref="AH25" ca="1">(OFFSET(POrigin,MATCH(Valori[[#This Row],[LUKB_id]],PID,0),MATCH("YIELD",PLabel,0)-1,1,1)+OFFSET(POrigin,MATCH(Valori[[#This Row],[LUKB_id]],PID,0),MATCH("YLDEQ",PLabel,0)-1,1,1))/100</f>
        <v>8.6026335199999998E-3</v>
      </c>
      <c r="AI25" s="1600">
        <f ca="1">OFFSET(POrigin,MATCH(Valori[[#This Row],[LUKB_id]],PID,0),MATCH("DIVIDEND",PLabel,0)-1,1,1)</f>
        <v>0</v>
      </c>
      <c r="AJ25" s="1601">
        <f ca="1">OFFSET(POrigin,MATCH(Valori[[#This Row],[LUKB_id]],PID,0),MATCH("DIVIDEND:datetime",PLabel,0)-1,1,1)</f>
        <v>0</v>
      </c>
      <c r="AK25" s="1602">
        <f ca="1">OFFSET(POrigin,MATCH(Valori[[#This Row],[LUKB_id]],PID,0),MATCH("INTEREST",PLabel,0)-1,1,1)</f>
        <v>1.8</v>
      </c>
      <c r="AL25" s="1603">
        <f ca="1">OFFSET(POrigin,MATCH(Valori[[#This Row],[LUKB_id]],PID,0),MATCH("4W_PERF_PR",PLabel,0)-1,1,1)/100</f>
        <v>-1.1964107676969999E-3</v>
      </c>
      <c r="AM25" s="1603">
        <f ca="1">OFFSET(POrigin,MATCH(Valori[[#This Row],[LUKB_id]],PID,0),MATCH("12W_PERF_PR",PLabel,0)-1,1,1)/100</f>
        <v>-1.5945784333267E-3</v>
      </c>
      <c r="AN25" s="1603">
        <f ca="1">OFFSET(POrigin,MATCH(Valori[[#This Row],[LUKB_id]],PID,0),MATCH("YTD_PERF_PR",PLabel,0)-1,1,1)/100</f>
        <v>-8.9757654333290002E-4</v>
      </c>
      <c r="AO25" s="1591"/>
      <c r="AP25" s="1591"/>
      <c r="AQ25" s="1591"/>
      <c r="AR25" s="1591"/>
      <c r="AS25" s="1890"/>
      <c r="AT25" s="1890"/>
      <c r="AU25" s="610"/>
      <c r="AV25" s="1891"/>
      <c r="AW25" s="1604" t="str">
        <f ca="1">"https://boersenundmaerkte.lukb.ch/lukb/details/"&amp;Valori[[#This Row],[LUKB_id]]</f>
        <v>https://boersenundmaerkte.lukb.ch/lukb/details/134861404,4,1</v>
      </c>
      <c r="AX2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5" s="142"/>
      <c r="AZ25" s="142"/>
      <c r="BA25" s="142"/>
      <c r="BB25" s="142"/>
    </row>
    <row r="26" spans="1:54" ht="15" customHeight="1" x14ac:dyDescent="0.2">
      <c r="A26" s="142" t="s">
        <v>992</v>
      </c>
      <c r="B26" s="142" t="str" cm="1">
        <f t="array" aca="1" ref="B26" ca="1">OFFSET(POrigin,MATCH(Valori[[#This Row],[smo_id]],Posizioni[smo_id],0),MATCH("LUKB_id",PIntestazioni,0)-1,1,1)</f>
        <v>111598395,16,333</v>
      </c>
      <c r="C26" s="1668" t="str">
        <f ca="1">HYPERLINK("https://boersenundmaerkte.lukb.ch/lukb/details/"&amp;Valori[[#This Row],[LUKB_id]],"è")</f>
        <v>è</v>
      </c>
      <c r="D26" s="142" t="str" cm="1">
        <f t="array" aca="1" ref="D26" ca="1">OFFSET(POrigin,MATCH(Valori[[#This Row],[LUKB_id]],PID,0),MATCH("SC_GROUPED",PIntestazioni,0)-1,1,1)</f>
        <v>BON</v>
      </c>
      <c r="E26" s="413" t="str" cm="1">
        <f t="array" aca="1" ref="E26" ca="1">OFFSET(POrigin,MATCH(Valori[[#This Row],[LUKB_id]],PID,0),MATCH("isin",PIntestazioni,0)-1,1,1)</f>
        <v>US427028AB18</v>
      </c>
      <c r="F26" s="34" t="str" cm="1">
        <f t="array" aca="1" ref="F26" ca="1">OFFSET(POrigin,MATCH(Valori[[#This Row],[LUKB_id]],PID,0),MATCH("NSIN_CH",PLabel,0)-1,1,1)</f>
        <v>111598395</v>
      </c>
      <c r="G26" s="95" t="str" cm="1">
        <f t="array" aca="1" ref="G26" ca="1">IF(OFFSET(POrigin,MATCH(Valori[[#This Row],[LUKB_id]],PID,0),MATCH("INSTRUNIT",PLabel,0)-1,1,1)="Nominal","Pct","Unit")</f>
        <v>Pct</v>
      </c>
      <c r="H26" s="612">
        <f ca="1">MAX(OFFSET(POrigin,MATCH(Valori[[#This Row],[LUKB_id]],PID,0),MATCH("PRICINGAMT",PLabel,0)-1,1,1),1)</f>
        <v>1</v>
      </c>
      <c r="I26" s="615" t="str" cm="1">
        <f t="array" aca="1" ref="I26" ca="1">OFFSET(POrigin,MATCH(Valori[[#This Row],[LUKB_id]],PID,0),MATCH("M_NAME",PLabel,0)-1,1,1)</f>
        <v>0.75 CAN 26 B Bds</v>
      </c>
      <c r="M26" s="142" t="str" cm="1">
        <f t="array" aca="1" ref="M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Canada Government 19.05.26</v>
      </c>
      <c r="N26" s="1563">
        <f ca="1">COUNTIF('CHF M'!smo_id,Valori[[#This Row],[smo_id]])+COUNTIF('CHF MA'!smo_id,Valori[[#This Row],[smo_id]])+COUNTIF('EUR MB'!smo_id,Valori[[#This Row],[smo_id]])+COUNTIF('EUR M'!smo_id,Valori[[#This Row],[smo_id]])+COUNTIF(AGCO!smo_id,Valori[[#This Row],[smo_id]])</f>
        <v>1</v>
      </c>
      <c r="O26" s="1590" cm="1">
        <f t="array" aca="1" ref="O26" ca="1">SUM(IF('CHF M'!smo_id=Valori[[#This Row],[smo_id]],'CHF M'!Posizione))+SUM(IF('CHF MA'!smo_id=Valori[[#This Row],[smo_id]],'CHF MA'!Posizione))+SUM(IF('EUR MB'!smo_id=Valori[[#This Row],[smo_id]],'EUR MB'!Posizione))+SUM(IF('EUR M'!smo_id=Valori[[#This Row],[smo_id]],'EUR M'!Posizione))+SUM(IF(AGCO!smo_id=Valori[[#This Row],[smo_id]],AGCO!Posizione))</f>
        <v>250000</v>
      </c>
      <c r="P26" s="1661" t="str">
        <f ca="1">HYPERLINK(Valori[[#This Row],[P_Source]],"è")</f>
        <v>è</v>
      </c>
      <c r="Q26" s="1663" t="str">
        <f>HYPERLINK(Valori[[#This Row],[Info_W]],"i")</f>
        <v>i</v>
      </c>
      <c r="R26" s="1664" t="str">
        <f>HYPERLINK(Valori[[#This Row],[FN_W]],"")</f>
        <v></v>
      </c>
      <c r="S26" s="1665" t="str">
        <f>HYPERLINK(Valori[[#This Row],[MS_Link]],"")</f>
        <v></v>
      </c>
      <c r="T26" s="1665" t="str">
        <f>HYPERLINK(Valori[[#This Row],[C_source]],"")</f>
        <v></v>
      </c>
      <c r="U26" s="142" t="str" cm="1">
        <f t="array" aca="1" ref="U26" ca="1">OFFSET(POrigin,MATCH(Valori[[#This Row],[LUKB_id]],PID,0),MATCH("M_CUR",PLabel,0)-1,1,1)</f>
        <v>USD</v>
      </c>
      <c r="V26" s="1562">
        <f ca="1">(Valori[[#This Row],[Last]]+Valori[[#This Row],[Acc. Int]])/Valori[[#This Row],[Pr.Amt]]/IF(Valori[[#This Row],[P_Type]]="Pct",100,1)</f>
        <v>0.99575666667000007</v>
      </c>
      <c r="W26" s="1591" cm="1">
        <f t="array" aca="1" ref="W26" ca="1">OFFSET(POrigin,MATCH(Valori[[#This Row],[LUKB_id]],PID,0),MATCH("NC2_PR",PLabel,0)-1,1,1)/100</f>
        <v>0</v>
      </c>
      <c r="X26" s="1592" cm="1">
        <f t="array" aca="1" ref="X26" ca="1">OFFSET(POrigin,MATCH(Valori[[#This Row],[LUKB_id]],PID,0),MATCH("LVAL",PLabel,0)-1,1,1)</f>
        <v>99.359000000000009</v>
      </c>
      <c r="Y26" s="1593" cm="1">
        <f t="array" aca="1" ref="Y26" ca="1">OFFSET(POrigin,MATCH(Valori[[#This Row],[LUKB_id]],PID,0),MATCH("LVAL:datetime",PLabel,0)-1,1,1)</f>
        <v>46084.752152777779</v>
      </c>
      <c r="Z26" s="1594" cm="1">
        <f t="array" aca="1" ref="Z26" ca="1">OFFSET(POrigin,MATCH(Valori[[#This Row],[LUKB_id]],PID,0),MATCH("BID:volume",PLabel,0)-1,1,1)</f>
        <v>500000</v>
      </c>
      <c r="AA26" s="1595" cm="1">
        <f t="array" aca="1" ref="AA26" ca="1">OFFSET(POrigin,MATCH(Valori[[#This Row],[LUKB_id]],PID,0),MATCH("BID",PLabel,0)-1,1,1)</f>
        <v>99.365000000000009</v>
      </c>
      <c r="AB26" s="1595" cm="1">
        <f t="array" aca="1" ref="AB26" ca="1">OFFSET(POrigin,MATCH(Valori[[#This Row],[LUKB_id]],PID,0),MATCH("ASK",PLabel,0)-1,1,1)</f>
        <v>99.394000000000005</v>
      </c>
      <c r="AC26" s="1594" cm="1">
        <f t="array" aca="1" ref="AC26" ca="1">OFFSET(POrigin,MATCH(Valori[[#This Row],[LUKB_id]],PID,0),MATCH("ASK:volume",PLabel,0)-1,1,1)</f>
        <v>500000</v>
      </c>
      <c r="AD26" s="1596" cm="1">
        <f t="array" aca="1" ref="AD26" ca="1">OFFSET(POrigin,MATCH(Valori[[#This Row],[LUKB_id]],PID,0),MATCH("BID-ASK Spread %",PLabel,0)-1,1,1)</f>
        <v>1.9454991882569912E-4</v>
      </c>
      <c r="AE26" s="1597" cm="1">
        <f t="array" aca="1" ref="AE26" ca="1">IF(OFFSET(POrigin,MATCH(Valori[[#This Row],[LUKB_id]],PID,0),MATCH("MATURITY",PLabel,0)-1,1,1)&gt;0,OFFSET(POrigin,MATCH(Valori[[#This Row],[LUKB_id]],PID,0),MATCH("MATURITY",PLabel,0)-1,1,1),"")</f>
        <v>46161</v>
      </c>
      <c r="AF26" s="1598" cm="1">
        <f t="array" aca="1" ref="AF26" ca="1">OFFSET(POrigin,MATCH(Valori[[#This Row],[LUKB_id]],PID,0),MATCH("ACCINT",PLabel,0)-1,1,1)</f>
        <v>0.21666666700000001</v>
      </c>
      <c r="AG26" s="1594" cm="1">
        <f t="array" aca="1" ref="AG26" ca="1">OFFSET(POrigin,MATCH(Valori[[#This Row],[LUKB_id]],PID,0),MATCH("DENOM",PLabel,0)-1,1,1)</f>
        <v>5000</v>
      </c>
      <c r="AH26" s="1599" cm="1">
        <f t="array" aca="1" ref="AH26" ca="1">(OFFSET(POrigin,MATCH(Valori[[#This Row],[LUKB_id]],PID,0),MATCH("YIELD",PLabel,0)-1,1,1)+OFFSET(POrigin,MATCH(Valori[[#This Row],[LUKB_id]],PID,0),MATCH("YLDEQ",PLabel,0)-1,1,1))/100</f>
        <v>3.8847006400000002E-2</v>
      </c>
      <c r="AI26" s="1600">
        <f ca="1">OFFSET(POrigin,MATCH(Valori[[#This Row],[LUKB_id]],PID,0),MATCH("DIVIDEND",PLabel,0)-1,1,1)</f>
        <v>0</v>
      </c>
      <c r="AJ26" s="1601">
        <f ca="1">OFFSET(POrigin,MATCH(Valori[[#This Row],[LUKB_id]],PID,0),MATCH("DIVIDEND:datetime",PLabel,0)-1,1,1)</f>
        <v>0</v>
      </c>
      <c r="AK26" s="1602">
        <f ca="1">OFFSET(POrigin,MATCH(Valori[[#This Row],[LUKB_id]],PID,0),MATCH("INTEREST",PLabel,0)-1,1,1)</f>
        <v>0.75</v>
      </c>
      <c r="AL26" s="1603">
        <f ca="1">OFFSET(POrigin,MATCH(Valori[[#This Row],[LUKB_id]],PID,0),MATCH("4W_PERF_PR",PLabel,0)-1,1,1)/100</f>
        <v>2.3100978513066E-3</v>
      </c>
      <c r="AM26" s="1603">
        <f ca="1">OFFSET(POrigin,MATCH(Valori[[#This Row],[LUKB_id]],PID,0),MATCH("12W_PERF_PR",PLabel,0)-1,1,1)/100</f>
        <v>7.105353848649E-3</v>
      </c>
      <c r="AN26" s="1603">
        <f ca="1">OFFSET(POrigin,MATCH(Valori[[#This Row],[LUKB_id]],PID,0),MATCH("YTD_PERF_PR",PLabel,0)-1,1,1)/100</f>
        <v>-9.001719429554E-3</v>
      </c>
      <c r="AO26" s="1591"/>
      <c r="AP26" s="1591"/>
      <c r="AQ26" s="1591"/>
      <c r="AR26" s="1591"/>
      <c r="AS26" s="1890"/>
      <c r="AT26" s="1890"/>
      <c r="AU26" s="610"/>
      <c r="AV26" s="1891"/>
      <c r="AW26" s="1604" t="str">
        <f ca="1">"https://boersenundmaerkte.lukb.ch/lukb/details/"&amp;Valori[[#This Row],[LUKB_id]]</f>
        <v>https://boersenundmaerkte.lukb.ch/lukb/details/111598395,16,333</v>
      </c>
      <c r="AX2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 s="142"/>
      <c r="AZ26" s="142"/>
      <c r="BA26" s="142"/>
      <c r="BB26" s="142"/>
    </row>
    <row r="27" spans="1:54" ht="15" customHeight="1" x14ac:dyDescent="0.2">
      <c r="A27" s="142" t="s">
        <v>993</v>
      </c>
      <c r="B27" s="142" t="str" cm="1">
        <f t="array" aca="1" ref="B27" ca="1">OFFSET(POrigin,MATCH(Valori[[#This Row],[smo_id]],Posizioni[smo_id],0),MATCH("LUKB_id",PIntestazioni,0)-1,1,1)</f>
        <v>111948647,16,333</v>
      </c>
      <c r="C27" s="1668" t="str">
        <f ca="1">HYPERLINK("https://boersenundmaerkte.lukb.ch/lukb/details/"&amp;Valori[[#This Row],[LUKB_id]],"è")</f>
        <v>è</v>
      </c>
      <c r="D27" s="142" t="str" cm="1">
        <f t="array" aca="1" ref="D27" ca="1">OFFSET(POrigin,MATCH(Valori[[#This Row],[LUKB_id]],PID,0),MATCH("SC_GROUPED",PIntestazioni,0)-1,1,1)</f>
        <v>BON</v>
      </c>
      <c r="E27" s="413" t="str" cm="1">
        <f t="array" aca="1" ref="E27" ca="1">OFFSET(POrigin,MATCH(Valori[[#This Row],[LUKB_id]],PID,0),MATCH("isin",PIntestazioni,0)-1,1,1)</f>
        <v>US89114TZD70</v>
      </c>
      <c r="F27" s="34" t="str" cm="1">
        <f t="array" aca="1" ref="F27" ca="1">OFFSET(POrigin,MATCH(Valori[[#This Row],[LUKB_id]],PID,0),MATCH("NSIN_CH",PLabel,0)-1,1,1)</f>
        <v>111948647</v>
      </c>
      <c r="G27" s="95" t="str" cm="1">
        <f t="array" aca="1" ref="G27" ca="1">IF(OFFSET(POrigin,MATCH(Valori[[#This Row],[LUKB_id]],PID,0),MATCH("INSTRUNIT",PLabel,0)-1,1,1)="Nominal","Pct","Unit")</f>
        <v>Pct</v>
      </c>
      <c r="H27" s="612">
        <f ca="1">MAX(OFFSET(POrigin,MATCH(Valori[[#This Row],[LUKB_id]],PID,0),MATCH("PRICINGAMT",PLabel,0)-1,1,1),1)</f>
        <v>1</v>
      </c>
      <c r="I27" s="615" t="str" cm="1">
        <f t="array" aca="1" ref="I27" ca="1">OFFSET(POrigin,MATCH(Valori[[#This Row],[LUKB_id]],PID,0),MATCH("M_NAME",PLabel,0)-1,1,1)</f>
        <v>1.2 TD 26 C MTN</v>
      </c>
      <c r="M27" s="142" t="str" cm="1">
        <f t="array" aca="1" ref="M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1.200 % The Toronto-Dominion Bank 03.06.26</v>
      </c>
      <c r="N27" s="1563">
        <f ca="1">COUNTIF('CHF M'!smo_id,Valori[[#This Row],[smo_id]])+COUNTIF('CHF MA'!smo_id,Valori[[#This Row],[smo_id]])+COUNTIF('EUR MB'!smo_id,Valori[[#This Row],[smo_id]])+COUNTIF('EUR M'!smo_id,Valori[[#This Row],[smo_id]])+COUNTIF(AGCO!smo_id,Valori[[#This Row],[smo_id]])</f>
        <v>1</v>
      </c>
      <c r="O27" s="1590" cm="1">
        <f t="array" aca="1" ref="O27" ca="1">SUM(IF('CHF M'!smo_id=Valori[[#This Row],[smo_id]],'CHF M'!Posizione))+SUM(IF('CHF MA'!smo_id=Valori[[#This Row],[smo_id]],'CHF MA'!Posizione))+SUM(IF('EUR MB'!smo_id=Valori[[#This Row],[smo_id]],'EUR MB'!Posizione))+SUM(IF('EUR M'!smo_id=Valori[[#This Row],[smo_id]],'EUR M'!Posizione))+SUM(IF(AGCO!smo_id=Valori[[#This Row],[smo_id]],AGCO!Posizione))</f>
        <v>50000</v>
      </c>
      <c r="P27" s="1661" t="str">
        <f ca="1">HYPERLINK(Valori[[#This Row],[P_Source]],"è")</f>
        <v>è</v>
      </c>
      <c r="Q27" s="1663" t="str">
        <f>HYPERLINK(Valori[[#This Row],[Info_W]],"i")</f>
        <v>i</v>
      </c>
      <c r="R27" s="1664" t="str">
        <f>HYPERLINK(Valori[[#This Row],[FN_W]],"")</f>
        <v></v>
      </c>
      <c r="S27" s="1665" t="str">
        <f>HYPERLINK(Valori[[#This Row],[MS_Link]],"")</f>
        <v></v>
      </c>
      <c r="T27" s="1665" t="str">
        <f>HYPERLINK(Valori[[#This Row],[C_source]],"")</f>
        <v></v>
      </c>
      <c r="U27" s="142" t="str" cm="1">
        <f t="array" aca="1" ref="U27" ca="1">OFFSET(POrigin,MATCH(Valori[[#This Row],[LUKB_id]],PID,0),MATCH("M_CUR",PLabel,0)-1,1,1)</f>
        <v>USD</v>
      </c>
      <c r="V27" s="1562">
        <f ca="1">(Valori[[#This Row],[Last]]+Valori[[#This Row],[Acc. Int]])/Valori[[#This Row],[Pr.Amt]]/IF(Valori[[#This Row],[P_Type]]="Pct",100,1)</f>
        <v>0.99599000000000004</v>
      </c>
      <c r="W27" s="1591" cm="1">
        <f t="array" aca="1" ref="W27" ca="1">OFFSET(POrigin,MATCH(Valori[[#This Row],[LUKB_id]],PID,0),MATCH("NC2_PR",PLabel,0)-1,1,1)/100</f>
        <v>3.0212697389699999E-5</v>
      </c>
      <c r="X27" s="1592" cm="1">
        <f t="array" aca="1" ref="X27" ca="1">OFFSET(POrigin,MATCH(Valori[[#This Row],[LUKB_id]],PID,0),MATCH("LVAL",PLabel,0)-1,1,1)</f>
        <v>99.299000000000007</v>
      </c>
      <c r="Y27" s="1593" cm="1">
        <f t="array" aca="1" ref="Y27" ca="1">OFFSET(POrigin,MATCH(Valori[[#This Row],[LUKB_id]],PID,0),MATCH("LVAL:datetime",PLabel,0)-1,1,1)</f>
        <v>46084.750543981485</v>
      </c>
      <c r="Z27" s="1594" cm="1">
        <f t="array" aca="1" ref="Z27" ca="1">OFFSET(POrigin,MATCH(Valori[[#This Row],[LUKB_id]],PID,0),MATCH("BID:volume",PLabel,0)-1,1,1)</f>
        <v>500000</v>
      </c>
      <c r="AA27" s="1595" cm="1">
        <f t="array" aca="1" ref="AA27" ca="1">OFFSET(POrigin,MATCH(Valori[[#This Row],[LUKB_id]],PID,0),MATCH("BID",PLabel,0)-1,1,1)</f>
        <v>99.296999999999997</v>
      </c>
      <c r="AB27" s="1595" cm="1">
        <f t="array" aca="1" ref="AB27" ca="1">OFFSET(POrigin,MATCH(Valori[[#This Row],[LUKB_id]],PID,0),MATCH("ASK",PLabel,0)-1,1,1)</f>
        <v>99.361000000000004</v>
      </c>
      <c r="AC27" s="1594" cm="1">
        <f t="array" aca="1" ref="AC27" ca="1">OFFSET(POrigin,MATCH(Valori[[#This Row],[LUKB_id]],PID,0),MATCH("ASK:volume",PLabel,0)-1,1,1)</f>
        <v>500000</v>
      </c>
      <c r="AD27" s="1596" cm="1">
        <f t="array" aca="1" ref="AD27" ca="1">OFFSET(POrigin,MATCH(Valori[[#This Row],[LUKB_id]],PID,0),MATCH("BID-ASK Spread %",PLabel,0)-1,1,1)</f>
        <v>4.2959507308155368E-4</v>
      </c>
      <c r="AE27" s="1597" cm="1">
        <f t="array" aca="1" ref="AE27" ca="1">IF(OFFSET(POrigin,MATCH(Valori[[#This Row],[LUKB_id]],PID,0),MATCH("MATURITY",PLabel,0)-1,1,1)&gt;0,OFFSET(POrigin,MATCH(Valori[[#This Row],[LUKB_id]],PID,0),MATCH("MATURITY",PLabel,0)-1,1,1),"")</f>
        <v>46176</v>
      </c>
      <c r="AF27" s="1598" cm="1">
        <f t="array" aca="1" ref="AF27" ca="1">OFFSET(POrigin,MATCH(Valori[[#This Row],[LUKB_id]],PID,0),MATCH("ACCINT",PLabel,0)-1,1,1)</f>
        <v>0.30000000000000004</v>
      </c>
      <c r="AG27" s="1594" cm="1">
        <f t="array" aca="1" ref="AG27" ca="1">OFFSET(POrigin,MATCH(Valori[[#This Row],[LUKB_id]],PID,0),MATCH("DENOM",PLabel,0)-1,1,1)</f>
        <v>1000</v>
      </c>
      <c r="AH27" s="1599" cm="1">
        <f t="array" aca="1" ref="AH27" ca="1">(OFFSET(POrigin,MATCH(Valori[[#This Row],[LUKB_id]],PID,0),MATCH("YIELD",PLabel,0)-1,1,1)+OFFSET(POrigin,MATCH(Valori[[#This Row],[LUKB_id]],PID,0),MATCH("YLDEQ",PLabel,0)-1,1,1))/100</f>
        <v>4.0962759140000006E-2</v>
      </c>
      <c r="AI27" s="1600">
        <f ca="1">OFFSET(POrigin,MATCH(Valori[[#This Row],[LUKB_id]],PID,0),MATCH("DIVIDEND",PLabel,0)-1,1,1)</f>
        <v>0</v>
      </c>
      <c r="AJ27" s="1601">
        <f ca="1">OFFSET(POrigin,MATCH(Valori[[#This Row],[LUKB_id]],PID,0),MATCH("DIVIDEND:datetime",PLabel,0)-1,1,1)</f>
        <v>0</v>
      </c>
      <c r="AK27" s="1602">
        <f ca="1">OFFSET(POrigin,MATCH(Valori[[#This Row],[LUKB_id]],PID,0),MATCH("INTEREST",PLabel,0)-1,1,1)</f>
        <v>1.2</v>
      </c>
      <c r="AL27" s="1603">
        <f ca="1">OFFSET(POrigin,MATCH(Valori[[#This Row],[LUKB_id]],PID,0),MATCH("4W_PERF_PR",PLabel,0)-1,1,1)/100</f>
        <v>1.9070297758989E-3</v>
      </c>
      <c r="AM27" s="1603">
        <f ca="1">OFFSET(POrigin,MATCH(Valori[[#This Row],[LUKB_id]],PID,0),MATCH("12W_PERF_PR",PLabel,0)-1,1,1)/100</f>
        <v>6.4259796071436002E-3</v>
      </c>
      <c r="AN27" s="1603">
        <f ca="1">OFFSET(POrigin,MATCH(Valori[[#This Row],[LUKB_id]],PID,0),MATCH("YTD_PERF_PR",PLabel,0)-1,1,1)/100</f>
        <v>0</v>
      </c>
      <c r="AO27" s="1591"/>
      <c r="AP27" s="1591"/>
      <c r="AQ27" s="1591"/>
      <c r="AR27" s="1591"/>
      <c r="AS27" s="1890"/>
      <c r="AT27" s="1890"/>
      <c r="AU27" s="610"/>
      <c r="AV27" s="1891"/>
      <c r="AW27" s="1604" t="str">
        <f ca="1">"https://boersenundmaerkte.lukb.ch/lukb/details/"&amp;Valori[[#This Row],[LUKB_id]]</f>
        <v>https://boersenundmaerkte.lukb.ch/lukb/details/111948647,16,333</v>
      </c>
      <c r="AX27" s="1605"/>
      <c r="AY27" s="142"/>
      <c r="AZ27" s="142"/>
      <c r="BA27" s="142"/>
      <c r="BB27" s="142"/>
    </row>
    <row r="28" spans="1:54" ht="15" customHeight="1" x14ac:dyDescent="0.2">
      <c r="A28" s="142" t="s">
        <v>994</v>
      </c>
      <c r="B28" s="142" t="str" cm="1">
        <f t="array" aca="1" ref="B28" ca="1">OFFSET(POrigin,MATCH(Valori[[#This Row],[smo_id]],Posizioni[smo_id],0),MATCH("LUKB_id",PIntestazioni,0)-1,1,1)</f>
        <v>47951426,4,1</v>
      </c>
      <c r="C28" s="1668" t="str">
        <f ca="1">HYPERLINK("https://boersenundmaerkte.lukb.ch/lukb/details/"&amp;Valori[[#This Row],[LUKB_id]],"è")</f>
        <v>è</v>
      </c>
      <c r="D28" s="142" t="str" cm="1">
        <f t="array" aca="1" ref="D28" ca="1">OFFSET(POrigin,MATCH(Valori[[#This Row],[LUKB_id]],PID,0),MATCH("SC_GROUPED",PIntestazioni,0)-1,1,1)</f>
        <v>BON</v>
      </c>
      <c r="E28" s="413" t="str" cm="1">
        <f t="array" aca="1" ref="E28" ca="1">OFFSET(POrigin,MATCH(Valori[[#This Row],[LUKB_id]],PID,0),MATCH("isin",PIntestazioni,0)-1,1,1)</f>
        <v>CH0479514264</v>
      </c>
      <c r="F28" s="34" t="str" cm="1">
        <f t="array" aca="1" ref="F28" ca="1">OFFSET(POrigin,MATCH(Valori[[#This Row],[LUKB_id]],PID,0),MATCH("NSIN_CH",PLabel,0)-1,1,1)</f>
        <v>47951426</v>
      </c>
      <c r="G28" s="95" t="str" cm="1">
        <f t="array" aca="1" ref="G28" ca="1">IF(OFFSET(POrigin,MATCH(Valori[[#This Row],[LUKB_id]],PID,0),MATCH("INSTRUNIT",PLabel,0)-1,1,1)="Nominal","Pct","Unit")</f>
        <v>Pct</v>
      </c>
      <c r="H28" s="612">
        <f ca="1">MAX(OFFSET(POrigin,MATCH(Valori[[#This Row],[LUKB_id]],PID,0),MATCH("PRICINGAMT",PLabel,0)-1,1,1),1)</f>
        <v>1</v>
      </c>
      <c r="I28" s="615" t="str" cm="1">
        <f t="array" aca="1" ref="I28" ca="1">OFFSET(POrigin,MATCH(Valori[[#This Row],[LUKB_id]],PID,0),MATCH("M_NAME",PLabel,0)-1,1,1)</f>
        <v>0.2 BFCM 26 Nts</v>
      </c>
      <c r="M28" s="142" t="str" cm="1">
        <f t="array" aca="1" ref="M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Banque Federative du Credit Mutuel 12.06.26</v>
      </c>
      <c r="N28" s="1563">
        <f ca="1">COUNTIF('CHF M'!smo_id,Valori[[#This Row],[smo_id]])+COUNTIF('CHF MA'!smo_id,Valori[[#This Row],[smo_id]])+COUNTIF('EUR MB'!smo_id,Valori[[#This Row],[smo_id]])+COUNTIF('EUR M'!smo_id,Valori[[#This Row],[smo_id]])+COUNTIF(AGCO!smo_id,Valori[[#This Row],[smo_id]])</f>
        <v>2</v>
      </c>
      <c r="O28" s="1590" cm="1">
        <f t="array" aca="1" ref="O28" ca="1">SUM(IF('CHF M'!smo_id=Valori[[#This Row],[smo_id]],'CHF M'!Posizione))+SUM(IF('CHF MA'!smo_id=Valori[[#This Row],[smo_id]],'CHF MA'!Posizione))+SUM(IF('EUR MB'!smo_id=Valori[[#This Row],[smo_id]],'EUR MB'!Posizione))+SUM(IF('EUR M'!smo_id=Valori[[#This Row],[smo_id]],'EUR M'!Posizione))+SUM(IF(AGCO!smo_id=Valori[[#This Row],[smo_id]],AGCO!Posizione))</f>
        <v>150000</v>
      </c>
      <c r="P28" s="1661" t="str">
        <f ca="1">HYPERLINK(Valori[[#This Row],[P_Source]],"è")</f>
        <v>è</v>
      </c>
      <c r="Q28" s="1663" t="str">
        <f>HYPERLINK(Valori[[#This Row],[Info_W]],"i")</f>
        <v>i</v>
      </c>
      <c r="R28" s="1664" t="str">
        <f>HYPERLINK(Valori[[#This Row],[FN_W]],"")</f>
        <v></v>
      </c>
      <c r="S28" s="1665" t="str">
        <f>HYPERLINK(Valori[[#This Row],[MS_Link]],"")</f>
        <v></v>
      </c>
      <c r="T28" s="1665" t="str">
        <f>HYPERLINK(Valori[[#This Row],[C_source]],"")</f>
        <v></v>
      </c>
      <c r="U28" s="142" t="str" cm="1">
        <f t="array" aca="1" ref="U28" ca="1">OFFSET(POrigin,MATCH(Valori[[#This Row],[LUKB_id]],PID,0),MATCH("M_CUR",PLabel,0)-1,1,1)</f>
        <v>CHF</v>
      </c>
      <c r="V28" s="1562">
        <f ca="1">(Valori[[#This Row],[Last]]+Valori[[#This Row],[Acc. Int]])/Valori[[#This Row],[Pr.Amt]]/IF(Valori[[#This Row],[P_Type]]="Pct",100,1)</f>
        <v>1.00125</v>
      </c>
      <c r="W28" s="1591" cm="1">
        <f t="array" aca="1" ref="W28" ca="1">OFFSET(POrigin,MATCH(Valori[[#This Row],[LUKB_id]],PID,0),MATCH("NC2_PR",PLabel,0)-1,1,1)/100</f>
        <v>0</v>
      </c>
      <c r="X28" s="1592" cm="1">
        <f t="array" aca="1" ref="X28" ca="1">OFFSET(POrigin,MATCH(Valori[[#This Row],[LUKB_id]],PID,0),MATCH("LVAL",PLabel,0)-1,1,1)</f>
        <v>99.98</v>
      </c>
      <c r="Y28" s="1593" cm="1">
        <f t="array" aca="1" ref="Y28" ca="1">OFFSET(POrigin,MATCH(Valori[[#This Row],[LUKB_id]],PID,0),MATCH("LVAL:datetime",PLabel,0)-1,1,1)</f>
        <v>46084.708333333336</v>
      </c>
      <c r="Z28" s="1594" cm="1">
        <f t="array" aca="1" ref="Z28" ca="1">OFFSET(POrigin,MATCH(Valori[[#This Row],[LUKB_id]],PID,0),MATCH("BID:volume",PLabel,0)-1,1,1)</f>
        <v>100000</v>
      </c>
      <c r="AA28" s="1595" cm="1">
        <f t="array" aca="1" ref="AA28" ca="1">OFFSET(POrigin,MATCH(Valori[[#This Row],[LUKB_id]],PID,0),MATCH("BID",PLabel,0)-1,1,1)</f>
        <v>99.98</v>
      </c>
      <c r="AB28" s="1595" cm="1">
        <f t="array" aca="1" ref="AB28" ca="1">OFFSET(POrigin,MATCH(Valori[[#This Row],[LUKB_id]],PID,0),MATCH("ASK",PLabel,0)-1,1,1)</f>
        <v>100.03</v>
      </c>
      <c r="AC28" s="1594" cm="1">
        <f t="array" aca="1" ref="AC28" ca="1">OFFSET(POrigin,MATCH(Valori[[#This Row],[LUKB_id]],PID,0),MATCH("ASK:volume",PLabel,0)-1,1,1)</f>
        <v>135000</v>
      </c>
      <c r="AD28" s="1596" cm="1">
        <f t="array" aca="1" ref="AD28" ca="1">OFFSET(POrigin,MATCH(Valori[[#This Row],[LUKB_id]],PID,0),MATCH("BID-ASK Spread %",PLabel,0)-1,1,1)</f>
        <v>3.3334444481480821E-4</v>
      </c>
      <c r="AE28" s="1597" cm="1">
        <f t="array" aca="1" ref="AE28" ca="1">IF(OFFSET(POrigin,MATCH(Valori[[#This Row],[LUKB_id]],PID,0),MATCH("MATURITY",PLabel,0)-1,1,1)&gt;0,OFFSET(POrigin,MATCH(Valori[[#This Row],[LUKB_id]],PID,0),MATCH("MATURITY",PLabel,0)-1,1,1),"")</f>
        <v>46185</v>
      </c>
      <c r="AF28" s="1598" cm="1">
        <f t="array" aca="1" ref="AF28" ca="1">OFFSET(POrigin,MATCH(Valori[[#This Row],[LUKB_id]],PID,0),MATCH("ACCINT",PLabel,0)-1,1,1)</f>
        <v>0.14499999999999999</v>
      </c>
      <c r="AG28" s="1594" cm="1">
        <f t="array" aca="1" ref="AG28" ca="1">OFFSET(POrigin,MATCH(Valori[[#This Row],[LUKB_id]],PID,0),MATCH("DENOM",PLabel,0)-1,1,1)</f>
        <v>5000</v>
      </c>
      <c r="AH28" s="1599" cm="1">
        <f t="array" aca="1" ref="AH28" ca="1">(OFFSET(POrigin,MATCH(Valori[[#This Row],[LUKB_id]],PID,0),MATCH("YIELD",PLabel,0)-1,1,1)+OFFSET(POrigin,MATCH(Valori[[#This Row],[LUKB_id]],PID,0),MATCH("YLDEQ",PLabel,0)-1,1,1))/100</f>
        <v>2.7388140800000001E-3</v>
      </c>
      <c r="AI28" s="1600">
        <f ca="1">OFFSET(POrigin,MATCH(Valori[[#This Row],[LUKB_id]],PID,0),MATCH("DIVIDEND",PLabel,0)-1,1,1)</f>
        <v>0</v>
      </c>
      <c r="AJ28" s="1601">
        <f ca="1">OFFSET(POrigin,MATCH(Valori[[#This Row],[LUKB_id]],PID,0),MATCH("DIVIDEND:datetime",PLabel,0)-1,1,1)</f>
        <v>0</v>
      </c>
      <c r="AK28" s="1602">
        <f ca="1">OFFSET(POrigin,MATCH(Valori[[#This Row],[LUKB_id]],PID,0),MATCH("INTEREST",PLabel,0)-1,1,1)</f>
        <v>0.2</v>
      </c>
      <c r="AL28" s="1603">
        <f ca="1">OFFSET(POrigin,MATCH(Valori[[#This Row],[LUKB_id]],PID,0),MATCH("4W_PERF_PR",PLabel,0)-1,1,1)/100</f>
        <v>3.001500750376E-4</v>
      </c>
      <c r="AM28" s="1603">
        <f ca="1">OFFSET(POrigin,MATCH(Valori[[#This Row],[LUKB_id]],PID,0),MATCH("12W_PERF_PR",PLabel,0)-1,1,1)/100</f>
        <v>7.0063056751089997E-4</v>
      </c>
      <c r="AN28" s="1603">
        <f ca="1">OFFSET(POrigin,MATCH(Valori[[#This Row],[LUKB_id]],PID,0),MATCH("YTD_PERF_PR",PLabel,0)-1,1,1)/100</f>
        <v>6.0048038430750002E-4</v>
      </c>
      <c r="AO28" s="1591"/>
      <c r="AP28" s="1591"/>
      <c r="AQ28" s="1591"/>
      <c r="AR28" s="1591"/>
      <c r="AS28" s="1890"/>
      <c r="AT28" s="1890"/>
      <c r="AU28" s="610"/>
      <c r="AV28" s="1891"/>
      <c r="AW28" s="1604" t="str">
        <f ca="1">"https://boersenundmaerkte.lukb.ch/lukb/details/"&amp;Valori[[#This Row],[LUKB_id]]</f>
        <v>https://boersenundmaerkte.lukb.ch/lukb/details/47951426,4,1</v>
      </c>
      <c r="AX28"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 s="142"/>
      <c r="AZ28" s="142"/>
      <c r="BA28" s="142"/>
      <c r="BB28" s="142"/>
    </row>
    <row r="29" spans="1:54" ht="15" customHeight="1" x14ac:dyDescent="0.2">
      <c r="A29" s="142" t="s">
        <v>995</v>
      </c>
      <c r="B29" s="142" t="str" cm="1">
        <f t="array" aca="1" ref="B29" ca="1">OFFSET(POrigin,MATCH(Valori[[#This Row],[smo_id]],Posizioni[smo_id],0),MATCH("LUKB_id",PIntestazioni,0)-1,1,1)</f>
        <v>52215899,4,1</v>
      </c>
      <c r="C29" s="1668" t="str">
        <f ca="1">HYPERLINK("https://boersenundmaerkte.lukb.ch/lukb/details/"&amp;Valori[[#This Row],[LUKB_id]],"è")</f>
        <v>è</v>
      </c>
      <c r="D29" s="142" t="str" cm="1">
        <f t="array" aca="1" ref="D29" ca="1">OFFSET(POrigin,MATCH(Valori[[#This Row],[LUKB_id]],PID,0),MATCH("SC_GROUPED",PIntestazioni,0)-1,1,1)</f>
        <v>BON</v>
      </c>
      <c r="E29" s="413" t="str" cm="1">
        <f t="array" aca="1" ref="E29" ca="1">OFFSET(POrigin,MATCH(Valori[[#This Row],[LUKB_id]],PID,0),MATCH("isin",PIntestazioni,0)-1,1,1)</f>
        <v>CH0522158994</v>
      </c>
      <c r="F29" s="34" t="str" cm="1">
        <f t="array" aca="1" ref="F29" ca="1">OFFSET(POrigin,MATCH(Valori[[#This Row],[LUKB_id]],PID,0),MATCH("NSIN_CH",PLabel,0)-1,1,1)</f>
        <v>52215899</v>
      </c>
      <c r="G29" s="95" t="str" cm="1">
        <f t="array" aca="1" ref="G29" ca="1">IF(OFFSET(POrigin,MATCH(Valori[[#This Row],[LUKB_id]],PID,0),MATCH("INSTRUNIT",PLabel,0)-1,1,1)="Nominal","Pct","Unit")</f>
        <v>Pct</v>
      </c>
      <c r="H29" s="612">
        <f ca="1">MAX(OFFSET(POrigin,MATCH(Valori[[#This Row],[LUKB_id]],PID,0),MATCH("PRICINGAMT",PLabel,0)-1,1,1),1)</f>
        <v>1</v>
      </c>
      <c r="I29" s="615" t="str" cm="1">
        <f t="array" aca="1" ref="I29" ca="1">OFFSET(POrigin,MATCH(Valori[[#This Row],[LUKB_id]],PID,0),MATCH("M_NAME",PLabel,0)-1,1,1)</f>
        <v>0.01 BLKB 26 Anl</v>
      </c>
      <c r="M29" s="142" t="str" cm="1">
        <f t="array" aca="1" ref="M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Basellandschaftliche Kantonalbank 28.07.26</v>
      </c>
      <c r="N29" s="1563">
        <f ca="1">COUNTIF('CHF M'!smo_id,Valori[[#This Row],[smo_id]])+COUNTIF('CHF MA'!smo_id,Valori[[#This Row],[smo_id]])+COUNTIF('EUR MB'!smo_id,Valori[[#This Row],[smo_id]])+COUNTIF('EUR M'!smo_id,Valori[[#This Row],[smo_id]])+COUNTIF(AGCO!smo_id,Valori[[#This Row],[smo_id]])</f>
        <v>1</v>
      </c>
      <c r="O29" s="1590" cm="1">
        <f t="array" aca="1" ref="O29" ca="1">SUM(IF('CHF M'!smo_id=Valori[[#This Row],[smo_id]],'CHF M'!Posizione))+SUM(IF('CHF MA'!smo_id=Valori[[#This Row],[smo_id]],'CHF MA'!Posizione))+SUM(IF('EUR MB'!smo_id=Valori[[#This Row],[smo_id]],'EUR MB'!Posizione))+SUM(IF('EUR M'!smo_id=Valori[[#This Row],[smo_id]],'EUR M'!Posizione))+SUM(IF(AGCO!smo_id=Valori[[#This Row],[smo_id]],AGCO!Posizione))</f>
        <v>100000</v>
      </c>
      <c r="P29" s="1661" t="str">
        <f ca="1">HYPERLINK(Valori[[#This Row],[P_Source]],"è")</f>
        <v>è</v>
      </c>
      <c r="Q29" s="1663" t="str">
        <f>HYPERLINK(Valori[[#This Row],[Info_W]],"i")</f>
        <v>i</v>
      </c>
      <c r="R29" s="1664" t="str">
        <f>HYPERLINK(Valori[[#This Row],[FN_W]],"")</f>
        <v></v>
      </c>
      <c r="S29" s="1665" t="str">
        <f>HYPERLINK(Valori[[#This Row],[MS_Link]],"")</f>
        <v></v>
      </c>
      <c r="T29" s="1665" t="str">
        <f>HYPERLINK(Valori[[#This Row],[C_source]],"")</f>
        <v></v>
      </c>
      <c r="U29" s="142" t="str" cm="1">
        <f t="array" aca="1" ref="U29" ca="1">OFFSET(POrigin,MATCH(Valori[[#This Row],[LUKB_id]],PID,0),MATCH("M_CUR",PLabel,0)-1,1,1)</f>
        <v>CHF</v>
      </c>
      <c r="V29" s="1562">
        <f ca="1">(Valori[[#This Row],[Last]]+Valori[[#This Row],[Acc. Int]])/Valori[[#This Row],[Pr.Amt]]/IF(Valori[[#This Row],[P_Type]]="Pct",100,1)</f>
        <v>0.9994597222199999</v>
      </c>
      <c r="W29" s="1591" cm="1">
        <f t="array" aca="1" ref="W29" ca="1">OFFSET(POrigin,MATCH(Valori[[#This Row],[LUKB_id]],PID,0),MATCH("NC2_PR",PLabel,0)-1,1,1)/100</f>
        <v>-1.0005002501259999E-4</v>
      </c>
      <c r="X29" s="1592" cm="1">
        <f t="array" aca="1" ref="X29" ca="1">OFFSET(POrigin,MATCH(Valori[[#This Row],[LUKB_id]],PID,0),MATCH("LVAL",PLabel,0)-1,1,1)</f>
        <v>99.94</v>
      </c>
      <c r="Y29" s="1593" cm="1">
        <f t="array" aca="1" ref="Y29" ca="1">OFFSET(POrigin,MATCH(Valori[[#This Row],[LUKB_id]],PID,0),MATCH("LVAL:datetime",PLabel,0)-1,1,1)</f>
        <v>46084.708333333336</v>
      </c>
      <c r="Z29" s="1594" cm="1">
        <f t="array" aca="1" ref="Z29" ca="1">OFFSET(POrigin,MATCH(Valori[[#This Row],[LUKB_id]],PID,0),MATCH("BID:volume",PLabel,0)-1,1,1)</f>
        <v>100000</v>
      </c>
      <c r="AA29" s="1595" cm="1">
        <f t="array" aca="1" ref="AA29" ca="1">OFFSET(POrigin,MATCH(Valori[[#This Row],[LUKB_id]],PID,0),MATCH("BID",PLabel,0)-1,1,1)</f>
        <v>99.9</v>
      </c>
      <c r="AB29" s="1595" cm="1">
        <f t="array" aca="1" ref="AB29" ca="1">OFFSET(POrigin,MATCH(Valori[[#This Row],[LUKB_id]],PID,0),MATCH("ASK",PLabel,0)-1,1,1)</f>
        <v>100</v>
      </c>
      <c r="AC29" s="1594" cm="1">
        <f t="array" aca="1" ref="AC29" ca="1">OFFSET(POrigin,MATCH(Valori[[#This Row],[LUKB_id]],PID,0),MATCH("ASK:volume",PLabel,0)-1,1,1)</f>
        <v>100000</v>
      </c>
      <c r="AD29" s="1596" cm="1">
        <f t="array" aca="1" ref="AD29" ca="1">OFFSET(POrigin,MATCH(Valori[[#This Row],[LUKB_id]],PID,0),MATCH("BID-ASK Spread %",PLabel,0)-1,1,1)</f>
        <v>6.6711140760503215E-4</v>
      </c>
      <c r="AE29" s="1597" cm="1">
        <f t="array" aca="1" ref="AE29" ca="1">IF(OFFSET(POrigin,MATCH(Valori[[#This Row],[LUKB_id]],PID,0),MATCH("MATURITY",PLabel,0)-1,1,1)&gt;0,OFFSET(POrigin,MATCH(Valori[[#This Row],[LUKB_id]],PID,0),MATCH("MATURITY",PLabel,0)-1,1,1),"")</f>
        <v>46231</v>
      </c>
      <c r="AF29" s="1598" cm="1">
        <f t="array" aca="1" ref="AF29" ca="1">OFFSET(POrigin,MATCH(Valori[[#This Row],[LUKB_id]],PID,0),MATCH("ACCINT",PLabel,0)-1,1,1)</f>
        <v>5.9722220000000001E-3</v>
      </c>
      <c r="AG29" s="1594" cm="1">
        <f t="array" aca="1" ref="AG29" ca="1">OFFSET(POrigin,MATCH(Valori[[#This Row],[LUKB_id]],PID,0),MATCH("DENOM",PLabel,0)-1,1,1)</f>
        <v>5000</v>
      </c>
      <c r="AH29" s="1599" cm="1">
        <f t="array" aca="1" ref="AH29" ca="1">(OFFSET(POrigin,MATCH(Valori[[#This Row],[LUKB_id]],PID,0),MATCH("YIELD",PLabel,0)-1,1,1)+OFFSET(POrigin,MATCH(Valori[[#This Row],[LUKB_id]],PID,0),MATCH("YLDEQ",PLabel,0)-1,1,1))/100</f>
        <v>1.3593395900000002E-3</v>
      </c>
      <c r="AI29" s="1600">
        <f ca="1">OFFSET(POrigin,MATCH(Valori[[#This Row],[LUKB_id]],PID,0),MATCH("DIVIDEND",PLabel,0)-1,1,1)</f>
        <v>0</v>
      </c>
      <c r="AJ29" s="1601">
        <f ca="1">OFFSET(POrigin,MATCH(Valori[[#This Row],[LUKB_id]],PID,0),MATCH("DIVIDEND:datetime",PLabel,0)-1,1,1)</f>
        <v>0</v>
      </c>
      <c r="AK29" s="1602">
        <f ca="1">OFFSET(POrigin,MATCH(Valori[[#This Row],[LUKB_id]],PID,0),MATCH("INTEREST",PLabel,0)-1,1,1)</f>
        <v>0.01</v>
      </c>
      <c r="AL29" s="1603">
        <f ca="1">OFFSET(POrigin,MATCH(Valori[[#This Row],[LUKB_id]],PID,0),MATCH("4W_PERF_PR",PLabel,0)-1,1,1)/100</f>
        <v>1.0006003602170001E-4</v>
      </c>
      <c r="AM29" s="1603">
        <f ca="1">OFFSET(POrigin,MATCH(Valori[[#This Row],[LUKB_id]],PID,0),MATCH("12W_PERF_PR",PLabel,0)-1,1,1)/100</f>
        <v>4.0036032429199999E-4</v>
      </c>
      <c r="AN29" s="1603">
        <f ca="1">OFFSET(POrigin,MATCH(Valori[[#This Row],[LUKB_id]],PID,0),MATCH("YTD_PERF_PR",PLabel,0)-1,1,1)/100</f>
        <v>4.0036032429199999E-4</v>
      </c>
      <c r="AO29" s="1591"/>
      <c r="AP29" s="1591"/>
      <c r="AQ29" s="1591"/>
      <c r="AR29" s="1591"/>
      <c r="AS29" s="1890"/>
      <c r="AT29" s="1890"/>
      <c r="AU29" s="610"/>
      <c r="AV29" s="1891"/>
      <c r="AW29" s="1604" t="str">
        <f ca="1">"https://boersenundmaerkte.lukb.ch/lukb/details/"&amp;Valori[[#This Row],[LUKB_id]]</f>
        <v>https://boersenundmaerkte.lukb.ch/lukb/details/52215899,4,1</v>
      </c>
      <c r="AX2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 s="142"/>
      <c r="AZ29" s="142"/>
      <c r="BA29" s="142"/>
      <c r="BB29" s="142"/>
    </row>
    <row r="30" spans="1:54" ht="15" customHeight="1" x14ac:dyDescent="0.2">
      <c r="A30" s="142" t="s">
        <v>996</v>
      </c>
      <c r="B30" s="142" t="str" cm="1">
        <f t="array" aca="1" ref="B30" ca="1">OFFSET(POrigin,MATCH(Valori[[#This Row],[smo_id]],Posizioni[smo_id],0),MATCH("LUKB_id",PIntestazioni,0)-1,1,1)</f>
        <v>59389393,4,1</v>
      </c>
      <c r="C30" s="1668" t="str">
        <f ca="1">HYPERLINK("https://boersenundmaerkte.lukb.ch/lukb/details/"&amp;Valori[[#This Row],[LUKB_id]],"è")</f>
        <v>è</v>
      </c>
      <c r="D30" s="142" t="str" cm="1">
        <f t="array" aca="1" ref="D30" ca="1">OFFSET(POrigin,MATCH(Valori[[#This Row],[LUKB_id]],PID,0),MATCH("SC_GROUPED",PIntestazioni,0)-1,1,1)</f>
        <v>BON</v>
      </c>
      <c r="E30" s="413" t="str" cm="1">
        <f t="array" aca="1" ref="E30" ca="1">OFFSET(POrigin,MATCH(Valori[[#This Row],[LUKB_id]],PID,0),MATCH("isin",PIntestazioni,0)-1,1,1)</f>
        <v>CH0593893933</v>
      </c>
      <c r="F30" s="34" t="str" cm="1">
        <f t="array" aca="1" ref="F30" ca="1">OFFSET(POrigin,MATCH(Valori[[#This Row],[LUKB_id]],PID,0),MATCH("NSIN_CH",PLabel,0)-1,1,1)</f>
        <v>59389393</v>
      </c>
      <c r="G30" s="95" t="str" cm="1">
        <f t="array" aca="1" ref="G30" ca="1">IF(OFFSET(POrigin,MATCH(Valori[[#This Row],[LUKB_id]],PID,0),MATCH("INSTRUNIT",PLabel,0)-1,1,1)="Nominal","Pct","Unit")</f>
        <v>Pct</v>
      </c>
      <c r="H30" s="612">
        <f ca="1">MAX(OFFSET(POrigin,MATCH(Valori[[#This Row],[LUKB_id]],PID,0),MATCH("PRICINGAMT",PLabel,0)-1,1,1),1)</f>
        <v>1</v>
      </c>
      <c r="I30" s="615" t="str" cm="1">
        <f t="array" aca="1" ref="I30" ca="1">OFFSET(POrigin,MATCH(Valori[[#This Row],[LUKB_id]],PID,0),MATCH("M_NAME",PLabel,0)-1,1,1)</f>
        <v>0.556 FONPLATA26Obl</v>
      </c>
      <c r="M30" s="142" t="str" cm="1">
        <f t="array" aca="1" ref="M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0.556 % FONPLATA 03.09.26</v>
      </c>
      <c r="N30" s="1563">
        <f ca="1">COUNTIF('CHF M'!smo_id,Valori[[#This Row],[smo_id]])+COUNTIF('CHF MA'!smo_id,Valori[[#This Row],[smo_id]])+COUNTIF('EUR MB'!smo_id,Valori[[#This Row],[smo_id]])+COUNTIF('EUR M'!smo_id,Valori[[#This Row],[smo_id]])+COUNTIF(AGCO!smo_id,Valori[[#This Row],[smo_id]])</f>
        <v>1</v>
      </c>
      <c r="O30" s="1590" cm="1">
        <f t="array" aca="1" ref="O30" ca="1">SUM(IF('CHF M'!smo_id=Valori[[#This Row],[smo_id]],'CHF M'!Posizione))+SUM(IF('CHF MA'!smo_id=Valori[[#This Row],[smo_id]],'CHF MA'!Posizione))+SUM(IF('EUR MB'!smo_id=Valori[[#This Row],[smo_id]],'EUR MB'!Posizione))+SUM(IF('EUR M'!smo_id=Valori[[#This Row],[smo_id]],'EUR M'!Posizione))+SUM(IF(AGCO!smo_id=Valori[[#This Row],[smo_id]],AGCO!Posizione))</f>
        <v>50000</v>
      </c>
      <c r="P30" s="1661" t="str">
        <f ca="1">HYPERLINK(Valori[[#This Row],[P_Source]],"è")</f>
        <v>è</v>
      </c>
      <c r="Q30" s="1663" t="str">
        <f>HYPERLINK(Valori[[#This Row],[Info_W]],"i")</f>
        <v>i</v>
      </c>
      <c r="R30" s="1664" t="str">
        <f>HYPERLINK(Valori[[#This Row],[FN_W]],"")</f>
        <v></v>
      </c>
      <c r="S30" s="1665" t="str">
        <f>HYPERLINK(Valori[[#This Row],[MS_Link]],"")</f>
        <v></v>
      </c>
      <c r="T30" s="1665" t="str">
        <f>HYPERLINK(Valori[[#This Row],[C_source]],"")</f>
        <v></v>
      </c>
      <c r="U30" s="142" t="str" cm="1">
        <f t="array" aca="1" ref="U30" ca="1">OFFSET(POrigin,MATCH(Valori[[#This Row],[LUKB_id]],PID,0),MATCH("M_CUR",PLabel,0)-1,1,1)</f>
        <v>CHF</v>
      </c>
      <c r="V30" s="1562">
        <f ca="1">(Valori[[#This Row],[Last]]+Valori[[#This Row],[Acc. Int]])/Valori[[#This Row],[Pr.Amt]]/IF(Valori[[#This Row],[P_Type]]="Pct",100,1)</f>
        <v>1.0039800000000001</v>
      </c>
      <c r="W30" s="1591" cm="1">
        <f t="array" aca="1" ref="W30" ca="1">OFFSET(POrigin,MATCH(Valori[[#This Row],[LUKB_id]],PID,0),MATCH("NC2_PR",PLabel,0)-1,1,1)/100</f>
        <v>-2.9955067398900002E-4</v>
      </c>
      <c r="X30" s="1592" cm="1">
        <f t="array" aca="1" ref="X30" ca="1">OFFSET(POrigin,MATCH(Valori[[#This Row],[LUKB_id]],PID,0),MATCH("LVAL",PLabel,0)-1,1,1)</f>
        <v>100.12</v>
      </c>
      <c r="Y30" s="1593" cm="1">
        <f t="array" aca="1" ref="Y30" ca="1">OFFSET(POrigin,MATCH(Valori[[#This Row],[LUKB_id]],PID,0),MATCH("LVAL:datetime",PLabel,0)-1,1,1)</f>
        <v>46084.708333333336</v>
      </c>
      <c r="Z30" s="1594" cm="1">
        <f t="array" aca="1" ref="Z30" ca="1">OFFSET(POrigin,MATCH(Valori[[#This Row],[LUKB_id]],PID,0),MATCH("BID:volume",PLabel,0)-1,1,1)</f>
        <v>100000</v>
      </c>
      <c r="AA30" s="1595" cm="1">
        <f t="array" aca="1" ref="AA30" ca="1">OFFSET(POrigin,MATCH(Valori[[#This Row],[LUKB_id]],PID,0),MATCH("BID",PLabel,0)-1,1,1)</f>
        <v>100.12</v>
      </c>
      <c r="AB30" s="1595" cm="1">
        <f t="array" aca="1" ref="AB30" ca="1">OFFSET(POrigin,MATCH(Valori[[#This Row],[LUKB_id]],PID,0),MATCH("ASK",PLabel,0)-1,1,1)</f>
        <v>100.15</v>
      </c>
      <c r="AC30" s="1594" cm="1">
        <f t="array" aca="1" ref="AC30" ca="1">OFFSET(POrigin,MATCH(Valori[[#This Row],[LUKB_id]],PID,0),MATCH("ASK:volume",PLabel,0)-1,1,1)</f>
        <v>300000</v>
      </c>
      <c r="AD30" s="1596" cm="1">
        <f t="array" aca="1" ref="AD30" ca="1">OFFSET(POrigin,MATCH(Valori[[#This Row],[LUKB_id]],PID,0),MATCH("BID-ASK Spread %",PLabel,0)-1,1,1)</f>
        <v>1.9974033756117805E-4</v>
      </c>
      <c r="AE30" s="1597" cm="1">
        <f t="array" aca="1" ref="AE30" ca="1">IF(OFFSET(POrigin,MATCH(Valori[[#This Row],[LUKB_id]],PID,0),MATCH("MATURITY",PLabel,0)-1,1,1)&gt;0,OFFSET(POrigin,MATCH(Valori[[#This Row],[LUKB_id]],PID,0),MATCH("MATURITY",PLabel,0)-1,1,1),"")</f>
        <v>46268</v>
      </c>
      <c r="AF30" s="1598" cm="1">
        <f t="array" aca="1" ref="AF30" ca="1">OFFSET(POrigin,MATCH(Valori[[#This Row],[LUKB_id]],PID,0),MATCH("ACCINT",PLabel,0)-1,1,1)</f>
        <v>0.27800000000000002</v>
      </c>
      <c r="AG30" s="1594" cm="1">
        <f t="array" aca="1" ref="AG30" ca="1">OFFSET(POrigin,MATCH(Valori[[#This Row],[LUKB_id]],PID,0),MATCH("DENOM",PLabel,0)-1,1,1)</f>
        <v>5000</v>
      </c>
      <c r="AH30" s="1599" cm="1">
        <f t="array" aca="1" ref="AH30" ca="1">(OFFSET(POrigin,MATCH(Valori[[#This Row],[LUKB_id]],PID,0),MATCH("YIELD",PLabel,0)-1,1,1)+OFFSET(POrigin,MATCH(Valori[[#This Row],[LUKB_id]],PID,0),MATCH("YLDEQ",PLabel,0)-1,1,1))/100</f>
        <v>3.1205176500000002E-3</v>
      </c>
      <c r="AI30" s="1600">
        <f ca="1">OFFSET(POrigin,MATCH(Valori[[#This Row],[LUKB_id]],PID,0),MATCH("DIVIDEND",PLabel,0)-1,1,1)</f>
        <v>0</v>
      </c>
      <c r="AJ30" s="1601">
        <f ca="1">OFFSET(POrigin,MATCH(Valori[[#This Row],[LUKB_id]],PID,0),MATCH("DIVIDEND:datetime",PLabel,0)-1,1,1)</f>
        <v>0</v>
      </c>
      <c r="AK30" s="1602">
        <f ca="1">OFFSET(POrigin,MATCH(Valori[[#This Row],[LUKB_id]],PID,0),MATCH("INTEREST",PLabel,0)-1,1,1)</f>
        <v>0.55600000000000005</v>
      </c>
      <c r="AL30" s="1603">
        <f ca="1">OFFSET(POrigin,MATCH(Valori[[#This Row],[LUKB_id]],PID,0),MATCH("4W_PERF_PR",PLabel,0)-1,1,1)/100</f>
        <v>9.9980003999200007E-4</v>
      </c>
      <c r="AM30" s="1603">
        <f ca="1">OFFSET(POrigin,MATCH(Valori[[#This Row],[LUKB_id]],PID,0),MATCH("12W_PERF_PR",PLabel,0)-1,1,1)/100</f>
        <v>1.1999999999999999E-3</v>
      </c>
      <c r="AN30" s="1603">
        <f ca="1">OFFSET(POrigin,MATCH(Valori[[#This Row],[LUKB_id]],PID,0),MATCH("YTD_PERF_PR",PLabel,0)-1,1,1)/100</f>
        <v>2.8036447381597001E-3</v>
      </c>
      <c r="AO30" s="1591"/>
      <c r="AP30" s="1591"/>
      <c r="AQ30" s="1591"/>
      <c r="AR30" s="1591"/>
      <c r="AS30" s="1890"/>
      <c r="AT30" s="1890"/>
      <c r="AU30" s="610"/>
      <c r="AV30" s="1891"/>
      <c r="AW30" s="1604" t="str">
        <f ca="1">"https://boersenundmaerkte.lukb.ch/lukb/details/"&amp;Valori[[#This Row],[LUKB_id]]</f>
        <v>https://boersenundmaerkte.lukb.ch/lukb/details/59389393,4,1</v>
      </c>
      <c r="AX3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 s="142"/>
      <c r="AZ30" s="142"/>
      <c r="BA30" s="142"/>
      <c r="BB30" s="142"/>
    </row>
    <row r="31" spans="1:54" ht="15" customHeight="1" x14ac:dyDescent="0.2">
      <c r="A31" s="142" t="s">
        <v>997</v>
      </c>
      <c r="B31" s="142" t="str" cm="1">
        <f t="array" aca="1" ref="B31" ca="1">OFFSET(POrigin,MATCH(Valori[[#This Row],[smo_id]],Posizioni[smo_id],0),MATCH("LUKB_id",PIntestazioni,0)-1,1,1)</f>
        <v>33833043,4,1</v>
      </c>
      <c r="C31" s="1668" t="str">
        <f ca="1">HYPERLINK("https://boersenundmaerkte.lukb.ch/lukb/details/"&amp;Valori[[#This Row],[LUKB_id]],"è")</f>
        <v>è</v>
      </c>
      <c r="D31" s="142" t="str" cm="1">
        <f t="array" aca="1" ref="D31" ca="1">OFFSET(POrigin,MATCH(Valori[[#This Row],[LUKB_id]],PID,0),MATCH("SC_GROUPED",PIntestazioni,0)-1,1,1)</f>
        <v>BON</v>
      </c>
      <c r="E31" s="413" t="str" cm="1">
        <f t="array" aca="1" ref="E31" ca="1">OFFSET(POrigin,MATCH(Valori[[#This Row],[LUKB_id]],PID,0),MATCH("isin",PIntestazioni,0)-1,1,1)</f>
        <v>CH0338330431</v>
      </c>
      <c r="F31" s="34" t="str" cm="1">
        <f t="array" aca="1" ref="F31" ca="1">OFFSET(POrigin,MATCH(Valori[[#This Row],[LUKB_id]],PID,0),MATCH("NSIN_CH",PLabel,0)-1,1,1)</f>
        <v>33833043</v>
      </c>
      <c r="G31" s="95" t="str" cm="1">
        <f t="array" aca="1" ref="G31" ca="1">IF(OFFSET(POrigin,MATCH(Valori[[#This Row],[LUKB_id]],PID,0),MATCH("INSTRUNIT",PLabel,0)-1,1,1)="Nominal","Pct","Unit")</f>
        <v>Pct</v>
      </c>
      <c r="H31" s="612">
        <f ca="1">MAX(OFFSET(POrigin,MATCH(Valori[[#This Row],[LUKB_id]],PID,0),MATCH("PRICINGAMT",PLabel,0)-1,1,1),1)</f>
        <v>1</v>
      </c>
      <c r="I31" s="615" t="str" cm="1">
        <f t="array" aca="1" ref="I31" ca="1">OFFSET(POrigin,MATCH(Valori[[#This Row],[LUKB_id]],PID,0),MATCH("M_NAME",PLabel,0)-1,1,1)</f>
        <v>0.2 LGTB 26 Obl</v>
      </c>
      <c r="M31" s="142" t="str" cm="1">
        <f t="array" aca="1" ref="M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LGT Bank AG 12.10.26</v>
      </c>
      <c r="N31" s="1563">
        <f ca="1">COUNTIF('CHF M'!smo_id,Valori[[#This Row],[smo_id]])+COUNTIF('CHF MA'!smo_id,Valori[[#This Row],[smo_id]])+COUNTIF('EUR MB'!smo_id,Valori[[#This Row],[smo_id]])+COUNTIF('EUR M'!smo_id,Valori[[#This Row],[smo_id]])+COUNTIF(AGCO!smo_id,Valori[[#This Row],[smo_id]])</f>
        <v>1</v>
      </c>
      <c r="O31" s="1590" cm="1">
        <f t="array" aca="1" ref="O31" ca="1">SUM(IF('CHF M'!smo_id=Valori[[#This Row],[smo_id]],'CHF M'!Posizione))+SUM(IF('CHF MA'!smo_id=Valori[[#This Row],[smo_id]],'CHF MA'!Posizione))+SUM(IF('EUR MB'!smo_id=Valori[[#This Row],[smo_id]],'EUR MB'!Posizione))+SUM(IF('EUR M'!smo_id=Valori[[#This Row],[smo_id]],'EUR M'!Posizione))+SUM(IF(AGCO!smo_id=Valori[[#This Row],[smo_id]],AGCO!Posizione))</f>
        <v>30000</v>
      </c>
      <c r="P31" s="1661" t="str">
        <f ca="1">HYPERLINK(Valori[[#This Row],[P_Source]],"è")</f>
        <v>è</v>
      </c>
      <c r="Q31" s="1663" t="str">
        <f>HYPERLINK(Valori[[#This Row],[Info_W]],"i")</f>
        <v>i</v>
      </c>
      <c r="R31" s="1664" t="str">
        <f>HYPERLINK(Valori[[#This Row],[FN_W]],"")</f>
        <v></v>
      </c>
      <c r="S31" s="1665" t="str">
        <f>HYPERLINK(Valori[[#This Row],[MS_Link]],"")</f>
        <v></v>
      </c>
      <c r="T31" s="1665" t="str">
        <f>HYPERLINK(Valori[[#This Row],[C_source]],"")</f>
        <v></v>
      </c>
      <c r="U31" s="142" t="str" cm="1">
        <f t="array" aca="1" ref="U31" ca="1">OFFSET(POrigin,MATCH(Valori[[#This Row],[LUKB_id]],PID,0),MATCH("M_CUR",PLabel,0)-1,1,1)</f>
        <v>CHF</v>
      </c>
      <c r="V31" s="1562">
        <f ca="1">(Valori[[#This Row],[Last]]+Valori[[#This Row],[Acc. Int]])/Valori[[#This Row],[Pr.Amt]]/IF(Valori[[#This Row],[P_Type]]="Pct",100,1)</f>
        <v>1.0004833333300001</v>
      </c>
      <c r="W31" s="1591" cm="1">
        <f t="array" aca="1" ref="W31" ca="1">OFFSET(POrigin,MATCH(Valori[[#This Row],[LUKB_id]],PID,0),MATCH("NC2_PR",PLabel,0)-1,1,1)/100</f>
        <v>-2.0002000200040001E-4</v>
      </c>
      <c r="X31" s="1592" cm="1">
        <f t="array" aca="1" ref="X31" ca="1">OFFSET(POrigin,MATCH(Valori[[#This Row],[LUKB_id]],PID,0),MATCH("LVAL",PLabel,0)-1,1,1)</f>
        <v>99.97</v>
      </c>
      <c r="Y31" s="1593" cm="1">
        <f t="array" aca="1" ref="Y31" ca="1">OFFSET(POrigin,MATCH(Valori[[#This Row],[LUKB_id]],PID,0),MATCH("LVAL:datetime",PLabel,0)-1,1,1)</f>
        <v>46084.604768518519</v>
      </c>
      <c r="Z31" s="1594" cm="1">
        <f t="array" aca="1" ref="Z31" ca="1">OFFSET(POrigin,MATCH(Valori[[#This Row],[LUKB_id]],PID,0),MATCH("BID:volume",PLabel,0)-1,1,1)</f>
        <v>100000</v>
      </c>
      <c r="AA31" s="1595" cm="1">
        <f t="array" aca="1" ref="AA31" ca="1">OFFSET(POrigin,MATCH(Valori[[#This Row],[LUKB_id]],PID,0),MATCH("BID",PLabel,0)-1,1,1)</f>
        <v>99.98</v>
      </c>
      <c r="AB31" s="1595" cm="1">
        <f t="array" aca="1" ref="AB31" ca="1">OFFSET(POrigin,MATCH(Valori[[#This Row],[LUKB_id]],PID,0),MATCH("ASK",PLabel,0)-1,1,1)</f>
        <v>100.07000000000001</v>
      </c>
      <c r="AC31" s="1594" cm="1">
        <f t="array" aca="1" ref="AC31" ca="1">OFFSET(POrigin,MATCH(Valori[[#This Row],[LUKB_id]],PID,0),MATCH("ASK:volume",PLabel,0)-1,1,1)</f>
        <v>125000</v>
      </c>
      <c r="AD31" s="1596" cm="1">
        <f t="array" aca="1" ref="AD31" ca="1">OFFSET(POrigin,MATCH(Valori[[#This Row],[LUKB_id]],PID,0),MATCH("BID-ASK Spread %",PLabel,0)-1,1,1)</f>
        <v>5.9994000599942273E-4</v>
      </c>
      <c r="AE31" s="1597" cm="1">
        <f t="array" aca="1" ref="AE31" ca="1">IF(OFFSET(POrigin,MATCH(Valori[[#This Row],[LUKB_id]],PID,0),MATCH("MATURITY",PLabel,0)-1,1,1)&gt;0,OFFSET(POrigin,MATCH(Valori[[#This Row],[LUKB_id]],PID,0),MATCH("MATURITY",PLabel,0)-1,1,1),"")</f>
        <v>46307</v>
      </c>
      <c r="AF31" s="1598" cm="1">
        <f t="array" aca="1" ref="AF31" ca="1">OFFSET(POrigin,MATCH(Valori[[#This Row],[LUKB_id]],PID,0),MATCH("ACCINT",PLabel,0)-1,1,1)</f>
        <v>7.8333333000000005E-2</v>
      </c>
      <c r="AG31" s="1594" cm="1">
        <f t="array" aca="1" ref="AG31" ca="1">OFFSET(POrigin,MATCH(Valori[[#This Row],[LUKB_id]],PID,0),MATCH("DENOM",PLabel,0)-1,1,1)</f>
        <v>5000</v>
      </c>
      <c r="AH31" s="1599" cm="1">
        <f t="array" aca="1" ref="AH31" ca="1">(OFFSET(POrigin,MATCH(Valori[[#This Row],[LUKB_id]],PID,0),MATCH("YIELD",PLabel,0)-1,1,1)+OFFSET(POrigin,MATCH(Valori[[#This Row],[LUKB_id]],PID,0),MATCH("YLDEQ",PLabel,0)-1,1,1))/100</f>
        <v>2.3304119299999999E-3</v>
      </c>
      <c r="AI31" s="1600">
        <f ca="1">OFFSET(POrigin,MATCH(Valori[[#This Row],[LUKB_id]],PID,0),MATCH("DIVIDEND",PLabel,0)-1,1,1)</f>
        <v>0</v>
      </c>
      <c r="AJ31" s="1601">
        <f ca="1">OFFSET(POrigin,MATCH(Valori[[#This Row],[LUKB_id]],PID,0),MATCH("DIVIDEND:datetime",PLabel,0)-1,1,1)</f>
        <v>0</v>
      </c>
      <c r="AK31" s="1602">
        <f ca="1">OFFSET(POrigin,MATCH(Valori[[#This Row],[LUKB_id]],PID,0),MATCH("INTEREST",PLabel,0)-1,1,1)</f>
        <v>0.2</v>
      </c>
      <c r="AL31" s="1603">
        <f ca="1">OFFSET(POrigin,MATCH(Valori[[#This Row],[LUKB_id]],PID,0),MATCH("4W_PERF_PR",PLabel,0)-1,1,1)/100</f>
        <v>-1.000100010002E-4</v>
      </c>
      <c r="AM31" s="1603">
        <f ca="1">OFFSET(POrigin,MATCH(Valori[[#This Row],[LUKB_id]],PID,0),MATCH("12W_PERF_PR",PLabel,0)-1,1,1)/100</f>
        <v>0</v>
      </c>
      <c r="AN31" s="1603">
        <f ca="1">OFFSET(POrigin,MATCH(Valori[[#This Row],[LUKB_id]],PID,0),MATCH("YTD_PERF_PR",PLabel,0)-1,1,1)/100</f>
        <v>3.0012004801929998E-4</v>
      </c>
      <c r="AO31" s="1591"/>
      <c r="AP31" s="1591"/>
      <c r="AQ31" s="1591"/>
      <c r="AR31" s="1591"/>
      <c r="AS31" s="1890"/>
      <c r="AT31" s="1890"/>
      <c r="AU31" s="610"/>
      <c r="AV31" s="1891"/>
      <c r="AW31" s="1604" t="str">
        <f ca="1">"https://boersenundmaerkte.lukb.ch/lukb/details/"&amp;Valori[[#This Row],[LUKB_id]]</f>
        <v>https://boersenundmaerkte.lukb.ch/lukb/details/33833043,4,1</v>
      </c>
      <c r="AX31"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1" s="142"/>
      <c r="AZ31" s="142"/>
      <c r="BA31" s="142"/>
      <c r="BB31" s="142"/>
    </row>
    <row r="32" spans="1:54" ht="15" customHeight="1" x14ac:dyDescent="0.2">
      <c r="A32" s="142" t="s">
        <v>998</v>
      </c>
      <c r="B32" s="142" t="str" cm="1">
        <f t="array" aca="1" ref="B32" ca="1">OFFSET(POrigin,MATCH(Valori[[#This Row],[smo_id]],Posizioni[smo_id],0),MATCH("LUKB_id",PIntestazioni,0)-1,1,1)</f>
        <v>115488713,4,1</v>
      </c>
      <c r="C32" s="1668" t="str">
        <f ca="1">HYPERLINK("https://boersenundmaerkte.lukb.ch/lukb/details/"&amp;Valori[[#This Row],[LUKB_id]],"è")</f>
        <v>è</v>
      </c>
      <c r="D32" s="142" t="str" cm="1">
        <f t="array" aca="1" ref="D32" ca="1">OFFSET(POrigin,MATCH(Valori[[#This Row],[LUKB_id]],PID,0),MATCH("SC_GROUPED",PIntestazioni,0)-1,1,1)</f>
        <v>BON</v>
      </c>
      <c r="E32" s="413" t="str" cm="1">
        <f t="array" aca="1" ref="E32" ca="1">OFFSET(POrigin,MATCH(Valori[[#This Row],[LUKB_id]],PID,0),MATCH("isin",PIntestazioni,0)-1,1,1)</f>
        <v>CH1154887132</v>
      </c>
      <c r="F32" s="34" t="str" cm="1">
        <f t="array" aca="1" ref="F32" ca="1">OFFSET(POrigin,MATCH(Valori[[#This Row],[LUKB_id]],PID,0),MATCH("NSIN_CH",PLabel,0)-1,1,1)</f>
        <v>115488713</v>
      </c>
      <c r="G32" s="95" t="str" cm="1">
        <f t="array" aca="1" ref="G32" ca="1">IF(OFFSET(POrigin,MATCH(Valori[[#This Row],[LUKB_id]],PID,0),MATCH("INSTRUNIT",PLabel,0)-1,1,1)="Nominal","Pct","Unit")</f>
        <v>Pct</v>
      </c>
      <c r="H32" s="612">
        <f ca="1">MAX(OFFSET(POrigin,MATCH(Valori[[#This Row],[LUKB_id]],PID,0),MATCH("PRICINGAMT",PLabel,0)-1,1,1),1)</f>
        <v>1</v>
      </c>
      <c r="I32" s="615" t="str" cm="1">
        <f t="array" aca="1" ref="I32" ca="1">OFFSET(POrigin,MATCH(Valori[[#This Row],[LUKB_id]],PID,0),MATCH("M_NAME",PLabel,0)-1,1,1)</f>
        <v>0.375 HoHeF 26 EMTN</v>
      </c>
      <c r="M32" s="142" t="str" cm="1">
        <f t="array" aca="1" ref="M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Holcim Helvetia Finance AG 19.10.26</v>
      </c>
      <c r="N32" s="1563">
        <f ca="1">COUNTIF('CHF M'!smo_id,Valori[[#This Row],[smo_id]])+COUNTIF('CHF MA'!smo_id,Valori[[#This Row],[smo_id]])+COUNTIF('EUR MB'!smo_id,Valori[[#This Row],[smo_id]])+COUNTIF('EUR M'!smo_id,Valori[[#This Row],[smo_id]])+COUNTIF(AGCO!smo_id,Valori[[#This Row],[smo_id]])</f>
        <v>1</v>
      </c>
      <c r="O32" s="1590" cm="1">
        <f t="array" aca="1" ref="O32" ca="1">SUM(IF('CHF M'!smo_id=Valori[[#This Row],[smo_id]],'CHF M'!Posizione))+SUM(IF('CHF MA'!smo_id=Valori[[#This Row],[smo_id]],'CHF MA'!Posizione))+SUM(IF('EUR MB'!smo_id=Valori[[#This Row],[smo_id]],'EUR MB'!Posizione))+SUM(IF('EUR M'!smo_id=Valori[[#This Row],[smo_id]],'EUR M'!Posizione))+SUM(IF(AGCO!smo_id=Valori[[#This Row],[smo_id]],AGCO!Posizione))</f>
        <v>100000</v>
      </c>
      <c r="P32" s="1661" t="str">
        <f ca="1">HYPERLINK(Valori[[#This Row],[P_Source]],"è")</f>
        <v>è</v>
      </c>
      <c r="Q32" s="1663" t="str">
        <f>HYPERLINK(Valori[[#This Row],[Info_W]],"i")</f>
        <v>i</v>
      </c>
      <c r="R32" s="1664" t="str">
        <f>HYPERLINK(Valori[[#This Row],[FN_W]],"")</f>
        <v></v>
      </c>
      <c r="S32" s="1665" t="str">
        <f>HYPERLINK(Valori[[#This Row],[MS_Link]],"")</f>
        <v></v>
      </c>
      <c r="T32" s="1665" t="str">
        <f>HYPERLINK(Valori[[#This Row],[C_source]],"")</f>
        <v></v>
      </c>
      <c r="U32" s="142" t="str" cm="1">
        <f t="array" aca="1" ref="U32" ca="1">OFFSET(POrigin,MATCH(Valori[[#This Row],[LUKB_id]],PID,0),MATCH("M_CUR",PLabel,0)-1,1,1)</f>
        <v>CHF</v>
      </c>
      <c r="V32" s="1562">
        <f ca="1">(Valori[[#This Row],[Last]]+Valori[[#This Row],[Acc. Int]])/Valori[[#This Row],[Pr.Amt]]/IF(Valori[[#This Row],[P_Type]]="Pct",100,1)</f>
        <v>1.0018958333300001</v>
      </c>
      <c r="W32" s="1591" cm="1">
        <f t="array" aca="1" ref="W32" ca="1">OFFSET(POrigin,MATCH(Valori[[#This Row],[LUKB_id]],PID,0),MATCH("NC2_PR",PLabel,0)-1,1,1)/100</f>
        <v>9.9960015993599997E-5</v>
      </c>
      <c r="X32" s="1592" cm="1">
        <f t="array" aca="1" ref="X32" ca="1">OFFSET(POrigin,MATCH(Valori[[#This Row],[LUKB_id]],PID,0),MATCH("LVAL",PLabel,0)-1,1,1)</f>
        <v>100.05</v>
      </c>
      <c r="Y32" s="1593" cm="1">
        <f t="array" aca="1" ref="Y32" ca="1">OFFSET(POrigin,MATCH(Valori[[#This Row],[LUKB_id]],PID,0),MATCH("LVAL:datetime",PLabel,0)-1,1,1)</f>
        <v>46084.404756944445</v>
      </c>
      <c r="Z32" s="1594" cm="1">
        <f t="array" aca="1" ref="Z32" ca="1">OFFSET(POrigin,MATCH(Valori[[#This Row],[LUKB_id]],PID,0),MATCH("BID:volume",PLabel,0)-1,1,1)</f>
        <v>100000</v>
      </c>
      <c r="AA32" s="1595" cm="1">
        <f t="array" aca="1" ref="AA32" ca="1">OFFSET(POrigin,MATCH(Valori[[#This Row],[LUKB_id]],PID,0),MATCH("BID",PLabel,0)-1,1,1)</f>
        <v>100.06</v>
      </c>
      <c r="AB32" s="1595" cm="1">
        <f t="array" aca="1" ref="AB32" ca="1">OFFSET(POrigin,MATCH(Valori[[#This Row],[LUKB_id]],PID,0),MATCH("ASK",PLabel,0)-1,1,1)</f>
        <v>100.15</v>
      </c>
      <c r="AC32" s="1594" cm="1">
        <f t="array" aca="1" ref="AC32" ca="1">OFFSET(POrigin,MATCH(Valori[[#This Row],[LUKB_id]],PID,0),MATCH("ASK:volume",PLabel,0)-1,1,1)</f>
        <v>100000</v>
      </c>
      <c r="AD32" s="1596" cm="1">
        <f t="array" aca="1" ref="AD32" ca="1">OFFSET(POrigin,MATCH(Valori[[#This Row],[LUKB_id]],PID,0),MATCH("BID-ASK Spread %",PLabel,0)-1,1,1)</f>
        <v>5.9946048556301602E-4</v>
      </c>
      <c r="AE32" s="1597" cm="1">
        <f t="array" aca="1" ref="AE32" ca="1">IF(OFFSET(POrigin,MATCH(Valori[[#This Row],[LUKB_id]],PID,0),MATCH("MATURITY",PLabel,0)-1,1,1)&gt;0,OFFSET(POrigin,MATCH(Valori[[#This Row],[LUKB_id]],PID,0),MATCH("MATURITY",PLabel,0)-1,1,1),"")</f>
        <v>46314</v>
      </c>
      <c r="AF32" s="1598" cm="1">
        <f t="array" aca="1" ref="AF32" ca="1">OFFSET(POrigin,MATCH(Valori[[#This Row],[LUKB_id]],PID,0),MATCH("ACCINT",PLabel,0)-1,1,1)</f>
        <v>0.139583333</v>
      </c>
      <c r="AG32" s="1594" cm="1">
        <f t="array" aca="1" ref="AG32" ca="1">OFFSET(POrigin,MATCH(Valori[[#This Row],[LUKB_id]],PID,0),MATCH("DENOM",PLabel,0)-1,1,1)</f>
        <v>5000</v>
      </c>
      <c r="AH32" s="1599" cm="1">
        <f t="array" aca="1" ref="AH32" ca="1">(OFFSET(POrigin,MATCH(Valori[[#This Row],[LUKB_id]],PID,0),MATCH("YIELD",PLabel,0)-1,1,1)+OFFSET(POrigin,MATCH(Valori[[#This Row],[LUKB_id]],PID,0),MATCH("YLDEQ",PLabel,0)-1,1,1))/100</f>
        <v>2.6194554800000004E-3</v>
      </c>
      <c r="AI32" s="1600">
        <f ca="1">OFFSET(POrigin,MATCH(Valori[[#This Row],[LUKB_id]],PID,0),MATCH("DIVIDEND",PLabel,0)-1,1,1)</f>
        <v>0</v>
      </c>
      <c r="AJ32" s="1601">
        <f ca="1">OFFSET(POrigin,MATCH(Valori[[#This Row],[LUKB_id]],PID,0),MATCH("DIVIDEND:datetime",PLabel,0)-1,1,1)</f>
        <v>0</v>
      </c>
      <c r="AK32" s="1602">
        <f ca="1">OFFSET(POrigin,MATCH(Valori[[#This Row],[LUKB_id]],PID,0),MATCH("INTEREST",PLabel,0)-1,1,1)</f>
        <v>0.375</v>
      </c>
      <c r="AL32" s="1603">
        <f ca="1">OFFSET(POrigin,MATCH(Valori[[#This Row],[LUKB_id]],PID,0),MATCH("4W_PERF_PR",PLabel,0)-1,1,1)/100</f>
        <v>3.9995999999999999E-4</v>
      </c>
      <c r="AM32" s="1603">
        <f ca="1">OFFSET(POrigin,MATCH(Valori[[#This Row],[LUKB_id]],PID,0),MATCH("12W_PERF_PR",PLabel,0)-1,1,1)/100</f>
        <v>1.10066E-3</v>
      </c>
      <c r="AN32" s="1603">
        <f ca="1">OFFSET(POrigin,MATCH(Valori[[#This Row],[LUKB_id]],PID,0),MATCH("YTD_PERF_PR",PLabel,0)-1,1,1)/100</f>
        <v>5.0005000500050005E-4</v>
      </c>
      <c r="AO32" s="1591"/>
      <c r="AP32" s="1591"/>
      <c r="AQ32" s="1591"/>
      <c r="AR32" s="1591"/>
      <c r="AS32" s="1890"/>
      <c r="AT32" s="1890"/>
      <c r="AU32" s="610"/>
      <c r="AV32" s="1891"/>
      <c r="AW32" s="1604" t="str">
        <f ca="1">"https://boersenundmaerkte.lukb.ch/lukb/details/"&amp;Valori[[#This Row],[LUKB_id]]</f>
        <v>https://boersenundmaerkte.lukb.ch/lukb/details/115488713,4,1</v>
      </c>
      <c r="AX3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 s="142"/>
      <c r="AZ32" s="142"/>
      <c r="BA32" s="142"/>
      <c r="BB32" s="142"/>
    </row>
    <row r="33" spans="1:54" ht="15" customHeight="1" x14ac:dyDescent="0.2">
      <c r="A33" s="142" t="s">
        <v>999</v>
      </c>
      <c r="B33" s="142" t="str" cm="1">
        <f t="array" aca="1" ref="B33" ca="1">OFFSET(POrigin,MATCH(Valori[[#This Row],[smo_id]],Posizioni[smo_id],0),MATCH("LUKB_id",PIntestazioni,0)-1,1,1)</f>
        <v>114425619,16,814</v>
      </c>
      <c r="C33" s="1668" t="str">
        <f ca="1">HYPERLINK("https://boersenundmaerkte.lukb.ch/lukb/details/"&amp;Valori[[#This Row],[LUKB_id]],"è")</f>
        <v>è</v>
      </c>
      <c r="D33" s="142" t="str" cm="1">
        <f t="array" aca="1" ref="D33" ca="1">OFFSET(POrigin,MATCH(Valori[[#This Row],[LUKB_id]],PID,0),MATCH("SC_GROUPED",PIntestazioni,0)-1,1,1)</f>
        <v>BON</v>
      </c>
      <c r="E33" s="413" t="str" cm="1">
        <f t="array" aca="1" ref="E33" ca="1">OFFSET(POrigin,MATCH(Valori[[#This Row],[LUKB_id]],PID,0),MATCH("isin",PIntestazioni,0)-1,1,1)</f>
        <v>DE000A3E5UY4</v>
      </c>
      <c r="F33" s="34" t="str" cm="1">
        <f t="array" aca="1" ref="F33" ca="1">OFFSET(POrigin,MATCH(Valori[[#This Row],[LUKB_id]],PID,0),MATCH("NSIN_CH",PLabel,0)-1,1,1)</f>
        <v>114425619</v>
      </c>
      <c r="G33" s="95" t="str" cm="1">
        <f t="array" aca="1" ref="G33" ca="1">IF(OFFSET(POrigin,MATCH(Valori[[#This Row],[LUKB_id]],PID,0),MATCH("INSTRUNIT",PLabel,0)-1,1,1)="Nominal","Pct","Unit")</f>
        <v>Pct</v>
      </c>
      <c r="H33" s="612">
        <f ca="1">MAX(OFFSET(POrigin,MATCH(Valori[[#This Row],[LUKB_id]],PID,0),MATCH("PRICINGAMT",PLabel,0)-1,1,1),1)</f>
        <v>1</v>
      </c>
      <c r="I33" s="615" t="str" cm="1">
        <f t="array" aca="1" ref="I33" ca="1">OFFSET(POrigin,MATCH(Valori[[#This Row],[LUKB_id]],PID,0),MATCH("M_NAME",PLabel,0)-1,1,1)</f>
        <v>0.01 DZHP26 1239 Pf</v>
      </c>
      <c r="J33" s="142" t="s">
        <v>500</v>
      </c>
      <c r="M33" s="142" t="str" cm="1">
        <f t="array" aca="1" ref="M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DZ Hyp 26.10.2026</v>
      </c>
      <c r="N33" s="1563">
        <f ca="1">COUNTIF('CHF M'!smo_id,Valori[[#This Row],[smo_id]])+COUNTIF('CHF MA'!smo_id,Valori[[#This Row],[smo_id]])+COUNTIF('EUR MB'!smo_id,Valori[[#This Row],[smo_id]])+COUNTIF('EUR M'!smo_id,Valori[[#This Row],[smo_id]])+COUNTIF(AGCO!smo_id,Valori[[#This Row],[smo_id]])</f>
        <v>1</v>
      </c>
      <c r="O33" s="1590" cm="1">
        <f t="array" aca="1" ref="O33" ca="1">SUM(IF('CHF M'!smo_id=Valori[[#This Row],[smo_id]],'CHF M'!Posizione))+SUM(IF('CHF MA'!smo_id=Valori[[#This Row],[smo_id]],'CHF MA'!Posizione))+SUM(IF('EUR MB'!smo_id=Valori[[#This Row],[smo_id]],'EUR MB'!Posizione))+SUM(IF('EUR M'!smo_id=Valori[[#This Row],[smo_id]],'EUR M'!Posizione))+SUM(IF(AGCO!smo_id=Valori[[#This Row],[smo_id]],AGCO!Posizione))</f>
        <v>10000</v>
      </c>
      <c r="P33" s="1661" t="str">
        <f ca="1">HYPERLINK(Valori[[#This Row],[P_Source]],"è")</f>
        <v>è</v>
      </c>
      <c r="Q33" s="1663" t="str">
        <f>HYPERLINK(Valori[[#This Row],[Info_W]],"i")</f>
        <v>i</v>
      </c>
      <c r="R33" s="1664" t="str">
        <f>HYPERLINK(Valori[[#This Row],[FN_W]],"")</f>
        <v></v>
      </c>
      <c r="S33" s="1665" t="str">
        <f>HYPERLINK(Valori[[#This Row],[MS_Link]],"")</f>
        <v></v>
      </c>
      <c r="T33" s="1665" t="str">
        <f>HYPERLINK(Valori[[#This Row],[C_source]],"")</f>
        <v></v>
      </c>
      <c r="U33" s="142" t="str" cm="1">
        <f t="array" aca="1" ref="U33" ca="1">OFFSET(POrigin,MATCH(Valori[[#This Row],[LUKB_id]],PID,0),MATCH("M_CUR",PLabel,0)-1,1,1)</f>
        <v>EUR</v>
      </c>
      <c r="V33" s="1562">
        <f ca="1">(Valori[[#This Row],[Last]]+Valori[[#This Row],[Acc. Int]])/Valori[[#This Row],[Pr.Amt]]/IF(Valori[[#This Row],[P_Type]]="Pct",100,1)</f>
        <v>0.98610506849000001</v>
      </c>
      <c r="W33" s="1591" cm="1">
        <f t="array" aca="1" ref="W33" ca="1">OFFSET(POrigin,MATCH(Valori[[#This Row],[LUKB_id]],PID,0),MATCH("NC2_PR",PLabel,0)-1,1,1)/100</f>
        <v>-9.12630810417E-5</v>
      </c>
      <c r="X33" s="1592" cm="1">
        <f t="array" aca="1" ref="X33" ca="1">OFFSET(POrigin,MATCH(Valori[[#This Row],[LUKB_id]],PID,0),MATCH("LVAL",PLabel,0)-1,1,1)</f>
        <v>98.606999999999999</v>
      </c>
      <c r="Y33" s="1593" cm="1">
        <f t="array" aca="1" ref="Y33" ca="1">OFFSET(POrigin,MATCH(Valori[[#This Row],[LUKB_id]],PID,0),MATCH("LVAL:datetime",PLabel,0)-1,1,1)</f>
        <v>46084.754432870373</v>
      </c>
      <c r="Z33" s="1594" cm="1">
        <f t="array" aca="1" ref="Z33" ca="1">OFFSET(POrigin,MATCH(Valori[[#This Row],[LUKB_id]],PID,0),MATCH("BID:volume",PLabel,0)-1,1,1)</f>
        <v>1000000</v>
      </c>
      <c r="AA33" s="1595" cm="1">
        <f t="array" aca="1" ref="AA33" ca="1">OFFSET(POrigin,MATCH(Valori[[#This Row],[LUKB_id]],PID,0),MATCH("BID",PLabel,0)-1,1,1)</f>
        <v>98.606999999999999</v>
      </c>
      <c r="AB33" s="1595" cm="1">
        <f t="array" aca="1" ref="AB33" ca="1">OFFSET(POrigin,MATCH(Valori[[#This Row],[LUKB_id]],PID,0),MATCH("ASK",PLabel,0)-1,1,1)</f>
        <v>98.608000000000004</v>
      </c>
      <c r="AC33" s="1594" cm="1">
        <f t="array" aca="1" ref="AC33" ca="1">OFFSET(POrigin,MATCH(Valori[[#This Row],[LUKB_id]],PID,0),MATCH("ASK:volume",PLabel,0)-1,1,1)</f>
        <v>500000</v>
      </c>
      <c r="AD33" s="1596" cm="1">
        <f t="array" aca="1" ref="AD33" ca="1">OFFSET(POrigin,MATCH(Valori[[#This Row],[LUKB_id]],PID,0),MATCH("BID-ASK Spread %",PLabel,0)-1,1,1)</f>
        <v>6.7608223864673676E-6</v>
      </c>
      <c r="AE33" s="1597" cm="1">
        <f t="array" aca="1" ref="AE33" ca="1">IF(OFFSET(POrigin,MATCH(Valori[[#This Row],[LUKB_id]],PID,0),MATCH("MATURITY",PLabel,0)-1,1,1)&gt;0,OFFSET(POrigin,MATCH(Valori[[#This Row],[LUKB_id]],PID,0),MATCH("MATURITY",PLabel,0)-1,1,1),"")</f>
        <v>46321</v>
      </c>
      <c r="AF33" s="1598" cm="1">
        <f t="array" aca="1" ref="AF33" ca="1">OFFSET(POrigin,MATCH(Valori[[#This Row],[LUKB_id]],PID,0),MATCH("ACCINT",PLabel,0)-1,1,1)</f>
        <v>3.5068490000000003E-3</v>
      </c>
      <c r="AG33" s="1594" cm="1">
        <f t="array" aca="1" ref="AG33" ca="1">OFFSET(POrigin,MATCH(Valori[[#This Row],[LUKB_id]],PID,0),MATCH("DENOM",PLabel,0)-1,1,1)</f>
        <v>1000</v>
      </c>
      <c r="AH33" s="1599" cm="1">
        <f t="array" aca="1" ref="AH33" ca="1">(OFFSET(POrigin,MATCH(Valori[[#This Row],[LUKB_id]],PID,0),MATCH("YIELD",PLabel,0)-1,1,1)+OFFSET(POrigin,MATCH(Valori[[#This Row],[LUKB_id]],PID,0),MATCH("YLDEQ",PLabel,0)-1,1,1))/100</f>
        <v>2.1898465160000002E-2</v>
      </c>
      <c r="AI33" s="1600">
        <f ca="1">OFFSET(POrigin,MATCH(Valori[[#This Row],[LUKB_id]],PID,0),MATCH("DIVIDEND",PLabel,0)-1,1,1)</f>
        <v>0</v>
      </c>
      <c r="AJ33" s="1601">
        <f ca="1">OFFSET(POrigin,MATCH(Valori[[#This Row],[LUKB_id]],PID,0),MATCH("DIVIDEND:datetime",PLabel,0)-1,1,1)</f>
        <v>0</v>
      </c>
      <c r="AK33" s="1602">
        <f ca="1">OFFSET(POrigin,MATCH(Valori[[#This Row],[LUKB_id]],PID,0),MATCH("INTEREST",PLabel,0)-1,1,1)</f>
        <v>0.01</v>
      </c>
      <c r="AL33" s="1603">
        <f ca="1">OFFSET(POrigin,MATCH(Valori[[#This Row],[LUKB_id]],PID,0),MATCH("4W_PERF_PR",PLabel,0)-1,1,1)/100</f>
        <v>1.3301517997664999E-3</v>
      </c>
      <c r="AM33" s="1603">
        <f ca="1">OFFSET(POrigin,MATCH(Valori[[#This Row],[LUKB_id]],PID,0),MATCH("12W_PERF_PR",PLabel,0)-1,1,1)/100</f>
        <v>4.9526138795475995E-3</v>
      </c>
      <c r="AN33" s="1603">
        <f ca="1">OFFSET(POrigin,MATCH(Valori[[#This Row],[LUKB_id]],PID,0),MATCH("YTD_PERF_PR",PLabel,0)-1,1,1)/100</f>
        <v>1.9433083043364E-3</v>
      </c>
      <c r="AO33" s="1591"/>
      <c r="AP33" s="1591"/>
      <c r="AQ33" s="1591"/>
      <c r="AR33" s="1591"/>
      <c r="AS33" s="1890"/>
      <c r="AT33" s="1890"/>
      <c r="AU33" s="610"/>
      <c r="AV33" s="1891"/>
      <c r="AW33" s="1604" t="str">
        <f ca="1">"https://boersenundmaerkte.lukb.ch/lukb/details/"&amp;Valori[[#This Row],[LUKB_id]]</f>
        <v>https://boersenundmaerkte.lukb.ch/lukb/details/114425619,16,814</v>
      </c>
      <c r="AX3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 s="142"/>
      <c r="AZ33" s="142"/>
      <c r="BA33" s="142"/>
      <c r="BB33" s="142"/>
    </row>
    <row r="34" spans="1:54" ht="15" customHeight="1" x14ac:dyDescent="0.2">
      <c r="A34" s="142" t="s">
        <v>1000</v>
      </c>
      <c r="B34" s="142" t="str" cm="1">
        <f t="array" aca="1" ref="B34" ca="1">OFFSET(POrigin,MATCH(Valori[[#This Row],[smo_id]],Posizioni[smo_id],0),MATCH("LUKB_id",PIntestazioni,0)-1,1,1)</f>
        <v>34380702,16,814</v>
      </c>
      <c r="C34" s="1668" t="str">
        <f ca="1">HYPERLINK("https://boersenundmaerkte.lukb.ch/lukb/details/"&amp;Valori[[#This Row],[LUKB_id]],"è")</f>
        <v>è</v>
      </c>
      <c r="D34" s="142" t="str" cm="1">
        <f t="array" aca="1" ref="D34" ca="1">OFFSET(POrigin,MATCH(Valori[[#This Row],[LUKB_id]],PID,0),MATCH("SC_GROUPED",PIntestazioni,0)-1,1,1)</f>
        <v>BON</v>
      </c>
      <c r="E34" s="413" t="str" cm="1">
        <f t="array" aca="1" ref="E34" ca="1">OFFSET(POrigin,MATCH(Valori[[#This Row],[LUKB_id]],PID,0),MATCH("isin",PIntestazioni,0)-1,1,1)</f>
        <v>FR0013215688</v>
      </c>
      <c r="F34" s="34" t="str" cm="1">
        <f t="array" aca="1" ref="F34" ca="1">OFFSET(POrigin,MATCH(Valori[[#This Row],[LUKB_id]],PID,0),MATCH("NSIN_CH",PLabel,0)-1,1,1)</f>
        <v>34380702</v>
      </c>
      <c r="G34" s="95" t="str" cm="1">
        <f t="array" aca="1" ref="G34" ca="1">IF(OFFSET(POrigin,MATCH(Valori[[#This Row],[LUKB_id]],PID,0),MATCH("INSTRUNIT",PLabel,0)-1,1,1)="Nominal","Pct","Unit")</f>
        <v>Pct</v>
      </c>
      <c r="H34" s="612">
        <f ca="1">MAX(OFFSET(POrigin,MATCH(Valori[[#This Row],[LUKB_id]],PID,0),MATCH("PRICINGAMT",PLabel,0)-1,1,1),1)</f>
        <v>1</v>
      </c>
      <c r="I34" s="615" t="str" cm="1">
        <f t="array" aca="1" ref="I34" ca="1">OFFSET(POrigin,MATCH(Valori[[#This Row],[LUKB_id]],PID,0),MATCH("M_NAME",PLabel,0)-1,1,1)</f>
        <v>0.25 CA PUB SCF 26</v>
      </c>
      <c r="J34" s="142" t="s">
        <v>632</v>
      </c>
      <c r="M34" s="142" t="str" cm="1">
        <f t="array" aca="1" ref="M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Crédit Agricole Public Sector SCF 31.10.26</v>
      </c>
      <c r="N34" s="1563">
        <f ca="1">COUNTIF('CHF M'!smo_id,Valori[[#This Row],[smo_id]])+COUNTIF('CHF MA'!smo_id,Valori[[#This Row],[smo_id]])+COUNTIF('EUR MB'!smo_id,Valori[[#This Row],[smo_id]])+COUNTIF('EUR M'!smo_id,Valori[[#This Row],[smo_id]])+COUNTIF(AGCO!smo_id,Valori[[#This Row],[smo_id]])</f>
        <v>1</v>
      </c>
      <c r="O34" s="1590" cm="1">
        <f t="array" aca="1" ref="O34" ca="1">SUM(IF('CHF M'!smo_id=Valori[[#This Row],[smo_id]],'CHF M'!Posizione))+SUM(IF('CHF MA'!smo_id=Valori[[#This Row],[smo_id]],'CHF MA'!Posizione))+SUM(IF('EUR MB'!smo_id=Valori[[#This Row],[smo_id]],'EUR MB'!Posizione))+SUM(IF('EUR M'!smo_id=Valori[[#This Row],[smo_id]],'EUR M'!Posizione))+SUM(IF(AGCO!smo_id=Valori[[#This Row],[smo_id]],AGCO!Posizione))</f>
        <v>90000</v>
      </c>
      <c r="P34" s="1661" t="str">
        <f ca="1">HYPERLINK(Valori[[#This Row],[P_Source]],"è")</f>
        <v>è</v>
      </c>
      <c r="Q34" s="1663" t="str">
        <f>HYPERLINK(Valori[[#This Row],[Info_W]],"i")</f>
        <v>i</v>
      </c>
      <c r="R34" s="1664" t="str">
        <f>HYPERLINK(Valori[[#This Row],[FN_W]],"")</f>
        <v></v>
      </c>
      <c r="S34" s="1665" t="str">
        <f>HYPERLINK(Valori[[#This Row],[MS_Link]],"")</f>
        <v></v>
      </c>
      <c r="T34" s="1665" t="str">
        <f>HYPERLINK(Valori[[#This Row],[C_source]],"")</f>
        <v></v>
      </c>
      <c r="U34" s="142" t="str" cm="1">
        <f t="array" aca="1" ref="U34" ca="1">OFFSET(POrigin,MATCH(Valori[[#This Row],[LUKB_id]],PID,0),MATCH("M_CUR",PLabel,0)-1,1,1)</f>
        <v>EUR</v>
      </c>
      <c r="V34" s="1562">
        <f ca="1">(Valori[[#This Row],[Last]]+Valori[[#This Row],[Acc. Int]])/Valori[[#This Row],[Pr.Amt]]/IF(Valori[[#This Row],[P_Type]]="Pct",100,1)</f>
        <v>0.98816246574999989</v>
      </c>
      <c r="W34" s="1591" cm="1">
        <f t="array" aca="1" ref="W34" ca="1">OFFSET(POrigin,MATCH(Valori[[#This Row],[LUKB_id]],PID,0),MATCH("NC2_PR",PLabel,0)-1,1,1)/100</f>
        <v>-1.0128325889000002E-5</v>
      </c>
      <c r="X34" s="1592" cm="1">
        <f t="array" aca="1" ref="X34" ca="1">OFFSET(POrigin,MATCH(Valori[[#This Row],[LUKB_id]],PID,0),MATCH("LVAL",PLabel,0)-1,1,1)</f>
        <v>98.731999999999999</v>
      </c>
      <c r="Y34" s="1593" cm="1">
        <f t="array" aca="1" ref="Y34" ca="1">OFFSET(POrigin,MATCH(Valori[[#This Row],[LUKB_id]],PID,0),MATCH("LVAL:datetime",PLabel,0)-1,1,1)</f>
        <v>46084.753472222219</v>
      </c>
      <c r="Z34" s="1594" cm="1">
        <f t="array" aca="1" ref="Z34" ca="1">OFFSET(POrigin,MATCH(Valori[[#This Row],[LUKB_id]],PID,0),MATCH("BID:volume",PLabel,0)-1,1,1)</f>
        <v>1000000</v>
      </c>
      <c r="AA34" s="1595" cm="1">
        <f t="array" aca="1" ref="AA34" ca="1">OFFSET(POrigin,MATCH(Valori[[#This Row],[LUKB_id]],PID,0),MATCH("BID",PLabel,0)-1,1,1)</f>
        <v>98.731999999999999</v>
      </c>
      <c r="AB34" s="1595" cm="1">
        <f t="array" aca="1" ref="AB34" ca="1">OFFSET(POrigin,MATCH(Valori[[#This Row],[LUKB_id]],PID,0),MATCH("ASK",PLabel,0)-1,1,1)</f>
        <v>98.963999999999999</v>
      </c>
      <c r="AC34" s="1594" cm="1">
        <f t="array" aca="1" ref="AC34" ca="1">OFFSET(POrigin,MATCH(Valori[[#This Row],[LUKB_id]],PID,0),MATCH("ASK:volume",PLabel,0)-1,1,1)</f>
        <v>100000</v>
      </c>
      <c r="AD34" s="1596" cm="1">
        <f t="array" aca="1" ref="AD34" ca="1">OFFSET(POrigin,MATCH(Valori[[#This Row],[LUKB_id]],PID,0),MATCH("BID-ASK Spread %",PLabel,0)-1,1,1)</f>
        <v>1.5653042222731951E-3</v>
      </c>
      <c r="AE34" s="1597" cm="1">
        <f t="array" aca="1" ref="AE34" ca="1">IF(OFFSET(POrigin,MATCH(Valori[[#This Row],[LUKB_id]],PID,0),MATCH("MATURITY",PLabel,0)-1,1,1)&gt;0,OFFSET(POrigin,MATCH(Valori[[#This Row],[LUKB_id]],PID,0),MATCH("MATURITY",PLabel,0)-1,1,1),"")</f>
        <v>46326</v>
      </c>
      <c r="AF34" s="1598" cm="1">
        <f t="array" aca="1" ref="AF34" ca="1">OFFSET(POrigin,MATCH(Valori[[#This Row],[LUKB_id]],PID,0),MATCH("ACCINT",PLabel,0)-1,1,1)</f>
        <v>8.4246575000000004E-2</v>
      </c>
      <c r="AG34" s="1594" cm="1">
        <f t="array" aca="1" ref="AG34" ca="1">OFFSET(POrigin,MATCH(Valori[[#This Row],[LUKB_id]],PID,0),MATCH("DENOM",PLabel,0)-1,1,1)</f>
        <v>1000</v>
      </c>
      <c r="AH34" s="1599" cm="1">
        <f t="array" aca="1" ref="AH34" ca="1">(OFFSET(POrigin,MATCH(Valori[[#This Row],[LUKB_id]],PID,0),MATCH("YIELD",PLabel,0)-1,1,1)+OFFSET(POrigin,MATCH(Valori[[#This Row],[LUKB_id]],PID,0),MATCH("YLDEQ",PLabel,0)-1,1,1))/100</f>
        <v>2.20292079E-2</v>
      </c>
      <c r="AI34" s="1600">
        <f ca="1">OFFSET(POrigin,MATCH(Valori[[#This Row],[LUKB_id]],PID,0),MATCH("DIVIDEND",PLabel,0)-1,1,1)</f>
        <v>0</v>
      </c>
      <c r="AJ34" s="1601">
        <f ca="1">OFFSET(POrigin,MATCH(Valori[[#This Row],[LUKB_id]],PID,0),MATCH("DIVIDEND:datetime",PLabel,0)-1,1,1)</f>
        <v>0</v>
      </c>
      <c r="AK34" s="1602">
        <f ca="1">OFFSET(POrigin,MATCH(Valori[[#This Row],[LUKB_id]],PID,0),MATCH("INTEREST",PLabel,0)-1,1,1)</f>
        <v>0.25</v>
      </c>
      <c r="AL34" s="1603">
        <f ca="1">OFFSET(POrigin,MATCH(Valori[[#This Row],[LUKB_id]],PID,0),MATCH("4W_PERF_PR",PLabel,0)-1,1,1)/100</f>
        <v>1.3082633564561999E-3</v>
      </c>
      <c r="AM34" s="1603">
        <f ca="1">OFFSET(POrigin,MATCH(Valori[[#This Row],[LUKB_id]],PID,0),MATCH("12W_PERF_PR",PLabel,0)-1,1,1)/100</f>
        <v>4.6808380735299995E-3</v>
      </c>
      <c r="AN34" s="1603">
        <f ca="1">OFFSET(POrigin,MATCH(Valori[[#This Row],[LUKB_id]],PID,0),MATCH("YTD_PERF_PR",PLabel,0)-1,1,1)/100</f>
        <v>-2.0422678317414998E-3</v>
      </c>
      <c r="AO34" s="1591"/>
      <c r="AP34" s="1591"/>
      <c r="AQ34" s="1591"/>
      <c r="AR34" s="1591"/>
      <c r="AS34" s="1890"/>
      <c r="AT34" s="1890"/>
      <c r="AU34" s="610"/>
      <c r="AV34" s="1891"/>
      <c r="AW34" s="1604" t="str">
        <f ca="1">"https://boersenundmaerkte.lukb.ch/lukb/details/"&amp;Valori[[#This Row],[LUKB_id]]</f>
        <v>https://boersenundmaerkte.lukb.ch/lukb/details/34380702,16,814</v>
      </c>
      <c r="AX3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4" s="142"/>
      <c r="AZ34" s="142"/>
      <c r="BA34" s="142"/>
      <c r="BB34" s="142"/>
    </row>
    <row r="35" spans="1:54" ht="15" customHeight="1" x14ac:dyDescent="0.2">
      <c r="A35" s="142" t="s">
        <v>1001</v>
      </c>
      <c r="B35" s="142" t="str" cm="1">
        <f t="array" aca="1" ref="B35" ca="1">OFFSET(POrigin,MATCH(Valori[[#This Row],[smo_id]],Posizioni[smo_id],0),MATCH("LUKB_id",PIntestazioni,0)-1,1,1)</f>
        <v>114170054,4,1</v>
      </c>
      <c r="C35" s="1668" t="str">
        <f ca="1">HYPERLINK("https://boersenundmaerkte.lukb.ch/lukb/details/"&amp;Valori[[#This Row],[LUKB_id]],"è")</f>
        <v>è</v>
      </c>
      <c r="D35" s="142" t="str" cm="1">
        <f t="array" aca="1" ref="D35" ca="1">OFFSET(POrigin,MATCH(Valori[[#This Row],[LUKB_id]],PID,0),MATCH("SC_GROUPED",PIntestazioni,0)-1,1,1)</f>
        <v>BON</v>
      </c>
      <c r="E35" s="413" t="str" cm="1">
        <f t="array" aca="1" ref="E35" ca="1">OFFSET(POrigin,MATCH(Valori[[#This Row],[LUKB_id]],PID,0),MATCH("isin",PIntestazioni,0)-1,1,1)</f>
        <v>CH1141700547</v>
      </c>
      <c r="F35" s="34" t="str" cm="1">
        <f t="array" aca="1" ref="F35" ca="1">OFFSET(POrigin,MATCH(Valori[[#This Row],[LUKB_id]],PID,0),MATCH("NSIN_CH",PLabel,0)-1,1,1)</f>
        <v>114170054</v>
      </c>
      <c r="G35" s="95" t="str" cm="1">
        <f t="array" aca="1" ref="G35" ca="1">IF(OFFSET(POrigin,MATCH(Valori[[#This Row],[LUKB_id]],PID,0),MATCH("INSTRUNIT",PLabel,0)-1,1,1)="Nominal","Pct","Unit")</f>
        <v>Pct</v>
      </c>
      <c r="H35" s="612">
        <f ca="1">MAX(OFFSET(POrigin,MATCH(Valori[[#This Row],[LUKB_id]],PID,0),MATCH("PRICINGAMT",PLabel,0)-1,1,1),1)</f>
        <v>1</v>
      </c>
      <c r="I35" s="615" t="str" cm="1">
        <f t="array" aca="1" ref="I35" ca="1">OFFSET(POrigin,MATCH(Valori[[#This Row],[LUKB_id]],PID,0),MATCH("M_NAME",PLabel,0)-1,1,1)</f>
        <v>0.2 UPB 26 -S</v>
      </c>
      <c r="J35" s="142" t="s">
        <v>731</v>
      </c>
      <c r="M35" s="142" t="str" cm="1">
        <f t="array" aca="1" ref="M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Union Bancaire Privée 15.12.2026</v>
      </c>
      <c r="N35" s="1563">
        <f ca="1">COUNTIF('CHF M'!smo_id,Valori[[#This Row],[smo_id]])+COUNTIF('CHF MA'!smo_id,Valori[[#This Row],[smo_id]])+COUNTIF('EUR MB'!smo_id,Valori[[#This Row],[smo_id]])+COUNTIF('EUR M'!smo_id,Valori[[#This Row],[smo_id]])+COUNTIF(AGCO!smo_id,Valori[[#This Row],[smo_id]])</f>
        <v>1</v>
      </c>
      <c r="O35" s="1590" cm="1">
        <f t="array" aca="1" ref="O35" ca="1">SUM(IF('CHF M'!smo_id=Valori[[#This Row],[smo_id]],'CHF M'!Posizione))+SUM(IF('CHF MA'!smo_id=Valori[[#This Row],[smo_id]],'CHF MA'!Posizione))+SUM(IF('EUR MB'!smo_id=Valori[[#This Row],[smo_id]],'EUR MB'!Posizione))+SUM(IF('EUR M'!smo_id=Valori[[#This Row],[smo_id]],'EUR M'!Posizione))+SUM(IF(AGCO!smo_id=Valori[[#This Row],[smo_id]],AGCO!Posizione))</f>
        <v>100000</v>
      </c>
      <c r="P35" s="1661" t="str">
        <f ca="1">HYPERLINK(Valori[[#This Row],[P_Source]],"è")</f>
        <v>è</v>
      </c>
      <c r="Q35" s="1663" t="str">
        <f>HYPERLINK(Valori[[#This Row],[Info_W]],"i")</f>
        <v>i</v>
      </c>
      <c r="R35" s="1664" t="str">
        <f>HYPERLINK(Valori[[#This Row],[FN_W]],"")</f>
        <v></v>
      </c>
      <c r="S35" s="1665" t="str">
        <f>HYPERLINK(Valori[[#This Row],[MS_Link]],"")</f>
        <v></v>
      </c>
      <c r="T35" s="1665" t="str">
        <f>HYPERLINK(Valori[[#This Row],[C_source]],"")</f>
        <v></v>
      </c>
      <c r="U35" s="142" t="str" cm="1">
        <f t="array" aca="1" ref="U35" ca="1">OFFSET(POrigin,MATCH(Valori[[#This Row],[LUKB_id]],PID,0),MATCH("M_CUR",PLabel,0)-1,1,1)</f>
        <v>CHF</v>
      </c>
      <c r="V35" s="1562">
        <f ca="1">(Valori[[#This Row],[Last]]+Valori[[#This Row],[Acc. Int]])/Valori[[#This Row],[Pr.Amt]]/IF(Valori[[#This Row],[P_Type]]="Pct",100,1)</f>
        <v>1.0002333333300002</v>
      </c>
      <c r="W35" s="1591" cm="1">
        <f t="array" aca="1" ref="W35" ca="1">OFFSET(POrigin,MATCH(Valori[[#This Row],[LUKB_id]],PID,0),MATCH("NC2_PR",PLabel,0)-1,1,1)/100</f>
        <v>-2.0000000000000001E-4</v>
      </c>
      <c r="X35" s="1592" cm="1">
        <f t="array" aca="1" ref="X35" ca="1">OFFSET(POrigin,MATCH(Valori[[#This Row],[LUKB_id]],PID,0),MATCH("LVAL",PLabel,0)-1,1,1)</f>
        <v>99.98</v>
      </c>
      <c r="Y35" s="1593" cm="1">
        <f t="array" aca="1" ref="Y35" ca="1">OFFSET(POrigin,MATCH(Valori[[#This Row],[LUKB_id]],PID,0),MATCH("LVAL:datetime",PLabel,0)-1,1,1)</f>
        <v>46084.711805555555</v>
      </c>
      <c r="Z35" s="1594" cm="1">
        <f t="array" aca="1" ref="Z35" ca="1">OFFSET(POrigin,MATCH(Valori[[#This Row],[LUKB_id]],PID,0),MATCH("BID:volume",PLabel,0)-1,1,1)</f>
        <v>100000</v>
      </c>
      <c r="AA35" s="1595" cm="1">
        <f t="array" aca="1" ref="AA35" ca="1">OFFSET(POrigin,MATCH(Valori[[#This Row],[LUKB_id]],PID,0),MATCH("BID",PLabel,0)-1,1,1)</f>
        <v>99.95</v>
      </c>
      <c r="AB35" s="1595" cm="1">
        <f t="array" aca="1" ref="AB35" ca="1">OFFSET(POrigin,MATCH(Valori[[#This Row],[LUKB_id]],PID,0),MATCH("ASK",PLabel,0)-1,1,1)</f>
        <v>99.98</v>
      </c>
      <c r="AC35" s="1594" cm="1">
        <f t="array" aca="1" ref="AC35" ca="1">OFFSET(POrigin,MATCH(Valori[[#This Row],[LUKB_id]],PID,0),MATCH("ASK:volume",PLabel,0)-1,1,1)</f>
        <v>760000</v>
      </c>
      <c r="AD35" s="1596" cm="1">
        <f t="array" aca="1" ref="AD35" ca="1">OFFSET(POrigin,MATCH(Valori[[#This Row],[LUKB_id]],PID,0),MATCH("BID-ASK Spread %",PLabel,0)-1,1,1)</f>
        <v>2.000800320128127E-4</v>
      </c>
      <c r="AE35" s="1597" cm="1">
        <f t="array" aca="1" ref="AE35" ca="1">IF(OFFSET(POrigin,MATCH(Valori[[#This Row],[LUKB_id]],PID,0),MATCH("MATURITY",PLabel,0)-1,1,1)&gt;0,OFFSET(POrigin,MATCH(Valori[[#This Row],[LUKB_id]],PID,0),MATCH("MATURITY",PLabel,0)-1,1,1),"")</f>
        <v>46371</v>
      </c>
      <c r="AF35" s="1598" cm="1">
        <f t="array" aca="1" ref="AF35" ca="1">OFFSET(POrigin,MATCH(Valori[[#This Row],[LUKB_id]],PID,0),MATCH("ACCINT",PLabel,0)-1,1,1)</f>
        <v>4.3333333000000002E-2</v>
      </c>
      <c r="AG35" s="1594" cm="1">
        <f t="array" aca="1" ref="AG35" ca="1">OFFSET(POrigin,MATCH(Valori[[#This Row],[LUKB_id]],PID,0),MATCH("DENOM",PLabel,0)-1,1,1)</f>
        <v>5000</v>
      </c>
      <c r="AH35" s="1599" cm="1">
        <f t="array" aca="1" ref="AH35" ca="1">(OFFSET(POrigin,MATCH(Valori[[#This Row],[LUKB_id]],PID,0),MATCH("YIELD",PLabel,0)-1,1,1)+OFFSET(POrigin,MATCH(Valori[[#This Row],[LUKB_id]],PID,0),MATCH("YLDEQ",PLabel,0)-1,1,1))/100</f>
        <v>2.3853697300000001E-3</v>
      </c>
      <c r="AI35" s="1600">
        <f ca="1">OFFSET(POrigin,MATCH(Valori[[#This Row],[LUKB_id]],PID,0),MATCH("DIVIDEND",PLabel,0)-1,1,1)</f>
        <v>0</v>
      </c>
      <c r="AJ35" s="1601">
        <f ca="1">OFFSET(POrigin,MATCH(Valori[[#This Row],[LUKB_id]],PID,0),MATCH("DIVIDEND:datetime",PLabel,0)-1,1,1)</f>
        <v>0</v>
      </c>
      <c r="AK35" s="1602">
        <f ca="1">OFFSET(POrigin,MATCH(Valori[[#This Row],[LUKB_id]],PID,0),MATCH("INTEREST",PLabel,0)-1,1,1)</f>
        <v>0.2</v>
      </c>
      <c r="AL35" s="1603">
        <f ca="1">OFFSET(POrigin,MATCH(Valori[[#This Row],[LUKB_id]],PID,0),MATCH("4W_PERF_PR",PLabel,0)-1,1,1)/100</f>
        <v>0</v>
      </c>
      <c r="AM35" s="1603">
        <f ca="1">OFFSET(POrigin,MATCH(Valori[[#This Row],[LUKB_id]],PID,0),MATCH("12W_PERF_PR",PLabel,0)-1,1,1)/100</f>
        <v>1.6030457869952999E-3</v>
      </c>
      <c r="AN35" s="1603">
        <f ca="1">OFFSET(POrigin,MATCH(Valori[[#This Row],[LUKB_id]],PID,0),MATCH("YTD_PERF_PR",PLabel,0)-1,1,1)/100</f>
        <v>2.0040080160320002E-3</v>
      </c>
      <c r="AO35" s="1591"/>
      <c r="AP35" s="1591"/>
      <c r="AQ35" s="1591"/>
      <c r="AR35" s="1591"/>
      <c r="AS35" s="1890"/>
      <c r="AT35" s="1890"/>
      <c r="AU35" s="610"/>
      <c r="AV35" s="1891"/>
      <c r="AW35" s="1604" t="str">
        <f ca="1">"https://boersenundmaerkte.lukb.ch/lukb/details/"&amp;Valori[[#This Row],[LUKB_id]]</f>
        <v>https://boersenundmaerkte.lukb.ch/lukb/details/114170054,4,1</v>
      </c>
      <c r="AX3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 s="142"/>
      <c r="AZ35" s="142"/>
      <c r="BA35" s="142"/>
      <c r="BB35" s="142"/>
    </row>
    <row r="36" spans="1:54" ht="15" customHeight="1" x14ac:dyDescent="0.2">
      <c r="A36" s="142" t="s">
        <v>1002</v>
      </c>
      <c r="B36" s="142" t="str" cm="1">
        <f t="array" aca="1" ref="B36" ca="1">OFFSET(POrigin,MATCH(Valori[[#This Row],[smo_id]],Posizioni[smo_id],0),MATCH("LUKB_id",PIntestazioni,0)-1,1,1)</f>
        <v>55333181,4,1</v>
      </c>
      <c r="C36" s="1668" t="str">
        <f ca="1">HYPERLINK("https://boersenundmaerkte.lukb.ch/lukb/details/"&amp;Valori[[#This Row],[LUKB_id]],"è")</f>
        <v>è</v>
      </c>
      <c r="D36" s="142" t="str" cm="1">
        <f t="array" aca="1" ref="D36" ca="1">OFFSET(POrigin,MATCH(Valori[[#This Row],[LUKB_id]],PID,0),MATCH("SC_GROUPED",PIntestazioni,0)-1,1,1)</f>
        <v>BON</v>
      </c>
      <c r="E36" s="413" t="str" cm="1">
        <f t="array" aca="1" ref="E36" ca="1">OFFSET(POrigin,MATCH(Valori[[#This Row],[LUKB_id]],PID,0),MATCH("isin",PIntestazioni,0)-1,1,1)</f>
        <v>CH0553331817</v>
      </c>
      <c r="F36" s="34" t="str" cm="1">
        <f t="array" aca="1" ref="F36" ca="1">OFFSET(POrigin,MATCH(Valori[[#This Row],[LUKB_id]],PID,0),MATCH("NSIN_CH",PLabel,0)-1,1,1)</f>
        <v>55333181</v>
      </c>
      <c r="G36" s="95" t="str" cm="1">
        <f t="array" aca="1" ref="G36" ca="1">IF(OFFSET(POrigin,MATCH(Valori[[#This Row],[LUKB_id]],PID,0),MATCH("INSTRUNIT",PLabel,0)-1,1,1)="Nominal","Pct","Unit")</f>
        <v>Pct</v>
      </c>
      <c r="H36" s="612">
        <f ca="1">MAX(OFFSET(POrigin,MATCH(Valori[[#This Row],[LUKB_id]],PID,0),MATCH("PRICINGAMT",PLabel,0)-1,1,1),1)</f>
        <v>1</v>
      </c>
      <c r="I36" s="615" t="str" cm="1">
        <f t="array" aca="1" ref="I36" ca="1">OFFSET(POrigin,MATCH(Valori[[#This Row],[LUKB_id]],PID,0),MATCH("M_NAME",PLabel,0)-1,1,1)</f>
        <v>0.25 Helvetia Ba 26</v>
      </c>
      <c r="M36" s="142" t="str" cm="1">
        <f t="array" aca="1" ref="M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 Helvetia Baloise Holding AG 16.12.26</v>
      </c>
      <c r="N36" s="1563">
        <f ca="1">COUNTIF('CHF M'!smo_id,Valori[[#This Row],[smo_id]])+COUNTIF('CHF MA'!smo_id,Valori[[#This Row],[smo_id]])+COUNTIF('EUR MB'!smo_id,Valori[[#This Row],[smo_id]])+COUNTIF('EUR M'!smo_id,Valori[[#This Row],[smo_id]])+COUNTIF(AGCO!smo_id,Valori[[#This Row],[smo_id]])</f>
        <v>1</v>
      </c>
      <c r="O36" s="1590">
        <v>200000</v>
      </c>
      <c r="P36" s="1661" t="str">
        <f ca="1">HYPERLINK(Valori[[#This Row],[P_Source]],"è")</f>
        <v>è</v>
      </c>
      <c r="Q36" s="1663" t="str">
        <f>HYPERLINK(Valori[[#This Row],[Info_W]],"i")</f>
        <v>i</v>
      </c>
      <c r="R36" s="1664" t="str">
        <f>HYPERLINK(Valori[[#This Row],[FN_W]],"")</f>
        <v></v>
      </c>
      <c r="S36" s="1665" t="str">
        <f>HYPERLINK(Valori[[#This Row],[MS_Link]],"")</f>
        <v></v>
      </c>
      <c r="T36" s="1665" t="str">
        <f>HYPERLINK(Valori[[#This Row],[C_source]],"")</f>
        <v></v>
      </c>
      <c r="U36" s="142" t="str" cm="1">
        <f t="array" aca="1" ref="U36" ca="1">OFFSET(POrigin,MATCH(Valori[[#This Row],[LUKB_id]],PID,0),MATCH("M_CUR",PLabel,0)-1,1,1)</f>
        <v>CHF</v>
      </c>
      <c r="V36" s="1562">
        <f ca="1">(Valori[[#This Row],[Last]]+Valori[[#This Row],[Acc. Int]])/Valori[[#This Row],[Pr.Amt]]/IF(Valori[[#This Row],[P_Type]]="Pct",100,1)</f>
        <v>1.00083472222</v>
      </c>
      <c r="W36" s="1591" cm="1">
        <f t="array" aca="1" ref="W36" ca="1">OFFSET(POrigin,MATCH(Valori[[#This Row],[LUKB_id]],PID,0),MATCH("NC2_PR",PLabel,0)-1,1,1)/100</f>
        <v>-9.9960015993700002E-5</v>
      </c>
      <c r="X36" s="1592" cm="1">
        <f t="array" aca="1" ref="X36" ca="1">OFFSET(POrigin,MATCH(Valori[[#This Row],[LUKB_id]],PID,0),MATCH("LVAL",PLabel,0)-1,1,1)</f>
        <v>100.03</v>
      </c>
      <c r="Y36" s="1593" cm="1">
        <f t="array" aca="1" ref="Y36" ca="1">OFFSET(POrigin,MATCH(Valori[[#This Row],[LUKB_id]],PID,0),MATCH("LVAL:datetime",PLabel,0)-1,1,1)</f>
        <v>46084.711805555555</v>
      </c>
      <c r="Z36" s="1594" cm="1">
        <f t="array" aca="1" ref="Z36" ca="1">OFFSET(POrigin,MATCH(Valori[[#This Row],[LUKB_id]],PID,0),MATCH("BID:volume",PLabel,0)-1,1,1)</f>
        <v>100000</v>
      </c>
      <c r="AA36" s="1595" cm="1">
        <f t="array" aca="1" ref="AA36" ca="1">OFFSET(POrigin,MATCH(Valori[[#This Row],[LUKB_id]],PID,0),MATCH("BID",PLabel,0)-1,1,1)</f>
        <v>100.01</v>
      </c>
      <c r="AB36" s="1595" cm="1">
        <f t="array" aca="1" ref="AB36" ca="1">OFFSET(POrigin,MATCH(Valori[[#This Row],[LUKB_id]],PID,0),MATCH("ASK",PLabel,0)-1,1,1)</f>
        <v>100.03</v>
      </c>
      <c r="AC36" s="1594" cm="1">
        <f t="array" aca="1" ref="AC36" ca="1">OFFSET(POrigin,MATCH(Valori[[#This Row],[LUKB_id]],PID,0),MATCH("ASK:volume",PLabel,0)-1,1,1)</f>
        <v>125000</v>
      </c>
      <c r="AD36" s="1596" cm="1">
        <f t="array" aca="1" ref="AD36" ca="1">OFFSET(POrigin,MATCH(Valori[[#This Row],[LUKB_id]],PID,0),MATCH("BID-ASK Spread %",PLabel,0)-1,1,1)</f>
        <v>1.3331111481417111E-4</v>
      </c>
      <c r="AE36" s="1597" cm="1">
        <f t="array" aca="1" ref="AE36" ca="1">IF(OFFSET(POrigin,MATCH(Valori[[#This Row],[LUKB_id]],PID,0),MATCH("MATURITY",PLabel,0)-1,1,1)&gt;0,OFFSET(POrigin,MATCH(Valori[[#This Row],[LUKB_id]],PID,0),MATCH("MATURITY",PLabel,0)-1,1,1),"")</f>
        <v>46372</v>
      </c>
      <c r="AF36" s="1598" cm="1">
        <f t="array" aca="1" ref="AF36" ca="1">OFFSET(POrigin,MATCH(Valori[[#This Row],[LUKB_id]],PID,0),MATCH("ACCINT",PLabel,0)-1,1,1)</f>
        <v>5.3472222000000007E-2</v>
      </c>
      <c r="AG36" s="1594" cm="1">
        <f t="array" aca="1" ref="AG36" ca="1">OFFSET(POrigin,MATCH(Valori[[#This Row],[LUKB_id]],PID,0),MATCH("DENOM",PLabel,0)-1,1,1)</f>
        <v>5000</v>
      </c>
      <c r="AH36" s="1599" cm="1">
        <f t="array" aca="1" ref="AH36" ca="1">(OFFSET(POrigin,MATCH(Valori[[#This Row],[LUKB_id]],PID,0),MATCH("YIELD",PLabel,0)-1,1,1)+OFFSET(POrigin,MATCH(Valori[[#This Row],[LUKB_id]],PID,0),MATCH("YLDEQ",PLabel,0)-1,1,1))/100</f>
        <v>2.1138645100000002E-3</v>
      </c>
      <c r="AI36" s="1600">
        <f ca="1">OFFSET(POrigin,MATCH(Valori[[#This Row],[LUKB_id]],PID,0),MATCH("DIVIDEND",PLabel,0)-1,1,1)</f>
        <v>0</v>
      </c>
      <c r="AJ36" s="1601">
        <f ca="1">OFFSET(POrigin,MATCH(Valori[[#This Row],[LUKB_id]],PID,0),MATCH("DIVIDEND:datetime",PLabel,0)-1,1,1)</f>
        <v>0</v>
      </c>
      <c r="AK36" s="1602">
        <f ca="1">OFFSET(POrigin,MATCH(Valori[[#This Row],[LUKB_id]],PID,0),MATCH("INTEREST",PLabel,0)-1,1,1)</f>
        <v>0.25</v>
      </c>
      <c r="AL36" s="1603">
        <f ca="1">OFFSET(POrigin,MATCH(Valori[[#This Row],[LUKB_id]],PID,0),MATCH("4W_PERF_PR",PLabel,0)-1,1,1)/100</f>
        <v>9.9980003999300011E-5</v>
      </c>
      <c r="AM36" s="1603">
        <f ca="1">OFFSET(POrigin,MATCH(Valori[[#This Row],[LUKB_id]],PID,0),MATCH("12W_PERF_PR",PLabel,0)-1,1,1)/100</f>
        <v>7.00210063019E-4</v>
      </c>
      <c r="AN36" s="1603">
        <f ca="1">OFFSET(POrigin,MATCH(Valori[[#This Row],[LUKB_id]],PID,0),MATCH("YTD_PERF_PR",PLabel,0)-1,1,1)/100</f>
        <v>8.0032012805130001E-4</v>
      </c>
      <c r="AO36" s="1591"/>
      <c r="AP36" s="1591"/>
      <c r="AQ36" s="1591"/>
      <c r="AR36" s="1591"/>
      <c r="AS36" s="1890"/>
      <c r="AT36" s="1890"/>
      <c r="AU36" s="610"/>
      <c r="AV36" s="1891"/>
      <c r="AW36" s="1604" t="str">
        <f ca="1">"https://boersenundmaerkte.lukb.ch/lukb/details/"&amp;Valori[[#This Row],[LUKB_id]]</f>
        <v>https://boersenundmaerkte.lukb.ch/lukb/details/55333181,4,1</v>
      </c>
      <c r="AX3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 s="142"/>
      <c r="AZ36" s="142"/>
      <c r="BA36" s="142"/>
      <c r="BB36" s="142"/>
    </row>
    <row r="37" spans="1:54" ht="15" customHeight="1" x14ac:dyDescent="0.2">
      <c r="A37" s="142" t="s">
        <v>1003</v>
      </c>
      <c r="B37" s="142" t="str" cm="1">
        <f t="array" aca="1" ref="B37" ca="1">OFFSET(POrigin,MATCH(Valori[[#This Row],[smo_id]],Posizioni[smo_id],0),MATCH("LUKB_id",PIntestazioni,0)-1,1,1)</f>
        <v>35394539,4,1</v>
      </c>
      <c r="C37" s="1668" t="str">
        <f ca="1">HYPERLINK("https://boersenundmaerkte.lukb.ch/lukb/details/"&amp;Valori[[#This Row],[LUKB_id]],"è")</f>
        <v>è</v>
      </c>
      <c r="D37" s="142" t="str" cm="1">
        <f t="array" aca="1" ref="D37" ca="1">OFFSET(POrigin,MATCH(Valori[[#This Row],[LUKB_id]],PID,0),MATCH("SC_GROUPED",PIntestazioni,0)-1,1,1)</f>
        <v>BON</v>
      </c>
      <c r="E37" s="413" t="str" cm="1">
        <f t="array" aca="1" ref="E37" ca="1">OFFSET(POrigin,MATCH(Valori[[#This Row],[LUKB_id]],PID,0),MATCH("isin",PIntestazioni,0)-1,1,1)</f>
        <v>CH0353945394</v>
      </c>
      <c r="F37" s="34" t="str" cm="1">
        <f t="array" aca="1" ref="F37" ca="1">OFFSET(POrigin,MATCH(Valori[[#This Row],[LUKB_id]],PID,0),MATCH("NSIN_CH",PLabel,0)-1,1,1)</f>
        <v>35394539</v>
      </c>
      <c r="G37" s="95" t="str" cm="1">
        <f t="array" aca="1" ref="G37" ca="1">IF(OFFSET(POrigin,MATCH(Valori[[#This Row],[LUKB_id]],PID,0),MATCH("INSTRUNIT",PLabel,0)-1,1,1)="Nominal","Pct","Unit")</f>
        <v>Pct</v>
      </c>
      <c r="H37" s="612">
        <f ca="1">MAX(OFFSET(POrigin,MATCH(Valori[[#This Row],[LUKB_id]],PID,0),MATCH("PRICINGAMT",PLabel,0)-1,1,1),1)</f>
        <v>1</v>
      </c>
      <c r="I37" s="615" t="str" cm="1">
        <f t="array" aca="1" ref="I37" ca="1">OFFSET(POrigin,MATCH(Valori[[#This Row],[LUKB_id]],PID,0),MATCH("M_NAME",PLabel,0)-1,1,1)</f>
        <v>3 GATESW 27 Bds</v>
      </c>
      <c r="M37" s="142" t="str" cm="1">
        <f t="array" aca="1" ref="M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3.000 % Gategroup Finance Luxembourg S.A. 28.02.27</v>
      </c>
      <c r="N37" s="1563">
        <f ca="1">COUNTIF('CHF M'!smo_id,Valori[[#This Row],[smo_id]])+COUNTIF('CHF MA'!smo_id,Valori[[#This Row],[smo_id]])+COUNTIF('EUR MB'!smo_id,Valori[[#This Row],[smo_id]])+COUNTIF('EUR M'!smo_id,Valori[[#This Row],[smo_id]])+COUNTIF(AGCO!smo_id,Valori[[#This Row],[smo_id]])</f>
        <v>1</v>
      </c>
      <c r="O37" s="1590" cm="1">
        <f t="array" aca="1" ref="O37" ca="1">SUM(IF('CHF M'!smo_id=Valori[[#This Row],[smo_id]],'CHF M'!Posizione))+SUM(IF('CHF MA'!smo_id=Valori[[#This Row],[smo_id]],'CHF MA'!Posizione))+SUM(IF('EUR MB'!smo_id=Valori[[#This Row],[smo_id]],'EUR MB'!Posizione))+SUM(IF('EUR M'!smo_id=Valori[[#This Row],[smo_id]],'EUR M'!Posizione))+SUM(IF(AGCO!smo_id=Valori[[#This Row],[smo_id]],AGCO!Posizione))</f>
        <v>10000</v>
      </c>
      <c r="P37" s="1661" t="str">
        <f ca="1">HYPERLINK(Valori[[#This Row],[P_Source]],"è")</f>
        <v>è</v>
      </c>
      <c r="Q37" s="1663" t="str">
        <f>HYPERLINK(Valori[[#This Row],[Info_W]],"i")</f>
        <v>i</v>
      </c>
      <c r="R37" s="1664" t="str">
        <f>HYPERLINK(Valori[[#This Row],[FN_W]],"")</f>
        <v></v>
      </c>
      <c r="S37" s="1665" t="str">
        <f>HYPERLINK(Valori[[#This Row],[MS_Link]],"")</f>
        <v></v>
      </c>
      <c r="T37" s="1665" t="str">
        <f>HYPERLINK(Valori[[#This Row],[C_source]],"")</f>
        <v></v>
      </c>
      <c r="U37" s="142" t="str" cm="1">
        <f t="array" aca="1" ref="U37" ca="1">OFFSET(POrigin,MATCH(Valori[[#This Row],[LUKB_id]],PID,0),MATCH("M_CUR",PLabel,0)-1,1,1)</f>
        <v>CHF</v>
      </c>
      <c r="V37" s="1562">
        <f ca="1">(Valori[[#This Row],[Last]]+Valori[[#This Row],[Acc. Int]])/Valori[[#This Row],[Pr.Amt]]/IF(Valori[[#This Row],[P_Type]]="Pct",100,1)</f>
        <v>1.0004166666700001</v>
      </c>
      <c r="W37" s="1591" cm="1">
        <f t="array" aca="1" ref="W37" ca="1">OFFSET(POrigin,MATCH(Valori[[#This Row],[LUKB_id]],PID,0),MATCH("NC2_PR",PLabel,0)-1,1,1)/100</f>
        <v>0</v>
      </c>
      <c r="X37" s="1592" cm="1">
        <f t="array" aca="1" ref="X37" ca="1">OFFSET(POrigin,MATCH(Valori[[#This Row],[LUKB_id]],PID,0),MATCH("LVAL",PLabel,0)-1,1,1)</f>
        <v>100</v>
      </c>
      <c r="Y37" s="1593" cm="1">
        <f t="array" aca="1" ref="Y37" ca="1">OFFSET(POrigin,MATCH(Valori[[#This Row],[LUKB_id]],PID,0),MATCH("LVAL:datetime",PLabel,0)-1,1,1)</f>
        <v>46084.468206018515</v>
      </c>
      <c r="Z37" s="1594" cm="1">
        <f t="array" aca="1" ref="Z37" ca="1">OFFSET(POrigin,MATCH(Valori[[#This Row],[LUKB_id]],PID,0),MATCH("BID:volume",PLabel,0)-1,1,1)</f>
        <v>20000</v>
      </c>
      <c r="AA37" s="1595" cm="1">
        <f t="array" aca="1" ref="AA37" ca="1">OFFSET(POrigin,MATCH(Valori[[#This Row],[LUKB_id]],PID,0),MATCH("BID",PLabel,0)-1,1,1)</f>
        <v>99.75</v>
      </c>
      <c r="AB37" s="1595" cm="1">
        <f t="array" aca="1" ref="AB37" ca="1">OFFSET(POrigin,MATCH(Valori[[#This Row],[LUKB_id]],PID,0),MATCH("ASK",PLabel,0)-1,1,1)</f>
        <v>100.2</v>
      </c>
      <c r="AC37" s="1594" cm="1">
        <f t="array" aca="1" ref="AC37" ca="1">OFFSET(POrigin,MATCH(Valori[[#This Row],[LUKB_id]],PID,0),MATCH("ASK:volume",PLabel,0)-1,1,1)</f>
        <v>100000</v>
      </c>
      <c r="AD37" s="1596" cm="1">
        <f t="array" aca="1" ref="AD37" ca="1">OFFSET(POrigin,MATCH(Valori[[#This Row],[LUKB_id]],PID,0),MATCH("BID-ASK Spread %",PLabel,0)-1,1,1)</f>
        <v>3.0030030030030221E-3</v>
      </c>
      <c r="AE37" s="1597" cm="1">
        <f t="array" aca="1" ref="AE37" ca="1">IF(OFFSET(POrigin,MATCH(Valori[[#This Row],[LUKB_id]],PID,0),MATCH("MATURITY",PLabel,0)-1,1,1)&gt;0,OFFSET(POrigin,MATCH(Valori[[#This Row],[LUKB_id]],PID,0),MATCH("MATURITY",PLabel,0)-1,1,1),"")</f>
        <v>46446</v>
      </c>
      <c r="AF37" s="1598" cm="1">
        <f t="array" aca="1" ref="AF37" ca="1">OFFSET(POrigin,MATCH(Valori[[#This Row],[LUKB_id]],PID,0),MATCH("ACCINT",PLabel,0)-1,1,1)</f>
        <v>4.1666667000000004E-2</v>
      </c>
      <c r="AG37" s="1594" cm="1">
        <f t="array" aca="1" ref="AG37" ca="1">OFFSET(POrigin,MATCH(Valori[[#This Row],[LUKB_id]],PID,0),MATCH("DENOM",PLabel,0)-1,1,1)</f>
        <v>5000</v>
      </c>
      <c r="AH37" s="1599" cm="1">
        <f t="array" aca="1" ref="AH37" ca="1">(OFFSET(POrigin,MATCH(Valori[[#This Row],[LUKB_id]],PID,0),MATCH("YIELD",PLabel,0)-1,1,1)+OFFSET(POrigin,MATCH(Valori[[#This Row],[LUKB_id]],PID,0),MATCH("YLDEQ",PLabel,0)-1,1,1))/100</f>
        <v>2.9982510330000003E-2</v>
      </c>
      <c r="AI37" s="1600">
        <f ca="1">OFFSET(POrigin,MATCH(Valori[[#This Row],[LUKB_id]],PID,0),MATCH("DIVIDEND",PLabel,0)-1,1,1)</f>
        <v>0</v>
      </c>
      <c r="AJ37" s="1601">
        <f ca="1">OFFSET(POrigin,MATCH(Valori[[#This Row],[LUKB_id]],PID,0),MATCH("DIVIDEND:datetime",PLabel,0)-1,1,1)</f>
        <v>0</v>
      </c>
      <c r="AK37" s="1602">
        <f ca="1">OFFSET(POrigin,MATCH(Valori[[#This Row],[LUKB_id]],PID,0),MATCH("INTEREST",PLabel,0)-1,1,1)</f>
        <v>3</v>
      </c>
      <c r="AL37" s="1603">
        <f ca="1">OFFSET(POrigin,MATCH(Valori[[#This Row],[LUKB_id]],PID,0),MATCH("4W_PERF_PR",PLabel,0)-1,1,1)/100</f>
        <v>-2.9991000000000002E-4</v>
      </c>
      <c r="AM37" s="1603">
        <f ca="1">OFFSET(POrigin,MATCH(Valori[[#This Row],[LUKB_id]],PID,0),MATCH("12W_PERF_PR",PLabel,0)-1,1,1)/100</f>
        <v>1.0010000000000002E-3</v>
      </c>
      <c r="AN37" s="1603">
        <f ca="1">OFFSET(POrigin,MATCH(Valori[[#This Row],[LUKB_id]],PID,0),MATCH("YTD_PERF_PR",PLabel,0)-1,1,1)/100</f>
        <v>1.0010010010010001E-3</v>
      </c>
      <c r="AO37" s="1591"/>
      <c r="AP37" s="1591"/>
      <c r="AQ37" s="1591"/>
      <c r="AR37" s="1591"/>
      <c r="AS37" s="1890"/>
      <c r="AT37" s="1890"/>
      <c r="AU37" s="610"/>
      <c r="AV37" s="1891"/>
      <c r="AW37" s="1604" t="str">
        <f ca="1">"https://boersenundmaerkte.lukb.ch/lukb/details/"&amp;Valori[[#This Row],[LUKB_id]]</f>
        <v>https://boersenundmaerkte.lukb.ch/lukb/details/35394539,4,1</v>
      </c>
      <c r="AX3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 s="142"/>
      <c r="AZ37" s="142"/>
      <c r="BA37" s="142"/>
      <c r="BB37" s="142"/>
    </row>
    <row r="38" spans="1:54" ht="15" customHeight="1" x14ac:dyDescent="0.2">
      <c r="A38" s="142" t="s">
        <v>1004</v>
      </c>
      <c r="B38" s="142" t="str" cm="1">
        <f t="array" aca="1" ref="B38" ca="1">OFFSET(POrigin,MATCH(Valori[[#This Row],[smo_id]],Posizioni[smo_id],0),MATCH("LUKB_id",PIntestazioni,0)-1,1,1)</f>
        <v>120579731,16,814</v>
      </c>
      <c r="C38" s="1668" t="str">
        <f ca="1">HYPERLINK("https://boersenundmaerkte.lukb.ch/lukb/details/"&amp;Valori[[#This Row],[LUKB_id]],"è")</f>
        <v>è</v>
      </c>
      <c r="D38" s="142" t="str" cm="1">
        <f t="array" aca="1" ref="D38" ca="1">OFFSET(POrigin,MATCH(Valori[[#This Row],[LUKB_id]],PID,0),MATCH("SC_GROUPED",PIntestazioni,0)-1,1,1)</f>
        <v>BON</v>
      </c>
      <c r="E38" s="413" t="str" cm="1">
        <f t="array" aca="1" ref="E38" ca="1">OFFSET(POrigin,MATCH(Valori[[#This Row],[LUKB_id]],PID,0),MATCH("isin",PIntestazioni,0)-1,1,1)</f>
        <v>DE000A30WFU3</v>
      </c>
      <c r="F38" s="34" t="str" cm="1">
        <f t="array" aca="1" ref="F38" ca="1">OFFSET(POrigin,MATCH(Valori[[#This Row],[LUKB_id]],PID,0),MATCH("NSIN_CH",PLabel,0)-1,1,1)</f>
        <v>120579731</v>
      </c>
      <c r="G38" s="95" t="str" cm="1">
        <f t="array" aca="1" ref="G38" ca="1">IF(OFFSET(POrigin,MATCH(Valori[[#This Row],[LUKB_id]],PID,0),MATCH("INSTRUNIT",PLabel,0)-1,1,1)="Nominal","Pct","Unit")</f>
        <v>Pct</v>
      </c>
      <c r="H38" s="612">
        <f ca="1">MAX(OFFSET(POrigin,MATCH(Valori[[#This Row],[LUKB_id]],PID,0),MATCH("PRICINGAMT",PLabel,0)-1,1,1),1)</f>
        <v>1</v>
      </c>
      <c r="I38" s="615" t="str" cm="1">
        <f t="array" aca="1" ref="I38" ca="1">OFFSET(POrigin,MATCH(Valori[[#This Row],[LUKB_id]],PID,0),MATCH("M_NAME",PLabel,0)-1,1,1)</f>
        <v>1.75 DPBB 27 15322</v>
      </c>
      <c r="M38" s="142" t="str" cm="1">
        <f t="array" aca="1" ref="M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1.750 % Deutsche Pfandbriefbank AG 01.03.27</v>
      </c>
      <c r="N38" s="1563">
        <f ca="1">COUNTIF('CHF M'!smo_id,Valori[[#This Row],[smo_id]])+COUNTIF('CHF MA'!smo_id,Valori[[#This Row],[smo_id]])+COUNTIF('EUR MB'!smo_id,Valori[[#This Row],[smo_id]])+COUNTIF('EUR M'!smo_id,Valori[[#This Row],[smo_id]])+COUNTIF(AGCO!smo_id,Valori[[#This Row],[smo_id]])</f>
        <v>2</v>
      </c>
      <c r="O38" s="1590" cm="1">
        <f t="array" aca="1" ref="O38" ca="1">SUM(IF('CHF M'!smo_id=Valori[[#This Row],[smo_id]],'CHF M'!Posizione))+SUM(IF('CHF MA'!smo_id=Valori[[#This Row],[smo_id]],'CHF MA'!Posizione))+SUM(IF('EUR MB'!smo_id=Valori[[#This Row],[smo_id]],'EUR MB'!Posizione))+SUM(IF('EUR M'!smo_id=Valori[[#This Row],[smo_id]],'EUR M'!Posizione))+SUM(IF(AGCO!smo_id=Valori[[#This Row],[smo_id]],AGCO!Posizione))</f>
        <v>105000</v>
      </c>
      <c r="P38" s="1661" t="str">
        <f ca="1">HYPERLINK(Valori[[#This Row],[P_Source]],"è")</f>
        <v>è</v>
      </c>
      <c r="Q38" s="1663" t="str">
        <f>HYPERLINK(Valori[[#This Row],[Info_W]],"i")</f>
        <v>i</v>
      </c>
      <c r="R38" s="1664" t="str">
        <f>HYPERLINK(Valori[[#This Row],[FN_W]],"")</f>
        <v></v>
      </c>
      <c r="S38" s="1665" t="str">
        <f>HYPERLINK(Valori[[#This Row],[MS_Link]],"")</f>
        <v></v>
      </c>
      <c r="T38" s="1665" t="str">
        <f>HYPERLINK(Valori[[#This Row],[C_source]],"")</f>
        <v></v>
      </c>
      <c r="U38" s="142" t="str" cm="1">
        <f t="array" aca="1" ref="U38" ca="1">OFFSET(POrigin,MATCH(Valori[[#This Row],[LUKB_id]],PID,0),MATCH("M_CUR",PLabel,0)-1,1,1)</f>
        <v>EUR</v>
      </c>
      <c r="V38" s="1562">
        <f ca="1">(Valori[[#This Row],[Last]]+Valori[[#This Row],[Acc. Int]])/Valori[[#This Row],[Pr.Amt]]/IF(Valori[[#This Row],[P_Type]]="Pct",100,1)</f>
        <v>0.99316722221999998</v>
      </c>
      <c r="W38" s="1591" cm="1">
        <f t="array" aca="1" ref="W38" ca="1">OFFSET(POrigin,MATCH(Valori[[#This Row],[LUKB_id]],PID,0),MATCH("NC2_PR",PLabel,0)-1,1,1)/100</f>
        <v>-3.0200227508389999E-4</v>
      </c>
      <c r="X38" s="1592" cm="1">
        <f t="array" aca="1" ref="X38" ca="1">OFFSET(POrigin,MATCH(Valori[[#This Row],[LUKB_id]],PID,0),MATCH("LVAL",PLabel,0)-1,1,1)</f>
        <v>99.307000000000002</v>
      </c>
      <c r="Y38" s="1593" cm="1">
        <f t="array" aca="1" ref="Y38" ca="1">OFFSET(POrigin,MATCH(Valori[[#This Row],[LUKB_id]],PID,0),MATCH("LVAL:datetime",PLabel,0)-1,1,1)</f>
        <v>46084.754641203705</v>
      </c>
      <c r="Z38" s="1594" cm="1">
        <f t="array" aca="1" ref="Z38" ca="1">OFFSET(POrigin,MATCH(Valori[[#This Row],[LUKB_id]],PID,0),MATCH("BID:volume",PLabel,0)-1,1,1)</f>
        <v>1000000</v>
      </c>
      <c r="AA38" s="1595" cm="1">
        <f t="array" aca="1" ref="AA38" ca="1">OFFSET(POrigin,MATCH(Valori[[#This Row],[LUKB_id]],PID,0),MATCH("BID",PLabel,0)-1,1,1)</f>
        <v>99.307000000000002</v>
      </c>
      <c r="AB38" s="1595" cm="1">
        <f t="array" aca="1" ref="AB38" ca="1">OFFSET(POrigin,MATCH(Valori[[#This Row],[LUKB_id]],PID,0),MATCH("ASK",PLabel,0)-1,1,1)</f>
        <v>99.478000000000009</v>
      </c>
      <c r="AC38" s="1594" cm="1">
        <f t="array" aca="1" ref="AC38" ca="1">OFFSET(POrigin,MATCH(Valori[[#This Row],[LUKB_id]],PID,0),MATCH("ASK:volume",PLabel,0)-1,1,1)</f>
        <v>1000000</v>
      </c>
      <c r="AD38" s="1596" cm="1">
        <f t="array" aca="1" ref="AD38" ca="1">OFFSET(POrigin,MATCH(Valori[[#This Row],[LUKB_id]],PID,0),MATCH("BID-ASK Spread %",PLabel,0)-1,1,1)</f>
        <v>1.1472968076969962E-3</v>
      </c>
      <c r="AE38" s="1597" cm="1">
        <f t="array" aca="1" ref="AE38" ca="1">IF(OFFSET(POrigin,MATCH(Valori[[#This Row],[LUKB_id]],PID,0),MATCH("MATURITY",PLabel,0)-1,1,1)&gt;0,OFFSET(POrigin,MATCH(Valori[[#This Row],[LUKB_id]],PID,0),MATCH("MATURITY",PLabel,0)-1,1,1),"")</f>
        <v>46447</v>
      </c>
      <c r="AF38" s="1598" cm="1">
        <f t="array" aca="1" ref="AF38" ca="1">OFFSET(POrigin,MATCH(Valori[[#This Row],[LUKB_id]],PID,0),MATCH("ACCINT",PLabel,0)-1,1,1)</f>
        <v>9.7222220000000008E-3</v>
      </c>
      <c r="AG38" s="1594" cm="1">
        <f t="array" aca="1" ref="AG38" ca="1">OFFSET(POrigin,MATCH(Valori[[#This Row],[LUKB_id]],PID,0),MATCH("DENOM",PLabel,0)-1,1,1)</f>
        <v>1000</v>
      </c>
      <c r="AH38" s="1599" cm="1">
        <f t="array" aca="1" ref="AH38" ca="1">(OFFSET(POrigin,MATCH(Valori[[#This Row],[LUKB_id]],PID,0),MATCH("YIELD",PLabel,0)-1,1,1)+OFFSET(POrigin,MATCH(Valori[[#This Row],[LUKB_id]],PID,0),MATCH("YLDEQ",PLabel,0)-1,1,1))/100</f>
        <v>2.4361272749999999E-2</v>
      </c>
      <c r="AI38" s="1600">
        <f ca="1">OFFSET(POrigin,MATCH(Valori[[#This Row],[LUKB_id]],PID,0),MATCH("DIVIDEND",PLabel,0)-1,1,1)</f>
        <v>0</v>
      </c>
      <c r="AJ38" s="1601">
        <f ca="1">OFFSET(POrigin,MATCH(Valori[[#This Row],[LUKB_id]],PID,0),MATCH("DIVIDEND:datetime",PLabel,0)-1,1,1)</f>
        <v>0</v>
      </c>
      <c r="AK38" s="1602">
        <f ca="1">OFFSET(POrigin,MATCH(Valori[[#This Row],[LUKB_id]],PID,0),MATCH("INTEREST",PLabel,0)-1,1,1)</f>
        <v>1.75</v>
      </c>
      <c r="AL38" s="1603">
        <f ca="1">OFFSET(POrigin,MATCH(Valori[[#This Row],[LUKB_id]],PID,0),MATCH("4W_PERF_PR",PLabel,0)-1,1,1)/100</f>
        <v>5.7413376309440006E-4</v>
      </c>
      <c r="AM38" s="1603">
        <f ca="1">OFFSET(POrigin,MATCH(Valori[[#This Row],[LUKB_id]],PID,0),MATCH("12W_PERF_PR",PLabel,0)-1,1,1)/100</f>
        <v>2.2492309244036999E-3</v>
      </c>
      <c r="AN38" s="1603">
        <f ca="1">OFFSET(POrigin,MATCH(Valori[[#This Row],[LUKB_id]],PID,0),MATCH("YTD_PERF_PR",PLabel,0)-1,1,1)/100</f>
        <v>1.6531591468085E-3</v>
      </c>
      <c r="AO38" s="1591"/>
      <c r="AP38" s="1591"/>
      <c r="AQ38" s="1591"/>
      <c r="AR38" s="1591"/>
      <c r="AS38" s="1890"/>
      <c r="AT38" s="1890"/>
      <c r="AU38" s="610"/>
      <c r="AV38" s="1891"/>
      <c r="AW38" s="1604" t="str">
        <f ca="1">"https://boersenundmaerkte.lukb.ch/lukb/details/"&amp;Valori[[#This Row],[LUKB_id]]</f>
        <v>https://boersenundmaerkte.lukb.ch/lukb/details/120579731,16,814</v>
      </c>
      <c r="AX3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 s="142"/>
      <c r="AZ38" s="142"/>
      <c r="BA38" s="142"/>
      <c r="BB38" s="142"/>
    </row>
    <row r="39" spans="1:54" ht="15" customHeight="1" x14ac:dyDescent="0.2">
      <c r="A39" s="142" t="s">
        <v>1005</v>
      </c>
      <c r="B39" s="142" t="str" cm="1">
        <f t="array" aca="1" ref="B39" ca="1">OFFSET(POrigin,MATCH(Valori[[#This Row],[smo_id]],Posizioni[smo_id],0),MATCH("LUKB_id",PIntestazioni,0)-1,1,1)</f>
        <v>41904099,4,1</v>
      </c>
      <c r="C39" s="1668" t="str">
        <f ca="1">HYPERLINK("https://boersenundmaerkte.lukb.ch/lukb/details/"&amp;Valori[[#This Row],[LUKB_id]],"è")</f>
        <v>è</v>
      </c>
      <c r="D39" s="142" t="str" cm="1">
        <f t="array" aca="1" ref="D39" ca="1">OFFSET(POrigin,MATCH(Valori[[#This Row],[LUKB_id]],PID,0),MATCH("SC_GROUPED",PIntestazioni,0)-1,1,1)</f>
        <v>BON</v>
      </c>
      <c r="E39" s="413" t="str" cm="1">
        <f t="array" aca="1" ref="E39" ca="1">OFFSET(POrigin,MATCH(Valori[[#This Row],[LUKB_id]],PID,0),MATCH("isin",PIntestazioni,0)-1,1,1)</f>
        <v>CH0419040990</v>
      </c>
      <c r="F39" s="34" t="str" cm="1">
        <f t="array" aca="1" ref="F39" ca="1">OFFSET(POrigin,MATCH(Valori[[#This Row],[LUKB_id]],PID,0),MATCH("NSIN_CH",PLabel,0)-1,1,1)</f>
        <v>41904099</v>
      </c>
      <c r="G39" s="95" t="str" cm="1">
        <f t="array" aca="1" ref="G39" ca="1">IF(OFFSET(POrigin,MATCH(Valori[[#This Row],[LUKB_id]],PID,0),MATCH("INSTRUNIT",PLabel,0)-1,1,1)="Nominal","Pct","Unit")</f>
        <v>Pct</v>
      </c>
      <c r="H39" s="612">
        <f ca="1">MAX(OFFSET(POrigin,MATCH(Valori[[#This Row],[LUKB_id]],PID,0),MATCH("PRICINGAMT",PLabel,0)-1,1,1),1)</f>
        <v>1</v>
      </c>
      <c r="I39" s="615" t="str" cm="1">
        <f t="array" aca="1" ref="I39" ca="1">OFFSET(POrigin,MATCH(Valori[[#This Row],[LUKB_id]],PID,0),MATCH("M_NAME",PLabel,0)-1,1,1)</f>
        <v>1.25 SPS 27 Obl -S</v>
      </c>
      <c r="M39" s="142" t="str" cm="1">
        <f t="array" aca="1" ref="M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1.250 % Swiss Prime Site Finance AG 02.04.27</v>
      </c>
      <c r="N39" s="1563">
        <f ca="1">COUNTIF('CHF M'!smo_id,Valori[[#This Row],[smo_id]])+COUNTIF('CHF MA'!smo_id,Valori[[#This Row],[smo_id]])+COUNTIF('EUR MB'!smo_id,Valori[[#This Row],[smo_id]])+COUNTIF('EUR M'!smo_id,Valori[[#This Row],[smo_id]])+COUNTIF(AGCO!smo_id,Valori[[#This Row],[smo_id]])</f>
        <v>1</v>
      </c>
      <c r="O39" s="1590" cm="1">
        <f t="array" aca="1" ref="O39" ca="1">SUM(IF('CHF M'!smo_id=Valori[[#This Row],[smo_id]],'CHF M'!Posizione))+SUM(IF('CHF MA'!smo_id=Valori[[#This Row],[smo_id]],'CHF MA'!Posizione))+SUM(IF('EUR MB'!smo_id=Valori[[#This Row],[smo_id]],'EUR MB'!Posizione))+SUM(IF('EUR M'!smo_id=Valori[[#This Row],[smo_id]],'EUR M'!Posizione))+SUM(IF(AGCO!smo_id=Valori[[#This Row],[smo_id]],AGCO!Posizione))</f>
        <v>100000</v>
      </c>
      <c r="P39" s="1661" t="str">
        <f ca="1">HYPERLINK(Valori[[#This Row],[P_Source]],"è")</f>
        <v>è</v>
      </c>
      <c r="Q39" s="1663" t="str">
        <f>HYPERLINK(Valori[[#This Row],[Info_W]],"i")</f>
        <v>i</v>
      </c>
      <c r="R39" s="1664" t="str">
        <f>HYPERLINK(Valori[[#This Row],[FN_W]],"")</f>
        <v></v>
      </c>
      <c r="S39" s="1665" t="str">
        <f>HYPERLINK(Valori[[#This Row],[MS_Link]],"")</f>
        <v></v>
      </c>
      <c r="T39" s="1665" t="str">
        <f>HYPERLINK(Valori[[#This Row],[C_source]],"")</f>
        <v></v>
      </c>
      <c r="U39" s="142" t="str" cm="1">
        <f t="array" aca="1" ref="U39" ca="1">OFFSET(POrigin,MATCH(Valori[[#This Row],[LUKB_id]],PID,0),MATCH("M_CUR",PLabel,0)-1,1,1)</f>
        <v>CHF</v>
      </c>
      <c r="V39" s="1562">
        <f ca="1">(Valori[[#This Row],[Last]]+Valori[[#This Row],[Acc. Int]])/Valori[[#This Row],[Pr.Amt]]/IF(Valori[[#This Row],[P_Type]]="Pct",100,1)</f>
        <v>1.0214930555599999</v>
      </c>
      <c r="W39" s="1591" cm="1">
        <f t="array" aca="1" ref="W39" ca="1">OFFSET(POrigin,MATCH(Valori[[#This Row],[LUKB_id]],PID,0),MATCH("NC2_PR",PLabel,0)-1,1,1)/100</f>
        <v>-3.9588281868580005E-4</v>
      </c>
      <c r="X39" s="1592" cm="1">
        <f t="array" aca="1" ref="X39" ca="1">OFFSET(POrigin,MATCH(Valori[[#This Row],[LUKB_id]],PID,0),MATCH("LVAL",PLabel,0)-1,1,1)</f>
        <v>101</v>
      </c>
      <c r="Y39" s="1593" cm="1">
        <f t="array" aca="1" ref="Y39" ca="1">OFFSET(POrigin,MATCH(Valori[[#This Row],[LUKB_id]],PID,0),MATCH("LVAL:datetime",PLabel,0)-1,1,1)</f>
        <v>46084.577673611115</v>
      </c>
      <c r="Z39" s="1594" cm="1">
        <f t="array" aca="1" ref="Z39" ca="1">OFFSET(POrigin,MATCH(Valori[[#This Row],[LUKB_id]],PID,0),MATCH("BID:volume",PLabel,0)-1,1,1)</f>
        <v>100000</v>
      </c>
      <c r="AA39" s="1595" cm="1">
        <f t="array" aca="1" ref="AA39" ca="1">OFFSET(POrigin,MATCH(Valori[[#This Row],[LUKB_id]],PID,0),MATCH("BID",PLabel,0)-1,1,1)</f>
        <v>100.88</v>
      </c>
      <c r="AB39" s="1595" cm="1">
        <f t="array" aca="1" ref="AB39" ca="1">OFFSET(POrigin,MATCH(Valori[[#This Row],[LUKB_id]],PID,0),MATCH("ASK",PLabel,0)-1,1,1)</f>
        <v>101.05</v>
      </c>
      <c r="AC39" s="1594" cm="1">
        <f t="array" aca="1" ref="AC39" ca="1">OFFSET(POrigin,MATCH(Valori[[#This Row],[LUKB_id]],PID,0),MATCH("ASK:volume",PLabel,0)-1,1,1)</f>
        <v>10000</v>
      </c>
      <c r="AD39" s="1596" cm="1">
        <f t="array" aca="1" ref="AD39" ca="1">OFFSET(POrigin,MATCH(Valori[[#This Row],[LUKB_id]],PID,0),MATCH("BID-ASK Spread %",PLabel,0)-1,1,1)</f>
        <v>1.1228162874409807E-3</v>
      </c>
      <c r="AE39" s="1597" cm="1">
        <f t="array" aca="1" ref="AE39" ca="1">IF(OFFSET(POrigin,MATCH(Valori[[#This Row],[LUKB_id]],PID,0),MATCH("MATURITY",PLabel,0)-1,1,1)&gt;0,OFFSET(POrigin,MATCH(Valori[[#This Row],[LUKB_id]],PID,0),MATCH("MATURITY",PLabel,0)-1,1,1),"")</f>
        <v>46479</v>
      </c>
      <c r="AF39" s="1598" cm="1">
        <f t="array" aca="1" ref="AF39" ca="1">OFFSET(POrigin,MATCH(Valori[[#This Row],[LUKB_id]],PID,0),MATCH("ACCINT",PLabel,0)-1,1,1)</f>
        <v>1.1493055560000001</v>
      </c>
      <c r="AG39" s="1594" cm="1">
        <f t="array" aca="1" ref="AG39" ca="1">OFFSET(POrigin,MATCH(Valori[[#This Row],[LUKB_id]],PID,0),MATCH("DENOM",PLabel,0)-1,1,1)</f>
        <v>5000</v>
      </c>
      <c r="AH39" s="1599" cm="1">
        <f t="array" aca="1" ref="AH39" ca="1">(OFFSET(POrigin,MATCH(Valori[[#This Row],[LUKB_id]],PID,0),MATCH("YIELD",PLabel,0)-1,1,1)+OFFSET(POrigin,MATCH(Valori[[#This Row],[LUKB_id]],PID,0),MATCH("YLDEQ",PLabel,0)-1,1,1))/100</f>
        <v>3.9981506900000005E-3</v>
      </c>
      <c r="AI39" s="1600">
        <f ca="1">OFFSET(POrigin,MATCH(Valori[[#This Row],[LUKB_id]],PID,0),MATCH("DIVIDEND",PLabel,0)-1,1,1)</f>
        <v>0</v>
      </c>
      <c r="AJ39" s="1601">
        <f ca="1">OFFSET(POrigin,MATCH(Valori[[#This Row],[LUKB_id]],PID,0),MATCH("DIVIDEND:datetime",PLabel,0)-1,1,1)</f>
        <v>0</v>
      </c>
      <c r="AK39" s="1602">
        <f ca="1">OFFSET(POrigin,MATCH(Valori[[#This Row],[LUKB_id]],PID,0),MATCH("INTEREST",PLabel,0)-1,1,1)</f>
        <v>1.25</v>
      </c>
      <c r="AL39" s="1603">
        <f ca="1">OFFSET(POrigin,MATCH(Valori[[#This Row],[LUKB_id]],PID,0),MATCH("4W_PERF_PR",PLabel,0)-1,1,1)/100</f>
        <v>0</v>
      </c>
      <c r="AM39" s="1603">
        <f ca="1">OFFSET(POrigin,MATCH(Valori[[#This Row],[LUKB_id]],PID,0),MATCH("12W_PERF_PR",PLabel,0)-1,1,1)/100</f>
        <v>7.9270999999999996E-4</v>
      </c>
      <c r="AN39" s="1603">
        <f ca="1">OFFSET(POrigin,MATCH(Valori[[#This Row],[LUKB_id]],PID,0),MATCH("YTD_PERF_PR",PLabel,0)-1,1,1)/100</f>
        <v>1.883986117997E-3</v>
      </c>
      <c r="AO39" s="1591"/>
      <c r="AP39" s="1591"/>
      <c r="AQ39" s="1591"/>
      <c r="AR39" s="1591"/>
      <c r="AS39" s="1890"/>
      <c r="AT39" s="1890"/>
      <c r="AU39" s="610"/>
      <c r="AV39" s="1891"/>
      <c r="AW39" s="1604" t="str">
        <f ca="1">"https://boersenundmaerkte.lukb.ch/lukb/details/"&amp;Valori[[#This Row],[LUKB_id]]</f>
        <v>https://boersenundmaerkte.lukb.ch/lukb/details/41904099,4,1</v>
      </c>
      <c r="AX3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9" s="142"/>
      <c r="AZ39" s="142"/>
      <c r="BA39" s="142"/>
      <c r="BB39" s="142"/>
    </row>
    <row r="40" spans="1:54" ht="15" customHeight="1" x14ac:dyDescent="0.2">
      <c r="A40" s="142" t="s">
        <v>1006</v>
      </c>
      <c r="B40" s="142" t="str" cm="1">
        <f t="array" aca="1" ref="B40" ca="1">OFFSET(POrigin,MATCH(Valori[[#This Row],[smo_id]],Posizioni[smo_id],0),MATCH("LUKB_id",PIntestazioni,0)-1,1,1)</f>
        <v>117918442,4,1</v>
      </c>
      <c r="C40" s="1668" t="str">
        <f ca="1">HYPERLINK("https://boersenundmaerkte.lukb.ch/lukb/details/"&amp;Valori[[#This Row],[LUKB_id]],"è")</f>
        <v>è</v>
      </c>
      <c r="D40" s="142" t="str" cm="1">
        <f t="array" aca="1" ref="D40" ca="1">OFFSET(POrigin,MATCH(Valori[[#This Row],[LUKB_id]],PID,0),MATCH("SC_GROUPED",PIntestazioni,0)-1,1,1)</f>
        <v>BON</v>
      </c>
      <c r="E40" s="413" t="str" cm="1">
        <f t="array" aca="1" ref="E40" ca="1">OFFSET(POrigin,MATCH(Valori[[#This Row],[LUKB_id]],PID,0),MATCH("isin",PIntestazioni,0)-1,1,1)</f>
        <v>CH1179184424</v>
      </c>
      <c r="F40" s="34" t="str" cm="1">
        <f t="array" aca="1" ref="F40" ca="1">OFFSET(POrigin,MATCH(Valori[[#This Row],[LUKB_id]],PID,0),MATCH("NSIN_CH",PLabel,0)-1,1,1)</f>
        <v>117918442</v>
      </c>
      <c r="G40" s="95" t="str" cm="1">
        <f t="array" aca="1" ref="G40" ca="1">IF(OFFSET(POrigin,MATCH(Valori[[#This Row],[LUKB_id]],PID,0),MATCH("INSTRUNIT",PLabel,0)-1,1,1)="Nominal","Pct","Unit")</f>
        <v>Pct</v>
      </c>
      <c r="H40" s="612">
        <f ca="1">MAX(OFFSET(POrigin,MATCH(Valori[[#This Row],[LUKB_id]],PID,0),MATCH("PRICINGAMT",PLabel,0)-1,1,1),1)</f>
        <v>1</v>
      </c>
      <c r="I40" s="615" t="str" cm="1">
        <f t="array" aca="1" ref="I40" ca="1">OFFSET(POrigin,MATCH(Valori[[#This Row],[LUKB_id]],PID,0),MATCH("M_NAME",PLabel,0)-1,1,1)</f>
        <v>0.94 KDB 27 MTN</v>
      </c>
      <c r="J40" s="142" t="s">
        <v>446</v>
      </c>
      <c r="M40" s="142" t="str" cm="1">
        <f t="array" aca="1" ref="M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0.940% The Korea Development Bank 28.04.2027</v>
      </c>
      <c r="N40" s="1563">
        <f ca="1">COUNTIF('CHF M'!smo_id,Valori[[#This Row],[smo_id]])+COUNTIF('CHF MA'!smo_id,Valori[[#This Row],[smo_id]])+COUNTIF('EUR MB'!smo_id,Valori[[#This Row],[smo_id]])+COUNTIF('EUR M'!smo_id,Valori[[#This Row],[smo_id]])+COUNTIF(AGCO!smo_id,Valori[[#This Row],[smo_id]])</f>
        <v>2</v>
      </c>
      <c r="O40" s="1590" cm="1">
        <f t="array" aca="1" ref="O40" ca="1">SUM(IF('CHF M'!smo_id=Valori[[#This Row],[smo_id]],'CHF M'!Posizione))+SUM(IF('CHF MA'!smo_id=Valori[[#This Row],[smo_id]],'CHF MA'!Posizione))+SUM(IF('EUR MB'!smo_id=Valori[[#This Row],[smo_id]],'EUR MB'!Posizione))+SUM(IF('EUR M'!smo_id=Valori[[#This Row],[smo_id]],'EUR M'!Posizione))+SUM(IF(AGCO!smo_id=Valori[[#This Row],[smo_id]],AGCO!Posizione))</f>
        <v>155000</v>
      </c>
      <c r="P40" s="1661" t="str">
        <f ca="1">HYPERLINK(Valori[[#This Row],[P_Source]],"è")</f>
        <v>è</v>
      </c>
      <c r="Q40" s="1663" t="str">
        <f>HYPERLINK(Valori[[#This Row],[Info_W]],"i")</f>
        <v>i</v>
      </c>
      <c r="R40" s="1664" t="str">
        <f>HYPERLINK(Valori[[#This Row],[FN_W]],"")</f>
        <v></v>
      </c>
      <c r="S40" s="1665" t="str">
        <f>HYPERLINK(Valori[[#This Row],[MS_Link]],"")</f>
        <v></v>
      </c>
      <c r="T40" s="1665" t="str">
        <f>HYPERLINK(Valori[[#This Row],[C_source]],"")</f>
        <v></v>
      </c>
      <c r="U40" s="142" t="str" cm="1">
        <f t="array" aca="1" ref="U40" ca="1">OFFSET(POrigin,MATCH(Valori[[#This Row],[LUKB_id]],PID,0),MATCH("M_CUR",PLabel,0)-1,1,1)</f>
        <v>CHF</v>
      </c>
      <c r="V40" s="1562">
        <f ca="1">(Valori[[#This Row],[Last]]+Valori[[#This Row],[Acc. Int]])/Valori[[#This Row],[Pr.Amt]]/IF(Valori[[#This Row],[P_Type]]="Pct",100,1)</f>
        <v>1.01636388889</v>
      </c>
      <c r="W40" s="1591" cm="1">
        <f t="array" aca="1" ref="W40" ca="1">OFFSET(POrigin,MATCH(Valori[[#This Row],[LUKB_id]],PID,0),MATCH("NC2_PR",PLabel,0)-1,1,1)/100</f>
        <v>-8.9170712374919995E-4</v>
      </c>
      <c r="X40" s="1592" cm="1">
        <f t="array" aca="1" ref="X40" ca="1">OFFSET(POrigin,MATCH(Valori[[#This Row],[LUKB_id]],PID,0),MATCH("LVAL",PLabel,0)-1,1,1)</f>
        <v>100.84</v>
      </c>
      <c r="Y40" s="1593" cm="1">
        <f t="array" aca="1" ref="Y40" ca="1">OFFSET(POrigin,MATCH(Valori[[#This Row],[LUKB_id]],PID,0),MATCH("LVAL:datetime",PLabel,0)-1,1,1)</f>
        <v>46084.60460648148</v>
      </c>
      <c r="Z40" s="1594" cm="1">
        <f t="array" aca="1" ref="Z40" ca="1">OFFSET(POrigin,MATCH(Valori[[#This Row],[LUKB_id]],PID,0),MATCH("BID:volume",PLabel,0)-1,1,1)</f>
        <v>100000</v>
      </c>
      <c r="AA40" s="1595" cm="1">
        <f t="array" aca="1" ref="AA40" ca="1">OFFSET(POrigin,MATCH(Valori[[#This Row],[LUKB_id]],PID,0),MATCH("BID",PLabel,0)-1,1,1)</f>
        <v>100.86</v>
      </c>
      <c r="AB40" s="1595" cm="1">
        <f t="array" aca="1" ref="AB40" ca="1">OFFSET(POrigin,MATCH(Valori[[#This Row],[LUKB_id]],PID,0),MATCH("ASK",PLabel,0)-1,1,1)</f>
        <v>100.95</v>
      </c>
      <c r="AC40" s="1594" cm="1">
        <f t="array" aca="1" ref="AC40" ca="1">OFFSET(POrigin,MATCH(Valori[[#This Row],[LUKB_id]],PID,0),MATCH("ASK:volume",PLabel,0)-1,1,1)</f>
        <v>100000</v>
      </c>
      <c r="AD40" s="1596" cm="1">
        <f t="array" aca="1" ref="AD40" ca="1">OFFSET(POrigin,MATCH(Valori[[#This Row],[LUKB_id]],PID,0),MATCH("BID-ASK Spread %",PLabel,0)-1,1,1)</f>
        <v>5.9470710674994817E-4</v>
      </c>
      <c r="AE40" s="1597" cm="1">
        <f t="array" aca="1" ref="AE40" ca="1">IF(OFFSET(POrigin,MATCH(Valori[[#This Row],[LUKB_id]],PID,0),MATCH("MATURITY",PLabel,0)-1,1,1)&gt;0,OFFSET(POrigin,MATCH(Valori[[#This Row],[LUKB_id]],PID,0),MATCH("MATURITY",PLabel,0)-1,1,1),"")</f>
        <v>46505</v>
      </c>
      <c r="AF40" s="1598" cm="1">
        <f t="array" aca="1" ref="AF40" ca="1">OFFSET(POrigin,MATCH(Valori[[#This Row],[LUKB_id]],PID,0),MATCH("ACCINT",PLabel,0)-1,1,1)</f>
        <v>0.79638888900000004</v>
      </c>
      <c r="AG40" s="1594" cm="1">
        <f t="array" aca="1" ref="AG40" ca="1">OFFSET(POrigin,MATCH(Valori[[#This Row],[LUKB_id]],PID,0),MATCH("DENOM",PLabel,0)-1,1,1)</f>
        <v>5000</v>
      </c>
      <c r="AH40" s="1599" cm="1">
        <f t="array" aca="1" ref="AH40" ca="1">(OFFSET(POrigin,MATCH(Valori[[#This Row],[LUKB_id]],PID,0),MATCH("YIELD",PLabel,0)-1,1,1)+OFFSET(POrigin,MATCH(Valori[[#This Row],[LUKB_id]],PID,0),MATCH("YLDEQ",PLabel,0)-1,1,1))/100</f>
        <v>1.45465918E-3</v>
      </c>
      <c r="AI40" s="1600">
        <f ca="1">OFFSET(POrigin,MATCH(Valori[[#This Row],[LUKB_id]],PID,0),MATCH("DIVIDEND",PLabel,0)-1,1,1)</f>
        <v>0</v>
      </c>
      <c r="AJ40" s="1601">
        <f ca="1">OFFSET(POrigin,MATCH(Valori[[#This Row],[LUKB_id]],PID,0),MATCH("DIVIDEND:datetime",PLabel,0)-1,1,1)</f>
        <v>0</v>
      </c>
      <c r="AK40" s="1602">
        <f ca="1">OFFSET(POrigin,MATCH(Valori[[#This Row],[LUKB_id]],PID,0),MATCH("INTEREST",PLabel,0)-1,1,1)</f>
        <v>0.94</v>
      </c>
      <c r="AL40" s="1603">
        <f ca="1">OFFSET(POrigin,MATCH(Valori[[#This Row],[LUKB_id]],PID,0),MATCH("4W_PERF_PR",PLabel,0)-1,1,1)/100</f>
        <v>-1.9815713861099998E-4</v>
      </c>
      <c r="AM40" s="1603">
        <f ca="1">OFFSET(POrigin,MATCH(Valori[[#This Row],[LUKB_id]],PID,0),MATCH("12W_PERF_PR",PLabel,0)-1,1,1)/100</f>
        <v>8.9330000000000008E-4</v>
      </c>
      <c r="AN40" s="1603">
        <f ca="1">OFFSET(POrigin,MATCH(Valori[[#This Row],[LUKB_id]],PID,0),MATCH("YTD_PERF_PR",PLabel,0)-1,1,1)/100</f>
        <v>5.9482502230600004E-4</v>
      </c>
      <c r="AO40" s="1591"/>
      <c r="AP40" s="1591"/>
      <c r="AQ40" s="1591"/>
      <c r="AR40" s="1591"/>
      <c r="AS40" s="1890" t="s">
        <v>877</v>
      </c>
      <c r="AT40" s="1890"/>
      <c r="AU40" s="610"/>
      <c r="AV40" s="1891"/>
      <c r="AW40" s="1604" t="str">
        <f ca="1">"https://boersenundmaerkte.lukb.ch/lukb/details/"&amp;Valori[[#This Row],[LUKB_id]]</f>
        <v>https://boersenundmaerkte.lukb.ch/lukb/details/117918442,4,1</v>
      </c>
      <c r="AX40"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0" s="142"/>
      <c r="AZ40" s="142"/>
      <c r="BA40" s="142"/>
      <c r="BB40" s="142"/>
    </row>
    <row r="41" spans="1:54" ht="15" customHeight="1" x14ac:dyDescent="0.2">
      <c r="A41" s="142" t="s">
        <v>1007</v>
      </c>
      <c r="B41" s="142" t="str" cm="1">
        <f t="array" aca="1" ref="B41" ca="1">OFFSET(POrigin,MATCH(Valori[[#This Row],[smo_id]],Posizioni[smo_id],0),MATCH("LUKB_id",PIntestazioni,0)-1,1,1)</f>
        <v>41904128,4,1</v>
      </c>
      <c r="C41" s="1668" t="str">
        <f ca="1">HYPERLINK("https://boersenundmaerkte.lukb.ch/lukb/details/"&amp;Valori[[#This Row],[LUKB_id]],"è")</f>
        <v>è</v>
      </c>
      <c r="D41" s="142" t="str" cm="1">
        <f t="array" aca="1" ref="D41" ca="1">OFFSET(POrigin,MATCH(Valori[[#This Row],[LUKB_id]],PID,0),MATCH("SC_GROUPED",PIntestazioni,0)-1,1,1)</f>
        <v>BON</v>
      </c>
      <c r="E41" s="413" t="str" cm="1">
        <f t="array" aca="1" ref="E41" ca="1">OFFSET(POrigin,MATCH(Valori[[#This Row],[LUKB_id]],PID,0),MATCH("isin",PIntestazioni,0)-1,1,1)</f>
        <v>CH0419041287</v>
      </c>
      <c r="F41" s="34" t="str" cm="1">
        <f t="array" aca="1" ref="F41" ca="1">OFFSET(POrigin,MATCH(Valori[[#This Row],[LUKB_id]],PID,0),MATCH("NSIN_CH",PLabel,0)-1,1,1)</f>
        <v>41904128</v>
      </c>
      <c r="G41" s="95" t="str" cm="1">
        <f t="array" aca="1" ref="G41" ca="1">IF(OFFSET(POrigin,MATCH(Valori[[#This Row],[LUKB_id]],PID,0),MATCH("INSTRUNIT",PLabel,0)-1,1,1)="Nominal","Pct","Unit")</f>
        <v>Pct</v>
      </c>
      <c r="H41" s="612">
        <f ca="1">MAX(OFFSET(POrigin,MATCH(Valori[[#This Row],[LUKB_id]],PID,0),MATCH("PRICINGAMT",PLabel,0)-1,1,1),1)</f>
        <v>1</v>
      </c>
      <c r="I41" s="615" t="str" cm="1">
        <f t="array" aca="1" ref="I41" ca="1">OFFSET(POrigin,MATCH(Valori[[#This Row],[LUKB_id]],PID,0),MATCH("M_NAME",PLabel,0)-1,1,1)</f>
        <v>0.4 PartGrH 27 -S</v>
      </c>
      <c r="M41" s="142" t="str" cm="1">
        <f t="array" aca="1" ref="M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0.400 % Partners Group Holding AG 21.06.27</v>
      </c>
      <c r="N41" s="1563">
        <f ca="1">COUNTIF('CHF M'!smo_id,Valori[[#This Row],[smo_id]])+COUNTIF('CHF MA'!smo_id,Valori[[#This Row],[smo_id]])+COUNTIF('EUR MB'!smo_id,Valori[[#This Row],[smo_id]])+COUNTIF('EUR M'!smo_id,Valori[[#This Row],[smo_id]])+COUNTIF(AGCO!smo_id,Valori[[#This Row],[smo_id]])</f>
        <v>1</v>
      </c>
      <c r="O41" s="1590" cm="1">
        <f t="array" aca="1" ref="O41" ca="1">SUM(IF('CHF M'!smo_id=Valori[[#This Row],[smo_id]],'CHF M'!Posizione))+SUM(IF('CHF MA'!smo_id=Valori[[#This Row],[smo_id]],'CHF MA'!Posizione))+SUM(IF('EUR MB'!smo_id=Valori[[#This Row],[smo_id]],'EUR MB'!Posizione))+SUM(IF('EUR M'!smo_id=Valori[[#This Row],[smo_id]],'EUR M'!Posizione))+SUM(IF(AGCO!smo_id=Valori[[#This Row],[smo_id]],AGCO!Posizione))</f>
        <v>100000</v>
      </c>
      <c r="P41" s="1661" t="str">
        <f ca="1">HYPERLINK(Valori[[#This Row],[P_Source]],"è")</f>
        <v>è</v>
      </c>
      <c r="Q41" s="1663" t="str">
        <f>HYPERLINK(Valori[[#This Row],[Info_W]],"i")</f>
        <v>i</v>
      </c>
      <c r="R41" s="1664" t="str">
        <f>HYPERLINK(Valori[[#This Row],[FN_W]],"")</f>
        <v></v>
      </c>
      <c r="S41" s="1665" t="str">
        <f>HYPERLINK(Valori[[#This Row],[MS_Link]],"")</f>
        <v></v>
      </c>
      <c r="T41" s="1665" t="str">
        <f>HYPERLINK(Valori[[#This Row],[C_source]],"")</f>
        <v></v>
      </c>
      <c r="U41" s="142" t="str" cm="1">
        <f t="array" aca="1" ref="U41" ca="1">OFFSET(POrigin,MATCH(Valori[[#This Row],[LUKB_id]],PID,0),MATCH("M_CUR",PLabel,0)-1,1,1)</f>
        <v>CHF</v>
      </c>
      <c r="V41" s="1562">
        <f ca="1">(Valori[[#This Row],[Last]]+Valori[[#This Row],[Acc. Int]])/Valori[[#This Row],[Pr.Amt]]/IF(Valori[[#This Row],[P_Type]]="Pct",100,1)</f>
        <v>1.0004</v>
      </c>
      <c r="W41" s="1591" cm="1">
        <f t="array" aca="1" ref="W41" ca="1">OFFSET(POrigin,MATCH(Valori[[#This Row],[LUKB_id]],PID,0),MATCH("NC2_PR",PLabel,0)-1,1,1)/100</f>
        <v>-2.4997500249975E-3</v>
      </c>
      <c r="X41" s="1592" cm="1">
        <f t="array" aca="1" ref="X41" ca="1">OFFSET(POrigin,MATCH(Valori[[#This Row],[LUKB_id]],PID,0),MATCH("LVAL",PLabel,0)-1,1,1)</f>
        <v>99.76</v>
      </c>
      <c r="Y41" s="1593" cm="1">
        <f t="array" aca="1" ref="Y41" ca="1">OFFSET(POrigin,MATCH(Valori[[#This Row],[LUKB_id]],PID,0),MATCH("LVAL:datetime",PLabel,0)-1,1,1)</f>
        <v>46084.642997685187</v>
      </c>
      <c r="Z41" s="1594" cm="1">
        <f t="array" aca="1" ref="Z41" ca="1">OFFSET(POrigin,MATCH(Valori[[#This Row],[LUKB_id]],PID,0),MATCH("BID:volume",PLabel,0)-1,1,1)</f>
        <v>50000</v>
      </c>
      <c r="AA41" s="1595" cm="1">
        <f t="array" aca="1" ref="AA41" ca="1">OFFSET(POrigin,MATCH(Valori[[#This Row],[LUKB_id]],PID,0),MATCH("BID",PLabel,0)-1,1,1)</f>
        <v>99.850000000000009</v>
      </c>
      <c r="AB41" s="1595" cm="1">
        <f t="array" aca="1" ref="AB41" ca="1">OFFSET(POrigin,MATCH(Valori[[#This Row],[LUKB_id]],PID,0),MATCH("ASK",PLabel,0)-1,1,1)</f>
        <v>99.960000000000008</v>
      </c>
      <c r="AC41" s="1594" cm="1">
        <f t="array" aca="1" ref="AC41" ca="1">OFFSET(POrigin,MATCH(Valori[[#This Row],[LUKB_id]],PID,0),MATCH("ASK:volume",PLabel,0)-1,1,1)</f>
        <v>250000</v>
      </c>
      <c r="AD41" s="1596" cm="1">
        <f t="array" aca="1" ref="AD41" ca="1">OFFSET(POrigin,MATCH(Valori[[#This Row],[LUKB_id]],PID,0),MATCH("BID-ASK Spread %",PLabel,0)-1,1,1)</f>
        <v>7.3416538743909378E-4</v>
      </c>
      <c r="AE41" s="1597" cm="1">
        <f t="array" aca="1" ref="AE41" ca="1">IF(OFFSET(POrigin,MATCH(Valori[[#This Row],[LUKB_id]],PID,0),MATCH("MATURITY",PLabel,0)-1,1,1)&gt;0,OFFSET(POrigin,MATCH(Valori[[#This Row],[LUKB_id]],PID,0),MATCH("MATURITY",PLabel,0)-1,1,1),"")</f>
        <v>46559</v>
      </c>
      <c r="AF41" s="1598" cm="1">
        <f t="array" aca="1" ref="AF41" ca="1">OFFSET(POrigin,MATCH(Valori[[#This Row],[LUKB_id]],PID,0),MATCH("ACCINT",PLabel,0)-1,1,1)</f>
        <v>0.28000000000000003</v>
      </c>
      <c r="AG41" s="1594" cm="1">
        <f t="array" aca="1" ref="AG41" ca="1">OFFSET(POrigin,MATCH(Valori[[#This Row],[LUKB_id]],PID,0),MATCH("DENOM",PLabel,0)-1,1,1)</f>
        <v>5000</v>
      </c>
      <c r="AH41" s="1599" cm="1">
        <f t="array" aca="1" ref="AH41" ca="1">(OFFSET(POrigin,MATCH(Valori[[#This Row],[LUKB_id]],PID,0),MATCH("YIELD",PLabel,0)-1,1,1)+OFFSET(POrigin,MATCH(Valori[[#This Row],[LUKB_id]],PID,0),MATCH("YLDEQ",PLabel,0)-1,1,1))/100</f>
        <v>3.9211367000000002E-3</v>
      </c>
      <c r="AI41" s="1600">
        <f ca="1">OFFSET(POrigin,MATCH(Valori[[#This Row],[LUKB_id]],PID,0),MATCH("DIVIDEND",PLabel,0)-1,1,1)</f>
        <v>0</v>
      </c>
      <c r="AJ41" s="1601">
        <f ca="1">OFFSET(POrigin,MATCH(Valori[[#This Row],[LUKB_id]],PID,0),MATCH("DIVIDEND:datetime",PLabel,0)-1,1,1)</f>
        <v>0</v>
      </c>
      <c r="AK41" s="1602">
        <f ca="1">OFFSET(POrigin,MATCH(Valori[[#This Row],[LUKB_id]],PID,0),MATCH("INTEREST",PLabel,0)-1,1,1)</f>
        <v>0.4</v>
      </c>
      <c r="AL41" s="1603">
        <f ca="1">OFFSET(POrigin,MATCH(Valori[[#This Row],[LUKB_id]],PID,0),MATCH("4W_PERF_PR",PLabel,0)-1,1,1)/100</f>
        <v>-6.0107999999999993E-4</v>
      </c>
      <c r="AM41" s="1603">
        <f ca="1">OFFSET(POrigin,MATCH(Valori[[#This Row],[LUKB_id]],PID,0),MATCH("12W_PERF_PR",PLabel,0)-1,1,1)/100</f>
        <v>1.1038599999999999E-3</v>
      </c>
      <c r="AN41" s="1603">
        <f ca="1">OFFSET(POrigin,MATCH(Valori[[#This Row],[LUKB_id]],PID,0),MATCH("YTD_PERF_PR",PLabel,0)-1,1,1)/100</f>
        <v>4.21729089266E-3</v>
      </c>
      <c r="AO41" s="1591"/>
      <c r="AP41" s="1591"/>
      <c r="AQ41" s="1591"/>
      <c r="AR41" s="1591"/>
      <c r="AS41" s="1890"/>
      <c r="AT41" s="1890"/>
      <c r="AU41" s="610"/>
      <c r="AV41" s="1891"/>
      <c r="AW41" s="1604" t="str">
        <f ca="1">"https://boersenundmaerkte.lukb.ch/lukb/details/"&amp;Valori[[#This Row],[LUKB_id]]</f>
        <v>https://boersenundmaerkte.lukb.ch/lukb/details/41904128,4,1</v>
      </c>
      <c r="AX4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1" s="142"/>
      <c r="AZ41" s="142"/>
      <c r="BA41" s="142"/>
      <c r="BB41" s="142"/>
    </row>
    <row r="42" spans="1:54" ht="15" customHeight="1" x14ac:dyDescent="0.2">
      <c r="A42" s="142" t="s">
        <v>1008</v>
      </c>
      <c r="B42" s="142" t="str" cm="1">
        <f t="array" aca="1" ref="B42" ca="1">OFFSET(POrigin,MATCH(Valori[[#This Row],[smo_id]],Posizioni[smo_id],0),MATCH("LUKB_id",PIntestazioni,0)-1,1,1)</f>
        <v>112726397,4,1</v>
      </c>
      <c r="C42" s="1668" t="str">
        <f ca="1">HYPERLINK("https://boersenundmaerkte.lukb.ch/lukb/details/"&amp;Valori[[#This Row],[LUKB_id]],"è")</f>
        <v>è</v>
      </c>
      <c r="D42" s="142" t="str" cm="1">
        <f t="array" aca="1" ref="D42" ca="1">OFFSET(POrigin,MATCH(Valori[[#This Row],[LUKB_id]],PID,0),MATCH("SC_GROUPED",PIntestazioni,0)-1,1,1)</f>
        <v>BON</v>
      </c>
      <c r="E42" s="413" t="str" cm="1">
        <f t="array" aca="1" ref="E42" ca="1">OFFSET(POrigin,MATCH(Valori[[#This Row],[LUKB_id]],PID,0),MATCH("isin",PIntestazioni,0)-1,1,1)</f>
        <v>CH1127263973</v>
      </c>
      <c r="F42" s="34" t="str" cm="1">
        <f t="array" aca="1" ref="F42" ca="1">OFFSET(POrigin,MATCH(Valori[[#This Row],[LUKB_id]],PID,0),MATCH("NSIN_CH",PLabel,0)-1,1,1)</f>
        <v>112726397</v>
      </c>
      <c r="G42" s="95" t="str" cm="1">
        <f t="array" aca="1" ref="G42" ca="1">IF(OFFSET(POrigin,MATCH(Valori[[#This Row],[LUKB_id]],PID,0),MATCH("INSTRUNIT",PLabel,0)-1,1,1)="Nominal","Pct","Unit")</f>
        <v>Pct</v>
      </c>
      <c r="H42" s="612">
        <f ca="1">MAX(OFFSET(POrigin,MATCH(Valori[[#This Row],[LUKB_id]],PID,0),MATCH("PRICINGAMT",PLabel,0)-1,1,1),1)</f>
        <v>1</v>
      </c>
      <c r="I42" s="615" t="str" cm="1">
        <f t="array" aca="1" ref="I42" ca="1">OFFSET(POrigin,MATCH(Valori[[#This Row],[LUKB_id]],PID,0),MATCH("M_NAME",PLabel,0)-1,1,1)</f>
        <v>0.125 HolHlv 27EMTN</v>
      </c>
      <c r="M42" s="142" t="str" cm="1">
        <f t="array" aca="1" ref="M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Holcim Helvetia Finance AG 26.08.27</v>
      </c>
      <c r="N42" s="1563">
        <f ca="1">COUNTIF('CHF M'!smo_id,Valori[[#This Row],[smo_id]])+COUNTIF('CHF MA'!smo_id,Valori[[#This Row],[smo_id]])+COUNTIF('EUR MB'!smo_id,Valori[[#This Row],[smo_id]])+COUNTIF('EUR M'!smo_id,Valori[[#This Row],[smo_id]])+COUNTIF(AGCO!smo_id,Valori[[#This Row],[smo_id]])</f>
        <v>2</v>
      </c>
      <c r="O42" s="1590" cm="1">
        <f t="array" aca="1" ref="O42" ca="1">SUM(IF('CHF M'!smo_id=Valori[[#This Row],[smo_id]],'CHF M'!Posizione))+SUM(IF('CHF MA'!smo_id=Valori[[#This Row],[smo_id]],'CHF MA'!Posizione))+SUM(IF('EUR MB'!smo_id=Valori[[#This Row],[smo_id]],'EUR MB'!Posizione))+SUM(IF('EUR M'!smo_id=Valori[[#This Row],[smo_id]],'EUR M'!Posizione))+SUM(IF(AGCO!smo_id=Valori[[#This Row],[smo_id]],AGCO!Posizione))</f>
        <v>155000</v>
      </c>
      <c r="P42" s="1661" t="str">
        <f ca="1">HYPERLINK(Valori[[#This Row],[P_Source]],"è")</f>
        <v>è</v>
      </c>
      <c r="Q42" s="1663" t="str">
        <f>HYPERLINK(Valori[[#This Row],[Info_W]],"i")</f>
        <v>i</v>
      </c>
      <c r="R42" s="1664" t="str">
        <f>HYPERLINK(Valori[[#This Row],[FN_W]],"")</f>
        <v></v>
      </c>
      <c r="S42" s="1665" t="str">
        <f>HYPERLINK(Valori[[#This Row],[MS_Link]],"")</f>
        <v></v>
      </c>
      <c r="T42" s="1665" t="str">
        <f>HYPERLINK(Valori[[#This Row],[C_source]],"")</f>
        <v></v>
      </c>
      <c r="U42" s="142" t="str" cm="1">
        <f t="array" aca="1" ref="U42" ca="1">OFFSET(POrigin,MATCH(Valori[[#This Row],[LUKB_id]],PID,0),MATCH("M_CUR",PLabel,0)-1,1,1)</f>
        <v>CHF</v>
      </c>
      <c r="V42" s="1562">
        <f ca="1">(Valori[[#This Row],[Last]]+Valori[[#This Row],[Acc. Int]])/Valori[[#This Row],[Pr.Amt]]/IF(Valori[[#This Row],[P_Type]]="Pct",100,1)</f>
        <v>0.9953493055599999</v>
      </c>
      <c r="W42" s="1591" cm="1">
        <f t="array" aca="1" ref="W42" ca="1">OFFSET(POrigin,MATCH(Valori[[#This Row],[LUKB_id]],PID,0),MATCH("NC2_PR",PLabel,0)-1,1,1)/100</f>
        <v>-8.0361627322960002E-4</v>
      </c>
      <c r="X42" s="1592" cm="1">
        <f t="array" aca="1" ref="X42" ca="1">OFFSET(POrigin,MATCH(Valori[[#This Row],[LUKB_id]],PID,0),MATCH("LVAL",PLabel,0)-1,1,1)</f>
        <v>99.47</v>
      </c>
      <c r="Y42" s="1593" cm="1">
        <f t="array" aca="1" ref="Y42" ca="1">OFFSET(POrigin,MATCH(Valori[[#This Row],[LUKB_id]],PID,0),MATCH("LVAL:datetime",PLabel,0)-1,1,1)</f>
        <v>46084.563206018516</v>
      </c>
      <c r="Z42" s="1594" cm="1">
        <f t="array" aca="1" ref="Z42" ca="1">OFFSET(POrigin,MATCH(Valori[[#This Row],[LUKB_id]],PID,0),MATCH("BID:volume",PLabel,0)-1,1,1)</f>
        <v>100000</v>
      </c>
      <c r="AA42" s="1595" cm="1">
        <f t="array" aca="1" ref="AA42" ca="1">OFFSET(POrigin,MATCH(Valori[[#This Row],[LUKB_id]],PID,0),MATCH("BID",PLabel,0)-1,1,1)</f>
        <v>99.320000000000007</v>
      </c>
      <c r="AB42" s="1595" cm="1">
        <f t="array" aca="1" ref="AB42" ca="1">OFFSET(POrigin,MATCH(Valori[[#This Row],[LUKB_id]],PID,0),MATCH("ASK",PLabel,0)-1,1,1)</f>
        <v>99.570000000000007</v>
      </c>
      <c r="AC42" s="1594" cm="1">
        <f t="array" aca="1" ref="AC42" ca="1">OFFSET(POrigin,MATCH(Valori[[#This Row],[LUKB_id]],PID,0),MATCH("ASK:volume",PLabel,0)-1,1,1)</f>
        <v>60000</v>
      </c>
      <c r="AD42" s="1596" cm="1">
        <f t="array" aca="1" ref="AD42" ca="1">OFFSET(POrigin,MATCH(Valori[[#This Row],[LUKB_id]],PID,0),MATCH("BID-ASK Spread %",PLabel,0)-1,1,1)</f>
        <v>1.6766708024546458E-3</v>
      </c>
      <c r="AE42" s="1597" cm="1">
        <f t="array" aca="1" ref="AE42" ca="1">IF(OFFSET(POrigin,MATCH(Valori[[#This Row],[LUKB_id]],PID,0),MATCH("MATURITY",PLabel,0)-1,1,1)&gt;0,OFFSET(POrigin,MATCH(Valori[[#This Row],[LUKB_id]],PID,0),MATCH("MATURITY",PLabel,0)-1,1,1),"")</f>
        <v>46625</v>
      </c>
      <c r="AF42" s="1598" cm="1">
        <f t="array" aca="1" ref="AF42" ca="1">OFFSET(POrigin,MATCH(Valori[[#This Row],[LUKB_id]],PID,0),MATCH("ACCINT",PLabel,0)-1,1,1)</f>
        <v>6.4930556E-2</v>
      </c>
      <c r="AG42" s="1594" cm="1">
        <f t="array" aca="1" ref="AG42" ca="1">OFFSET(POrigin,MATCH(Valori[[#This Row],[LUKB_id]],PID,0),MATCH("DENOM",PLabel,0)-1,1,1)</f>
        <v>5000</v>
      </c>
      <c r="AH42" s="1599" cm="1">
        <f t="array" aca="1" ref="AH42" ca="1">(OFFSET(POrigin,MATCH(Valori[[#This Row],[LUKB_id]],PID,0),MATCH("YIELD",PLabel,0)-1,1,1)+OFFSET(POrigin,MATCH(Valori[[#This Row],[LUKB_id]],PID,0),MATCH("YLDEQ",PLabel,0)-1,1,1))/100</f>
        <v>4.24828784E-3</v>
      </c>
      <c r="AI42" s="1600">
        <f ca="1">OFFSET(POrigin,MATCH(Valori[[#This Row],[LUKB_id]],PID,0),MATCH("DIVIDEND",PLabel,0)-1,1,1)</f>
        <v>0</v>
      </c>
      <c r="AJ42" s="1601">
        <f ca="1">OFFSET(POrigin,MATCH(Valori[[#This Row],[LUKB_id]],PID,0),MATCH("DIVIDEND:datetime",PLabel,0)-1,1,1)</f>
        <v>0</v>
      </c>
      <c r="AK42" s="1602">
        <f ca="1">OFFSET(POrigin,MATCH(Valori[[#This Row],[LUKB_id]],PID,0),MATCH("INTEREST",PLabel,0)-1,1,1)</f>
        <v>0.125</v>
      </c>
      <c r="AL42" s="1603">
        <f ca="1">OFFSET(POrigin,MATCH(Valori[[#This Row],[LUKB_id]],PID,0),MATCH("4W_PERF_PR",PLabel,0)-1,1,1)/100</f>
        <v>6.0301507537700004E-4</v>
      </c>
      <c r="AM42" s="1603">
        <f ca="1">OFFSET(POrigin,MATCH(Valori[[#This Row],[LUKB_id]],PID,0),MATCH("12W_PERF_PR",PLabel,0)-1,1,1)/100</f>
        <v>1.2078499999999999E-3</v>
      </c>
      <c r="AN42" s="1603">
        <f ca="1">OFFSET(POrigin,MATCH(Valori[[#This Row],[LUKB_id]],PID,0),MATCH("YTD_PERF_PR",PLabel,0)-1,1,1)/100</f>
        <v>2.5176233635446996E-3</v>
      </c>
      <c r="AO42" s="1591"/>
      <c r="AP42" s="1591"/>
      <c r="AQ42" s="1591"/>
      <c r="AR42" s="1591"/>
      <c r="AS42" s="1890"/>
      <c r="AT42" s="1890"/>
      <c r="AU42" s="610"/>
      <c r="AV42" s="1891"/>
      <c r="AW42" s="1604" t="str">
        <f ca="1">"https://boersenundmaerkte.lukb.ch/lukb/details/"&amp;Valori[[#This Row],[LUKB_id]]</f>
        <v>https://boersenundmaerkte.lukb.ch/lukb/details/112726397,4,1</v>
      </c>
      <c r="AX4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2" s="142"/>
      <c r="AZ42" s="142"/>
      <c r="BA42" s="142"/>
      <c r="BB42" s="142"/>
    </row>
    <row r="43" spans="1:54" ht="15" customHeight="1" x14ac:dyDescent="0.2">
      <c r="A43" s="142" t="s">
        <v>1009</v>
      </c>
      <c r="B43" s="142" t="str" cm="1">
        <f t="array" aca="1" ref="B43" ca="1">OFFSET(POrigin,MATCH(Valori[[#This Row],[smo_id]],Posizioni[smo_id],0),MATCH("LUKB_id",PIntestazioni,0)-1,1,1)</f>
        <v>37347612,4,1</v>
      </c>
      <c r="C43" s="1668" t="str">
        <f ca="1">HYPERLINK("https://boersenundmaerkte.lukb.ch/lukb/details/"&amp;Valori[[#This Row],[LUKB_id]],"è")</f>
        <v>è</v>
      </c>
      <c r="D43" s="142" t="str" cm="1">
        <f t="array" aca="1" ref="D43" ca="1">OFFSET(POrigin,MATCH(Valori[[#This Row],[LUKB_id]],PID,0),MATCH("SC_GROUPED",PIntestazioni,0)-1,1,1)</f>
        <v>BON</v>
      </c>
      <c r="E43" s="413" t="str" cm="1">
        <f t="array" aca="1" ref="E43" ca="1">OFFSET(POrigin,MATCH(Valori[[#This Row],[LUKB_id]],PID,0),MATCH("isin",PIntestazioni,0)-1,1,1)</f>
        <v>CH0373476123</v>
      </c>
      <c r="F43" s="34" t="str" cm="1">
        <f t="array" aca="1" ref="F43" ca="1">OFFSET(POrigin,MATCH(Valori[[#This Row],[LUKB_id]],PID,0),MATCH("NSIN_CH",PLabel,0)-1,1,1)</f>
        <v>37347612</v>
      </c>
      <c r="G43" s="95" t="str" cm="1">
        <f t="array" aca="1" ref="G43" ca="1">IF(OFFSET(POrigin,MATCH(Valori[[#This Row],[LUKB_id]],PID,0),MATCH("INSTRUNIT",PLabel,0)-1,1,1)="Nominal","Pct","Unit")</f>
        <v>Pct</v>
      </c>
      <c r="H43" s="612">
        <f ca="1">MAX(OFFSET(POrigin,MATCH(Valori[[#This Row],[LUKB_id]],PID,0),MATCH("PRICINGAMT",PLabel,0)-1,1,1),1)</f>
        <v>1</v>
      </c>
      <c r="I43" s="615" t="str" cm="1">
        <f t="array" aca="1" ref="I43" ca="1">OFFSET(POrigin,MATCH(Valori[[#This Row],[LUKB_id]],PID,0),MATCH("M_NAME",PLabel,0)-1,1,1)</f>
        <v>1 SGKB 27-S</v>
      </c>
      <c r="M43" s="142" t="str" cm="1">
        <f t="array" aca="1" ref="M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St.Galler Kantonalbank AG 30.11.27</v>
      </c>
      <c r="N43" s="1563">
        <f ca="1">COUNTIF('CHF M'!smo_id,Valori[[#This Row],[smo_id]])+COUNTIF('CHF MA'!smo_id,Valori[[#This Row],[smo_id]])+COUNTIF('EUR MB'!smo_id,Valori[[#This Row],[smo_id]])+COUNTIF('EUR M'!smo_id,Valori[[#This Row],[smo_id]])+COUNTIF(AGCO!smo_id,Valori[[#This Row],[smo_id]])</f>
        <v>2</v>
      </c>
      <c r="O43" s="1590" cm="1">
        <f t="array" aca="1" ref="O43" ca="1">SUM(IF('CHF M'!smo_id=Valori[[#This Row],[smo_id]],'CHF M'!Posizione))+SUM(IF('CHF MA'!smo_id=Valori[[#This Row],[smo_id]],'CHF MA'!Posizione))+SUM(IF('EUR MB'!smo_id=Valori[[#This Row],[smo_id]],'EUR MB'!Posizione))+SUM(IF('EUR M'!smo_id=Valori[[#This Row],[smo_id]],'EUR M'!Posizione))+SUM(IF(AGCO!smo_id=Valori[[#This Row],[smo_id]],AGCO!Posizione))</f>
        <v>120000</v>
      </c>
      <c r="P43" s="1661" t="str">
        <f ca="1">HYPERLINK(Valori[[#This Row],[P_Source]],"è")</f>
        <v>è</v>
      </c>
      <c r="Q43" s="1663" t="str">
        <f>HYPERLINK(Valori[[#This Row],[Info_W]],"i")</f>
        <v>i</v>
      </c>
      <c r="R43" s="1664" t="str">
        <f>HYPERLINK(Valori[[#This Row],[FN_W]],"")</f>
        <v></v>
      </c>
      <c r="S43" s="1665" t="str">
        <f>HYPERLINK(Valori[[#This Row],[MS_Link]],"")</f>
        <v></v>
      </c>
      <c r="T43" s="1665" t="str">
        <f>HYPERLINK(Valori[[#This Row],[C_source]],"")</f>
        <v></v>
      </c>
      <c r="U43" s="142" t="str" cm="1">
        <f t="array" aca="1" ref="U43" ca="1">OFFSET(POrigin,MATCH(Valori[[#This Row],[LUKB_id]],PID,0),MATCH("M_CUR",PLabel,0)-1,1,1)</f>
        <v>CHF</v>
      </c>
      <c r="V43" s="1562">
        <f ca="1">(Valori[[#This Row],[Last]]+Valori[[#This Row],[Acc. Int]])/Valori[[#This Row],[Pr.Amt]]/IF(Valori[[#This Row],[P_Type]]="Pct",100,1)</f>
        <v>1.00708333333</v>
      </c>
      <c r="W43" s="1591" cm="1">
        <f t="array" aca="1" ref="W43" ca="1">OFFSET(POrigin,MATCH(Valori[[#This Row],[LUKB_id]],PID,0),MATCH("NC2_PR",PLabel,0)-1,1,1)/100</f>
        <v>-9.9453008453500007E-4</v>
      </c>
      <c r="X43" s="1592" cm="1">
        <f t="array" aca="1" ref="X43" ca="1">OFFSET(POrigin,MATCH(Valori[[#This Row],[LUKB_id]],PID,0),MATCH("LVAL",PLabel,0)-1,1,1)</f>
        <v>100.45</v>
      </c>
      <c r="Y43" s="1593" cm="1">
        <f t="array" aca="1" ref="Y43" ca="1">OFFSET(POrigin,MATCH(Valori[[#This Row],[LUKB_id]],PID,0),MATCH("LVAL:datetime",PLabel,0)-1,1,1)</f>
        <v>46084.708333333336</v>
      </c>
      <c r="Z43" s="1594" cm="1">
        <f t="array" aca="1" ref="Z43" ca="1">OFFSET(POrigin,MATCH(Valori[[#This Row],[LUKB_id]],PID,0),MATCH("BID:volume",PLabel,0)-1,1,1)</f>
        <v>125000</v>
      </c>
      <c r="AA43" s="1595" cm="1">
        <f t="array" aca="1" ref="AA43" ca="1">OFFSET(POrigin,MATCH(Valori[[#This Row],[LUKB_id]],PID,0),MATCH("BID",PLabel,0)-1,1,1)</f>
        <v>100.30000000000001</v>
      </c>
      <c r="AB43" s="1595" cm="1">
        <f t="array" aca="1" ref="AB43" ca="1">OFFSET(POrigin,MATCH(Valori[[#This Row],[LUKB_id]],PID,0),MATCH("ASK",PLabel,0)-1,1,1)</f>
        <v>100.9</v>
      </c>
      <c r="AC43" s="1594" cm="1">
        <f t="array" aca="1" ref="AC43" ca="1">OFFSET(POrigin,MATCH(Valori[[#This Row],[LUKB_id]],PID,0),MATCH("ASK:volume",PLabel,0)-1,1,1)</f>
        <v>125000</v>
      </c>
      <c r="AD43" s="1596" cm="1">
        <f t="array" aca="1" ref="AD43" ca="1">OFFSET(POrigin,MATCH(Valori[[#This Row],[LUKB_id]],PID,0),MATCH("BID-ASK Spread %",PLabel,0)-1,1,1)</f>
        <v>3.9800995024875246E-3</v>
      </c>
      <c r="AE43" s="1597" cm="1">
        <f t="array" aca="1" ref="AE43" ca="1">IF(OFFSET(POrigin,MATCH(Valori[[#This Row],[LUKB_id]],PID,0),MATCH("MATURITY",PLabel,0)-1,1,1)&gt;0,OFFSET(POrigin,MATCH(Valori[[#This Row],[LUKB_id]],PID,0),MATCH("MATURITY",PLabel,0)-1,1,1),"")</f>
        <v>46721</v>
      </c>
      <c r="AF43" s="1598" cm="1">
        <f t="array" aca="1" ref="AF43" ca="1">OFFSET(POrigin,MATCH(Valori[[#This Row],[LUKB_id]],PID,0),MATCH("ACCINT",PLabel,0)-1,1,1)</f>
        <v>0.258333333</v>
      </c>
      <c r="AG43" s="1594" cm="1">
        <f t="array" aca="1" ref="AG43" ca="1">OFFSET(POrigin,MATCH(Valori[[#This Row],[LUKB_id]],PID,0),MATCH("DENOM",PLabel,0)-1,1,1)</f>
        <v>5000</v>
      </c>
      <c r="AH43" s="1599" cm="1">
        <f t="array" aca="1" ref="AH43" ca="1">(OFFSET(POrigin,MATCH(Valori[[#This Row],[LUKB_id]],PID,0),MATCH("YIELD",PLabel,0)-1,1,1)+OFFSET(POrigin,MATCH(Valori[[#This Row],[LUKB_id]],PID,0),MATCH("YLDEQ",PLabel,0)-1,1,1))/100</f>
        <v>6.7986861400000011E-3</v>
      </c>
      <c r="AI43" s="1600">
        <f ca="1">OFFSET(POrigin,MATCH(Valori[[#This Row],[LUKB_id]],PID,0),MATCH("DIVIDEND",PLabel,0)-1,1,1)</f>
        <v>0</v>
      </c>
      <c r="AJ43" s="1601">
        <f ca="1">OFFSET(POrigin,MATCH(Valori[[#This Row],[LUKB_id]],PID,0),MATCH("DIVIDEND:datetime",PLabel,0)-1,1,1)</f>
        <v>0</v>
      </c>
      <c r="AK43" s="1602">
        <f ca="1">OFFSET(POrigin,MATCH(Valori[[#This Row],[LUKB_id]],PID,0),MATCH("INTEREST",PLabel,0)-1,1,1)</f>
        <v>1</v>
      </c>
      <c r="AL43" s="1603">
        <f ca="1">OFFSET(POrigin,MATCH(Valori[[#This Row],[LUKB_id]],PID,0),MATCH("4W_PERF_PR",PLabel,0)-1,1,1)/100</f>
        <v>0</v>
      </c>
      <c r="AM43" s="1603">
        <f ca="1">OFFSET(POrigin,MATCH(Valori[[#This Row],[LUKB_id]],PID,0),MATCH("12W_PERF_PR",PLabel,0)-1,1,1)/100</f>
        <v>-9.9354197714869997E-4</v>
      </c>
      <c r="AN43" s="1603">
        <f ca="1">OFFSET(POrigin,MATCH(Valori[[#This Row],[LUKB_id]],PID,0),MATCH("YTD_PERF_PR",PLabel,0)-1,1,1)/100</f>
        <v>1.4940239043824001E-3</v>
      </c>
      <c r="AO43" s="1591"/>
      <c r="AP43" s="1591"/>
      <c r="AQ43" s="1591"/>
      <c r="AR43" s="1591"/>
      <c r="AS43" s="1890"/>
      <c r="AT43" s="1890"/>
      <c r="AU43" s="610"/>
      <c r="AV43" s="1891"/>
      <c r="AW43" s="1604" t="str">
        <f ca="1">"https://boersenundmaerkte.lukb.ch/lukb/details/"&amp;Valori[[#This Row],[LUKB_id]]</f>
        <v>https://boersenundmaerkte.lukb.ch/lukb/details/37347612,4,1</v>
      </c>
      <c r="AX4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3" s="142"/>
      <c r="AZ43" s="142"/>
      <c r="BA43" s="142"/>
      <c r="BB43" s="142"/>
    </row>
    <row r="44" spans="1:54" ht="15" customHeight="1" x14ac:dyDescent="0.2">
      <c r="A44" s="142" t="s">
        <v>1010</v>
      </c>
      <c r="B44" s="142" t="str" cm="1">
        <f t="array" aca="1" ref="B44" ca="1">OFFSET(POrigin,MATCH(Valori[[#This Row],[smo_id]],Posizioni[smo_id],0),MATCH("LUKB_id",PIntestazioni,0)-1,1,1)</f>
        <v>39756353,16,814</v>
      </c>
      <c r="C44" s="1668" t="str">
        <f ca="1">HYPERLINK("https://boersenundmaerkte.lukb.ch/lukb/details/"&amp;Valori[[#This Row],[LUKB_id]],"è")</f>
        <v>è</v>
      </c>
      <c r="D44" s="142" t="str" cm="1">
        <f t="array" aca="1" ref="D44" ca="1">OFFSET(POrigin,MATCH(Valori[[#This Row],[LUKB_id]],PID,0),MATCH("SC_GROUPED",PIntestazioni,0)-1,1,1)</f>
        <v>BON</v>
      </c>
      <c r="E44" s="413" t="str" cm="1">
        <f t="array" aca="1" ref="E44" ca="1">OFFSET(POrigin,MATCH(Valori[[#This Row],[LUKB_id]],PID,0),MATCH("isin",PIntestazioni,0)-1,1,1)</f>
        <v>XS1747444831</v>
      </c>
      <c r="F44" s="34" t="str" cm="1">
        <f t="array" aca="1" ref="F44" ca="1">OFFSET(POrigin,MATCH(Valori[[#This Row],[LUKB_id]],PID,0),MATCH("NSIN_CH",PLabel,0)-1,1,1)</f>
        <v>39756353</v>
      </c>
      <c r="G44" s="95" t="str" cm="1">
        <f t="array" aca="1" ref="G44" ca="1">IF(OFFSET(POrigin,MATCH(Valori[[#This Row],[LUKB_id]],PID,0),MATCH("INSTRUNIT",PLabel,0)-1,1,1)="Nominal","Pct","Unit")</f>
        <v>Pct</v>
      </c>
      <c r="H44" s="612">
        <f ca="1">MAX(OFFSET(POrigin,MATCH(Valori[[#This Row],[LUKB_id]],PID,0),MATCH("PRICINGAMT",PLabel,0)-1,1,1),1)</f>
        <v>1</v>
      </c>
      <c r="I44" s="615" t="str" cm="1">
        <f t="array" aca="1" ref="I44" ca="1">OFFSET(POrigin,MATCH(Valori[[#This Row],[LUKB_id]],PID,0),MATCH("M_NAME",PLabel,0)-1,1,1)</f>
        <v>1.125 BMW 28 Bds</v>
      </c>
      <c r="M44" s="142" t="str" cm="1">
        <f t="array" aca="1" ref="M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BMW Finance NV 10.01.28</v>
      </c>
      <c r="N44" s="1563">
        <f ca="1">COUNTIF('CHF M'!smo_id,Valori[[#This Row],[smo_id]])+COUNTIF('CHF MA'!smo_id,Valori[[#This Row],[smo_id]])+COUNTIF('EUR MB'!smo_id,Valori[[#This Row],[smo_id]])+COUNTIF('EUR M'!smo_id,Valori[[#This Row],[smo_id]])+COUNTIF(AGCO!smo_id,Valori[[#This Row],[smo_id]])</f>
        <v>1</v>
      </c>
      <c r="O44" s="1590" cm="1">
        <f t="array" aca="1" ref="O44" ca="1">SUM(IF('CHF M'!smo_id=Valori[[#This Row],[smo_id]],'CHF M'!Posizione))+SUM(IF('CHF MA'!smo_id=Valori[[#This Row],[smo_id]],'CHF MA'!Posizione))+SUM(IF('EUR MB'!smo_id=Valori[[#This Row],[smo_id]],'EUR MB'!Posizione))+SUM(IF('EUR M'!smo_id=Valori[[#This Row],[smo_id]],'EUR M'!Posizione))+SUM(IF(AGCO!smo_id=Valori[[#This Row],[smo_id]],AGCO!Posizione))</f>
        <v>10000</v>
      </c>
      <c r="P44" s="1661" t="str">
        <f ca="1">HYPERLINK(Valori[[#This Row],[P_Source]],"è")</f>
        <v>è</v>
      </c>
      <c r="Q44" s="1663" t="str">
        <f>HYPERLINK(Valori[[#This Row],[Info_W]],"i")</f>
        <v>i</v>
      </c>
      <c r="R44" s="1664" t="str">
        <f>HYPERLINK(Valori[[#This Row],[FN_W]],"")</f>
        <v></v>
      </c>
      <c r="S44" s="1665" t="str">
        <f>HYPERLINK(Valori[[#This Row],[MS_Link]],"")</f>
        <v></v>
      </c>
      <c r="T44" s="1665" t="str">
        <f>HYPERLINK(Valori[[#This Row],[C_source]],"")</f>
        <v></v>
      </c>
      <c r="U44" s="142" t="str" cm="1">
        <f t="array" aca="1" ref="U44" ca="1">OFFSET(POrigin,MATCH(Valori[[#This Row],[LUKB_id]],PID,0),MATCH("M_CUR",PLabel,0)-1,1,1)</f>
        <v>EUR</v>
      </c>
      <c r="V44" s="1562">
        <f ca="1">(Valori[[#This Row],[Last]]+Valori[[#This Row],[Acc. Int]])/Valori[[#This Row],[Pr.Amt]]/IF(Valori[[#This Row],[P_Type]]="Pct",100,1)</f>
        <v>0.97602273973000009</v>
      </c>
      <c r="W44" s="1591" cm="1">
        <f t="array" aca="1" ref="W44" ca="1">OFFSET(POrigin,MATCH(Valori[[#This Row],[LUKB_id]],PID,0),MATCH("NC2_PR",PLabel,0)-1,1,1)/100</f>
        <v>-1.1685595965393999E-3</v>
      </c>
      <c r="X44" s="1592" cm="1">
        <f t="array" aca="1" ref="X44" ca="1">OFFSET(POrigin,MATCH(Valori[[#This Row],[LUKB_id]],PID,0),MATCH("LVAL",PLabel,0)-1,1,1)</f>
        <v>97.442000000000007</v>
      </c>
      <c r="Y44" s="1593" cm="1">
        <f t="array" aca="1" ref="Y44" ca="1">OFFSET(POrigin,MATCH(Valori[[#This Row],[LUKB_id]],PID,0),MATCH("LVAL:datetime",PLabel,0)-1,1,1)</f>
        <v>46084.754687499997</v>
      </c>
      <c r="Z44" s="1594" cm="1">
        <f t="array" aca="1" ref="Z44" ca="1">OFFSET(POrigin,MATCH(Valori[[#This Row],[LUKB_id]],PID,0),MATCH("BID:volume",PLabel,0)-1,1,1)</f>
        <v>3000000</v>
      </c>
      <c r="AA44" s="1595" cm="1">
        <f t="array" aca="1" ref="AA44" ca="1">OFFSET(POrigin,MATCH(Valori[[#This Row],[LUKB_id]],PID,0),MATCH("BID",PLabel,0)-1,1,1)</f>
        <v>97.442000000000007</v>
      </c>
      <c r="AB44" s="1595" cm="1">
        <f t="array" aca="1" ref="AB44" ca="1">OFFSET(POrigin,MATCH(Valori[[#This Row],[LUKB_id]],PID,0),MATCH("ASK",PLabel,0)-1,1,1)</f>
        <v>97.515000000000001</v>
      </c>
      <c r="AC44" s="1594" cm="1">
        <f t="array" aca="1" ref="AC44" ca="1">OFFSET(POrigin,MATCH(Valori[[#This Row],[LUKB_id]],PID,0),MATCH("ASK:volume",PLabel,0)-1,1,1)</f>
        <v>3000000</v>
      </c>
      <c r="AD44" s="1596" cm="1">
        <f t="array" aca="1" ref="AD44" ca="1">OFFSET(POrigin,MATCH(Valori[[#This Row],[LUKB_id]],PID,0),MATCH("BID-ASK Spread %",PLabel,0)-1,1,1)</f>
        <v>4.9931771312482806E-4</v>
      </c>
      <c r="AE44" s="1597" cm="1">
        <f t="array" aca="1" ref="AE44" ca="1">IF(OFFSET(POrigin,MATCH(Valori[[#This Row],[LUKB_id]],PID,0),MATCH("MATURITY",PLabel,0)-1,1,1)&gt;0,OFFSET(POrigin,MATCH(Valori[[#This Row],[LUKB_id]],PID,0),MATCH("MATURITY",PLabel,0)-1,1,1),"")</f>
        <v>46762</v>
      </c>
      <c r="AF44" s="1598" cm="1">
        <f t="array" aca="1" ref="AF44" ca="1">OFFSET(POrigin,MATCH(Valori[[#This Row],[LUKB_id]],PID,0),MATCH("ACCINT",PLabel,0)-1,1,1)</f>
        <v>0.16027397300000001</v>
      </c>
      <c r="AG44" s="1594" cm="1">
        <f t="array" aca="1" ref="AG44" ca="1">OFFSET(POrigin,MATCH(Valori[[#This Row],[LUKB_id]],PID,0),MATCH("DENOM",PLabel,0)-1,1,1)</f>
        <v>1000</v>
      </c>
      <c r="AH44" s="1599" cm="1">
        <f t="array" aca="1" ref="AH44" ca="1">(OFFSET(POrigin,MATCH(Valori[[#This Row],[LUKB_id]],PID,0),MATCH("YIELD",PLabel,0)-1,1,1)+OFFSET(POrigin,MATCH(Valori[[#This Row],[LUKB_id]],PID,0),MATCH("YLDEQ",PLabel,0)-1,1,1))/100</f>
        <v>2.4906762200000002E-2</v>
      </c>
      <c r="AI44" s="1600">
        <f ca="1">OFFSET(POrigin,MATCH(Valori[[#This Row],[LUKB_id]],PID,0),MATCH("DIVIDEND",PLabel,0)-1,1,1)</f>
        <v>0</v>
      </c>
      <c r="AJ44" s="1601">
        <f ca="1">OFFSET(POrigin,MATCH(Valori[[#This Row],[LUKB_id]],PID,0),MATCH("DIVIDEND:datetime",PLabel,0)-1,1,1)</f>
        <v>0</v>
      </c>
      <c r="AK44" s="1602">
        <f ca="1">OFFSET(POrigin,MATCH(Valori[[#This Row],[LUKB_id]],PID,0),MATCH("INTEREST",PLabel,0)-1,1,1)</f>
        <v>1.125</v>
      </c>
      <c r="AL44" s="1603">
        <f ca="1">OFFSET(POrigin,MATCH(Valori[[#This Row],[LUKB_id]],PID,0),MATCH("4W_PERF_PR",PLabel,0)-1,1,1)/100</f>
        <v>7.2831717700160004E-4</v>
      </c>
      <c r="AM44" s="1603">
        <f ca="1">OFFSET(POrigin,MATCH(Valori[[#This Row],[LUKB_id]],PID,0),MATCH("12W_PERF_PR",PLabel,0)-1,1,1)/100</f>
        <v>3.3322363008063001E-3</v>
      </c>
      <c r="AN44" s="1603">
        <f ca="1">OFFSET(POrigin,MATCH(Valori[[#This Row],[LUKB_id]],PID,0),MATCH("YTD_PERF_PR",PLabel,0)-1,1,1)/100</f>
        <v>2.6307946849726998E-3</v>
      </c>
      <c r="AO44" s="1591"/>
      <c r="AP44" s="1591"/>
      <c r="AQ44" s="1591"/>
      <c r="AR44" s="1591"/>
      <c r="AS44" s="1890"/>
      <c r="AT44" s="1890"/>
      <c r="AU44" s="610"/>
      <c r="AV44" s="1891"/>
      <c r="AW44" s="1604" t="str">
        <f ca="1">"https://boersenundmaerkte.lukb.ch/lukb/details/"&amp;Valori[[#This Row],[LUKB_id]]</f>
        <v>https://boersenundmaerkte.lukb.ch/lukb/details/39756353,16,814</v>
      </c>
      <c r="AX4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4" s="142"/>
      <c r="AZ44" s="142"/>
      <c r="BA44" s="142"/>
      <c r="BB44" s="142"/>
    </row>
    <row r="45" spans="1:54" ht="15" customHeight="1" x14ac:dyDescent="0.2">
      <c r="A45" s="142" t="s">
        <v>1011</v>
      </c>
      <c r="B45" s="142" t="str" cm="1">
        <f t="array" aca="1" ref="B45" ca="1">OFFSET(POrigin,MATCH(Valori[[#This Row],[smo_id]],Posizioni[smo_id],0),MATCH("LUKB_id",PIntestazioni,0)-1,1,1)</f>
        <v>126683261,16,88</v>
      </c>
      <c r="C45" s="1668" t="str">
        <f ca="1">HYPERLINK("https://boersenundmaerkte.lukb.ch/lukb/details/"&amp;Valori[[#This Row],[LUKB_id]],"è")</f>
        <v>è</v>
      </c>
      <c r="D45" s="142" t="str" cm="1">
        <f t="array" aca="1" ref="D45" ca="1">OFFSET(POrigin,MATCH(Valori[[#This Row],[LUKB_id]],PID,0),MATCH("SC_GROUPED",PIntestazioni,0)-1,1,1)</f>
        <v>BON</v>
      </c>
      <c r="E45" s="413" t="str" cm="1">
        <f t="array" aca="1" ref="E45" ca="1">OFFSET(POrigin,MATCH(Valori[[#This Row],[LUKB_id]],PID,0),MATCH("isin",PIntestazioni,0)-1,1,1)</f>
        <v>AU3CB0299477</v>
      </c>
      <c r="F45" s="34" t="str" cm="1">
        <f t="array" aca="1" ref="F45" ca="1">OFFSET(POrigin,MATCH(Valori[[#This Row],[LUKB_id]],PID,0),MATCH("NSIN_CH",PLabel,0)-1,1,1)</f>
        <v>126683261</v>
      </c>
      <c r="G45" s="95" t="str" cm="1">
        <f t="array" aca="1" ref="G45" ca="1">IF(OFFSET(POrigin,MATCH(Valori[[#This Row],[LUKB_id]],PID,0),MATCH("INSTRUNIT",PLabel,0)-1,1,1)="Nominal","Pct","Unit")</f>
        <v>Pct</v>
      </c>
      <c r="H45" s="612">
        <f ca="1">MAX(OFFSET(POrigin,MATCH(Valori[[#This Row],[LUKB_id]],PID,0),MATCH("PRICINGAMT",PLabel,0)-1,1,1),1)</f>
        <v>1</v>
      </c>
      <c r="I45" s="615" t="str" cm="1">
        <f t="array" aca="1" ref="I45" ca="1">OFFSET(POrigin,MATCH(Valori[[#This Row],[LUKB_id]],PID,0),MATCH("M_NAME",PLabel,0)-1,1,1)</f>
        <v>3.8 Kreditan 28 Nts</v>
      </c>
      <c r="M45" s="142" t="str" cm="1">
        <f t="array" aca="1" ref="M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3.800 % Kreditanstalt fuer Wiederaufbau KFW 24.05.28</v>
      </c>
      <c r="N45" s="1563">
        <f ca="1">COUNTIF('CHF M'!smo_id,Valori[[#This Row],[smo_id]])+COUNTIF('CHF MA'!smo_id,Valori[[#This Row],[smo_id]])+COUNTIF('EUR MB'!smo_id,Valori[[#This Row],[smo_id]])+COUNTIF('EUR M'!smo_id,Valori[[#This Row],[smo_id]])+COUNTIF(AGCO!smo_id,Valori[[#This Row],[smo_id]])</f>
        <v>1</v>
      </c>
      <c r="O45" s="1590" cm="1">
        <f t="array" aca="1" ref="O45" ca="1">SUM(IF('CHF M'!smo_id=Valori[[#This Row],[smo_id]],'CHF M'!Posizione))+SUM(IF('CHF MA'!smo_id=Valori[[#This Row],[smo_id]],'CHF MA'!Posizione))+SUM(IF('EUR MB'!smo_id=Valori[[#This Row],[smo_id]],'EUR MB'!Posizione))+SUM(IF('EUR M'!smo_id=Valori[[#This Row],[smo_id]],'EUR M'!Posizione))+SUM(IF(AGCO!smo_id=Valori[[#This Row],[smo_id]],AGCO!Posizione))</f>
        <v>100000</v>
      </c>
      <c r="P45" s="1661" t="str">
        <f ca="1">HYPERLINK(Valori[[#This Row],[P_Source]],"è")</f>
        <v>è</v>
      </c>
      <c r="Q45" s="1663" t="str">
        <f>HYPERLINK(Valori[[#This Row],[Info_W]],"i")</f>
        <v>i</v>
      </c>
      <c r="R45" s="1664" t="str">
        <f>HYPERLINK(Valori[[#This Row],[FN_W]],"")</f>
        <v></v>
      </c>
      <c r="S45" s="1665" t="str">
        <f>HYPERLINK(Valori[[#This Row],[MS_Link]],"")</f>
        <v></v>
      </c>
      <c r="T45" s="1665" t="str">
        <f>HYPERLINK(Valori[[#This Row],[C_source]],"")</f>
        <v></v>
      </c>
      <c r="U45" s="142" t="str" cm="1">
        <f t="array" aca="1" ref="U45" ca="1">OFFSET(POrigin,MATCH(Valori[[#This Row],[LUKB_id]],PID,0),MATCH("M_CUR",PLabel,0)-1,1,1)</f>
        <v>AUD</v>
      </c>
      <c r="V45" s="1562">
        <f ca="1">(Valori[[#This Row],[Last]]+Valori[[#This Row],[Acc. Int]])/Valori[[#This Row],[Pr.Amt]]/IF(Valori[[#This Row],[P_Type]]="Pct",100,1)</f>
        <v>0.99436226519000004</v>
      </c>
      <c r="W45" s="1591" cm="1">
        <f t="array" aca="1" ref="W45" ca="1">OFFSET(POrigin,MATCH(Valori[[#This Row],[LUKB_id]],PID,0),MATCH("NC2_PR",PLabel,0)-1,1,1)/100</f>
        <v>-2.0891859274058998E-3</v>
      </c>
      <c r="X45" s="1592" cm="1">
        <f t="array" aca="1" ref="X45" ca="1">OFFSET(POrigin,MATCH(Valori[[#This Row],[LUKB_id]],PID,0),MATCH("LVAL",PLabel,0)-1,1,1)</f>
        <v>98.397000000000006</v>
      </c>
      <c r="Y45" s="1593" cm="1">
        <f t="array" aca="1" ref="Y45" ca="1">OFFSET(POrigin,MATCH(Valori[[#This Row],[LUKB_id]],PID,0),MATCH("LVAL:datetime",PLabel,0)-1,1,1)</f>
        <v>46084.751701388886</v>
      </c>
      <c r="Z45" s="1594" cm="1">
        <f t="array" aca="1" ref="Z45" ca="1">OFFSET(POrigin,MATCH(Valori[[#This Row],[LUKB_id]],PID,0),MATCH("BID:volume",PLabel,0)-1,1,1)</f>
        <v>6000000</v>
      </c>
      <c r="AA45" s="1595" cm="1">
        <f t="array" aca="1" ref="AA45" ca="1">OFFSET(POrigin,MATCH(Valori[[#This Row],[LUKB_id]],PID,0),MATCH("BID",PLabel,0)-1,1,1)</f>
        <v>98.397000000000006</v>
      </c>
      <c r="AB45" s="1595" cm="1">
        <f t="array" aca="1" ref="AB45" ca="1">OFFSET(POrigin,MATCH(Valori[[#This Row],[LUKB_id]],PID,0),MATCH("ASK",PLabel,0)-1,1,1)</f>
        <v>98.429000000000002</v>
      </c>
      <c r="AC45" s="1594" cm="1">
        <f t="array" aca="1" ref="AC45" ca="1">OFFSET(POrigin,MATCH(Valori[[#This Row],[LUKB_id]],PID,0),MATCH("ASK:volume",PLabel,0)-1,1,1)</f>
        <v>1000000</v>
      </c>
      <c r="AD45" s="1596" cm="1">
        <f t="array" aca="1" ref="AD45" ca="1">OFFSET(POrigin,MATCH(Valori[[#This Row],[LUKB_id]],PID,0),MATCH("BID-ASK Spread %",PLabel,0)-1,1,1)</f>
        <v>2.1678527756981315E-4</v>
      </c>
      <c r="AE45" s="1597" cm="1">
        <f t="array" aca="1" ref="AE45" ca="1">IF(OFFSET(POrigin,MATCH(Valori[[#This Row],[LUKB_id]],PID,0),MATCH("MATURITY",PLabel,0)-1,1,1)&gt;0,OFFSET(POrigin,MATCH(Valori[[#This Row],[LUKB_id]],PID,0),MATCH("MATURITY",PLabel,0)-1,1,1),"")</f>
        <v>46897</v>
      </c>
      <c r="AF45" s="1598" cm="1">
        <f t="array" aca="1" ref="AF45" ca="1">OFFSET(POrigin,MATCH(Valori[[#This Row],[LUKB_id]],PID,0),MATCH("ACCINT",PLabel,0)-1,1,1)</f>
        <v>1.0392265190000001</v>
      </c>
      <c r="AG45" s="1594" cm="1">
        <f t="array" aca="1" ref="AG45" ca="1">OFFSET(POrigin,MATCH(Valori[[#This Row],[LUKB_id]],PID,0),MATCH("DENOM",PLabel,0)-1,1,1)</f>
        <v>1000</v>
      </c>
      <c r="AH45" s="1599" cm="1">
        <f t="array" aca="1" ref="AH45" ca="1">(OFFSET(POrigin,MATCH(Valori[[#This Row],[LUKB_id]],PID,0),MATCH("YIELD",PLabel,0)-1,1,1)+OFFSET(POrigin,MATCH(Valori[[#This Row],[LUKB_id]],PID,0),MATCH("YLDEQ",PLabel,0)-1,1,1))/100</f>
        <v>4.4629446250000003E-2</v>
      </c>
      <c r="AI45" s="1600">
        <f ca="1">OFFSET(POrigin,MATCH(Valori[[#This Row],[LUKB_id]],PID,0),MATCH("DIVIDEND",PLabel,0)-1,1,1)</f>
        <v>0</v>
      </c>
      <c r="AJ45" s="1601">
        <f ca="1">OFFSET(POrigin,MATCH(Valori[[#This Row],[LUKB_id]],PID,0),MATCH("DIVIDEND:datetime",PLabel,0)-1,1,1)</f>
        <v>0</v>
      </c>
      <c r="AK45" s="1602">
        <f ca="1">OFFSET(POrigin,MATCH(Valori[[#This Row],[LUKB_id]],PID,0),MATCH("INTEREST",PLabel,0)-1,1,1)</f>
        <v>3.8</v>
      </c>
      <c r="AL45" s="1603">
        <f ca="1">OFFSET(POrigin,MATCH(Valori[[#This Row],[LUKB_id]],PID,0),MATCH("4W_PERF_PR",PLabel,0)-1,1,1)/100</f>
        <v>2.8404767943200003E-4</v>
      </c>
      <c r="AM45" s="1603">
        <f ca="1">OFFSET(POrigin,MATCH(Valori[[#This Row],[LUKB_id]],PID,0),MATCH("12W_PERF_PR",PLabel,0)-1,1,1)/100</f>
        <v>-1.7009041115307001E-3</v>
      </c>
      <c r="AN45" s="1603">
        <f ca="1">OFFSET(POrigin,MATCH(Valori[[#This Row],[LUKB_id]],PID,0),MATCH("YTD_PERF_PR",PLabel,0)-1,1,1)/100</f>
        <v>-1.3362758397277999E-3</v>
      </c>
      <c r="AO45" s="1591"/>
      <c r="AP45" s="1591"/>
      <c r="AQ45" s="1591"/>
      <c r="AR45" s="1591"/>
      <c r="AS45" s="1890"/>
      <c r="AT45" s="1890"/>
      <c r="AU45" s="610"/>
      <c r="AV45" s="1891"/>
      <c r="AW45" s="1604" t="str">
        <f ca="1">"https://boersenundmaerkte.lukb.ch/lukb/details/"&amp;Valori[[#This Row],[LUKB_id]]</f>
        <v>https://boersenundmaerkte.lukb.ch/lukb/details/126683261,16,88</v>
      </c>
      <c r="AX4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5" s="142"/>
      <c r="AZ45" s="142"/>
      <c r="BA45" s="142"/>
      <c r="BB45" s="142"/>
    </row>
    <row r="46" spans="1:54" ht="15" customHeight="1" x14ac:dyDescent="0.2">
      <c r="A46" s="142" t="s">
        <v>1012</v>
      </c>
      <c r="B46" s="142" t="str" cm="1">
        <f t="array" aca="1" ref="B46" ca="1">OFFSET(POrigin,MATCH(Valori[[#This Row],[smo_id]],Posizioni[smo_id],0),MATCH("LUKB_id",PIntestazioni,0)-1,1,1)</f>
        <v>112008567,4,1</v>
      </c>
      <c r="C46" s="1668" t="str">
        <f ca="1">HYPERLINK("https://boersenundmaerkte.lukb.ch/lukb/details/"&amp;Valori[[#This Row],[LUKB_id]],"è")</f>
        <v>è</v>
      </c>
      <c r="D46" s="142" t="str" cm="1">
        <f t="array" aca="1" ref="D46" ca="1">OFFSET(POrigin,MATCH(Valori[[#This Row],[LUKB_id]],PID,0),MATCH("SC_GROUPED",PIntestazioni,0)-1,1,1)</f>
        <v>BON</v>
      </c>
      <c r="E46" s="413" t="str" cm="1">
        <f t="array" aca="1" ref="E46" ca="1">OFFSET(POrigin,MATCH(Valori[[#This Row],[LUKB_id]],PID,0),MATCH("isin",PIntestazioni,0)-1,1,1)</f>
        <v>CH1120085670</v>
      </c>
      <c r="F46" s="34" t="str" cm="1">
        <f t="array" aca="1" ref="F46" ca="1">OFFSET(POrigin,MATCH(Valori[[#This Row],[LUKB_id]],PID,0),MATCH("NSIN_CH",PLabel,0)-1,1,1)</f>
        <v>112008567</v>
      </c>
      <c r="G46" s="95" t="str" cm="1">
        <f t="array" aca="1" ref="G46" ca="1">IF(OFFSET(POrigin,MATCH(Valori[[#This Row],[LUKB_id]],PID,0),MATCH("INSTRUNIT",PLabel,0)-1,1,1)="Nominal","Pct","Unit")</f>
        <v>Pct</v>
      </c>
      <c r="H46" s="612">
        <f ca="1">MAX(OFFSET(POrigin,MATCH(Valori[[#This Row],[LUKB_id]],PID,0),MATCH("PRICINGAMT",PLabel,0)-1,1,1),1)</f>
        <v>1</v>
      </c>
      <c r="I46" s="615" t="str" cm="1">
        <f t="array" aca="1" ref="I46" ca="1">OFFSET(POrigin,MATCH(Valori[[#This Row],[LUKB_id]],PID,0),MATCH("M_NAME",PLabel,0)-1,1,1)</f>
        <v>0.15 UBSL 28 Obl -S</v>
      </c>
      <c r="J46" s="142" t="s">
        <v>872</v>
      </c>
      <c r="M46" s="142" t="str" cm="1">
        <f t="array" aca="1" ref="M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UBS AG 29.06.2028</v>
      </c>
      <c r="N46" s="1563">
        <f ca="1">COUNTIF('CHF M'!smo_id,Valori[[#This Row],[smo_id]])+COUNTIF('CHF MA'!smo_id,Valori[[#This Row],[smo_id]])+COUNTIF('EUR MB'!smo_id,Valori[[#This Row],[smo_id]])+COUNTIF('EUR M'!smo_id,Valori[[#This Row],[smo_id]])+COUNTIF(AGCO!smo_id,Valori[[#This Row],[smo_id]])</f>
        <v>1</v>
      </c>
      <c r="O46" s="1590" cm="1">
        <f t="array" aca="1" ref="O46" ca="1">SUM(IF('CHF M'!smo_id=Valori[[#This Row],[smo_id]],'CHF M'!Posizione))+SUM(IF('CHF MA'!smo_id=Valori[[#This Row],[smo_id]],'CHF MA'!Posizione))+SUM(IF('EUR MB'!smo_id=Valori[[#This Row],[smo_id]],'EUR MB'!Posizione))+SUM(IF('EUR M'!smo_id=Valori[[#This Row],[smo_id]],'EUR M'!Posizione))+SUM(IF(AGCO!smo_id=Valori[[#This Row],[smo_id]],AGCO!Posizione))</f>
        <v>100000</v>
      </c>
      <c r="P46" s="1661" t="str">
        <f ca="1">HYPERLINK(Valori[[#This Row],[P_Source]],"è")</f>
        <v>è</v>
      </c>
      <c r="Q46" s="1663" t="str">
        <f>HYPERLINK(Valori[[#This Row],[Info_W]],"i")</f>
        <v>i</v>
      </c>
      <c r="R46" s="1664" t="str">
        <f>HYPERLINK(Valori[[#This Row],[FN_W]],"")</f>
        <v></v>
      </c>
      <c r="S46" s="1665" t="str">
        <f>HYPERLINK(Valori[[#This Row],[MS_Link]],"")</f>
        <v></v>
      </c>
      <c r="T46" s="1665" t="str">
        <f>HYPERLINK(Valori[[#This Row],[C_source]],"")</f>
        <v></v>
      </c>
      <c r="U46" s="142" t="str" cm="1">
        <f t="array" aca="1" ref="U46" ca="1">OFFSET(POrigin,MATCH(Valori[[#This Row],[LUKB_id]],PID,0),MATCH("M_CUR",PLabel,0)-1,1,1)</f>
        <v>CHF</v>
      </c>
      <c r="V46" s="1562">
        <f ca="1">(Valori[[#This Row],[Last]]+Valori[[#This Row],[Acc. Int]])/Valori[[#This Row],[Pr.Amt]]/IF(Valori[[#This Row],[P_Type]]="Pct",100,1)</f>
        <v>0.9900166666700001</v>
      </c>
      <c r="W46" s="1591" cm="1">
        <f t="array" aca="1" ref="W46" ca="1">OFFSET(POrigin,MATCH(Valori[[#This Row],[LUKB_id]],PID,0),MATCH("NC2_PR",PLabel,0)-1,1,1)/100</f>
        <v>-4.5294413688979004E-3</v>
      </c>
      <c r="X46" s="1592" cm="1">
        <f t="array" aca="1" ref="X46" ca="1">OFFSET(POrigin,MATCH(Valori[[#This Row],[LUKB_id]],PID,0),MATCH("LVAL",PLabel,0)-1,1,1)</f>
        <v>98.9</v>
      </c>
      <c r="Y46" s="1593" cm="1">
        <f t="array" aca="1" ref="Y46" ca="1">OFFSET(POrigin,MATCH(Valori[[#This Row],[LUKB_id]],PID,0),MATCH("LVAL:datetime",PLabel,0)-1,1,1)</f>
        <v>46084.497442129628</v>
      </c>
      <c r="Z46" s="1594" cm="1">
        <f t="array" aca="1" ref="Z46" ca="1">OFFSET(POrigin,MATCH(Valori[[#This Row],[LUKB_id]],PID,0),MATCH("BID:volume",PLabel,0)-1,1,1)</f>
        <v>100000</v>
      </c>
      <c r="AA46" s="1595" cm="1">
        <f t="array" aca="1" ref="AA46" ca="1">OFFSET(POrigin,MATCH(Valori[[#This Row],[LUKB_id]],PID,0),MATCH("BID",PLabel,0)-1,1,1)</f>
        <v>99</v>
      </c>
      <c r="AB46" s="1595" cm="1">
        <f t="array" aca="1" ref="AB46" ca="1">OFFSET(POrigin,MATCH(Valori[[#This Row],[LUKB_id]],PID,0),MATCH("ASK",PLabel,0)-1,1,1)</f>
        <v>99.350000000000009</v>
      </c>
      <c r="AC46" s="1594" cm="1">
        <f t="array" aca="1" ref="AC46" ca="1">OFFSET(POrigin,MATCH(Valori[[#This Row],[LUKB_id]],PID,0),MATCH("ASK:volume",PLabel,0)-1,1,1)</f>
        <v>250000</v>
      </c>
      <c r="AD46" s="1596" cm="1">
        <f t="array" aca="1" ref="AD46" ca="1">OFFSET(POrigin,MATCH(Valori[[#This Row],[LUKB_id]],PID,0),MATCH("BID-ASK Spread %",PLabel,0)-1,1,1)</f>
        <v>2.3541281318312326E-3</v>
      </c>
      <c r="AE46" s="1597" cm="1">
        <f t="array" aca="1" ref="AE46" ca="1">IF(OFFSET(POrigin,MATCH(Valori[[#This Row],[LUKB_id]],PID,0),MATCH("MATURITY",PLabel,0)-1,1,1)&gt;0,OFFSET(POrigin,MATCH(Valori[[#This Row],[LUKB_id]],PID,0),MATCH("MATURITY",PLabel,0)-1,1,1),"")</f>
        <v>46933</v>
      </c>
      <c r="AF46" s="1598" cm="1">
        <f t="array" aca="1" ref="AF46" ca="1">OFFSET(POrigin,MATCH(Valori[[#This Row],[LUKB_id]],PID,0),MATCH("ACCINT",PLabel,0)-1,1,1)</f>
        <v>0.101666667</v>
      </c>
      <c r="AG46" s="1594" cm="1">
        <f t="array" aca="1" ref="AG46" ca="1">OFFSET(POrigin,MATCH(Valori[[#This Row],[LUKB_id]],PID,0),MATCH("DENOM",PLabel,0)-1,1,1)</f>
        <v>50000</v>
      </c>
      <c r="AH46" s="1599" cm="1">
        <f t="array" aca="1" ref="AH46" ca="1">(OFFSET(POrigin,MATCH(Valori[[#This Row],[LUKB_id]],PID,0),MATCH("YIELD",PLabel,0)-1,1,1)+OFFSET(POrigin,MATCH(Valori[[#This Row],[LUKB_id]],PID,0),MATCH("YLDEQ",PLabel,0)-1,1,1))/100</f>
        <v>5.2003759999999996E-3</v>
      </c>
      <c r="AI46" s="1600">
        <f ca="1">OFFSET(POrigin,MATCH(Valori[[#This Row],[LUKB_id]],PID,0),MATCH("DIVIDEND",PLabel,0)-1,1,1)</f>
        <v>0</v>
      </c>
      <c r="AJ46" s="1601">
        <f ca="1">OFFSET(POrigin,MATCH(Valori[[#This Row],[LUKB_id]],PID,0),MATCH("DIVIDEND:datetime",PLabel,0)-1,1,1)</f>
        <v>0</v>
      </c>
      <c r="AK46" s="1602">
        <f ca="1">OFFSET(POrigin,MATCH(Valori[[#This Row],[LUKB_id]],PID,0),MATCH("INTEREST",PLabel,0)-1,1,1)</f>
        <v>0.15</v>
      </c>
      <c r="AL46" s="1603">
        <f ca="1">OFFSET(POrigin,MATCH(Valori[[#This Row],[LUKB_id]],PID,0),MATCH("4W_PERF_PR",PLabel,0)-1,1,1)/100</f>
        <v>5.0454086781030001E-4</v>
      </c>
      <c r="AM46" s="1603">
        <f ca="1">OFFSET(POrigin,MATCH(Valori[[#This Row],[LUKB_id]],PID,0),MATCH("12W_PERF_PR",PLabel,0)-1,1,1)/100</f>
        <v>2.0171457387797003E-3</v>
      </c>
      <c r="AN46" s="1603">
        <f ca="1">OFFSET(POrigin,MATCH(Valori[[#This Row],[LUKB_id]],PID,0),MATCH("YTD_PERF_PR",PLabel,0)-1,1,1)/100</f>
        <v>6.0759493670887003E-3</v>
      </c>
      <c r="AO46" s="1591"/>
      <c r="AP46" s="1591"/>
      <c r="AQ46" s="1591"/>
      <c r="AR46" s="1591"/>
      <c r="AS46" s="1890" t="s">
        <v>877</v>
      </c>
      <c r="AT46" s="1890"/>
      <c r="AU46" s="610"/>
      <c r="AV46" s="1891"/>
      <c r="AW46" s="1604" t="str">
        <f ca="1">"https://boersenundmaerkte.lukb.ch/lukb/details/"&amp;Valori[[#This Row],[LUKB_id]]</f>
        <v>https://boersenundmaerkte.lukb.ch/lukb/details/112008567,4,1</v>
      </c>
      <c r="AX46"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6" s="142"/>
      <c r="AZ46" s="142"/>
      <c r="BA46" s="142"/>
      <c r="BB46" s="142"/>
    </row>
    <row r="47" spans="1:54" ht="15" customHeight="1" x14ac:dyDescent="0.2">
      <c r="A47" s="142" t="s">
        <v>1013</v>
      </c>
      <c r="B47" s="142" t="str" cm="1">
        <f t="array" aca="1" ref="B47" ca="1">OFFSET(POrigin,MATCH(Valori[[#This Row],[smo_id]],Posizioni[smo_id],0),MATCH("LUKB_id",PIntestazioni,0)-1,1,1)</f>
        <v>111848374,4,1</v>
      </c>
      <c r="C47" s="1668" t="str">
        <f ca="1">HYPERLINK("https://boersenundmaerkte.lukb.ch/lukb/details/"&amp;Valori[[#This Row],[LUKB_id]],"è")</f>
        <v>è</v>
      </c>
      <c r="D47" s="142" t="str" cm="1">
        <f t="array" aca="1" ref="D47" ca="1">OFFSET(POrigin,MATCH(Valori[[#This Row],[LUKB_id]],PID,0),MATCH("SC_GROUPED",PIntestazioni,0)-1,1,1)</f>
        <v>BON</v>
      </c>
      <c r="E47" s="413" t="str" cm="1">
        <f t="array" aca="1" ref="E47" ca="1">OFFSET(POrigin,MATCH(Valori[[#This Row],[LUKB_id]],PID,0),MATCH("isin",PIntestazioni,0)-1,1,1)</f>
        <v>CH1118483747</v>
      </c>
      <c r="F47" s="34" t="str" cm="1">
        <f t="array" aca="1" ref="F47" ca="1">OFFSET(POrigin,MATCH(Valori[[#This Row],[LUKB_id]],PID,0),MATCH("NSIN_CH",PLabel,0)-1,1,1)</f>
        <v>111848374</v>
      </c>
      <c r="G47" s="95" t="str" cm="1">
        <f t="array" aca="1" ref="G47" ca="1">IF(OFFSET(POrigin,MATCH(Valori[[#This Row],[LUKB_id]],PID,0),MATCH("INSTRUNIT",PLabel,0)-1,1,1)="Nominal","Pct","Unit")</f>
        <v>Pct</v>
      </c>
      <c r="H47" s="612">
        <f ca="1">MAX(OFFSET(POrigin,MATCH(Valori[[#This Row],[LUKB_id]],PID,0),MATCH("PRICINGAMT",PLabel,0)-1,1,1),1)</f>
        <v>1</v>
      </c>
      <c r="I47" s="615" t="str" cm="1">
        <f t="array" aca="1" ref="I47" ca="1">OFFSET(POrigin,MATCH(Valori[[#This Row],[LUKB_id]],PID,0),MATCH("M_NAME",PLabel,0)-1,1,1)</f>
        <v>0.395 MQG 28 Obl -S</v>
      </c>
      <c r="M47" s="142" t="str" cm="1">
        <f t="array" aca="1" ref="M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0.395 % Macquarie Group Ltd 20.07.28</v>
      </c>
      <c r="N47" s="1563">
        <f ca="1">COUNTIF('CHF M'!smo_id,Valori[[#This Row],[smo_id]])+COUNTIF('CHF MA'!smo_id,Valori[[#This Row],[smo_id]])+COUNTIF('EUR MB'!smo_id,Valori[[#This Row],[smo_id]])+COUNTIF('EUR M'!smo_id,Valori[[#This Row],[smo_id]])+COUNTIF(AGCO!smo_id,Valori[[#This Row],[smo_id]])</f>
        <v>2</v>
      </c>
      <c r="O47" s="1590" cm="1">
        <f t="array" aca="1" ref="O47" ca="1">SUM(IF('CHF M'!smo_id=Valori[[#This Row],[smo_id]],'CHF M'!Posizione))+SUM(IF('CHF MA'!smo_id=Valori[[#This Row],[smo_id]],'CHF MA'!Posizione))+SUM(IF('EUR MB'!smo_id=Valori[[#This Row],[smo_id]],'EUR MB'!Posizione))+SUM(IF('EUR M'!smo_id=Valori[[#This Row],[smo_id]],'EUR M'!Posizione))+SUM(IF(AGCO!smo_id=Valori[[#This Row],[smo_id]],AGCO!Posizione))</f>
        <v>150000</v>
      </c>
      <c r="P47" s="1661" t="str">
        <f ca="1">HYPERLINK(Valori[[#This Row],[P_Source]],"è")</f>
        <v>è</v>
      </c>
      <c r="Q47" s="1663" t="str">
        <f>HYPERLINK(Valori[[#This Row],[Info_W]],"i")</f>
        <v>i</v>
      </c>
      <c r="R47" s="1664" t="str">
        <f>HYPERLINK(Valori[[#This Row],[FN_W]],"")</f>
        <v></v>
      </c>
      <c r="S47" s="1665" t="str">
        <f>HYPERLINK(Valori[[#This Row],[MS_Link]],"")</f>
        <v></v>
      </c>
      <c r="T47" s="1665" t="str">
        <f>HYPERLINK(Valori[[#This Row],[C_source]],"")</f>
        <v></v>
      </c>
      <c r="U47" s="142" t="str" cm="1">
        <f t="array" aca="1" ref="U47" ca="1">OFFSET(POrigin,MATCH(Valori[[#This Row],[LUKB_id]],PID,0),MATCH("M_CUR",PLabel,0)-1,1,1)</f>
        <v>CHF</v>
      </c>
      <c r="V47" s="1562">
        <f ca="1">(Valori[[#This Row],[Last]]+Valori[[#This Row],[Acc. Int]])/Valori[[#This Row],[Pr.Amt]]/IF(Valori[[#This Row],[P_Type]]="Pct",100,1)</f>
        <v>0.99844680556000009</v>
      </c>
      <c r="W47" s="1591" cm="1">
        <f t="array" aca="1" ref="W47" ca="1">OFFSET(POrigin,MATCH(Valori[[#This Row],[LUKB_id]],PID,0),MATCH("NC2_PR",PLabel,0)-1,1,1)/100</f>
        <v>-2.5037556334501997E-3</v>
      </c>
      <c r="X47" s="1592" cm="1">
        <f t="array" aca="1" ref="X47" ca="1">OFFSET(POrigin,MATCH(Valori[[#This Row],[LUKB_id]],PID,0),MATCH("LVAL",PLabel,0)-1,1,1)</f>
        <v>99.600000000000009</v>
      </c>
      <c r="Y47" s="1593" cm="1">
        <f t="array" aca="1" ref="Y47" ca="1">OFFSET(POrigin,MATCH(Valori[[#This Row],[LUKB_id]],PID,0),MATCH("LVAL:datetime",PLabel,0)-1,1,1)</f>
        <v>46084.464618055557</v>
      </c>
      <c r="Z47" s="1594" cm="1">
        <f t="array" aca="1" ref="Z47" ca="1">OFFSET(POrigin,MATCH(Valori[[#This Row],[LUKB_id]],PID,0),MATCH("BID:volume",PLabel,0)-1,1,1)</f>
        <v>250000</v>
      </c>
      <c r="AA47" s="1595" cm="1">
        <f t="array" aca="1" ref="AA47" ca="1">OFFSET(POrigin,MATCH(Valori[[#This Row],[LUKB_id]],PID,0),MATCH("BID",PLabel,0)-1,1,1)</f>
        <v>99.4</v>
      </c>
      <c r="AB47" s="1595" cm="1">
        <f t="array" aca="1" ref="AB47" ca="1">OFFSET(POrigin,MATCH(Valori[[#This Row],[LUKB_id]],PID,0),MATCH("ASK",PLabel,0)-1,1,1)</f>
        <v>99.800000000000011</v>
      </c>
      <c r="AC47" s="1594" cm="1">
        <f t="array" aca="1" ref="AC47" ca="1">OFFSET(POrigin,MATCH(Valori[[#This Row],[LUKB_id]],PID,0),MATCH("ASK:volume",PLabel,0)-1,1,1)</f>
        <v>125000</v>
      </c>
      <c r="AD47" s="1596" cm="1">
        <f t="array" aca="1" ref="AD47" ca="1">OFFSET(POrigin,MATCH(Valori[[#This Row],[LUKB_id]],PID,0),MATCH("BID-ASK Spread %",PLabel,0)-1,1,1)</f>
        <v>2.6791694574682229E-3</v>
      </c>
      <c r="AE47" s="1597" cm="1">
        <f t="array" aca="1" ref="AE47" ca="1">IF(OFFSET(POrigin,MATCH(Valori[[#This Row],[LUKB_id]],PID,0),MATCH("MATURITY",PLabel,0)-1,1,1)&gt;0,OFFSET(POrigin,MATCH(Valori[[#This Row],[LUKB_id]],PID,0),MATCH("MATURITY",PLabel,0)-1,1,1),"")</f>
        <v>46954</v>
      </c>
      <c r="AF47" s="1598" cm="1">
        <f t="array" aca="1" ref="AF47" ca="1">OFFSET(POrigin,MATCH(Valori[[#This Row],[LUKB_id]],PID,0),MATCH("ACCINT",PLabel,0)-1,1,1)</f>
        <v>0.24468055600000002</v>
      </c>
      <c r="AG47" s="1594" cm="1">
        <f t="array" aca="1" ref="AG47" ca="1">OFFSET(POrigin,MATCH(Valori[[#This Row],[LUKB_id]],PID,0),MATCH("DENOM",PLabel,0)-1,1,1)</f>
        <v>5000</v>
      </c>
      <c r="AH47" s="1599" cm="1">
        <f t="array" aca="1" ref="AH47" ca="1">(OFFSET(POrigin,MATCH(Valori[[#This Row],[LUKB_id]],PID,0),MATCH("YIELD",PLabel,0)-1,1,1)+OFFSET(POrigin,MATCH(Valori[[#This Row],[LUKB_id]],PID,0),MATCH("YLDEQ",PLabel,0)-1,1,1))/100</f>
        <v>4.5855725599999999E-3</v>
      </c>
      <c r="AI47" s="1600">
        <f ca="1">OFFSET(POrigin,MATCH(Valori[[#This Row],[LUKB_id]],PID,0),MATCH("DIVIDEND",PLabel,0)-1,1,1)</f>
        <v>0</v>
      </c>
      <c r="AJ47" s="1601">
        <f ca="1">OFFSET(POrigin,MATCH(Valori[[#This Row],[LUKB_id]],PID,0),MATCH("DIVIDEND:datetime",PLabel,0)-1,1,1)</f>
        <v>0</v>
      </c>
      <c r="AK47" s="1602">
        <f ca="1">OFFSET(POrigin,MATCH(Valori[[#This Row],[LUKB_id]],PID,0),MATCH("INTEREST",PLabel,0)-1,1,1)</f>
        <v>0.39500000000000002</v>
      </c>
      <c r="AL47" s="1603">
        <f ca="1">OFFSET(POrigin,MATCH(Valori[[#This Row],[LUKB_id]],PID,0),MATCH("4W_PERF_PR",PLabel,0)-1,1,1)/100</f>
        <v>1.5045135406220001E-3</v>
      </c>
      <c r="AM47" s="1603">
        <f ca="1">OFFSET(POrigin,MATCH(Valori[[#This Row],[LUKB_id]],PID,0),MATCH("12W_PERF_PR",PLabel,0)-1,1,1)/100</f>
        <v>1.5083000000000002E-3</v>
      </c>
      <c r="AN47" s="1603">
        <f ca="1">OFFSET(POrigin,MATCH(Valori[[#This Row],[LUKB_id]],PID,0),MATCH("YTD_PERF_PR",PLabel,0)-1,1,1)/100</f>
        <v>5.5387713997986001E-3</v>
      </c>
      <c r="AO47" s="1591"/>
      <c r="AP47" s="1591"/>
      <c r="AQ47" s="1591"/>
      <c r="AR47" s="1591"/>
      <c r="AS47" s="1890"/>
      <c r="AT47" s="1890"/>
      <c r="AU47" s="610"/>
      <c r="AV47" s="1891"/>
      <c r="AW47" s="1604" t="str">
        <f ca="1">"https://boersenundmaerkte.lukb.ch/lukb/details/"&amp;Valori[[#This Row],[LUKB_id]]</f>
        <v>https://boersenundmaerkte.lukb.ch/lukb/details/111848374,4,1</v>
      </c>
      <c r="AX4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7" s="142"/>
      <c r="AZ47" s="142"/>
      <c r="BA47" s="142"/>
      <c r="BB47" s="142"/>
    </row>
    <row r="48" spans="1:54" ht="15" customHeight="1" x14ac:dyDescent="0.2">
      <c r="A48" s="142" t="s">
        <v>1014</v>
      </c>
      <c r="B48" s="142" t="str" cm="1">
        <f t="array" aca="1" ref="B48" ca="1">OFFSET(POrigin,MATCH(Valori[[#This Row],[smo_id]],Posizioni[smo_id],0),MATCH("LUKB_id",PIntestazioni,0)-1,1,1)</f>
        <v>50607113,4,1</v>
      </c>
      <c r="C48" s="1668" t="str">
        <f ca="1">HYPERLINK("https://boersenundmaerkte.lukb.ch/lukb/details/"&amp;Valori[[#This Row],[LUKB_id]],"è")</f>
        <v>è</v>
      </c>
      <c r="D48" s="142" t="str" cm="1">
        <f t="array" aca="1" ref="D48" ca="1">OFFSET(POrigin,MATCH(Valori[[#This Row],[LUKB_id]],PID,0),MATCH("SC_GROUPED",PIntestazioni,0)-1,1,1)</f>
        <v>BON</v>
      </c>
      <c r="E48" s="413" t="str" cm="1">
        <f t="array" aca="1" ref="E48" ca="1">OFFSET(POrigin,MATCH(Valori[[#This Row],[LUKB_id]],PID,0),MATCH("isin",PIntestazioni,0)-1,1,1)</f>
        <v>CH0506071130</v>
      </c>
      <c r="F48" s="34" t="str" cm="1">
        <f t="array" aca="1" ref="F48" ca="1">OFFSET(POrigin,MATCH(Valori[[#This Row],[LUKB_id]],PID,0),MATCH("NSIN_CH",PLabel,0)-1,1,1)</f>
        <v>50607113</v>
      </c>
      <c r="G48" s="95" t="str" cm="1">
        <f t="array" aca="1" ref="G48" ca="1">IF(OFFSET(POrigin,MATCH(Valori[[#This Row],[LUKB_id]],PID,0),MATCH("INSTRUNIT",PLabel,0)-1,1,1)="Nominal","Pct","Unit")</f>
        <v>Pct</v>
      </c>
      <c r="H48" s="612">
        <f ca="1">MAX(OFFSET(POrigin,MATCH(Valori[[#This Row],[LUKB_id]],PID,0),MATCH("PRICINGAMT",PLabel,0)-1,1,1),1)</f>
        <v>1</v>
      </c>
      <c r="I48" s="615" t="str" cm="1">
        <f t="array" aca="1" ref="I48" ca="1">OFFSET(POrigin,MATCH(Valori[[#This Row],[LUKB_id]],PID,0),MATCH("M_NAME",PLabel,0)-1,1,1)</f>
        <v>0 LUKB 28</v>
      </c>
      <c r="M48" s="142" t="str" cm="1">
        <f t="array" aca="1" ref="M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Luzerner Kantonalbank AG 07.08.28</v>
      </c>
      <c r="N48" s="1563">
        <f ca="1">COUNTIF('CHF M'!smo_id,Valori[[#This Row],[smo_id]])+COUNTIF('CHF MA'!smo_id,Valori[[#This Row],[smo_id]])+COUNTIF('EUR MB'!smo_id,Valori[[#This Row],[smo_id]])+COUNTIF('EUR M'!smo_id,Valori[[#This Row],[smo_id]])+COUNTIF(AGCO!smo_id,Valori[[#This Row],[smo_id]])</f>
        <v>1</v>
      </c>
      <c r="O48" s="1590" cm="1">
        <f t="array" aca="1" ref="O48" ca="1">SUM(IF('CHF M'!smo_id=Valori[[#This Row],[smo_id]],'CHF M'!Posizione))+SUM(IF('CHF MA'!smo_id=Valori[[#This Row],[smo_id]],'CHF MA'!Posizione))+SUM(IF('EUR MB'!smo_id=Valori[[#This Row],[smo_id]],'EUR MB'!Posizione))+SUM(IF('EUR M'!smo_id=Valori[[#This Row],[smo_id]],'EUR M'!Posizione))+SUM(IF(AGCO!smo_id=Valori[[#This Row],[smo_id]],AGCO!Posizione))</f>
        <v>100000</v>
      </c>
      <c r="P48" s="1661" t="str">
        <f ca="1">HYPERLINK(Valori[[#This Row],[P_Source]],"è")</f>
        <v>è</v>
      </c>
      <c r="Q48" s="1663" t="str">
        <f>HYPERLINK(Valori[[#This Row],[Info_W]],"i")</f>
        <v>i</v>
      </c>
      <c r="R48" s="1664" t="str">
        <f>HYPERLINK(Valori[[#This Row],[FN_W]],"")</f>
        <v></v>
      </c>
      <c r="S48" s="1665" t="str">
        <f>HYPERLINK(Valori[[#This Row],[MS_Link]],"")</f>
        <v></v>
      </c>
      <c r="T48" s="1665" t="str">
        <f>HYPERLINK(Valori[[#This Row],[C_source]],"")</f>
        <v></v>
      </c>
      <c r="U48" s="142" t="str" cm="1">
        <f t="array" aca="1" ref="U48" ca="1">OFFSET(POrigin,MATCH(Valori[[#This Row],[LUKB_id]],PID,0),MATCH("M_CUR",PLabel,0)-1,1,1)</f>
        <v>CHF</v>
      </c>
      <c r="V48" s="1562">
        <f ca="1">(Valori[[#This Row],[Last]]+Valori[[#This Row],[Acc. Int]])/Valori[[#This Row],[Pr.Amt]]/IF(Valori[[#This Row],[P_Type]]="Pct",100,1)</f>
        <v>0.9930000000000001</v>
      </c>
      <c r="W48" s="1591" cm="1">
        <f t="array" aca="1" ref="W48" ca="1">OFFSET(POrigin,MATCH(Valori[[#This Row],[LUKB_id]],PID,0),MATCH("NC2_PR",PLabel,0)-1,1,1)/100</f>
        <v>-1.5082956259426E-3</v>
      </c>
      <c r="X48" s="1592" cm="1">
        <f t="array" aca="1" ref="X48" ca="1">OFFSET(POrigin,MATCH(Valori[[#This Row],[LUKB_id]],PID,0),MATCH("LVAL",PLabel,0)-1,1,1)</f>
        <v>99.300000000000011</v>
      </c>
      <c r="Y48" s="1593" cm="1">
        <f t="array" aca="1" ref="Y48" ca="1">OFFSET(POrigin,MATCH(Valori[[#This Row],[LUKB_id]],PID,0),MATCH("LVAL:datetime",PLabel,0)-1,1,1)</f>
        <v>46084.711805555555</v>
      </c>
      <c r="Z48" s="1594" cm="1">
        <f t="array" aca="1" ref="Z48" ca="1">OFFSET(POrigin,MATCH(Valori[[#This Row],[LUKB_id]],PID,0),MATCH("BID:volume",PLabel,0)-1,1,1)</f>
        <v>100000</v>
      </c>
      <c r="AA48" s="1595" cm="1">
        <f t="array" aca="1" ref="AA48" ca="1">OFFSET(POrigin,MATCH(Valori[[#This Row],[LUKB_id]],PID,0),MATCH("BID",PLabel,0)-1,1,1)</f>
        <v>98.9</v>
      </c>
      <c r="AB48" s="1595" cm="1">
        <f t="array" aca="1" ref="AB48" ca="1">OFFSET(POrigin,MATCH(Valori[[#This Row],[LUKB_id]],PID,0),MATCH("ASK",PLabel,0)-1,1,1)</f>
        <v>99.300000000000011</v>
      </c>
      <c r="AC48" s="1594" cm="1">
        <f t="array" aca="1" ref="AC48" ca="1">OFFSET(POrigin,MATCH(Valori[[#This Row],[LUKB_id]],PID,0),MATCH("ASK:volume",PLabel,0)-1,1,1)</f>
        <v>500000</v>
      </c>
      <c r="AD48" s="1596" cm="1">
        <f t="array" aca="1" ref="AD48" ca="1">OFFSET(POrigin,MATCH(Valori[[#This Row],[LUKB_id]],PID,0),MATCH("BID-ASK Spread %",PLabel,0)-1,1,1)</f>
        <v>2.6926960619320477E-3</v>
      </c>
      <c r="AE48" s="1597" cm="1">
        <f t="array" aca="1" ref="AE48" ca="1">IF(OFFSET(POrigin,MATCH(Valori[[#This Row],[LUKB_id]],PID,0),MATCH("MATURITY",PLabel,0)-1,1,1)&gt;0,OFFSET(POrigin,MATCH(Valori[[#This Row],[LUKB_id]],PID,0),MATCH("MATURITY",PLabel,0)-1,1,1),"")</f>
        <v>46972</v>
      </c>
      <c r="AF48" s="1598" cm="1">
        <f t="array" aca="1" ref="AF48" ca="1">OFFSET(POrigin,MATCH(Valori[[#This Row],[LUKB_id]],PID,0),MATCH("ACCINT",PLabel,0)-1,1,1)</f>
        <v>0</v>
      </c>
      <c r="AG48" s="1594" cm="1">
        <f t="array" aca="1" ref="AG48" ca="1">OFFSET(POrigin,MATCH(Valori[[#This Row],[LUKB_id]],PID,0),MATCH("DENOM",PLabel,0)-1,1,1)</f>
        <v>5000</v>
      </c>
      <c r="AH48" s="1599" cm="1">
        <f t="array" aca="1" ref="AH48" ca="1">(OFFSET(POrigin,MATCH(Valori[[#This Row],[LUKB_id]],PID,0),MATCH("YIELD",PLabel,0)-1,1,1)+OFFSET(POrigin,MATCH(Valori[[#This Row],[LUKB_id]],PID,0),MATCH("YLDEQ",PLabel,0)-1,1,1))/100</f>
        <v>3.1128342699999999E-3</v>
      </c>
      <c r="AI48" s="1600">
        <f ca="1">OFFSET(POrigin,MATCH(Valori[[#This Row],[LUKB_id]],PID,0),MATCH("DIVIDEND",PLabel,0)-1,1,1)</f>
        <v>0</v>
      </c>
      <c r="AJ48" s="1601">
        <f ca="1">OFFSET(POrigin,MATCH(Valori[[#This Row],[LUKB_id]],PID,0),MATCH("DIVIDEND:datetime",PLabel,0)-1,1,1)</f>
        <v>0</v>
      </c>
      <c r="AK48" s="1602">
        <f ca="1">OFFSET(POrigin,MATCH(Valori[[#This Row],[LUKB_id]],PID,0),MATCH("INTEREST",PLabel,0)-1,1,1)</f>
        <v>0</v>
      </c>
      <c r="AL48" s="1603">
        <f ca="1">OFFSET(POrigin,MATCH(Valori[[#This Row],[LUKB_id]],PID,0),MATCH("4W_PERF_PR",PLabel,0)-1,1,1)/100</f>
        <v>1.5136226034308002E-3</v>
      </c>
      <c r="AM48" s="1603">
        <f ca="1">OFFSET(POrigin,MATCH(Valori[[#This Row],[LUKB_id]],PID,0),MATCH("12W_PERF_PR",PLabel,0)-1,1,1)/100</f>
        <v>2.015113350126E-3</v>
      </c>
      <c r="AN48" s="1603">
        <f ca="1">OFFSET(POrigin,MATCH(Valori[[#This Row],[LUKB_id]],PID,0),MATCH("YTD_PERF_PR",PLabel,0)-1,1,1)/100</f>
        <v>6.5789473684210002E-3</v>
      </c>
      <c r="AO48" s="1591"/>
      <c r="AP48" s="1591"/>
      <c r="AQ48" s="1591"/>
      <c r="AR48" s="1591"/>
      <c r="AS48" s="1890"/>
      <c r="AT48" s="1890"/>
      <c r="AU48" s="610"/>
      <c r="AV48" s="1891"/>
      <c r="AW48" s="1604" t="str">
        <f ca="1">"https://boersenundmaerkte.lukb.ch/lukb/details/"&amp;Valori[[#This Row],[LUKB_id]]</f>
        <v>https://boersenundmaerkte.lukb.ch/lukb/details/50607113,4,1</v>
      </c>
      <c r="AX4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8" s="142"/>
      <c r="AZ48" s="142"/>
      <c r="BA48" s="142"/>
      <c r="BB48" s="142"/>
    </row>
    <row r="49" spans="1:54" ht="15" customHeight="1" x14ac:dyDescent="0.2">
      <c r="A49" s="142" t="s">
        <v>1015</v>
      </c>
      <c r="B49" s="142" t="str" cm="1">
        <f t="array" aca="1" ref="B49" ca="1">OFFSET(POrigin,MATCH(Valori[[#This Row],[smo_id]],Posizioni[smo_id],0),MATCH("LUKB_id",PIntestazioni,0)-1,1,1)</f>
        <v>113296626,4,1</v>
      </c>
      <c r="C49" s="1668" t="str">
        <f ca="1">HYPERLINK("https://boersenundmaerkte.lukb.ch/lukb/details/"&amp;Valori[[#This Row],[LUKB_id]],"è")</f>
        <v>è</v>
      </c>
      <c r="D49" s="142" t="str" cm="1">
        <f t="array" aca="1" ref="D49" ca="1">OFFSET(POrigin,MATCH(Valori[[#This Row],[LUKB_id]],PID,0),MATCH("SC_GROUPED",PIntestazioni,0)-1,1,1)</f>
        <v>BON</v>
      </c>
      <c r="E49" s="413" t="str" cm="1">
        <f t="array" aca="1" ref="E49" ca="1">OFFSET(POrigin,MATCH(Valori[[#This Row],[LUKB_id]],PID,0),MATCH("isin",PIntestazioni,0)-1,1,1)</f>
        <v>CH1132966263</v>
      </c>
      <c r="F49" s="34" t="str" cm="1">
        <f t="array" aca="1" ref="F49" ca="1">OFFSET(POrigin,MATCH(Valori[[#This Row],[LUKB_id]],PID,0),MATCH("NSIN_CH",PLabel,0)-1,1,1)</f>
        <v>113296626</v>
      </c>
      <c r="G49" s="95" t="str" cm="1">
        <f t="array" aca="1" ref="G49" ca="1">IF(OFFSET(POrigin,MATCH(Valori[[#This Row],[LUKB_id]],PID,0),MATCH("INSTRUNIT",PLabel,0)-1,1,1)="Nominal","Pct","Unit")</f>
        <v>Pct</v>
      </c>
      <c r="H49" s="612">
        <f ca="1">MAX(OFFSET(POrigin,MATCH(Valori[[#This Row],[LUKB_id]],PID,0),MATCH("PRICINGAMT",PLabel,0)-1,1,1),1)</f>
        <v>1</v>
      </c>
      <c r="I49" s="615" t="str" cm="1">
        <f t="array" aca="1" ref="I49" ca="1">OFFSET(POrigin,MATCH(Valori[[#This Row],[LUKB_id]],PID,0),MATCH("M_NAME",PLabel,0)-1,1,1)</f>
        <v>0.5 GlenC 28 1</v>
      </c>
      <c r="M49" s="142" t="str" cm="1">
        <f t="array" aca="1" ref="M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Glencore Capital Finance DAC 07.09.28</v>
      </c>
      <c r="N49" s="1563">
        <f ca="1">COUNTIF('CHF M'!smo_id,Valori[[#This Row],[smo_id]])+COUNTIF('CHF MA'!smo_id,Valori[[#This Row],[smo_id]])+COUNTIF('EUR MB'!smo_id,Valori[[#This Row],[smo_id]])+COUNTIF('EUR M'!smo_id,Valori[[#This Row],[smo_id]])+COUNTIF(AGCO!smo_id,Valori[[#This Row],[smo_id]])</f>
        <v>2</v>
      </c>
      <c r="O49" s="1590" cm="1">
        <f t="array" aca="1" ref="O49" ca="1">SUM(IF('CHF M'!smo_id=Valori[[#This Row],[smo_id]],'CHF M'!Posizione))+SUM(IF('CHF MA'!smo_id=Valori[[#This Row],[smo_id]],'CHF MA'!Posizione))+SUM(IF('EUR MB'!smo_id=Valori[[#This Row],[smo_id]],'EUR MB'!Posizione))+SUM(IF('EUR M'!smo_id=Valori[[#This Row],[smo_id]],'EUR M'!Posizione))+SUM(IF(AGCO!smo_id=Valori[[#This Row],[smo_id]],AGCO!Posizione))</f>
        <v>145000</v>
      </c>
      <c r="P49" s="1661" t="str">
        <f ca="1">HYPERLINK(Valori[[#This Row],[P_Source]],"è")</f>
        <v>è</v>
      </c>
      <c r="Q49" s="1663" t="str">
        <f>HYPERLINK(Valori[[#This Row],[Info_W]],"i")</f>
        <v>i</v>
      </c>
      <c r="R49" s="1664" t="str">
        <f>HYPERLINK(Valori[[#This Row],[FN_W]],"")</f>
        <v></v>
      </c>
      <c r="S49" s="1665" t="str">
        <f>HYPERLINK(Valori[[#This Row],[MS_Link]],"")</f>
        <v></v>
      </c>
      <c r="T49" s="1665" t="str">
        <f>HYPERLINK(Valori[[#This Row],[C_source]],"")</f>
        <v></v>
      </c>
      <c r="U49" s="142" t="str" cm="1">
        <f t="array" aca="1" ref="U49" ca="1">OFFSET(POrigin,MATCH(Valori[[#This Row],[LUKB_id]],PID,0),MATCH("M_CUR",PLabel,0)-1,1,1)</f>
        <v>CHF</v>
      </c>
      <c r="V49" s="1562">
        <f ca="1">(Valori[[#This Row],[Last]]+Valori[[#This Row],[Acc. Int]])/Valori[[#This Row],[Pr.Amt]]/IF(Valori[[#This Row],[P_Type]]="Pct",100,1)</f>
        <v>0.99544444444000002</v>
      </c>
      <c r="W49" s="1591" cm="1">
        <f t="array" aca="1" ref="W49" ca="1">OFFSET(POrigin,MATCH(Valori[[#This Row],[LUKB_id]],PID,0),MATCH("NC2_PR",PLabel,0)-1,1,1)/100</f>
        <v>-4.0120361083249003E-3</v>
      </c>
      <c r="X49" s="1592" cm="1">
        <f t="array" aca="1" ref="X49" ca="1">OFFSET(POrigin,MATCH(Valori[[#This Row],[LUKB_id]],PID,0),MATCH("LVAL",PLabel,0)-1,1,1)</f>
        <v>99.300000000000011</v>
      </c>
      <c r="Y49" s="1593" cm="1">
        <f t="array" aca="1" ref="Y49" ca="1">OFFSET(POrigin,MATCH(Valori[[#This Row],[LUKB_id]],PID,0),MATCH("LVAL:datetime",PLabel,0)-1,1,1)</f>
        <v>46084.396157407406</v>
      </c>
      <c r="Z49" s="1594" cm="1">
        <f t="array" aca="1" ref="Z49" ca="1">OFFSET(POrigin,MATCH(Valori[[#This Row],[LUKB_id]],PID,0),MATCH("BID:volume",PLabel,0)-1,1,1)</f>
        <v>250000</v>
      </c>
      <c r="AA49" s="1595" cm="1">
        <f t="array" aca="1" ref="AA49" ca="1">OFFSET(POrigin,MATCH(Valori[[#This Row],[LUKB_id]],PID,0),MATCH("BID",PLabel,0)-1,1,1)</f>
        <v>99.15</v>
      </c>
      <c r="AB49" s="1595" cm="1">
        <f t="array" aca="1" ref="AB49" ca="1">OFFSET(POrigin,MATCH(Valori[[#This Row],[LUKB_id]],PID,0),MATCH("ASK",PLabel,0)-1,1,1)</f>
        <v>99.65</v>
      </c>
      <c r="AC49" s="1594" cm="1">
        <f t="array" aca="1" ref="AC49" ca="1">OFFSET(POrigin,MATCH(Valori[[#This Row],[LUKB_id]],PID,0),MATCH("ASK:volume",PLabel,0)-1,1,1)</f>
        <v>100000</v>
      </c>
      <c r="AD49" s="1596" cm="1">
        <f t="array" aca="1" ref="AD49" ca="1">OFFSET(POrigin,MATCH(Valori[[#This Row],[LUKB_id]],PID,0),MATCH("BID-ASK Spread %",PLabel,0)-1,1,1)</f>
        <v>3.3562678301728472E-3</v>
      </c>
      <c r="AE49" s="1597" cm="1">
        <f t="array" aca="1" ref="AE49" ca="1">IF(OFFSET(POrigin,MATCH(Valori[[#This Row],[LUKB_id]],PID,0),MATCH("MATURITY",PLabel,0)-1,1,1)&gt;0,OFFSET(POrigin,MATCH(Valori[[#This Row],[LUKB_id]],PID,0),MATCH("MATURITY",PLabel,0)-1,1,1),"")</f>
        <v>47003</v>
      </c>
      <c r="AF49" s="1598" cm="1">
        <f t="array" aca="1" ref="AF49" ca="1">OFFSET(POrigin,MATCH(Valori[[#This Row],[LUKB_id]],PID,0),MATCH("ACCINT",PLabel,0)-1,1,1)</f>
        <v>0.24444444400000001</v>
      </c>
      <c r="AG49" s="1594" cm="1">
        <f t="array" aca="1" ref="AG49" ca="1">OFFSET(POrigin,MATCH(Valori[[#This Row],[LUKB_id]],PID,0),MATCH("DENOM",PLabel,0)-1,1,1)</f>
        <v>5000</v>
      </c>
      <c r="AH49" s="1599" cm="1">
        <f t="array" aca="1" ref="AH49" ca="1">(OFFSET(POrigin,MATCH(Valori[[#This Row],[LUKB_id]],PID,0),MATCH("YIELD",PLabel,0)-1,1,1)+OFFSET(POrigin,MATCH(Valori[[#This Row],[LUKB_id]],PID,0),MATCH("YLDEQ",PLabel,0)-1,1,1))/100</f>
        <v>6.208829170000001E-3</v>
      </c>
      <c r="AI49" s="1600">
        <f ca="1">OFFSET(POrigin,MATCH(Valori[[#This Row],[LUKB_id]],PID,0),MATCH("DIVIDEND",PLabel,0)-1,1,1)</f>
        <v>0</v>
      </c>
      <c r="AJ49" s="1601">
        <f ca="1">OFFSET(POrigin,MATCH(Valori[[#This Row],[LUKB_id]],PID,0),MATCH("DIVIDEND:datetime",PLabel,0)-1,1,1)</f>
        <v>0</v>
      </c>
      <c r="AK49" s="1602">
        <f ca="1">OFFSET(POrigin,MATCH(Valori[[#This Row],[LUKB_id]],PID,0),MATCH("INTEREST",PLabel,0)-1,1,1)</f>
        <v>0.5</v>
      </c>
      <c r="AL49" s="1603">
        <f ca="1">OFFSET(POrigin,MATCH(Valori[[#This Row],[LUKB_id]],PID,0),MATCH("4W_PERF_PR",PLabel,0)-1,1,1)/100</f>
        <v>-4.0120399999999997E-3</v>
      </c>
      <c r="AM49" s="1603">
        <f ca="1">OFFSET(POrigin,MATCH(Valori[[#This Row],[LUKB_id]],PID,0),MATCH("12W_PERF_PR",PLabel,0)-1,1,1)/100</f>
        <v>2.5138260432379001E-3</v>
      </c>
      <c r="AN49" s="1603">
        <f ca="1">OFFSET(POrigin,MATCH(Valori[[#This Row],[LUKB_id]],PID,0),MATCH("YTD_PERF_PR",PLabel,0)-1,1,1)/100</f>
        <v>2.5138260432379001E-3</v>
      </c>
      <c r="AO49" s="1591"/>
      <c r="AP49" s="1591"/>
      <c r="AQ49" s="1591"/>
      <c r="AR49" s="1591"/>
      <c r="AS49" s="1890"/>
      <c r="AT49" s="1890"/>
      <c r="AU49" s="610"/>
      <c r="AV49" s="1891"/>
      <c r="AW49" s="1604" t="str">
        <f ca="1">"https://boersenundmaerkte.lukb.ch/lukb/details/"&amp;Valori[[#This Row],[LUKB_id]]</f>
        <v>https://boersenundmaerkte.lukb.ch/lukb/details/113296626,4,1</v>
      </c>
      <c r="AX4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9" s="142"/>
      <c r="AZ49" s="142"/>
      <c r="BA49" s="142"/>
      <c r="BB49" s="142"/>
    </row>
    <row r="50" spans="1:54" ht="15" customHeight="1" x14ac:dyDescent="0.2">
      <c r="A50" s="142" t="s">
        <v>1016</v>
      </c>
      <c r="B50" s="142" t="str" cm="1">
        <f t="array" aca="1" ref="B50" ca="1">OFFSET(POrigin,MATCH(Valori[[#This Row],[smo_id]],Posizioni[smo_id],0),MATCH("LUKB_id",PIntestazioni,0)-1,1,1)</f>
        <v>56174075,2779,814</v>
      </c>
      <c r="C50" s="1668" t="str">
        <f ca="1">HYPERLINK("https://boersenundmaerkte.lukb.ch/lukb/details/"&amp;Valori[[#This Row],[LUKB_id]],"è")</f>
        <v>è</v>
      </c>
      <c r="D50" s="142" t="str" cm="1">
        <f t="array" aca="1" ref="D50" ca="1">OFFSET(POrigin,MATCH(Valori[[#This Row],[LUKB_id]],PID,0),MATCH("SC_GROUPED",PIntestazioni,0)-1,1,1)</f>
        <v>BON</v>
      </c>
      <c r="E50" s="413" t="str" cm="1">
        <f t="array" aca="1" ref="E50" ca="1">OFFSET(POrigin,MATCH(Valori[[#This Row],[LUKB_id]],PID,0),MATCH("isin",PIntestazioni,0)-1,1,1)</f>
        <v>XS2209794408</v>
      </c>
      <c r="F50" s="34" t="str" cm="1">
        <f t="array" aca="1" ref="F50" ca="1">OFFSET(POrigin,MATCH(Valori[[#This Row],[LUKB_id]],PID,0),MATCH("NSIN_CH",PLabel,0)-1,1,1)</f>
        <v>56174075</v>
      </c>
      <c r="G50" s="95" t="str" cm="1">
        <f t="array" aca="1" ref="G50" ca="1">IF(OFFSET(POrigin,MATCH(Valori[[#This Row],[LUKB_id]],PID,0),MATCH("INSTRUNIT",PLabel,0)-1,1,1)="Nominal","Pct","Unit")</f>
        <v>Pct</v>
      </c>
      <c r="H50" s="612">
        <f ca="1">MAX(OFFSET(POrigin,MATCH(Valori[[#This Row],[LUKB_id]],PID,0),MATCH("PRICINGAMT",PLabel,0)-1,1,1),1)</f>
        <v>1</v>
      </c>
      <c r="I50" s="615" t="str" cm="1">
        <f t="array" aca="1" ref="I50" ca="1">OFFSET(POrigin,MATCH(Valori[[#This Row],[LUKB_id]],PID,0),MATCH("M_NAME",PLabel,0)-1,1,1)</f>
        <v>0 KFW 28 Bds</v>
      </c>
      <c r="M50" s="142" t="str" cm="1">
        <f t="array" aca="1" ref="M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Kreditanstalt fuer Wiederaufbau KFW 15.09.28</v>
      </c>
      <c r="N50" s="1563">
        <f ca="1">COUNTIF('CHF M'!smo_id,Valori[[#This Row],[smo_id]])+COUNTIF('CHF MA'!smo_id,Valori[[#This Row],[smo_id]])+COUNTIF('EUR MB'!smo_id,Valori[[#This Row],[smo_id]])+COUNTIF('EUR M'!smo_id,Valori[[#This Row],[smo_id]])+COUNTIF(AGCO!smo_id,Valori[[#This Row],[smo_id]])</f>
        <v>1</v>
      </c>
      <c r="O50" s="1590" cm="1">
        <f t="array" aca="1" ref="O50" ca="1">SUM(IF('CHF M'!smo_id=Valori[[#This Row],[smo_id]],'CHF M'!Posizione))+SUM(IF('CHF MA'!smo_id=Valori[[#This Row],[smo_id]],'CHF MA'!Posizione))+SUM(IF('EUR MB'!smo_id=Valori[[#This Row],[smo_id]],'EUR MB'!Posizione))+SUM(IF('EUR M'!smo_id=Valori[[#This Row],[smo_id]],'EUR M'!Posizione))+SUM(IF(AGCO!smo_id=Valori[[#This Row],[smo_id]],AGCO!Posizione))</f>
        <v>10000</v>
      </c>
      <c r="P50" s="1661" t="str">
        <f ca="1">HYPERLINK(Valori[[#This Row],[P_Source]],"è")</f>
        <v>è</v>
      </c>
      <c r="Q50" s="1663" t="str">
        <f>HYPERLINK(Valori[[#This Row],[Info_W]],"i")</f>
        <v>i</v>
      </c>
      <c r="R50" s="1664" t="str">
        <f>HYPERLINK(Valori[[#This Row],[FN_W]],"")</f>
        <v></v>
      </c>
      <c r="S50" s="1665" t="str">
        <f>HYPERLINK(Valori[[#This Row],[MS_Link]],"")</f>
        <v></v>
      </c>
      <c r="T50" s="1665" t="str">
        <f>HYPERLINK(Valori[[#This Row],[C_source]],"")</f>
        <v></v>
      </c>
      <c r="U50" s="142" t="str" cm="1">
        <f t="array" aca="1" ref="U50" ca="1">OFFSET(POrigin,MATCH(Valori[[#This Row],[LUKB_id]],PID,0),MATCH("M_CUR",PLabel,0)-1,1,1)</f>
        <v>EUR</v>
      </c>
      <c r="V50" s="1562">
        <f ca="1">(Valori[[#This Row],[Last]]+Valori[[#This Row],[Acc. Int]])/Valori[[#This Row],[Pr.Amt]]/IF(Valori[[#This Row],[P_Type]]="Pct",100,1)</f>
        <v>0.94427000000000005</v>
      </c>
      <c r="W50" s="1591" cm="1">
        <f t="array" aca="1" ref="W50" ca="1">OFFSET(POrigin,MATCH(Valori[[#This Row],[LUKB_id]],PID,0),MATCH("NC2_PR",PLabel,0)-1,1,1)/100</f>
        <v>-1.4593136995716999E-3</v>
      </c>
      <c r="X50" s="1592" cm="1">
        <f t="array" aca="1" ref="X50" ca="1">OFFSET(POrigin,MATCH(Valori[[#This Row],[LUKB_id]],PID,0),MATCH("LVAL",PLabel,0)-1,1,1)</f>
        <v>94.427000000000007</v>
      </c>
      <c r="Y50" s="1593" cm="1">
        <f t="array" aca="1" ref="Y50" ca="1">OFFSET(POrigin,MATCH(Valori[[#This Row],[LUKB_id]],PID,0),MATCH("LVAL:datetime",PLabel,0)-1,1,1)</f>
        <v>46084.750231481485</v>
      </c>
      <c r="Z50" s="1594" cm="1">
        <f t="array" aca="1" ref="Z50" ca="1">OFFSET(POrigin,MATCH(Valori[[#This Row],[LUKB_id]],PID,0),MATCH("BID:volume",PLabel,0)-1,1,1)</f>
        <v>250000</v>
      </c>
      <c r="AA50" s="1595" cm="1">
        <f t="array" aca="1" ref="AA50" ca="1">OFFSET(POrigin,MATCH(Valori[[#This Row],[LUKB_id]],PID,0),MATCH("BID",PLabel,0)-1,1,1)</f>
        <v>94.427000000000007</v>
      </c>
      <c r="AB50" s="1595" cm="1">
        <f t="array" aca="1" ref="AB50" ca="1">OFFSET(POrigin,MATCH(Valori[[#This Row],[LUKB_id]],PID,0),MATCH("ASK",PLabel,0)-1,1,1)</f>
        <v>94.466999999999999</v>
      </c>
      <c r="AC50" s="1594" cm="1">
        <f t="array" aca="1" ref="AC50" ca="1">OFFSET(POrigin,MATCH(Valori[[#This Row],[LUKB_id]],PID,0),MATCH("ASK:volume",PLabel,0)-1,1,1)</f>
        <v>250000</v>
      </c>
      <c r="AD50" s="1596" cm="1">
        <f t="array" aca="1" ref="AD50" ca="1">OFFSET(POrigin,MATCH(Valori[[#This Row],[LUKB_id]],PID,0),MATCH("BID-ASK Spread %",PLabel,0)-1,1,1)</f>
        <v>2.8236523236888219E-4</v>
      </c>
      <c r="AE50" s="1597" cm="1">
        <f t="array" aca="1" ref="AE50" ca="1">IF(OFFSET(POrigin,MATCH(Valori[[#This Row],[LUKB_id]],PID,0),MATCH("MATURITY",PLabel,0)-1,1,1)&gt;0,OFFSET(POrigin,MATCH(Valori[[#This Row],[LUKB_id]],PID,0),MATCH("MATURITY",PLabel,0)-1,1,1),"")</f>
        <v>47011</v>
      </c>
      <c r="AF50" s="1598" cm="1">
        <f t="array" aca="1" ref="AF50" ca="1">OFFSET(POrigin,MATCH(Valori[[#This Row],[LUKB_id]],PID,0),MATCH("ACCINT",PLabel,0)-1,1,1)</f>
        <v>0</v>
      </c>
      <c r="AG50" s="1594" cm="1">
        <f t="array" aca="1" ref="AG50" ca="1">OFFSET(POrigin,MATCH(Valori[[#This Row],[LUKB_id]],PID,0),MATCH("DENOM",PLabel,0)-1,1,1)</f>
        <v>1000</v>
      </c>
      <c r="AH50" s="1599" cm="1">
        <f t="array" aca="1" ref="AH50" ca="1">(OFFSET(POrigin,MATCH(Valori[[#This Row],[LUKB_id]],PID,0),MATCH("YIELD",PLabel,0)-1,1,1)+OFFSET(POrigin,MATCH(Valori[[#This Row],[LUKB_id]],PID,0),MATCH("YLDEQ",PLabel,0)-1,1,1))/100</f>
        <v>2.2295915999999999E-2</v>
      </c>
      <c r="AI50" s="1600">
        <f ca="1">OFFSET(POrigin,MATCH(Valori[[#This Row],[LUKB_id]],PID,0),MATCH("DIVIDEND",PLabel,0)-1,1,1)</f>
        <v>0</v>
      </c>
      <c r="AJ50" s="1601">
        <f ca="1">OFFSET(POrigin,MATCH(Valori[[#This Row],[LUKB_id]],PID,0),MATCH("DIVIDEND:datetime",PLabel,0)-1,1,1)</f>
        <v>0</v>
      </c>
      <c r="AK50" s="1602">
        <f ca="1">OFFSET(POrigin,MATCH(Valori[[#This Row],[LUKB_id]],PID,0),MATCH("INTEREST",PLabel,0)-1,1,1)</f>
        <v>0</v>
      </c>
      <c r="AL50" s="1603">
        <f ca="1">OFFSET(POrigin,MATCH(Valori[[#This Row],[LUKB_id]],PID,0),MATCH("4W_PERF_PR",PLabel,0)-1,1,1)/100</f>
        <v>2.7038490085887E-3</v>
      </c>
      <c r="AM50" s="1603">
        <f ca="1">OFFSET(POrigin,MATCH(Valori[[#This Row],[LUKB_id]],PID,0),MATCH("12W_PERF_PR",PLabel,0)-1,1,1)/100</f>
        <v>8.338398217160899E-3</v>
      </c>
      <c r="AN50" s="1603">
        <f ca="1">OFFSET(POrigin,MATCH(Valori[[#This Row],[LUKB_id]],PID,0),MATCH("YTD_PERF_PR",PLabel,0)-1,1,1)/100</f>
        <v>9.0278897307754999E-3</v>
      </c>
      <c r="AO50" s="1591"/>
      <c r="AP50" s="1591"/>
      <c r="AQ50" s="1591"/>
      <c r="AR50" s="1591"/>
      <c r="AS50" s="1890"/>
      <c r="AT50" s="1890"/>
      <c r="AU50" s="610"/>
      <c r="AV50" s="1891"/>
      <c r="AW50" s="1604" t="str">
        <f ca="1">"https://boersenundmaerkte.lukb.ch/lukb/details/"&amp;Valori[[#This Row],[LUKB_id]]</f>
        <v>https://boersenundmaerkte.lukb.ch/lukb/details/56174075,2779,814</v>
      </c>
      <c r="AX5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0" s="142"/>
      <c r="AZ50" s="142"/>
      <c r="BA50" s="142"/>
      <c r="BB50" s="142"/>
    </row>
    <row r="51" spans="1:54" ht="15" customHeight="1" x14ac:dyDescent="0.2">
      <c r="A51" s="142" t="s">
        <v>1017</v>
      </c>
      <c r="B51" s="142" t="str" cm="1">
        <f t="array" aca="1" ref="B51" ca="1">OFFSET(POrigin,MATCH(Valori[[#This Row],[smo_id]],Posizioni[smo_id],0),MATCH("LUKB_id",PIntestazioni,0)-1,1,1)</f>
        <v>57289925,4,1</v>
      </c>
      <c r="C51" s="1668" t="str">
        <f ca="1">HYPERLINK("https://boersenundmaerkte.lukb.ch/lukb/details/"&amp;Valori[[#This Row],[LUKB_id]],"è")</f>
        <v>è</v>
      </c>
      <c r="D51" s="142" t="str" cm="1">
        <f t="array" aca="1" ref="D51" ca="1">OFFSET(POrigin,MATCH(Valori[[#This Row],[LUKB_id]],PID,0),MATCH("SC_GROUPED",PIntestazioni,0)-1,1,1)</f>
        <v>BON</v>
      </c>
      <c r="E51" s="413" t="str" cm="1">
        <f t="array" aca="1" ref="E51" ca="1">OFFSET(POrigin,MATCH(Valori[[#This Row],[LUKB_id]],PID,0),MATCH("isin",PIntestazioni,0)-1,1,1)</f>
        <v>CH0572899257</v>
      </c>
      <c r="F51" s="34" t="str" cm="1">
        <f t="array" aca="1" ref="F51" ca="1">OFFSET(POrigin,MATCH(Valori[[#This Row],[LUKB_id]],PID,0),MATCH("NSIN_CH",PLabel,0)-1,1,1)</f>
        <v>57289925</v>
      </c>
      <c r="G51" s="95" t="str" cm="1">
        <f t="array" aca="1" ref="G51" ca="1">IF(OFFSET(POrigin,MATCH(Valori[[#This Row],[LUKB_id]],PID,0),MATCH("INSTRUNIT",PLabel,0)-1,1,1)="Nominal","Pct","Unit")</f>
        <v>Pct</v>
      </c>
      <c r="H51" s="612">
        <f ca="1">MAX(OFFSET(POrigin,MATCH(Valori[[#This Row],[LUKB_id]],PID,0),MATCH("PRICINGAMT",PLabel,0)-1,1,1),1)</f>
        <v>1</v>
      </c>
      <c r="I51" s="615" t="str" cm="1">
        <f t="array" aca="1" ref="I51" ca="1">OFFSET(POrigin,MATCH(Valori[[#This Row],[LUKB_id]],PID,0),MATCH("M_NAME",PLabel,0)-1,1,1)</f>
        <v>0.5 RAIF 28 Obl -S</v>
      </c>
      <c r="M51" s="142" t="str" cm="1">
        <f t="array" aca="1" ref="M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Raiffeisen Schweiz Genossenschaft 11.11.28</v>
      </c>
      <c r="N51" s="1563">
        <f ca="1">COUNTIF('CHF M'!smo_id,Valori[[#This Row],[smo_id]])+COUNTIF('CHF MA'!smo_id,Valori[[#This Row],[smo_id]])+COUNTIF('EUR MB'!smo_id,Valori[[#This Row],[smo_id]])+COUNTIF('EUR M'!smo_id,Valori[[#This Row],[smo_id]])+COUNTIF(AGCO!smo_id,Valori[[#This Row],[smo_id]])</f>
        <v>1</v>
      </c>
      <c r="O51" s="1590" cm="1">
        <f t="array" aca="1" ref="O51" ca="1">SUM(IF('CHF M'!smo_id=Valori[[#This Row],[smo_id]],'CHF M'!Posizione))+SUM(IF('CHF MA'!smo_id=Valori[[#This Row],[smo_id]],'CHF MA'!Posizione))+SUM(IF('EUR MB'!smo_id=Valori[[#This Row],[smo_id]],'EUR MB'!Posizione))+SUM(IF('EUR M'!smo_id=Valori[[#This Row],[smo_id]],'EUR M'!Posizione))+SUM(IF(AGCO!smo_id=Valori[[#This Row],[smo_id]],AGCO!Posizione))</f>
        <v>100000</v>
      </c>
      <c r="P51" s="1661" t="str">
        <f ca="1">HYPERLINK(Valori[[#This Row],[P_Source]],"è")</f>
        <v>è</v>
      </c>
      <c r="Q51" s="1663" t="str">
        <f>HYPERLINK(Valori[[#This Row],[Info_W]],"i")</f>
        <v>i</v>
      </c>
      <c r="R51" s="1664" t="str">
        <f>HYPERLINK(Valori[[#This Row],[FN_W]],"")</f>
        <v></v>
      </c>
      <c r="S51" s="1665" t="str">
        <f>HYPERLINK(Valori[[#This Row],[MS_Link]],"")</f>
        <v></v>
      </c>
      <c r="T51" s="1665" t="str">
        <f>HYPERLINK(Valori[[#This Row],[C_source]],"")</f>
        <v></v>
      </c>
      <c r="U51" s="142" t="str" cm="1">
        <f t="array" aca="1" ref="U51" ca="1">OFFSET(POrigin,MATCH(Valori[[#This Row],[LUKB_id]],PID,0),MATCH("M_CUR",PLabel,0)-1,1,1)</f>
        <v>CHF</v>
      </c>
      <c r="V51" s="1562">
        <f ca="1">(Valori[[#This Row],[Last]]+Valori[[#This Row],[Acc. Int]])/Valori[[#This Row],[Pr.Amt]]/IF(Valori[[#This Row],[P_Type]]="Pct",100,1)</f>
        <v>0.99805555556000003</v>
      </c>
      <c r="W51" s="1591" cm="1">
        <f t="array" aca="1" ref="W51" ca="1">OFFSET(POrigin,MATCH(Valori[[#This Row],[LUKB_id]],PID,0),MATCH("NC2_PR",PLabel,0)-1,1,1)/100</f>
        <v>-3.5000000000000005E-3</v>
      </c>
      <c r="X51" s="1592" cm="1">
        <f t="array" aca="1" ref="X51" ca="1">OFFSET(POrigin,MATCH(Valori[[#This Row],[LUKB_id]],PID,0),MATCH("LVAL",PLabel,0)-1,1,1)</f>
        <v>99.65</v>
      </c>
      <c r="Y51" s="1593" cm="1">
        <f t="array" aca="1" ref="Y51" ca="1">OFFSET(POrigin,MATCH(Valori[[#This Row],[LUKB_id]],PID,0),MATCH("LVAL:datetime",PLabel,0)-1,1,1)</f>
        <v>46084.708333333336</v>
      </c>
      <c r="Z51" s="1594" cm="1">
        <f t="array" aca="1" ref="Z51" ca="1">OFFSET(POrigin,MATCH(Valori[[#This Row],[LUKB_id]],PID,0),MATCH("BID:volume",PLabel,0)-1,1,1)</f>
        <v>100000</v>
      </c>
      <c r="AA51" s="1595" cm="1">
        <f t="array" aca="1" ref="AA51" ca="1">OFFSET(POrigin,MATCH(Valori[[#This Row],[LUKB_id]],PID,0),MATCH("BID",PLabel,0)-1,1,1)</f>
        <v>99.65</v>
      </c>
      <c r="AB51" s="1595" cm="1">
        <f t="array" aca="1" ref="AB51" ca="1">OFFSET(POrigin,MATCH(Valori[[#This Row],[LUKB_id]],PID,0),MATCH("ASK",PLabel,0)-1,1,1)</f>
        <v>100.25</v>
      </c>
      <c r="AC51" s="1594" cm="1">
        <f t="array" aca="1" ref="AC51" ca="1">OFFSET(POrigin,MATCH(Valori[[#This Row],[LUKB_id]],PID,0),MATCH("ASK:volume",PLabel,0)-1,1,1)</f>
        <v>100000</v>
      </c>
      <c r="AD51" s="1596" cm="1">
        <f t="array" aca="1" ref="AD51" ca="1">OFFSET(POrigin,MATCH(Valori[[#This Row],[LUKB_id]],PID,0),MATCH("BID-ASK Spread %",PLabel,0)-1,1,1)</f>
        <v>4.0060090135202427E-3</v>
      </c>
      <c r="AE51" s="1597" cm="1">
        <f t="array" aca="1" ref="AE51" ca="1">IF(OFFSET(POrigin,MATCH(Valori[[#This Row],[LUKB_id]],PID,0),MATCH("MATURITY",PLabel,0)-1,1,1)&gt;0,OFFSET(POrigin,MATCH(Valori[[#This Row],[LUKB_id]],PID,0),MATCH("MATURITY",PLabel,0)-1,1,1),"")</f>
        <v>47068</v>
      </c>
      <c r="AF51" s="1598" cm="1">
        <f t="array" aca="1" ref="AF51" ca="1">OFFSET(POrigin,MATCH(Valori[[#This Row],[LUKB_id]],PID,0),MATCH("ACCINT",PLabel,0)-1,1,1)</f>
        <v>0.15555555600000001</v>
      </c>
      <c r="AG51" s="1594" cm="1">
        <f t="array" aca="1" ref="AG51" ca="1">OFFSET(POrigin,MATCH(Valori[[#This Row],[LUKB_id]],PID,0),MATCH("DENOM",PLabel,0)-1,1,1)</f>
        <v>100000</v>
      </c>
      <c r="AH51" s="1599" cm="1">
        <f t="array" aca="1" ref="AH51" ca="1">(OFFSET(POrigin,MATCH(Valori[[#This Row],[LUKB_id]],PID,0),MATCH("YIELD",PLabel,0)-1,1,1)+OFFSET(POrigin,MATCH(Valori[[#This Row],[LUKB_id]],PID,0),MATCH("YLDEQ",PLabel,0)-1,1,1))/100</f>
        <v>5.5636132500000001E-3</v>
      </c>
      <c r="AI51" s="1600">
        <f ca="1">OFFSET(POrigin,MATCH(Valori[[#This Row],[LUKB_id]],PID,0),MATCH("DIVIDEND",PLabel,0)-1,1,1)</f>
        <v>0</v>
      </c>
      <c r="AJ51" s="1601">
        <f ca="1">OFFSET(POrigin,MATCH(Valori[[#This Row],[LUKB_id]],PID,0),MATCH("DIVIDEND:datetime",PLabel,0)-1,1,1)</f>
        <v>0</v>
      </c>
      <c r="AK51" s="1602">
        <f ca="1">OFFSET(POrigin,MATCH(Valori[[#This Row],[LUKB_id]],PID,0),MATCH("INTEREST",PLabel,0)-1,1,1)</f>
        <v>0.5</v>
      </c>
      <c r="AL51" s="1603">
        <f ca="1">OFFSET(POrigin,MATCH(Valori[[#This Row],[LUKB_id]],PID,0),MATCH("4W_PERF_PR",PLabel,0)-1,1,1)/100</f>
        <v>1.0025062656643E-3</v>
      </c>
      <c r="AM51" s="1603">
        <f ca="1">OFFSET(POrigin,MATCH(Valori[[#This Row],[LUKB_id]],PID,0),MATCH("12W_PERF_PR",PLabel,0)-1,1,1)/100</f>
        <v>3.0090270812438004E-3</v>
      </c>
      <c r="AN51" s="1603">
        <f ca="1">OFFSET(POrigin,MATCH(Valori[[#This Row],[LUKB_id]],PID,0),MATCH("YTD_PERF_PR",PLabel,0)-1,1,1)/100</f>
        <v>3.5122930255896E-3</v>
      </c>
      <c r="AO51" s="1591"/>
      <c r="AP51" s="1591"/>
      <c r="AQ51" s="1591"/>
      <c r="AR51" s="1591"/>
      <c r="AS51" s="1890"/>
      <c r="AT51" s="1890"/>
      <c r="AU51" s="610"/>
      <c r="AV51" s="1891"/>
      <c r="AW51" s="1604" t="str">
        <f ca="1">"https://boersenundmaerkte.lukb.ch/lukb/details/"&amp;Valori[[#This Row],[LUKB_id]]</f>
        <v>https://boersenundmaerkte.lukb.ch/lukb/details/57289925,4,1</v>
      </c>
      <c r="AX5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1" s="142"/>
      <c r="AZ51" s="142"/>
      <c r="BA51" s="142"/>
      <c r="BB51" s="142"/>
    </row>
    <row r="52" spans="1:54" ht="15" customHeight="1" x14ac:dyDescent="0.2">
      <c r="A52" s="142" t="s">
        <v>1018</v>
      </c>
      <c r="B52" s="142" t="str" cm="1">
        <f t="array" aca="1" ref="B52" ca="1">OFFSET(POrigin,MATCH(Valori[[#This Row],[smo_id]],Posizioni[smo_id],0),MATCH("LUKB_id",PIntestazioni,0)-1,1,1)</f>
        <v>111245580,4,1</v>
      </c>
      <c r="C52" s="1668" t="str">
        <f ca="1">HYPERLINK("https://boersenundmaerkte.lukb.ch/lukb/details/"&amp;Valori[[#This Row],[LUKB_id]],"è")</f>
        <v>è</v>
      </c>
      <c r="D52" s="142" t="str" cm="1">
        <f t="array" aca="1" ref="D52" ca="1">OFFSET(POrigin,MATCH(Valori[[#This Row],[LUKB_id]],PID,0),MATCH("SC_GROUPED",PIntestazioni,0)-1,1,1)</f>
        <v>BON</v>
      </c>
      <c r="E52" s="413" t="str" cm="1">
        <f t="array" aca="1" ref="E52" ca="1">OFFSET(POrigin,MATCH(Valori[[#This Row],[LUKB_id]],PID,0),MATCH("isin",PIntestazioni,0)-1,1,1)</f>
        <v>CH1112455808</v>
      </c>
      <c r="F52" s="34" t="str" cm="1">
        <f t="array" aca="1" ref="F52" ca="1">OFFSET(POrigin,MATCH(Valori[[#This Row],[LUKB_id]],PID,0),MATCH("NSIN_CH",PLabel,0)-1,1,1)</f>
        <v>111245580</v>
      </c>
      <c r="G52" s="95" t="str" cm="1">
        <f t="array" aca="1" ref="G52" ca="1">IF(OFFSET(POrigin,MATCH(Valori[[#This Row],[LUKB_id]],PID,0),MATCH("INSTRUNIT",PLabel,0)-1,1,1)="Nominal","Pct","Unit")</f>
        <v>Pct</v>
      </c>
      <c r="H52" s="612">
        <f ca="1">MAX(OFFSET(POrigin,MATCH(Valori[[#This Row],[LUKB_id]],PID,0),MATCH("PRICINGAMT",PLabel,0)-1,1,1),1)</f>
        <v>1</v>
      </c>
      <c r="I52" s="615" t="str" cm="1">
        <f t="array" aca="1" ref="I52" ca="1">OFFSET(POrigin,MATCH(Valori[[#This Row],[LUKB_id]],PID,0),MATCH("M_NAME",PLabel,0)-1,1,1)</f>
        <v>0.8 OERL 28 Obl -S</v>
      </c>
      <c r="J52" s="142" t="s">
        <v>372</v>
      </c>
      <c r="M52" s="142" t="str" cm="1">
        <f t="array" aca="1" ref="M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0.800 % OC Oerlikon  27.11.28</v>
      </c>
      <c r="N52" s="1563">
        <f ca="1">COUNTIF('CHF M'!smo_id,Valori[[#This Row],[smo_id]])+COUNTIF('CHF MA'!smo_id,Valori[[#This Row],[smo_id]])+COUNTIF('EUR MB'!smo_id,Valori[[#This Row],[smo_id]])+COUNTIF('EUR M'!smo_id,Valori[[#This Row],[smo_id]])+COUNTIF(AGCO!smo_id,Valori[[#This Row],[smo_id]])</f>
        <v>3</v>
      </c>
      <c r="O52" s="1590">
        <v>205000</v>
      </c>
      <c r="P52" s="1661" t="str">
        <f ca="1">HYPERLINK(Valori[[#This Row],[P_Source]],"è")</f>
        <v>è</v>
      </c>
      <c r="Q52" s="1663" t="str">
        <f>HYPERLINK(Valori[[#This Row],[Info_W]],"i")</f>
        <v>i</v>
      </c>
      <c r="R52" s="1664" t="str">
        <f>HYPERLINK(Valori[[#This Row],[FN_W]],"")</f>
        <v></v>
      </c>
      <c r="S52" s="1665" t="str">
        <f>HYPERLINK(Valori[[#This Row],[MS_Link]],"")</f>
        <v></v>
      </c>
      <c r="T52" s="1665" t="str">
        <f>HYPERLINK(Valori[[#This Row],[C_source]],"")</f>
        <v></v>
      </c>
      <c r="U52" s="142" t="str" cm="1">
        <f t="array" aca="1" ref="U52" ca="1">OFFSET(POrigin,MATCH(Valori[[#This Row],[LUKB_id]],PID,0),MATCH("M_CUR",PLabel,0)-1,1,1)</f>
        <v>CHF</v>
      </c>
      <c r="V52" s="1562">
        <f ca="1">(Valori[[#This Row],[Last]]+Valori[[#This Row],[Acc. Int]])/Valori[[#This Row],[Pr.Amt]]/IF(Valori[[#This Row],[P_Type]]="Pct",100,1)</f>
        <v>0.99063333333000003</v>
      </c>
      <c r="W52" s="1591" cm="1">
        <f t="array" aca="1" ref="W52" ca="1">OFFSET(POrigin,MATCH(Valori[[#This Row],[LUKB_id]],PID,0),MATCH("NC2_PR",PLabel,0)-1,1,1)/100</f>
        <v>-3.5282258064515998E-3</v>
      </c>
      <c r="X52" s="1592" cm="1">
        <f t="array" aca="1" ref="X52" ca="1">OFFSET(POrigin,MATCH(Valori[[#This Row],[LUKB_id]],PID,0),MATCH("LVAL",PLabel,0)-1,1,1)</f>
        <v>98.850000000000009</v>
      </c>
      <c r="Y52" s="1593" cm="1">
        <f t="array" aca="1" ref="Y52" ca="1">OFFSET(POrigin,MATCH(Valori[[#This Row],[LUKB_id]],PID,0),MATCH("LVAL:datetime",PLabel,0)-1,1,1)</f>
        <v>46084.484513888892</v>
      </c>
      <c r="Z52" s="1594" cm="1">
        <f t="array" aca="1" ref="Z52" ca="1">OFFSET(POrigin,MATCH(Valori[[#This Row],[LUKB_id]],PID,0),MATCH("BID:volume",PLabel,0)-1,1,1)</f>
        <v>15000</v>
      </c>
      <c r="AA52" s="1595" cm="1">
        <f t="array" aca="1" ref="AA52" ca="1">OFFSET(POrigin,MATCH(Valori[[#This Row],[LUKB_id]],PID,0),MATCH("BID",PLabel,0)-1,1,1)</f>
        <v>98.7</v>
      </c>
      <c r="AB52" s="1595" cm="1">
        <f t="array" aca="1" ref="AB52" ca="1">OFFSET(POrigin,MATCH(Valori[[#This Row],[LUKB_id]],PID,0),MATCH("ASK",PLabel,0)-1,1,1)</f>
        <v>99.05</v>
      </c>
      <c r="AC52" s="1594" cm="1">
        <f t="array" aca="1" ref="AC52" ca="1">OFFSET(POrigin,MATCH(Valori[[#This Row],[LUKB_id]],PID,0),MATCH("ASK:volume",PLabel,0)-1,1,1)</f>
        <v>5000</v>
      </c>
      <c r="AD52" s="1596" cm="1">
        <f t="array" aca="1" ref="AD52" ca="1">OFFSET(POrigin,MATCH(Valori[[#This Row],[LUKB_id]],PID,0),MATCH("BID-ASK Spread %",PLabel,0)-1,1,1)</f>
        <v>2.3612750885477775E-3</v>
      </c>
      <c r="AE52" s="1597" cm="1">
        <f t="array" aca="1" ref="AE52" ca="1">IF(OFFSET(POrigin,MATCH(Valori[[#This Row],[LUKB_id]],PID,0),MATCH("MATURITY",PLabel,0)-1,1,1)&gt;0,OFFSET(POrigin,MATCH(Valori[[#This Row],[LUKB_id]],PID,0),MATCH("MATURITY",PLabel,0)-1,1,1),"")</f>
        <v>47084</v>
      </c>
      <c r="AF52" s="1598" cm="1">
        <f t="array" aca="1" ref="AF52" ca="1">OFFSET(POrigin,MATCH(Valori[[#This Row],[LUKB_id]],PID,0),MATCH("ACCINT",PLabel,0)-1,1,1)</f>
        <v>0.21333333300000001</v>
      </c>
      <c r="AG52" s="1594" cm="1">
        <f t="array" aca="1" ref="AG52" ca="1">OFFSET(POrigin,MATCH(Valori[[#This Row],[LUKB_id]],PID,0),MATCH("DENOM",PLabel,0)-1,1,1)</f>
        <v>5000</v>
      </c>
      <c r="AH52" s="1599" cm="1">
        <f t="array" aca="1" ref="AH52" ca="1">(OFFSET(POrigin,MATCH(Valori[[#This Row],[LUKB_id]],PID,0),MATCH("YIELD",PLabel,0)-1,1,1)+OFFSET(POrigin,MATCH(Valori[[#This Row],[LUKB_id]],PID,0),MATCH("YLDEQ",PLabel,0)-1,1,1))/100</f>
        <v>1.1366164570000002E-2</v>
      </c>
      <c r="AI52" s="1600">
        <f ca="1">OFFSET(POrigin,MATCH(Valori[[#This Row],[LUKB_id]],PID,0),MATCH("DIVIDEND",PLabel,0)-1,1,1)</f>
        <v>0</v>
      </c>
      <c r="AJ52" s="1601">
        <f ca="1">OFFSET(POrigin,MATCH(Valori[[#This Row],[LUKB_id]],PID,0),MATCH("DIVIDEND:datetime",PLabel,0)-1,1,1)</f>
        <v>0</v>
      </c>
      <c r="AK52" s="1602">
        <f ca="1">OFFSET(POrigin,MATCH(Valori[[#This Row],[LUKB_id]],PID,0),MATCH("INTEREST",PLabel,0)-1,1,1)</f>
        <v>0.8</v>
      </c>
      <c r="AL52" s="1603">
        <f ca="1">OFFSET(POrigin,MATCH(Valori[[#This Row],[LUKB_id]],PID,0),MATCH("4W_PERF_PR",PLabel,0)-1,1,1)/100</f>
        <v>-2.5227000000000001E-3</v>
      </c>
      <c r="AM52" s="1603">
        <f ca="1">OFFSET(POrigin,MATCH(Valori[[#This Row],[LUKB_id]],PID,0),MATCH("12W_PERF_PR",PLabel,0)-1,1,1)/100</f>
        <v>4.5731699999999997E-3</v>
      </c>
      <c r="AN52" s="1603">
        <f ca="1">OFFSET(POrigin,MATCH(Valori[[#This Row],[LUKB_id]],PID,0),MATCH("YTD_PERF_PR",PLabel,0)-1,1,1)/100</f>
        <v>8.1300813008130003E-3</v>
      </c>
      <c r="AO52" s="1591"/>
      <c r="AP52" s="1591"/>
      <c r="AQ52" s="1591"/>
      <c r="AR52" s="1591"/>
      <c r="AS52" s="1890"/>
      <c r="AT52" s="1890"/>
      <c r="AU52" s="610"/>
      <c r="AV52" s="1891"/>
      <c r="AW52" s="1604" t="str">
        <f ca="1">"https://boersenundmaerkte.lukb.ch/lukb/details/"&amp;Valori[[#This Row],[LUKB_id]]</f>
        <v>https://boersenundmaerkte.lukb.ch/lukb/details/111245580,4,1</v>
      </c>
      <c r="AX5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2" s="142"/>
      <c r="AZ52" s="142"/>
      <c r="BA52" s="142"/>
      <c r="BB52" s="142"/>
    </row>
    <row r="53" spans="1:54" ht="15" customHeight="1" x14ac:dyDescent="0.2">
      <c r="A53" s="142" t="s">
        <v>1019</v>
      </c>
      <c r="B53" s="142" t="str" cm="1">
        <f t="array" aca="1" ref="B53" ca="1">OFFSET(POrigin,MATCH(Valori[[#This Row],[smo_id]],Posizioni[smo_id],0),MATCH("LUKB_id",PIntestazioni,0)-1,1,1)</f>
        <v>114275428,4,1</v>
      </c>
      <c r="C53" s="1668" t="str">
        <f ca="1">HYPERLINK("https://boersenundmaerkte.lukb.ch/lukb/details/"&amp;Valori[[#This Row],[LUKB_id]],"è")</f>
        <v>è</v>
      </c>
      <c r="D53" s="142" t="str" cm="1">
        <f t="array" aca="1" ref="D53" ca="1">OFFSET(POrigin,MATCH(Valori[[#This Row],[LUKB_id]],PID,0),MATCH("SC_GROUPED",PIntestazioni,0)-1,1,1)</f>
        <v>BON</v>
      </c>
      <c r="E53" s="413" t="str" cm="1">
        <f t="array" aca="1" ref="E53" ca="1">OFFSET(POrigin,MATCH(Valori[[#This Row],[LUKB_id]],PID,0),MATCH("isin",PIntestazioni,0)-1,1,1)</f>
        <v>CH1142754287</v>
      </c>
      <c r="F53" s="34" t="str" cm="1">
        <f t="array" aca="1" ref="F53" ca="1">OFFSET(POrigin,MATCH(Valori[[#This Row],[LUKB_id]],PID,0),MATCH("NSIN_CH",PLabel,0)-1,1,1)</f>
        <v>114275428</v>
      </c>
      <c r="G53" s="95" t="str" cm="1">
        <f t="array" aca="1" ref="G53" ca="1">IF(OFFSET(POrigin,MATCH(Valori[[#This Row],[LUKB_id]],PID,0),MATCH("INSTRUNIT",PLabel,0)-1,1,1)="Nominal","Pct","Unit")</f>
        <v>Pct</v>
      </c>
      <c r="H53" s="612">
        <f ca="1">MAX(OFFSET(POrigin,MATCH(Valori[[#This Row],[LUKB_id]],PID,0),MATCH("PRICINGAMT",PLabel,0)-1,1,1),1)</f>
        <v>1</v>
      </c>
      <c r="I53" s="615" t="str" cm="1">
        <f t="array" aca="1" ref="I53" ca="1">OFFSET(POrigin,MATCH(Valori[[#This Row],[LUKB_id]],PID,0),MATCH("M_NAME",PLabel,0)-1,1,1)</f>
        <v>0.795 FONPLATA 28</v>
      </c>
      <c r="J53" s="142" t="s">
        <v>1020</v>
      </c>
      <c r="M53" s="142" t="str" cm="1">
        <f t="array" aca="1" ref="M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0.795 % Fonplata 01.12.28</v>
      </c>
      <c r="N53" s="1563">
        <f ca="1">COUNTIF('CHF M'!smo_id,Valori[[#This Row],[smo_id]])+COUNTIF('CHF MA'!smo_id,Valori[[#This Row],[smo_id]])+COUNTIF('EUR MB'!smo_id,Valori[[#This Row],[smo_id]])+COUNTIF('EUR M'!smo_id,Valori[[#This Row],[smo_id]])+COUNTIF(AGCO!smo_id,Valori[[#This Row],[smo_id]])</f>
        <v>0</v>
      </c>
      <c r="O53" s="1590" cm="1">
        <f t="array" aca="1" ref="O53" ca="1">SUM(IF('CHF M'!smo_id=Valori[[#This Row],[smo_id]],'CHF M'!Posizione))+SUM(IF('CHF MA'!smo_id=Valori[[#This Row],[smo_id]],'CHF MA'!Posizione))+SUM(IF('EUR MB'!smo_id=Valori[[#This Row],[smo_id]],'EUR MB'!Posizione))+SUM(IF('EUR M'!smo_id=Valori[[#This Row],[smo_id]],'EUR M'!Posizione))+SUM(IF(AGCO!smo_id=Valori[[#This Row],[smo_id]],AGCO!Posizione))</f>
        <v>0</v>
      </c>
      <c r="P53" s="1661" t="str">
        <f ca="1">HYPERLINK(Valori[[#This Row],[P_Source]],"è")</f>
        <v>è</v>
      </c>
      <c r="Q53" s="1663" t="str">
        <f>HYPERLINK(Valori[[#This Row],[Info_W]],"i")</f>
        <v>i</v>
      </c>
      <c r="R53" s="1664" t="str">
        <f>HYPERLINK(Valori[[#This Row],[FN_W]],"")</f>
        <v></v>
      </c>
      <c r="S53" s="1665" t="str">
        <f>HYPERLINK(Valori[[#This Row],[MS_Link]],"")</f>
        <v></v>
      </c>
      <c r="T53" s="1665" t="str">
        <f>HYPERLINK(Valori[[#This Row],[C_source]],"")</f>
        <v></v>
      </c>
      <c r="U53" s="142" t="str" cm="1">
        <f t="array" aca="1" ref="U53" ca="1">OFFSET(POrigin,MATCH(Valori[[#This Row],[LUKB_id]],PID,0),MATCH("M_CUR",PLabel,0)-1,1,1)</f>
        <v>CHF</v>
      </c>
      <c r="V53" s="1562">
        <f ca="1">(Valori[[#This Row],[Last]]+Valori[[#This Row],[Acc. Int]])/Valori[[#This Row],[Pr.Amt]]/IF(Valori[[#This Row],[P_Type]]="Pct",100,1)</f>
        <v>0.99653166667000004</v>
      </c>
      <c r="W53" s="1591" cm="1">
        <f t="array" aca="1" ref="W53" ca="1">OFFSET(POrigin,MATCH(Valori[[#This Row],[LUKB_id]],PID,0),MATCH("NC2_PR",PLabel,0)-1,1,1)/100</f>
        <v>-1.5060240963855999E-3</v>
      </c>
      <c r="X53" s="1592" cm="1">
        <f t="array" aca="1" ref="X53" ca="1">OFFSET(POrigin,MATCH(Valori[[#This Row],[LUKB_id]],PID,0),MATCH("LVAL",PLabel,0)-1,1,1)</f>
        <v>99.45</v>
      </c>
      <c r="Y53" s="1593" cm="1">
        <f t="array" aca="1" ref="Y53" ca="1">OFFSET(POrigin,MATCH(Valori[[#This Row],[LUKB_id]],PID,0),MATCH("LVAL:datetime",PLabel,0)-1,1,1)</f>
        <v>46084.708333333336</v>
      </c>
      <c r="Z53" s="1594" cm="1">
        <f t="array" aca="1" ref="Z53" ca="1">OFFSET(POrigin,MATCH(Valori[[#This Row],[LUKB_id]],PID,0),MATCH("BID:volume",PLabel,0)-1,1,1)</f>
        <v>5000</v>
      </c>
      <c r="AA53" s="1595" cm="1">
        <f t="array" aca="1" ref="AA53" ca="1">OFFSET(POrigin,MATCH(Valori[[#This Row],[LUKB_id]],PID,0),MATCH("BID",PLabel,0)-1,1,1)</f>
        <v>99.45</v>
      </c>
      <c r="AB53" s="1595" cm="1">
        <f t="array" aca="1" ref="AB53" ca="1">OFFSET(POrigin,MATCH(Valori[[#This Row],[LUKB_id]],PID,0),MATCH("ASK",PLabel,0)-1,1,1)</f>
        <v>99.850000000000009</v>
      </c>
      <c r="AC53" s="1594" cm="1">
        <f t="array" aca="1" ref="AC53" ca="1">OFFSET(POrigin,MATCH(Valori[[#This Row],[LUKB_id]],PID,0),MATCH("ASK:volume",PLabel,0)-1,1,1)</f>
        <v>5000</v>
      </c>
      <c r="AD53" s="1596" cm="1">
        <f t="array" aca="1" ref="AD53" ca="1">OFFSET(POrigin,MATCH(Valori[[#This Row],[LUKB_id]],PID,0),MATCH("BID-ASK Spread %",PLabel,0)-1,1,1)</f>
        <v>2.6778242677824647E-3</v>
      </c>
      <c r="AE53" s="1597" cm="1">
        <f t="array" aca="1" ref="AE53" ca="1">IF(OFFSET(POrigin,MATCH(Valori[[#This Row],[LUKB_id]],PID,0),MATCH("MATURITY",PLabel,0)-1,1,1)&gt;0,OFFSET(POrigin,MATCH(Valori[[#This Row],[LUKB_id]],PID,0),MATCH("MATURITY",PLabel,0)-1,1,1),"")</f>
        <v>47088</v>
      </c>
      <c r="AF53" s="1598" cm="1">
        <f t="array" aca="1" ref="AF53" ca="1">OFFSET(POrigin,MATCH(Valori[[#This Row],[LUKB_id]],PID,0),MATCH("ACCINT",PLabel,0)-1,1,1)</f>
        <v>0.20316666700000002</v>
      </c>
      <c r="AG53" s="1594" cm="1">
        <f t="array" aca="1" ref="AG53" ca="1">OFFSET(POrigin,MATCH(Valori[[#This Row],[LUKB_id]],PID,0),MATCH("DENOM",PLabel,0)-1,1,1)</f>
        <v>5000</v>
      </c>
      <c r="AH53" s="1599" cm="1">
        <f t="array" aca="1" ref="AH53" ca="1">(OFFSET(POrigin,MATCH(Valori[[#This Row],[LUKB_id]],PID,0),MATCH("YIELD",PLabel,0)-1,1,1)+OFFSET(POrigin,MATCH(Valori[[#This Row],[LUKB_id]],PID,0),MATCH("YLDEQ",PLabel,0)-1,1,1))/100</f>
        <v>9.2474207999999995E-3</v>
      </c>
      <c r="AI53" s="1600">
        <f ca="1">OFFSET(POrigin,MATCH(Valori[[#This Row],[LUKB_id]],PID,0),MATCH("DIVIDEND",PLabel,0)-1,1,1)</f>
        <v>0</v>
      </c>
      <c r="AJ53" s="1601">
        <f ca="1">OFFSET(POrigin,MATCH(Valori[[#This Row],[LUKB_id]],PID,0),MATCH("DIVIDEND:datetime",PLabel,0)-1,1,1)</f>
        <v>0</v>
      </c>
      <c r="AK53" s="1602">
        <f ca="1">OFFSET(POrigin,MATCH(Valori[[#This Row],[LUKB_id]],PID,0),MATCH("INTEREST",PLabel,0)-1,1,1)</f>
        <v>0.79500000000000004</v>
      </c>
      <c r="AL53" s="1603">
        <f ca="1">OFFSET(POrigin,MATCH(Valori[[#This Row],[LUKB_id]],PID,0),MATCH("4W_PERF_PR",PLabel,0)-1,1,1)/100</f>
        <v>1.5075376884423001E-3</v>
      </c>
      <c r="AM53" s="1603">
        <f ca="1">OFFSET(POrigin,MATCH(Valori[[#This Row],[LUKB_id]],PID,0),MATCH("12W_PERF_PR",PLabel,0)-1,1,1)/100</f>
        <v>-5.4917623564652998E-3</v>
      </c>
      <c r="AN53" s="1603">
        <f ca="1">OFFSET(POrigin,MATCH(Valori[[#This Row],[LUKB_id]],PID,0),MATCH("YTD_PERF_PR",PLabel,0)-1,1,1)/100</f>
        <v>5.5527511357902001E-3</v>
      </c>
      <c r="AO53" s="1591"/>
      <c r="AP53" s="1591"/>
      <c r="AQ53" s="1591"/>
      <c r="AR53" s="1591"/>
      <c r="AS53" s="1890"/>
      <c r="AT53" s="1890"/>
      <c r="AU53" s="610"/>
      <c r="AV53" s="1891"/>
      <c r="AW53" s="1604" t="str">
        <f ca="1">"https://boersenundmaerkte.lukb.ch/lukb/details/"&amp;Valori[[#This Row],[LUKB_id]]</f>
        <v>https://boersenundmaerkte.lukb.ch/lukb/details/114275428,4,1</v>
      </c>
      <c r="AX5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3" s="142"/>
      <c r="AZ53" s="142"/>
      <c r="BA53" s="142"/>
      <c r="BB53" s="142"/>
    </row>
    <row r="54" spans="1:54" ht="15" customHeight="1" x14ac:dyDescent="0.2">
      <c r="A54" s="142" t="s">
        <v>1021</v>
      </c>
      <c r="B54" s="142" t="str" cm="1">
        <f t="array" aca="1" ref="B54" ca="1">OFFSET(POrigin,MATCH(Valori[[#This Row],[smo_id]],Posizioni[smo_id],0),MATCH("LUKB_id",PIntestazioni,0)-1,1,1)</f>
        <v>46123906,4,1</v>
      </c>
      <c r="C54" s="1668" t="str">
        <f ca="1">HYPERLINK("https://boersenundmaerkte.lukb.ch/lukb/details/"&amp;Valori[[#This Row],[LUKB_id]],"è")</f>
        <v>è</v>
      </c>
      <c r="D54" s="142" t="str" cm="1">
        <f t="array" aca="1" ref="D54" ca="1">OFFSET(POrigin,MATCH(Valori[[#This Row],[LUKB_id]],PID,0),MATCH("SC_GROUPED",PIntestazioni,0)-1,1,1)</f>
        <v>BON</v>
      </c>
      <c r="E54" s="413" t="str" cm="1">
        <f t="array" aca="1" ref="E54" ca="1">OFFSET(POrigin,MATCH(Valori[[#This Row],[LUKB_id]],PID,0),MATCH("isin",PIntestazioni,0)-1,1,1)</f>
        <v>CH0461239060</v>
      </c>
      <c r="F54" s="34" t="str" cm="1">
        <f t="array" aca="1" ref="F54" ca="1">OFFSET(POrigin,MATCH(Valori[[#This Row],[LUKB_id]],PID,0),MATCH("NSIN_CH",PLabel,0)-1,1,1)</f>
        <v>46123906</v>
      </c>
      <c r="G54" s="95" t="str" cm="1">
        <f t="array" aca="1" ref="G54" ca="1">IF(OFFSET(POrigin,MATCH(Valori[[#This Row],[LUKB_id]],PID,0),MATCH("INSTRUNIT",PLabel,0)-1,1,1)="Nominal","Pct","Unit")</f>
        <v>Pct</v>
      </c>
      <c r="H54" s="612">
        <f ca="1">MAX(OFFSET(POrigin,MATCH(Valori[[#This Row],[LUKB_id]],PID,0),MATCH("PRICINGAMT",PLabel,0)-1,1,1),1)</f>
        <v>1</v>
      </c>
      <c r="I54" s="615" t="str" cm="1">
        <f t="array" aca="1" ref="I54" ca="1">OFFSET(POrigin,MATCH(Valori[[#This Row],[LUKB_id]],PID,0),MATCH("M_NAME",PLabel,0)-1,1,1)</f>
        <v>0.15 PSP 29 Obl</v>
      </c>
      <c r="M54" s="142" t="str" cm="1">
        <f t="array" aca="1" ref="M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 PSP Swiss Property AG 02.02.29</v>
      </c>
      <c r="N54" s="1563">
        <f ca="1">COUNTIF('CHF M'!smo_id,Valori[[#This Row],[smo_id]])+COUNTIF('CHF MA'!smo_id,Valori[[#This Row],[smo_id]])+COUNTIF('EUR MB'!smo_id,Valori[[#This Row],[smo_id]])+COUNTIF('EUR M'!smo_id,Valori[[#This Row],[smo_id]])+COUNTIF(AGCO!smo_id,Valori[[#This Row],[smo_id]])</f>
        <v>1</v>
      </c>
      <c r="O54" s="1590" cm="1">
        <f t="array" aca="1" ref="O54" ca="1">SUM(IF('CHF M'!smo_id=Valori[[#This Row],[smo_id]],'CHF M'!Posizione))+SUM(IF('CHF MA'!smo_id=Valori[[#This Row],[smo_id]],'CHF MA'!Posizione))+SUM(IF('EUR MB'!smo_id=Valori[[#This Row],[smo_id]],'EUR MB'!Posizione))+SUM(IF('EUR M'!smo_id=Valori[[#This Row],[smo_id]],'EUR M'!Posizione))+SUM(IF(AGCO!smo_id=Valori[[#This Row],[smo_id]],AGCO!Posizione))</f>
        <v>20000</v>
      </c>
      <c r="P54" s="1661" t="str">
        <f ca="1">HYPERLINK(Valori[[#This Row],[P_Source]],"è")</f>
        <v>è</v>
      </c>
      <c r="Q54" s="1663" t="str">
        <f>HYPERLINK(Valori[[#This Row],[Info_W]],"i")</f>
        <v>i</v>
      </c>
      <c r="R54" s="1664" t="str">
        <f>HYPERLINK(Valori[[#This Row],[FN_W]],"")</f>
        <v></v>
      </c>
      <c r="S54" s="1665" t="str">
        <f>HYPERLINK(Valori[[#This Row],[MS_Link]],"")</f>
        <v></v>
      </c>
      <c r="T54" s="1665" t="str">
        <f>HYPERLINK(Valori[[#This Row],[C_source]],"")</f>
        <v></v>
      </c>
      <c r="U54" s="142" t="str" cm="1">
        <f t="array" aca="1" ref="U54" ca="1">OFFSET(POrigin,MATCH(Valori[[#This Row],[LUKB_id]],PID,0),MATCH("M_CUR",PLabel,0)-1,1,1)</f>
        <v>CHF</v>
      </c>
      <c r="V54" s="1562">
        <f ca="1">(Valori[[#This Row],[Last]]+Valori[[#This Row],[Acc. Int]])/Valori[[#This Row],[Pr.Amt]]/IF(Valori[[#This Row],[P_Type]]="Pct",100,1)</f>
        <v>0.99062916667000001</v>
      </c>
      <c r="W54" s="1591" cm="1">
        <f t="array" aca="1" ref="W54" ca="1">OFFSET(POrigin,MATCH(Valori[[#This Row],[LUKB_id]],PID,0),MATCH("NC2_PR",PLabel,0)-1,1,1)/100</f>
        <v>-2.015113350126E-3</v>
      </c>
      <c r="X54" s="1592" cm="1">
        <f t="array" aca="1" ref="X54" ca="1">OFFSET(POrigin,MATCH(Valori[[#This Row],[LUKB_id]],PID,0),MATCH("LVAL",PLabel,0)-1,1,1)</f>
        <v>99.05</v>
      </c>
      <c r="Y54" s="1593" cm="1">
        <f t="array" aca="1" ref="Y54" ca="1">OFFSET(POrigin,MATCH(Valori[[#This Row],[LUKB_id]],PID,0),MATCH("LVAL:datetime",PLabel,0)-1,1,1)</f>
        <v>46084.711805555555</v>
      </c>
      <c r="Z54" s="1594" cm="1">
        <f t="array" aca="1" ref="Z54" ca="1">OFFSET(POrigin,MATCH(Valori[[#This Row],[LUKB_id]],PID,0),MATCH("BID:volume",PLabel,0)-1,1,1)</f>
        <v>50000</v>
      </c>
      <c r="AA54" s="1595" cm="1">
        <f t="array" aca="1" ref="AA54" ca="1">OFFSET(POrigin,MATCH(Valori[[#This Row],[LUKB_id]],PID,0),MATCH("BID",PLabel,0)-1,1,1)</f>
        <v>98.75</v>
      </c>
      <c r="AB54" s="1595" cm="1">
        <f t="array" aca="1" ref="AB54" ca="1">OFFSET(POrigin,MATCH(Valori[[#This Row],[LUKB_id]],PID,0),MATCH("ASK",PLabel,0)-1,1,1)</f>
        <v>99.15</v>
      </c>
      <c r="AC54" s="1594" cm="1">
        <f t="array" aca="1" ref="AC54" ca="1">OFFSET(POrigin,MATCH(Valori[[#This Row],[LUKB_id]],PID,0),MATCH("ASK:volume",PLabel,0)-1,1,1)</f>
        <v>100000</v>
      </c>
      <c r="AD54" s="1596" cm="1">
        <f t="array" aca="1" ref="AD54" ca="1">OFFSET(POrigin,MATCH(Valori[[#This Row],[LUKB_id]],PID,0),MATCH("BID-ASK Spread %",PLabel,0)-1,1,1)</f>
        <v>2.6967807180179049E-3</v>
      </c>
      <c r="AE54" s="1597" cm="1">
        <f t="array" aca="1" ref="AE54" ca="1">IF(OFFSET(POrigin,MATCH(Valori[[#This Row],[LUKB_id]],PID,0),MATCH("MATURITY",PLabel,0)-1,1,1)&gt;0,OFFSET(POrigin,MATCH(Valori[[#This Row],[LUKB_id]],PID,0),MATCH("MATURITY",PLabel,0)-1,1,1),"")</f>
        <v>47151</v>
      </c>
      <c r="AF54" s="1598" cm="1">
        <f t="array" aca="1" ref="AF54" ca="1">OFFSET(POrigin,MATCH(Valori[[#This Row],[LUKB_id]],PID,0),MATCH("ACCINT",PLabel,0)-1,1,1)</f>
        <v>1.2916667000000001E-2</v>
      </c>
      <c r="AG54" s="1594" cm="1">
        <f t="array" aca="1" ref="AG54" ca="1">OFFSET(POrigin,MATCH(Valori[[#This Row],[LUKB_id]],PID,0),MATCH("DENOM",PLabel,0)-1,1,1)</f>
        <v>5000</v>
      </c>
      <c r="AH54" s="1599" cm="1">
        <f t="array" aca="1" ref="AH54" ca="1">(OFFSET(POrigin,MATCH(Valori[[#This Row],[LUKB_id]],PID,0),MATCH("YIELD",PLabel,0)-1,1,1)+OFFSET(POrigin,MATCH(Valori[[#This Row],[LUKB_id]],PID,0),MATCH("YLDEQ",PLabel,0)-1,1,1))/100</f>
        <v>4.0993934200000007E-3</v>
      </c>
      <c r="AI54" s="1600">
        <f ca="1">OFFSET(POrigin,MATCH(Valori[[#This Row],[LUKB_id]],PID,0),MATCH("DIVIDEND",PLabel,0)-1,1,1)</f>
        <v>0</v>
      </c>
      <c r="AJ54" s="1601">
        <f ca="1">OFFSET(POrigin,MATCH(Valori[[#This Row],[LUKB_id]],PID,0),MATCH("DIVIDEND:datetime",PLabel,0)-1,1,1)</f>
        <v>0</v>
      </c>
      <c r="AK54" s="1602">
        <f ca="1">OFFSET(POrigin,MATCH(Valori[[#This Row],[LUKB_id]],PID,0),MATCH("INTEREST",PLabel,0)-1,1,1)</f>
        <v>0.15</v>
      </c>
      <c r="AL54" s="1603">
        <f ca="1">OFFSET(POrigin,MATCH(Valori[[#This Row],[LUKB_id]],PID,0),MATCH("4W_PERF_PR",PLabel,0)-1,1,1)/100</f>
        <v>-5.0352467270900004E-4</v>
      </c>
      <c r="AM54" s="1603">
        <f ca="1">OFFSET(POrigin,MATCH(Valori[[#This Row],[LUKB_id]],PID,0),MATCH("12W_PERF_PR",PLabel,0)-1,1,1)/100</f>
        <v>-2.0110608345902999E-3</v>
      </c>
      <c r="AN54" s="1603">
        <f ca="1">OFFSET(POrigin,MATCH(Valori[[#This Row],[LUKB_id]],PID,0),MATCH("YTD_PERF_PR",PLabel,0)-1,1,1)/100</f>
        <v>5.0403225806449996E-4</v>
      </c>
      <c r="AO54" s="1591"/>
      <c r="AP54" s="1591"/>
      <c r="AQ54" s="1591"/>
      <c r="AR54" s="1591"/>
      <c r="AS54" s="1890"/>
      <c r="AT54" s="1890"/>
      <c r="AU54" s="610"/>
      <c r="AV54" s="1891"/>
      <c r="AW54" s="1604" t="str">
        <f ca="1">"https://boersenundmaerkte.lukb.ch/lukb/details/"&amp;Valori[[#This Row],[LUKB_id]]</f>
        <v>https://boersenundmaerkte.lukb.ch/lukb/details/46123906,4,1</v>
      </c>
      <c r="AX5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4" s="142"/>
      <c r="AZ54" s="142"/>
      <c r="BA54" s="142"/>
      <c r="BB54" s="142"/>
    </row>
    <row r="55" spans="1:54" ht="15" customHeight="1" x14ac:dyDescent="0.2">
      <c r="A55" s="142" t="s">
        <v>1022</v>
      </c>
      <c r="B55" s="142" t="str" cm="1">
        <f t="array" aca="1" ref="B55" ca="1">OFFSET(POrigin,MATCH(Valori[[#This Row],[smo_id]],Posizioni[smo_id],0),MATCH("LUKB_id",PIntestazioni,0)-1,1,1)</f>
        <v>46983345,16,333</v>
      </c>
      <c r="C55" s="1668" t="str">
        <f ca="1">HYPERLINK("https://boersenundmaerkte.lukb.ch/lukb/details/"&amp;Valori[[#This Row],[LUKB_id]],"è")</f>
        <v>è</v>
      </c>
      <c r="D55" s="142" t="str" cm="1">
        <f t="array" aca="1" ref="D55" ca="1">OFFSET(POrigin,MATCH(Valori[[#This Row],[LUKB_id]],PID,0),MATCH("SC_GROUPED",PIntestazioni,0)-1,1,1)</f>
        <v>BON</v>
      </c>
      <c r="E55" s="413" t="str" cm="1">
        <f t="array" aca="1" ref="E55" ca="1">OFFSET(POrigin,MATCH(Valori[[#This Row],[LUKB_id]],PID,0),MATCH("isin",PIntestazioni,0)-1,1,1)</f>
        <v>US377373AH85</v>
      </c>
      <c r="F55" s="34" t="str" cm="1">
        <f t="array" aca="1" ref="F55" ca="1">OFFSET(POrigin,MATCH(Valori[[#This Row],[LUKB_id]],PID,0),MATCH("NSIN_CH",PLabel,0)-1,1,1)</f>
        <v>46983345</v>
      </c>
      <c r="G55" s="95" t="str" cm="1">
        <f t="array" aca="1" ref="G55" ca="1">IF(OFFSET(POrigin,MATCH(Valori[[#This Row],[LUKB_id]],PID,0),MATCH("INSTRUNIT",PLabel,0)-1,1,1)="Nominal","Pct","Unit")</f>
        <v>Pct</v>
      </c>
      <c r="H55" s="612">
        <f ca="1">MAX(OFFSET(POrigin,MATCH(Valori[[#This Row],[LUKB_id]],PID,0),MATCH("PRICINGAMT",PLabel,0)-1,1,1),1)</f>
        <v>1</v>
      </c>
      <c r="I55" s="615" t="str" cm="1">
        <f t="array" aca="1" ref="I55" ca="1">OFFSET(POrigin,MATCH(Valori[[#This Row],[LUKB_id]],PID,0),MATCH("M_NAME",PLabel,0)-1,1,1)</f>
        <v>3.375 GSK 29 Nts</v>
      </c>
      <c r="J55" s="142" t="s">
        <v>884</v>
      </c>
      <c r="M55" s="142" t="str" cm="1">
        <f t="array" aca="1" ref="M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3.375 % GlaxoSmithKline Capital PLC 01.06.29 (A)</v>
      </c>
      <c r="N55" s="1563">
        <f ca="1">COUNTIF('CHF M'!smo_id,Valori[[#This Row],[smo_id]])+COUNTIF('CHF MA'!smo_id,Valori[[#This Row],[smo_id]])+COUNTIF('EUR MB'!smo_id,Valori[[#This Row],[smo_id]])+COUNTIF('EUR M'!smo_id,Valori[[#This Row],[smo_id]])+COUNTIF(AGCO!smo_id,Valori[[#This Row],[smo_id]])</f>
        <v>1</v>
      </c>
      <c r="O55" s="1590" cm="1">
        <f t="array" aca="1" ref="O55" ca="1">SUM(IF('CHF M'!smo_id=Valori[[#This Row],[smo_id]],'CHF M'!Posizione))+SUM(IF('CHF MA'!smo_id=Valori[[#This Row],[smo_id]],'CHF MA'!Posizione))+SUM(IF('EUR MB'!smo_id=Valori[[#This Row],[smo_id]],'EUR MB'!Posizione))+SUM(IF('EUR M'!smo_id=Valori[[#This Row],[smo_id]],'EUR M'!Posizione))+SUM(IF(AGCO!smo_id=Valori[[#This Row],[smo_id]],AGCO!Posizione))</f>
        <v>30000</v>
      </c>
      <c r="P55" s="1661" t="str">
        <f ca="1">HYPERLINK(Valori[[#This Row],[P_Source]],"è")</f>
        <v>è</v>
      </c>
      <c r="Q55" s="1663" t="str">
        <f>HYPERLINK(Valori[[#This Row],[Info_W]],"i")</f>
        <v>i</v>
      </c>
      <c r="R55" s="1664" t="str">
        <f>HYPERLINK(Valori[[#This Row],[FN_W]],"")</f>
        <v></v>
      </c>
      <c r="S55" s="1665" t="str">
        <f>HYPERLINK(Valori[[#This Row],[MS_Link]],"")</f>
        <v></v>
      </c>
      <c r="T55" s="1665" t="str">
        <f>HYPERLINK(Valori[[#This Row],[C_source]],"")</f>
        <v></v>
      </c>
      <c r="U55" s="142" t="str" cm="1">
        <f t="array" aca="1" ref="U55" ca="1">OFFSET(POrigin,MATCH(Valori[[#This Row],[LUKB_id]],PID,0),MATCH("M_CUR",PLabel,0)-1,1,1)</f>
        <v>USD</v>
      </c>
      <c r="V55" s="1562">
        <f ca="1">(Valori[[#This Row],[Last]]+Valori[[#This Row],[Acc. Int]])/Valori[[#This Row],[Pr.Amt]]/IF(Valori[[#This Row],[P_Type]]="Pct",100,1)</f>
        <v>0.9904949999999999</v>
      </c>
      <c r="W55" s="1591" cm="1">
        <f t="array" aca="1" ref="W55" ca="1">OFFSET(POrigin,MATCH(Valori[[#This Row],[LUKB_id]],PID,0),MATCH("NC2_PR",PLabel,0)-1,1,1)/100</f>
        <v>-1.190185546875E-3</v>
      </c>
      <c r="X55" s="1592" cm="1">
        <f t="array" aca="1" ref="X55" ca="1">OFFSET(POrigin,MATCH(Valori[[#This Row],[LUKB_id]],PID,0),MATCH("LVAL",PLabel,0)-1,1,1)</f>
        <v>98.186999999999998</v>
      </c>
      <c r="Y55" s="1593" cm="1">
        <f t="array" aca="1" ref="Y55" ca="1">OFFSET(POrigin,MATCH(Valori[[#This Row],[LUKB_id]],PID,0),MATCH("LVAL:datetime",PLabel,0)-1,1,1)</f>
        <v>46084.751435185186</v>
      </c>
      <c r="Z55" s="1594" cm="1">
        <f t="array" aca="1" ref="Z55" ca="1">OFFSET(POrigin,MATCH(Valori[[#This Row],[LUKB_id]],PID,0),MATCH("BID:volume",PLabel,0)-1,1,1)</f>
        <v>500000</v>
      </c>
      <c r="AA55" s="1595" cm="1">
        <f t="array" aca="1" ref="AA55" ca="1">OFFSET(POrigin,MATCH(Valori[[#This Row],[LUKB_id]],PID,0),MATCH("BID",PLabel,0)-1,1,1)</f>
        <v>98.23</v>
      </c>
      <c r="AB55" s="1595" cm="1">
        <f t="array" aca="1" ref="AB55" ca="1">OFFSET(POrigin,MATCH(Valori[[#This Row],[LUKB_id]],PID,0),MATCH("ASK",PLabel,0)-1,1,1)</f>
        <v>98.418999999999997</v>
      </c>
      <c r="AC55" s="1594" cm="1">
        <f t="array" aca="1" ref="AC55" ca="1">OFFSET(POrigin,MATCH(Valori[[#This Row],[LUKB_id]],PID,0),MATCH("ASK:volume",PLabel,0)-1,1,1)</f>
        <v>500000</v>
      </c>
      <c r="AD55" s="1596" cm="1">
        <f t="array" aca="1" ref="AD55" ca="1">OFFSET(POrigin,MATCH(Valori[[#This Row],[LUKB_id]],PID,0),MATCH("BID-ASK Spread %",PLabel,0)-1,1,1)</f>
        <v>1.2818817209770308E-3</v>
      </c>
      <c r="AE55" s="1597" cm="1">
        <f t="array" aca="1" ref="AE55" ca="1">IF(OFFSET(POrigin,MATCH(Valori[[#This Row],[LUKB_id]],PID,0),MATCH("MATURITY",PLabel,0)-1,1,1)&gt;0,OFFSET(POrigin,MATCH(Valori[[#This Row],[LUKB_id]],PID,0),MATCH("MATURITY",PLabel,0)-1,1,1),"")</f>
        <v>47270</v>
      </c>
      <c r="AF55" s="1598" cm="1">
        <f t="array" aca="1" ref="AF55" ca="1">OFFSET(POrigin,MATCH(Valori[[#This Row],[LUKB_id]],PID,0),MATCH("ACCINT",PLabel,0)-1,1,1)</f>
        <v>0.86250000000000004</v>
      </c>
      <c r="AG55" s="1594" cm="1">
        <f t="array" aca="1" ref="AG55" ca="1">OFFSET(POrigin,MATCH(Valori[[#This Row],[LUKB_id]],PID,0),MATCH("DENOM",PLabel,0)-1,1,1)</f>
        <v>1000</v>
      </c>
      <c r="AH55" s="1599" cm="1">
        <f t="array" aca="1" ref="AH55" ca="1">(OFFSET(POrigin,MATCH(Valori[[#This Row],[LUKB_id]],PID,0),MATCH("YIELD",PLabel,0)-1,1,1)+OFFSET(POrigin,MATCH(Valori[[#This Row],[LUKB_id]],PID,0),MATCH("YLDEQ",PLabel,0)-1,1,1))/100</f>
        <v>3.9364946009999999E-2</v>
      </c>
      <c r="AI55" s="1600">
        <f ca="1">OFFSET(POrigin,MATCH(Valori[[#This Row],[LUKB_id]],PID,0),MATCH("DIVIDEND",PLabel,0)-1,1,1)</f>
        <v>0</v>
      </c>
      <c r="AJ55" s="1601">
        <f ca="1">OFFSET(POrigin,MATCH(Valori[[#This Row],[LUKB_id]],PID,0),MATCH("DIVIDEND:datetime",PLabel,0)-1,1,1)</f>
        <v>0</v>
      </c>
      <c r="AK55" s="1602">
        <f ca="1">OFFSET(POrigin,MATCH(Valori[[#This Row],[LUKB_id]],PID,0),MATCH("INTEREST",PLabel,0)-1,1,1)</f>
        <v>3.375</v>
      </c>
      <c r="AL55" s="1603">
        <f ca="1">OFFSET(POrigin,MATCH(Valori[[#This Row],[LUKB_id]],PID,0),MATCH("4W_PERF_PR",PLabel,0)-1,1,1)/100</f>
        <v>3.7268095447166001E-3</v>
      </c>
      <c r="AM55" s="1603">
        <f ca="1">OFFSET(POrigin,MATCH(Valori[[#This Row],[LUKB_id]],PID,0),MATCH("12W_PERF_PR",PLabel,0)-1,1,1)/100</f>
        <v>6.9655002868147997E-3</v>
      </c>
      <c r="AN55" s="1603">
        <f ca="1">OFFSET(POrigin,MATCH(Valori[[#This Row],[LUKB_id]],PID,0),MATCH("YTD_PERF_PR",PLabel,0)-1,1,1)/100</f>
        <v>-2.7214764417103E-2</v>
      </c>
      <c r="AO55" s="1591"/>
      <c r="AP55" s="1591"/>
      <c r="AQ55" s="1591"/>
      <c r="AR55" s="1591"/>
      <c r="AS55" s="1890"/>
      <c r="AT55" s="1890"/>
      <c r="AU55" s="610"/>
      <c r="AV55" s="1891"/>
      <c r="AW55" s="1604" t="str">
        <f ca="1">"https://boersenundmaerkte.lukb.ch/lukb/details/"&amp;Valori[[#This Row],[LUKB_id]]</f>
        <v>https://boersenundmaerkte.lukb.ch/lukb/details/46983345,16,333</v>
      </c>
      <c r="AX55"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5" s="142"/>
      <c r="AZ55" s="142"/>
      <c r="BA55" s="142"/>
      <c r="BB55" s="142"/>
    </row>
    <row r="56" spans="1:54" ht="15" customHeight="1" x14ac:dyDescent="0.2">
      <c r="A56" s="142" t="s">
        <v>1023</v>
      </c>
      <c r="B56" s="142" t="str" cm="1">
        <f t="array" aca="1" ref="B56" ca="1">OFFSET(POrigin,MATCH(Valori[[#This Row],[smo_id]],Posizioni[smo_id],0),MATCH("LUKB_id",PIntestazioni,0)-1,1,1)</f>
        <v>111846098,4,1</v>
      </c>
      <c r="C56" s="1668" t="str">
        <f ca="1">HYPERLINK("https://boersenundmaerkte.lukb.ch/lukb/details/"&amp;Valori[[#This Row],[LUKB_id]],"è")</f>
        <v>è</v>
      </c>
      <c r="D56" s="142" t="str" cm="1">
        <f t="array" aca="1" ref="D56" ca="1">OFFSET(POrigin,MATCH(Valori[[#This Row],[LUKB_id]],PID,0),MATCH("SC_GROUPED",PIntestazioni,0)-1,1,1)</f>
        <v>BON</v>
      </c>
      <c r="E56" s="413" t="str" cm="1">
        <f t="array" aca="1" ref="E56" ca="1">OFFSET(POrigin,MATCH(Valori[[#This Row],[LUKB_id]],PID,0),MATCH("isin",PIntestazioni,0)-1,1,1)</f>
        <v>CH1118460984</v>
      </c>
      <c r="F56" s="34" t="str" cm="1">
        <f t="array" aca="1" ref="F56" ca="1">OFFSET(POrigin,MATCH(Valori[[#This Row],[LUKB_id]],PID,0),MATCH("NSIN_CH",PLabel,0)-1,1,1)</f>
        <v>111846098</v>
      </c>
      <c r="G56" s="95" t="str" cm="1">
        <f t="array" aca="1" ref="G56" ca="1">IF(OFFSET(POrigin,MATCH(Valori[[#This Row],[LUKB_id]],PID,0),MATCH("INSTRUNIT",PLabel,0)-1,1,1)="Nominal","Pct","Unit")</f>
        <v>Pct</v>
      </c>
      <c r="H56" s="612">
        <f ca="1">MAX(OFFSET(POrigin,MATCH(Valori[[#This Row],[LUKB_id]],PID,0),MATCH("PRICINGAMT",PLabel,0)-1,1,1),1)</f>
        <v>1</v>
      </c>
      <c r="I56" s="615" t="str" cm="1">
        <f t="array" aca="1" ref="I56" ca="1">OFFSET(POrigin,MATCH(Valori[[#This Row],[LUKB_id]],PID,0),MATCH("M_NAME",PLabel,0)-1,1,1)</f>
        <v>0.2125 AGRI29 604 1</v>
      </c>
      <c r="M56" s="142" t="str" cm="1">
        <f t="array" aca="1" ref="M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0.213 % Credit Agricole SA 21.06.29</v>
      </c>
      <c r="N56" s="1563">
        <f ca="1">COUNTIF('CHF M'!smo_id,Valori[[#This Row],[smo_id]])+COUNTIF('CHF MA'!smo_id,Valori[[#This Row],[smo_id]])+COUNTIF('EUR MB'!smo_id,Valori[[#This Row],[smo_id]])+COUNTIF('EUR M'!smo_id,Valori[[#This Row],[smo_id]])+COUNTIF(AGCO!smo_id,Valori[[#This Row],[smo_id]])</f>
        <v>1</v>
      </c>
      <c r="O56" s="1590" cm="1">
        <f t="array" aca="1" ref="O56" ca="1">SUM(IF('CHF M'!smo_id=Valori[[#This Row],[smo_id]],'CHF M'!Posizione))+SUM(IF('CHF MA'!smo_id=Valori[[#This Row],[smo_id]],'CHF MA'!Posizione))+SUM(IF('EUR MB'!smo_id=Valori[[#This Row],[smo_id]],'EUR MB'!Posizione))+SUM(IF('EUR M'!smo_id=Valori[[#This Row],[smo_id]],'EUR M'!Posizione))+SUM(IF(AGCO!smo_id=Valori[[#This Row],[smo_id]],AGCO!Posizione))</f>
        <v>50000</v>
      </c>
      <c r="P56" s="1661" t="str">
        <f ca="1">HYPERLINK(Valori[[#This Row],[P_Source]],"è")</f>
        <v>è</v>
      </c>
      <c r="Q56" s="1663" t="str">
        <f>HYPERLINK(Valori[[#This Row],[Info_W]],"i")</f>
        <v>i</v>
      </c>
      <c r="R56" s="1664" t="str">
        <f>HYPERLINK(Valori[[#This Row],[FN_W]],"")</f>
        <v></v>
      </c>
      <c r="S56" s="1665" t="str">
        <f>HYPERLINK(Valori[[#This Row],[MS_Link]],"")</f>
        <v></v>
      </c>
      <c r="T56" s="1665" t="str">
        <f>HYPERLINK(Valori[[#This Row],[C_source]],"")</f>
        <v></v>
      </c>
      <c r="U56" s="142" t="str" cm="1">
        <f t="array" aca="1" ref="U56" ca="1">OFFSET(POrigin,MATCH(Valori[[#This Row],[LUKB_id]],PID,0),MATCH("M_CUR",PLabel,0)-1,1,1)</f>
        <v>CHF</v>
      </c>
      <c r="V56" s="1562">
        <f ca="1">(Valori[[#This Row],[Last]]+Valori[[#This Row],[Acc. Int]])/Valori[[#This Row],[Pr.Amt]]/IF(Valori[[#This Row],[P_Type]]="Pct",100,1)</f>
        <v>0.98948750000000019</v>
      </c>
      <c r="W56" s="1591" cm="1">
        <f t="array" aca="1" ref="W56" ca="1">OFFSET(POrigin,MATCH(Valori[[#This Row],[LUKB_id]],PID,0),MATCH("NC2_PR",PLabel,0)-1,1,1)/100</f>
        <v>-5.0581689428430001E-4</v>
      </c>
      <c r="X56" s="1592" cm="1">
        <f t="array" aca="1" ref="X56" ca="1">OFFSET(POrigin,MATCH(Valori[[#This Row],[LUKB_id]],PID,0),MATCH("LVAL",PLabel,0)-1,1,1)</f>
        <v>98.800000000000011</v>
      </c>
      <c r="Y56" s="1593" cm="1">
        <f t="array" aca="1" ref="Y56" ca="1">OFFSET(POrigin,MATCH(Valori[[#This Row],[LUKB_id]],PID,0),MATCH("LVAL:datetime",PLabel,0)-1,1,1)</f>
        <v>46084.711805555555</v>
      </c>
      <c r="Z56" s="1594" cm="1">
        <f t="array" aca="1" ref="Z56" ca="1">OFFSET(POrigin,MATCH(Valori[[#This Row],[LUKB_id]],PID,0),MATCH("BID:volume",PLabel,0)-1,1,1)</f>
        <v>100000</v>
      </c>
      <c r="AA56" s="1595" cm="1">
        <f t="array" aca="1" ref="AA56" ca="1">OFFSET(POrigin,MATCH(Valori[[#This Row],[LUKB_id]],PID,0),MATCH("BID",PLabel,0)-1,1,1)</f>
        <v>98.4</v>
      </c>
      <c r="AB56" s="1595" cm="1">
        <f t="array" aca="1" ref="AB56" ca="1">OFFSET(POrigin,MATCH(Valori[[#This Row],[LUKB_id]],PID,0),MATCH("ASK",PLabel,0)-1,1,1)</f>
        <v>98.800000000000011</v>
      </c>
      <c r="AC56" s="1594" cm="1">
        <f t="array" aca="1" ref="AC56" ca="1">OFFSET(POrigin,MATCH(Valori[[#This Row],[LUKB_id]],PID,0),MATCH("ASK:volume",PLabel,0)-1,1,1)</f>
        <v>100000</v>
      </c>
      <c r="AD56" s="1596" cm="1">
        <f t="array" aca="1" ref="AD56" ca="1">OFFSET(POrigin,MATCH(Valori[[#This Row],[LUKB_id]],PID,0),MATCH("BID-ASK Spread %",PLabel,0)-1,1,1)</f>
        <v>2.7063599458728394E-3</v>
      </c>
      <c r="AE56" s="1597" cm="1">
        <f t="array" aca="1" ref="AE56" ca="1">IF(OFFSET(POrigin,MATCH(Valori[[#This Row],[LUKB_id]],PID,0),MATCH("MATURITY",PLabel,0)-1,1,1)&gt;0,OFFSET(POrigin,MATCH(Valori[[#This Row],[LUKB_id]],PID,0),MATCH("MATURITY",PLabel,0)-1,1,1),"")</f>
        <v>47290</v>
      </c>
      <c r="AF56" s="1598" cm="1">
        <f t="array" aca="1" ref="AF56" ca="1">OFFSET(POrigin,MATCH(Valori[[#This Row],[LUKB_id]],PID,0),MATCH("ACCINT",PLabel,0)-1,1,1)</f>
        <v>0.14875000000000002</v>
      </c>
      <c r="AG56" s="1594" cm="1">
        <f t="array" aca="1" ref="AG56" ca="1">OFFSET(POrigin,MATCH(Valori[[#This Row],[LUKB_id]],PID,0),MATCH("DENOM",PLabel,0)-1,1,1)</f>
        <v>5000</v>
      </c>
      <c r="AH56" s="1599" cm="1">
        <f t="array" aca="1" ref="AH56" ca="1">(OFFSET(POrigin,MATCH(Valori[[#This Row],[LUKB_id]],PID,0),MATCH("YIELD",PLabel,0)-1,1,1)+OFFSET(POrigin,MATCH(Valori[[#This Row],[LUKB_id]],PID,0),MATCH("YLDEQ",PLabel,0)-1,1,1))/100</f>
        <v>6.1226207400000001E-3</v>
      </c>
      <c r="AI56" s="1600">
        <f ca="1">OFFSET(POrigin,MATCH(Valori[[#This Row],[LUKB_id]],PID,0),MATCH("DIVIDEND",PLabel,0)-1,1,1)</f>
        <v>0</v>
      </c>
      <c r="AJ56" s="1601">
        <f ca="1">OFFSET(POrigin,MATCH(Valori[[#This Row],[LUKB_id]],PID,0),MATCH("DIVIDEND:datetime",PLabel,0)-1,1,1)</f>
        <v>0</v>
      </c>
      <c r="AK56" s="1602">
        <f ca="1">OFFSET(POrigin,MATCH(Valori[[#This Row],[LUKB_id]],PID,0),MATCH("INTEREST",PLabel,0)-1,1,1)</f>
        <v>0.21249999999999999</v>
      </c>
      <c r="AL56" s="1603">
        <f ca="1">OFFSET(POrigin,MATCH(Valori[[#This Row],[LUKB_id]],PID,0),MATCH("4W_PERF_PR",PLabel,0)-1,1,1)/100</f>
        <v>3.0487804878049003E-3</v>
      </c>
      <c r="AM56" s="1603">
        <f ca="1">OFFSET(POrigin,MATCH(Valori[[#This Row],[LUKB_id]],PID,0),MATCH("12W_PERF_PR",PLabel,0)-1,1,1)/100</f>
        <v>7.6452599388380001E-3</v>
      </c>
      <c r="AN56" s="1603">
        <f ca="1">OFFSET(POrigin,MATCH(Valori[[#This Row],[LUKB_id]],PID,0),MATCH("YTD_PERF_PR",PLabel,0)-1,1,1)/100</f>
        <v>1.0219724067450199E-2</v>
      </c>
      <c r="AO56" s="1591"/>
      <c r="AP56" s="1591"/>
      <c r="AQ56" s="1591"/>
      <c r="AR56" s="1591"/>
      <c r="AS56" s="1890"/>
      <c r="AT56" s="1890"/>
      <c r="AU56" s="610"/>
      <c r="AV56" s="1891"/>
      <c r="AW56" s="1604" t="str">
        <f ca="1">"https://boersenundmaerkte.lukb.ch/lukb/details/"&amp;Valori[[#This Row],[LUKB_id]]</f>
        <v>https://boersenundmaerkte.lukb.ch/lukb/details/111846098,4,1</v>
      </c>
      <c r="AX5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6" s="142"/>
      <c r="AZ56" s="142"/>
      <c r="BA56" s="142"/>
      <c r="BB56" s="142"/>
    </row>
    <row r="57" spans="1:54" ht="15" customHeight="1" x14ac:dyDescent="0.2">
      <c r="A57" s="142" t="s">
        <v>1024</v>
      </c>
      <c r="B57" s="142" t="str" cm="1">
        <f t="array" aca="1" ref="B57" ca="1">OFFSET(POrigin,MATCH(Valori[[#This Row],[smo_id]],Posizioni[smo_id],0),MATCH("LUKB_id",PIntestazioni,0)-1,1,1)</f>
        <v>48708733,4,1</v>
      </c>
      <c r="C57" s="1668" t="str">
        <f ca="1">HYPERLINK("https://boersenundmaerkte.lukb.ch/lukb/details/"&amp;Valori[[#This Row],[LUKB_id]],"è")</f>
        <v>è</v>
      </c>
      <c r="D57" s="142" t="str" cm="1">
        <f t="array" aca="1" ref="D57" ca="1">OFFSET(POrigin,MATCH(Valori[[#This Row],[LUKB_id]],PID,0),MATCH("SC_GROUPED",PIntestazioni,0)-1,1,1)</f>
        <v>BON</v>
      </c>
      <c r="E57" s="413" t="str" cm="1">
        <f t="array" aca="1" ref="E57" ca="1">OFFSET(POrigin,MATCH(Valori[[#This Row],[LUKB_id]],PID,0),MATCH("isin",PIntestazioni,0)-1,1,1)</f>
        <v>CH0487087337</v>
      </c>
      <c r="F57" s="34" t="str" cm="1">
        <f t="array" aca="1" ref="F57" ca="1">OFFSET(POrigin,MATCH(Valori[[#This Row],[LUKB_id]],PID,0),MATCH("NSIN_CH",PLabel,0)-1,1,1)</f>
        <v>48708733</v>
      </c>
      <c r="G57" s="95" t="str" cm="1">
        <f t="array" aca="1" ref="G57" ca="1">IF(OFFSET(POrigin,MATCH(Valori[[#This Row],[LUKB_id]],PID,0),MATCH("INSTRUNIT",PLabel,0)-1,1,1)="Nominal","Pct","Unit")</f>
        <v>Pct</v>
      </c>
      <c r="H57" s="612">
        <f ca="1">MAX(OFFSET(POrigin,MATCH(Valori[[#This Row],[LUKB_id]],PID,0),MATCH("PRICINGAMT",PLabel,0)-1,1,1),1)</f>
        <v>1</v>
      </c>
      <c r="I57" s="615" t="str" cm="1">
        <f t="array" aca="1" ref="I57" ca="1">OFFSET(POrigin,MATCH(Valori[[#This Row],[LUKB_id]],PID,0),MATCH("M_NAME",PLabel,0)-1,1,1)</f>
        <v>0.125 HYVB 29 Obl</v>
      </c>
      <c r="M57" s="142" t="str" cm="1">
        <f t="array" aca="1" ref="M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03.09.29</v>
      </c>
      <c r="N57" s="1563">
        <f ca="1">COUNTIF('CHF M'!smo_id,Valori[[#This Row],[smo_id]])+COUNTIF('CHF MA'!smo_id,Valori[[#This Row],[smo_id]])+COUNTIF('EUR MB'!smo_id,Valori[[#This Row],[smo_id]])+COUNTIF('EUR M'!smo_id,Valori[[#This Row],[smo_id]])+COUNTIF(AGCO!smo_id,Valori[[#This Row],[smo_id]])</f>
        <v>1</v>
      </c>
      <c r="O57" s="1590" cm="1">
        <f t="array" aca="1" ref="O57" ca="1">SUM(IF('CHF M'!smo_id=Valori[[#This Row],[smo_id]],'CHF M'!Posizione))+SUM(IF('CHF MA'!smo_id=Valori[[#This Row],[smo_id]],'CHF MA'!Posizione))+SUM(IF('EUR MB'!smo_id=Valori[[#This Row],[smo_id]],'EUR MB'!Posizione))+SUM(IF('EUR M'!smo_id=Valori[[#This Row],[smo_id]],'EUR M'!Posizione))+SUM(IF(AGCO!smo_id=Valori[[#This Row],[smo_id]],AGCO!Posizione))</f>
        <v>10000</v>
      </c>
      <c r="P57" s="1661" t="str">
        <f ca="1">HYPERLINK(Valori[[#This Row],[P_Source]],"è")</f>
        <v>è</v>
      </c>
      <c r="Q57" s="1663" t="str">
        <f>HYPERLINK(Valori[[#This Row],[Info_W]],"i")</f>
        <v>i</v>
      </c>
      <c r="R57" s="1664" t="str">
        <f>HYPERLINK(Valori[[#This Row],[FN_W]],"")</f>
        <v></v>
      </c>
      <c r="S57" s="1665" t="str">
        <f>HYPERLINK(Valori[[#This Row],[MS_Link]],"")</f>
        <v></v>
      </c>
      <c r="T57" s="1665" t="str">
        <f>HYPERLINK(Valori[[#This Row],[C_source]],"")</f>
        <v></v>
      </c>
      <c r="U57" s="142" t="str" cm="1">
        <f t="array" aca="1" ref="U57" ca="1">OFFSET(POrigin,MATCH(Valori[[#This Row],[LUKB_id]],PID,0),MATCH("M_CUR",PLabel,0)-1,1,1)</f>
        <v>CHF</v>
      </c>
      <c r="V57" s="1562">
        <f ca="1">(Valori[[#This Row],[Last]]+Valori[[#This Row],[Acc. Int]])/Valori[[#This Row],[Pr.Amt]]/IF(Valori[[#This Row],[P_Type]]="Pct",100,1)</f>
        <v>0.97662500000000008</v>
      </c>
      <c r="W57" s="1591" cm="1">
        <f t="array" aca="1" ref="W57" ca="1">OFFSET(POrigin,MATCH(Valori[[#This Row],[LUKB_id]],PID,0),MATCH("NC2_PR",PLabel,0)-1,1,1)/100</f>
        <v>-3.5732516590097001E-3</v>
      </c>
      <c r="X57" s="1592" cm="1">
        <f t="array" aca="1" ref="X57" ca="1">OFFSET(POrigin,MATCH(Valori[[#This Row],[LUKB_id]],PID,0),MATCH("LVAL",PLabel,0)-1,1,1)</f>
        <v>97.600000000000009</v>
      </c>
      <c r="Y57" s="1593" cm="1">
        <f t="array" aca="1" ref="Y57" ca="1">OFFSET(POrigin,MATCH(Valori[[#This Row],[LUKB_id]],PID,0),MATCH("LVAL:datetime",PLabel,0)-1,1,1)</f>
        <v>46084.711805555555</v>
      </c>
      <c r="Z57" s="1594" cm="1">
        <f t="array" aca="1" ref="Z57" ca="1">OFFSET(POrigin,MATCH(Valori[[#This Row],[LUKB_id]],PID,0),MATCH("BID:volume",PLabel,0)-1,1,1)</f>
        <v>100000</v>
      </c>
      <c r="AA57" s="1595" cm="1">
        <f t="array" aca="1" ref="AA57" ca="1">OFFSET(POrigin,MATCH(Valori[[#This Row],[LUKB_id]],PID,0),MATCH("BID",PLabel,0)-1,1,1)</f>
        <v>97.4</v>
      </c>
      <c r="AB57" s="1595" cm="1">
        <f t="array" aca="1" ref="AB57" ca="1">OFFSET(POrigin,MATCH(Valori[[#This Row],[LUKB_id]],PID,0),MATCH("ASK",PLabel,0)-1,1,1)</f>
        <v>97.65</v>
      </c>
      <c r="AC57" s="1594" cm="1">
        <f t="array" aca="1" ref="AC57" ca="1">OFFSET(POrigin,MATCH(Valori[[#This Row],[LUKB_id]],PID,0),MATCH("ASK:volume",PLabel,0)-1,1,1)</f>
        <v>100000</v>
      </c>
      <c r="AD57" s="1596" cm="1">
        <f t="array" aca="1" ref="AD57" ca="1">OFFSET(POrigin,MATCH(Valori[[#This Row],[LUKB_id]],PID,0),MATCH("BID-ASK Spread %",PLabel,0)-1,1,1)</f>
        <v>1.709693964780304E-3</v>
      </c>
      <c r="AE57" s="1597" cm="1">
        <f t="array" aca="1" ref="AE57" ca="1">IF(OFFSET(POrigin,MATCH(Valori[[#This Row],[LUKB_id]],PID,0),MATCH("MATURITY",PLabel,0)-1,1,1)&gt;0,OFFSET(POrigin,MATCH(Valori[[#This Row],[LUKB_id]],PID,0),MATCH("MATURITY",PLabel,0)-1,1,1),"")</f>
        <v>47364</v>
      </c>
      <c r="AF57" s="1598" cm="1">
        <f t="array" aca="1" ref="AF57" ca="1">OFFSET(POrigin,MATCH(Valori[[#This Row],[LUKB_id]],PID,0),MATCH("ACCINT",PLabel,0)-1,1,1)</f>
        <v>6.25E-2</v>
      </c>
      <c r="AG57" s="1594" cm="1">
        <f t="array" aca="1" ref="AG57" ca="1">OFFSET(POrigin,MATCH(Valori[[#This Row],[LUKB_id]],PID,0),MATCH("DENOM",PLabel,0)-1,1,1)</f>
        <v>5000</v>
      </c>
      <c r="AH57" s="1599" cm="1">
        <f t="array" aca="1" ref="AH57" ca="1">(OFFSET(POrigin,MATCH(Valori[[#This Row],[LUKB_id]],PID,0),MATCH("YIELD",PLabel,0)-1,1,1)+OFFSET(POrigin,MATCH(Valori[[#This Row],[LUKB_id]],PID,0),MATCH("YLDEQ",PLabel,0)-1,1,1))/100</f>
        <v>8.0973748100000003E-3</v>
      </c>
      <c r="AI57" s="1600">
        <f ca="1">OFFSET(POrigin,MATCH(Valori[[#This Row],[LUKB_id]],PID,0),MATCH("DIVIDEND",PLabel,0)-1,1,1)</f>
        <v>0</v>
      </c>
      <c r="AJ57" s="1601">
        <f ca="1">OFFSET(POrigin,MATCH(Valori[[#This Row],[LUKB_id]],PID,0),MATCH("DIVIDEND:datetime",PLabel,0)-1,1,1)</f>
        <v>0</v>
      </c>
      <c r="AK57" s="1602">
        <f ca="1">OFFSET(POrigin,MATCH(Valori[[#This Row],[LUKB_id]],PID,0),MATCH("INTEREST",PLabel,0)-1,1,1)</f>
        <v>0.125</v>
      </c>
      <c r="AL57" s="1603">
        <f ca="1">OFFSET(POrigin,MATCH(Valori[[#This Row],[LUKB_id]],PID,0),MATCH("4W_PERF_PR",PLabel,0)-1,1,1)/100</f>
        <v>2.5667351129364004E-3</v>
      </c>
      <c r="AM57" s="1603">
        <f ca="1">OFFSET(POrigin,MATCH(Valori[[#This Row],[LUKB_id]],PID,0),MATCH("12W_PERF_PR",PLabel,0)-1,1,1)/100</f>
        <v>8.7538619979402998E-3</v>
      </c>
      <c r="AN57" s="1603">
        <f ca="1">OFFSET(POrigin,MATCH(Valori[[#This Row],[LUKB_id]],PID,0),MATCH("YTD_PERF_PR",PLabel,0)-1,1,1)/100</f>
        <v>1.1357769747031501E-2</v>
      </c>
      <c r="AO57" s="1591"/>
      <c r="AP57" s="1591"/>
      <c r="AQ57" s="1591"/>
      <c r="AR57" s="1591"/>
      <c r="AS57" s="1890"/>
      <c r="AT57" s="1890"/>
      <c r="AU57" s="610"/>
      <c r="AV57" s="1891"/>
      <c r="AW57" s="1604" t="str">
        <f ca="1">"https://boersenundmaerkte.lukb.ch/lukb/details/"&amp;Valori[[#This Row],[LUKB_id]]</f>
        <v>https://boersenundmaerkte.lukb.ch/lukb/details/48708733,4,1</v>
      </c>
      <c r="AX5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7" s="142"/>
      <c r="AZ57" s="142"/>
      <c r="BA57" s="142"/>
      <c r="BB57" s="142"/>
    </row>
    <row r="58" spans="1:54" ht="15" customHeight="1" x14ac:dyDescent="0.2">
      <c r="A58" s="142" t="s">
        <v>1025</v>
      </c>
      <c r="B58" s="142" t="str" cm="1">
        <f t="array" aca="1" ref="B58" ca="1">OFFSET(POrigin,MATCH(Valori[[#This Row],[smo_id]],Posizioni[smo_id],0),MATCH("LUKB_id",PIntestazioni,0)-1,1,1)</f>
        <v>113712277,4,1</v>
      </c>
      <c r="C58" s="1668" t="str">
        <f ca="1">HYPERLINK("https://boersenundmaerkte.lukb.ch/lukb/details/"&amp;Valori[[#This Row],[LUKB_id]],"è")</f>
        <v>è</v>
      </c>
      <c r="D58" s="142" t="str" cm="1">
        <f t="array" aca="1" ref="D58" ca="1">OFFSET(POrigin,MATCH(Valori[[#This Row],[LUKB_id]],PID,0),MATCH("SC_GROUPED",PIntestazioni,0)-1,1,1)</f>
        <v>BON</v>
      </c>
      <c r="E58" s="413" t="str" cm="1">
        <f t="array" aca="1" ref="E58" ca="1">OFFSET(POrigin,MATCH(Valori[[#This Row],[LUKB_id]],PID,0),MATCH("isin",PIntestazioni,0)-1,1,1)</f>
        <v>CH1137122771</v>
      </c>
      <c r="F58" s="34" t="str" cm="1">
        <f t="array" aca="1" ref="F58" ca="1">OFFSET(POrigin,MATCH(Valori[[#This Row],[LUKB_id]],PID,0),MATCH("NSIN_CH",PLabel,0)-1,1,1)</f>
        <v>113712277</v>
      </c>
      <c r="G58" s="95" t="str" cm="1">
        <f t="array" aca="1" ref="G58" ca="1">IF(OFFSET(POrigin,MATCH(Valori[[#This Row],[LUKB_id]],PID,0),MATCH("INSTRUNIT",PLabel,0)-1,1,1)="Nominal","Pct","Unit")</f>
        <v>Pct</v>
      </c>
      <c r="H58" s="612">
        <f ca="1">MAX(OFFSET(POrigin,MATCH(Valori[[#This Row],[LUKB_id]],PID,0),MATCH("PRICINGAMT",PLabel,0)-1,1,1),1)</f>
        <v>1</v>
      </c>
      <c r="I58" s="615" t="str" cm="1">
        <f t="array" aca="1" ref="I58" ca="1">OFFSET(POrigin,MATCH(Valori[[#This Row],[LUKB_id]],PID,0),MATCH("M_NAME",PLabel,0)-1,1,1)</f>
        <v>0.25 RBCM 29 EMTN</v>
      </c>
      <c r="J58" s="142" t="s">
        <v>873</v>
      </c>
      <c r="M58" s="142" t="str" cm="1">
        <f t="array" aca="1" ref="M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Royal Bank of Canada 15.10.2029</v>
      </c>
      <c r="N58" s="1563">
        <f ca="1">COUNTIF('CHF M'!smo_id,Valori[[#This Row],[smo_id]])+COUNTIF('CHF MA'!smo_id,Valori[[#This Row],[smo_id]])+COUNTIF('EUR MB'!smo_id,Valori[[#This Row],[smo_id]])+COUNTIF('EUR M'!smo_id,Valori[[#This Row],[smo_id]])+COUNTIF(AGCO!smo_id,Valori[[#This Row],[smo_id]])</f>
        <v>1</v>
      </c>
      <c r="O58" s="1590" cm="1">
        <f t="array" aca="1" ref="O58" ca="1">SUM(IF('CHF M'!smo_id=Valori[[#This Row],[smo_id]],'CHF M'!Posizione))+SUM(IF('CHF MA'!smo_id=Valori[[#This Row],[smo_id]],'CHF MA'!Posizione))+SUM(IF('EUR MB'!smo_id=Valori[[#This Row],[smo_id]],'EUR MB'!Posizione))+SUM(IF('EUR M'!smo_id=Valori[[#This Row],[smo_id]],'EUR M'!Posizione))+SUM(IF(AGCO!smo_id=Valori[[#This Row],[smo_id]],AGCO!Posizione))</f>
        <v>100000</v>
      </c>
      <c r="P58" s="1661" t="str">
        <f ca="1">HYPERLINK(Valori[[#This Row],[P_Source]],"è")</f>
        <v>è</v>
      </c>
      <c r="Q58" s="1663" t="str">
        <f>HYPERLINK(Valori[[#This Row],[Info_W]],"i")</f>
        <v>i</v>
      </c>
      <c r="R58" s="1664" t="str">
        <f>HYPERLINK(Valori[[#This Row],[FN_W]],"")</f>
        <v></v>
      </c>
      <c r="S58" s="1665" t="str">
        <f>HYPERLINK(Valori[[#This Row],[MS_Link]],"")</f>
        <v></v>
      </c>
      <c r="T58" s="1665" t="str">
        <f>HYPERLINK(Valori[[#This Row],[C_source]],"")</f>
        <v></v>
      </c>
      <c r="U58" s="142" t="str" cm="1">
        <f t="array" aca="1" ref="U58" ca="1">OFFSET(POrigin,MATCH(Valori[[#This Row],[LUKB_id]],PID,0),MATCH("M_CUR",PLabel,0)-1,1,1)</f>
        <v>CHF</v>
      </c>
      <c r="V58" s="1562">
        <f ca="1">(Valori[[#This Row],[Last]]+Valori[[#This Row],[Acc. Int]])/Valori[[#This Row],[Pr.Amt]]/IF(Valori[[#This Row],[P_Type]]="Pct",100,1)</f>
        <v>0.98895833333000016</v>
      </c>
      <c r="W58" s="1591" cm="1">
        <f t="array" aca="1" ref="W58" ca="1">OFFSET(POrigin,MATCH(Valori[[#This Row],[LUKB_id]],PID,0),MATCH("NC2_PR",PLabel,0)-1,1,1)/100</f>
        <v>-3.5300050428642999E-3</v>
      </c>
      <c r="X58" s="1592" cm="1">
        <f t="array" aca="1" ref="X58" ca="1">OFFSET(POrigin,MATCH(Valori[[#This Row],[LUKB_id]],PID,0),MATCH("LVAL",PLabel,0)-1,1,1)</f>
        <v>98.800000000000011</v>
      </c>
      <c r="Y58" s="1593" cm="1">
        <f t="array" aca="1" ref="Y58" ca="1">OFFSET(POrigin,MATCH(Valori[[#This Row],[LUKB_id]],PID,0),MATCH("LVAL:datetime",PLabel,0)-1,1,1)</f>
        <v>46084.711805555555</v>
      </c>
      <c r="Z58" s="1594" cm="1">
        <f t="array" aca="1" ref="Z58" ca="1">OFFSET(POrigin,MATCH(Valori[[#This Row],[LUKB_id]],PID,0),MATCH("BID:volume",PLabel,0)-1,1,1)</f>
        <v>50000</v>
      </c>
      <c r="AA58" s="1595" cm="1">
        <f t="array" aca="1" ref="AA58" ca="1">OFFSET(POrigin,MATCH(Valori[[#This Row],[LUKB_id]],PID,0),MATCH("BID",PLabel,0)-1,1,1)</f>
        <v>98.5</v>
      </c>
      <c r="AB58" s="1595" cm="1">
        <f t="array" aca="1" ref="AB58" ca="1">OFFSET(POrigin,MATCH(Valori[[#This Row],[LUKB_id]],PID,0),MATCH("ASK",PLabel,0)-1,1,1)</f>
        <v>99.5</v>
      </c>
      <c r="AC58" s="1594" cm="1">
        <f t="array" aca="1" ref="AC58" ca="1">OFFSET(POrigin,MATCH(Valori[[#This Row],[LUKB_id]],PID,0),MATCH("ASK:volume",PLabel,0)-1,1,1)</f>
        <v>100000</v>
      </c>
      <c r="AD58" s="1596" cm="1">
        <f t="array" aca="1" ref="AD58" ca="1">OFFSET(POrigin,MATCH(Valori[[#This Row],[LUKB_id]],PID,0),MATCH("BID-ASK Spread %",PLabel,0)-1,1,1)</f>
        <v>6.7453625632377737E-3</v>
      </c>
      <c r="AE58" s="1597" cm="1">
        <f t="array" aca="1" ref="AE58" ca="1">IF(OFFSET(POrigin,MATCH(Valori[[#This Row],[LUKB_id]],PID,0),MATCH("MATURITY",PLabel,0)-1,1,1)&gt;0,OFFSET(POrigin,MATCH(Valori[[#This Row],[LUKB_id]],PID,0),MATCH("MATURITY",PLabel,0)-1,1,1),"")</f>
        <v>47406</v>
      </c>
      <c r="AF58" s="1598" cm="1">
        <f t="array" aca="1" ref="AF58" ca="1">OFFSET(POrigin,MATCH(Valori[[#This Row],[LUKB_id]],PID,0),MATCH("ACCINT",PLabel,0)-1,1,1)</f>
        <v>9.5833333000000007E-2</v>
      </c>
      <c r="AG58" s="1594" cm="1">
        <f t="array" aca="1" ref="AG58" ca="1">OFFSET(POrigin,MATCH(Valori[[#This Row],[LUKB_id]],PID,0),MATCH("DENOM",PLabel,0)-1,1,1)</f>
        <v>5000</v>
      </c>
      <c r="AH58" s="1599" cm="1">
        <f t="array" aca="1" ref="AH58" ca="1">(OFFSET(POrigin,MATCH(Valori[[#This Row],[LUKB_id]],PID,0),MATCH("YIELD",PLabel,0)-1,1,1)+OFFSET(POrigin,MATCH(Valori[[#This Row],[LUKB_id]],PID,0),MATCH("YLDEQ",PLabel,0)-1,1,1))/100</f>
        <v>5.30272422E-3</v>
      </c>
      <c r="AI58" s="1600">
        <f ca="1">OFFSET(POrigin,MATCH(Valori[[#This Row],[LUKB_id]],PID,0),MATCH("DIVIDEND",PLabel,0)-1,1,1)</f>
        <v>0</v>
      </c>
      <c r="AJ58" s="1601">
        <f ca="1">OFFSET(POrigin,MATCH(Valori[[#This Row],[LUKB_id]],PID,0),MATCH("DIVIDEND:datetime",PLabel,0)-1,1,1)</f>
        <v>0</v>
      </c>
      <c r="AK58" s="1602">
        <f ca="1">OFFSET(POrigin,MATCH(Valori[[#This Row],[LUKB_id]],PID,0),MATCH("INTEREST",PLabel,0)-1,1,1)</f>
        <v>0.25</v>
      </c>
      <c r="AL58" s="1603">
        <f ca="1">OFFSET(POrigin,MATCH(Valori[[#This Row],[LUKB_id]],PID,0),MATCH("4W_PERF_PR",PLabel,0)-1,1,1)/100</f>
        <v>3.0395136778116E-3</v>
      </c>
      <c r="AM58" s="1603">
        <f ca="1">OFFSET(POrigin,MATCH(Valori[[#This Row],[LUKB_id]],PID,0),MATCH("12W_PERF_PR",PLabel,0)-1,1,1)/100</f>
        <v>1.0188487009678998E-2</v>
      </c>
      <c r="AN58" s="1603">
        <f ca="1">OFFSET(POrigin,MATCH(Valori[[#This Row],[LUKB_id]],PID,0),MATCH("YTD_PERF_PR",PLabel,0)-1,1,1)/100</f>
        <v>1.32856412876853E-2</v>
      </c>
      <c r="AO58" s="1591"/>
      <c r="AP58" s="1591"/>
      <c r="AQ58" s="1591"/>
      <c r="AR58" s="1591"/>
      <c r="AS58" s="1890" t="s">
        <v>877</v>
      </c>
      <c r="AT58" s="1890"/>
      <c r="AU58" s="610"/>
      <c r="AV58" s="1891"/>
      <c r="AW58" s="1604" t="str">
        <f ca="1">"https://boersenundmaerkte.lukb.ch/lukb/details/"&amp;Valori[[#This Row],[LUKB_id]]</f>
        <v>https://boersenundmaerkte.lukb.ch/lukb/details/113712277,4,1</v>
      </c>
      <c r="AX58"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8" s="142"/>
      <c r="AZ58" s="142"/>
      <c r="BA58" s="142"/>
      <c r="BB58" s="142"/>
    </row>
    <row r="59" spans="1:54" ht="15" customHeight="1" x14ac:dyDescent="0.2">
      <c r="A59" s="142" t="s">
        <v>1026</v>
      </c>
      <c r="B59" s="142" t="str" cm="1">
        <f t="array" aca="1" ref="B59" ca="1">OFFSET(POrigin,MATCH(Valori[[#This Row],[smo_id]],Posizioni[smo_id],0),MATCH("LUKB_id",PIntestazioni,0)-1,1,1)</f>
        <v>48526083,4,1</v>
      </c>
      <c r="C59" s="1668" t="str">
        <f ca="1">HYPERLINK("https://boersenundmaerkte.lukb.ch/lukb/details/"&amp;Valori[[#This Row],[LUKB_id]],"è")</f>
        <v>è</v>
      </c>
      <c r="D59" s="142" t="str" cm="1">
        <f t="array" aca="1" ref="D59" ca="1">OFFSET(POrigin,MATCH(Valori[[#This Row],[LUKB_id]],PID,0),MATCH("SC_GROUPED",PIntestazioni,0)-1,1,1)</f>
        <v>BON</v>
      </c>
      <c r="E59" s="413" t="str" cm="1">
        <f t="array" aca="1" ref="E59" ca="1">OFFSET(POrigin,MATCH(Valori[[#This Row],[LUKB_id]],PID,0),MATCH("isin",PIntestazioni,0)-1,1,1)</f>
        <v>CH0485260837</v>
      </c>
      <c r="F59" s="34" t="str" cm="1">
        <f t="array" aca="1" ref="F59" ca="1">OFFSET(POrigin,MATCH(Valori[[#This Row],[LUKB_id]],PID,0),MATCH("NSIN_CH",PLabel,0)-1,1,1)</f>
        <v>48526083</v>
      </c>
      <c r="G59" s="95" t="str" cm="1">
        <f t="array" aca="1" ref="G59" ca="1">IF(OFFSET(POrigin,MATCH(Valori[[#This Row],[LUKB_id]],PID,0),MATCH("INSTRUNIT",PLabel,0)-1,1,1)="Nominal","Pct","Unit")</f>
        <v>Pct</v>
      </c>
      <c r="H59" s="612">
        <f ca="1">MAX(OFFSET(POrigin,MATCH(Valori[[#This Row],[LUKB_id]],PID,0),MATCH("PRICINGAMT",PLabel,0)-1,1,1),1)</f>
        <v>1</v>
      </c>
      <c r="I59" s="615" t="str" cm="1">
        <f t="array" aca="1" ref="I59" ca="1">OFFSET(POrigin,MATCH(Valori[[#This Row],[LUKB_id]],PID,0),MATCH("M_NAME",PLabel,0)-1,1,1)</f>
        <v>0 Glarner KB 29 Obl</v>
      </c>
      <c r="M59" s="142" t="str" cm="1">
        <f t="array" aca="1" ref="M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Glarner Kantonalbank 16.10.29</v>
      </c>
      <c r="N59" s="1563">
        <f ca="1">COUNTIF('CHF M'!smo_id,Valori[[#This Row],[smo_id]])+COUNTIF('CHF MA'!smo_id,Valori[[#This Row],[smo_id]])+COUNTIF('EUR MB'!smo_id,Valori[[#This Row],[smo_id]])+COUNTIF('EUR M'!smo_id,Valori[[#This Row],[smo_id]])+COUNTIF(AGCO!smo_id,Valori[[#This Row],[smo_id]])</f>
        <v>1</v>
      </c>
      <c r="O59" s="1590" cm="1">
        <f t="array" aca="1" ref="O59" ca="1">SUM(IF('CHF M'!smo_id=Valori[[#This Row],[smo_id]],'CHF M'!Posizione))+SUM(IF('CHF MA'!smo_id=Valori[[#This Row],[smo_id]],'CHF MA'!Posizione))+SUM(IF('EUR MB'!smo_id=Valori[[#This Row],[smo_id]],'EUR MB'!Posizione))+SUM(IF('EUR M'!smo_id=Valori[[#This Row],[smo_id]],'EUR M'!Posizione))+SUM(IF(AGCO!smo_id=Valori[[#This Row],[smo_id]],AGCO!Posizione))</f>
        <v>100000</v>
      </c>
      <c r="P59" s="1661" t="str">
        <f ca="1">HYPERLINK(Valori[[#This Row],[P_Source]],"è")</f>
        <v>è</v>
      </c>
      <c r="Q59" s="1663" t="str">
        <f>HYPERLINK(Valori[[#This Row],[Info_W]],"i")</f>
        <v>i</v>
      </c>
      <c r="R59" s="1664" t="str">
        <f>HYPERLINK(Valori[[#This Row],[FN_W]],"")</f>
        <v></v>
      </c>
      <c r="S59" s="1665" t="str">
        <f>HYPERLINK(Valori[[#This Row],[MS_Link]],"")</f>
        <v></v>
      </c>
      <c r="T59" s="1665" t="str">
        <f>HYPERLINK(Valori[[#This Row],[C_source]],"")</f>
        <v></v>
      </c>
      <c r="U59" s="142" t="str" cm="1">
        <f t="array" aca="1" ref="U59" ca="1">OFFSET(POrigin,MATCH(Valori[[#This Row],[LUKB_id]],PID,0),MATCH("M_CUR",PLabel,0)-1,1,1)</f>
        <v>CHF</v>
      </c>
      <c r="V59" s="1562">
        <f ca="1">(Valori[[#This Row],[Last]]+Valori[[#This Row],[Acc. Int]])/Valori[[#This Row],[Pr.Amt]]/IF(Valori[[#This Row],[P_Type]]="Pct",100,1)</f>
        <v>0.98499999999999999</v>
      </c>
      <c r="W59" s="1591" cm="1">
        <f t="array" aca="1" ref="W59" ca="1">OFFSET(POrigin,MATCH(Valori[[#This Row],[LUKB_id]],PID,0),MATCH("NC2_PR",PLabel,0)-1,1,1)/100</f>
        <v>0</v>
      </c>
      <c r="X59" s="1592" cm="1">
        <f t="array" aca="1" ref="X59" ca="1">OFFSET(POrigin,MATCH(Valori[[#This Row],[LUKB_id]],PID,0),MATCH("LVAL",PLabel,0)-1,1,1)</f>
        <v>98.5</v>
      </c>
      <c r="Y59" s="1593" cm="1">
        <f t="array" aca="1" ref="Y59" ca="1">OFFSET(POrigin,MATCH(Valori[[#This Row],[LUKB_id]],PID,0),MATCH("LVAL:datetime",PLabel,0)-1,1,1)</f>
        <v>46084.711805555555</v>
      </c>
      <c r="Z59" s="1594" cm="1">
        <f t="array" aca="1" ref="Z59" ca="1">OFFSET(POrigin,MATCH(Valori[[#This Row],[LUKB_id]],PID,0),MATCH("BID:volume",PLabel,0)-1,1,1)</f>
        <v>250000</v>
      </c>
      <c r="AA59" s="1595" cm="1">
        <f t="array" aca="1" ref="AA59" ca="1">OFFSET(POrigin,MATCH(Valori[[#This Row],[LUKB_id]],PID,0),MATCH("BID",PLabel,0)-1,1,1)</f>
        <v>97.95</v>
      </c>
      <c r="AB59" s="1595" cm="1">
        <f t="array" aca="1" ref="AB59" ca="1">OFFSET(POrigin,MATCH(Valori[[#This Row],[LUKB_id]],PID,0),MATCH("ASK",PLabel,0)-1,1,1)</f>
        <v>98.55</v>
      </c>
      <c r="AC59" s="1594" cm="1">
        <f t="array" aca="1" ref="AC59" ca="1">OFFSET(POrigin,MATCH(Valori[[#This Row],[LUKB_id]],PID,0),MATCH("ASK:volume",PLabel,0)-1,1,1)</f>
        <v>100000</v>
      </c>
      <c r="AD59" s="1596" cm="1">
        <f t="array" aca="1" ref="AD59" ca="1">OFFSET(POrigin,MATCH(Valori[[#This Row],[LUKB_id]],PID,0),MATCH("BID-ASK Spread %",PLabel,0)-1,1,1)</f>
        <v>4.0753948038715869E-3</v>
      </c>
      <c r="AE59" s="1597" cm="1">
        <f t="array" aca="1" ref="AE59" ca="1">IF(OFFSET(POrigin,MATCH(Valori[[#This Row],[LUKB_id]],PID,0),MATCH("MATURITY",PLabel,0)-1,1,1)&gt;0,OFFSET(POrigin,MATCH(Valori[[#This Row],[LUKB_id]],PID,0),MATCH("MATURITY",PLabel,0)-1,1,1),"")</f>
        <v>47407</v>
      </c>
      <c r="AF59" s="1598" cm="1">
        <f t="array" aca="1" ref="AF59" ca="1">OFFSET(POrigin,MATCH(Valori[[#This Row],[LUKB_id]],PID,0),MATCH("ACCINT",PLabel,0)-1,1,1)</f>
        <v>0</v>
      </c>
      <c r="AG59" s="1594" cm="1">
        <f t="array" aca="1" ref="AG59" ca="1">OFFSET(POrigin,MATCH(Valori[[#This Row],[LUKB_id]],PID,0),MATCH("DENOM",PLabel,0)-1,1,1)</f>
        <v>5000</v>
      </c>
      <c r="AH59" s="1599" cm="1">
        <f t="array" aca="1" ref="AH59" ca="1">(OFFSET(POrigin,MATCH(Valori[[#This Row],[LUKB_id]],PID,0),MATCH("YIELD",PLabel,0)-1,1,1)+OFFSET(POrigin,MATCH(Valori[[#This Row],[LUKB_id]],PID,0),MATCH("YLDEQ",PLabel,0)-1,1,1))/100</f>
        <v>4.4731396200000002E-3</v>
      </c>
      <c r="AI59" s="1600">
        <f ca="1">OFFSET(POrigin,MATCH(Valori[[#This Row],[LUKB_id]],PID,0),MATCH("DIVIDEND",PLabel,0)-1,1,1)</f>
        <v>0</v>
      </c>
      <c r="AJ59" s="1601">
        <f ca="1">OFFSET(POrigin,MATCH(Valori[[#This Row],[LUKB_id]],PID,0),MATCH("DIVIDEND:datetime",PLabel,0)-1,1,1)</f>
        <v>0</v>
      </c>
      <c r="AK59" s="1602">
        <f ca="1">OFFSET(POrigin,MATCH(Valori[[#This Row],[LUKB_id]],PID,0),MATCH("INTEREST",PLabel,0)-1,1,1)</f>
        <v>0</v>
      </c>
      <c r="AL59" s="1603">
        <f ca="1">OFFSET(POrigin,MATCH(Valori[[#This Row],[LUKB_id]],PID,0),MATCH("4W_PERF_PR",PLabel,0)-1,1,1)/100</f>
        <v>2.5471217524197999E-3</v>
      </c>
      <c r="AM59" s="1603">
        <f ca="1">OFFSET(POrigin,MATCH(Valori[[#This Row],[LUKB_id]],PID,0),MATCH("12W_PERF_PR",PLabel,0)-1,1,1)/100</f>
        <v>3.5659704533877001E-3</v>
      </c>
      <c r="AN59" s="1603">
        <f ca="1">OFFSET(POrigin,MATCH(Valori[[#This Row],[LUKB_id]],PID,0),MATCH("YTD_PERF_PR",PLabel,0)-1,1,1)/100</f>
        <v>8.1883316274309007E-3</v>
      </c>
      <c r="AO59" s="1591"/>
      <c r="AP59" s="1591"/>
      <c r="AQ59" s="1591"/>
      <c r="AR59" s="1591"/>
      <c r="AS59" s="1890"/>
      <c r="AT59" s="1890"/>
      <c r="AU59" s="610"/>
      <c r="AV59" s="1891"/>
      <c r="AW59" s="1604" t="str">
        <f ca="1">"https://boersenundmaerkte.lukb.ch/lukb/details/"&amp;Valori[[#This Row],[LUKB_id]]</f>
        <v>https://boersenundmaerkte.lukb.ch/lukb/details/48526083,4,1</v>
      </c>
      <c r="AX5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9" s="142"/>
      <c r="AZ59" s="142"/>
      <c r="BA59" s="142"/>
      <c r="BB59" s="142"/>
    </row>
    <row r="60" spans="1:54" ht="15" customHeight="1" x14ac:dyDescent="0.2">
      <c r="A60" s="142" t="s">
        <v>1027</v>
      </c>
      <c r="B60" s="142" t="str" cm="1">
        <f t="array" aca="1" ref="B60" ca="1">OFFSET(POrigin,MATCH(Valori[[#This Row],[smo_id]],Posizioni[smo_id],0),MATCH("LUKB_id",PIntestazioni,0)-1,1,1)</f>
        <v>48940521,16,814</v>
      </c>
      <c r="C60" s="1668" t="str">
        <f ca="1">HYPERLINK("https://boersenundmaerkte.lukb.ch/lukb/details/"&amp;Valori[[#This Row],[LUKB_id]],"è")</f>
        <v>è</v>
      </c>
      <c r="D60" s="142" t="str" cm="1">
        <f t="array" aca="1" ref="D60" ca="1">OFFSET(POrigin,MATCH(Valori[[#This Row],[LUKB_id]],PID,0),MATCH("SC_GROUPED",PIntestazioni,0)-1,1,1)</f>
        <v>BON</v>
      </c>
      <c r="E60" s="413" t="str" cm="1">
        <f t="array" aca="1" ref="E60" ca="1">OFFSET(POrigin,MATCH(Valori[[#This Row],[LUKB_id]],PID,0),MATCH("isin",PIntestazioni,0)-1,1,1)</f>
        <v>EU000A1G0EE0</v>
      </c>
      <c r="F60" s="34" t="str" cm="1">
        <f t="array" aca="1" ref="F60" ca="1">OFFSET(POrigin,MATCH(Valori[[#This Row],[LUKB_id]],PID,0),MATCH("NSIN_CH",PLabel,0)-1,1,1)</f>
        <v>48940521</v>
      </c>
      <c r="G60" s="95" t="str" cm="1">
        <f t="array" aca="1" ref="G60" ca="1">IF(OFFSET(POrigin,MATCH(Valori[[#This Row],[LUKB_id]],PID,0),MATCH("INSTRUNIT",PLabel,0)-1,1,1)="Nominal","Pct","Unit")</f>
        <v>Pct</v>
      </c>
      <c r="H60" s="612">
        <f ca="1">MAX(OFFSET(POrigin,MATCH(Valori[[#This Row],[LUKB_id]],PID,0),MATCH("PRICINGAMT",PLabel,0)-1,1,1),1)</f>
        <v>1</v>
      </c>
      <c r="I60" s="615" t="str" cm="1">
        <f t="array" aca="1" ref="I60" ca="1">OFFSET(POrigin,MATCH(Valori[[#This Row],[LUKB_id]],PID,0),MATCH("M_NAME",PLabel,0)-1,1,1)</f>
        <v>0.05 EFSF 29 Anl</v>
      </c>
      <c r="M60" s="142" t="str" cm="1">
        <f t="array" aca="1" ref="M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0.050 % European Financial Stability Facility 17.10.29</v>
      </c>
      <c r="N60" s="1563">
        <f ca="1">COUNTIF('CHF M'!smo_id,Valori[[#This Row],[smo_id]])+COUNTIF('CHF MA'!smo_id,Valori[[#This Row],[smo_id]])+COUNTIF('EUR MB'!smo_id,Valori[[#This Row],[smo_id]])+COUNTIF('EUR M'!smo_id,Valori[[#This Row],[smo_id]])+COUNTIF(AGCO!smo_id,Valori[[#This Row],[smo_id]])</f>
        <v>2</v>
      </c>
      <c r="O60" s="1590" cm="1">
        <f t="array" aca="1" ref="O60" ca="1">SUM(IF('CHF M'!smo_id=Valori[[#This Row],[smo_id]],'CHF M'!Posizione))+SUM(IF('CHF MA'!smo_id=Valori[[#This Row],[smo_id]],'CHF MA'!Posizione))+SUM(IF('EUR MB'!smo_id=Valori[[#This Row],[smo_id]],'EUR MB'!Posizione))+SUM(IF('EUR M'!smo_id=Valori[[#This Row],[smo_id]],'EUR M'!Posizione))+SUM(IF(AGCO!smo_id=Valori[[#This Row],[smo_id]],AGCO!Posizione))</f>
        <v>10000</v>
      </c>
      <c r="P60" s="1661" t="str">
        <f ca="1">HYPERLINK(Valori[[#This Row],[P_Source]],"è")</f>
        <v>è</v>
      </c>
      <c r="Q60" s="1663" t="str">
        <f>HYPERLINK(Valori[[#This Row],[Info_W]],"i")</f>
        <v>i</v>
      </c>
      <c r="R60" s="1664" t="str">
        <f>HYPERLINK(Valori[[#This Row],[FN_W]],"")</f>
        <v></v>
      </c>
      <c r="S60" s="1665" t="str">
        <f>HYPERLINK(Valori[[#This Row],[MS_Link]],"")</f>
        <v></v>
      </c>
      <c r="T60" s="1665" t="str">
        <f>HYPERLINK(Valori[[#This Row],[C_source]],"")</f>
        <v></v>
      </c>
      <c r="U60" s="142" t="str" cm="1">
        <f t="array" aca="1" ref="U60" ca="1">OFFSET(POrigin,MATCH(Valori[[#This Row],[LUKB_id]],PID,0),MATCH("M_CUR",PLabel,0)-1,1,1)</f>
        <v>EUR</v>
      </c>
      <c r="V60" s="1562">
        <f ca="1">(Valori[[#This Row],[Last]]+Valori[[#This Row],[Acc. Int]])/Valori[[#This Row],[Pr.Amt]]/IF(Valori[[#This Row],[P_Type]]="Pct",100,1)</f>
        <v>0.91765767123000008</v>
      </c>
      <c r="W60" s="1591" cm="1">
        <f t="array" aca="1" ref="W60" ca="1">OFFSET(POrigin,MATCH(Valori[[#This Row],[LUKB_id]],PID,0),MATCH("NC2_PR",PLabel,0)-1,1,1)/100</f>
        <v>-2.1426085443314001E-3</v>
      </c>
      <c r="X60" s="1592" cm="1">
        <f t="array" aca="1" ref="X60" ca="1">OFFSET(POrigin,MATCH(Valori[[#This Row],[LUKB_id]],PID,0),MATCH("LVAL",PLabel,0)-1,1,1)</f>
        <v>91.747</v>
      </c>
      <c r="Y60" s="1593" cm="1">
        <f t="array" aca="1" ref="Y60" ca="1">OFFSET(POrigin,MATCH(Valori[[#This Row],[LUKB_id]],PID,0),MATCH("LVAL:datetime",PLabel,0)-1,1,1)</f>
        <v>46084.754351851851</v>
      </c>
      <c r="Z60" s="1594" cm="1">
        <f t="array" aca="1" ref="Z60" ca="1">OFFSET(POrigin,MATCH(Valori[[#This Row],[LUKB_id]],PID,0),MATCH("BID:volume",PLabel,0)-1,1,1)</f>
        <v>100000</v>
      </c>
      <c r="AA60" s="1595" cm="1">
        <f t="array" aca="1" ref="AA60" ca="1">OFFSET(POrigin,MATCH(Valori[[#This Row],[LUKB_id]],PID,0),MATCH("BID",PLabel,0)-1,1,1)</f>
        <v>91.747</v>
      </c>
      <c r="AB60" s="1595" cm="1">
        <f t="array" aca="1" ref="AB60" ca="1">OFFSET(POrigin,MATCH(Valori[[#This Row],[LUKB_id]],PID,0),MATCH("ASK",PLabel,0)-1,1,1)</f>
        <v>92.372</v>
      </c>
      <c r="AC60" s="1594" cm="1">
        <f t="array" aca="1" ref="AC60" ca="1">OFFSET(POrigin,MATCH(Valori[[#This Row],[LUKB_id]],PID,0),MATCH("ASK:volume",PLabel,0)-1,1,1)</f>
        <v>0</v>
      </c>
      <c r="AD60" s="1596" cm="1">
        <f t="array" aca="1" ref="AD60" ca="1">OFFSET(POrigin,MATCH(Valori[[#This Row],[LUKB_id]],PID,0),MATCH("BID-ASK Spread %",PLabel,0)-1,1,1)</f>
        <v>4.5311854306076139E-3</v>
      </c>
      <c r="AE60" s="1597" cm="1">
        <f t="array" aca="1" ref="AE60" ca="1">IF(OFFSET(POrigin,MATCH(Valori[[#This Row],[LUKB_id]],PID,0),MATCH("MATURITY",PLabel,0)-1,1,1)&gt;0,OFFSET(POrigin,MATCH(Valori[[#This Row],[LUKB_id]],PID,0),MATCH("MATURITY",PLabel,0)-1,1,1),"")</f>
        <v>47408</v>
      </c>
      <c r="AF60" s="1598" cm="1">
        <f t="array" aca="1" ref="AF60" ca="1">OFFSET(POrigin,MATCH(Valori[[#This Row],[LUKB_id]],PID,0),MATCH("ACCINT",PLabel,0)-1,1,1)</f>
        <v>1.8767123E-2</v>
      </c>
      <c r="AG60" s="1594" cm="1">
        <f t="array" aca="1" ref="AG60" ca="1">OFFSET(POrigin,MATCH(Valori[[#This Row],[LUKB_id]],PID,0),MATCH("DENOM",PLabel,0)-1,1,1)</f>
        <v>1000</v>
      </c>
      <c r="AH60" s="1599" cm="1">
        <f t="array" aca="1" ref="AH60" ca="1">(OFFSET(POrigin,MATCH(Valori[[#This Row],[LUKB_id]],PID,0),MATCH("YIELD",PLabel,0)-1,1,1)+OFFSET(POrigin,MATCH(Valori[[#This Row],[LUKB_id]],PID,0),MATCH("YLDEQ",PLabel,0)-1,1,1))/100</f>
        <v>2.4005690990000002E-2</v>
      </c>
      <c r="AI60" s="1600">
        <f ca="1">OFFSET(POrigin,MATCH(Valori[[#This Row],[LUKB_id]],PID,0),MATCH("DIVIDEND",PLabel,0)-1,1,1)</f>
        <v>0</v>
      </c>
      <c r="AJ60" s="1601">
        <f ca="1">OFFSET(POrigin,MATCH(Valori[[#This Row],[LUKB_id]],PID,0),MATCH("DIVIDEND:datetime",PLabel,0)-1,1,1)</f>
        <v>0</v>
      </c>
      <c r="AK60" s="1602">
        <f ca="1">OFFSET(POrigin,MATCH(Valori[[#This Row],[LUKB_id]],PID,0),MATCH("INTEREST",PLabel,0)-1,1,1)</f>
        <v>0.05</v>
      </c>
      <c r="AL60" s="1603">
        <f ca="1">OFFSET(POrigin,MATCH(Valori[[#This Row],[LUKB_id]],PID,0),MATCH("4W_PERF_PR",PLabel,0)-1,1,1)/100</f>
        <v>4.4462894785715001E-3</v>
      </c>
      <c r="AM60" s="1603">
        <f ca="1">OFFSET(POrigin,MATCH(Valori[[#This Row],[LUKB_id]],PID,0),MATCH("12W_PERF_PR",PLabel,0)-1,1,1)/100</f>
        <v>1.2576815488645601E-2</v>
      </c>
      <c r="AN60" s="1603">
        <f ca="1">OFFSET(POrigin,MATCH(Valori[[#This Row],[LUKB_id]],PID,0),MATCH("YTD_PERF_PR",PLabel,0)-1,1,1)/100</f>
        <v>-3.6013087683086E-3</v>
      </c>
      <c r="AO60" s="1591"/>
      <c r="AP60" s="1591"/>
      <c r="AQ60" s="1591"/>
      <c r="AR60" s="1591"/>
      <c r="AS60" s="1890"/>
      <c r="AT60" s="1890"/>
      <c r="AU60" s="610"/>
      <c r="AV60" s="1891"/>
      <c r="AW60" s="1604" t="str">
        <f ca="1">"https://boersenundmaerkte.lukb.ch/lukb/details/"&amp;Valori[[#This Row],[LUKB_id]]</f>
        <v>https://boersenundmaerkte.lukb.ch/lukb/details/48940521,16,814</v>
      </c>
      <c r="AX6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0" s="142"/>
      <c r="AZ60" s="142"/>
      <c r="BA60" s="142"/>
      <c r="BB60" s="142"/>
    </row>
    <row r="61" spans="1:54" ht="15" customHeight="1" x14ac:dyDescent="0.2">
      <c r="A61" s="142" t="s">
        <v>4317</v>
      </c>
      <c r="B61" s="142" t="str" cm="1">
        <f t="array" aca="1" ref="B61" ca="1">OFFSET(POrigin,MATCH(Valori[[#This Row],[smo_id]],Posizioni[smo_id],0),MATCH("LUKB_id",PIntestazioni,0)-1,1,1)</f>
        <v>115488711,4,1</v>
      </c>
      <c r="C61" s="1669" t="str">
        <f ca="1">HYPERLINK("https://boersenundmaerkte.lukb.ch/lukb/details/"&amp;Valori[[#This Row],[LUKB_id]],"è")</f>
        <v>è</v>
      </c>
      <c r="D61" s="142" t="str" cm="1">
        <f t="array" aca="1" ref="D61" ca="1">OFFSET(POrigin,MATCH(Valori[[#This Row],[LUKB_id]],PID,0),MATCH("SC_GROUPED",PIntestazioni,0)-1,1,1)</f>
        <v>BON</v>
      </c>
      <c r="E61" s="142" t="str" cm="1">
        <f t="array" aca="1" ref="E61" ca="1">OFFSET(POrigin,MATCH(Valori[[#This Row],[LUKB_id]],PID,0),MATCH("isin",PIntestazioni,0)-1,1,1)</f>
        <v>CH1154887116</v>
      </c>
      <c r="F61" s="34" t="str" cm="1">
        <f t="array" aca="1" ref="F61" ca="1">OFFSET(POrigin,MATCH(Valori[[#This Row],[LUKB_id]],PID,0),MATCH("NSIN_CH",PLabel,0)-1,1,1)</f>
        <v>115488711</v>
      </c>
      <c r="G61" s="95" t="str" cm="1">
        <f t="array" aca="1" ref="G61" ca="1">IF(OFFSET(POrigin,MATCH(Valori[[#This Row],[LUKB_id]],PID,0),MATCH("INSTRUNIT",PLabel,0)-1,1,1)="Nominal","Pct","Unit")</f>
        <v>Pct</v>
      </c>
      <c r="H61" s="612">
        <f ca="1">MAX(OFFSET(POrigin,MATCH(Valori[[#This Row],[LUKB_id]],PID,0),MATCH("PRICINGAMT",PLabel,0)-1,1,1),1)</f>
        <v>1</v>
      </c>
      <c r="I61" s="615" t="str" cm="1">
        <f t="array" aca="1" ref="I61" ca="1">OFFSET(POrigin,MATCH(Valori[[#This Row],[LUKB_id]],PID,0),MATCH("M_NAME",PLabel,0)-1,1,1)</f>
        <v>0.41 AGRI 30 EMTN</v>
      </c>
      <c r="M61" s="142" t="str" cm="1">
        <f t="array" aca="1" ref="M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0.410 % Credit Agricole SA 18.01.30</v>
      </c>
      <c r="N61" s="1563">
        <f ca="1">COUNTIF('CHF M'!smo_id,Valori[[#This Row],[smo_id]])+COUNTIF('CHF MA'!smo_id,Valori[[#This Row],[smo_id]])+COUNTIF('EUR MB'!smo_id,Valori[[#This Row],[smo_id]])+COUNTIF('EUR M'!smo_id,Valori[[#This Row],[smo_id]])+COUNTIF(AGCO!smo_id,Valori[[#This Row],[smo_id]])</f>
        <v>2</v>
      </c>
      <c r="O61" s="704">
        <v>360000</v>
      </c>
      <c r="P61" s="1661" t="str">
        <f ca="1">HYPERLINK(Valori[[#This Row],[P_Source]],"è")</f>
        <v>è</v>
      </c>
      <c r="Q61" s="1663" t="str">
        <f>HYPERLINK(Valori[[#This Row],[Info_W]],"i")</f>
        <v>i</v>
      </c>
      <c r="R61" s="1664" t="str">
        <f>HYPERLINK(Valori[[#This Row],[FN_W]],"")</f>
        <v></v>
      </c>
      <c r="S61" s="1665" t="str">
        <f>HYPERLINK(Valori[[#This Row],[MS_Link]],"")</f>
        <v></v>
      </c>
      <c r="T61" s="1665" t="str">
        <f>HYPERLINK(Valori[[#This Row],[C_source]],"")</f>
        <v></v>
      </c>
      <c r="U61" s="142" t="str" cm="1">
        <f t="array" aca="1" ref="U61" ca="1">OFFSET(POrigin,MATCH(Valori[[#This Row],[LUKB_id]],PID,0),MATCH("M_CUR",PLabel,0)-1,1,1)</f>
        <v>CHF</v>
      </c>
      <c r="V61" s="1562">
        <f ca="1">(Valori[[#This Row],[Last]]+Valori[[#This Row],[Acc. Int]])/Valori[[#This Row],[Pr.Amt]]/IF(Valori[[#This Row],[P_Type]]="Pct",100,1)</f>
        <v>0.98951250000000002</v>
      </c>
      <c r="W61" s="1892" cm="1">
        <f t="array" aca="1" ref="W61" ca="1">OFFSET(POrigin,MATCH(Valori[[#This Row],[LUKB_id]],PID,0),MATCH("NC2_PR",PLabel,0)-1,1,1)/100</f>
        <v>-3.0241935483870004E-3</v>
      </c>
      <c r="X61" s="1893" cm="1">
        <f t="array" aca="1" ref="X61" ca="1">OFFSET(POrigin,MATCH(Valori[[#This Row],[LUKB_id]],PID,0),MATCH("LVAL",PLabel,0)-1,1,1)</f>
        <v>98.9</v>
      </c>
      <c r="Y61" s="1894" cm="1">
        <f t="array" aca="1" ref="Y61" ca="1">OFFSET(POrigin,MATCH(Valori[[#This Row],[LUKB_id]],PID,0),MATCH("LVAL:datetime",PLabel,0)-1,1,1)</f>
        <v>46084.711805555555</v>
      </c>
      <c r="Z61" s="1895" cm="1">
        <f t="array" aca="1" ref="Z61" ca="1">OFFSET(POrigin,MATCH(Valori[[#This Row],[LUKB_id]],PID,0),MATCH("BID:volume",PLabel,0)-1,1,1)</f>
        <v>250000</v>
      </c>
      <c r="AA61" s="1896" cm="1">
        <f t="array" aca="1" ref="AA61" ca="1">OFFSET(POrigin,MATCH(Valori[[#This Row],[LUKB_id]],PID,0),MATCH("BID",PLabel,0)-1,1,1)</f>
        <v>98.4</v>
      </c>
      <c r="AB61" s="1896" cm="1">
        <f t="array" aca="1" ref="AB61" ca="1">OFFSET(POrigin,MATCH(Valori[[#This Row],[LUKB_id]],PID,0),MATCH("ASK",PLabel,0)-1,1,1)</f>
        <v>98.95</v>
      </c>
      <c r="AC61" s="1606" cm="1">
        <f t="array" aca="1" ref="AC61" ca="1">OFFSET(POrigin,MATCH(Valori[[#This Row],[LUKB_id]],PID,0),MATCH("ASK:volume",PLabel,0)-1,1,1)</f>
        <v>300000</v>
      </c>
      <c r="AD61" s="1897" cm="1">
        <f t="array" aca="1" ref="AD61" ca="1">OFFSET(POrigin,MATCH(Valori[[#This Row],[LUKB_id]],PID,0),MATCH("BID-ASK Spread %",PLabel,0)-1,1,1)</f>
        <v>3.7193575655113924E-3</v>
      </c>
      <c r="AE61" s="1898" cm="1">
        <f t="array" aca="1" ref="AE61" ca="1">IF(OFFSET(POrigin,MATCH(Valori[[#This Row],[LUKB_id]],PID,0),MATCH("MATURITY",PLabel,0)-1,1,1)&gt;0,OFFSET(POrigin,MATCH(Valori[[#This Row],[LUKB_id]],PID,0),MATCH("MATURITY",PLabel,0)-1,1,1),"")</f>
        <v>47501</v>
      </c>
      <c r="AF61" s="1899" cm="1">
        <f t="array" aca="1" ref="AF61" ca="1">OFFSET(POrigin,MATCH(Valori[[#This Row],[LUKB_id]],PID,0),MATCH("ACCINT",PLabel,0)-1,1,1)</f>
        <v>5.1250000000000004E-2</v>
      </c>
      <c r="AG61" s="1895" cm="1">
        <f t="array" aca="1" ref="AG61" ca="1">OFFSET(POrigin,MATCH(Valori[[#This Row],[LUKB_id]],PID,0),MATCH("DENOM",PLabel,0)-1,1,1)</f>
        <v>5000</v>
      </c>
      <c r="AH61" s="1900" cm="1">
        <f t="array" aca="1" ref="AH61" ca="1">(OFFSET(POrigin,MATCH(Valori[[#This Row],[LUKB_id]],PID,0),MATCH("YIELD",PLabel,0)-1,1,1)+OFFSET(POrigin,MATCH(Valori[[#This Row],[LUKB_id]],PID,0),MATCH("YLDEQ",PLabel,0)-1,1,1))/100</f>
        <v>6.1983966400000002E-3</v>
      </c>
      <c r="AI61" s="1901">
        <f ca="1">OFFSET(POrigin,MATCH(Valori[[#This Row],[LUKB_id]],PID,0),MATCH("DIVIDEND",PLabel,0)-1,1,1)</f>
        <v>0</v>
      </c>
      <c r="AJ61" s="1902">
        <f ca="1">OFFSET(POrigin,MATCH(Valori[[#This Row],[LUKB_id]],PID,0),MATCH("DIVIDEND:datetime",PLabel,0)-1,1,1)</f>
        <v>0</v>
      </c>
      <c r="AK61" s="1903">
        <f ca="1">OFFSET(POrigin,MATCH(Valori[[#This Row],[LUKB_id]],PID,0),MATCH("INTEREST",PLabel,0)-1,1,1)</f>
        <v>0.41</v>
      </c>
      <c r="AL61" s="1904">
        <f ca="1">OFFSET(POrigin,MATCH(Valori[[#This Row],[LUKB_id]],PID,0),MATCH("4W_PERF_PR",PLabel,0)-1,1,1)/100</f>
        <v>6.0851926977687999E-3</v>
      </c>
      <c r="AM61" s="1904">
        <f ca="1">OFFSET(POrigin,MATCH(Valori[[#This Row],[LUKB_id]],PID,0),MATCH("12W_PERF_PR",PLabel,0)-1,1,1)/100</f>
        <v>9.1556459816886995E-3</v>
      </c>
      <c r="AN61" s="1904">
        <f ca="1">OFFSET(POrigin,MATCH(Valori[[#This Row],[LUKB_id]],PID,0),MATCH("YTD_PERF_PR",PLabel,0)-1,1,1)/100</f>
        <v>1.17287098419175E-2</v>
      </c>
      <c r="AO61" s="1892"/>
      <c r="AP61" s="1892"/>
      <c r="AQ61" s="1892"/>
      <c r="AR61" s="1892"/>
      <c r="AS61" s="1890"/>
      <c r="AT61" s="1890"/>
      <c r="AU61" s="1607"/>
      <c r="AV61" s="1608"/>
      <c r="AW61" s="1609" t="str">
        <f ca="1">"https://boersenundmaerkte.lukb.ch/lukb/details/"&amp;Valori[[#This Row],[LUKB_id]]</f>
        <v>https://boersenundmaerkte.lukb.ch/lukb/details/115488711,4,1</v>
      </c>
      <c r="AX61"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1" s="142"/>
      <c r="AZ61" s="142"/>
      <c r="BA61" s="142"/>
      <c r="BB61" s="142"/>
    </row>
    <row r="62" spans="1:54" ht="15" customHeight="1" x14ac:dyDescent="0.2">
      <c r="A62" s="142" t="s">
        <v>1028</v>
      </c>
      <c r="B62" s="142" t="str" cm="1">
        <f t="array" aca="1" ref="B62" ca="1">OFFSET(POrigin,MATCH(Valori[[#This Row],[smo_id]],Posizioni[smo_id],0),MATCH("LUKB_id",PIntestazioni,0)-1,1,1)</f>
        <v>113081936,2779,814</v>
      </c>
      <c r="C62" s="1668" t="str">
        <f ca="1">HYPERLINK("https://boersenundmaerkte.lukb.ch/lukb/details/"&amp;Valori[[#This Row],[LUKB_id]],"è")</f>
        <v>è</v>
      </c>
      <c r="D62" s="142" t="str" cm="1">
        <f t="array" aca="1" ref="D62" ca="1">OFFSET(POrigin,MATCH(Valori[[#This Row],[LUKB_id]],PID,0),MATCH("SC_GROUPED",PIntestazioni,0)-1,1,1)</f>
        <v>BON</v>
      </c>
      <c r="E62" s="413" t="str" cm="1">
        <f t="array" aca="1" ref="E62" ca="1">OFFSET(POrigin,MATCH(Valori[[#This Row],[LUKB_id]],PID,0),MATCH("isin",PIntestazioni,0)-1,1,1)</f>
        <v>XS2374594823</v>
      </c>
      <c r="F62" s="34" t="str" cm="1">
        <f t="array" aca="1" ref="F62" ca="1">OFFSET(POrigin,MATCH(Valori[[#This Row],[LUKB_id]],PID,0),MATCH("NSIN_CH",PLabel,0)-1,1,1)</f>
        <v>113081936</v>
      </c>
      <c r="G62" s="95" t="str" cm="1">
        <f t="array" aca="1" ref="G62" ca="1">IF(OFFSET(POrigin,MATCH(Valori[[#This Row],[LUKB_id]],PID,0),MATCH("INSTRUNIT",PLabel,0)-1,1,1)="Nominal","Pct","Unit")</f>
        <v>Pct</v>
      </c>
      <c r="H62" s="612">
        <f ca="1">MAX(OFFSET(POrigin,MATCH(Valori[[#This Row],[LUKB_id]],PID,0),MATCH("PRICINGAMT",PLabel,0)-1,1,1),1)</f>
        <v>1</v>
      </c>
      <c r="I62" s="615" t="str" cm="1">
        <f t="array" aca="1" ref="I62" ca="1">OFFSET(POrigin,MATCH(Valori[[#This Row],[LUKB_id]],PID,0),MATCH("M_NAME",PLabel,0)-1,1,1)</f>
        <v>0.375 Volks 30 Bds</v>
      </c>
      <c r="J62" s="142" t="s">
        <v>471</v>
      </c>
      <c r="M62" s="142" t="str" cm="1">
        <f t="array" aca="1" ref="M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Volkswagen Financial Services AG 12.02.30</v>
      </c>
      <c r="N62" s="1563">
        <f ca="1">COUNTIF('CHF M'!smo_id,Valori[[#This Row],[smo_id]])+COUNTIF('CHF MA'!smo_id,Valori[[#This Row],[smo_id]])+COUNTIF('EUR MB'!smo_id,Valori[[#This Row],[smo_id]])+COUNTIF('EUR M'!smo_id,Valori[[#This Row],[smo_id]])+COUNTIF(AGCO!smo_id,Valori[[#This Row],[smo_id]])</f>
        <v>3</v>
      </c>
      <c r="O62" s="1590" cm="1">
        <f t="array" aca="1" ref="O62" ca="1">SUM(IF('CHF M'!smo_id=Valori[[#This Row],[smo_id]],'CHF M'!Posizione))+SUM(IF('CHF MA'!smo_id=Valori[[#This Row],[smo_id]],'CHF MA'!Posizione))+SUM(IF('EUR MB'!smo_id=Valori[[#This Row],[smo_id]],'EUR MB'!Posizione))+SUM(IF('EUR M'!smo_id=Valori[[#This Row],[smo_id]],'EUR M'!Posizione))+SUM(IF(AGCO!smo_id=Valori[[#This Row],[smo_id]],AGCO!Posizione))</f>
        <v>160000</v>
      </c>
      <c r="P62" s="1661" t="str">
        <f ca="1">HYPERLINK(Valori[[#This Row],[P_Source]],"è")</f>
        <v>è</v>
      </c>
      <c r="Q62" s="1663" t="str">
        <f>HYPERLINK(Valori[[#This Row],[Info_W]],"i")</f>
        <v>i</v>
      </c>
      <c r="R62" s="1664" t="str">
        <f>HYPERLINK(Valori[[#This Row],[FN_W]],"")</f>
        <v></v>
      </c>
      <c r="S62" s="1665" t="str">
        <f>HYPERLINK(Valori[[#This Row],[MS_Link]],"")</f>
        <v></v>
      </c>
      <c r="T62" s="1665" t="str">
        <f>HYPERLINK(Valori[[#This Row],[C_source]],"")</f>
        <v></v>
      </c>
      <c r="U62" s="142" t="str" cm="1">
        <f t="array" aca="1" ref="U62" ca="1">OFFSET(POrigin,MATCH(Valori[[#This Row],[LUKB_id]],PID,0),MATCH("M_CUR",PLabel,0)-1,1,1)</f>
        <v>EUR</v>
      </c>
      <c r="V62" s="1562">
        <f ca="1">(Valori[[#This Row],[Last]]+Valori[[#This Row],[Acc. Int]])/Valori[[#This Row],[Pr.Amt]]/IF(Valori[[#This Row],[P_Type]]="Pct",100,1)</f>
        <v>0.89866520548000006</v>
      </c>
      <c r="W62" s="1591" cm="1">
        <f t="array" aca="1" ref="W62" ca="1">OFFSET(POrigin,MATCH(Valori[[#This Row],[LUKB_id]],PID,0),MATCH("NC2_PR",PLabel,0)-1,1,1)/100</f>
        <v>-3.9135254988913E-3</v>
      </c>
      <c r="X62" s="1592" cm="1">
        <f t="array" aca="1" ref="X62" ca="1">OFFSET(POrigin,MATCH(Valori[[#This Row],[LUKB_id]],PID,0),MATCH("LVAL",PLabel,0)-1,1,1)</f>
        <v>89.847000000000008</v>
      </c>
      <c r="Y62" s="1593" cm="1">
        <f t="array" aca="1" ref="Y62" ca="1">OFFSET(POrigin,MATCH(Valori[[#This Row],[LUKB_id]],PID,0),MATCH("LVAL:datetime",PLabel,0)-1,1,1)</f>
        <v>46084.788113425922</v>
      </c>
      <c r="Z62" s="1594" cm="1">
        <f t="array" aca="1" ref="Z62" ca="1">OFFSET(POrigin,MATCH(Valori[[#This Row],[LUKB_id]],PID,0),MATCH("BID:volume",PLabel,0)-1,1,1)</f>
        <v>250000</v>
      </c>
      <c r="AA62" s="1595" cm="1">
        <f t="array" aca="1" ref="AA62" ca="1">OFFSET(POrigin,MATCH(Valori[[#This Row],[LUKB_id]],PID,0),MATCH("BID",PLabel,0)-1,1,1)</f>
        <v>89.847000000000008</v>
      </c>
      <c r="AB62" s="1595" cm="1">
        <f t="array" aca="1" ref="AB62" ca="1">OFFSET(POrigin,MATCH(Valori[[#This Row],[LUKB_id]],PID,0),MATCH("ASK",PLabel,0)-1,1,1)</f>
        <v>90.079000000000008</v>
      </c>
      <c r="AC62" s="1594" cm="1">
        <f t="array" aca="1" ref="AC62" ca="1">OFFSET(POrigin,MATCH(Valori[[#This Row],[LUKB_id]],PID,0),MATCH("ASK:volume",PLabel,0)-1,1,1)</f>
        <v>250000</v>
      </c>
      <c r="AD62" s="1596" cm="1">
        <f t="array" aca="1" ref="AD62" ca="1">OFFSET(POrigin,MATCH(Valori[[#This Row],[LUKB_id]],PID,0),MATCH("BID-ASK Spread %",PLabel,0)-1,1,1)</f>
        <v>1.7199645627990888E-3</v>
      </c>
      <c r="AE62" s="1597" cm="1">
        <f t="array" aca="1" ref="AE62" ca="1">IF(OFFSET(POrigin,MATCH(Valori[[#This Row],[LUKB_id]],PID,0),MATCH("MATURITY",PLabel,0)-1,1,1)&gt;0,OFFSET(POrigin,MATCH(Valori[[#This Row],[LUKB_id]],PID,0),MATCH("MATURITY",PLabel,0)-1,1,1),"")</f>
        <v>47526</v>
      </c>
      <c r="AF62" s="1598" cm="1">
        <f t="array" aca="1" ref="AF62" ca="1">OFFSET(POrigin,MATCH(Valori[[#This Row],[LUKB_id]],PID,0),MATCH("ACCINT",PLabel,0)-1,1,1)</f>
        <v>1.9520548000000002E-2</v>
      </c>
      <c r="AG62" s="1594" cm="1">
        <f t="array" aca="1" ref="AG62" ca="1">OFFSET(POrigin,MATCH(Valori[[#This Row],[LUKB_id]],PID,0),MATCH("DENOM",PLabel,0)-1,1,1)</f>
        <v>1000</v>
      </c>
      <c r="AH62" s="1599" cm="1">
        <f t="array" aca="1" ref="AH62" ca="1">(OFFSET(POrigin,MATCH(Valori[[#This Row],[LUKB_id]],PID,0),MATCH("YIELD",PLabel,0)-1,1,1)+OFFSET(POrigin,MATCH(Valori[[#This Row],[LUKB_id]],PID,0),MATCH("YLDEQ",PLabel,0)-1,1,1))/100</f>
        <v>3.0508417100000004E-2</v>
      </c>
      <c r="AI62" s="1600">
        <f ca="1">OFFSET(POrigin,MATCH(Valori[[#This Row],[LUKB_id]],PID,0),MATCH("DIVIDEND",PLabel,0)-1,1,1)</f>
        <v>0</v>
      </c>
      <c r="AJ62" s="1601">
        <f ca="1">OFFSET(POrigin,MATCH(Valori[[#This Row],[LUKB_id]],PID,0),MATCH("DIVIDEND:datetime",PLabel,0)-1,1,1)</f>
        <v>0</v>
      </c>
      <c r="AK62" s="1602">
        <f ca="1">OFFSET(POrigin,MATCH(Valori[[#This Row],[LUKB_id]],PID,0),MATCH("INTEREST",PLabel,0)-1,1,1)</f>
        <v>0.375</v>
      </c>
      <c r="AL62" s="1603">
        <f ca="1">OFFSET(POrigin,MATCH(Valori[[#This Row],[LUKB_id]],PID,0),MATCH("4W_PERF_PR",PLabel,0)-1,1,1)/100</f>
        <v>-1.0422380691168499E-2</v>
      </c>
      <c r="AM62" s="1603">
        <f ca="1">OFFSET(POrigin,MATCH(Valori[[#This Row],[LUKB_id]],PID,0),MATCH("12W_PERF_PR",PLabel,0)-1,1,1)/100</f>
        <v>1.24045908161327E-2</v>
      </c>
      <c r="AN62" s="1603">
        <f ca="1">OFFSET(POrigin,MATCH(Valori[[#This Row],[LUKB_id]],PID,0),MATCH("YTD_PERF_PR",PLabel,0)-1,1,1)/100</f>
        <v>1.6152008345204302E-2</v>
      </c>
      <c r="AO62" s="1591"/>
      <c r="AP62" s="1591"/>
      <c r="AQ62" s="1591"/>
      <c r="AR62" s="1591"/>
      <c r="AS62" s="1890"/>
      <c r="AT62" s="1890"/>
      <c r="AU62" s="610"/>
      <c r="AV62" s="1891"/>
      <c r="AW62" s="1604" t="str">
        <f ca="1">"https://boersenundmaerkte.lukb.ch/lukb/details/"&amp;Valori[[#This Row],[LUKB_id]]</f>
        <v>https://boersenundmaerkte.lukb.ch/lukb/details/113081936,2779,814</v>
      </c>
      <c r="AX6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2" s="142"/>
      <c r="AZ62" s="142"/>
      <c r="BA62" s="142"/>
      <c r="BB62" s="142"/>
    </row>
    <row r="63" spans="1:54" ht="15" customHeight="1" x14ac:dyDescent="0.2">
      <c r="A63" s="142" t="s">
        <v>1029</v>
      </c>
      <c r="B63" s="142" t="str" cm="1">
        <f t="array" aca="1" ref="B63" ca="1">OFFSET(POrigin,MATCH(Valori[[#This Row],[smo_id]],Posizioni[smo_id],0),MATCH("LUKB_id",PIntestazioni,0)-1,1,1)</f>
        <v>52515846,4,1</v>
      </c>
      <c r="C63" s="1668" t="str">
        <f ca="1">HYPERLINK("https://boersenundmaerkte.lukb.ch/lukb/details/"&amp;Valori[[#This Row],[LUKB_id]],"è")</f>
        <v>è</v>
      </c>
      <c r="D63" s="142" t="str" cm="1">
        <f t="array" aca="1" ref="D63" ca="1">OFFSET(POrigin,MATCH(Valori[[#This Row],[LUKB_id]],PID,0),MATCH("SC_GROUPED",PIntestazioni,0)-1,1,1)</f>
        <v>BON</v>
      </c>
      <c r="E63" s="413" t="str" cm="1">
        <f t="array" aca="1" ref="E63" ca="1">OFFSET(POrigin,MATCH(Valori[[#This Row],[LUKB_id]],PID,0),MATCH("isin",PIntestazioni,0)-1,1,1)</f>
        <v>CH0525158462</v>
      </c>
      <c r="F63" s="34" t="str" cm="1">
        <f t="array" aca="1" ref="F63" ca="1">OFFSET(POrigin,MATCH(Valori[[#This Row],[LUKB_id]],PID,0),MATCH("NSIN_CH",PLabel,0)-1,1,1)</f>
        <v>52515846</v>
      </c>
      <c r="G63" s="95" t="str" cm="1">
        <f t="array" aca="1" ref="G63" ca="1">IF(OFFSET(POrigin,MATCH(Valori[[#This Row],[LUKB_id]],PID,0),MATCH("INSTRUNIT",PLabel,0)-1,1,1)="Nominal","Pct","Unit")</f>
        <v>Pct</v>
      </c>
      <c r="H63" s="612">
        <f ca="1">MAX(OFFSET(POrigin,MATCH(Valori[[#This Row],[LUKB_id]],PID,0),MATCH("PRICINGAMT",PLabel,0)-1,1,1),1)</f>
        <v>1</v>
      </c>
      <c r="I63" s="615" t="str" cm="1">
        <f t="array" aca="1" ref="I63" ca="1">OFFSET(POrigin,MATCH(Valori[[#This Row],[LUKB_id]],PID,0),MATCH("M_NAME",PLabel,0)-1,1,1)</f>
        <v>0.125 HYVB 30</v>
      </c>
      <c r="M63" s="142" t="str" cm="1">
        <f t="array" aca="1" ref="M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27.03.30</v>
      </c>
      <c r="N63" s="1563">
        <f ca="1">COUNTIF('CHF M'!smo_id,Valori[[#This Row],[smo_id]])+COUNTIF('CHF MA'!smo_id,Valori[[#This Row],[smo_id]])+COUNTIF('EUR MB'!smo_id,Valori[[#This Row],[smo_id]])+COUNTIF('EUR M'!smo_id,Valori[[#This Row],[smo_id]])+COUNTIF(AGCO!smo_id,Valori[[#This Row],[smo_id]])</f>
        <v>0</v>
      </c>
      <c r="O63" s="1590" cm="1">
        <f t="array" aca="1" ref="O63" ca="1">SUM(IF('CHF M'!smo_id=Valori[[#This Row],[smo_id]],'CHF M'!Posizione))+SUM(IF('CHF MA'!smo_id=Valori[[#This Row],[smo_id]],'CHF MA'!Posizione))+SUM(IF('EUR MB'!smo_id=Valori[[#This Row],[smo_id]],'EUR MB'!Posizione))+SUM(IF('EUR M'!smo_id=Valori[[#This Row],[smo_id]],'EUR M'!Posizione))+SUM(IF(AGCO!smo_id=Valori[[#This Row],[smo_id]],AGCO!Posizione))</f>
        <v>0</v>
      </c>
      <c r="P63" s="1661" t="str">
        <f ca="1">HYPERLINK(Valori[[#This Row],[P_Source]],"è")</f>
        <v>è</v>
      </c>
      <c r="Q63" s="1663" t="str">
        <f>HYPERLINK(Valori[[#This Row],[Info_W]],"i")</f>
        <v>i</v>
      </c>
      <c r="R63" s="1664" t="str">
        <f>HYPERLINK(Valori[[#This Row],[FN_W]],"")</f>
        <v></v>
      </c>
      <c r="S63" s="1665" t="str">
        <f>HYPERLINK(Valori[[#This Row],[MS_Link]],"")</f>
        <v></v>
      </c>
      <c r="T63" s="1665" t="str">
        <f>HYPERLINK(Valori[[#This Row],[C_source]],"")</f>
        <v></v>
      </c>
      <c r="U63" s="142" t="str" cm="1">
        <f t="array" aca="1" ref="U63" ca="1">OFFSET(POrigin,MATCH(Valori[[#This Row],[LUKB_id]],PID,0),MATCH("M_CUR",PLabel,0)-1,1,1)</f>
        <v>CHF</v>
      </c>
      <c r="V63" s="1562">
        <f ca="1">(Valori[[#This Row],[Last]]+Valori[[#This Row],[Acc. Int]])/Valori[[#This Row],[Pr.Amt]]/IF(Valori[[#This Row],[P_Type]]="Pct",100,1)</f>
        <v>0.96666666667000001</v>
      </c>
      <c r="W63" s="1591" cm="1">
        <f t="array" aca="1" ref="W63" ca="1">OFFSET(POrigin,MATCH(Valori[[#This Row],[LUKB_id]],PID,0),MATCH("NC2_PR",PLabel,0)-1,1,1)/100</f>
        <v>-6.6872427983540005E-3</v>
      </c>
      <c r="X63" s="1592" cm="1">
        <f t="array" aca="1" ref="X63" ca="1">OFFSET(POrigin,MATCH(Valori[[#This Row],[LUKB_id]],PID,0),MATCH("LVAL",PLabel,0)-1,1,1)</f>
        <v>96.55</v>
      </c>
      <c r="Y63" s="1593" cm="1">
        <f t="array" aca="1" ref="Y63" ca="1">OFFSET(POrigin,MATCH(Valori[[#This Row],[LUKB_id]],PID,0),MATCH("LVAL:datetime",PLabel,0)-1,1,1)</f>
        <v>46084.528773148151</v>
      </c>
      <c r="Z63" s="1594" cm="1">
        <f t="array" aca="1" ref="Z63" ca="1">OFFSET(POrigin,MATCH(Valori[[#This Row],[LUKB_id]],PID,0),MATCH("BID:volume",PLabel,0)-1,1,1)</f>
        <v>100000</v>
      </c>
      <c r="AA63" s="1595" cm="1">
        <f t="array" aca="1" ref="AA63" ca="1">OFFSET(POrigin,MATCH(Valori[[#This Row],[LUKB_id]],PID,0),MATCH("BID",PLabel,0)-1,1,1)</f>
        <v>96.600000000000009</v>
      </c>
      <c r="AB63" s="1595" cm="1">
        <f t="array" aca="1" ref="AB63" ca="1">OFFSET(POrigin,MATCH(Valori[[#This Row],[LUKB_id]],PID,0),MATCH("ASK",PLabel,0)-1,1,1)</f>
        <v>97</v>
      </c>
      <c r="AC63" s="1594" cm="1">
        <f t="array" aca="1" ref="AC63" ca="1">OFFSET(POrigin,MATCH(Valori[[#This Row],[LUKB_id]],PID,0),MATCH("ASK:volume",PLabel,0)-1,1,1)</f>
        <v>125000</v>
      </c>
      <c r="AD63" s="1596" cm="1">
        <f t="array" aca="1" ref="AD63" ca="1">OFFSET(POrigin,MATCH(Valori[[#This Row],[LUKB_id]],PID,0),MATCH("BID-ASK Spread %",PLabel,0)-1,1,1)</f>
        <v>2.7567195037904303E-3</v>
      </c>
      <c r="AE63" s="1597" cm="1">
        <f t="array" aca="1" ref="AE63" ca="1">IF(OFFSET(POrigin,MATCH(Valori[[#This Row],[LUKB_id]],PID,0),MATCH("MATURITY",PLabel,0)-1,1,1)&gt;0,OFFSET(POrigin,MATCH(Valori[[#This Row],[LUKB_id]],PID,0),MATCH("MATURITY",PLabel,0)-1,1,1),"")</f>
        <v>47569</v>
      </c>
      <c r="AF63" s="1598" cm="1">
        <f t="array" aca="1" ref="AF63" ca="1">OFFSET(POrigin,MATCH(Valori[[#This Row],[LUKB_id]],PID,0),MATCH("ACCINT",PLabel,0)-1,1,1)</f>
        <v>0.116666667</v>
      </c>
      <c r="AG63" s="1594" cm="1">
        <f t="array" aca="1" ref="AG63" ca="1">OFFSET(POrigin,MATCH(Valori[[#This Row],[LUKB_id]],PID,0),MATCH("DENOM",PLabel,0)-1,1,1)</f>
        <v>5000</v>
      </c>
      <c r="AH63" s="1599" cm="1">
        <f t="array" aca="1" ref="AH63" ca="1">(OFFSET(POrigin,MATCH(Valori[[#This Row],[LUKB_id]],PID,0),MATCH("YIELD",PLabel,0)-1,1,1)+OFFSET(POrigin,MATCH(Valori[[#This Row],[LUKB_id]],PID,0),MATCH("YLDEQ",PLabel,0)-1,1,1))/100</f>
        <v>8.2898350100000014E-3</v>
      </c>
      <c r="AI63" s="1600">
        <f ca="1">OFFSET(POrigin,MATCH(Valori[[#This Row],[LUKB_id]],PID,0),MATCH("DIVIDEND",PLabel,0)-1,1,1)</f>
        <v>0</v>
      </c>
      <c r="AJ63" s="1601">
        <f ca="1">OFFSET(POrigin,MATCH(Valori[[#This Row],[LUKB_id]],PID,0),MATCH("DIVIDEND:datetime",PLabel,0)-1,1,1)</f>
        <v>0</v>
      </c>
      <c r="AK63" s="1602">
        <f ca="1">OFFSET(POrigin,MATCH(Valori[[#This Row],[LUKB_id]],PID,0),MATCH("INTEREST",PLabel,0)-1,1,1)</f>
        <v>0.125</v>
      </c>
      <c r="AL63" s="1603">
        <f ca="1">OFFSET(POrigin,MATCH(Valori[[#This Row],[LUKB_id]],PID,0),MATCH("4W_PERF_PR",PLabel,0)-1,1,1)/100</f>
        <v>3.0959752321981998E-3</v>
      </c>
      <c r="AM63" s="1603">
        <f ca="1">OFFSET(POrigin,MATCH(Valori[[#This Row],[LUKB_id]],PID,0),MATCH("12W_PERF_PR",PLabel,0)-1,1,1)/100</f>
        <v>5.1706308169597003E-3</v>
      </c>
      <c r="AN63" s="1603">
        <f ca="1">OFFSET(POrigin,MATCH(Valori[[#This Row],[LUKB_id]],PID,0),MATCH("YTD_PERF_PR",PLabel,0)-1,1,1)/100</f>
        <v>1.0395010395010401E-2</v>
      </c>
      <c r="AO63" s="1591"/>
      <c r="AP63" s="1591"/>
      <c r="AQ63" s="1591"/>
      <c r="AR63" s="1591"/>
      <c r="AS63" s="1890"/>
      <c r="AT63" s="1890"/>
      <c r="AU63" s="610"/>
      <c r="AV63" s="1891"/>
      <c r="AW63" s="1604" t="str">
        <f ca="1">"https://boersenundmaerkte.lukb.ch/lukb/details/"&amp;Valori[[#This Row],[LUKB_id]]</f>
        <v>https://boersenundmaerkte.lukb.ch/lukb/details/52515846,4,1</v>
      </c>
      <c r="AX6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3" s="142"/>
      <c r="AZ63" s="142"/>
      <c r="BA63" s="142"/>
      <c r="BB63" s="142"/>
    </row>
    <row r="64" spans="1:54" ht="15" customHeight="1" x14ac:dyDescent="0.2">
      <c r="A64" s="142" t="s">
        <v>1030</v>
      </c>
      <c r="B64" s="142" t="str" cm="1">
        <f t="array" aca="1" ref="B64" ca="1">OFFSET(POrigin,MATCH(Valori[[#This Row],[smo_id]],Posizioni[smo_id],0),MATCH("LUKB_id",PIntestazioni,0)-1,1,1)</f>
        <v>145418594,4,1</v>
      </c>
      <c r="C64" s="1668" t="str">
        <f ca="1">HYPERLINK("https://boersenundmaerkte.lukb.ch/lukb/details/"&amp;Valori[[#This Row],[LUKB_id]],"è")</f>
        <v>è</v>
      </c>
      <c r="D64" s="142" t="str" cm="1">
        <f t="array" aca="1" ref="D64" ca="1">OFFSET(POrigin,MATCH(Valori[[#This Row],[LUKB_id]],PID,0),MATCH("SC_GROUPED",PIntestazioni,0)-1,1,1)</f>
        <v>BON</v>
      </c>
      <c r="E64" s="413" t="str" cm="1">
        <f t="array" aca="1" ref="E64" ca="1">OFFSET(POrigin,MATCH(Valori[[#This Row],[LUKB_id]],PID,0),MATCH("isin",PIntestazioni,0)-1,1,1)</f>
        <v>CH1454185948</v>
      </c>
      <c r="F64" s="34" t="str" cm="1">
        <f t="array" aca="1" ref="F64" ca="1">OFFSET(POrigin,MATCH(Valori[[#This Row],[LUKB_id]],PID,0),MATCH("NSIN_CH",PLabel,0)-1,1,1)</f>
        <v>145418594</v>
      </c>
      <c r="G64" s="95" t="str" cm="1">
        <f t="array" aca="1" ref="G64" ca="1">IF(OFFSET(POrigin,MATCH(Valori[[#This Row],[LUKB_id]],PID,0),MATCH("INSTRUNIT",PLabel,0)-1,1,1)="Nominal","Pct","Unit")</f>
        <v>Pct</v>
      </c>
      <c r="H64" s="612">
        <f ca="1">MAX(OFFSET(POrigin,MATCH(Valori[[#This Row],[LUKB_id]],PID,0),MATCH("PRICINGAMT",PLabel,0)-1,1,1),1)</f>
        <v>1</v>
      </c>
      <c r="I64" s="615" t="str" cm="1">
        <f t="array" aca="1" ref="I64" ca="1">OFFSET(POrigin,MATCH(Valori[[#This Row],[LUKB_id]],PID,0),MATCH("M_NAME",PLabel,0)-1,1,1)</f>
        <v>1.04 URY 30 Bds</v>
      </c>
      <c r="J64" s="142" t="s">
        <v>1031</v>
      </c>
      <c r="M64" s="142" t="str" cm="1">
        <f t="array" aca="1" ref="M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1.040 % Uruguay 23.07.30</v>
      </c>
      <c r="N64" s="1563">
        <f ca="1">COUNTIF('CHF M'!smo_id,Valori[[#This Row],[smo_id]])+COUNTIF('CHF MA'!smo_id,Valori[[#This Row],[smo_id]])+COUNTIF('EUR MB'!smo_id,Valori[[#This Row],[smo_id]])+COUNTIF('EUR M'!smo_id,Valori[[#This Row],[smo_id]])+COUNTIF(AGCO!smo_id,Valori[[#This Row],[smo_id]])</f>
        <v>0</v>
      </c>
      <c r="O64" s="1590" cm="1">
        <f t="array" aca="1" ref="O64" ca="1">SUM(IF('CHF M'!smo_id=Valori[[#This Row],[smo_id]],'CHF M'!Posizione))+SUM(IF('CHF MA'!smo_id=Valori[[#This Row],[smo_id]],'CHF MA'!Posizione))+SUM(IF('EUR MB'!smo_id=Valori[[#This Row],[smo_id]],'EUR MB'!Posizione))+SUM(IF('EUR M'!smo_id=Valori[[#This Row],[smo_id]],'EUR M'!Posizione))+SUM(IF(AGCO!smo_id=Valori[[#This Row],[smo_id]],AGCO!Posizione))</f>
        <v>0</v>
      </c>
      <c r="P64" s="1661" t="str">
        <f ca="1">HYPERLINK(Valori[[#This Row],[P_Source]],"è")</f>
        <v>è</v>
      </c>
      <c r="Q64" s="1663" t="str">
        <f>HYPERLINK(Valori[[#This Row],[Info_W]],"i")</f>
        <v>i</v>
      </c>
      <c r="R64" s="1664" t="str">
        <f>HYPERLINK(Valori[[#This Row],[FN_W]],"")</f>
        <v></v>
      </c>
      <c r="S64" s="1665" t="str">
        <f>HYPERLINK(Valori[[#This Row],[MS_Link]],"")</f>
        <v></v>
      </c>
      <c r="T64" s="1665" t="str">
        <f>HYPERLINK(Valori[[#This Row],[C_source]],"")</f>
        <v></v>
      </c>
      <c r="U64" s="142" t="str" cm="1">
        <f t="array" aca="1" ref="U64" ca="1">OFFSET(POrigin,MATCH(Valori[[#This Row],[LUKB_id]],PID,0),MATCH("M_CUR",PLabel,0)-1,1,1)</f>
        <v>CHF</v>
      </c>
      <c r="V64" s="1562">
        <f ca="1">(Valori[[#This Row],[Last]]+Valori[[#This Row],[Acc. Int]])/Valori[[#This Row],[Pr.Amt]]/IF(Valori[[#This Row],[P_Type]]="Pct",100,1)</f>
        <v>1.0108555555600001</v>
      </c>
      <c r="W64" s="1591" cm="1">
        <f t="array" aca="1" ref="W64" ca="1">OFFSET(POrigin,MATCH(Valori[[#This Row],[LUKB_id]],PID,0),MATCH("NC2_PR",PLabel,0)-1,1,1)/100</f>
        <v>-4.4598612487611999E-3</v>
      </c>
      <c r="X64" s="1592" cm="1">
        <f t="array" aca="1" ref="X64" ca="1">OFFSET(POrigin,MATCH(Valori[[#This Row],[LUKB_id]],PID,0),MATCH("LVAL",PLabel,0)-1,1,1)</f>
        <v>100.45</v>
      </c>
      <c r="Y64" s="1593" cm="1">
        <f t="array" aca="1" ref="Y64" ca="1">OFFSET(POrigin,MATCH(Valori[[#This Row],[LUKB_id]],PID,0),MATCH("LVAL:datetime",PLabel,0)-1,1,1)</f>
        <v>46084.708333333336</v>
      </c>
      <c r="Z64" s="1594" cm="1">
        <f t="array" aca="1" ref="Z64" ca="1">OFFSET(POrigin,MATCH(Valori[[#This Row],[LUKB_id]],PID,0),MATCH("BID:volume",PLabel,0)-1,1,1)</f>
        <v>5000</v>
      </c>
      <c r="AA64" s="1595" cm="1">
        <f t="array" aca="1" ref="AA64" ca="1">OFFSET(POrigin,MATCH(Valori[[#This Row],[LUKB_id]],PID,0),MATCH("BID",PLabel,0)-1,1,1)</f>
        <v>100.45</v>
      </c>
      <c r="AB64" s="1595" cm="1">
        <f t="array" aca="1" ref="AB64" ca="1">OFFSET(POrigin,MATCH(Valori[[#This Row],[LUKB_id]],PID,0),MATCH("ASK",PLabel,0)-1,1,1)</f>
        <v>100.95</v>
      </c>
      <c r="AC64" s="1594" cm="1">
        <f t="array" aca="1" ref="AC64" ca="1">OFFSET(POrigin,MATCH(Valori[[#This Row],[LUKB_id]],PID,0),MATCH("ASK:volume",PLabel,0)-1,1,1)</f>
        <v>35000</v>
      </c>
      <c r="AD64" s="1596" cm="1">
        <f t="array" aca="1" ref="AD64" ca="1">OFFSET(POrigin,MATCH(Valori[[#This Row],[LUKB_id]],PID,0),MATCH("BID-ASK Spread %",PLabel,0)-1,1,1)</f>
        <v>3.3129037601457674E-3</v>
      </c>
      <c r="AE64" s="1597" cm="1">
        <f t="array" aca="1" ref="AE64" ca="1">IF(OFFSET(POrigin,MATCH(Valori[[#This Row],[LUKB_id]],PID,0),MATCH("MATURITY",PLabel,0)-1,1,1)&gt;0,OFFSET(POrigin,MATCH(Valori[[#This Row],[LUKB_id]],PID,0),MATCH("MATURITY",PLabel,0)-1,1,1),"")</f>
        <v>47687</v>
      </c>
      <c r="AF64" s="1598" cm="1">
        <f t="array" aca="1" ref="AF64" ca="1">OFFSET(POrigin,MATCH(Valori[[#This Row],[LUKB_id]],PID,0),MATCH("ACCINT",PLabel,0)-1,1,1)</f>
        <v>0.63555555600000002</v>
      </c>
      <c r="AG64" s="1594" cm="1">
        <f t="array" aca="1" ref="AG64" ca="1">OFFSET(POrigin,MATCH(Valori[[#This Row],[LUKB_id]],PID,0),MATCH("DENOM",PLabel,0)-1,1,1)</f>
        <v>5000</v>
      </c>
      <c r="AH64" s="1599" cm="1">
        <f t="array" aca="1" ref="AH64" ca="1">(OFFSET(POrigin,MATCH(Valori[[#This Row],[LUKB_id]],PID,0),MATCH("YIELD",PLabel,0)-1,1,1)+OFFSET(POrigin,MATCH(Valori[[#This Row],[LUKB_id]],PID,0),MATCH("YLDEQ",PLabel,0)-1,1,1))/100</f>
        <v>8.7626848500000007E-3</v>
      </c>
      <c r="AI64" s="1600">
        <f ca="1">OFFSET(POrigin,MATCH(Valori[[#This Row],[LUKB_id]],PID,0),MATCH("DIVIDEND",PLabel,0)-1,1,1)</f>
        <v>0</v>
      </c>
      <c r="AJ64" s="1601">
        <f ca="1">OFFSET(POrigin,MATCH(Valori[[#This Row],[LUKB_id]],PID,0),MATCH("DIVIDEND:datetime",PLabel,0)-1,1,1)</f>
        <v>0</v>
      </c>
      <c r="AK64" s="1602">
        <f ca="1">OFFSET(POrigin,MATCH(Valori[[#This Row],[LUKB_id]],PID,0),MATCH("INTEREST",PLabel,0)-1,1,1)</f>
        <v>1.04</v>
      </c>
      <c r="AL64" s="1603">
        <f ca="1">OFFSET(POrigin,MATCH(Valori[[#This Row],[LUKB_id]],PID,0),MATCH("4W_PERF_PR",PLabel,0)-1,1,1)/100</f>
        <v>2.9880478087650005E-3</v>
      </c>
      <c r="AM64" s="1603">
        <f ca="1">OFFSET(POrigin,MATCH(Valori[[#This Row],[LUKB_id]],PID,0),MATCH("12W_PERF_PR",PLabel,0)-1,1,1)/100</f>
        <v>1.9860973187686998E-3</v>
      </c>
      <c r="AN64" s="1603">
        <f ca="1">OFFSET(POrigin,MATCH(Valori[[#This Row],[LUKB_id]],PID,0),MATCH("YTD_PERF_PR",PLabel,0)-1,1,1)/100</f>
        <v>1.1528822055137999E-2</v>
      </c>
      <c r="AO64" s="1591"/>
      <c r="AP64" s="1591"/>
      <c r="AQ64" s="1591"/>
      <c r="AR64" s="1591"/>
      <c r="AS64" s="1890"/>
      <c r="AT64" s="1890"/>
      <c r="AU64" s="610"/>
      <c r="AV64" s="1891"/>
      <c r="AW64" s="1604" t="str">
        <f ca="1">"https://boersenundmaerkte.lukb.ch/lukb/details/"&amp;Valori[[#This Row],[LUKB_id]]</f>
        <v>https://boersenundmaerkte.lukb.ch/lukb/details/145418594,4,1</v>
      </c>
      <c r="AX6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4" s="142"/>
      <c r="AZ64" s="142"/>
      <c r="BA64" s="142"/>
      <c r="BB64" s="142"/>
    </row>
    <row r="65" spans="1:54" ht="15" customHeight="1" x14ac:dyDescent="0.2">
      <c r="A65" s="142" t="s">
        <v>1032</v>
      </c>
      <c r="B65" s="142" t="str" cm="1">
        <f t="array" aca="1" ref="B65" ca="1">OFFSET(POrigin,MATCH(Valori[[#This Row],[smo_id]],Posizioni[smo_id],0),MATCH("LUKB_id",PIntestazioni,0)-1,1,1)</f>
        <v>59577377,16,814</v>
      </c>
      <c r="C65" s="1668" t="str">
        <f ca="1">HYPERLINK("https://boersenundmaerkte.lukb.ch/lukb/details/"&amp;Valori[[#This Row],[LUKB_id]],"è")</f>
        <v>è</v>
      </c>
      <c r="D65" s="142" t="str" cm="1">
        <f t="array" aca="1" ref="D65" ca="1">OFFSET(POrigin,MATCH(Valori[[#This Row],[LUKB_id]],PID,0),MATCH("SC_GROUPED",PIntestazioni,0)-1,1,1)</f>
        <v>BON</v>
      </c>
      <c r="E65" s="413" t="str" cm="1">
        <f t="array" aca="1" ref="E65" ca="1">OFFSET(POrigin,MATCH(Valori[[#This Row],[LUKB_id]],PID,0),MATCH("isin",PIntestazioni,0)-1,1,1)</f>
        <v>DE000BHY0C47</v>
      </c>
      <c r="F65" s="34" t="str" cm="1">
        <f t="array" aca="1" ref="F65" ca="1">OFFSET(POrigin,MATCH(Valori[[#This Row],[LUKB_id]],PID,0),MATCH("NSIN_CH",PLabel,0)-1,1,1)</f>
        <v>59577377</v>
      </c>
      <c r="G65" s="95" t="str" cm="1">
        <f t="array" aca="1" ref="G65" ca="1">IF(OFFSET(POrigin,MATCH(Valori[[#This Row],[LUKB_id]],PID,0),MATCH("INSTRUNIT",PLabel,0)-1,1,1)="Nominal","Pct","Unit")</f>
        <v>Pct</v>
      </c>
      <c r="H65" s="612">
        <f ca="1">MAX(OFFSET(POrigin,MATCH(Valori[[#This Row],[LUKB_id]],PID,0),MATCH("PRICINGAMT",PLabel,0)-1,1,1),1)</f>
        <v>1</v>
      </c>
      <c r="I65" s="615" t="str" cm="1">
        <f t="array" aca="1" ref="I65" ca="1">OFFSET(POrigin,MATCH(Valori[[#This Row],[LUKB_id]],PID,0),MATCH("M_NAME",PLabel,0)-1,1,1)</f>
        <v>0.01 LBBW 31 1 Pf</v>
      </c>
      <c r="M65" s="142" t="str" cm="1">
        <f t="array" aca="1" ref="M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Landesbank Baden-Wuerttemberg 27.01.31</v>
      </c>
      <c r="N65" s="1563">
        <f ca="1">COUNTIF('CHF M'!smo_id,Valori[[#This Row],[smo_id]])+COUNTIF('CHF MA'!smo_id,Valori[[#This Row],[smo_id]])+COUNTIF('EUR MB'!smo_id,Valori[[#This Row],[smo_id]])+COUNTIF('EUR M'!smo_id,Valori[[#This Row],[smo_id]])+COUNTIF(AGCO!smo_id,Valori[[#This Row],[smo_id]])</f>
        <v>2</v>
      </c>
      <c r="O65" s="1590" cm="1">
        <f t="array" aca="1" ref="O65" ca="1">SUM(IF('CHF M'!smo_id=Valori[[#This Row],[smo_id]],'CHF M'!Posizione))+SUM(IF('CHF MA'!smo_id=Valori[[#This Row],[smo_id]],'CHF MA'!Posizione))+SUM(IF('EUR MB'!smo_id=Valori[[#This Row],[smo_id]],'EUR MB'!Posizione))+SUM(IF('EUR M'!smo_id=Valori[[#This Row],[smo_id]],'EUR M'!Posizione))+SUM(IF(AGCO!smo_id=Valori[[#This Row],[smo_id]],AGCO!Posizione))</f>
        <v>65000</v>
      </c>
      <c r="P65" s="1661" t="str">
        <f ca="1">HYPERLINK(Valori[[#This Row],[P_Source]],"è")</f>
        <v>è</v>
      </c>
      <c r="Q65" s="1663" t="str">
        <f>HYPERLINK(Valori[[#This Row],[Info_W]],"i")</f>
        <v>i</v>
      </c>
      <c r="R65" s="1664" t="str">
        <f>HYPERLINK(Valori[[#This Row],[FN_W]],"")</f>
        <v></v>
      </c>
      <c r="S65" s="1665" t="str">
        <f>HYPERLINK(Valori[[#This Row],[MS_Link]],"")</f>
        <v></v>
      </c>
      <c r="T65" s="1665" t="str">
        <f>HYPERLINK(Valori[[#This Row],[C_source]],"")</f>
        <v></v>
      </c>
      <c r="U65" s="142" t="str" cm="1">
        <f t="array" aca="1" ref="U65" ca="1">OFFSET(POrigin,MATCH(Valori[[#This Row],[LUKB_id]],PID,0),MATCH("M_CUR",PLabel,0)-1,1,1)</f>
        <v>EUR</v>
      </c>
      <c r="V65" s="1562">
        <f ca="1">(Valori[[#This Row],[Last]]+Valori[[#This Row],[Acc. Int]])/Valori[[#This Row],[Pr.Amt]]/IF(Valori[[#This Row],[P_Type]]="Pct",100,1)</f>
        <v>0.87840958903999999</v>
      </c>
      <c r="W65" s="1591" cm="1">
        <f t="array" aca="1" ref="W65" ca="1">OFFSET(POrigin,MATCH(Valori[[#This Row],[LUKB_id]],PID,0),MATCH("NC2_PR",PLabel,0)-1,1,1)/100</f>
        <v>-3.8218583077220003E-3</v>
      </c>
      <c r="X65" s="1592" cm="1">
        <f t="array" aca="1" ref="X65" ca="1">OFFSET(POrigin,MATCH(Valori[[#This Row],[LUKB_id]],PID,0),MATCH("LVAL",PLabel,0)-1,1,1)</f>
        <v>87.84</v>
      </c>
      <c r="Y65" s="1593" cm="1">
        <f t="array" aca="1" ref="Y65" ca="1">OFFSET(POrigin,MATCH(Valori[[#This Row],[LUKB_id]],PID,0),MATCH("LVAL:datetime",PLabel,0)-1,1,1)</f>
        <v>46084.753483796296</v>
      </c>
      <c r="Z65" s="1594" cm="1">
        <f t="array" aca="1" ref="Z65" ca="1">OFFSET(POrigin,MATCH(Valori[[#This Row],[LUKB_id]],PID,0),MATCH("BID:volume",PLabel,0)-1,1,1)</f>
        <v>1000000</v>
      </c>
      <c r="AA65" s="1595" cm="1">
        <f t="array" aca="1" ref="AA65" ca="1">OFFSET(POrigin,MATCH(Valori[[#This Row],[LUKB_id]],PID,0),MATCH("BID",PLabel,0)-1,1,1)</f>
        <v>87.84</v>
      </c>
      <c r="AB65" s="1595" cm="1">
        <f t="array" aca="1" ref="AB65" ca="1">OFFSET(POrigin,MATCH(Valori[[#This Row],[LUKB_id]],PID,0),MATCH("ASK",PLabel,0)-1,1,1)</f>
        <v>88.134</v>
      </c>
      <c r="AC65" s="1594" cm="1">
        <f t="array" aca="1" ref="AC65" ca="1">OFFSET(POrigin,MATCH(Valori[[#This Row],[LUKB_id]],PID,0),MATCH("ASK:volume",PLabel,0)-1,1,1)</f>
        <v>500000</v>
      </c>
      <c r="AD65" s="1596" cm="1">
        <f t="array" aca="1" ref="AD65" ca="1">OFFSET(POrigin,MATCH(Valori[[#This Row],[LUKB_id]],PID,0),MATCH("BID-ASK Spread %",PLabel,0)-1,1,1)</f>
        <v>2.2288430485114278E-3</v>
      </c>
      <c r="AE65" s="1597" cm="1">
        <f t="array" aca="1" ref="AE65" ca="1">IF(OFFSET(POrigin,MATCH(Valori[[#This Row],[LUKB_id]],PID,0),MATCH("MATURITY",PLabel,0)-1,1,1)&gt;0,OFFSET(POrigin,MATCH(Valori[[#This Row],[LUKB_id]],PID,0),MATCH("MATURITY",PLabel,0)-1,1,1),"")</f>
        <v>47875</v>
      </c>
      <c r="AF65" s="1598" cm="1">
        <f t="array" aca="1" ref="AF65" ca="1">OFFSET(POrigin,MATCH(Valori[[#This Row],[LUKB_id]],PID,0),MATCH("ACCINT",PLabel,0)-1,1,1)</f>
        <v>9.5890400000000001E-4</v>
      </c>
      <c r="AG65" s="1594" cm="1">
        <f t="array" aca="1" ref="AG65" ca="1">OFFSET(POrigin,MATCH(Valori[[#This Row],[LUKB_id]],PID,0),MATCH("DENOM",PLabel,0)-1,1,1)</f>
        <v>1000</v>
      </c>
      <c r="AH65" s="1599" cm="1">
        <f t="array" aca="1" ref="AH65" ca="1">(OFFSET(POrigin,MATCH(Valori[[#This Row],[LUKB_id]],PID,0),MATCH("YIELD",PLabel,0)-1,1,1)+OFFSET(POrigin,MATCH(Valori[[#This Row],[LUKB_id]],PID,0),MATCH("YLDEQ",PLabel,0)-1,1,1))/100</f>
        <v>2.6126180650000004E-2</v>
      </c>
      <c r="AI65" s="1600">
        <f ca="1">OFFSET(POrigin,MATCH(Valori[[#This Row],[LUKB_id]],PID,0),MATCH("DIVIDEND",PLabel,0)-1,1,1)</f>
        <v>0</v>
      </c>
      <c r="AJ65" s="1601">
        <f ca="1">OFFSET(POrigin,MATCH(Valori[[#This Row],[LUKB_id]],PID,0),MATCH("DIVIDEND:datetime",PLabel,0)-1,1,1)</f>
        <v>0</v>
      </c>
      <c r="AK65" s="1602">
        <f ca="1">OFFSET(POrigin,MATCH(Valori[[#This Row],[LUKB_id]],PID,0),MATCH("INTEREST",PLabel,0)-1,1,1)</f>
        <v>0.01</v>
      </c>
      <c r="AL65" s="1603">
        <f ca="1">OFFSET(POrigin,MATCH(Valori[[#This Row],[LUKB_id]],PID,0),MATCH("4W_PERF_PR",PLabel,0)-1,1,1)/100</f>
        <v>8.7516588111473011E-3</v>
      </c>
      <c r="AM65" s="1603">
        <f ca="1">OFFSET(POrigin,MATCH(Valori[[#This Row],[LUKB_id]],PID,0),MATCH("12W_PERF_PR",PLabel,0)-1,1,1)/100</f>
        <v>1.77048347818059E-2</v>
      </c>
      <c r="AN65" s="1603">
        <f ca="1">OFFSET(POrigin,MATCH(Valori[[#This Row],[LUKB_id]],PID,0),MATCH("YTD_PERF_PR",PLabel,0)-1,1,1)/100</f>
        <v>5.7504312823461997E-3</v>
      </c>
      <c r="AO65" s="1591"/>
      <c r="AP65" s="1591"/>
      <c r="AQ65" s="1591"/>
      <c r="AR65" s="1591"/>
      <c r="AS65" s="1890"/>
      <c r="AT65" s="1890"/>
      <c r="AU65" s="610"/>
      <c r="AV65" s="1891"/>
      <c r="AW65" s="1604" t="str">
        <f ca="1">"https://boersenundmaerkte.lukb.ch/lukb/details/"&amp;Valori[[#This Row],[LUKB_id]]</f>
        <v>https://boersenundmaerkte.lukb.ch/lukb/details/59577377,16,814</v>
      </c>
      <c r="AX6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5" s="142"/>
      <c r="AZ65" s="142"/>
      <c r="BA65" s="142"/>
      <c r="BB65" s="142"/>
    </row>
    <row r="66" spans="1:54" ht="15" customHeight="1" x14ac:dyDescent="0.2">
      <c r="A66" s="142" t="s">
        <v>1033</v>
      </c>
      <c r="B66" s="142" t="str" cm="1">
        <f t="array" aca="1" ref="B66" ca="1">OFFSET(POrigin,MATCH(Valori[[#This Row],[smo_id]],Posizioni[smo_id],0),MATCH("LUKB_id",PIntestazioni,0)-1,1,1)</f>
        <v>50607136,4,1</v>
      </c>
      <c r="C66" s="1668" t="str">
        <f ca="1">HYPERLINK("https://boersenundmaerkte.lukb.ch/lukb/details/"&amp;Valori[[#This Row],[LUKB_id]],"è")</f>
        <v>è</v>
      </c>
      <c r="D66" s="142" t="str" cm="1">
        <f t="array" aca="1" ref="D66" ca="1">OFFSET(POrigin,MATCH(Valori[[#This Row],[LUKB_id]],PID,0),MATCH("SC_GROUPED",PIntestazioni,0)-1,1,1)</f>
        <v>BON</v>
      </c>
      <c r="E66" s="413" t="str" cm="1">
        <f t="array" aca="1" ref="E66" ca="1">OFFSET(POrigin,MATCH(Valori[[#This Row],[LUKB_id]],PID,0),MATCH("isin",PIntestazioni,0)-1,1,1)</f>
        <v>CH0506071361</v>
      </c>
      <c r="F66" s="34" t="str" cm="1">
        <f t="array" aca="1" ref="F66" ca="1">OFFSET(POrigin,MATCH(Valori[[#This Row],[LUKB_id]],PID,0),MATCH("NSIN_CH",PLabel,0)-1,1,1)</f>
        <v>50607136</v>
      </c>
      <c r="G66" s="95" t="str" cm="1">
        <f t="array" aca="1" ref="G66" ca="1">IF(OFFSET(POrigin,MATCH(Valori[[#This Row],[LUKB_id]],PID,0),MATCH("INSTRUNIT",PLabel,0)-1,1,1)="Nominal","Pct","Unit")</f>
        <v>Pct</v>
      </c>
      <c r="H66" s="612">
        <f ca="1">MAX(OFFSET(POrigin,MATCH(Valori[[#This Row],[LUKB_id]],PID,0),MATCH("PRICINGAMT",PLabel,0)-1,1,1),1)</f>
        <v>1</v>
      </c>
      <c r="I66" s="615" t="str" cm="1">
        <f t="array" aca="1" ref="I66" ca="1">OFFSET(POrigin,MATCH(Valori[[#This Row],[LUKB_id]],PID,0),MATCH("M_NAME",PLabel,0)-1,1,1)</f>
        <v>0.2 PSP 31 Anl -S</v>
      </c>
      <c r="M66" s="142" t="str" cm="1">
        <f t="array" aca="1" ref="M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PSP Swiss Property AG 04.02.31</v>
      </c>
      <c r="N66" s="1563">
        <f ca="1">COUNTIF('CHF M'!smo_id,Valori[[#This Row],[smo_id]])+COUNTIF('CHF MA'!smo_id,Valori[[#This Row],[smo_id]])+COUNTIF('EUR MB'!smo_id,Valori[[#This Row],[smo_id]])+COUNTIF('EUR M'!smo_id,Valori[[#This Row],[smo_id]])+COUNTIF(AGCO!smo_id,Valori[[#This Row],[smo_id]])</f>
        <v>1</v>
      </c>
      <c r="O66" s="1590" cm="1">
        <f t="array" aca="1" ref="O66" ca="1">SUM(IF('CHF M'!smo_id=Valori[[#This Row],[smo_id]],'CHF M'!Posizione))+SUM(IF('CHF MA'!smo_id=Valori[[#This Row],[smo_id]],'CHF MA'!Posizione))+SUM(IF('EUR MB'!smo_id=Valori[[#This Row],[smo_id]],'EUR MB'!Posizione))+SUM(IF('EUR M'!smo_id=Valori[[#This Row],[smo_id]],'EUR M'!Posizione))+SUM(IF(AGCO!smo_id=Valori[[#This Row],[smo_id]],AGCO!Posizione))</f>
        <v>0</v>
      </c>
      <c r="P66" s="1661" t="str">
        <f ca="1">HYPERLINK(Valori[[#This Row],[P_Source]],"è")</f>
        <v>è</v>
      </c>
      <c r="Q66" s="1663" t="str">
        <f>HYPERLINK(Valori[[#This Row],[Info_W]],"i")</f>
        <v>i</v>
      </c>
      <c r="R66" s="1664" t="str">
        <f>HYPERLINK(Valori[[#This Row],[FN_W]],"")</f>
        <v></v>
      </c>
      <c r="S66" s="1665" t="str">
        <f>HYPERLINK(Valori[[#This Row],[MS_Link]],"")</f>
        <v></v>
      </c>
      <c r="T66" s="1665" t="str">
        <f>HYPERLINK(Valori[[#This Row],[C_source]],"")</f>
        <v></v>
      </c>
      <c r="U66" s="142" t="str" cm="1">
        <f t="array" aca="1" ref="U66" ca="1">OFFSET(POrigin,MATCH(Valori[[#This Row],[LUKB_id]],PID,0),MATCH("M_CUR",PLabel,0)-1,1,1)</f>
        <v>CHF</v>
      </c>
      <c r="V66" s="1562">
        <f ca="1">(Valori[[#This Row],[Last]]+Valori[[#This Row],[Acc. Int]])/Valori[[#This Row],[Pr.Amt]]/IF(Valori[[#This Row],[P_Type]]="Pct",100,1)</f>
        <v>0.97316111111000014</v>
      </c>
      <c r="W66" s="1591" cm="1">
        <f t="array" aca="1" ref="W66" ca="1">OFFSET(POrigin,MATCH(Valori[[#This Row],[LUKB_id]],PID,0),MATCH("NC2_PR",PLabel,0)-1,1,1)/100</f>
        <v>-8.1549439347604995E-3</v>
      </c>
      <c r="X66" s="1592" cm="1">
        <f t="array" aca="1" ref="X66" ca="1">OFFSET(POrigin,MATCH(Valori[[#This Row],[LUKB_id]],PID,0),MATCH("LVAL",PLabel,0)-1,1,1)</f>
        <v>97.300000000000011</v>
      </c>
      <c r="Y66" s="1593" cm="1">
        <f t="array" aca="1" ref="Y66" ca="1">OFFSET(POrigin,MATCH(Valori[[#This Row],[LUKB_id]],PID,0),MATCH("LVAL:datetime",PLabel,0)-1,1,1)</f>
        <v>46084.570300925923</v>
      </c>
      <c r="Z66" s="1594" cm="1">
        <f t="array" aca="1" ref="Z66" ca="1">OFFSET(POrigin,MATCH(Valori[[#This Row],[LUKB_id]],PID,0),MATCH("BID:volume",PLabel,0)-1,1,1)</f>
        <v>100000</v>
      </c>
      <c r="AA66" s="1595" cm="1">
        <f t="array" aca="1" ref="AA66" ca="1">OFFSET(POrigin,MATCH(Valori[[#This Row],[LUKB_id]],PID,0),MATCH("BID",PLabel,0)-1,1,1)</f>
        <v>97.25</v>
      </c>
      <c r="AB66" s="1595" cm="1">
        <f t="array" aca="1" ref="AB66" ca="1">OFFSET(POrigin,MATCH(Valori[[#This Row],[LUKB_id]],PID,0),MATCH("ASK",PLabel,0)-1,1,1)</f>
        <v>97.75</v>
      </c>
      <c r="AC66" s="1594" cm="1">
        <f t="array" aca="1" ref="AC66" ca="1">OFFSET(POrigin,MATCH(Valori[[#This Row],[LUKB_id]],PID,0),MATCH("ASK:volume",PLabel,0)-1,1,1)</f>
        <v>100000</v>
      </c>
      <c r="AD66" s="1596" cm="1">
        <f t="array" aca="1" ref="AD66" ca="1">OFFSET(POrigin,MATCH(Valori[[#This Row],[LUKB_id]],PID,0),MATCH("BID-ASK Spread %",PLabel,0)-1,1,1)</f>
        <v>3.4217279726261761E-3</v>
      </c>
      <c r="AE66" s="1597" cm="1">
        <f t="array" aca="1" ref="AE66" ca="1">IF(OFFSET(POrigin,MATCH(Valori[[#This Row],[LUKB_id]],PID,0),MATCH("MATURITY",PLabel,0)-1,1,1)&gt;0,OFFSET(POrigin,MATCH(Valori[[#This Row],[LUKB_id]],PID,0),MATCH("MATURITY",PLabel,0)-1,1,1),"")</f>
        <v>47883</v>
      </c>
      <c r="AF66" s="1598" cm="1">
        <f t="array" aca="1" ref="AF66" ca="1">OFFSET(POrigin,MATCH(Valori[[#This Row],[LUKB_id]],PID,0),MATCH("ACCINT",PLabel,0)-1,1,1)</f>
        <v>1.6111111000000001E-2</v>
      </c>
      <c r="AG66" s="1594" cm="1">
        <f t="array" aca="1" ref="AG66" ca="1">OFFSET(POrigin,MATCH(Valori[[#This Row],[LUKB_id]],PID,0),MATCH("DENOM",PLabel,0)-1,1,1)</f>
        <v>5000</v>
      </c>
      <c r="AH66" s="1599" cm="1">
        <f t="array" aca="1" ref="AH66" ca="1">(OFFSET(POrigin,MATCH(Valori[[#This Row],[LUKB_id]],PID,0),MATCH("YIELD",PLabel,0)-1,1,1)+OFFSET(POrigin,MATCH(Valori[[#This Row],[LUKB_id]],PID,0),MATCH("YLDEQ",PLabel,0)-1,1,1))/100</f>
        <v>5.9346089700000005E-3</v>
      </c>
      <c r="AI66" s="1600">
        <f ca="1">OFFSET(POrigin,MATCH(Valori[[#This Row],[LUKB_id]],PID,0),MATCH("DIVIDEND",PLabel,0)-1,1,1)</f>
        <v>0</v>
      </c>
      <c r="AJ66" s="1601">
        <f ca="1">OFFSET(POrigin,MATCH(Valori[[#This Row],[LUKB_id]],PID,0),MATCH("DIVIDEND:datetime",PLabel,0)-1,1,1)</f>
        <v>0</v>
      </c>
      <c r="AK66" s="1602">
        <f ca="1">OFFSET(POrigin,MATCH(Valori[[#This Row],[LUKB_id]],PID,0),MATCH("INTEREST",PLabel,0)-1,1,1)</f>
        <v>0.2</v>
      </c>
      <c r="AL66" s="1603">
        <f ca="1">OFFSET(POrigin,MATCH(Valori[[#This Row],[LUKB_id]],PID,0),MATCH("4W_PERF_PR",PLabel,0)-1,1,1)/100</f>
        <v>7.1868583162218004E-3</v>
      </c>
      <c r="AM66" s="1603">
        <f ca="1">OFFSET(POrigin,MATCH(Valori[[#This Row],[LUKB_id]],PID,0),MATCH("12W_PERF_PR",PLabel,0)-1,1,1)/100</f>
        <v>5.6381342901078001E-3</v>
      </c>
      <c r="AN66" s="1603">
        <f ca="1">OFFSET(POrigin,MATCH(Valori[[#This Row],[LUKB_id]],PID,0),MATCH("YTD_PERF_PR",PLabel,0)-1,1,1)/100</f>
        <v>9.259259259259401E-3</v>
      </c>
      <c r="AO66" s="1591"/>
      <c r="AP66" s="1591"/>
      <c r="AQ66" s="1591"/>
      <c r="AR66" s="1591"/>
      <c r="AS66" s="1890"/>
      <c r="AT66" s="1890"/>
      <c r="AU66" s="610"/>
      <c r="AV66" s="1891"/>
      <c r="AW66" s="1604" t="str">
        <f ca="1">"https://boersenundmaerkte.lukb.ch/lukb/details/"&amp;Valori[[#This Row],[LUKB_id]]</f>
        <v>https://boersenundmaerkte.lukb.ch/lukb/details/50607136,4,1</v>
      </c>
      <c r="AX6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6" s="142"/>
      <c r="AZ66" s="142"/>
      <c r="BA66" s="142"/>
      <c r="BB66" s="142"/>
    </row>
    <row r="67" spans="1:54" ht="15" customHeight="1" x14ac:dyDescent="0.2">
      <c r="A67" s="142" t="s">
        <v>1034</v>
      </c>
      <c r="B67" s="142" t="str" cm="1">
        <f t="array" aca="1" ref="B67" ca="1">OFFSET(POrigin,MATCH(Valori[[#This Row],[smo_id]],Posizioni[smo_id],0),MATCH("LUKB_id",PIntestazioni,0)-1,1,1)</f>
        <v>111224674,4,1</v>
      </c>
      <c r="C67" s="1668" t="str">
        <f ca="1">HYPERLINK("https://boersenundmaerkte.lukb.ch/lukb/details/"&amp;Valori[[#This Row],[LUKB_id]],"è")</f>
        <v>è</v>
      </c>
      <c r="D67" s="142" t="str" cm="1">
        <f t="array" aca="1" ref="D67" ca="1">OFFSET(POrigin,MATCH(Valori[[#This Row],[LUKB_id]],PID,0),MATCH("SC_GROUPED",PIntestazioni,0)-1,1,1)</f>
        <v>BON</v>
      </c>
      <c r="E67" s="413" t="str" cm="1">
        <f t="array" aca="1" ref="E67" ca="1">OFFSET(POrigin,MATCH(Valori[[#This Row],[LUKB_id]],PID,0),MATCH("isin",PIntestazioni,0)-1,1,1)</f>
        <v>CH1112246744</v>
      </c>
      <c r="F67" s="34" t="str" cm="1">
        <f t="array" aca="1" ref="F67" ca="1">OFFSET(POrigin,MATCH(Valori[[#This Row],[LUKB_id]],PID,0),MATCH("NSIN_CH",PLabel,0)-1,1,1)</f>
        <v>111224674</v>
      </c>
      <c r="G67" s="95" t="str" cm="1">
        <f t="array" aca="1" ref="G67" ca="1">IF(OFFSET(POrigin,MATCH(Valori[[#This Row],[LUKB_id]],PID,0),MATCH("INSTRUNIT",PLabel,0)-1,1,1)="Nominal","Pct","Unit")</f>
        <v>Pct</v>
      </c>
      <c r="H67" s="612">
        <f ca="1">MAX(OFFSET(POrigin,MATCH(Valori[[#This Row],[LUKB_id]],PID,0),MATCH("PRICINGAMT",PLabel,0)-1,1,1),1)</f>
        <v>1</v>
      </c>
      <c r="I67" s="615" t="str" cm="1">
        <f t="array" aca="1" ref="I67" ca="1">OFFSET(POrigin,MATCH(Valori[[#This Row],[LUKB_id]],PID,0),MATCH("M_NAME",PLabel,0)-1,1,1)</f>
        <v>0.875 LUKB 31 -Unty</v>
      </c>
      <c r="M67" s="142" t="str" cm="1">
        <f t="array" aca="1" ref="M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0.875 % Luzerner Kantonalbank AG 14.05.31</v>
      </c>
      <c r="N67" s="1563">
        <f ca="1">COUNTIF('CHF M'!smo_id,Valori[[#This Row],[smo_id]])+COUNTIF('CHF MA'!smo_id,Valori[[#This Row],[smo_id]])+COUNTIF('EUR MB'!smo_id,Valori[[#This Row],[smo_id]])+COUNTIF('EUR M'!smo_id,Valori[[#This Row],[smo_id]])+COUNTIF(AGCO!smo_id,Valori[[#This Row],[smo_id]])</f>
        <v>3</v>
      </c>
      <c r="O67" s="1590">
        <v>165000</v>
      </c>
      <c r="P67" s="1661" t="str">
        <f ca="1">HYPERLINK(Valori[[#This Row],[P_Source]],"è")</f>
        <v>è</v>
      </c>
      <c r="Q67" s="1663" t="str">
        <f>HYPERLINK(Valori[[#This Row],[Info_W]],"i")</f>
        <v>i</v>
      </c>
      <c r="R67" s="1664" t="str">
        <f>HYPERLINK(Valori[[#This Row],[FN_W]],"")</f>
        <v></v>
      </c>
      <c r="S67" s="1665" t="str">
        <f>HYPERLINK(Valori[[#This Row],[MS_Link]],"")</f>
        <v></v>
      </c>
      <c r="T67" s="1665" t="str">
        <f>HYPERLINK(Valori[[#This Row],[C_source]],"")</f>
        <v></v>
      </c>
      <c r="U67" s="142" t="str" cm="1">
        <f t="array" aca="1" ref="U67" ca="1">OFFSET(POrigin,MATCH(Valori[[#This Row],[LUKB_id]],PID,0),MATCH("M_CUR",PLabel,0)-1,1,1)</f>
        <v>CHF</v>
      </c>
      <c r="V67" s="1562">
        <f ca="1">(Valori[[#This Row],[Last]]+Valori[[#This Row],[Acc. Int]])/Valori[[#This Row],[Pr.Amt]]/IF(Valori[[#This Row],[P_Type]]="Pct",100,1)</f>
        <v>0.99752430555999994</v>
      </c>
      <c r="W67" s="1591" cm="1">
        <f t="array" aca="1" ref="W67" ca="1">OFFSET(POrigin,MATCH(Valori[[#This Row],[LUKB_id]],PID,0),MATCH("NC2_PR",PLabel,0)-1,1,1)/100</f>
        <v>-5.5220883534137996E-3</v>
      </c>
      <c r="X67" s="1592" cm="1">
        <f t="array" aca="1" ref="X67" ca="1">OFFSET(POrigin,MATCH(Valori[[#This Row],[LUKB_id]],PID,0),MATCH("LVAL",PLabel,0)-1,1,1)</f>
        <v>99.05</v>
      </c>
      <c r="Y67" s="1593" cm="1">
        <f t="array" aca="1" ref="Y67" ca="1">OFFSET(POrigin,MATCH(Valori[[#This Row],[LUKB_id]],PID,0),MATCH("LVAL:datetime",PLabel,0)-1,1,1)</f>
        <v>46084.708333333336</v>
      </c>
      <c r="Z67" s="1594" cm="1">
        <f t="array" aca="1" ref="Z67" ca="1">OFFSET(POrigin,MATCH(Valori[[#This Row],[LUKB_id]],PID,0),MATCH("BID:volume",PLabel,0)-1,1,1)</f>
        <v>100000</v>
      </c>
      <c r="AA67" s="1595" cm="1">
        <f t="array" aca="1" ref="AA67" ca="1">OFFSET(POrigin,MATCH(Valori[[#This Row],[LUKB_id]],PID,0),MATCH("BID",PLabel,0)-1,1,1)</f>
        <v>99</v>
      </c>
      <c r="AB67" s="1595" cm="1">
        <f t="array" aca="1" ref="AB67" ca="1">OFFSET(POrigin,MATCH(Valori[[#This Row],[LUKB_id]],PID,0),MATCH("ASK",PLabel,0)-1,1,1)</f>
        <v>99.75</v>
      </c>
      <c r="AC67" s="1594" cm="1">
        <f t="array" aca="1" ref="AC67" ca="1">OFFSET(POrigin,MATCH(Valori[[#This Row],[LUKB_id]],PID,0),MATCH("ASK:volume",PLabel,0)-1,1,1)</f>
        <v>50000</v>
      </c>
      <c r="AD67" s="1596" cm="1">
        <f t="array" aca="1" ref="AD67" ca="1">OFFSET(POrigin,MATCH(Valori[[#This Row],[LUKB_id]],PID,0),MATCH("BID-ASK Spread %",PLabel,0)-1,1,1)</f>
        <v>5.0377833753148613E-3</v>
      </c>
      <c r="AE67" s="1597" cm="1">
        <f t="array" aca="1" ref="AE67" ca="1">IF(OFFSET(POrigin,MATCH(Valori[[#This Row],[LUKB_id]],PID,0),MATCH("MATURITY",PLabel,0)-1,1,1)&gt;0,OFFSET(POrigin,MATCH(Valori[[#This Row],[LUKB_id]],PID,0),MATCH("MATURITY",PLabel,0)-1,1,1),"")</f>
        <v>47982</v>
      </c>
      <c r="AF67" s="1598" cm="1">
        <f t="array" aca="1" ref="AF67" ca="1">OFFSET(POrigin,MATCH(Valori[[#This Row],[LUKB_id]],PID,0),MATCH("ACCINT",PLabel,0)-1,1,1)</f>
        <v>0.70243055600000004</v>
      </c>
      <c r="AG67" s="1594" cm="1">
        <f t="array" aca="1" ref="AG67" ca="1">OFFSET(POrigin,MATCH(Valori[[#This Row],[LUKB_id]],PID,0),MATCH("DENOM",PLabel,0)-1,1,1)</f>
        <v>5000</v>
      </c>
      <c r="AH67" s="1599" cm="1">
        <f t="array" aca="1" ref="AH67" ca="1">(OFFSET(POrigin,MATCH(Valori[[#This Row],[LUKB_id]],PID,0),MATCH("YIELD",PLabel,0)-1,1,1)+OFFSET(POrigin,MATCH(Valori[[#This Row],[LUKB_id]],PID,0),MATCH("YLDEQ",PLabel,0)-1,1,1))/100</f>
        <v>1.0239368390000001E-2</v>
      </c>
      <c r="AI67" s="1600">
        <f ca="1">OFFSET(POrigin,MATCH(Valori[[#This Row],[LUKB_id]],PID,0),MATCH("DIVIDEND",PLabel,0)-1,1,1)</f>
        <v>0</v>
      </c>
      <c r="AJ67" s="1601">
        <f ca="1">OFFSET(POrigin,MATCH(Valori[[#This Row],[LUKB_id]],PID,0),MATCH("DIVIDEND:datetime",PLabel,0)-1,1,1)</f>
        <v>0</v>
      </c>
      <c r="AK67" s="1602">
        <f ca="1">OFFSET(POrigin,MATCH(Valori[[#This Row],[LUKB_id]],PID,0),MATCH("INTEREST",PLabel,0)-1,1,1)</f>
        <v>0.875</v>
      </c>
      <c r="AL67" s="1603">
        <f ca="1">OFFSET(POrigin,MATCH(Valori[[#This Row],[LUKB_id]],PID,0),MATCH("4W_PERF_PR",PLabel,0)-1,1,1)/100</f>
        <v>-2.0110608345902999E-3</v>
      </c>
      <c r="AM67" s="1603">
        <f ca="1">OFFSET(POrigin,MATCH(Valori[[#This Row],[LUKB_id]],PID,0),MATCH("12W_PERF_PR",PLabel,0)-1,1,1)/100</f>
        <v>5.0403225806449996E-4</v>
      </c>
      <c r="AN67" s="1603">
        <f ca="1">OFFSET(POrigin,MATCH(Valori[[#This Row],[LUKB_id]],PID,0),MATCH("YTD_PERF_PR",PLabel,0)-1,1,1)/100</f>
        <v>6.0606060606061994E-3</v>
      </c>
      <c r="AO67" s="1591"/>
      <c r="AP67" s="1591"/>
      <c r="AQ67" s="1591"/>
      <c r="AR67" s="1591"/>
      <c r="AS67" s="1890"/>
      <c r="AT67" s="1890"/>
      <c r="AU67" s="610"/>
      <c r="AV67" s="1891"/>
      <c r="AW67" s="1604" t="str">
        <f ca="1">"https://boersenundmaerkte.lukb.ch/lukb/details/"&amp;Valori[[#This Row],[LUKB_id]]</f>
        <v>https://boersenundmaerkte.lukb.ch/lukb/details/111224674,4,1</v>
      </c>
      <c r="AX6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7" s="142"/>
      <c r="AZ67" s="142"/>
      <c r="BA67" s="142"/>
      <c r="BB67" s="142"/>
    </row>
    <row r="68" spans="1:54" ht="15" customHeight="1" x14ac:dyDescent="0.2">
      <c r="A68" s="142" t="s">
        <v>1035</v>
      </c>
      <c r="B68" s="142" t="str" cm="1">
        <f t="array" aca="1" ref="B68" ca="1">OFFSET(POrigin,MATCH(Valori[[#This Row],[smo_id]],Posizioni[smo_id],0),MATCH("LUKB_id",PIntestazioni,0)-1,1,1)</f>
        <v>111822338,4,1</v>
      </c>
      <c r="C68" s="1668" t="str">
        <f ca="1">HYPERLINK("https://boersenundmaerkte.lukb.ch/lukb/details/"&amp;Valori[[#This Row],[LUKB_id]],"è")</f>
        <v>è</v>
      </c>
      <c r="D68" s="142" t="str" cm="1">
        <f t="array" aca="1" ref="D68" ca="1">OFFSET(POrigin,MATCH(Valori[[#This Row],[LUKB_id]],PID,0),MATCH("SC_GROUPED",PIntestazioni,0)-1,1,1)</f>
        <v>BON</v>
      </c>
      <c r="E68" s="413" t="str" cm="1">
        <f t="array" aca="1" ref="E68" ca="1">OFFSET(POrigin,MATCH(Valori[[#This Row],[LUKB_id]],PID,0),MATCH("isin",PIntestazioni,0)-1,1,1)</f>
        <v>CH1118223382</v>
      </c>
      <c r="F68" s="34" t="str" cm="1">
        <f t="array" aca="1" ref="F68" ca="1">OFFSET(POrigin,MATCH(Valori[[#This Row],[LUKB_id]],PID,0),MATCH("NSIN_CH",PLabel,0)-1,1,1)</f>
        <v>111822338</v>
      </c>
      <c r="G68" s="95" t="str" cm="1">
        <f t="array" aca="1" ref="G68" ca="1">IF(OFFSET(POrigin,MATCH(Valori[[#This Row],[LUKB_id]],PID,0),MATCH("INSTRUNIT",PLabel,0)-1,1,1)="Nominal","Pct","Unit")</f>
        <v>Pct</v>
      </c>
      <c r="H68" s="612">
        <f ca="1">MAX(OFFSET(POrigin,MATCH(Valori[[#This Row],[LUKB_id]],PID,0),MATCH("PRICINGAMT",PLabel,0)-1,1,1),1)</f>
        <v>1</v>
      </c>
      <c r="I68" s="615" t="str" cm="1">
        <f t="array" aca="1" ref="I68" ca="1">OFFSET(POrigin,MATCH(Valori[[#This Row],[LUKB_id]],PID,0),MATCH("M_NAME",PLabel,0)-1,1,1)</f>
        <v>1 GLKB 31 Obl</v>
      </c>
      <c r="M68" s="142" t="str" cm="1">
        <f t="array" aca="1" ref="M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Glarner Kantonalbank 28.07.31</v>
      </c>
      <c r="N68" s="1563">
        <f ca="1">COUNTIF('CHF M'!smo_id,Valori[[#This Row],[smo_id]])+COUNTIF('CHF MA'!smo_id,Valori[[#This Row],[smo_id]])+COUNTIF('EUR MB'!smo_id,Valori[[#This Row],[smo_id]])+COUNTIF('EUR M'!smo_id,Valori[[#This Row],[smo_id]])+COUNTIF(AGCO!smo_id,Valori[[#This Row],[smo_id]])</f>
        <v>1</v>
      </c>
      <c r="O68" s="1590" cm="1">
        <f t="array" aca="1" ref="O68" ca="1">SUM(IF('CHF M'!smo_id=Valori[[#This Row],[smo_id]],'CHF M'!Posizione))+SUM(IF('CHF MA'!smo_id=Valori[[#This Row],[smo_id]],'CHF MA'!Posizione))+SUM(IF('EUR MB'!smo_id=Valori[[#This Row],[smo_id]],'EUR MB'!Posizione))+SUM(IF('EUR M'!smo_id=Valori[[#This Row],[smo_id]],'EUR M'!Posizione))+SUM(IF(AGCO!smo_id=Valori[[#This Row],[smo_id]],AGCO!Posizione))</f>
        <v>180000</v>
      </c>
      <c r="P68" s="1661" t="str">
        <f ca="1">HYPERLINK(Valori[[#This Row],[P_Source]],"è")</f>
        <v>è</v>
      </c>
      <c r="Q68" s="1663" t="str">
        <f>HYPERLINK(Valori[[#This Row],[Info_W]],"i")</f>
        <v>i</v>
      </c>
      <c r="R68" s="1664" t="str">
        <f>HYPERLINK(Valori[[#This Row],[FN_W]],"")</f>
        <v></v>
      </c>
      <c r="S68" s="1665" t="str">
        <f>HYPERLINK(Valori[[#This Row],[MS_Link]],"")</f>
        <v></v>
      </c>
      <c r="T68" s="1665" t="str">
        <f>HYPERLINK(Valori[[#This Row],[C_source]],"")</f>
        <v></v>
      </c>
      <c r="U68" s="142" t="str" cm="1">
        <f t="array" aca="1" ref="U68" ca="1">OFFSET(POrigin,MATCH(Valori[[#This Row],[LUKB_id]],PID,0),MATCH("M_CUR",PLabel,0)-1,1,1)</f>
        <v>CHF</v>
      </c>
      <c r="V68" s="1562">
        <f ca="1">(Valori[[#This Row],[Last]]+Valori[[#This Row],[Acc. Int]])/Valori[[#This Row],[Pr.Amt]]/IF(Valori[[#This Row],[P_Type]]="Pct",100,1)</f>
        <v>1.0029722222199999</v>
      </c>
      <c r="W68" s="1591" cm="1">
        <f t="array" aca="1" ref="W68" ca="1">OFFSET(POrigin,MATCH(Valori[[#This Row],[LUKB_id]],PID,0),MATCH("NC2_PR",PLabel,0)-1,1,1)/100</f>
        <v>-3.0000000000000005E-3</v>
      </c>
      <c r="X68" s="1592" cm="1">
        <f t="array" aca="1" ref="X68" ca="1">OFFSET(POrigin,MATCH(Valori[[#This Row],[LUKB_id]],PID,0),MATCH("LVAL",PLabel,0)-1,1,1)</f>
        <v>99.7</v>
      </c>
      <c r="Y68" s="1593" cm="1">
        <f t="array" aca="1" ref="Y68" ca="1">OFFSET(POrigin,MATCH(Valori[[#This Row],[LUKB_id]],PID,0),MATCH("LVAL:datetime",PLabel,0)-1,1,1)</f>
        <v>46084.396157407406</v>
      </c>
      <c r="Z68" s="1594" cm="1">
        <f t="array" aca="1" ref="Z68" ca="1">OFFSET(POrigin,MATCH(Valori[[#This Row],[LUKB_id]],PID,0),MATCH("BID:volume",PLabel,0)-1,1,1)</f>
        <v>10000</v>
      </c>
      <c r="AA68" s="1595" cm="1">
        <f t="array" aca="1" ref="AA68" ca="1">OFFSET(POrigin,MATCH(Valori[[#This Row],[LUKB_id]],PID,0),MATCH("BID",PLabel,0)-1,1,1)</f>
        <v>99.7</v>
      </c>
      <c r="AB68" s="1595" cm="1">
        <f t="array" aca="1" ref="AB68" ca="1">OFFSET(POrigin,MATCH(Valori[[#This Row],[LUKB_id]],PID,0),MATCH("ASK",PLabel,0)-1,1,1)</f>
        <v>100.10000000000001</v>
      </c>
      <c r="AC68" s="1594" cm="1">
        <f t="array" aca="1" ref="AC68" ca="1">OFFSET(POrigin,MATCH(Valori[[#This Row],[LUKB_id]],PID,0),MATCH("ASK:volume",PLabel,0)-1,1,1)</f>
        <v>50000</v>
      </c>
      <c r="AD68" s="1596" cm="1">
        <f t="array" aca="1" ref="AD68" ca="1">OFFSET(POrigin,MATCH(Valori[[#This Row],[LUKB_id]],PID,0),MATCH("BID-ASK Spread %",PLabel,0)-1,1,1)</f>
        <v>2.6711185308848462E-3</v>
      </c>
      <c r="AE68" s="1597" cm="1">
        <f t="array" aca="1" ref="AE68" ca="1">IF(OFFSET(POrigin,MATCH(Valori[[#This Row],[LUKB_id]],PID,0),MATCH("MATURITY",PLabel,0)-1,1,1)&gt;0,OFFSET(POrigin,MATCH(Valori[[#This Row],[LUKB_id]],PID,0),MATCH("MATURITY",PLabel,0)-1,1,1),"")</f>
        <v>48057</v>
      </c>
      <c r="AF68" s="1598" cm="1">
        <f t="array" aca="1" ref="AF68" ca="1">OFFSET(POrigin,MATCH(Valori[[#This Row],[LUKB_id]],PID,0),MATCH("ACCINT",PLabel,0)-1,1,1)</f>
        <v>0.59722222200000008</v>
      </c>
      <c r="AG68" s="1594" cm="1">
        <f t="array" aca="1" ref="AG68" ca="1">OFFSET(POrigin,MATCH(Valori[[#This Row],[LUKB_id]],PID,0),MATCH("DENOM",PLabel,0)-1,1,1)</f>
        <v>5000</v>
      </c>
      <c r="AH68" s="1599" cm="1">
        <f t="array" aca="1" ref="AH68" ca="1">(OFFSET(POrigin,MATCH(Valori[[#This Row],[LUKB_id]],PID,0),MATCH("YIELD",PLabel,0)-1,1,1)+OFFSET(POrigin,MATCH(Valori[[#This Row],[LUKB_id]],PID,0),MATCH("YLDEQ",PLabel,0)-1,1,1))/100</f>
        <v>1.0380589850000002E-2</v>
      </c>
      <c r="AI68" s="1600">
        <f ca="1">OFFSET(POrigin,MATCH(Valori[[#This Row],[LUKB_id]],PID,0),MATCH("DIVIDEND",PLabel,0)-1,1,1)</f>
        <v>0</v>
      </c>
      <c r="AJ68" s="1601">
        <f ca="1">OFFSET(POrigin,MATCH(Valori[[#This Row],[LUKB_id]],PID,0),MATCH("DIVIDEND:datetime",PLabel,0)-1,1,1)</f>
        <v>0</v>
      </c>
      <c r="AK68" s="1602">
        <f ca="1">OFFSET(POrigin,MATCH(Valori[[#This Row],[LUKB_id]],PID,0),MATCH("INTEREST",PLabel,0)-1,1,1)</f>
        <v>1</v>
      </c>
      <c r="AL68" s="1603">
        <f ca="1">OFFSET(POrigin,MATCH(Valori[[#This Row],[LUKB_id]],PID,0),MATCH("4W_PERF_PR",PLabel,0)-1,1,1)/100</f>
        <v>6.0483870967743001E-3</v>
      </c>
      <c r="AM68" s="1603">
        <f ca="1">OFFSET(POrigin,MATCH(Valori[[#This Row],[LUKB_id]],PID,0),MATCH("12W_PERF_PR",PLabel,0)-1,1,1)/100</f>
        <v>6.5425264217413006E-3</v>
      </c>
      <c r="AN68" s="1603">
        <f ca="1">OFFSET(POrigin,MATCH(Valori[[#This Row],[LUKB_id]],PID,0),MATCH("YTD_PERF_PR",PLabel,0)-1,1,1)/100</f>
        <v>1.0611419909045001E-2</v>
      </c>
      <c r="AO68" s="1591"/>
      <c r="AP68" s="1591"/>
      <c r="AQ68" s="1591"/>
      <c r="AR68" s="1591"/>
      <c r="AS68" s="1890"/>
      <c r="AT68" s="1890"/>
      <c r="AU68" s="610"/>
      <c r="AV68" s="1891"/>
      <c r="AW68" s="1604" t="str">
        <f ca="1">"https://boersenundmaerkte.lukb.ch/lukb/details/"&amp;Valori[[#This Row],[LUKB_id]]</f>
        <v>https://boersenundmaerkte.lukb.ch/lukb/details/111822338,4,1</v>
      </c>
      <c r="AX6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8" s="142"/>
      <c r="AZ68" s="142"/>
      <c r="BA68" s="142"/>
      <c r="BB68" s="142"/>
    </row>
    <row r="69" spans="1:54" ht="15" customHeight="1" x14ac:dyDescent="0.2">
      <c r="A69" s="142" t="s">
        <v>1036</v>
      </c>
      <c r="B69" s="142" t="str" cm="1">
        <f t="array" aca="1" ref="B69" ca="1">OFFSET(POrigin,MATCH(Valori[[#This Row],[smo_id]],Posizioni[smo_id],0),MATCH("LUKB_id",PIntestazioni,0)-1,1,1)</f>
        <v>114872812,4,1</v>
      </c>
      <c r="C69" s="1668" t="str">
        <f ca="1">HYPERLINK("https://boersenundmaerkte.lukb.ch/lukb/details/"&amp;Valori[[#This Row],[LUKB_id]],"è")</f>
        <v>è</v>
      </c>
      <c r="D69" s="142" t="str" cm="1">
        <f t="array" aca="1" ref="D69" ca="1">OFFSET(POrigin,MATCH(Valori[[#This Row],[LUKB_id]],PID,0),MATCH("SC_GROUPED",PIntestazioni,0)-1,1,1)</f>
        <v>BON</v>
      </c>
      <c r="E69" s="413" t="str" cm="1">
        <f t="array" aca="1" ref="E69" ca="1">OFFSET(POrigin,MATCH(Valori[[#This Row],[LUKB_id]],PID,0),MATCH("isin",PIntestazioni,0)-1,1,1)</f>
        <v>CH1148728129</v>
      </c>
      <c r="F69" s="34" t="str" cm="1">
        <f t="array" aca="1" ref="F69" ca="1">OFFSET(POrigin,MATCH(Valori[[#This Row],[LUKB_id]],PID,0),MATCH("NSIN_CH",PLabel,0)-1,1,1)</f>
        <v>114872812</v>
      </c>
      <c r="G69" s="95" t="str" cm="1">
        <f t="array" aca="1" ref="G69" ca="1">IF(OFFSET(POrigin,MATCH(Valori[[#This Row],[LUKB_id]],PID,0),MATCH("INSTRUNIT",PLabel,0)-1,1,1)="Nominal","Pct","Unit")</f>
        <v>Pct</v>
      </c>
      <c r="H69" s="612">
        <f ca="1">MAX(OFFSET(POrigin,MATCH(Valori[[#This Row],[LUKB_id]],PID,0),MATCH("PRICINGAMT",PLabel,0)-1,1,1),1)</f>
        <v>1</v>
      </c>
      <c r="I69" s="615" t="str" cm="1">
        <f t="array" aca="1" ref="I69" ca="1">OFFSET(POrigin,MATCH(Valori[[#This Row],[LUKB_id]],PID,0),MATCH("M_NAME",PLabel,0)-1,1,1)</f>
        <v>0.85 BEKB 32 Anl-S</v>
      </c>
      <c r="J69" s="142" t="s">
        <v>374</v>
      </c>
      <c r="M69" s="142" t="str" cm="1">
        <f t="array" aca="1" ref="M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0.850 % Berner Kantonalbank  21.01.2032</v>
      </c>
      <c r="N69" s="1563">
        <f ca="1">COUNTIF('CHF M'!smo_id,Valori[[#This Row],[smo_id]])+COUNTIF('CHF MA'!smo_id,Valori[[#This Row],[smo_id]])+COUNTIF('EUR MB'!smo_id,Valori[[#This Row],[smo_id]])+COUNTIF('EUR M'!smo_id,Valori[[#This Row],[smo_id]])+COUNTIF(AGCO!smo_id,Valori[[#This Row],[smo_id]])</f>
        <v>3</v>
      </c>
      <c r="O69" s="1590">
        <v>345000</v>
      </c>
      <c r="P69" s="1661" t="str">
        <f ca="1">HYPERLINK(Valori[[#This Row],[P_Source]],"è")</f>
        <v>è</v>
      </c>
      <c r="Q69" s="1663" t="str">
        <f>HYPERLINK(Valori[[#This Row],[Info_W]],"i")</f>
        <v>i</v>
      </c>
      <c r="R69" s="1664" t="str">
        <f>HYPERLINK(Valori[[#This Row],[FN_W]],"")</f>
        <v></v>
      </c>
      <c r="S69" s="1665" t="str">
        <f>HYPERLINK(Valori[[#This Row],[MS_Link]],"")</f>
        <v></v>
      </c>
      <c r="T69" s="1665" t="str">
        <f>HYPERLINK(Valori[[#This Row],[C_source]],"")</f>
        <v></v>
      </c>
      <c r="U69" s="142" t="str" cm="1">
        <f t="array" aca="1" ref="U69" ca="1">OFFSET(POrigin,MATCH(Valori[[#This Row],[LUKB_id]],PID,0),MATCH("M_CUR",PLabel,0)-1,1,1)</f>
        <v>CHF</v>
      </c>
      <c r="V69" s="1562">
        <f ca="1">(Valori[[#This Row],[Last]]+Valori[[#This Row],[Acc. Int]])/Valori[[#This Row],[Pr.Amt]]/IF(Valori[[#This Row],[P_Type]]="Pct",100,1)</f>
        <v>0.99599166667000005</v>
      </c>
      <c r="W69" s="1591" cm="1">
        <f t="array" aca="1" ref="W69" ca="1">OFFSET(POrigin,MATCH(Valori[[#This Row],[LUKB_id]],PID,0),MATCH("NC2_PR",PLabel,0)-1,1,1)/100</f>
        <v>-3.0060120240483E-3</v>
      </c>
      <c r="X69" s="1592" cm="1">
        <f t="array" aca="1" ref="X69" ca="1">OFFSET(POrigin,MATCH(Valori[[#This Row],[LUKB_id]],PID,0),MATCH("LVAL",PLabel,0)-1,1,1)</f>
        <v>99.5</v>
      </c>
      <c r="Y69" s="1593" cm="1">
        <f t="array" aca="1" ref="Y69" ca="1">OFFSET(POrigin,MATCH(Valori[[#This Row],[LUKB_id]],PID,0),MATCH("LVAL:datetime",PLabel,0)-1,1,1)</f>
        <v>46084.711805555555</v>
      </c>
      <c r="Z69" s="1594" cm="1">
        <f t="array" aca="1" ref="Z69" ca="1">OFFSET(POrigin,MATCH(Valori[[#This Row],[LUKB_id]],PID,0),MATCH("BID:volume",PLabel,0)-1,1,1)</f>
        <v>100000</v>
      </c>
      <c r="AA69" s="1595" cm="1">
        <f t="array" aca="1" ref="AA69" ca="1">OFFSET(POrigin,MATCH(Valori[[#This Row],[LUKB_id]],PID,0),MATCH("BID",PLabel,0)-1,1,1)</f>
        <v>97.75</v>
      </c>
      <c r="AB69" s="1595" cm="1">
        <f t="array" aca="1" ref="AB69" ca="1">OFFSET(POrigin,MATCH(Valori[[#This Row],[LUKB_id]],PID,0),MATCH("ASK",PLabel,0)-1,1,1)</f>
        <v>99.5</v>
      </c>
      <c r="AC69" s="1594" cm="1">
        <f t="array" aca="1" ref="AC69" ca="1">OFFSET(POrigin,MATCH(Valori[[#This Row],[LUKB_id]],PID,0),MATCH("ASK:volume",PLabel,0)-1,1,1)</f>
        <v>100000</v>
      </c>
      <c r="AD69" s="1596" cm="1">
        <f t="array" aca="1" ref="AD69" ca="1">OFFSET(POrigin,MATCH(Valori[[#This Row],[LUKB_id]],PID,0),MATCH("BID-ASK Spread %",PLabel,0)-1,1,1)</f>
        <v>1.1864406779661017E-2</v>
      </c>
      <c r="AE69" s="1597" cm="1">
        <f t="array" aca="1" ref="AE69" ca="1">IF(OFFSET(POrigin,MATCH(Valori[[#This Row],[LUKB_id]],PID,0),MATCH("MATURITY",PLabel,0)-1,1,1)&gt;0,OFFSET(POrigin,MATCH(Valori[[#This Row],[LUKB_id]],PID,0),MATCH("MATURITY",PLabel,0)-1,1,1),"")</f>
        <v>48234</v>
      </c>
      <c r="AF69" s="1598" cm="1">
        <f t="array" aca="1" ref="AF69" ca="1">OFFSET(POrigin,MATCH(Valori[[#This Row],[LUKB_id]],PID,0),MATCH("ACCINT",PLabel,0)-1,1,1)</f>
        <v>9.9166667E-2</v>
      </c>
      <c r="AG69" s="1594" cm="1">
        <f t="array" aca="1" ref="AG69" ca="1">OFFSET(POrigin,MATCH(Valori[[#This Row],[LUKB_id]],PID,0),MATCH("DENOM",PLabel,0)-1,1,1)</f>
        <v>5000</v>
      </c>
      <c r="AH69" s="1599" cm="1">
        <f t="array" aca="1" ref="AH69" ca="1">(OFFSET(POrigin,MATCH(Valori[[#This Row],[LUKB_id]],PID,0),MATCH("YIELD",PLabel,0)-1,1,1)+OFFSET(POrigin,MATCH(Valori[[#This Row],[LUKB_id]],PID,0),MATCH("YLDEQ",PLabel,0)-1,1,1))/100</f>
        <v>8.9377875499999995E-3</v>
      </c>
      <c r="AI69" s="1600">
        <f ca="1">OFFSET(POrigin,MATCH(Valori[[#This Row],[LUKB_id]],PID,0),MATCH("DIVIDEND",PLabel,0)-1,1,1)</f>
        <v>0</v>
      </c>
      <c r="AJ69" s="1601">
        <f ca="1">OFFSET(POrigin,MATCH(Valori[[#This Row],[LUKB_id]],PID,0),MATCH("DIVIDEND:datetime",PLabel,0)-1,1,1)</f>
        <v>0</v>
      </c>
      <c r="AK69" s="1602">
        <f ca="1">OFFSET(POrigin,MATCH(Valori[[#This Row],[LUKB_id]],PID,0),MATCH("INTEREST",PLabel,0)-1,1,1)</f>
        <v>0.85</v>
      </c>
      <c r="AL69" s="1603">
        <f ca="1">OFFSET(POrigin,MATCH(Valori[[#This Row],[LUKB_id]],PID,0),MATCH("4W_PERF_PR",PLabel,0)-1,1,1)/100</f>
        <v>7.5757575757576003E-3</v>
      </c>
      <c r="AM69" s="1603">
        <f ca="1">OFFSET(POrigin,MATCH(Valori[[#This Row],[LUKB_id]],PID,0),MATCH("12W_PERF_PR",PLabel,0)-1,1,1)/100</f>
        <v>8.5901970692269999E-3</v>
      </c>
      <c r="AN69" s="1603">
        <f ca="1">OFFSET(POrigin,MATCH(Valori[[#This Row],[LUKB_id]],PID,0),MATCH("YTD_PERF_PR",PLabel,0)-1,1,1)/100</f>
        <v>1.2683916793506E-2</v>
      </c>
      <c r="AO69" s="1591"/>
      <c r="AP69" s="1591"/>
      <c r="AQ69" s="1591"/>
      <c r="AR69" s="1591"/>
      <c r="AS69" s="1890"/>
      <c r="AT69" s="1890" t="s">
        <v>1037</v>
      </c>
      <c r="AU69" s="610" t="s">
        <v>1038</v>
      </c>
      <c r="AV69" s="1891"/>
      <c r="AW69" s="1604" t="str">
        <f ca="1">"https://boersenundmaerkte.lukb.ch/lukb/details/"&amp;Valori[[#This Row],[LUKB_id]]</f>
        <v>https://boersenundmaerkte.lukb.ch/lukb/details/114872812,4,1</v>
      </c>
      <c r="AX69" s="1605" t="str">
        <f>"https://www.marketscreener.com/mods_a/charts/TV/inc_dyna_graph.php?c="&amp;Valori[[#This Row],[MS_Code]]&amp;"&amp;style=TradingView.CANDLES&amp;interval=(null)&amp;mobile=(null)&amp;showAT=1"</f>
        <v>https://www.marketscreener.com/mods_a/charts/TV/inc_dyna_graph.php?c=132121392&amp;style=TradingView.CANDLES&amp;interval=(null)&amp;mobile=(null)&amp;showAT=1</v>
      </c>
      <c r="AY69" s="142"/>
      <c r="AZ69" s="142"/>
      <c r="BA69" s="142"/>
      <c r="BB69" s="142"/>
    </row>
    <row r="70" spans="1:54" ht="15" customHeight="1" x14ac:dyDescent="0.2">
      <c r="A70" s="142" t="s">
        <v>1039</v>
      </c>
      <c r="B70" s="142" t="str" cm="1">
        <f t="array" aca="1" ref="B70" ca="1">OFFSET(POrigin,MATCH(Valori[[#This Row],[smo_id]],Posizioni[smo_id],0),MATCH("LUKB_id",PIntestazioni,0)-1,1,1)</f>
        <v>113789568,15,814</v>
      </c>
      <c r="C70" s="1668" t="str">
        <f ca="1">HYPERLINK("https://boersenundmaerkte.lukb.ch/lukb/details/"&amp;Valori[[#This Row],[LUKB_id]],"è")</f>
        <v>è</v>
      </c>
      <c r="D70" s="142" t="str" cm="1">
        <f t="array" aca="1" ref="D70" ca="1">OFFSET(POrigin,MATCH(Valori[[#This Row],[LUKB_id]],PID,0),MATCH("SC_GROUPED",PIntestazioni,0)-1,1,1)</f>
        <v>BON</v>
      </c>
      <c r="E70" s="413" t="str" cm="1">
        <f t="array" aca="1" ref="E70" ca="1">OFFSET(POrigin,MATCH(Valori[[#This Row],[LUKB_id]],PID,0),MATCH("isin",PIntestazioni,0)-1,1,1)</f>
        <v>XS2389353264</v>
      </c>
      <c r="F70" s="34" t="str" cm="1">
        <f t="array" aca="1" ref="F70" ca="1">OFFSET(POrigin,MATCH(Valori[[#This Row],[LUKB_id]],PID,0),MATCH("NSIN_CH",PLabel,0)-1,1,1)</f>
        <v>113789568</v>
      </c>
      <c r="G70" s="95" t="str" cm="1">
        <f t="array" aca="1" ref="G70" ca="1">IF(OFFSET(POrigin,MATCH(Valori[[#This Row],[LUKB_id]],PID,0),MATCH("INSTRUNIT",PLabel,0)-1,1,1)="Nominal","Pct","Unit")</f>
        <v>Pct</v>
      </c>
      <c r="H70" s="612">
        <f ca="1">MAX(OFFSET(POrigin,MATCH(Valori[[#This Row],[LUKB_id]],PID,0),MATCH("PRICINGAMT",PLabel,0)-1,1,1),1)</f>
        <v>1</v>
      </c>
      <c r="I70" s="615" t="str" cm="1">
        <f t="array" aca="1" ref="I70" ca="1">OFFSET(POrigin,MATCH(Valori[[#This Row],[LUKB_id]],PID,0),MATCH("M_NAME",PLabel,0)-1,1,1)</f>
        <v>0.75 GS 32 EMTN</v>
      </c>
      <c r="M70" s="142" t="str" cm="1">
        <f t="array" aca="1" ref="M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Goldman Sachs Group Inc 23.03.32</v>
      </c>
      <c r="N70" s="1563">
        <f ca="1">COUNTIF('CHF M'!smo_id,Valori[[#This Row],[smo_id]])+COUNTIF('CHF MA'!smo_id,Valori[[#This Row],[smo_id]])+COUNTIF('EUR MB'!smo_id,Valori[[#This Row],[smo_id]])+COUNTIF('EUR M'!smo_id,Valori[[#This Row],[smo_id]])+COUNTIF(AGCO!smo_id,Valori[[#This Row],[smo_id]])</f>
        <v>2</v>
      </c>
      <c r="O70" s="1590" cm="1">
        <f t="array" aca="1" ref="O70" ca="1">SUM(IF('CHF M'!smo_id=Valori[[#This Row],[smo_id]],'CHF M'!Posizione))+SUM(IF('CHF MA'!smo_id=Valori[[#This Row],[smo_id]],'CHF MA'!Posizione))+SUM(IF('EUR MB'!smo_id=Valori[[#This Row],[smo_id]],'EUR MB'!Posizione))+SUM(IF('EUR M'!smo_id=Valori[[#This Row],[smo_id]],'EUR M'!Posizione))+SUM(IF(AGCO!smo_id=Valori[[#This Row],[smo_id]],AGCO!Posizione))</f>
        <v>70000</v>
      </c>
      <c r="P70" s="1661" t="str">
        <f ca="1">HYPERLINK(Valori[[#This Row],[P_Source]],"è")</f>
        <v>è</v>
      </c>
      <c r="Q70" s="1663" t="str">
        <f>HYPERLINK(Valori[[#This Row],[Info_W]],"i")</f>
        <v>i</v>
      </c>
      <c r="R70" s="1664" t="str">
        <f>HYPERLINK(Valori[[#This Row],[FN_W]],"")</f>
        <v></v>
      </c>
      <c r="S70" s="1665" t="str">
        <f>HYPERLINK(Valori[[#This Row],[MS_Link]],"")</f>
        <v></v>
      </c>
      <c r="T70" s="1665" t="str">
        <f>HYPERLINK(Valori[[#This Row],[C_source]],"")</f>
        <v></v>
      </c>
      <c r="U70" s="142" t="str" cm="1">
        <f t="array" aca="1" ref="U70" ca="1">OFFSET(POrigin,MATCH(Valori[[#This Row],[LUKB_id]],PID,0),MATCH("M_CUR",PLabel,0)-1,1,1)</f>
        <v>EUR</v>
      </c>
      <c r="V70" s="1562">
        <f ca="1">(Valori[[#This Row],[Last]]+Valori[[#This Row],[Acc. Int]])/Valori[[#This Row],[Pr.Amt]]/IF(Valori[[#This Row],[P_Type]]="Pct",100,1)</f>
        <v>0.86787904110000014</v>
      </c>
      <c r="W70" s="1591" cm="1">
        <f t="array" aca="1" ref="W70" ca="1">OFFSET(POrigin,MATCH(Valori[[#This Row],[LUKB_id]],PID,0),MATCH("NC2_PR",PLabel,0)-1,1,1)/100</f>
        <v>0.15010951504320141</v>
      </c>
      <c r="X70" s="1592" cm="1">
        <f t="array" aca="1" ref="X70" ca="1">OFFSET(POrigin,MATCH(Valori[[#This Row],[LUKB_id]],PID,0),MATCH("LVAL",PLabel,0)-1,1,1)</f>
        <v>86.079000000000008</v>
      </c>
      <c r="Y70" s="1593" cm="1">
        <f t="array" aca="1" ref="Y70" ca="1">OFFSET(POrigin,MATCH(Valori[[#This Row],[LUKB_id]],PID,0),MATCH("LVAL:datetime",PLabel,0)-1,1,1)</f>
        <v>46083.427175925928</v>
      </c>
      <c r="Z70" s="1594" cm="1">
        <f t="array" aca="1" ref="Z70" ca="1">OFFSET(POrigin,MATCH(Valori[[#This Row],[LUKB_id]],PID,0),MATCH("BID:volume",PLabel,0)-1,1,1)</f>
        <v>0</v>
      </c>
      <c r="AA70" s="1595" cm="1">
        <f t="array" aca="1" ref="AA70" ca="1">OFFSET(POrigin,MATCH(Valori[[#This Row],[LUKB_id]],PID,0),MATCH("BID",PLabel,0)-1,1,1)</f>
        <v>0</v>
      </c>
      <c r="AB70" s="1595" cm="1">
        <f t="array" aca="1" ref="AB70" ca="1">OFFSET(POrigin,MATCH(Valori[[#This Row],[LUKB_id]],PID,0),MATCH("ASK",PLabel,0)-1,1,1)</f>
        <v>0</v>
      </c>
      <c r="AC70" s="1594" cm="1">
        <f t="array" aca="1" ref="AC70" ca="1">OFFSET(POrigin,MATCH(Valori[[#This Row],[LUKB_id]],PID,0),MATCH("ASK:volume",PLabel,0)-1,1,1)</f>
        <v>0</v>
      </c>
      <c r="AD70" s="1596" cm="1">
        <f t="array" aca="1" ref="AD70" ca="1">OFFSET(POrigin,MATCH(Valori[[#This Row],[LUKB_id]],PID,0),MATCH("BID-ASK Spread %",PLabel,0)-1,1,1)</f>
        <v>0</v>
      </c>
      <c r="AE70" s="1597" cm="1">
        <f t="array" aca="1" ref="AE70" ca="1">IF(OFFSET(POrigin,MATCH(Valori[[#This Row],[LUKB_id]],PID,0),MATCH("MATURITY",PLabel,0)-1,1,1)&gt;0,OFFSET(POrigin,MATCH(Valori[[#This Row],[LUKB_id]],PID,0),MATCH("MATURITY",PLabel,0)-1,1,1),"")</f>
        <v>48296</v>
      </c>
      <c r="AF70" s="1598" cm="1">
        <f t="array" aca="1" ref="AF70" ca="1">OFFSET(POrigin,MATCH(Valori[[#This Row],[LUKB_id]],PID,0),MATCH("ACCINT",PLabel,0)-1,1,1)</f>
        <v>0.70890410999999998</v>
      </c>
      <c r="AG70" s="1594" cm="1">
        <f t="array" aca="1" ref="AG70" ca="1">OFFSET(POrigin,MATCH(Valori[[#This Row],[LUKB_id]],PID,0),MATCH("DENOM",PLabel,0)-1,1,1)</f>
        <v>1000</v>
      </c>
      <c r="AH70" s="1599" cm="1">
        <f t="array" aca="1" ref="AH70" ca="1">(OFFSET(POrigin,MATCH(Valori[[#This Row],[LUKB_id]],PID,0),MATCH("YIELD",PLabel,0)-1,1,1)+OFFSET(POrigin,MATCH(Valori[[#This Row],[LUKB_id]],PID,0),MATCH("YLDEQ",PLabel,0)-1,1,1))/100</f>
        <v>3.3285636559999998E-2</v>
      </c>
      <c r="AI70" s="1600">
        <f ca="1">OFFSET(POrigin,MATCH(Valori[[#This Row],[LUKB_id]],PID,0),MATCH("DIVIDEND",PLabel,0)-1,1,1)</f>
        <v>0</v>
      </c>
      <c r="AJ70" s="1601">
        <f ca="1">OFFSET(POrigin,MATCH(Valori[[#This Row],[LUKB_id]],PID,0),MATCH("DIVIDEND:datetime",PLabel,0)-1,1,1)</f>
        <v>0</v>
      </c>
      <c r="AK70" s="1602">
        <f ca="1">OFFSET(POrigin,MATCH(Valori[[#This Row],[LUKB_id]],PID,0),MATCH("INTEREST",PLabel,0)-1,1,1)</f>
        <v>0.75</v>
      </c>
      <c r="AL70" s="1603">
        <f ca="1">OFFSET(POrigin,MATCH(Valori[[#This Row],[LUKB_id]],PID,0),MATCH("4W_PERF_PR",PLabel,0)-1,1,1)/100</f>
        <v>2.0838183934809001E-3</v>
      </c>
      <c r="AM70" s="1603">
        <f ca="1">OFFSET(POrigin,MATCH(Valori[[#This Row],[LUKB_id]],PID,0),MATCH("12W_PERF_PR",PLabel,0)-1,1,1)/100</f>
        <v>1.4426153219709999E-3</v>
      </c>
      <c r="AN70" s="1603">
        <f ca="1">OFFSET(POrigin,MATCH(Valori[[#This Row],[LUKB_id]],PID,0),MATCH("YTD_PERF_PR",PLabel,0)-1,1,1)/100</f>
        <v>2.5770176877123003E-3</v>
      </c>
      <c r="AO70" s="1591"/>
      <c r="AP70" s="1591"/>
      <c r="AQ70" s="1591"/>
      <c r="AR70" s="1591"/>
      <c r="AS70" s="1890"/>
      <c r="AT70" s="1890"/>
      <c r="AU70" s="610"/>
      <c r="AV70" s="1891"/>
      <c r="AW70" s="1604" t="str">
        <f ca="1">"https://boersenundmaerkte.lukb.ch/lukb/details/"&amp;Valori[[#This Row],[LUKB_id]]</f>
        <v>https://boersenundmaerkte.lukb.ch/lukb/details/113789568,15,814</v>
      </c>
      <c r="AX7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0" s="142"/>
      <c r="AZ70" s="142"/>
      <c r="BA70" s="142"/>
      <c r="BB70" s="142"/>
    </row>
    <row r="71" spans="1:54" ht="15" customHeight="1" x14ac:dyDescent="0.2">
      <c r="A71" s="142" t="s">
        <v>1040</v>
      </c>
      <c r="B71" s="142" t="str" cm="1">
        <f t="array" aca="1" ref="B71" ca="1">OFFSET(POrigin,MATCH(Valori[[#This Row],[smo_id]],Posizioni[smo_id],0),MATCH("LUKB_id",PIntestazioni,0)-1,1,1)</f>
        <v>140006450,4,1</v>
      </c>
      <c r="C71" s="1668" t="str">
        <f ca="1">HYPERLINK("https://boersenundmaerkte.lukb.ch/lukb/details/"&amp;Valori[[#This Row],[LUKB_id]],"è")</f>
        <v>è</v>
      </c>
      <c r="D71" s="142" t="str" cm="1">
        <f t="array" aca="1" ref="D71" ca="1">OFFSET(POrigin,MATCH(Valori[[#This Row],[LUKB_id]],PID,0),MATCH("SC_GROUPED",PIntestazioni,0)-1,1,1)</f>
        <v>BON</v>
      </c>
      <c r="E71" s="413" t="str" cm="1">
        <f t="array" aca="1" ref="E71" ca="1">OFFSET(POrigin,MATCH(Valori[[#This Row],[LUKB_id]],PID,0),MATCH("isin",PIntestazioni,0)-1,1,1)</f>
        <v>CH1400064502</v>
      </c>
      <c r="F71" s="34" t="str" cm="1">
        <f t="array" aca="1" ref="F71" ca="1">OFFSET(POrigin,MATCH(Valori[[#This Row],[LUKB_id]],PID,0),MATCH("NSIN_CH",PLabel,0)-1,1,1)</f>
        <v>140006450</v>
      </c>
      <c r="G71" s="95" t="str" cm="1">
        <f t="array" aca="1" ref="G71" ca="1">IF(OFFSET(POrigin,MATCH(Valori[[#This Row],[LUKB_id]],PID,0),MATCH("INSTRUNIT",PLabel,0)-1,1,1)="Nominal","Pct","Unit")</f>
        <v>Pct</v>
      </c>
      <c r="H71" s="612">
        <f ca="1">MAX(OFFSET(POrigin,MATCH(Valori[[#This Row],[LUKB_id]],PID,0),MATCH("PRICINGAMT",PLabel,0)-1,1,1),1)</f>
        <v>1</v>
      </c>
      <c r="I71" s="615" t="str" cm="1">
        <f t="array" aca="1" ref="I71" ca="1">OFFSET(POrigin,MATCH(Valori[[#This Row],[LUKB_id]],PID,0),MATCH("M_NAME",PLabel,0)-1,1,1)</f>
        <v>1.1 Helvetia 33 Bds</v>
      </c>
      <c r="J71" s="142" t="s">
        <v>816</v>
      </c>
      <c r="M71" s="142" t="str" cm="1">
        <f t="array" aca="1" ref="M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1.100 % Helvetia 31.01.33</v>
      </c>
      <c r="N71" s="1563">
        <f ca="1">COUNTIF('CHF M'!smo_id,Valori[[#This Row],[smo_id]])+COUNTIF('CHF MA'!smo_id,Valori[[#This Row],[smo_id]])+COUNTIF('EUR MB'!smo_id,Valori[[#This Row],[smo_id]])+COUNTIF('EUR M'!smo_id,Valori[[#This Row],[smo_id]])+COUNTIF(AGCO!smo_id,Valori[[#This Row],[smo_id]])</f>
        <v>1</v>
      </c>
      <c r="O71" s="1590" cm="1">
        <f t="array" aca="1" ref="O71" ca="1">SUM(IF('CHF M'!smo_id=Valori[[#This Row],[smo_id]],'CHF M'!Posizione))+SUM(IF('CHF MA'!smo_id=Valori[[#This Row],[smo_id]],'CHF MA'!Posizione))+SUM(IF('EUR MB'!smo_id=Valori[[#This Row],[smo_id]],'EUR MB'!Posizione))+SUM(IF('EUR M'!smo_id=Valori[[#This Row],[smo_id]],'EUR M'!Posizione))+SUM(IF(AGCO!smo_id=Valori[[#This Row],[smo_id]],AGCO!Posizione))</f>
        <v>0</v>
      </c>
      <c r="P71" s="1661" t="str">
        <f ca="1">HYPERLINK(Valori[[#This Row],[P_Source]],"è")</f>
        <v>è</v>
      </c>
      <c r="Q71" s="1663" t="str">
        <f>HYPERLINK(Valori[[#This Row],[Info_W]],"i")</f>
        <v>i</v>
      </c>
      <c r="R71" s="1664" t="str">
        <f>HYPERLINK(Valori[[#This Row],[FN_W]],"")</f>
        <v></v>
      </c>
      <c r="S71" s="1665" t="str">
        <f>HYPERLINK(Valori[[#This Row],[MS_Link]],"")</f>
        <v></v>
      </c>
      <c r="T71" s="1665" t="str">
        <f>HYPERLINK(Valori[[#This Row],[C_source]],"")</f>
        <v></v>
      </c>
      <c r="U71" s="142" t="str" cm="1">
        <f t="array" aca="1" ref="U71" ca="1">OFFSET(POrigin,MATCH(Valori[[#This Row],[LUKB_id]],PID,0),MATCH("M_CUR",PLabel,0)-1,1,1)</f>
        <v>CHF</v>
      </c>
      <c r="V71" s="1562">
        <f ca="1">(Valori[[#This Row],[Last]]+Valori[[#This Row],[Acc. Int]])/Valori[[#This Row],[Pr.Amt]]/IF(Valori[[#This Row],[P_Type]]="Pct",100,1)</f>
        <v>1.00450833333</v>
      </c>
      <c r="W71" s="1591" cm="1">
        <f t="array" aca="1" ref="W71" ca="1">OFFSET(POrigin,MATCH(Valori[[#This Row],[LUKB_id]],PID,0),MATCH("NC2_PR",PLabel,0)-1,1,1)/100</f>
        <v>-6.9272637308263E-3</v>
      </c>
      <c r="X71" s="1592" cm="1">
        <f t="array" aca="1" ref="X71" ca="1">OFFSET(POrigin,MATCH(Valori[[#This Row],[LUKB_id]],PID,0),MATCH("LVAL",PLabel,0)-1,1,1)</f>
        <v>100.35000000000001</v>
      </c>
      <c r="Y71" s="1593" cm="1">
        <f t="array" aca="1" ref="Y71" ca="1">OFFSET(POrigin,MATCH(Valori[[#This Row],[LUKB_id]],PID,0),MATCH("LVAL:datetime",PLabel,0)-1,1,1)</f>
        <v>46084.706180555557</v>
      </c>
      <c r="Z71" s="1594" cm="1">
        <f t="array" aca="1" ref="Z71" ca="1">OFFSET(POrigin,MATCH(Valori[[#This Row],[LUKB_id]],PID,0),MATCH("BID:volume",PLabel,0)-1,1,1)</f>
        <v>100000</v>
      </c>
      <c r="AA71" s="1595" cm="1">
        <f t="array" aca="1" ref="AA71" ca="1">OFFSET(POrigin,MATCH(Valori[[#This Row],[LUKB_id]],PID,0),MATCH("BID",PLabel,0)-1,1,1)</f>
        <v>100.2</v>
      </c>
      <c r="AB71" s="1595" cm="1">
        <f t="array" aca="1" ref="AB71" ca="1">OFFSET(POrigin,MATCH(Valori[[#This Row],[LUKB_id]],PID,0),MATCH("ASK",PLabel,0)-1,1,1)</f>
        <v>100.7</v>
      </c>
      <c r="AC71" s="1594" cm="1">
        <f t="array" aca="1" ref="AC71" ca="1">OFFSET(POrigin,MATCH(Valori[[#This Row],[LUKB_id]],PID,0),MATCH("ASK:volume",PLabel,0)-1,1,1)</f>
        <v>100000</v>
      </c>
      <c r="AD71" s="1596" cm="1">
        <f t="array" aca="1" ref="AD71" ca="1">OFFSET(POrigin,MATCH(Valori[[#This Row],[LUKB_id]],PID,0),MATCH("BID-ASK Spread %",PLabel,0)-1,1,1)</f>
        <v>3.3211557622052474E-3</v>
      </c>
      <c r="AE71" s="1597" cm="1">
        <f t="array" aca="1" ref="AE71" ca="1">IF(OFFSET(POrigin,MATCH(Valori[[#This Row],[LUKB_id]],PID,0),MATCH("MATURITY",PLabel,0)-1,1,1)&gt;0,OFFSET(POrigin,MATCH(Valori[[#This Row],[LUKB_id]],PID,0),MATCH("MATURITY",PLabel,0)-1,1,1),"")</f>
        <v>48610</v>
      </c>
      <c r="AF71" s="1598" cm="1">
        <f t="array" aca="1" ref="AF71" ca="1">OFFSET(POrigin,MATCH(Valori[[#This Row],[LUKB_id]],PID,0),MATCH("ACCINT",PLabel,0)-1,1,1)</f>
        <v>0.10083333300000001</v>
      </c>
      <c r="AG71" s="1594" cm="1">
        <f t="array" aca="1" ref="AG71" ca="1">OFFSET(POrigin,MATCH(Valori[[#This Row],[LUKB_id]],PID,0),MATCH("DENOM",PLabel,0)-1,1,1)</f>
        <v>5000</v>
      </c>
      <c r="AH71" s="1599" cm="1">
        <f t="array" aca="1" ref="AH71" ca="1">(OFFSET(POrigin,MATCH(Valori[[#This Row],[LUKB_id]],PID,0),MATCH("YIELD",PLabel,0)-1,1,1)+OFFSET(POrigin,MATCH(Valori[[#This Row],[LUKB_id]],PID,0),MATCH("YLDEQ",PLabel,0)-1,1,1))/100</f>
        <v>9.495760360000001E-3</v>
      </c>
      <c r="AI71" s="1600">
        <f ca="1">OFFSET(POrigin,MATCH(Valori[[#This Row],[LUKB_id]],PID,0),MATCH("DIVIDEND",PLabel,0)-1,1,1)</f>
        <v>0</v>
      </c>
      <c r="AJ71" s="1601">
        <f ca="1">OFFSET(POrigin,MATCH(Valori[[#This Row],[LUKB_id]],PID,0),MATCH("DIVIDEND:datetime",PLabel,0)-1,1,1)</f>
        <v>0</v>
      </c>
      <c r="AK71" s="1602">
        <f ca="1">OFFSET(POrigin,MATCH(Valori[[#This Row],[LUKB_id]],PID,0),MATCH("INTEREST",PLabel,0)-1,1,1)</f>
        <v>1.1000000000000001</v>
      </c>
      <c r="AL71" s="1603">
        <f ca="1">OFFSET(POrigin,MATCH(Valori[[#This Row],[LUKB_id]],PID,0),MATCH("4W_PERF_PR",PLabel,0)-1,1,1)/100</f>
        <v>9.9750999999999985E-4</v>
      </c>
      <c r="AM71" s="1603">
        <f ca="1">OFFSET(POrigin,MATCH(Valori[[#This Row],[LUKB_id]],PID,0),MATCH("12W_PERF_PR",PLabel,0)-1,1,1)/100</f>
        <v>8.0361600000000005E-3</v>
      </c>
      <c r="AN71" s="1603">
        <f ca="1">OFFSET(POrigin,MATCH(Valori[[#This Row],[LUKB_id]],PID,0),MATCH("YTD_PERF_PR",PLabel,0)-1,1,1)/100</f>
        <v>1.76233635448136E-2</v>
      </c>
      <c r="AO71" s="1591"/>
      <c r="AP71" s="1591"/>
      <c r="AQ71" s="1591"/>
      <c r="AR71" s="1591"/>
      <c r="AS71" s="1890"/>
      <c r="AT71" s="1890"/>
      <c r="AU71" s="610"/>
      <c r="AV71" s="1891"/>
      <c r="AW71" s="1604" t="str">
        <f ca="1">"https://boersenundmaerkte.lukb.ch/lukb/details/"&amp;Valori[[#This Row],[LUKB_id]]</f>
        <v>https://boersenundmaerkte.lukb.ch/lukb/details/140006450,4,1</v>
      </c>
      <c r="AX7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1" s="142"/>
      <c r="AZ71" s="142"/>
      <c r="BA71" s="142"/>
      <c r="BB71" s="142"/>
    </row>
    <row r="72" spans="1:54" ht="15" customHeight="1" x14ac:dyDescent="0.2">
      <c r="A72" s="142" t="s">
        <v>1041</v>
      </c>
      <c r="B72" s="142" t="str" cm="1">
        <f t="array" aca="1" ref="B72" ca="1">OFFSET(POrigin,MATCH(Valori[[#This Row],[smo_id]],Posizioni[smo_id],0),MATCH("LUKB_id",PIntestazioni,0)-1,1,1)</f>
        <v>145773801,4,1</v>
      </c>
      <c r="C72" s="1668" t="str">
        <f ca="1">HYPERLINK("https://boersenundmaerkte.lukb.ch/lukb/details/"&amp;Valori[[#This Row],[LUKB_id]],"è")</f>
        <v>è</v>
      </c>
      <c r="D72" s="142" t="str" cm="1">
        <f t="array" aca="1" ref="D72" ca="1">OFFSET(POrigin,MATCH(Valori[[#This Row],[LUKB_id]],PID,0),MATCH("SC_GROUPED",PIntestazioni,0)-1,1,1)</f>
        <v>BON</v>
      </c>
      <c r="E72" s="413" t="str" cm="1">
        <f t="array" aca="1" ref="E72" ca="1">OFFSET(POrigin,MATCH(Valori[[#This Row],[LUKB_id]],PID,0),MATCH("isin",PIntestazioni,0)-1,1,1)</f>
        <v>CH1457738016</v>
      </c>
      <c r="F72" s="34" t="str" cm="1">
        <f t="array" aca="1" ref="F72" ca="1">OFFSET(POrigin,MATCH(Valori[[#This Row],[LUKB_id]],PID,0),MATCH("NSIN_CH",PLabel,0)-1,1,1)</f>
        <v>145773801</v>
      </c>
      <c r="G72" s="95" t="str" cm="1">
        <f t="array" aca="1" ref="G72" ca="1">IF(OFFSET(POrigin,MATCH(Valori[[#This Row],[LUKB_id]],PID,0),MATCH("INSTRUNIT",PLabel,0)-1,1,1)="Nominal","Pct","Unit")</f>
        <v>Pct</v>
      </c>
      <c r="H72" s="612">
        <f ca="1">MAX(OFFSET(POrigin,MATCH(Valori[[#This Row],[LUKB_id]],PID,0),MATCH("PRICINGAMT",PLabel,0)-1,1,1),1)</f>
        <v>1</v>
      </c>
      <c r="I72" s="615" t="str" cm="1">
        <f t="array" aca="1" ref="I72" ca="1">OFFSET(POrigin,MATCH(Valori[[#This Row],[LUKB_id]],PID,0),MATCH("M_NAME",PLabel,0)-1,1,1)</f>
        <v>0.92 SNCF 34 EMTN</v>
      </c>
      <c r="M72" s="142" t="str" cm="1">
        <f t="array" aca="1" ref="M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0.920 % Societe Nationale SNCF SA 26.06.34</v>
      </c>
      <c r="N72" s="1563">
        <f ca="1">COUNTIF('CHF M'!smo_id,Valori[[#This Row],[smo_id]])+COUNTIF('CHF MA'!smo_id,Valori[[#This Row],[smo_id]])+COUNTIF('EUR MB'!smo_id,Valori[[#This Row],[smo_id]])+COUNTIF('EUR M'!smo_id,Valori[[#This Row],[smo_id]])+COUNTIF(AGCO!smo_id,Valori[[#This Row],[smo_id]])</f>
        <v>0</v>
      </c>
      <c r="O72" s="1590" cm="1">
        <f t="array" aca="1" ref="O72" ca="1">SUM(IF('CHF M'!smo_id=Valori[[#This Row],[smo_id]],'CHF M'!Posizione))+SUM(IF('CHF MA'!smo_id=Valori[[#This Row],[smo_id]],'CHF MA'!Posizione))+SUM(IF('EUR MB'!smo_id=Valori[[#This Row],[smo_id]],'EUR MB'!Posizione))+SUM(IF('EUR M'!smo_id=Valori[[#This Row],[smo_id]],'EUR M'!Posizione))+SUM(IF(AGCO!smo_id=Valori[[#This Row],[smo_id]],AGCO!Posizione))</f>
        <v>0</v>
      </c>
      <c r="P72" s="1661" t="str">
        <f ca="1">HYPERLINK(Valori[[#This Row],[P_Source]],"è")</f>
        <v>è</v>
      </c>
      <c r="Q72" s="1663" t="str">
        <f>HYPERLINK(Valori[[#This Row],[Info_W]],"i")</f>
        <v>i</v>
      </c>
      <c r="R72" s="1664" t="str">
        <f>HYPERLINK(Valori[[#This Row],[FN_W]],"")</f>
        <v></v>
      </c>
      <c r="S72" s="1665" t="str">
        <f>HYPERLINK(Valori[[#This Row],[MS_Link]],"")</f>
        <v></v>
      </c>
      <c r="T72" s="1665" t="str">
        <f>HYPERLINK(Valori[[#This Row],[C_source]],"")</f>
        <v></v>
      </c>
      <c r="U72" s="142" t="str" cm="1">
        <f t="array" aca="1" ref="U72" ca="1">OFFSET(POrigin,MATCH(Valori[[#This Row],[LUKB_id]],PID,0),MATCH("M_CUR",PLabel,0)-1,1,1)</f>
        <v>CHF</v>
      </c>
      <c r="V72" s="1562">
        <f ca="1">(Valori[[#This Row],[Last]]+Valori[[#This Row],[Acc. Int]])/Valori[[#This Row],[Pr.Amt]]/IF(Valori[[#This Row],[P_Type]]="Pct",100,1)</f>
        <v>0.99631222222000004</v>
      </c>
      <c r="W72" s="1591" cm="1">
        <f t="array" aca="1" ref="W72" ca="1">OFFSET(POrigin,MATCH(Valori[[#This Row],[LUKB_id]],PID,0),MATCH("NC2_PR",PLabel,0)-1,1,1)/100</f>
        <v>-9.0090090090090003E-3</v>
      </c>
      <c r="X72" s="1592" cm="1">
        <f t="array" aca="1" ref="X72" ca="1">OFFSET(POrigin,MATCH(Valori[[#This Row],[LUKB_id]],PID,0),MATCH("LVAL",PLabel,0)-1,1,1)</f>
        <v>99</v>
      </c>
      <c r="Y72" s="1593" cm="1">
        <f t="array" aca="1" ref="Y72" ca="1">OFFSET(POrigin,MATCH(Valori[[#This Row],[LUKB_id]],PID,0),MATCH("LVAL:datetime",PLabel,0)-1,1,1)</f>
        <v>46084.601736111108</v>
      </c>
      <c r="Z72" s="1594" cm="1">
        <f t="array" aca="1" ref="Z72" ca="1">OFFSET(POrigin,MATCH(Valori[[#This Row],[LUKB_id]],PID,0),MATCH("BID:volume",PLabel,0)-1,1,1)</f>
        <v>100000</v>
      </c>
      <c r="AA72" s="1595" cm="1">
        <f t="array" aca="1" ref="AA72" ca="1">OFFSET(POrigin,MATCH(Valori[[#This Row],[LUKB_id]],PID,0),MATCH("BID",PLabel,0)-1,1,1)</f>
        <v>98.75</v>
      </c>
      <c r="AB72" s="1595" cm="1">
        <f t="array" aca="1" ref="AB72" ca="1">OFFSET(POrigin,MATCH(Valori[[#This Row],[LUKB_id]],PID,0),MATCH("ASK",PLabel,0)-1,1,1)</f>
        <v>99.300000000000011</v>
      </c>
      <c r="AC72" s="1594" cm="1">
        <f t="array" aca="1" ref="AC72" ca="1">OFFSET(POrigin,MATCH(Valori[[#This Row],[LUKB_id]],PID,0),MATCH("ASK:volume",PLabel,0)-1,1,1)</f>
        <v>5000</v>
      </c>
      <c r="AD72" s="1596" cm="1">
        <f t="array" aca="1" ref="AD72" ca="1">OFFSET(POrigin,MATCH(Valori[[#This Row],[LUKB_id]],PID,0),MATCH("BID-ASK Spread %",PLabel,0)-1,1,1)</f>
        <v>3.7061994609165184E-3</v>
      </c>
      <c r="AE72" s="1597" cm="1">
        <f t="array" aca="1" ref="AE72" ca="1">IF(OFFSET(POrigin,MATCH(Valori[[#This Row],[LUKB_id]],PID,0),MATCH("MATURITY",PLabel,0)-1,1,1)&gt;0,OFFSET(POrigin,MATCH(Valori[[#This Row],[LUKB_id]],PID,0),MATCH("MATURITY",PLabel,0)-1,1,1),"")</f>
        <v>49121</v>
      </c>
      <c r="AF72" s="1598" cm="1">
        <f t="array" aca="1" ref="AF72" ca="1">OFFSET(POrigin,MATCH(Valori[[#This Row],[LUKB_id]],PID,0),MATCH("ACCINT",PLabel,0)-1,1,1)</f>
        <v>0.631222222</v>
      </c>
      <c r="AG72" s="1594" cm="1">
        <f t="array" aca="1" ref="AG72" ca="1">OFFSET(POrigin,MATCH(Valori[[#This Row],[LUKB_id]],PID,0),MATCH("DENOM",PLabel,0)-1,1,1)</f>
        <v>5000</v>
      </c>
      <c r="AH72" s="1599" cm="1">
        <f t="array" aca="1" ref="AH72" ca="1">(OFFSET(POrigin,MATCH(Valori[[#This Row],[LUKB_id]],PID,0),MATCH("YIELD",PLabel,0)-1,1,1)+OFFSET(POrigin,MATCH(Valori[[#This Row],[LUKB_id]],PID,0),MATCH("YLDEQ",PLabel,0)-1,1,1))/100</f>
        <v>9.5132103799999996E-3</v>
      </c>
      <c r="AI72" s="1600">
        <f ca="1">OFFSET(POrigin,MATCH(Valori[[#This Row],[LUKB_id]],PID,0),MATCH("DIVIDEND",PLabel,0)-1,1,1)</f>
        <v>0</v>
      </c>
      <c r="AJ72" s="1601">
        <f ca="1">OFFSET(POrigin,MATCH(Valori[[#This Row],[LUKB_id]],PID,0),MATCH("DIVIDEND:datetime",PLabel,0)-1,1,1)</f>
        <v>0</v>
      </c>
      <c r="AK72" s="1602">
        <f ca="1">OFFSET(POrigin,MATCH(Valori[[#This Row],[LUKB_id]],PID,0),MATCH("INTEREST",PLabel,0)-1,1,1)</f>
        <v>0.92</v>
      </c>
      <c r="AL72" s="1603">
        <f ca="1">OFFSET(POrigin,MATCH(Valori[[#This Row],[LUKB_id]],PID,0),MATCH("4W_PERF_PR",PLabel,0)-1,1,1)/100</f>
        <v>3.5479000000000005E-3</v>
      </c>
      <c r="AM72" s="1603">
        <f ca="1">OFFSET(POrigin,MATCH(Valori[[#This Row],[LUKB_id]],PID,0),MATCH("12W_PERF_PR",PLabel,0)-1,1,1)/100</f>
        <v>1.5243902439024399E-2</v>
      </c>
      <c r="AN72" s="1603">
        <f ca="1">OFFSET(POrigin,MATCH(Valori[[#This Row],[LUKB_id]],PID,0),MATCH("YTD_PERF_PR",PLabel,0)-1,1,1)/100</f>
        <v>2.7777777777777901E-2</v>
      </c>
      <c r="AO72" s="1591"/>
      <c r="AP72" s="1591"/>
      <c r="AQ72" s="1591"/>
      <c r="AR72" s="1591"/>
      <c r="AS72" s="1890"/>
      <c r="AT72" s="1890"/>
      <c r="AU72" s="610"/>
      <c r="AV72" s="1891"/>
      <c r="AW72" s="1604" t="str">
        <f ca="1">"https://boersenundmaerkte.lukb.ch/lukb/details/"&amp;Valori[[#This Row],[LUKB_id]]</f>
        <v>https://boersenundmaerkte.lukb.ch/lukb/details/145773801,4,1</v>
      </c>
      <c r="AX7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2" s="142"/>
      <c r="AZ72" s="142"/>
      <c r="BA72" s="142"/>
      <c r="BB72" s="142"/>
    </row>
    <row r="73" spans="1:54" ht="15" customHeight="1" x14ac:dyDescent="0.2">
      <c r="A73" s="142" t="s">
        <v>1042</v>
      </c>
      <c r="B73" s="142" t="str" cm="1">
        <f t="array" aca="1" ref="B73" ca="1">OFFSET(POrigin,MATCH(Valori[[#This Row],[smo_id]],Posizioni[smo_id],0),MATCH("LUKB_id",PIntestazioni,0)-1,1,1)</f>
        <v>49315636,16,814</v>
      </c>
      <c r="C73" s="1668" t="str">
        <f ca="1">HYPERLINK("https://boersenundmaerkte.lukb.ch/lukb/details/"&amp;Valori[[#This Row],[LUKB_id]],"è")</f>
        <v>è</v>
      </c>
      <c r="D73" s="142" t="str" cm="1">
        <f t="array" aca="1" ref="D73" ca="1">OFFSET(POrigin,MATCH(Valori[[#This Row],[LUKB_id]],PID,0),MATCH("SC_GROUPED",PIntestazioni,0)-1,1,1)</f>
        <v>BON</v>
      </c>
      <c r="E73" s="413" t="str" cm="1">
        <f t="array" aca="1" ref="E73" ca="1">OFFSET(POrigin,MATCH(Valori[[#This Row],[LUKB_id]],PID,0),MATCH("isin",PIntestazioni,0)-1,1,1)</f>
        <v>DE000A2YNZY4</v>
      </c>
      <c r="F73" s="34" t="str" cm="1">
        <f t="array" aca="1" ref="F73" ca="1">OFFSET(POrigin,MATCH(Valori[[#This Row],[LUKB_id]],PID,0),MATCH("NSIN_CH",PLabel,0)-1,1,1)</f>
        <v>49315636</v>
      </c>
      <c r="G73" s="95" t="str" cm="1">
        <f t="array" aca="1" ref="G73" ca="1">IF(OFFSET(POrigin,MATCH(Valori[[#This Row],[LUKB_id]],PID,0),MATCH("INSTRUNIT",PLabel,0)-1,1,1)="Nominal","Pct","Unit")</f>
        <v>Pct</v>
      </c>
      <c r="H73" s="612">
        <f ca="1">MAX(OFFSET(POrigin,MATCH(Valori[[#This Row],[LUKB_id]],PID,0),MATCH("PRICINGAMT",PLabel,0)-1,1,1),1)</f>
        <v>1</v>
      </c>
      <c r="I73" s="615" t="str" cm="1">
        <f t="array" aca="1" ref="I73" ca="1">OFFSET(POrigin,MATCH(Valori[[#This Row],[LUKB_id]],PID,0),MATCH("M_NAME",PLabel,0)-1,1,1)</f>
        <v>1.125 Mercedes34 86</v>
      </c>
      <c r="M73" s="142" t="str" cm="1">
        <f t="array" aca="1" ref="M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Mercedes-Benz Group AG 08.08.34</v>
      </c>
      <c r="N73" s="1563">
        <f ca="1">COUNTIF('CHF M'!smo_id,Valori[[#This Row],[smo_id]])+COUNTIF('CHF MA'!smo_id,Valori[[#This Row],[smo_id]])+COUNTIF('EUR MB'!smo_id,Valori[[#This Row],[smo_id]])+COUNTIF('EUR M'!smo_id,Valori[[#This Row],[smo_id]])+COUNTIF(AGCO!smo_id,Valori[[#This Row],[smo_id]])</f>
        <v>1</v>
      </c>
      <c r="O73" s="1590" cm="1">
        <f t="array" aca="1" ref="O73" ca="1">SUM(IF('CHF M'!smo_id=Valori[[#This Row],[smo_id]],'CHF M'!Posizione))+SUM(IF('CHF MA'!smo_id=Valori[[#This Row],[smo_id]],'CHF MA'!Posizione))+SUM(IF('EUR MB'!smo_id=Valori[[#This Row],[smo_id]],'EUR MB'!Posizione))+SUM(IF('EUR M'!smo_id=Valori[[#This Row],[smo_id]],'EUR M'!Posizione))+SUM(IF(AGCO!smo_id=Valori[[#This Row],[smo_id]],AGCO!Posizione))</f>
        <v>65000</v>
      </c>
      <c r="P73" s="1661" t="str">
        <f ca="1">HYPERLINK(Valori[[#This Row],[P_Source]],"è")</f>
        <v>è</v>
      </c>
      <c r="Q73" s="1663" t="str">
        <f>HYPERLINK(Valori[[#This Row],[Info_W]],"i")</f>
        <v>i</v>
      </c>
      <c r="R73" s="1664" t="str">
        <f>HYPERLINK(Valori[[#This Row],[FN_W]],"")</f>
        <v></v>
      </c>
      <c r="S73" s="1665" t="str">
        <f>HYPERLINK(Valori[[#This Row],[MS_Link]],"")</f>
        <v></v>
      </c>
      <c r="T73" s="1665" t="str">
        <f>HYPERLINK(Valori[[#This Row],[C_source]],"")</f>
        <v></v>
      </c>
      <c r="U73" s="142" t="str" cm="1">
        <f t="array" aca="1" ref="U73" ca="1">OFFSET(POrigin,MATCH(Valori[[#This Row],[LUKB_id]],PID,0),MATCH("M_CUR",PLabel,0)-1,1,1)</f>
        <v>EUR</v>
      </c>
      <c r="V73" s="1562">
        <f ca="1">(Valori[[#This Row],[Last]]+Valori[[#This Row],[Acc. Int]])/Valori[[#This Row],[Pr.Amt]]/IF(Valori[[#This Row],[P_Type]]="Pct",100,1)</f>
        <v>0.84031013699000001</v>
      </c>
      <c r="W73" s="1591" cm="1">
        <f t="array" aca="1" ref="W73" ca="1">OFFSET(POrigin,MATCH(Valori[[#This Row],[LUKB_id]],PID,0),MATCH("NC2_PR",PLabel,0)-1,1,1)/100</f>
        <v>-6.0429082240763994E-3</v>
      </c>
      <c r="X73" s="1592" cm="1">
        <f t="array" aca="1" ref="X73" ca="1">OFFSET(POrigin,MATCH(Valori[[#This Row],[LUKB_id]],PID,0),MATCH("LVAL",PLabel,0)-1,1,1)</f>
        <v>83.393000000000001</v>
      </c>
      <c r="Y73" s="1593" cm="1">
        <f t="array" aca="1" ref="Y73" ca="1">OFFSET(POrigin,MATCH(Valori[[#This Row],[LUKB_id]],PID,0),MATCH("LVAL:datetime",PLabel,0)-1,1,1)</f>
        <v>46084.754837962966</v>
      </c>
      <c r="Z73" s="1594" cm="1">
        <f t="array" aca="1" ref="Z73" ca="1">OFFSET(POrigin,MATCH(Valori[[#This Row],[LUKB_id]],PID,0),MATCH("BID:volume",PLabel,0)-1,1,1)</f>
        <v>1000000</v>
      </c>
      <c r="AA73" s="1595" cm="1">
        <f t="array" aca="1" ref="AA73" ca="1">OFFSET(POrigin,MATCH(Valori[[#This Row],[LUKB_id]],PID,0),MATCH("BID",PLabel,0)-1,1,1)</f>
        <v>83.393000000000001</v>
      </c>
      <c r="AB73" s="1595" cm="1">
        <f t="array" aca="1" ref="AB73" ca="1">OFFSET(POrigin,MATCH(Valori[[#This Row],[LUKB_id]],PID,0),MATCH("ASK",PLabel,0)-1,1,1)</f>
        <v>83.722999999999999</v>
      </c>
      <c r="AC73" s="1594" cm="1">
        <f t="array" aca="1" ref="AC73" ca="1">OFFSET(POrigin,MATCH(Valori[[#This Row],[LUKB_id]],PID,0),MATCH("ASK:volume",PLabel,0)-1,1,1)</f>
        <v>1000000</v>
      </c>
      <c r="AD73" s="1596" cm="1">
        <f t="array" aca="1" ref="AD73" ca="1">OFFSET(POrigin,MATCH(Valori[[#This Row],[LUKB_id]],PID,0),MATCH("BID-ASK Spread %",PLabel,0)-1,1,1)</f>
        <v>2.6346358813455666E-3</v>
      </c>
      <c r="AE73" s="1597" cm="1">
        <f t="array" aca="1" ref="AE73" ca="1">IF(OFFSET(POrigin,MATCH(Valori[[#This Row],[LUKB_id]],PID,0),MATCH("MATURITY",PLabel,0)-1,1,1)&gt;0,OFFSET(POrigin,MATCH(Valori[[#This Row],[LUKB_id]],PID,0),MATCH("MATURITY",PLabel,0)-1,1,1),"")</f>
        <v>49164</v>
      </c>
      <c r="AF73" s="1598" cm="1">
        <f t="array" aca="1" ref="AF73" ca="1">OFFSET(POrigin,MATCH(Valori[[#This Row],[LUKB_id]],PID,0),MATCH("ACCINT",PLabel,0)-1,1,1)</f>
        <v>0.63801369900000005</v>
      </c>
      <c r="AG73" s="1594" cm="1">
        <f t="array" aca="1" ref="AG73" ca="1">OFFSET(POrigin,MATCH(Valori[[#This Row],[LUKB_id]],PID,0),MATCH("DENOM",PLabel,0)-1,1,1)</f>
        <v>1000</v>
      </c>
      <c r="AH73" s="1599" cm="1">
        <f t="array" aca="1" ref="AH73" ca="1">(OFFSET(POrigin,MATCH(Valori[[#This Row],[LUKB_id]],PID,0),MATCH("YIELD",PLabel,0)-1,1,1)+OFFSET(POrigin,MATCH(Valori[[#This Row],[LUKB_id]],PID,0),MATCH("YLDEQ",PLabel,0)-1,1,1))/100</f>
        <v>3.3486405780000006E-2</v>
      </c>
      <c r="AI73" s="1600">
        <f ca="1">OFFSET(POrigin,MATCH(Valori[[#This Row],[LUKB_id]],PID,0),MATCH("DIVIDEND",PLabel,0)-1,1,1)</f>
        <v>0</v>
      </c>
      <c r="AJ73" s="1601">
        <f ca="1">OFFSET(POrigin,MATCH(Valori[[#This Row],[LUKB_id]],PID,0),MATCH("DIVIDEND:datetime",PLabel,0)-1,1,1)</f>
        <v>0</v>
      </c>
      <c r="AK73" s="1602">
        <f ca="1">OFFSET(POrigin,MATCH(Valori[[#This Row],[LUKB_id]],PID,0),MATCH("INTEREST",PLabel,0)-1,1,1)</f>
        <v>1.125</v>
      </c>
      <c r="AL73" s="1603">
        <f ca="1">OFFSET(POrigin,MATCH(Valori[[#This Row],[LUKB_id]],PID,0),MATCH("4W_PERF_PR",PLabel,0)-1,1,1)/100</f>
        <v>2.4853032547914001E-3</v>
      </c>
      <c r="AM73" s="1603">
        <f ca="1">OFFSET(POrigin,MATCH(Valori[[#This Row],[LUKB_id]],PID,0),MATCH("12W_PERF_PR",PLabel,0)-1,1,1)/100</f>
        <v>2.1440829999999998E-2</v>
      </c>
      <c r="AN73" s="1603">
        <f ca="1">OFFSET(POrigin,MATCH(Valori[[#This Row],[LUKB_id]],PID,0),MATCH("YTD_PERF_PR",PLabel,0)-1,1,1)/100</f>
        <v>2.4875621890547501E-2</v>
      </c>
      <c r="AO73" s="1591"/>
      <c r="AP73" s="1591"/>
      <c r="AQ73" s="1591"/>
      <c r="AR73" s="1591"/>
      <c r="AS73" s="1890"/>
      <c r="AT73" s="1890"/>
      <c r="AU73" s="610"/>
      <c r="AV73" s="1891"/>
      <c r="AW73" s="1604" t="str">
        <f ca="1">"https://boersenundmaerkte.lukb.ch/lukb/details/"&amp;Valori[[#This Row],[LUKB_id]]</f>
        <v>https://boersenundmaerkte.lukb.ch/lukb/details/49315636,16,814</v>
      </c>
      <c r="AX7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3" s="142"/>
      <c r="AZ73" s="142"/>
      <c r="BA73" s="142"/>
      <c r="BB73" s="142"/>
    </row>
    <row r="74" spans="1:54" ht="15" customHeight="1" x14ac:dyDescent="0.2">
      <c r="A74" s="142" t="s">
        <v>1043</v>
      </c>
      <c r="B74" s="142" t="str" cm="1">
        <f t="array" aca="1" ref="B74" ca="1">OFFSET(POrigin,MATCH(Valori[[#This Row],[smo_id]],Posizioni[smo_id],0),MATCH("LUKB_id",PIntestazioni,0)-1,1,1)</f>
        <v>140006457,4,1</v>
      </c>
      <c r="C74" s="1668" t="str">
        <f ca="1">HYPERLINK("https://boersenundmaerkte.lukb.ch/lukb/details/"&amp;Valori[[#This Row],[LUKB_id]],"è")</f>
        <v>è</v>
      </c>
      <c r="D74" s="142" t="str" cm="1">
        <f t="array" aca="1" ref="D74" ca="1">OFFSET(POrigin,MATCH(Valori[[#This Row],[LUKB_id]],PID,0),MATCH("SC_GROUPED",PIntestazioni,0)-1,1,1)</f>
        <v>BON</v>
      </c>
      <c r="E74" s="413" t="str" cm="1">
        <f t="array" aca="1" ref="E74" ca="1">OFFSET(POrigin,MATCH(Valori[[#This Row],[LUKB_id]],PID,0),MATCH("isin",PIntestazioni,0)-1,1,1)</f>
        <v>CH1400064577</v>
      </c>
      <c r="F74" s="34" t="str" cm="1">
        <f t="array" aca="1" ref="F74" ca="1">OFFSET(POrigin,MATCH(Valori[[#This Row],[LUKB_id]],PID,0),MATCH("NSIN_CH",PLabel,0)-1,1,1)</f>
        <v>140006457</v>
      </c>
      <c r="G74" s="95" t="str" cm="1">
        <f t="array" aca="1" ref="G74" ca="1">IF(OFFSET(POrigin,MATCH(Valori[[#This Row],[LUKB_id]],PID,0),MATCH("INSTRUNIT",PLabel,0)-1,1,1)="Nominal","Pct","Unit")</f>
        <v>Pct</v>
      </c>
      <c r="H74" s="612">
        <f ca="1">MAX(OFFSET(POrigin,MATCH(Valori[[#This Row],[LUKB_id]],PID,0),MATCH("PRICINGAMT",PLabel,0)-1,1,1),1)</f>
        <v>1</v>
      </c>
      <c r="I74" s="615" t="str" cm="1">
        <f t="array" aca="1" ref="I74" ca="1">OFFSET(POrigin,MATCH(Valori[[#This Row],[LUKB_id]],PID,0),MATCH("M_NAME",PLabel,0)-1,1,1)</f>
        <v>2.1 Barry Cal35 Bds</v>
      </c>
      <c r="M74" s="142" t="str" cm="1">
        <f t="array" aca="1" ref="M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2.100 % Barry Callebaut AG 22.01.35</v>
      </c>
      <c r="N74" s="1563">
        <f ca="1">COUNTIF('CHF M'!smo_id,Valori[[#This Row],[smo_id]])+COUNTIF('CHF MA'!smo_id,Valori[[#This Row],[smo_id]])+COUNTIF('EUR MB'!smo_id,Valori[[#This Row],[smo_id]])+COUNTIF('EUR M'!smo_id,Valori[[#This Row],[smo_id]])+COUNTIF(AGCO!smo_id,Valori[[#This Row],[smo_id]])</f>
        <v>1</v>
      </c>
      <c r="O74" s="1590">
        <v>50050</v>
      </c>
      <c r="P74" s="1661" t="str">
        <f ca="1">HYPERLINK(Valori[[#This Row],[P_Source]],"è")</f>
        <v>è</v>
      </c>
      <c r="Q74" s="1663" t="str">
        <f>HYPERLINK(Valori[[#This Row],[Info_W]],"i")</f>
        <v>i</v>
      </c>
      <c r="R74" s="1664" t="str">
        <f>HYPERLINK(Valori[[#This Row],[FN_W]],"")</f>
        <v></v>
      </c>
      <c r="S74" s="1665" t="str">
        <f>HYPERLINK(Valori[[#This Row],[MS_Link]],"")</f>
        <v></v>
      </c>
      <c r="T74" s="1665" t="str">
        <f>HYPERLINK(Valori[[#This Row],[C_source]],"")</f>
        <v></v>
      </c>
      <c r="U74" s="142" t="str" cm="1">
        <f t="array" aca="1" ref="U74" ca="1">OFFSET(POrigin,MATCH(Valori[[#This Row],[LUKB_id]],PID,0),MATCH("M_CUR",PLabel,0)-1,1,1)</f>
        <v>CHF</v>
      </c>
      <c r="V74" s="1562">
        <f ca="1">(Valori[[#This Row],[Last]]+Valori[[#This Row],[Acc. Int]])/Valori[[#This Row],[Pr.Amt]]/IF(Valori[[#This Row],[P_Type]]="Pct",100,1)</f>
        <v>1.0388916666700001</v>
      </c>
      <c r="W74" s="1591" cm="1">
        <f t="array" aca="1" ref="W74" ca="1">OFFSET(POrigin,MATCH(Valori[[#This Row],[LUKB_id]],PID,0),MATCH("NC2_PR",PLabel,0)-1,1,1)/100</f>
        <v>-5.7553956834532002E-3</v>
      </c>
      <c r="X74" s="1592" cm="1">
        <f t="array" aca="1" ref="X74" ca="1">OFFSET(POrigin,MATCH(Valori[[#This Row],[LUKB_id]],PID,0),MATCH("LVAL",PLabel,0)-1,1,1)</f>
        <v>103.65</v>
      </c>
      <c r="Y74" s="1593" cm="1">
        <f t="array" aca="1" ref="Y74" ca="1">OFFSET(POrigin,MATCH(Valori[[#This Row],[LUKB_id]],PID,0),MATCH("LVAL:datetime",PLabel,0)-1,1,1)</f>
        <v>46084.663310185184</v>
      </c>
      <c r="Z74" s="1594" cm="1">
        <f t="array" aca="1" ref="Z74" ca="1">OFFSET(POrigin,MATCH(Valori[[#This Row],[LUKB_id]],PID,0),MATCH("BID:volume",PLabel,0)-1,1,1)</f>
        <v>50000</v>
      </c>
      <c r="AA74" s="1595" cm="1">
        <f t="array" aca="1" ref="AA74" ca="1">OFFSET(POrigin,MATCH(Valori[[#This Row],[LUKB_id]],PID,0),MATCH("BID",PLabel,0)-1,1,1)</f>
        <v>103</v>
      </c>
      <c r="AB74" s="1595" cm="1">
        <f t="array" aca="1" ref="AB74" ca="1">OFFSET(POrigin,MATCH(Valori[[#This Row],[LUKB_id]],PID,0),MATCH("ASK",PLabel,0)-1,1,1)</f>
        <v>104.4</v>
      </c>
      <c r="AC74" s="1594" cm="1">
        <f t="array" aca="1" ref="AC74" ca="1">OFFSET(POrigin,MATCH(Valori[[#This Row],[LUKB_id]],PID,0),MATCH("ASK:volume",PLabel,0)-1,1,1)</f>
        <v>100000</v>
      </c>
      <c r="AD74" s="1596" cm="1">
        <f t="array" aca="1" ref="AD74" ca="1">OFFSET(POrigin,MATCH(Valori[[#This Row],[LUKB_id]],PID,0),MATCH("BID-ASK Spread %",PLabel,0)-1,1,1)</f>
        <v>9.0206185567010683E-3</v>
      </c>
      <c r="AE74" s="1597" cm="1">
        <f t="array" aca="1" ref="AE74" ca="1">IF(OFFSET(POrigin,MATCH(Valori[[#This Row],[LUKB_id]],PID,0),MATCH("MATURITY",PLabel,0)-1,1,1)&gt;0,OFFSET(POrigin,MATCH(Valori[[#This Row],[LUKB_id]],PID,0),MATCH("MATURITY",PLabel,0)-1,1,1),"")</f>
        <v>49331</v>
      </c>
      <c r="AF74" s="1598" cm="1">
        <f t="array" aca="1" ref="AF74" ca="1">OFFSET(POrigin,MATCH(Valori[[#This Row],[LUKB_id]],PID,0),MATCH("ACCINT",PLabel,0)-1,1,1)</f>
        <v>0.23916666700000003</v>
      </c>
      <c r="AG74" s="1594" cm="1">
        <f t="array" aca="1" ref="AG74" ca="1">OFFSET(POrigin,MATCH(Valori[[#This Row],[LUKB_id]],PID,0),MATCH("DENOM",PLabel,0)-1,1,1)</f>
        <v>5000</v>
      </c>
      <c r="AH74" s="1599" cm="1">
        <f t="array" aca="1" ref="AH74" ca="1">(OFFSET(POrigin,MATCH(Valori[[#This Row],[LUKB_id]],PID,0),MATCH("YIELD",PLabel,0)-1,1,1)+OFFSET(POrigin,MATCH(Valori[[#This Row],[LUKB_id]],PID,0),MATCH("YLDEQ",PLabel,0)-1,1,1))/100</f>
        <v>1.5830169450000001E-2</v>
      </c>
      <c r="AI74" s="1600">
        <f ca="1">OFFSET(POrigin,MATCH(Valori[[#This Row],[LUKB_id]],PID,0),MATCH("DIVIDEND",PLabel,0)-1,1,1)</f>
        <v>0</v>
      </c>
      <c r="AJ74" s="1601">
        <f ca="1">OFFSET(POrigin,MATCH(Valori[[#This Row],[LUKB_id]],PID,0),MATCH("DIVIDEND:datetime",PLabel,0)-1,1,1)</f>
        <v>0</v>
      </c>
      <c r="AK74" s="1602">
        <f ca="1">OFFSET(POrigin,MATCH(Valori[[#This Row],[LUKB_id]],PID,0),MATCH("INTEREST",PLabel,0)-1,1,1)</f>
        <v>2.1</v>
      </c>
      <c r="AL74" s="1603">
        <f ca="1">OFFSET(POrigin,MATCH(Valori[[#This Row],[LUKB_id]],PID,0),MATCH("4W_PERF_PR",PLabel,0)-1,1,1)/100</f>
        <v>1.0726469999999998E-2</v>
      </c>
      <c r="AM74" s="1603">
        <f ca="1">OFFSET(POrigin,MATCH(Valori[[#This Row],[LUKB_id]],PID,0),MATCH("12W_PERF_PR",PLabel,0)-1,1,1)/100</f>
        <v>2.6237619999999996E-2</v>
      </c>
      <c r="AN74" s="1603">
        <f ca="1">OFFSET(POrigin,MATCH(Valori[[#This Row],[LUKB_id]],PID,0),MATCH("YTD_PERF_PR",PLabel,0)-1,1,1)/100</f>
        <v>3.7313432835821003E-2</v>
      </c>
      <c r="AO74" s="1591"/>
      <c r="AP74" s="1591"/>
      <c r="AQ74" s="1591"/>
      <c r="AR74" s="1591"/>
      <c r="AS74" s="1890"/>
      <c r="AT74" s="1890"/>
      <c r="AU74" s="610"/>
      <c r="AV74" s="1891"/>
      <c r="AW74" s="1604" t="str">
        <f ca="1">"https://boersenundmaerkte.lukb.ch/lukb/details/"&amp;Valori[[#This Row],[LUKB_id]]</f>
        <v>https://boersenundmaerkte.lukb.ch/lukb/details/140006457,4,1</v>
      </c>
      <c r="AX7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4" s="142"/>
      <c r="AZ74" s="142"/>
      <c r="BA74" s="142"/>
      <c r="BB74" s="142"/>
    </row>
    <row r="75" spans="1:54" ht="15" customHeight="1" x14ac:dyDescent="0.2">
      <c r="A75" s="142" t="s">
        <v>1044</v>
      </c>
      <c r="B75" s="142" t="str" cm="1">
        <f t="array" aca="1" ref="B75" ca="1">OFFSET(POrigin,MATCH(Valori[[#This Row],[smo_id]],Posizioni[smo_id],0),MATCH("LUKB_id",PIntestazioni,0)-1,1,1)</f>
        <v>55823624,13,814</v>
      </c>
      <c r="C75" s="1668" t="str">
        <f ca="1">HYPERLINK("https://boersenundmaerkte.lukb.ch/lukb/details/"&amp;Valori[[#This Row],[LUKB_id]],"è")</f>
        <v>è</v>
      </c>
      <c r="D75" s="142" t="str" cm="1">
        <f t="array" aca="1" ref="D75" ca="1">OFFSET(POrigin,MATCH(Valori[[#This Row],[LUKB_id]],PID,0),MATCH("SC_GROUPED",PIntestazioni,0)-1,1,1)</f>
        <v>BON</v>
      </c>
      <c r="E75" s="413" t="str" cm="1">
        <f t="array" aca="1" ref="E75" ca="1">OFFSET(POrigin,MATCH(Valori[[#This Row],[LUKB_id]],PID,0),MATCH("isin",PIntestazioni,0)-1,1,1)</f>
        <v>DE000NWB0AK3</v>
      </c>
      <c r="F75" s="34" t="str" cm="1">
        <f t="array" aca="1" ref="F75" ca="1">OFFSET(POrigin,MATCH(Valori[[#This Row],[LUKB_id]],PID,0),MATCH("NSIN_CH",PLabel,0)-1,1,1)</f>
        <v>55823624</v>
      </c>
      <c r="G75" s="95" t="str" cm="1">
        <f t="array" aca="1" ref="G75" ca="1">IF(OFFSET(POrigin,MATCH(Valori[[#This Row],[LUKB_id]],PID,0),MATCH("INSTRUNIT",PLabel,0)-1,1,1)="Nominal","Pct","Unit")</f>
        <v>Pct</v>
      </c>
      <c r="H75" s="612">
        <f ca="1">MAX(OFFSET(POrigin,MATCH(Valori[[#This Row],[LUKB_id]],PID,0),MATCH("PRICINGAMT",PLabel,0)-1,1,1),1)</f>
        <v>1</v>
      </c>
      <c r="I75" s="615" t="str" cm="1">
        <f t="array" aca="1" ref="I75" ca="1">OFFSET(POrigin,MATCH(Valori[[#This Row],[LUKB_id]],PID,0),MATCH("M_NAME",PLabel,0)-1,1,1)</f>
        <v>0.1 NRWB 35 810 1</v>
      </c>
      <c r="M75" s="142" t="str" cm="1">
        <f t="array" aca="1" ref="M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0.100 % NRW.BANK 09.07.35</v>
      </c>
      <c r="N75" s="1563">
        <f ca="1">COUNTIF('CHF M'!smo_id,Valori[[#This Row],[smo_id]])+COUNTIF('CHF MA'!smo_id,Valori[[#This Row],[smo_id]])+COUNTIF('EUR MB'!smo_id,Valori[[#This Row],[smo_id]])+COUNTIF('EUR M'!smo_id,Valori[[#This Row],[smo_id]])+COUNTIF(AGCO!smo_id,Valori[[#This Row],[smo_id]])</f>
        <v>0</v>
      </c>
      <c r="O75" s="1590" cm="1">
        <f t="array" aca="1" ref="O75" ca="1">SUM(IF('CHF M'!smo_id=Valori[[#This Row],[smo_id]],'CHF M'!Posizione))+SUM(IF('CHF MA'!smo_id=Valori[[#This Row],[smo_id]],'CHF MA'!Posizione))+SUM(IF('EUR MB'!smo_id=Valori[[#This Row],[smo_id]],'EUR MB'!Posizione))+SUM(IF('EUR M'!smo_id=Valori[[#This Row],[smo_id]],'EUR M'!Posizione))+SUM(IF(AGCO!smo_id=Valori[[#This Row],[smo_id]],AGCO!Posizione))</f>
        <v>0</v>
      </c>
      <c r="P75" s="1661" t="str">
        <f ca="1">HYPERLINK(Valori[[#This Row],[P_Source]],"è")</f>
        <v>è</v>
      </c>
      <c r="Q75" s="1663" t="str">
        <f>HYPERLINK(Valori[[#This Row],[Info_W]],"i")</f>
        <v>i</v>
      </c>
      <c r="R75" s="1664" t="str">
        <f>HYPERLINK(Valori[[#This Row],[FN_W]],"")</f>
        <v></v>
      </c>
      <c r="S75" s="1665" t="str">
        <f>HYPERLINK(Valori[[#This Row],[MS_Link]],"")</f>
        <v></v>
      </c>
      <c r="T75" s="1665" t="str">
        <f>HYPERLINK(Valori[[#This Row],[C_source]],"")</f>
        <v></v>
      </c>
      <c r="U75" s="142" t="str" cm="1">
        <f t="array" aca="1" ref="U75" ca="1">OFFSET(POrigin,MATCH(Valori[[#This Row],[LUKB_id]],PID,0),MATCH("M_CUR",PLabel,0)-1,1,1)</f>
        <v>EUR</v>
      </c>
      <c r="V75" s="1562">
        <f ca="1">(Valori[[#This Row],[Last]]+Valori[[#This Row],[Acc. Int]])/Valori[[#This Row],[Pr.Amt]]/IF(Valori[[#This Row],[P_Type]]="Pct",100,1)</f>
        <v>0.76854931507000002</v>
      </c>
      <c r="W75" s="1591" cm="1">
        <f t="array" aca="1" ref="W75" ca="1">OFFSET(POrigin,MATCH(Valori[[#This Row],[LUKB_id]],PID,0),MATCH("NC2_PR",PLabel,0)-1,1,1)/100</f>
        <v>4.2406573018817012E-3</v>
      </c>
      <c r="X75" s="1592" cm="1">
        <f t="array" aca="1" ref="X75" ca="1">OFFSET(POrigin,MATCH(Valori[[#This Row],[LUKB_id]],PID,0),MATCH("LVAL",PLabel,0)-1,1,1)</f>
        <v>76.790000000000006</v>
      </c>
      <c r="Y75" s="1593" cm="1">
        <f t="array" aca="1" ref="Y75" ca="1">OFFSET(POrigin,MATCH(Valori[[#This Row],[LUKB_id]],PID,0),MATCH("LVAL:datetime",PLabel,0)-1,1,1)</f>
        <v>46083.381284722222</v>
      </c>
      <c r="Z75" s="1594" cm="1">
        <f t="array" aca="1" ref="Z75" ca="1">OFFSET(POrigin,MATCH(Valori[[#This Row],[LUKB_id]],PID,0),MATCH("BID:volume",PLabel,0)-1,1,1)</f>
        <v>0</v>
      </c>
      <c r="AA75" s="1595" cm="1">
        <f t="array" aca="1" ref="AA75" ca="1">OFFSET(POrigin,MATCH(Valori[[#This Row],[LUKB_id]],PID,0),MATCH("BID",PLabel,0)-1,1,1)</f>
        <v>0</v>
      </c>
      <c r="AB75" s="1595" cm="1">
        <f t="array" aca="1" ref="AB75" ca="1">OFFSET(POrigin,MATCH(Valori[[#This Row],[LUKB_id]],PID,0),MATCH("ASK",PLabel,0)-1,1,1)</f>
        <v>0</v>
      </c>
      <c r="AC75" s="1594" cm="1">
        <f t="array" aca="1" ref="AC75" ca="1">OFFSET(POrigin,MATCH(Valori[[#This Row],[LUKB_id]],PID,0),MATCH("ASK:volume",PLabel,0)-1,1,1)</f>
        <v>0</v>
      </c>
      <c r="AD75" s="1596" cm="1">
        <f t="array" aca="1" ref="AD75" ca="1">OFFSET(POrigin,MATCH(Valori[[#This Row],[LUKB_id]],PID,0),MATCH("BID-ASK Spread %",PLabel,0)-1,1,1)</f>
        <v>0</v>
      </c>
      <c r="AE75" s="1597" cm="1">
        <f t="array" aca="1" ref="AE75" ca="1">IF(OFFSET(POrigin,MATCH(Valori[[#This Row],[LUKB_id]],PID,0),MATCH("MATURITY",PLabel,0)-1,1,1)&gt;0,OFFSET(POrigin,MATCH(Valori[[#This Row],[LUKB_id]],PID,0),MATCH("MATURITY",PLabel,0)-1,1,1),"")</f>
        <v>49499</v>
      </c>
      <c r="AF75" s="1598" cm="1">
        <f t="array" aca="1" ref="AF75" ca="1">OFFSET(POrigin,MATCH(Valori[[#This Row],[LUKB_id]],PID,0),MATCH("ACCINT",PLabel,0)-1,1,1)</f>
        <v>6.4931506999999999E-2</v>
      </c>
      <c r="AG75" s="1594" cm="1">
        <f t="array" aca="1" ref="AG75" ca="1">OFFSET(POrigin,MATCH(Valori[[#This Row],[LUKB_id]],PID,0),MATCH("DENOM",PLabel,0)-1,1,1)</f>
        <v>1000</v>
      </c>
      <c r="AH75" s="1599" cm="1">
        <f t="array" aca="1" ref="AH75" ca="1">(OFFSET(POrigin,MATCH(Valori[[#This Row],[LUKB_id]],PID,0),MATCH("YIELD",PLabel,0)-1,1,1)+OFFSET(POrigin,MATCH(Valori[[#This Row],[LUKB_id]],PID,0),MATCH("YLDEQ",PLabel,0)-1,1,1))/100</f>
        <v>2.9823646320000004E-2</v>
      </c>
      <c r="AI75" s="1600">
        <f ca="1">OFFSET(POrigin,MATCH(Valori[[#This Row],[LUKB_id]],PID,0),MATCH("DIVIDEND",PLabel,0)-1,1,1)</f>
        <v>0</v>
      </c>
      <c r="AJ75" s="1601">
        <f ca="1">OFFSET(POrigin,MATCH(Valori[[#This Row],[LUKB_id]],PID,0),MATCH("DIVIDEND:datetime",PLabel,0)-1,1,1)</f>
        <v>0</v>
      </c>
      <c r="AK75" s="1602">
        <f ca="1">OFFSET(POrigin,MATCH(Valori[[#This Row],[LUKB_id]],PID,0),MATCH("INTEREST",PLabel,0)-1,1,1)</f>
        <v>0.1</v>
      </c>
      <c r="AL75" s="1603">
        <f ca="1">OFFSET(POrigin,MATCH(Valori[[#This Row],[LUKB_id]],PID,0),MATCH("4W_PERF_PR",PLabel,0)-1,1,1)/100</f>
        <v>1.9246084417308299E-2</v>
      </c>
      <c r="AM75" s="1603">
        <f ca="1">OFFSET(POrigin,MATCH(Valori[[#This Row],[LUKB_id]],PID,0),MATCH("12W_PERF_PR",PLabel,0)-1,1,1)/100</f>
        <v>2.9218603404369499E-2</v>
      </c>
      <c r="AN75" s="1603">
        <f ca="1">OFFSET(POrigin,MATCH(Valori[[#This Row],[LUKB_id]],PID,0),MATCH("YTD_PERF_PR",PLabel,0)-1,1,1)/100</f>
        <v>1.9233355749831801E-2</v>
      </c>
      <c r="AO75" s="1591"/>
      <c r="AP75" s="1591"/>
      <c r="AQ75" s="1591"/>
      <c r="AR75" s="1591"/>
      <c r="AS75" s="1890"/>
      <c r="AT75" s="1890"/>
      <c r="AU75" s="610"/>
      <c r="AV75" s="1891"/>
      <c r="AW75" s="1604" t="str">
        <f ca="1">"https://boersenundmaerkte.lukb.ch/lukb/details/"&amp;Valori[[#This Row],[LUKB_id]]</f>
        <v>https://boersenundmaerkte.lukb.ch/lukb/details/55823624,13,814</v>
      </c>
      <c r="AX7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5" s="142"/>
      <c r="AZ75" s="142"/>
      <c r="BA75" s="142"/>
      <c r="BB75" s="142"/>
    </row>
    <row r="76" spans="1:54" ht="15" customHeight="1" x14ac:dyDescent="0.2">
      <c r="A76" s="142" t="s">
        <v>1045</v>
      </c>
      <c r="B76" s="142" t="str" cm="1">
        <f t="array" aca="1" ref="B76" ca="1">OFFSET(POrigin,MATCH(Valori[[#This Row],[smo_id]],Posizioni[smo_id],0),MATCH("LUKB_id",PIntestazioni,0)-1,1,1)</f>
        <v>18082393,13,814</v>
      </c>
      <c r="C76" s="1668" t="str">
        <f ca="1">HYPERLINK("https://boersenundmaerkte.lukb.ch/lukb/details/"&amp;Valori[[#This Row],[LUKB_id]],"è")</f>
        <v>è</v>
      </c>
      <c r="D76" s="142" t="str" cm="1">
        <f t="array" aca="1" ref="D76" ca="1">OFFSET(POrigin,MATCH(Valori[[#This Row],[LUKB_id]],PID,0),MATCH("SC_GROUPED",PIntestazioni,0)-1,1,1)</f>
        <v>BON</v>
      </c>
      <c r="E76" s="413" t="str" cm="1">
        <f t="array" aca="1" ref="E76" ca="1">OFFSET(POrigin,MATCH(Valori[[#This Row],[LUKB_id]],PID,0),MATCH("isin",PIntestazioni,0)-1,1,1)</f>
        <v>GRR000000010</v>
      </c>
      <c r="F76" s="34" t="str" cm="1">
        <f t="array" aca="1" ref="F76" ca="1">OFFSET(POrigin,MATCH(Valori[[#This Row],[LUKB_id]],PID,0),MATCH("NSIN_CH",PLabel,0)-1,1,1)</f>
        <v>18082393</v>
      </c>
      <c r="G76" s="95" t="str" cm="1">
        <f t="array" aca="1" ref="G76" ca="1">IF(OFFSET(POrigin,MATCH(Valori[[#This Row],[LUKB_id]],PID,0),MATCH("INSTRUNIT",PLabel,0)-1,1,1)="Nominal","Pct","Unit")</f>
        <v>Pct</v>
      </c>
      <c r="H76" s="612">
        <f ca="1">MAX(OFFSET(POrigin,MATCH(Valori[[#This Row],[LUKB_id]],PID,0),MATCH("PRICINGAMT",PLabel,0)-1,1,1),1)</f>
        <v>1</v>
      </c>
      <c r="I76" s="615" t="str" cm="1">
        <f t="array" aca="1" ref="I76" ca="1">OFFSET(POrigin,MATCH(Valori[[#This Row],[LUKB_id]],PID,0),MATCH("M_NAME",PLabel,0)-1,1,1)</f>
        <v>Hellen Rep 42 GDP</v>
      </c>
      <c r="J76" s="142" t="s">
        <v>741</v>
      </c>
      <c r="M76" s="142" t="str" cm="1">
        <f t="array" aca="1" ref="M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Rep Greca 42 GDP</v>
      </c>
      <c r="N76" s="1563">
        <f ca="1">COUNTIF('CHF M'!smo_id,Valori[[#This Row],[smo_id]])+COUNTIF('CHF MA'!smo_id,Valori[[#This Row],[smo_id]])+COUNTIF('EUR MB'!smo_id,Valori[[#This Row],[smo_id]])+COUNTIF('EUR M'!smo_id,Valori[[#This Row],[smo_id]])+COUNTIF(AGCO!smo_id,Valori[[#This Row],[smo_id]])</f>
        <v>0</v>
      </c>
      <c r="O76" s="1590" cm="1">
        <f t="array" aca="1" ref="O76" ca="1">SUM(IF('CHF M'!smo_id=Valori[[#This Row],[smo_id]],'CHF M'!Posizione))+SUM(IF('CHF MA'!smo_id=Valori[[#This Row],[smo_id]],'CHF MA'!Posizione))+SUM(IF('EUR MB'!smo_id=Valori[[#This Row],[smo_id]],'EUR MB'!Posizione))+SUM(IF('EUR M'!smo_id=Valori[[#This Row],[smo_id]],'EUR M'!Posizione))+SUM(IF(AGCO!smo_id=Valori[[#This Row],[smo_id]],AGCO!Posizione))</f>
        <v>0</v>
      </c>
      <c r="P76" s="1661" t="str">
        <f ca="1">HYPERLINK(Valori[[#This Row],[P_Source]],"è")</f>
        <v>è</v>
      </c>
      <c r="Q76" s="1663" t="str">
        <f>HYPERLINK(Valori[[#This Row],[Info_W]],"i")</f>
        <v>i</v>
      </c>
      <c r="R76" s="1664" t="str">
        <f>HYPERLINK(Valori[[#This Row],[FN_W]],"")</f>
        <v></v>
      </c>
      <c r="S76" s="1665" t="str">
        <f>HYPERLINK(Valori[[#This Row],[MS_Link]],"")</f>
        <v></v>
      </c>
      <c r="T76" s="1665" t="str">
        <f>HYPERLINK(Valori[[#This Row],[C_source]],"")</f>
        <v></v>
      </c>
      <c r="U76" s="142" t="str" cm="1">
        <f t="array" aca="1" ref="U76" ca="1">OFFSET(POrigin,MATCH(Valori[[#This Row],[LUKB_id]],PID,0),MATCH("M_CUR",PLabel,0)-1,1,1)</f>
        <v>EUR</v>
      </c>
      <c r="V76" s="1562">
        <f ca="1">(Valori[[#This Row],[Last]]+Valori[[#This Row],[Acc. Int]])/Valori[[#This Row],[Pr.Amt]]/IF(Valori[[#This Row],[P_Type]]="Pct",100,1)</f>
        <v>2.5999999999999999E-3</v>
      </c>
      <c r="W76" s="1591" cm="1">
        <f t="array" aca="1" ref="W76" ca="1">OFFSET(POrigin,MATCH(Valori[[#This Row],[LUKB_id]],PID,0),MATCH("NC2_PR",PLabel,0)-1,1,1)/100</f>
        <v>2.9629629629629655E-2</v>
      </c>
      <c r="X76" s="1592" cm="1">
        <f t="array" aca="1" ref="X76" ca="1">OFFSET(POrigin,MATCH(Valori[[#This Row],[LUKB_id]],PID,0),MATCH("LVAL",PLabel,0)-1,1,1)</f>
        <v>0.26</v>
      </c>
      <c r="Y76" s="1593" cm="1">
        <f t="array" aca="1" ref="Y76" ca="1">OFFSET(POrigin,MATCH(Valori[[#This Row],[LUKB_id]],PID,0),MATCH("LVAL:datetime",PLabel,0)-1,1,1)</f>
        <v>45791.419085648151</v>
      </c>
      <c r="Z76" s="1594" cm="1">
        <f t="array" aca="1" ref="Z76" ca="1">OFFSET(POrigin,MATCH(Valori[[#This Row],[LUKB_id]],PID,0),MATCH("BID:volume",PLabel,0)-1,1,1)</f>
        <v>0</v>
      </c>
      <c r="AA76" s="1595" cm="1">
        <f t="array" aca="1" ref="AA76" ca="1">OFFSET(POrigin,MATCH(Valori[[#This Row],[LUKB_id]],PID,0),MATCH("BID",PLabel,0)-1,1,1)</f>
        <v>0</v>
      </c>
      <c r="AB76" s="1595" cm="1">
        <f t="array" aca="1" ref="AB76" ca="1">OFFSET(POrigin,MATCH(Valori[[#This Row],[LUKB_id]],PID,0),MATCH("ASK",PLabel,0)-1,1,1)</f>
        <v>0</v>
      </c>
      <c r="AC76" s="1594" cm="1">
        <f t="array" aca="1" ref="AC76" ca="1">OFFSET(POrigin,MATCH(Valori[[#This Row],[LUKB_id]],PID,0),MATCH("ASK:volume",PLabel,0)-1,1,1)</f>
        <v>0</v>
      </c>
      <c r="AD76" s="1596" cm="1">
        <f t="array" aca="1" ref="AD76" ca="1">OFFSET(POrigin,MATCH(Valori[[#This Row],[LUKB_id]],PID,0),MATCH("BID-ASK Spread %",PLabel,0)-1,1,1)</f>
        <v>0</v>
      </c>
      <c r="AE76" s="1597" cm="1">
        <f t="array" aca="1" ref="AE76" ca="1">IF(OFFSET(POrigin,MATCH(Valori[[#This Row],[LUKB_id]],PID,0),MATCH("MATURITY",PLabel,0)-1,1,1)&gt;0,OFFSET(POrigin,MATCH(Valori[[#This Row],[LUKB_id]],PID,0),MATCH("MATURITY",PLabel,0)-1,1,1),"")</f>
        <v>52154</v>
      </c>
      <c r="AF76" s="1598" cm="1">
        <f t="array" aca="1" ref="AF76" ca="1">OFFSET(POrigin,MATCH(Valori[[#This Row],[LUKB_id]],PID,0),MATCH("ACCINT",PLabel,0)-1,1,1)</f>
        <v>0</v>
      </c>
      <c r="AG76" s="1594" cm="1">
        <f t="array" aca="1" ref="AG76" ca="1">OFFSET(POrigin,MATCH(Valori[[#This Row],[LUKB_id]],PID,0),MATCH("DENOM",PLabel,0)-1,1,1)</f>
        <v>100</v>
      </c>
      <c r="AH76" s="1599" cm="1">
        <f t="array" aca="1" ref="AH76" ca="1">(OFFSET(POrigin,MATCH(Valori[[#This Row],[LUKB_id]],PID,0),MATCH("YIELD",PLabel,0)-1,1,1)+OFFSET(POrigin,MATCH(Valori[[#This Row],[LUKB_id]],PID,0),MATCH("YLDEQ",PLabel,0)-1,1,1))/100</f>
        <v>0</v>
      </c>
      <c r="AI76" s="1600">
        <f ca="1">OFFSET(POrigin,MATCH(Valori[[#This Row],[LUKB_id]],PID,0),MATCH("DIVIDEND",PLabel,0)-1,1,1)</f>
        <v>0</v>
      </c>
      <c r="AJ76" s="1601">
        <f ca="1">OFFSET(POrigin,MATCH(Valori[[#This Row],[LUKB_id]],PID,0),MATCH("DIVIDEND:datetime",PLabel,0)-1,1,1)</f>
        <v>0</v>
      </c>
      <c r="AK76" s="1602">
        <f ca="1">OFFSET(POrigin,MATCH(Valori[[#This Row],[LUKB_id]],PID,0),MATCH("INTEREST",PLabel,0)-1,1,1)</f>
        <v>0</v>
      </c>
      <c r="AL76" s="1603">
        <f ca="1">OFFSET(POrigin,MATCH(Valori[[#This Row],[LUKB_id]],PID,0),MATCH("4W_PERF_PR",PLabel,0)-1,1,1)/100</f>
        <v>0</v>
      </c>
      <c r="AM76" s="1603">
        <f ca="1">OFFSET(POrigin,MATCH(Valori[[#This Row],[LUKB_id]],PID,0),MATCH("12W_PERF_PR",PLabel,0)-1,1,1)/100</f>
        <v>0</v>
      </c>
      <c r="AN76" s="1603">
        <f ca="1">OFFSET(POrigin,MATCH(Valori[[#This Row],[LUKB_id]],PID,0),MATCH("YTD_PERF_PR",PLabel,0)-1,1,1)/100</f>
        <v>6.923076923076929E-2</v>
      </c>
      <c r="AO76" s="1591"/>
      <c r="AP76" s="1591"/>
      <c r="AQ76" s="1591"/>
      <c r="AR76" s="1591"/>
      <c r="AS76" s="1890" t="s">
        <v>877</v>
      </c>
      <c r="AT76" s="1890" t="s">
        <v>1046</v>
      </c>
      <c r="AU76" s="610" t="s">
        <v>1047</v>
      </c>
      <c r="AV76" s="1891" t="s">
        <v>1048</v>
      </c>
      <c r="AW76" s="1604" t="str">
        <f ca="1">"https://boersenundmaerkte.lukb.ch/lukb/details/"&amp;Valori[[#This Row],[LUKB_id]]</f>
        <v>https://boersenundmaerkte.lukb.ch/lukb/details/18082393,13,814</v>
      </c>
      <c r="AX76" s="1605" t="str">
        <f>"https://www.zonebourse.com/mods_a/charts/TV/inc_dyna_graph.php?c="&amp;Valori[[#This Row],[MS_Code]]&amp;"&amp;style=TradingView.CANDLES&amp;interval=(null)&amp;mobile=(null)&amp;showAT=1"</f>
        <v>https://www.zonebourse.com/mods_a/charts/TV/inc_dyna_graph.php?c=111976325&amp;style=TradingView.CANDLES&amp;interval=(null)&amp;mobile=(null)&amp;showAT=1</v>
      </c>
      <c r="AY76" s="142"/>
      <c r="AZ76" s="142"/>
      <c r="BA76" s="142"/>
      <c r="BB76" s="142"/>
    </row>
    <row r="77" spans="1:54" ht="15" customHeight="1" x14ac:dyDescent="0.2">
      <c r="A77" s="142" t="s">
        <v>1049</v>
      </c>
      <c r="B77" s="142" t="str" cm="1">
        <f t="array" aca="1" ref="B77" ca="1">OFFSET(POrigin,MATCH(Valori[[#This Row],[smo_id]],Posizioni[smo_id],0),MATCH("LUKB_id",PIntestazioni,0)-1,1,1)</f>
        <v>27574862,16,814</v>
      </c>
      <c r="C77" s="1668" t="str">
        <f ca="1">HYPERLINK("https://boersenundmaerkte.lukb.ch/lukb/details/"&amp;Valori[[#This Row],[LUKB_id]],"è")</f>
        <v>è</v>
      </c>
      <c r="D77" s="142" t="str" cm="1">
        <f t="array" aca="1" ref="D77" ca="1">OFFSET(POrigin,MATCH(Valori[[#This Row],[LUKB_id]],PID,0),MATCH("SC_GROUPED",PIntestazioni,0)-1,1,1)</f>
        <v>BON</v>
      </c>
      <c r="E77" s="413" t="str" cm="1">
        <f t="array" aca="1" ref="E77" ca="1">OFFSET(POrigin,MATCH(Valori[[#This Row],[LUKB_id]],PID,0),MATCH("isin",PIntestazioni,0)-1,1,1)</f>
        <v>XS1206541366</v>
      </c>
      <c r="F77" s="34" t="str" cm="1">
        <f t="array" aca="1" ref="F77" ca="1">OFFSET(POrigin,MATCH(Valori[[#This Row],[LUKB_id]],PID,0),MATCH("NSIN_CH",PLabel,0)-1,1,1)</f>
        <v>27574862</v>
      </c>
      <c r="G77" s="95" t="str" cm="1">
        <f t="array" aca="1" ref="G77" ca="1">IF(OFFSET(POrigin,MATCH(Valori[[#This Row],[LUKB_id]],PID,0),MATCH("INSTRUNIT",PLabel,0)-1,1,1)="Nominal","Pct","Unit")</f>
        <v>Pct</v>
      </c>
      <c r="H77" s="612">
        <f ca="1">MAX(OFFSET(POrigin,MATCH(Valori[[#This Row],[LUKB_id]],PID,0),MATCH("PRICINGAMT",PLabel,0)-1,1,1),1)</f>
        <v>1</v>
      </c>
      <c r="I77" s="615" t="str" cm="1">
        <f t="array" aca="1" ref="I77" ca="1">OFFSET(POrigin,MATCH(Valori[[#This Row],[LUKB_id]],PID,0),MATCH("M_NAME",PLabel,0)-1,1,1)</f>
        <v>VW Intl -S FTVN</v>
      </c>
      <c r="J77" s="142" t="s">
        <v>740</v>
      </c>
      <c r="M77" s="142" t="str" cm="1">
        <f t="array" aca="1" ref="M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3.50% VW Intl Finance VRN Perpetual </v>
      </c>
      <c r="N77" s="1563">
        <f ca="1">COUNTIF('CHF M'!smo_id,Valori[[#This Row],[smo_id]])+COUNTIF('CHF MA'!smo_id,Valori[[#This Row],[smo_id]])+COUNTIF('EUR MB'!smo_id,Valori[[#This Row],[smo_id]])+COUNTIF('EUR M'!smo_id,Valori[[#This Row],[smo_id]])+COUNTIF(AGCO!smo_id,Valori[[#This Row],[smo_id]])</f>
        <v>1</v>
      </c>
      <c r="O77" s="1590" cm="1">
        <f t="array" aca="1" ref="O77" ca="1">SUM(IF('CHF M'!smo_id=Valori[[#This Row],[smo_id]],'CHF M'!Posizione))+SUM(IF('CHF MA'!smo_id=Valori[[#This Row],[smo_id]],'CHF MA'!Posizione))+SUM(IF('EUR MB'!smo_id=Valori[[#This Row],[smo_id]],'EUR MB'!Posizione))+SUM(IF('EUR M'!smo_id=Valori[[#This Row],[smo_id]],'EUR M'!Posizione))+SUM(IF(AGCO!smo_id=Valori[[#This Row],[smo_id]],AGCO!Posizione))</f>
        <v>50000</v>
      </c>
      <c r="P77" s="1661" t="str">
        <f ca="1">HYPERLINK(Valori[[#This Row],[P_Source]],"è")</f>
        <v>è</v>
      </c>
      <c r="Q77" s="1663" t="str">
        <f>HYPERLINK(Valori[[#This Row],[Info_W]],"i")</f>
        <v>i</v>
      </c>
      <c r="R77" s="1664" t="str">
        <f>HYPERLINK(Valori[[#This Row],[FN_W]],"")</f>
        <v></v>
      </c>
      <c r="S77" s="1665" t="str">
        <f>HYPERLINK(Valori[[#This Row],[MS_Link]],"")</f>
        <v></v>
      </c>
      <c r="T77" s="1665" t="str">
        <f>HYPERLINK(Valori[[#This Row],[C_source]],"")</f>
        <v></v>
      </c>
      <c r="U77" s="142" t="str" cm="1">
        <f t="array" aca="1" ref="U77" ca="1">OFFSET(POrigin,MATCH(Valori[[#This Row],[LUKB_id]],PID,0),MATCH("M_CUR",PLabel,0)-1,1,1)</f>
        <v>EUR</v>
      </c>
      <c r="V77" s="1562">
        <f ca="1">(Valori[[#This Row],[Last]]+Valori[[#This Row],[Acc. Int]])/Valori[[#This Row],[Pr.Amt]]/IF(Valori[[#This Row],[P_Type]]="Pct",100,1)</f>
        <v>0.99486986301000002</v>
      </c>
      <c r="W77" s="1591" cm="1">
        <f t="array" aca="1" ref="W77" ca="1">OFFSET(POrigin,MATCH(Valori[[#This Row],[LUKB_id]],PID,0),MATCH("NC2_PR",PLabel,0)-1,1,1)/100</f>
        <v>-4.6171684127707001E-3</v>
      </c>
      <c r="X77" s="1592" cm="1">
        <f t="array" aca="1" ref="X77" ca="1">OFFSET(POrigin,MATCH(Valori[[#This Row],[LUKB_id]],PID,0),MATCH("LVAL",PLabel,0)-1,1,1)</f>
        <v>96.15</v>
      </c>
      <c r="Y77" s="1593" cm="1">
        <f t="array" aca="1" ref="Y77" ca="1">OFFSET(POrigin,MATCH(Valori[[#This Row],[LUKB_id]],PID,0),MATCH("LVAL:datetime",PLabel,0)-1,1,1)</f>
        <v>46084.752754629626</v>
      </c>
      <c r="Z77" s="1594" cm="1">
        <f t="array" aca="1" ref="Z77" ca="1">OFFSET(POrigin,MATCH(Valori[[#This Row],[LUKB_id]],PID,0),MATCH("BID:volume",PLabel,0)-1,1,1)</f>
        <v>50000</v>
      </c>
      <c r="AA77" s="1595" cm="1">
        <f t="array" aca="1" ref="AA77" ca="1">OFFSET(POrigin,MATCH(Valori[[#This Row],[LUKB_id]],PID,0),MATCH("BID",PLabel,0)-1,1,1)</f>
        <v>96.15</v>
      </c>
      <c r="AB77" s="1595" cm="1">
        <f t="array" aca="1" ref="AB77" ca="1">OFFSET(POrigin,MATCH(Valori[[#This Row],[LUKB_id]],PID,0),MATCH("ASK",PLabel,0)-1,1,1)</f>
        <v>96.635000000000005</v>
      </c>
      <c r="AC77" s="1594" cm="1">
        <f t="array" aca="1" ref="AC77" ca="1">OFFSET(POrigin,MATCH(Valori[[#This Row],[LUKB_id]],PID,0),MATCH("ASK:volume",PLabel,0)-1,1,1)</f>
        <v>200000</v>
      </c>
      <c r="AD77" s="1596" cm="1">
        <f t="array" aca="1" ref="AD77" ca="1">OFFSET(POrigin,MATCH(Valori[[#This Row],[LUKB_id]],PID,0),MATCH("BID-ASK Spread %",PLabel,0)-1,1,1)</f>
        <v>3.3571564538737047E-3</v>
      </c>
      <c r="AE77" s="1597" t="str" cm="1">
        <f t="array" aca="1" ref="AE77" ca="1">IF(OFFSET(POrigin,MATCH(Valori[[#This Row],[LUKB_id]],PID,0),MATCH("MATURITY",PLabel,0)-1,1,1)&gt;0,OFFSET(POrigin,MATCH(Valori[[#This Row],[LUKB_id]],PID,0),MATCH("MATURITY",PLabel,0)-1,1,1),"")</f>
        <v/>
      </c>
      <c r="AF77" s="1598" cm="1">
        <f t="array" aca="1" ref="AF77" ca="1">OFFSET(POrigin,MATCH(Valori[[#This Row],[LUKB_id]],PID,0),MATCH("ACCINT",PLabel,0)-1,1,1)</f>
        <v>3.336986301</v>
      </c>
      <c r="AG77" s="1594" cm="1">
        <f t="array" aca="1" ref="AG77" ca="1">OFFSET(POrigin,MATCH(Valori[[#This Row],[LUKB_id]],PID,0),MATCH("DENOM",PLabel,0)-1,1,1)</f>
        <v>1000</v>
      </c>
      <c r="AH77" s="1599" cm="1">
        <f t="array" aca="1" ref="AH77" ca="1">(OFFSET(POrigin,MATCH(Valori[[#This Row],[LUKB_id]],PID,0),MATCH("YIELD",PLabel,0)-1,1,1)+OFFSET(POrigin,MATCH(Valori[[#This Row],[LUKB_id]],PID,0),MATCH("YLDEQ",PLabel,0)-1,1,1))/100</f>
        <v>0</v>
      </c>
      <c r="AI77" s="1600">
        <f ca="1">OFFSET(POrigin,MATCH(Valori[[#This Row],[LUKB_id]],PID,0),MATCH("DIVIDEND",PLabel,0)-1,1,1)</f>
        <v>0</v>
      </c>
      <c r="AJ77" s="1601">
        <f ca="1">OFFSET(POrigin,MATCH(Valori[[#This Row],[LUKB_id]],PID,0),MATCH("DIVIDEND:datetime",PLabel,0)-1,1,1)</f>
        <v>0</v>
      </c>
      <c r="AK77" s="1602">
        <f ca="1">OFFSET(POrigin,MATCH(Valori[[#This Row],[LUKB_id]],PID,0),MATCH("INTEREST",PLabel,0)-1,1,1)</f>
        <v>3.5</v>
      </c>
      <c r="AL77" s="1603">
        <f ca="1">OFFSET(POrigin,MATCH(Valori[[#This Row],[LUKB_id]],PID,0),MATCH("4W_PERF_PR",PLabel,0)-1,1,1)/100</f>
        <v>-1.633486E-2</v>
      </c>
      <c r="AM77" s="1603">
        <f ca="1">OFFSET(POrigin,MATCH(Valori[[#This Row],[LUKB_id]],PID,0),MATCH("12W_PERF_PR",PLabel,0)-1,1,1)/100</f>
        <v>-1.5544000000000003E-3</v>
      </c>
      <c r="AN77" s="1603">
        <f ca="1">OFFSET(POrigin,MATCH(Valori[[#This Row],[LUKB_id]],PID,0),MATCH("YTD_PERF_PR",PLabel,0)-1,1,1)/100</f>
        <v>4.249144989118E-3</v>
      </c>
      <c r="AO77" s="1591"/>
      <c r="AP77" s="1591"/>
      <c r="AQ77" s="1591"/>
      <c r="AR77" s="1591"/>
      <c r="AS77" s="1890" t="s">
        <v>877</v>
      </c>
      <c r="AT77" s="1890" t="s">
        <v>1050</v>
      </c>
      <c r="AU77" s="610" t="s">
        <v>1051</v>
      </c>
      <c r="AV77" s="1891" t="str">
        <f>"https://www.comdirect.de/inf/anleihen/"&amp;Valori[[#This Row],[smo_id]]</f>
        <v>https://www.comdirect.de/inf/anleihen/XS1206541366:EUR:STU</v>
      </c>
      <c r="AW77" s="1604" t="str">
        <f ca="1">"https://boersenundmaerkte.lukb.ch/lukb/details/"&amp;Valori[[#This Row],[LUKB_id]]</f>
        <v>https://boersenundmaerkte.lukb.ch/lukb/details/27574862,16,814</v>
      </c>
      <c r="AX77" s="1605" t="str">
        <f>"https://www.zonebourse.com/mods_a/charts/TV/inc_dyna_graph.php?c="&amp;Valori[[#This Row],[MS_Code]]&amp;"&amp;style=TradingView.CANDLES&amp;interval=(null)&amp;mobile=(null)&amp;showAT=1"</f>
        <v>https://www.zonebourse.com/mods_a/charts/TV/inc_dyna_graph.php?c=51601751&amp;style=TradingView.CANDLES&amp;interval=(null)&amp;mobile=(null)&amp;showAT=1</v>
      </c>
      <c r="AY77" s="142"/>
      <c r="AZ77" s="142"/>
      <c r="BA77" s="142"/>
      <c r="BB77" s="142"/>
    </row>
    <row r="78" spans="1:54" ht="15" customHeight="1" x14ac:dyDescent="0.2">
      <c r="A78" s="142" t="s">
        <v>1052</v>
      </c>
      <c r="B78" s="142" t="s">
        <v>1053</v>
      </c>
      <c r="C78" s="1668" t="str">
        <f>HYPERLINK("https://boersenundmaerkte.lukb.ch/lukb/details/"&amp;Valori[[#This Row],[LUKB_id]],"è")</f>
        <v>è</v>
      </c>
      <c r="D78" s="142" t="str" cm="1">
        <f t="array" aca="1" ref="D78" ca="1">OFFSET(POrigin,MATCH(Valori[[#This Row],[LUKB_id]],PID,0),MATCH("SC_GROUPED",PIntestazioni,0)-1,1,1)</f>
        <v>COM</v>
      </c>
      <c r="E78" s="413" t="str" cm="1">
        <f t="array" aca="1" ref="E78" ca="1">OFFSET(POrigin,MATCH(Valori[[#This Row],[LUKB_id]],PID,0),MATCH("isin",PIntestazioni,0)-1,1,1)</f>
        <v>FR0003999010</v>
      </c>
      <c r="F78" s="34" t="str" cm="1">
        <f t="array" aca="1" ref="F78" ca="1">OFFSET(POrigin,MATCH(Valori[[#This Row],[LUKB_id]],PID,0),MATCH("NSIN_CH",PLabel,0)-1,1,1)</f>
        <v>274701</v>
      </c>
      <c r="G78" s="95" t="str" cm="1">
        <f t="array" aca="1" ref="G78" ca="1">IF(OFFSET(POrigin,MATCH(Valori[[#This Row],[LUKB_id]],PID,0),MATCH("INSTRUNIT",PLabel,0)-1,1,1)="Nominal","Pct","Unit")</f>
        <v>Unit</v>
      </c>
      <c r="H78" s="612">
        <f ca="1">MAX(OFFSET(POrigin,MATCH(Valori[[#This Row],[LUKB_id]],PID,0),MATCH("PRICINGAMT",PLabel,0)-1,1,1),1)</f>
        <v>1</v>
      </c>
      <c r="I78" s="615" t="str" cm="1">
        <f t="array" aca="1" ref="I78" ca="1">OFFSET(POrigin,MATCH(Valori[[#This Row],[LUKB_id]],PID,0),MATCH("M_NAME",PLabel,0)-1,1,1)</f>
        <v>Gold  1 Kg</v>
      </c>
      <c r="J78" s="142" t="s">
        <v>793</v>
      </c>
      <c r="M78" s="142" t="str" cm="1">
        <f t="array" aca="1" ref="M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Kg. 999.9</v>
      </c>
      <c r="N78" s="1563">
        <f ca="1">COUNTIF('CHF M'!smo_id,Valori[[#This Row],[smo_id]])+COUNTIF('CHF MA'!smo_id,Valori[[#This Row],[smo_id]])+COUNTIF('EUR MB'!smo_id,Valori[[#This Row],[smo_id]])+COUNTIF('EUR M'!smo_id,Valori[[#This Row],[smo_id]])+COUNTIF(AGCO!smo_id,Valori[[#This Row],[smo_id]])</f>
        <v>2</v>
      </c>
      <c r="O78" s="1590" cm="1">
        <f t="array" aca="1" ref="O78" ca="1">SUM(IF('CHF M'!smo_id=Valori[[#This Row],[smo_id]],'CHF M'!Posizione))+SUM(IF('CHF MA'!smo_id=Valori[[#This Row],[smo_id]],'CHF MA'!Posizione))+SUM(IF('EUR MB'!smo_id=Valori[[#This Row],[smo_id]],'EUR MB'!Posizione))+SUM(IF('EUR M'!smo_id=Valori[[#This Row],[smo_id]],'EUR M'!Posizione))+SUM(IF(AGCO!smo_id=Valori[[#This Row],[smo_id]],AGCO!Posizione))</f>
        <v>7</v>
      </c>
      <c r="P78" s="1661" t="str">
        <f>HYPERLINK(Valori[[#This Row],[P_Source]],"è")</f>
        <v>è</v>
      </c>
      <c r="Q78" s="1663" t="str">
        <f>HYPERLINK(Valori[[#This Row],[Info_W]],"i")</f>
        <v>i</v>
      </c>
      <c r="R78" s="1664" t="str">
        <f>HYPERLINK(Valori[[#This Row],[FN_W]],"")</f>
        <v></v>
      </c>
      <c r="S78" s="1665" t="str">
        <f>HYPERLINK(Valori[[#This Row],[MS_Link]],"")</f>
        <v></v>
      </c>
      <c r="T78" s="1665" t="str">
        <f>HYPERLINK(Valori[[#This Row],[C_source]],"")</f>
        <v></v>
      </c>
      <c r="U78" s="142" t="str" cm="1">
        <f t="array" aca="1" ref="U78" ca="1">OFFSET(POrigin,MATCH(Valori[[#This Row],[LUKB_id]],PID,0),MATCH("M_CUR",PLabel,0)-1,1,1)</f>
        <v>CHF</v>
      </c>
      <c r="V78" s="1562">
        <f ca="1">(Valori[[#This Row],[Last]]+Valori[[#This Row],[Acc. Int]])/Valori[[#This Row],[Pr.Amt]]/IF(Valori[[#This Row],[P_Type]]="Pct",100,1)</f>
        <v>128171</v>
      </c>
      <c r="W78" s="1591" cm="1">
        <f t="array" aca="1" ref="W78" ca="1">OFFSET(POrigin,MATCH(Valori[[#This Row],[LUKB_id]],PID,0),MATCH("NC2_PR",PLabel,0)-1,1,1)/100</f>
        <v>-3.8902511266581202E-2</v>
      </c>
      <c r="X78" s="1592" cm="1">
        <f t="array" aca="1" ref="X78" ca="1">OFFSET(POrigin,MATCH(Valori[[#This Row],[LUKB_id]],PID,0),MATCH("LVAL",PLabel,0)-1,1,1)</f>
        <v>128171</v>
      </c>
      <c r="Y78" s="1593" cm="1">
        <f t="array" aca="1" ref="Y78" ca="1">OFFSET(POrigin,MATCH(Valori[[#This Row],[LUKB_id]],PID,0),MATCH("LVAL:datetime",PLabel,0)-1,1,1)</f>
        <v>46084.796261574076</v>
      </c>
      <c r="Z78" s="1594" cm="1">
        <f t="array" aca="1" ref="Z78" ca="1">OFFSET(POrigin,MATCH(Valori[[#This Row],[LUKB_id]],PID,0),MATCH("BID:volume",PLabel,0)-1,1,1)</f>
        <v>0</v>
      </c>
      <c r="AA78" s="1595" cm="1">
        <f t="array" aca="1" ref="AA78" ca="1">OFFSET(POrigin,MATCH(Valori[[#This Row],[LUKB_id]],PID,0),MATCH("BID",PLabel,0)-1,1,1)</f>
        <v>127921</v>
      </c>
      <c r="AB78" s="1595" cm="1">
        <f t="array" aca="1" ref="AB78" ca="1">OFFSET(POrigin,MATCH(Valori[[#This Row],[LUKB_id]],PID,0),MATCH("ASK",PLabel,0)-1,1,1)</f>
        <v>128421</v>
      </c>
      <c r="AC78" s="1594" cm="1">
        <f t="array" aca="1" ref="AC78" ca="1">OFFSET(POrigin,MATCH(Valori[[#This Row],[LUKB_id]],PID,0),MATCH("ASK:volume",PLabel,0)-1,1,1)</f>
        <v>0</v>
      </c>
      <c r="AD78" s="1596" cm="1">
        <f t="array" aca="1" ref="AD78" ca="1">OFFSET(POrigin,MATCH(Valori[[#This Row],[LUKB_id]],PID,0),MATCH("BID-ASK Spread %",PLabel,0)-1,1,1)</f>
        <v>2.6023843044997827E-3</v>
      </c>
      <c r="AE78" s="1597" t="str" cm="1">
        <f t="array" aca="1" ref="AE78" ca="1">IF(OFFSET(POrigin,MATCH(Valori[[#This Row],[LUKB_id]],PID,0),MATCH("MATURITY",PLabel,0)-1,1,1)&gt;0,OFFSET(POrigin,MATCH(Valori[[#This Row],[LUKB_id]],PID,0),MATCH("MATURITY",PLabel,0)-1,1,1),"")</f>
        <v/>
      </c>
      <c r="AF78" s="1598" cm="1">
        <f t="array" aca="1" ref="AF78" ca="1">OFFSET(POrigin,MATCH(Valori[[#This Row],[LUKB_id]],PID,0),MATCH("ACCINT",PLabel,0)-1,1,1)</f>
        <v>0</v>
      </c>
      <c r="AG78" s="1594" cm="1">
        <f t="array" aca="1" ref="AG78" ca="1">OFFSET(POrigin,MATCH(Valori[[#This Row],[LUKB_id]],PID,0),MATCH("DENOM",PLabel,0)-1,1,1)</f>
        <v>0</v>
      </c>
      <c r="AH78" s="1599" cm="1">
        <f t="array" aca="1" ref="AH78" ca="1">(OFFSET(POrigin,MATCH(Valori[[#This Row],[LUKB_id]],PID,0),MATCH("YIELD",PLabel,0)-1,1,1)+OFFSET(POrigin,MATCH(Valori[[#This Row],[LUKB_id]],PID,0),MATCH("YLDEQ",PLabel,0)-1,1,1))/100</f>
        <v>0</v>
      </c>
      <c r="AI78" s="1600">
        <f ca="1">OFFSET(POrigin,MATCH(Valori[[#This Row],[LUKB_id]],PID,0),MATCH("DIVIDEND",PLabel,0)-1,1,1)</f>
        <v>0</v>
      </c>
      <c r="AJ78" s="1601">
        <f ca="1">OFFSET(POrigin,MATCH(Valori[[#This Row],[LUKB_id]],PID,0),MATCH("DIVIDEND:datetime",PLabel,0)-1,1,1)</f>
        <v>0</v>
      </c>
      <c r="AK78" s="1602">
        <f ca="1">OFFSET(POrigin,MATCH(Valori[[#This Row],[LUKB_id]],PID,0),MATCH("INTEREST",PLabel,0)-1,1,1)</f>
        <v>0</v>
      </c>
      <c r="AL78" s="1603">
        <f ca="1">OFFSET(POrigin,MATCH(Valori[[#This Row],[LUKB_id]],PID,0),MATCH("4W_PERF_PR",PLabel,0)-1,1,1)/100</f>
        <v>0.14131299905003999</v>
      </c>
      <c r="AM78" s="1603">
        <f ca="1">OFFSET(POrigin,MATCH(Valori[[#This Row],[LUKB_id]],PID,0),MATCH("12W_PERF_PR",PLabel,0)-1,1,1)/100</f>
        <v>0.226921449206028</v>
      </c>
      <c r="AN78" s="1603">
        <f ca="1">OFFSET(POrigin,MATCH(Valori[[#This Row],[LUKB_id]],PID,0),MATCH("YTD_PERF_PR",PLabel,0)-1,1,1)/100</f>
        <v>0.16573138000000001</v>
      </c>
      <c r="AO78" s="1591"/>
      <c r="AP78" s="1591"/>
      <c r="AQ78" s="1591"/>
      <c r="AR78" s="1591"/>
      <c r="AS78" s="1890" t="s">
        <v>877</v>
      </c>
      <c r="AT78" s="1890" t="s">
        <v>877</v>
      </c>
      <c r="AU78" s="610"/>
      <c r="AV78" s="1891" t="s">
        <v>1054</v>
      </c>
      <c r="AW78" s="1604" t="str">
        <f>"https://boersenundmaerkte.lukb.ch/lukb/details/"&amp;Valori[[#This Row],[LUKB_id]]</f>
        <v>https://boersenundmaerkte.lukb.ch/lukb/details/274701,176,1</v>
      </c>
      <c r="AX78"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8" s="142"/>
      <c r="AZ78" s="142"/>
      <c r="BA78" s="142"/>
      <c r="BB78" s="142"/>
    </row>
    <row r="79" spans="1:54" ht="15" customHeight="1" x14ac:dyDescent="0.2">
      <c r="A79" s="142" t="s">
        <v>1055</v>
      </c>
      <c r="B79" s="142" t="str" cm="1">
        <f t="array" aca="1" ref="B79" ca="1">OFFSET(POrigin,MATCH(Valori[[#This Row],[smo_id]],Posizioni[smo_id],0),MATCH("LUKB_id",PIntestazioni,0)-1,1,1)</f>
        <v>281149,176,1</v>
      </c>
      <c r="C79" s="1668" t="str">
        <f ca="1">HYPERLINK("https://boersenundmaerkte.lukb.ch/lukb/details/"&amp;Valori[[#This Row],[LUKB_id]],"è")</f>
        <v>è</v>
      </c>
      <c r="D79" s="142" t="str" cm="1">
        <f t="array" aca="1" ref="D79" ca="1">OFFSET(POrigin,MATCH(Valori[[#This Row],[LUKB_id]],PID,0),MATCH("SC_GROUPED",PIntestazioni,0)-1,1,1)</f>
        <v>COM</v>
      </c>
      <c r="E79" s="413" t="str" cm="1">
        <f t="array" aca="1" ref="E79" ca="1">OFFSET(POrigin,MATCH(Valori[[#This Row],[LUKB_id]],PID,0),MATCH("isin",PIntestazioni,0)-1,1,1)</f>
        <v>XD0002811491</v>
      </c>
      <c r="F79" s="34" t="str" cm="1">
        <f t="array" aca="1" ref="F79" ca="1">OFFSET(POrigin,MATCH(Valori[[#This Row],[LUKB_id]],PID,0),MATCH("NSIN_CH",PLabel,0)-1,1,1)</f>
        <v>281149</v>
      </c>
      <c r="G79" s="95" t="str" cm="1">
        <f t="array" aca="1" ref="G79" ca="1">IF(OFFSET(POrigin,MATCH(Valori[[#This Row],[LUKB_id]],PID,0),MATCH("INSTRUNIT",PLabel,0)-1,1,1)="Nominal","Pct","Unit")</f>
        <v>Unit</v>
      </c>
      <c r="H79" s="612">
        <f ca="1">MAX(OFFSET(POrigin,MATCH(Valori[[#This Row],[LUKB_id]],PID,0),MATCH("PRICINGAMT",PLabel,0)-1,1,1),1)</f>
        <v>1</v>
      </c>
      <c r="I79" s="615" t="str" cm="1">
        <f t="array" aca="1" ref="I79" ca="1">OFFSET(POrigin,MATCH(Valori[[#This Row],[LUKB_id]],PID,0),MATCH("M_NAME",PLabel,0)-1,1,1)</f>
        <v>Gold 1 Uz 999.9</v>
      </c>
      <c r="M79" s="142" t="str" cm="1">
        <f t="array" aca="1" ref="M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Uz 999.9</v>
      </c>
      <c r="N79" s="1563">
        <f ca="1">COUNTIF('CHF M'!smo_id,Valori[[#This Row],[smo_id]])+COUNTIF('CHF MA'!smo_id,Valori[[#This Row],[smo_id]])+COUNTIF('EUR MB'!smo_id,Valori[[#This Row],[smo_id]])+COUNTIF('EUR M'!smo_id,Valori[[#This Row],[smo_id]])+COUNTIF(AGCO!smo_id,Valori[[#This Row],[smo_id]])</f>
        <v>1</v>
      </c>
      <c r="O79" s="1590" cm="1">
        <f t="array" aca="1" ref="O79" ca="1">SUM(IF('CHF M'!smo_id=Valori[[#This Row],[smo_id]],'CHF M'!Posizione))+SUM(IF('CHF MA'!smo_id=Valori[[#This Row],[smo_id]],'CHF MA'!Posizione))+SUM(IF('EUR MB'!smo_id=Valori[[#This Row],[smo_id]],'EUR MB'!Posizione))+SUM(IF('EUR M'!smo_id=Valori[[#This Row],[smo_id]],'EUR M'!Posizione))+SUM(IF(AGCO!smo_id=Valori[[#This Row],[smo_id]],AGCO!Posizione))</f>
        <v>70.010000000000005</v>
      </c>
      <c r="P79" s="1661" t="str">
        <f ca="1">HYPERLINK(Valori[[#This Row],[P_Source]],"è")</f>
        <v>è</v>
      </c>
      <c r="Q79" s="1663" t="str">
        <f>HYPERLINK(Valori[[#This Row],[Info_W]],"i")</f>
        <v>i</v>
      </c>
      <c r="R79" s="1664" t="str">
        <f>HYPERLINK(Valori[[#This Row],[FN_W]],"")</f>
        <v></v>
      </c>
      <c r="S79" s="1665" t="str">
        <f>HYPERLINK(Valori[[#This Row],[MS_Link]],"")</f>
        <v></v>
      </c>
      <c r="T79" s="1665" t="str">
        <f>HYPERLINK(Valori[[#This Row],[C_source]],"")</f>
        <v></v>
      </c>
      <c r="U79" s="142" t="str" cm="1">
        <f t="array" aca="1" ref="U79" ca="1">OFFSET(POrigin,MATCH(Valori[[#This Row],[LUKB_id]],PID,0),MATCH("M_CUR",PLabel,0)-1,1,1)</f>
        <v>CHF</v>
      </c>
      <c r="V79" s="1562">
        <f ca="1">(Valori[[#This Row],[Last]]+Valori[[#This Row],[Acc. Int]])/Valori[[#This Row],[Pr.Amt]]/IF(Valori[[#This Row],[P_Type]]="Pct",100,1)</f>
        <v>3991.9100000000003</v>
      </c>
      <c r="W79" s="1591" cm="1">
        <f t="array" aca="1" ref="W79" ca="1">OFFSET(POrigin,MATCH(Valori[[#This Row],[LUKB_id]],PID,0),MATCH("NC2_PR",PLabel,0)-1,1,1)/100</f>
        <v>-3.9091931030664599E-2</v>
      </c>
      <c r="X79" s="1592" cm="1">
        <f t="array" aca="1" ref="X79" ca="1">OFFSET(POrigin,MATCH(Valori[[#This Row],[LUKB_id]],PID,0),MATCH("LVAL",PLabel,0)-1,1,1)</f>
        <v>3991.9100000000003</v>
      </c>
      <c r="Y79" s="1593" cm="1">
        <f t="array" aca="1" ref="Y79" ca="1">OFFSET(POrigin,MATCH(Valori[[#This Row],[LUKB_id]],PID,0),MATCH("LVAL:datetime",PLabel,0)-1,1,1)</f>
        <v>46084.708333333336</v>
      </c>
      <c r="Z79" s="1594" cm="1">
        <f t="array" aca="1" ref="Z79" ca="1">OFFSET(POrigin,MATCH(Valori[[#This Row],[LUKB_id]],PID,0),MATCH("BID:volume",PLabel,0)-1,1,1)</f>
        <v>0</v>
      </c>
      <c r="AA79" s="1595" cm="1">
        <f t="array" aca="1" ref="AA79" ca="1">OFFSET(POrigin,MATCH(Valori[[#This Row],[LUKB_id]],PID,0),MATCH("BID",PLabel,0)-1,1,1)</f>
        <v>0</v>
      </c>
      <c r="AB79" s="1595" cm="1">
        <f t="array" aca="1" ref="AB79" ca="1">OFFSET(POrigin,MATCH(Valori[[#This Row],[LUKB_id]],PID,0),MATCH("ASK",PLabel,0)-1,1,1)</f>
        <v>0</v>
      </c>
      <c r="AC79" s="1594" cm="1">
        <f t="array" aca="1" ref="AC79" ca="1">OFFSET(POrigin,MATCH(Valori[[#This Row],[LUKB_id]],PID,0),MATCH("ASK:volume",PLabel,0)-1,1,1)</f>
        <v>0</v>
      </c>
      <c r="AD79" s="1596" cm="1">
        <f t="array" aca="1" ref="AD79" ca="1">OFFSET(POrigin,MATCH(Valori[[#This Row],[LUKB_id]],PID,0),MATCH("BID-ASK Spread %",PLabel,0)-1,1,1)</f>
        <v>0</v>
      </c>
      <c r="AE79" s="1597" t="str" cm="1">
        <f t="array" aca="1" ref="AE79" ca="1">IF(OFFSET(POrigin,MATCH(Valori[[#This Row],[LUKB_id]],PID,0),MATCH("MATURITY",PLabel,0)-1,1,1)&gt;0,OFFSET(POrigin,MATCH(Valori[[#This Row],[LUKB_id]],PID,0),MATCH("MATURITY",PLabel,0)-1,1,1),"")</f>
        <v/>
      </c>
      <c r="AF79" s="1598" cm="1">
        <f t="array" aca="1" ref="AF79" ca="1">OFFSET(POrigin,MATCH(Valori[[#This Row],[LUKB_id]],PID,0),MATCH("ACCINT",PLabel,0)-1,1,1)</f>
        <v>0</v>
      </c>
      <c r="AG79" s="1594" cm="1">
        <f t="array" aca="1" ref="AG79" ca="1">OFFSET(POrigin,MATCH(Valori[[#This Row],[LUKB_id]],PID,0),MATCH("DENOM",PLabel,0)-1,1,1)</f>
        <v>0</v>
      </c>
      <c r="AH79" s="1599" cm="1">
        <f t="array" aca="1" ref="AH79" ca="1">(OFFSET(POrigin,MATCH(Valori[[#This Row],[LUKB_id]],PID,0),MATCH("YIELD",PLabel,0)-1,1,1)+OFFSET(POrigin,MATCH(Valori[[#This Row],[LUKB_id]],PID,0),MATCH("YLDEQ",PLabel,0)-1,1,1))/100</f>
        <v>0</v>
      </c>
      <c r="AI79" s="1600">
        <f ca="1">OFFSET(POrigin,MATCH(Valori[[#This Row],[LUKB_id]],PID,0),MATCH("DIVIDEND",PLabel,0)-1,1,1)</f>
        <v>0</v>
      </c>
      <c r="AJ79" s="1601">
        <f ca="1">OFFSET(POrigin,MATCH(Valori[[#This Row],[LUKB_id]],PID,0),MATCH("DIVIDEND:datetime",PLabel,0)-1,1,1)</f>
        <v>0</v>
      </c>
      <c r="AK79" s="1602">
        <f ca="1">OFFSET(POrigin,MATCH(Valori[[#This Row],[LUKB_id]],PID,0),MATCH("INTEREST",PLabel,0)-1,1,1)</f>
        <v>0</v>
      </c>
      <c r="AL79" s="1603">
        <f ca="1">OFFSET(POrigin,MATCH(Valori[[#This Row],[LUKB_id]],PID,0),MATCH("4W_PERF_PR",PLabel,0)-1,1,1)/100</f>
        <v>0.14532461767925001</v>
      </c>
      <c r="AM79" s="1603">
        <f ca="1">OFFSET(POrigin,MATCH(Valori[[#This Row],[LUKB_id]],PID,0),MATCH("12W_PERF_PR",PLabel,0)-1,1,1)/100</f>
        <v>0.22882040269409301</v>
      </c>
      <c r="AN79" s="1603">
        <f ca="1">OFFSET(POrigin,MATCH(Valori[[#This Row],[LUKB_id]],PID,0),MATCH("YTD_PERF_PR",PLabel,0)-1,1,1)/100</f>
        <v>0.16274754818433115</v>
      </c>
      <c r="AO79" s="1591"/>
      <c r="AP79" s="1591"/>
      <c r="AQ79" s="1591"/>
      <c r="AR79" s="1591"/>
      <c r="AS79" s="1890"/>
      <c r="AT79" s="1890"/>
      <c r="AU79" s="610"/>
      <c r="AV79" s="1891"/>
      <c r="AW79" s="1604" t="str">
        <f ca="1">"https://boersenundmaerkte.lukb.ch/lukb/details/"&amp;Valori[[#This Row],[LUKB_id]]</f>
        <v>https://boersenundmaerkte.lukb.ch/lukb/details/281149,176,1</v>
      </c>
      <c r="AX7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9" s="142"/>
      <c r="AZ79" s="142"/>
      <c r="BA79" s="142"/>
      <c r="BB79" s="142"/>
    </row>
    <row r="80" spans="1:54" ht="15" customHeight="1" x14ac:dyDescent="0.2">
      <c r="A80" s="142" t="s">
        <v>1056</v>
      </c>
      <c r="B80" s="142" t="s">
        <v>1057</v>
      </c>
      <c r="C80" s="1668" t="str">
        <f>HYPERLINK("https://boersenundmaerkte.lukb.ch/lukb/details/"&amp;Valori[[#This Row],[LUKB_id]],"è")</f>
        <v>è</v>
      </c>
      <c r="D80" s="142" t="str" cm="1">
        <f t="array" aca="1" ref="D80" ca="1">OFFSET(POrigin,MATCH(Valori[[#This Row],[LUKB_id]],PID,0),MATCH("SC_GROUPED",PIntestazioni,0)-1,1,1)</f>
        <v>COM</v>
      </c>
      <c r="E80" s="413" t="str" cm="1">
        <f t="array" aca="1" ref="E80" ca="1">OFFSET(POrigin,MATCH(Valori[[#This Row],[LUKB_id]],PID,0),MATCH("isin",PIntestazioni,0)-1,1,1)</f>
        <v>CH0002811245</v>
      </c>
      <c r="F80" s="34" t="str" cm="1">
        <f t="array" aca="1" ref="F80" ca="1">OFFSET(POrigin,MATCH(Valori[[#This Row],[LUKB_id]],PID,0),MATCH("NSIN_CH",PLabel,0)-1,1,1)</f>
        <v>281124</v>
      </c>
      <c r="G80" s="95" t="str" cm="1">
        <f t="array" aca="1" ref="G80" ca="1">IF(OFFSET(POrigin,MATCH(Valori[[#This Row],[LUKB_id]],PID,0),MATCH("INSTRUNIT",PLabel,0)-1,1,1)="Nominal","Pct","Unit")</f>
        <v>Unit</v>
      </c>
      <c r="H80" s="612">
        <v>1</v>
      </c>
      <c r="I80" s="615" t="str" cm="1">
        <f t="array" aca="1" ref="I80" ca="1">OFFSET(POrigin,MATCH(Valori[[#This Row],[LUKB_id]],PID,0),MATCH("M_NAME",PLabel,0)-1,1,1)</f>
        <v>Gold 100 Gr 999.9</v>
      </c>
      <c r="J80" s="142" t="s">
        <v>595</v>
      </c>
      <c r="M80" s="142" t="str" cm="1">
        <f t="array" aca="1" ref="M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100 Gr 999.9</v>
      </c>
      <c r="N80" s="1563">
        <f ca="1">COUNTIF('CHF M'!smo_id,Valori[[#This Row],[smo_id]])+COUNTIF('CHF MA'!smo_id,Valori[[#This Row],[smo_id]])+COUNTIF('EUR MB'!smo_id,Valori[[#This Row],[smo_id]])+COUNTIF('EUR M'!smo_id,Valori[[#This Row],[smo_id]])+COUNTIF(AGCO!smo_id,Valori[[#This Row],[smo_id]])</f>
        <v>1</v>
      </c>
      <c r="O80" s="1590" cm="1">
        <f t="array" aca="1" ref="O80" ca="1">SUM(IF('CHF M'!smo_id=Valori[[#This Row],[smo_id]],'CHF M'!Posizione))+SUM(IF('CHF MA'!smo_id=Valori[[#This Row],[smo_id]],'CHF MA'!Posizione))+SUM(IF('EUR MB'!smo_id=Valori[[#This Row],[smo_id]],'EUR MB'!Posizione))+SUM(IF('EUR M'!smo_id=Valori[[#This Row],[smo_id]],'EUR M'!Posizione))+SUM(IF(AGCO!smo_id=Valori[[#This Row],[smo_id]],AGCO!Posizione))</f>
        <v>20</v>
      </c>
      <c r="P80" s="1661" t="str">
        <f>HYPERLINK(Valori[[#This Row],[P_Source]],"è")</f>
        <v>è</v>
      </c>
      <c r="Q80" s="1663" t="str">
        <f>HYPERLINK(Valori[[#This Row],[Info_W]],"i")</f>
        <v>i</v>
      </c>
      <c r="R80" s="1664" t="str">
        <f>HYPERLINK(Valori[[#This Row],[FN_W]],"")</f>
        <v></v>
      </c>
      <c r="S80" s="1665" t="str">
        <f>HYPERLINK(Valori[[#This Row],[MS_Link]],"")</f>
        <v></v>
      </c>
      <c r="T80" s="1665" t="str">
        <f>HYPERLINK(Valori[[#This Row],[C_source]],"")</f>
        <v></v>
      </c>
      <c r="U80" s="142" t="str" cm="1">
        <f t="array" aca="1" ref="U80" ca="1">OFFSET(POrigin,MATCH(Valori[[#This Row],[LUKB_id]],PID,0),MATCH("M_CUR",PLabel,0)-1,1,1)</f>
        <v>CHF</v>
      </c>
      <c r="V80" s="1562">
        <f ca="1">(Valori[[#This Row],[Last]]+Valori[[#This Row],[Acc. Int]])/Valori[[#This Row],[Pr.Amt]]/IF(Valori[[#This Row],[P_Type]]="Pct",100,1)</f>
        <v>12834.300000000001</v>
      </c>
      <c r="W80" s="1591" cm="1">
        <f t="array" aca="1" ref="W80" ca="1">OFFSET(POrigin,MATCH(Valori[[#This Row],[LUKB_id]],PID,0),MATCH("NC2_PR",PLabel,0)-1,1,1)/100</f>
        <v>-3.9089874517085496E-2</v>
      </c>
      <c r="X80" s="1592" cm="1">
        <f t="array" aca="1" ref="X80" ca="1">OFFSET(POrigin,MATCH(Valori[[#This Row],[LUKB_id]],PID,0),MATCH("LVAL",PLabel,0)-1,1,1)</f>
        <v>12834.300000000001</v>
      </c>
      <c r="Y80" s="1593" cm="1">
        <f t="array" aca="1" ref="Y80" ca="1">OFFSET(POrigin,MATCH(Valori[[#This Row],[LUKB_id]],PID,0),MATCH("LVAL:datetime",PLabel,0)-1,1,1)</f>
        <v>46084.708333333336</v>
      </c>
      <c r="Z80" s="1594" cm="1">
        <f t="array" aca="1" ref="Z80" ca="1">OFFSET(POrigin,MATCH(Valori[[#This Row],[LUKB_id]],PID,0),MATCH("BID:volume",PLabel,0)-1,1,1)</f>
        <v>0</v>
      </c>
      <c r="AA80" s="1595" cm="1">
        <f t="array" aca="1" ref="AA80" ca="1">OFFSET(POrigin,MATCH(Valori[[#This Row],[LUKB_id]],PID,0),MATCH("BID",PLabel,0)-1,1,1)</f>
        <v>0</v>
      </c>
      <c r="AB80" s="1595" cm="1">
        <f t="array" aca="1" ref="AB80" ca="1">OFFSET(POrigin,MATCH(Valori[[#This Row],[LUKB_id]],PID,0),MATCH("ASK",PLabel,0)-1,1,1)</f>
        <v>0</v>
      </c>
      <c r="AC80" s="1594" cm="1">
        <f t="array" aca="1" ref="AC80" ca="1">OFFSET(POrigin,MATCH(Valori[[#This Row],[LUKB_id]],PID,0),MATCH("ASK:volume",PLabel,0)-1,1,1)</f>
        <v>0</v>
      </c>
      <c r="AD80" s="1596" cm="1">
        <f t="array" aca="1" ref="AD80" ca="1">OFFSET(POrigin,MATCH(Valori[[#This Row],[LUKB_id]],PID,0),MATCH("BID-ASK Spread %",PLabel,0)-1,1,1)</f>
        <v>0</v>
      </c>
      <c r="AE80" s="1597" t="str" cm="1">
        <f t="array" aca="1" ref="AE80" ca="1">IF(OFFSET(POrigin,MATCH(Valori[[#This Row],[LUKB_id]],PID,0),MATCH("MATURITY",PLabel,0)-1,1,1)&gt;0,OFFSET(POrigin,MATCH(Valori[[#This Row],[LUKB_id]],PID,0),MATCH("MATURITY",PLabel,0)-1,1,1),"")</f>
        <v/>
      </c>
      <c r="AF80" s="1598" cm="1">
        <f t="array" aca="1" ref="AF80" ca="1">OFFSET(POrigin,MATCH(Valori[[#This Row],[LUKB_id]],PID,0),MATCH("ACCINT",PLabel,0)-1,1,1)</f>
        <v>0</v>
      </c>
      <c r="AG80" s="1594" cm="1">
        <f t="array" aca="1" ref="AG80" ca="1">OFFSET(POrigin,MATCH(Valori[[#This Row],[LUKB_id]],PID,0),MATCH("DENOM",PLabel,0)-1,1,1)</f>
        <v>0</v>
      </c>
      <c r="AH80" s="1599" cm="1">
        <f t="array" aca="1" ref="AH80" ca="1">(OFFSET(POrigin,MATCH(Valori[[#This Row],[LUKB_id]],PID,0),MATCH("YIELD",PLabel,0)-1,1,1)+OFFSET(POrigin,MATCH(Valori[[#This Row],[LUKB_id]],PID,0),MATCH("YLDEQ",PLabel,0)-1,1,1))/100</f>
        <v>0</v>
      </c>
      <c r="AI80" s="1600">
        <f ca="1">OFFSET(POrigin,MATCH(Valori[[#This Row],[LUKB_id]],PID,0),MATCH("DIVIDEND",PLabel,0)-1,1,1)</f>
        <v>0</v>
      </c>
      <c r="AJ80" s="1601">
        <f ca="1">OFFSET(POrigin,MATCH(Valori[[#This Row],[LUKB_id]],PID,0),MATCH("DIVIDEND:datetime",PLabel,0)-1,1,1)</f>
        <v>0</v>
      </c>
      <c r="AK80" s="1602">
        <f ca="1">OFFSET(POrigin,MATCH(Valori[[#This Row],[LUKB_id]],PID,0),MATCH("INTEREST",PLabel,0)-1,1,1)</f>
        <v>0</v>
      </c>
      <c r="AL80" s="1603">
        <f ca="1">OFFSET(POrigin,MATCH(Valori[[#This Row],[LUKB_id]],PID,0),MATCH("4W_PERF_PR",PLabel,0)-1,1,1)/100</f>
        <v>0.14532186559421001</v>
      </c>
      <c r="AM80" s="1603">
        <f ca="1">OFFSET(POrigin,MATCH(Valori[[#This Row],[LUKB_id]],PID,0),MATCH("12W_PERF_PR",PLabel,0)-1,1,1)/100</f>
        <v>0.22881878317831</v>
      </c>
      <c r="AN80" s="1603">
        <f ca="1">OFFSET(POrigin,MATCH(Valori[[#This Row],[LUKB_id]],PID,0),MATCH("YTD_PERF_PR",PLabel,0)-1,1,1)/100</f>
        <v>0.16274834887070905</v>
      </c>
      <c r="AO80" s="1591"/>
      <c r="AP80" s="1591"/>
      <c r="AQ80" s="1591"/>
      <c r="AR80" s="1591"/>
      <c r="AS80" s="1890" t="s">
        <v>877</v>
      </c>
      <c r="AT80" s="1890" t="s">
        <v>877</v>
      </c>
      <c r="AU80" s="610"/>
      <c r="AV80" s="1891" t="s">
        <v>1058</v>
      </c>
      <c r="AW80" s="1604" t="str">
        <f>"https://boersenundmaerkte.lukb.ch/lukb/details/"&amp;Valori[[#This Row],[LUKB_id]]</f>
        <v>https://boersenundmaerkte.lukb.ch/lukb/details/281124,176,1</v>
      </c>
      <c r="AX80"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0" s="142"/>
      <c r="AZ80" s="142"/>
      <c r="BA80" s="142"/>
      <c r="BB80" s="142"/>
    </row>
    <row r="81" spans="1:54" ht="15" customHeight="1" x14ac:dyDescent="0.2">
      <c r="A81" s="142" t="s">
        <v>1059</v>
      </c>
      <c r="B81" s="142" t="s">
        <v>1060</v>
      </c>
      <c r="C81" s="1668" t="str">
        <f>HYPERLINK("https://boersenundmaerkte.lukb.ch/lukb/details/"&amp;Valori[[#This Row],[LUKB_id]],"è")</f>
        <v>è</v>
      </c>
      <c r="D81" s="142" t="str" cm="1">
        <f t="array" aca="1" ref="D81" ca="1">OFFSET(POrigin,MATCH(Valori[[#This Row],[LUKB_id]],PID,0),MATCH("SC_GROUPED",PIntestazioni,0)-1,1,1)</f>
        <v>COM</v>
      </c>
      <c r="E81" s="413" t="str" cm="1">
        <f t="array" aca="1" ref="E81" ca="1">OFFSET(POrigin,MATCH(Valori[[#This Row],[LUKB_id]],PID,0),MATCH("isin",PIntestazioni,0)-1,1,1)</f>
        <v>ZAE000003992</v>
      </c>
      <c r="F81" s="34" t="str" cm="1">
        <f t="array" aca="1" ref="F81" ca="1">OFFSET(POrigin,MATCH(Valori[[#This Row],[LUKB_id]],PID,0),MATCH("NSIN_CH",PLabel,0)-1,1,1)</f>
        <v>281626</v>
      </c>
      <c r="G81" s="95" t="str" cm="1">
        <f t="array" aca="1" ref="G81" ca="1">IF(OFFSET(POrigin,MATCH(Valori[[#This Row],[LUKB_id]],PID,0),MATCH("INSTRUNIT",PLabel,0)-1,1,1)="Nominal","Pct","Unit")</f>
        <v>Unit</v>
      </c>
      <c r="H81" s="612">
        <f ca="1">MAX(OFFSET(POrigin,MATCH(Valori[[#This Row],[LUKB_id]],PID,0),MATCH("PRICINGAMT",PLabel,0)-1,1,1),1)</f>
        <v>1</v>
      </c>
      <c r="I81" s="615" t="str" cm="1">
        <f t="array" aca="1" ref="I81" ca="1">OFFSET(POrigin,MATCH(Valori[[#This Row],[LUKB_id]],PID,0),MATCH("M_NAME",PLabel,0)-1,1,1)</f>
        <v>Gold Muenzen</v>
      </c>
      <c r="J81" s="142" t="s">
        <v>794</v>
      </c>
      <c r="M81" s="142" t="str" cm="1">
        <f t="array" aca="1" ref="M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0.1 Once</v>
      </c>
      <c r="N81" s="1563">
        <f ca="1">COUNTIF('CHF M'!smo_id,Valori[[#This Row],[smo_id]])+COUNTIF('CHF MA'!smo_id,Valori[[#This Row],[smo_id]])+COUNTIF('EUR MB'!smo_id,Valori[[#This Row],[smo_id]])+COUNTIF('EUR M'!smo_id,Valori[[#This Row],[smo_id]])+COUNTIF(AGCO!smo_id,Valori[[#This Row],[smo_id]])</f>
        <v>2</v>
      </c>
      <c r="O81" s="1590" cm="1">
        <f t="array" aca="1" ref="O81" ca="1">SUM(IF('CHF M'!smo_id=Valori[[#This Row],[smo_id]],'CHF M'!Posizione))+SUM(IF('CHF MA'!smo_id=Valori[[#This Row],[smo_id]],'CHF MA'!Posizione))+SUM(IF('EUR MB'!smo_id=Valori[[#This Row],[smo_id]],'EUR MB'!Posizione))+SUM(IF('EUR M'!smo_id=Valori[[#This Row],[smo_id]],'EUR M'!Posizione))+SUM(IF(AGCO!smo_id=Valori[[#This Row],[smo_id]],AGCO!Posizione))</f>
        <v>1600</v>
      </c>
      <c r="P81" s="1661" t="str">
        <f>HYPERLINK(Valori[[#This Row],[P_Source]],"è")</f>
        <v>è</v>
      </c>
      <c r="Q81" s="1663" t="str">
        <f>HYPERLINK(Valori[[#This Row],[Info_W]],"i")</f>
        <v>i</v>
      </c>
      <c r="R81" s="1664" t="str">
        <f>HYPERLINK(Valori[[#This Row],[FN_W]],"")</f>
        <v></v>
      </c>
      <c r="S81" s="1665" t="str">
        <f>HYPERLINK(Valori[[#This Row],[MS_Link]],"")</f>
        <v></v>
      </c>
      <c r="T81" s="1665" t="str">
        <f>HYPERLINK(Valori[[#This Row],[C_source]],"")</f>
        <v></v>
      </c>
      <c r="U81" s="142" t="str" cm="1">
        <f t="array" aca="1" ref="U81" ca="1">OFFSET(POrigin,MATCH(Valori[[#This Row],[LUKB_id]],PID,0),MATCH("M_CUR",PLabel,0)-1,1,1)</f>
        <v>CHF</v>
      </c>
      <c r="V81" s="1562">
        <f ca="1">(Valori[[#This Row],[Last]]+Valori[[#This Row],[Acc. Int]])/Valori[[#This Row],[Pr.Amt]]/IF(Valori[[#This Row],[P_Type]]="Pct",100,1)</f>
        <v>395.20000000000005</v>
      </c>
      <c r="W81" s="1591" cm="1">
        <f t="array" aca="1" ref="W81" ca="1">OFFSET(POrigin,MATCH(Valori[[#This Row],[LUKB_id]],PID,0),MATCH("NC2_PR",PLabel,0)-1,1,1)/100</f>
        <v>-3.9144176999756801E-2</v>
      </c>
      <c r="X81" s="1592" cm="1">
        <f t="array" aca="1" ref="X81" ca="1">OFFSET(POrigin,MATCH(Valori[[#This Row],[LUKB_id]],PID,0),MATCH("LVAL",PLabel,0)-1,1,1)</f>
        <v>395.20000000000005</v>
      </c>
      <c r="Y81" s="1593" cm="1">
        <f t="array" aca="1" ref="Y81" ca="1">OFFSET(POrigin,MATCH(Valori[[#This Row],[LUKB_id]],PID,0),MATCH("LVAL:datetime",PLabel,0)-1,1,1)</f>
        <v>46084.708333333336</v>
      </c>
      <c r="Z81" s="1594" cm="1">
        <f t="array" aca="1" ref="Z81" ca="1">OFFSET(POrigin,MATCH(Valori[[#This Row],[LUKB_id]],PID,0),MATCH("BID:volume",PLabel,0)-1,1,1)</f>
        <v>0</v>
      </c>
      <c r="AA81" s="1595" cm="1">
        <f t="array" aca="1" ref="AA81" ca="1">OFFSET(POrigin,MATCH(Valori[[#This Row],[LUKB_id]],PID,0),MATCH("BID",PLabel,0)-1,1,1)</f>
        <v>395.20000000000005</v>
      </c>
      <c r="AB81" s="1595" cm="1">
        <f t="array" aca="1" ref="AB81" ca="1">OFFSET(POrigin,MATCH(Valori[[#This Row],[LUKB_id]],PID,0),MATCH("ASK",PLabel,0)-1,1,1)</f>
        <v>405.5</v>
      </c>
      <c r="AC81" s="1594" cm="1">
        <f t="array" aca="1" ref="AC81" ca="1">OFFSET(POrigin,MATCH(Valori[[#This Row],[LUKB_id]],PID,0),MATCH("ASK:volume",PLabel,0)-1,1,1)</f>
        <v>0</v>
      </c>
      <c r="AD81" s="1596" cm="1">
        <f t="array" aca="1" ref="AD81" ca="1">OFFSET(POrigin,MATCH(Valori[[#This Row],[LUKB_id]],PID,0),MATCH("BID-ASK Spread %",PLabel,0)-1,1,1)</f>
        <v>1.7225520528472205E-2</v>
      </c>
      <c r="AE81" s="1597" t="str" cm="1">
        <f t="array" aca="1" ref="AE81" ca="1">IF(OFFSET(POrigin,MATCH(Valori[[#This Row],[LUKB_id]],PID,0),MATCH("MATURITY",PLabel,0)-1,1,1)&gt;0,OFFSET(POrigin,MATCH(Valori[[#This Row],[LUKB_id]],PID,0),MATCH("MATURITY",PLabel,0)-1,1,1),"")</f>
        <v/>
      </c>
      <c r="AF81" s="1598" cm="1">
        <f t="array" aca="1" ref="AF81" ca="1">OFFSET(POrigin,MATCH(Valori[[#This Row],[LUKB_id]],PID,0),MATCH("ACCINT",PLabel,0)-1,1,1)</f>
        <v>0</v>
      </c>
      <c r="AG81" s="1594" cm="1">
        <f t="array" aca="1" ref="AG81" ca="1">OFFSET(POrigin,MATCH(Valori[[#This Row],[LUKB_id]],PID,0),MATCH("DENOM",PLabel,0)-1,1,1)</f>
        <v>0</v>
      </c>
      <c r="AH81" s="1599" cm="1">
        <f t="array" aca="1" ref="AH81" ca="1">(OFFSET(POrigin,MATCH(Valori[[#This Row],[LUKB_id]],PID,0),MATCH("YIELD",PLabel,0)-1,1,1)+OFFSET(POrigin,MATCH(Valori[[#This Row],[LUKB_id]],PID,0),MATCH("YLDEQ",PLabel,0)-1,1,1))/100</f>
        <v>0</v>
      </c>
      <c r="AI81" s="1600">
        <f ca="1">OFFSET(POrigin,MATCH(Valori[[#This Row],[LUKB_id]],PID,0),MATCH("DIVIDEND",PLabel,0)-1,1,1)</f>
        <v>0</v>
      </c>
      <c r="AJ81" s="1601">
        <f ca="1">OFFSET(POrigin,MATCH(Valori[[#This Row],[LUKB_id]],PID,0),MATCH("DIVIDEND:datetime",PLabel,0)-1,1,1)</f>
        <v>0</v>
      </c>
      <c r="AK81" s="1602">
        <f ca="1">OFFSET(POrigin,MATCH(Valori[[#This Row],[LUKB_id]],PID,0),MATCH("INTEREST",PLabel,0)-1,1,1)</f>
        <v>0</v>
      </c>
      <c r="AL81" s="1603">
        <f ca="1">OFFSET(POrigin,MATCH(Valori[[#This Row],[LUKB_id]],PID,0),MATCH("4W_PERF_PR",PLabel,0)-1,1,1)/100</f>
        <v>0.14760044642857201</v>
      </c>
      <c r="AM81" s="1603">
        <f ca="1">OFFSET(POrigin,MATCH(Valori[[#This Row],[LUKB_id]],PID,0),MATCH("12W_PERF_PR",PLabel,0)-1,1,1)/100</f>
        <v>0.228494623655915</v>
      </c>
      <c r="AN81" s="1603">
        <f ca="1">OFFSET(POrigin,MATCH(Valori[[#This Row],[LUKB_id]],PID,0),MATCH("YTD_PERF_PR",PLabel,0)-1,1,1)/100</f>
        <v>0.16269491026772581</v>
      </c>
      <c r="AO81" s="1591"/>
      <c r="AP81" s="1591"/>
      <c r="AQ81" s="1591"/>
      <c r="AR81" s="1591"/>
      <c r="AS81" s="1890" t="s">
        <v>877</v>
      </c>
      <c r="AT81" s="1890" t="s">
        <v>1061</v>
      </c>
      <c r="AU81" s="610" t="s">
        <v>1062</v>
      </c>
      <c r="AV81" s="1891" t="s">
        <v>1063</v>
      </c>
      <c r="AW81" s="1604" t="str">
        <f>"https://boersenundmaerkte.lukb.ch/lukb/details/"&amp;Valori[[#This Row],[LUKB_id]]</f>
        <v>https://boersenundmaerkte.lukb.ch/lukb/details/281626,176,1</v>
      </c>
      <c r="AX81" s="1605" t="str">
        <f>"https://www.zonebourse.com/mods_a/charts/TV/inc_dyna_graph.php?c="&amp;Valori[[#This Row],[MS_Code]]&amp;"&amp;style=TradingView.CANDLES&amp;interval=(null)&amp;mobile=(null)&amp;showAT=1"</f>
        <v>https://www.zonebourse.com/mods_a/charts/TV/inc_dyna_graph.php?c=6582718&amp;style=TradingView.CANDLES&amp;interval=(null)&amp;mobile=(null)&amp;showAT=1</v>
      </c>
      <c r="AY81" s="142"/>
      <c r="AZ81" s="142"/>
      <c r="BA81" s="142"/>
      <c r="BB81" s="142"/>
    </row>
    <row r="82" spans="1:54" ht="15" customHeight="1" x14ac:dyDescent="0.2">
      <c r="A82" s="142" t="s">
        <v>1064</v>
      </c>
      <c r="B82" s="142" t="str" cm="1">
        <f t="array" aca="1" ref="B82" ca="1">OFFSET(POrigin,MATCH(Valori[[#This Row],[smo_id]],Posizioni[smo_id],0),MATCH("LUKB_id",PIntestazioni,0)-1,1,1)</f>
        <v>281624,190,1</v>
      </c>
      <c r="C82" s="1668" t="str">
        <f ca="1">HYPERLINK("https://boersenundmaerkte.lukb.ch/lukb/details/"&amp;Valori[[#This Row],[LUKB_id]],"è")</f>
        <v>è</v>
      </c>
      <c r="D82" s="142" t="str" cm="1">
        <f t="array" aca="1" ref="D82" ca="1">OFFSET(POrigin,MATCH(Valori[[#This Row],[LUKB_id]],PID,0),MATCH("SC_GROUPED",PIntestazioni,0)-1,1,1)</f>
        <v>COM</v>
      </c>
      <c r="E82" s="413" t="str" cm="1">
        <f t="array" aca="1" ref="E82" ca="1">OFFSET(POrigin,MATCH(Valori[[#This Row],[LUKB_id]],PID,0),MATCH("isin",PIntestazioni,0)-1,1,1)</f>
        <v>ZAE000003950</v>
      </c>
      <c r="F82" s="34" t="str" cm="1">
        <f t="array" aca="1" ref="F82" ca="1">OFFSET(POrigin,MATCH(Valori[[#This Row],[LUKB_id]],PID,0),MATCH("NSIN_CH",PLabel,0)-1,1,1)</f>
        <v>281624</v>
      </c>
      <c r="G82" s="95" t="str" cm="1">
        <f t="array" aca="1" ref="G82" ca="1">IF(OFFSET(POrigin,MATCH(Valori[[#This Row],[LUKB_id]],PID,0),MATCH("INSTRUNIT",PLabel,0)-1,1,1)="Nominal","Pct","Unit")</f>
        <v>Unit</v>
      </c>
      <c r="H82" s="612">
        <f ca="1">MAX(OFFSET(POrigin,MATCH(Valori[[#This Row],[LUKB_id]],PID,0),MATCH("PRICINGAMT",PLabel,0)-1,1,1),1)</f>
        <v>1</v>
      </c>
      <c r="I82" s="615" t="str" cm="1">
        <f t="array" aca="1" ref="I82" ca="1">OFFSET(POrigin,MATCH(Valori[[#This Row],[LUKB_id]],PID,0),MATCH("M_NAME",PLabel,0)-1,1,1)</f>
        <v>S. Afr. Goldm. Krue</v>
      </c>
      <c r="J82" s="142" t="s">
        <v>795</v>
      </c>
      <c r="M82" s="142" t="str" cm="1">
        <f t="array" aca="1" ref="M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1 Once</v>
      </c>
      <c r="N82" s="1563">
        <f ca="1">COUNTIF('CHF M'!smo_id,Valori[[#This Row],[smo_id]])+COUNTIF('CHF MA'!smo_id,Valori[[#This Row],[smo_id]])+COUNTIF('EUR MB'!smo_id,Valori[[#This Row],[smo_id]])+COUNTIF('EUR M'!smo_id,Valori[[#This Row],[smo_id]])+COUNTIF(AGCO!smo_id,Valori[[#This Row],[smo_id]])</f>
        <v>2</v>
      </c>
      <c r="O82" s="1590" cm="1">
        <f t="array" aca="1" ref="O82" ca="1">SUM(IF('CHF M'!smo_id=Valori[[#This Row],[smo_id]],'CHF M'!Posizione))+SUM(IF('CHF MA'!smo_id=Valori[[#This Row],[smo_id]],'CHF MA'!Posizione))+SUM(IF('EUR MB'!smo_id=Valori[[#This Row],[smo_id]],'EUR MB'!Posizione))+SUM(IF('EUR M'!smo_id=Valori[[#This Row],[smo_id]],'EUR M'!Posizione))+SUM(IF(AGCO!smo_id=Valori[[#This Row],[smo_id]],AGCO!Posizione))</f>
        <v>145</v>
      </c>
      <c r="P82" s="1661" t="str">
        <f ca="1">HYPERLINK(Valori[[#This Row],[P_Source]],"è")</f>
        <v>è</v>
      </c>
      <c r="Q82" s="1663" t="str">
        <f>HYPERLINK(Valori[[#This Row],[Info_W]],"i")</f>
        <v>i</v>
      </c>
      <c r="R82" s="1664" t="str">
        <f>HYPERLINK(Valori[[#This Row],[FN_W]],"")</f>
        <v></v>
      </c>
      <c r="S82" s="1665" t="str">
        <f>HYPERLINK(Valori[[#This Row],[MS_Link]],"")</f>
        <v></v>
      </c>
      <c r="T82" s="1665" t="str">
        <f>HYPERLINK(Valori[[#This Row],[C_source]],"")</f>
        <v></v>
      </c>
      <c r="U82" s="142" t="str" cm="1">
        <f t="array" aca="1" ref="U82" ca="1">OFFSET(POrigin,MATCH(Valori[[#This Row],[LUKB_id]],PID,0),MATCH("M_CUR",PLabel,0)-1,1,1)</f>
        <v>CHF</v>
      </c>
      <c r="V82" s="1562">
        <f ca="1">(Valori[[#This Row],[Last]]+Valori[[#This Row],[Acc. Int]])/Valori[[#This Row],[Pr.Amt]]/IF(Valori[[#This Row],[P_Type]]="Pct",100,1)</f>
        <v>3998</v>
      </c>
      <c r="W82" s="1591" cm="1">
        <f t="array" aca="1" ref="W82" ca="1">OFFSET(POrigin,MATCH(Valori[[#This Row],[LUKB_id]],PID,0),MATCH("NC2_PR",PLabel,0)-1,1,1)/100</f>
        <v>-3.9057805552217301E-2</v>
      </c>
      <c r="X82" s="1592" cm="1">
        <f t="array" aca="1" ref="X82" ca="1">OFFSET(POrigin,MATCH(Valori[[#This Row],[LUKB_id]],PID,0),MATCH("LVAL",PLabel,0)-1,1,1)</f>
        <v>3998</v>
      </c>
      <c r="Y82" s="1593" cm="1">
        <f t="array" aca="1" ref="Y82" ca="1">OFFSET(POrigin,MATCH(Valori[[#This Row],[LUKB_id]],PID,0),MATCH("LVAL:datetime",PLabel,0)-1,1,1)</f>
        <v>46084.796342592592</v>
      </c>
      <c r="Z82" s="1594" cm="1">
        <f t="array" aca="1" ref="Z82" ca="1">OFFSET(POrigin,MATCH(Valori[[#This Row],[LUKB_id]],PID,0),MATCH("BID:volume",PLabel,0)-1,1,1)</f>
        <v>0</v>
      </c>
      <c r="AA82" s="1595" cm="1">
        <f t="array" aca="1" ref="AA82" ca="1">OFFSET(POrigin,MATCH(Valori[[#This Row],[LUKB_id]],PID,0),MATCH("BID",PLabel,0)-1,1,1)</f>
        <v>3947</v>
      </c>
      <c r="AB82" s="1595" cm="1">
        <f t="array" aca="1" ref="AB82" ca="1">OFFSET(POrigin,MATCH(Valori[[#This Row],[LUKB_id]],PID,0),MATCH("ASK",PLabel,0)-1,1,1)</f>
        <v>4049</v>
      </c>
      <c r="AC82" s="1594" cm="1">
        <f t="array" aca="1" ref="AC82" ca="1">OFFSET(POrigin,MATCH(Valori[[#This Row],[LUKB_id]],PID,0),MATCH("ASK:volume",PLabel,0)-1,1,1)</f>
        <v>0</v>
      </c>
      <c r="AD82" s="1596" cm="1">
        <f t="array" aca="1" ref="AD82" ca="1">OFFSET(POrigin,MATCH(Valori[[#This Row],[LUKB_id]],PID,0),MATCH("BID-ASK Spread %",PLabel,0)-1,1,1)</f>
        <v>1.7081135393117307E-2</v>
      </c>
      <c r="AE82" s="1597" t="str" cm="1">
        <f t="array" aca="1" ref="AE82" ca="1">IF(OFFSET(POrigin,MATCH(Valori[[#This Row],[LUKB_id]],PID,0),MATCH("MATURITY",PLabel,0)-1,1,1)&gt;0,OFFSET(POrigin,MATCH(Valori[[#This Row],[LUKB_id]],PID,0),MATCH("MATURITY",PLabel,0)-1,1,1),"")</f>
        <v/>
      </c>
      <c r="AF82" s="1598" cm="1">
        <f t="array" aca="1" ref="AF82" ca="1">OFFSET(POrigin,MATCH(Valori[[#This Row],[LUKB_id]],PID,0),MATCH("ACCINT",PLabel,0)-1,1,1)</f>
        <v>0</v>
      </c>
      <c r="AG82" s="1594" cm="1">
        <f t="array" aca="1" ref="AG82" ca="1">OFFSET(POrigin,MATCH(Valori[[#This Row],[LUKB_id]],PID,0),MATCH("DENOM",PLabel,0)-1,1,1)</f>
        <v>0</v>
      </c>
      <c r="AH82" s="1599" cm="1">
        <f t="array" aca="1" ref="AH82" ca="1">(OFFSET(POrigin,MATCH(Valori[[#This Row],[LUKB_id]],PID,0),MATCH("YIELD",PLabel,0)-1,1,1)+OFFSET(POrigin,MATCH(Valori[[#This Row],[LUKB_id]],PID,0),MATCH("YLDEQ",PLabel,0)-1,1,1))/100</f>
        <v>0</v>
      </c>
      <c r="AI82" s="1600">
        <f ca="1">OFFSET(POrigin,MATCH(Valori[[#This Row],[LUKB_id]],PID,0),MATCH("DIVIDEND",PLabel,0)-1,1,1)</f>
        <v>0</v>
      </c>
      <c r="AJ82" s="1601">
        <f ca="1">OFFSET(POrigin,MATCH(Valori[[#This Row],[LUKB_id]],PID,0),MATCH("DIVIDEND:datetime",PLabel,0)-1,1,1)</f>
        <v>0</v>
      </c>
      <c r="AK82" s="1602">
        <f ca="1">OFFSET(POrigin,MATCH(Valori[[#This Row],[LUKB_id]],PID,0),MATCH("INTEREST",PLabel,0)-1,1,1)</f>
        <v>0</v>
      </c>
      <c r="AL82" s="1603">
        <f ca="1">OFFSET(POrigin,MATCH(Valori[[#This Row],[LUKB_id]],PID,0),MATCH("4W_PERF_PR",PLabel,0)-1,1,1)/100</f>
        <v>0</v>
      </c>
      <c r="AM82" s="1603">
        <f ca="1">OFFSET(POrigin,MATCH(Valori[[#This Row],[LUKB_id]],PID,0),MATCH("12W_PERF_PR",PLabel,0)-1,1,1)/100</f>
        <v>0</v>
      </c>
      <c r="AN82" s="1603">
        <f ca="1">OFFSET(POrigin,MATCH(Valori[[#This Row],[LUKB_id]],PID,0),MATCH("YTD_PERF_PR",PLabel,0)-1,1,1)/100</f>
        <v>0.16559767</v>
      </c>
      <c r="AO82" s="1591"/>
      <c r="AP82" s="1591"/>
      <c r="AQ82" s="1591"/>
      <c r="AR82" s="1591"/>
      <c r="AS82" s="1890" t="s">
        <v>877</v>
      </c>
      <c r="AT82" s="1890" t="s">
        <v>1065</v>
      </c>
      <c r="AU82" s="610" t="s">
        <v>1066</v>
      </c>
      <c r="AV82" s="1891" t="s">
        <v>1067</v>
      </c>
      <c r="AW82" s="1604" t="str">
        <f ca="1">"https://boersenundmaerkte.lukb.ch/lukb/details/"&amp;Valori[[#This Row],[LUKB_id]]</f>
        <v>https://boersenundmaerkte.lukb.ch/lukb/details/281624,190,1</v>
      </c>
      <c r="AX82" s="1605" t="str">
        <f>"https://www.zonebourse.com/mods_a/charts/TV/inc_dyna_graph.php?c="&amp;Valori[[#This Row],[MS_Code]]&amp;"&amp;style=TradingView.CANDLES&amp;interval=(null)&amp;mobile=(null)&amp;showAT=1"</f>
        <v>https://www.zonebourse.com/mods_a/charts/TV/inc_dyna_graph.php?c=119962487&amp;style=TradingView.CANDLES&amp;interval=(null)&amp;mobile=(null)&amp;showAT=1</v>
      </c>
      <c r="AY82" s="142"/>
      <c r="AZ82" s="142"/>
      <c r="BA82" s="142"/>
      <c r="BB82" s="142"/>
    </row>
    <row r="83" spans="1:54" ht="15" customHeight="1" x14ac:dyDescent="0.2">
      <c r="A83" s="142" t="s">
        <v>1068</v>
      </c>
      <c r="B83" s="142" t="str" cm="1">
        <f t="array" aca="1" ref="B83" ca="1">OFFSET(POrigin,MATCH(Valori[[#This Row],[smo_id]],Posizioni[smo_id],0),MATCH("LUKB_id",PIntestazioni,0)-1,1,1)</f>
        <v>281889,178,333</v>
      </c>
      <c r="C83" s="1668" t="str">
        <f ca="1">HYPERLINK("https://boersenundmaerkte.lukb.ch/lukb/details/"&amp;Valori[[#This Row],[LUKB_id]],"è")</f>
        <v>è</v>
      </c>
      <c r="D83" s="142" t="str" cm="1">
        <f t="array" aca="1" ref="D83" ca="1">OFFSET(POrigin,MATCH(Valori[[#This Row],[LUKB_id]],PID,0),MATCH("SC_GROUPED",PIntestazioni,0)-1,1,1)</f>
        <v>COM</v>
      </c>
      <c r="E83" s="413" t="str" cm="1">
        <f t="array" aca="1" ref="E83" ca="1">OFFSET(POrigin,MATCH(Valori[[#This Row],[LUKB_id]],PID,0),MATCH("isin",PIntestazioni,0)-1,1,1)</f>
        <v>XD0002818892</v>
      </c>
      <c r="F83" s="34" t="str" cm="1">
        <f t="array" aca="1" ref="F83" ca="1">OFFSET(POrigin,MATCH(Valori[[#This Row],[LUKB_id]],PID,0),MATCH("NSIN_CH",PLabel,0)-1,1,1)</f>
        <v>281889</v>
      </c>
      <c r="G83" s="95" t="str" cm="1">
        <f t="array" aca="1" ref="G83" ca="1">IF(OFFSET(POrigin,MATCH(Valori[[#This Row],[LUKB_id]],PID,0),MATCH("INSTRUNIT",PLabel,0)-1,1,1)="Nominal","Pct","Unit")</f>
        <v>Unit</v>
      </c>
      <c r="H83" s="612">
        <f ca="1">MAX(OFFSET(POrigin,MATCH(Valori[[#This Row],[LUKB_id]],PID,0),MATCH("PRICINGAMT",PLabel,0)-1,1,1),1)</f>
        <v>1</v>
      </c>
      <c r="I83" s="615" t="str" cm="1">
        <f t="array" aca="1" ref="I83" ca="1">OFFSET(POrigin,MATCH(Valori[[#This Row],[LUKB_id]],PID,0),MATCH("M_NAME",PLabel,0)-1,1,1)</f>
        <v>Goldm CAD50 MapleL</v>
      </c>
      <c r="J83" s="142" t="s">
        <v>798</v>
      </c>
      <c r="M83" s="142" t="str" cm="1">
        <f t="array" aca="1" ref="M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Maple Leaf CAD 50 1 Once</v>
      </c>
      <c r="N83" s="1563">
        <f ca="1">COUNTIF('CHF M'!smo_id,Valori[[#This Row],[smo_id]])+COUNTIF('CHF MA'!smo_id,Valori[[#This Row],[smo_id]])+COUNTIF('EUR MB'!smo_id,Valori[[#This Row],[smo_id]])+COUNTIF('EUR M'!smo_id,Valori[[#This Row],[smo_id]])+COUNTIF(AGCO!smo_id,Valori[[#This Row],[smo_id]])</f>
        <v>2</v>
      </c>
      <c r="O83" s="1590" cm="1">
        <f t="array" aca="1" ref="O83" ca="1">SUM(IF('CHF M'!smo_id=Valori[[#This Row],[smo_id]],'CHF M'!Posizione))+SUM(IF('CHF MA'!smo_id=Valori[[#This Row],[smo_id]],'CHF MA'!Posizione))+SUM(IF('EUR MB'!smo_id=Valori[[#This Row],[smo_id]],'EUR MB'!Posizione))+SUM(IF('EUR M'!smo_id=Valori[[#This Row],[smo_id]],'EUR M'!Posizione))+SUM(IF(AGCO!smo_id=Valori[[#This Row],[smo_id]],AGCO!Posizione))</f>
        <v>45</v>
      </c>
      <c r="P83" s="1661" t="str">
        <f ca="1">HYPERLINK(Valori[[#This Row],[P_Source]],"è")</f>
        <v>è</v>
      </c>
      <c r="Q83" s="1663" t="str">
        <f>HYPERLINK(Valori[[#This Row],[Info_W]],"i")</f>
        <v>i</v>
      </c>
      <c r="R83" s="1664" t="str">
        <f>HYPERLINK(Valori[[#This Row],[FN_W]],"")</f>
        <v></v>
      </c>
      <c r="S83" s="1665" t="str">
        <f>HYPERLINK(Valori[[#This Row],[MS_Link]],"")</f>
        <v></v>
      </c>
      <c r="T83" s="1665" t="str">
        <f>HYPERLINK(Valori[[#This Row],[C_source]],"")</f>
        <v></v>
      </c>
      <c r="U83" s="142" t="str" cm="1">
        <f t="array" aca="1" ref="U83" ca="1">OFFSET(POrigin,MATCH(Valori[[#This Row],[LUKB_id]],PID,0),MATCH("M_CUR",PLabel,0)-1,1,1)</f>
        <v>USD</v>
      </c>
      <c r="V83" s="1562">
        <f ca="1">(Valori[[#This Row],[Last]]+Valori[[#This Row],[Acc. Int]])/Valori[[#This Row],[Pr.Amt]]/IF(Valori[[#This Row],[P_Type]]="Pct",100,1)</f>
        <v>5207.5</v>
      </c>
      <c r="W83" s="1591" cm="1">
        <f t="array" aca="1" ref="W83" ca="1">OFFSET(POrigin,MATCH(Valori[[#This Row],[LUKB_id]],PID,0),MATCH("NC2_PR",PLabel,0)-1,1,1)/100</f>
        <v>-4.5895932576035199E-2</v>
      </c>
      <c r="X83" s="1592" cm="1">
        <f t="array" aca="1" ref="X83" ca="1">OFFSET(POrigin,MATCH(Valori[[#This Row],[LUKB_id]],PID,0),MATCH("LVAL",PLabel,0)-1,1,1)</f>
        <v>5207.5</v>
      </c>
      <c r="Y83" s="1593" cm="1">
        <f t="array" aca="1" ref="Y83" ca="1">OFFSET(POrigin,MATCH(Valori[[#This Row],[LUKB_id]],PID,0),MATCH("LVAL:datetime",PLabel,0)-1,1,1)</f>
        <v>46084.796342592592</v>
      </c>
      <c r="Z83" s="1594" cm="1">
        <f t="array" aca="1" ref="Z83" ca="1">OFFSET(POrigin,MATCH(Valori[[#This Row],[LUKB_id]],PID,0),MATCH("BID:volume",PLabel,0)-1,1,1)</f>
        <v>0</v>
      </c>
      <c r="AA83" s="1595" cm="1">
        <f t="array" aca="1" ref="AA83" ca="1">OFFSET(POrigin,MATCH(Valori[[#This Row],[LUKB_id]],PID,0),MATCH("BID",PLabel,0)-1,1,1)</f>
        <v>5093</v>
      </c>
      <c r="AB83" s="1595" cm="1">
        <f t="array" aca="1" ref="AB83" ca="1">OFFSET(POrigin,MATCH(Valori[[#This Row],[LUKB_id]],PID,0),MATCH("ASK",PLabel,0)-1,1,1)</f>
        <v>5322</v>
      </c>
      <c r="AC83" s="1594" cm="1">
        <f t="array" aca="1" ref="AC83" ca="1">OFFSET(POrigin,MATCH(Valori[[#This Row],[LUKB_id]],PID,0),MATCH("ASK:volume",PLabel,0)-1,1,1)</f>
        <v>0</v>
      </c>
      <c r="AD83" s="1596" cm="1">
        <f t="array" aca="1" ref="AD83" ca="1">OFFSET(POrigin,MATCH(Valori[[#This Row],[LUKB_id]],PID,0),MATCH("BID-ASK Spread %",PLabel,0)-1,1,1)</f>
        <v>2.953314418364715E-2</v>
      </c>
      <c r="AE83" s="1597" t="str" cm="1">
        <f t="array" aca="1" ref="AE83" ca="1">IF(OFFSET(POrigin,MATCH(Valori[[#This Row],[LUKB_id]],PID,0),MATCH("MATURITY",PLabel,0)-1,1,1)&gt;0,OFFSET(POrigin,MATCH(Valori[[#This Row],[LUKB_id]],PID,0),MATCH("MATURITY",PLabel,0)-1,1,1),"")</f>
        <v/>
      </c>
      <c r="AF83" s="1598" cm="1">
        <f t="array" aca="1" ref="AF83" ca="1">OFFSET(POrigin,MATCH(Valori[[#This Row],[LUKB_id]],PID,0),MATCH("ACCINT",PLabel,0)-1,1,1)</f>
        <v>0</v>
      </c>
      <c r="AG83" s="1594" cm="1">
        <f t="array" aca="1" ref="AG83" ca="1">OFFSET(POrigin,MATCH(Valori[[#This Row],[LUKB_id]],PID,0),MATCH("DENOM",PLabel,0)-1,1,1)</f>
        <v>0</v>
      </c>
      <c r="AH83" s="1599" cm="1">
        <f t="array" aca="1" ref="AH83" ca="1">(OFFSET(POrigin,MATCH(Valori[[#This Row],[LUKB_id]],PID,0),MATCH("YIELD",PLabel,0)-1,1,1)+OFFSET(POrigin,MATCH(Valori[[#This Row],[LUKB_id]],PID,0),MATCH("YLDEQ",PLabel,0)-1,1,1))/100</f>
        <v>0</v>
      </c>
      <c r="AI83" s="1600">
        <f ca="1">OFFSET(POrigin,MATCH(Valori[[#This Row],[LUKB_id]],PID,0),MATCH("DIVIDEND",PLabel,0)-1,1,1)</f>
        <v>0</v>
      </c>
      <c r="AJ83" s="1601">
        <f ca="1">OFFSET(POrigin,MATCH(Valori[[#This Row],[LUKB_id]],PID,0),MATCH("DIVIDEND:datetime",PLabel,0)-1,1,1)</f>
        <v>0</v>
      </c>
      <c r="AK83" s="1602">
        <f ca="1">OFFSET(POrigin,MATCH(Valori[[#This Row],[LUKB_id]],PID,0),MATCH("INTEREST",PLabel,0)-1,1,1)</f>
        <v>0</v>
      </c>
      <c r="AL83" s="1603">
        <f ca="1">OFFSET(POrigin,MATCH(Valori[[#This Row],[LUKB_id]],PID,0),MATCH("4W_PERF_PR",PLabel,0)-1,1,1)/100</f>
        <v>0</v>
      </c>
      <c r="AM83" s="1603">
        <f ca="1">OFFSET(POrigin,MATCH(Valori[[#This Row],[LUKB_id]],PID,0),MATCH("12W_PERF_PR",PLabel,0)-1,1,1)/100</f>
        <v>0</v>
      </c>
      <c r="AN83" s="1603">
        <f ca="1">OFFSET(POrigin,MATCH(Valori[[#This Row],[LUKB_id]],PID,0),MATCH("YTD_PERF_PR",PLabel,0)-1,1,1)/100</f>
        <v>0.18177692000000001</v>
      </c>
      <c r="AO83" s="1591"/>
      <c r="AP83" s="1591"/>
      <c r="AQ83" s="1591"/>
      <c r="AR83" s="1591"/>
      <c r="AS83" s="1890" t="s">
        <v>877</v>
      </c>
      <c r="AT83" s="1890" t="s">
        <v>877</v>
      </c>
      <c r="AU83" s="610"/>
      <c r="AV83" s="1891" t="s">
        <v>1069</v>
      </c>
      <c r="AW83" s="1604" t="str">
        <f ca="1">"https://boersenundmaerkte.lukb.ch/lukb/details/"&amp;Valori[[#This Row],[LUKB_id]]</f>
        <v>https://boersenundmaerkte.lukb.ch/lukb/details/281889,178,333</v>
      </c>
      <c r="AX83"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3" s="142"/>
      <c r="AZ83" s="142"/>
      <c r="BA83" s="142"/>
      <c r="BB83" s="142"/>
    </row>
    <row r="84" spans="1:54" ht="15" customHeight="1" x14ac:dyDescent="0.2">
      <c r="A84" s="142" t="s">
        <v>1070</v>
      </c>
      <c r="B84" s="142" t="s">
        <v>1071</v>
      </c>
      <c r="C84" s="1668" t="str">
        <f>HYPERLINK("https://boersenundmaerkte.lukb.ch/lukb/details/"&amp;Valori[[#This Row],[LUKB_id]],"è")</f>
        <v>è</v>
      </c>
      <c r="D84" s="142" t="str" cm="1">
        <f t="array" aca="1" ref="D84" ca="1">OFFSET(POrigin,MATCH(Valori[[#This Row],[LUKB_id]],PID,0),MATCH("SC_GROUPED",PIntestazioni,0)-1,1,1)</f>
        <v>COM</v>
      </c>
      <c r="E84" s="413" t="str" cm="1">
        <f t="array" aca="1" ref="E84" ca="1">OFFSET(POrigin,MATCH(Valori[[#This Row],[LUKB_id]],PID,0),MATCH("isin",PIntestazioni,0)-1,1,1)</f>
        <v>CH0002813837</v>
      </c>
      <c r="F84" s="34" t="str" cm="1">
        <f t="array" aca="1" ref="F84" ca="1">OFFSET(POrigin,MATCH(Valori[[#This Row],[LUKB_id]],PID,0),MATCH("NSIN_CH",PLabel,0)-1,1,1)</f>
        <v>281383</v>
      </c>
      <c r="G84" s="95" t="str" cm="1">
        <f t="array" aca="1" ref="G84" ca="1">IF(OFFSET(POrigin,MATCH(Valori[[#This Row],[LUKB_id]],PID,0),MATCH("INSTRUNIT",PLabel,0)-1,1,1)="Nominal","Pct","Unit")</f>
        <v>Unit</v>
      </c>
      <c r="H84" s="612">
        <f ca="1">MAX(OFFSET(POrigin,MATCH(Valori[[#This Row],[LUKB_id]],PID,0),MATCH("PRICINGAMT",PLabel,0)-1,1,1),1)</f>
        <v>1</v>
      </c>
      <c r="I84" s="615" t="str" cm="1">
        <f t="array" aca="1" ref="I84" ca="1">OFFSET(POrigin,MATCH(Valori[[#This Row],[LUKB_id]],PID,0),MATCH("M_NAME",PLabel,0)-1,1,1)</f>
        <v>Gold Muenzen 20 CHF</v>
      </c>
      <c r="J84" s="142" t="s">
        <v>799</v>
      </c>
      <c r="M84" s="142" t="str" cm="1">
        <f t="array" aca="1" ref="M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Vreneli 20 CHF</v>
      </c>
      <c r="N84" s="1563">
        <f ca="1">COUNTIF('CHF M'!smo_id,Valori[[#This Row],[smo_id]])+COUNTIF('CHF MA'!smo_id,Valori[[#This Row],[smo_id]])+COUNTIF('EUR MB'!smo_id,Valori[[#This Row],[smo_id]])+COUNTIF('EUR M'!smo_id,Valori[[#This Row],[smo_id]])+COUNTIF(AGCO!smo_id,Valori[[#This Row],[smo_id]])</f>
        <v>2</v>
      </c>
      <c r="O84" s="1590" cm="1">
        <f t="array" aca="1" ref="O84" ca="1">SUM(IF('CHF M'!smo_id=Valori[[#This Row],[smo_id]],'CHF M'!Posizione))+SUM(IF('CHF MA'!smo_id=Valori[[#This Row],[smo_id]],'CHF MA'!Posizione))+SUM(IF('EUR MB'!smo_id=Valori[[#This Row],[smo_id]],'EUR MB'!Posizione))+SUM(IF('EUR M'!smo_id=Valori[[#This Row],[smo_id]],'EUR M'!Posizione))+SUM(IF(AGCO!smo_id=Valori[[#This Row],[smo_id]],AGCO!Posizione))</f>
        <v>300</v>
      </c>
      <c r="P84" s="1661" t="str">
        <f>HYPERLINK(Valori[[#This Row],[P_Source]],"è")</f>
        <v>è</v>
      </c>
      <c r="Q84" s="1663" t="str">
        <f>HYPERLINK(Valori[[#This Row],[Info_W]],"i")</f>
        <v>i</v>
      </c>
      <c r="R84" s="1664" t="str">
        <f>HYPERLINK(Valori[[#This Row],[FN_W]],"")</f>
        <v></v>
      </c>
      <c r="S84" s="1665" t="str">
        <f>HYPERLINK(Valori[[#This Row],[MS_Link]],"")</f>
        <v></v>
      </c>
      <c r="T84" s="1665" t="str">
        <f>HYPERLINK(Valori[[#This Row],[C_source]],"")</f>
        <v></v>
      </c>
      <c r="U84" s="142" t="str" cm="1">
        <f t="array" aca="1" ref="U84" ca="1">OFFSET(POrigin,MATCH(Valori[[#This Row],[LUKB_id]],PID,0),MATCH("M_CUR",PLabel,0)-1,1,1)</f>
        <v>CHF</v>
      </c>
      <c r="V84" s="1562">
        <f ca="1">(Valori[[#This Row],[Last]]+Valori[[#This Row],[Acc. Int]])/Valori[[#This Row],[Pr.Amt]]/IF(Valori[[#This Row],[P_Type]]="Pct",100,1)</f>
        <v>739.5</v>
      </c>
      <c r="W84" s="1591" cm="1">
        <f t="array" aca="1" ref="W84" ca="1">OFFSET(POrigin,MATCH(Valori[[#This Row],[LUKB_id]],PID,0),MATCH("NC2_PR",PLabel,0)-1,1,1)/100</f>
        <v>-3.96103896103897E-2</v>
      </c>
      <c r="X84" s="1592" cm="1">
        <f t="array" aca="1" ref="X84" ca="1">OFFSET(POrigin,MATCH(Valori[[#This Row],[LUKB_id]],PID,0),MATCH("LVAL",PLabel,0)-1,1,1)</f>
        <v>739.5</v>
      </c>
      <c r="Y84" s="1593" cm="1">
        <f t="array" aca="1" ref="Y84" ca="1">OFFSET(POrigin,MATCH(Valori[[#This Row],[LUKB_id]],PID,0),MATCH("LVAL:datetime",PLabel,0)-1,1,1)</f>
        <v>46084.796226851853</v>
      </c>
      <c r="Z84" s="1594" cm="1">
        <f t="array" aca="1" ref="Z84" ca="1">OFFSET(POrigin,MATCH(Valori[[#This Row],[LUKB_id]],PID,0),MATCH("BID:volume",PLabel,0)-1,1,1)</f>
        <v>0</v>
      </c>
      <c r="AA84" s="1595" cm="1">
        <f t="array" aca="1" ref="AA84" ca="1">OFFSET(POrigin,MATCH(Valori[[#This Row],[LUKB_id]],PID,0),MATCH("BID",PLabel,0)-1,1,1)</f>
        <v>728</v>
      </c>
      <c r="AB84" s="1595" cm="1">
        <f t="array" aca="1" ref="AB84" ca="1">OFFSET(POrigin,MATCH(Valori[[#This Row],[LUKB_id]],PID,0),MATCH("ASK",PLabel,0)-1,1,1)</f>
        <v>751</v>
      </c>
      <c r="AC84" s="1594" cm="1">
        <f t="array" aca="1" ref="AC84" ca="1">OFFSET(POrigin,MATCH(Valori[[#This Row],[LUKB_id]],PID,0),MATCH("ASK:volume",PLabel,0)-1,1,1)</f>
        <v>0</v>
      </c>
      <c r="AD84" s="1596" cm="1">
        <f t="array" aca="1" ref="AD84" ca="1">OFFSET(POrigin,MATCH(Valori[[#This Row],[LUKB_id]],PID,0),MATCH("BID-ASK Spread %",PLabel,0)-1,1,1)</f>
        <v>2.084277299501586E-2</v>
      </c>
      <c r="AE84" s="1597" t="str" cm="1">
        <f t="array" aca="1" ref="AE84" ca="1">IF(OFFSET(POrigin,MATCH(Valori[[#This Row],[LUKB_id]],PID,0),MATCH("MATURITY",PLabel,0)-1,1,1)&gt;0,OFFSET(POrigin,MATCH(Valori[[#This Row],[LUKB_id]],PID,0),MATCH("MATURITY",PLabel,0)-1,1,1),"")</f>
        <v/>
      </c>
      <c r="AF84" s="1598" cm="1">
        <f t="array" aca="1" ref="AF84" ca="1">OFFSET(POrigin,MATCH(Valori[[#This Row],[LUKB_id]],PID,0),MATCH("ACCINT",PLabel,0)-1,1,1)</f>
        <v>0</v>
      </c>
      <c r="AG84" s="1594" cm="1">
        <f t="array" aca="1" ref="AG84" ca="1">OFFSET(POrigin,MATCH(Valori[[#This Row],[LUKB_id]],PID,0),MATCH("DENOM",PLabel,0)-1,1,1)</f>
        <v>0</v>
      </c>
      <c r="AH84" s="1599" cm="1">
        <f t="array" aca="1" ref="AH84" ca="1">(OFFSET(POrigin,MATCH(Valori[[#This Row],[LUKB_id]],PID,0),MATCH("YIELD",PLabel,0)-1,1,1)+OFFSET(POrigin,MATCH(Valori[[#This Row],[LUKB_id]],PID,0),MATCH("YLDEQ",PLabel,0)-1,1,1))/100</f>
        <v>0</v>
      </c>
      <c r="AI84" s="1600">
        <f ca="1">OFFSET(POrigin,MATCH(Valori[[#This Row],[LUKB_id]],PID,0),MATCH("DIVIDEND",PLabel,0)-1,1,1)</f>
        <v>0</v>
      </c>
      <c r="AJ84" s="1601">
        <f ca="1">OFFSET(POrigin,MATCH(Valori[[#This Row],[LUKB_id]],PID,0),MATCH("DIVIDEND:datetime",PLabel,0)-1,1,1)</f>
        <v>0</v>
      </c>
      <c r="AK84" s="1602">
        <f ca="1">OFFSET(POrigin,MATCH(Valori[[#This Row],[LUKB_id]],PID,0),MATCH("INTEREST",PLabel,0)-1,1,1)</f>
        <v>0</v>
      </c>
      <c r="AL84" s="1603">
        <f ca="1">OFFSET(POrigin,MATCH(Valori[[#This Row],[LUKB_id]],PID,0),MATCH("4W_PERF_PR",PLabel,0)-1,1,1)/100</f>
        <v>0.141586360266865</v>
      </c>
      <c r="AM84" s="1603">
        <f ca="1">OFFSET(POrigin,MATCH(Valori[[#This Row],[LUKB_id]],PID,0),MATCH("12W_PERF_PR",PLabel,0)-1,1,1)/100</f>
        <v>0.20595144870790999</v>
      </c>
      <c r="AN84" s="1603">
        <f ca="1">OFFSET(POrigin,MATCH(Valori[[#This Row],[LUKB_id]],PID,0),MATCH("YTD_PERF_PR",PLabel,0)-1,1,1)/100</f>
        <v>0.14473683999999998</v>
      </c>
      <c r="AO84" s="1591"/>
      <c r="AP84" s="1591"/>
      <c r="AQ84" s="1591"/>
      <c r="AR84" s="1591"/>
      <c r="AS84" s="1890" t="s">
        <v>877</v>
      </c>
      <c r="AT84" s="1890" t="s">
        <v>877</v>
      </c>
      <c r="AU84" s="610"/>
      <c r="AV84" s="1891" t="s">
        <v>1072</v>
      </c>
      <c r="AW84" s="1604" t="str">
        <f>"https://boersenundmaerkte.lukb.ch/lukb/details/"&amp;Valori[[#This Row],[LUKB_id]]</f>
        <v>https://boersenundmaerkte.lukb.ch/lukb/details/281383,176,1</v>
      </c>
      <c r="AX8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4" s="142"/>
      <c r="AZ84" s="142"/>
      <c r="BA84" s="142"/>
      <c r="BB84" s="142"/>
    </row>
    <row r="85" spans="1:54" ht="15" customHeight="1" x14ac:dyDescent="0.2">
      <c r="A85" s="142" t="s">
        <v>1073</v>
      </c>
      <c r="B85" s="142" t="str" cm="1">
        <f t="array" aca="1" ref="B85" ca="1">OFFSET(POrigin,MATCH(Valori[[#This Row],[smo_id]],Posizioni[smo_id],0),MATCH("LUKB_id",PIntestazioni,0)-1,1,1)</f>
        <v>31879455,351,814</v>
      </c>
      <c r="C85" s="1668" t="str">
        <f ca="1">HYPERLINK("https://boersenundmaerkte.lukb.ch/lukb/details/"&amp;Valori[[#This Row],[LUKB_id]],"è")</f>
        <v>è</v>
      </c>
      <c r="D85" s="142" t="str" cm="1">
        <f t="array" aca="1" ref="D85" ca="1">OFFSET(POrigin,MATCH(Valori[[#This Row],[LUKB_id]],PID,0),MATCH("SC_GROUPED",PIntestazioni,0)-1,1,1)</f>
        <v>ETF</v>
      </c>
      <c r="E85" s="413" t="str" cm="1">
        <f t="array" aca="1" ref="E85" ca="1">OFFSET(POrigin,MATCH(Valori[[#This Row],[LUKB_id]],PID,0),MATCH("isin",PIntestazioni,0)-1,1,1)</f>
        <v>LU1287023342</v>
      </c>
      <c r="F85" s="34" t="str" cm="1">
        <f t="array" aca="1" ref="F85" ca="1">OFFSET(POrigin,MATCH(Valori[[#This Row],[LUKB_id]],PID,0),MATCH("NSIN_CH",PLabel,0)-1,1,1)</f>
        <v>31879455</v>
      </c>
      <c r="G85" s="95" t="str" cm="1">
        <f t="array" aca="1" ref="G85" ca="1">IF(OFFSET(POrigin,MATCH(Valori[[#This Row],[LUKB_id]],PID,0),MATCH("INSTRUNIT",PLabel,0)-1,1,1)="Nominal","Pct","Unit")</f>
        <v>Unit</v>
      </c>
      <c r="H85" s="612">
        <f ca="1">MAX(OFFSET(POrigin,MATCH(Valori[[#This Row],[LUKB_id]],PID,0),MATCH("PRICINGAMT",PLabel,0)-1,1,1),1)</f>
        <v>1</v>
      </c>
      <c r="I85" s="615" t="str" cm="1">
        <f t="array" aca="1" ref="I85" ca="1">OFFSET(POrigin,MATCH(Valori[[#This Row],[LUKB_id]],PID,0),MATCH("M_NAME",PLabel,0)-1,1,1)</f>
        <v>Multi Units Luxembourg SICAV - Amundi Euro Highest Rated Macro-Weighted Government Bond</v>
      </c>
      <c r="J85" s="142" t="s">
        <v>742</v>
      </c>
      <c r="M85" s="142" t="str" cm="1">
        <f t="array" aca="1" ref="M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 EUR Highest Rated Macro-Weighted Govt Bd</v>
      </c>
      <c r="N85" s="1563">
        <f ca="1">COUNTIF('CHF M'!smo_id,Valori[[#This Row],[smo_id]])+COUNTIF('CHF MA'!smo_id,Valori[[#This Row],[smo_id]])+COUNTIF('EUR MB'!smo_id,Valori[[#This Row],[smo_id]])+COUNTIF('EUR M'!smo_id,Valori[[#This Row],[smo_id]])+COUNTIF(AGCO!smo_id,Valori[[#This Row],[smo_id]])</f>
        <v>3</v>
      </c>
      <c r="O85" s="1590" cm="1">
        <f t="array" aca="1" ref="O85" ca="1">SUM(IF('CHF M'!smo_id=Valori[[#This Row],[smo_id]],'CHF M'!Posizione))+SUM(IF('CHF MA'!smo_id=Valori[[#This Row],[smo_id]],'CHF MA'!Posizione))+SUM(IF('EUR MB'!smo_id=Valori[[#This Row],[smo_id]],'EUR MB'!Posizione))+SUM(IF('EUR M'!smo_id=Valori[[#This Row],[smo_id]],'EUR M'!Posizione))+SUM(IF(AGCO!smo_id=Valori[[#This Row],[smo_id]],AGCO!Posizione))</f>
        <v>0</v>
      </c>
      <c r="P85" s="1661" t="str">
        <f ca="1">HYPERLINK(Valori[[#This Row],[P_Source]],"è")</f>
        <v>è</v>
      </c>
      <c r="Q85" s="1663" t="str">
        <f>HYPERLINK(Valori[[#This Row],[Info_W]],"i")</f>
        <v>i</v>
      </c>
      <c r="R85" s="1664" t="str">
        <f>HYPERLINK(Valori[[#This Row],[FN_W]],"")</f>
        <v></v>
      </c>
      <c r="S85" s="1665" t="str">
        <f>HYPERLINK(Valori[[#This Row],[MS_Link]],"")</f>
        <v></v>
      </c>
      <c r="T85" s="1665" t="str">
        <f>HYPERLINK(Valori[[#This Row],[C_source]],"")</f>
        <v></v>
      </c>
      <c r="U85" s="142" t="str" cm="1">
        <f t="array" aca="1" ref="U85" ca="1">OFFSET(POrigin,MATCH(Valori[[#This Row],[LUKB_id]],PID,0),MATCH("M_CUR",PLabel,0)-1,1,1)</f>
        <v>EUR</v>
      </c>
      <c r="V85" s="1562">
        <f ca="1">(Valori[[#This Row],[Last]]+Valori[[#This Row],[Acc. Int]])/Valori[[#This Row],[Pr.Amt]]/IF(Valori[[#This Row],[P_Type]]="Pct",100,1)</f>
        <v>127.56</v>
      </c>
      <c r="W85" s="1591" cm="1">
        <f t="array" aca="1" ref="W85" ca="1">OFFSET(POrigin,MATCH(Valori[[#This Row],[LUKB_id]],PID,0),MATCH("NC2_PR",PLabel,0)-1,1,1)/100</f>
        <v>2.3512814483894E-3</v>
      </c>
      <c r="X85" s="1592" cm="1">
        <f t="array" aca="1" ref="X85" ca="1">OFFSET(POrigin,MATCH(Valori[[#This Row],[LUKB_id]],PID,0),MATCH("LVAL",PLabel,0)-1,1,1)</f>
        <v>127.56</v>
      </c>
      <c r="Y85" s="1593" cm="1">
        <f t="array" aca="1" ref="Y85" ca="1">OFFSET(POrigin,MATCH(Valori[[#This Row],[LUKB_id]],PID,0),MATCH("LVAL:datetime",PLabel,0)-1,1,1)</f>
        <v>46084.736481481479</v>
      </c>
      <c r="Z85" s="1594" cm="1">
        <f t="array" aca="1" ref="Z85" ca="1">OFFSET(POrigin,MATCH(Valori[[#This Row],[LUKB_id]],PID,0),MATCH("BID:volume",PLabel,0)-1,1,1)</f>
        <v>900</v>
      </c>
      <c r="AA85" s="1595" cm="1">
        <f t="array" aca="1" ref="AA85" ca="1">OFFSET(POrigin,MATCH(Valori[[#This Row],[LUKB_id]],PID,0),MATCH("BID",PLabel,0)-1,1,1)</f>
        <v>127.31</v>
      </c>
      <c r="AB85" s="1595" cm="1">
        <f t="array" aca="1" ref="AB85" ca="1">OFFSET(POrigin,MATCH(Valori[[#This Row],[LUKB_id]],PID,0),MATCH("ASK",PLabel,0)-1,1,1)</f>
        <v>127.56</v>
      </c>
      <c r="AC85" s="1594" cm="1">
        <f t="array" aca="1" ref="AC85" ca="1">OFFSET(POrigin,MATCH(Valori[[#This Row],[LUKB_id]],PID,0),MATCH("ASK:volume",PLabel,0)-1,1,1)</f>
        <v>900</v>
      </c>
      <c r="AD85" s="1596" cm="1">
        <f t="array" aca="1" ref="AD85" ca="1">OFFSET(POrigin,MATCH(Valori[[#This Row],[LUKB_id]],PID,0),MATCH("BID-ASK Spread %",PLabel,0)-1,1,1)</f>
        <v>1.3082840546339422E-3</v>
      </c>
      <c r="AE85" s="1597" t="str" cm="1">
        <f t="array" aca="1" ref="AE85" ca="1">IF(OFFSET(POrigin,MATCH(Valori[[#This Row],[LUKB_id]],PID,0),MATCH("MATURITY",PLabel,0)-1,1,1)&gt;0,OFFSET(POrigin,MATCH(Valori[[#This Row],[LUKB_id]],PID,0),MATCH("MATURITY",PLabel,0)-1,1,1),"")</f>
        <v/>
      </c>
      <c r="AF85" s="1598" cm="1">
        <f t="array" aca="1" ref="AF85" ca="1">OFFSET(POrigin,MATCH(Valori[[#This Row],[LUKB_id]],PID,0),MATCH("ACCINT",PLabel,0)-1,1,1)</f>
        <v>0</v>
      </c>
      <c r="AG85" s="1594" cm="1">
        <f t="array" aca="1" ref="AG85" ca="1">OFFSET(POrigin,MATCH(Valori[[#This Row],[LUKB_id]],PID,0),MATCH("DENOM",PLabel,0)-1,1,1)</f>
        <v>0</v>
      </c>
      <c r="AH85" s="1599" cm="1">
        <f t="array" aca="1" ref="AH85" ca="1">(OFFSET(POrigin,MATCH(Valori[[#This Row],[LUKB_id]],PID,0),MATCH("YIELD",PLabel,0)-1,1,1)+OFFSET(POrigin,MATCH(Valori[[#This Row],[LUKB_id]],PID,0),MATCH("YLDEQ",PLabel,0)-1,1,1))/100</f>
        <v>0</v>
      </c>
      <c r="AI85" s="1600">
        <f ca="1">OFFSET(POrigin,MATCH(Valori[[#This Row],[LUKB_id]],PID,0),MATCH("DIVIDEND",PLabel,0)-1,1,1)</f>
        <v>0</v>
      </c>
      <c r="AJ85" s="1601">
        <f ca="1">OFFSET(POrigin,MATCH(Valori[[#This Row],[LUKB_id]],PID,0),MATCH("DIVIDEND:datetime",PLabel,0)-1,1,1)</f>
        <v>0</v>
      </c>
      <c r="AK85" s="1602">
        <f ca="1">OFFSET(POrigin,MATCH(Valori[[#This Row],[LUKB_id]],PID,0),MATCH("INTEREST",PLabel,0)-1,1,1)</f>
        <v>0</v>
      </c>
      <c r="AL85" s="1603">
        <f ca="1">OFFSET(POrigin,MATCH(Valori[[#This Row],[LUKB_id]],PID,0),MATCH("4W_PERF_PR",PLabel,0)-1,1,1)/100</f>
        <v>1.3404507710557591E-2</v>
      </c>
      <c r="AM85" s="1603">
        <f ca="1">OFFSET(POrigin,MATCH(Valori[[#This Row],[LUKB_id]],PID,0),MATCH("12W_PERF_PR",PLabel,0)-1,1,1)/100</f>
        <v>2.0628409860220645E-2</v>
      </c>
      <c r="AN85" s="1603">
        <f ca="1">OFFSET(POrigin,MATCH(Valori[[#This Row],[LUKB_id]],PID,0),MATCH("YTD_PERF_PR",PLabel,0)-1,1,1)/100</f>
        <v>1.5967588179218298E-2</v>
      </c>
      <c r="AO85" s="1591"/>
      <c r="AP85" s="1591"/>
      <c r="AQ85" s="1591"/>
      <c r="AR85" s="1591"/>
      <c r="AS85" s="1890"/>
      <c r="AT85" s="1890"/>
      <c r="AU85" s="610"/>
      <c r="AV85" s="1891"/>
      <c r="AW85" s="1604" t="str">
        <f ca="1">"https://boersenundmaerkte.lukb.ch/lukb/details/"&amp;Valori[[#This Row],[LUKB_id]]</f>
        <v>https://boersenundmaerkte.lukb.ch/lukb/details/31879455,351,814</v>
      </c>
      <c r="AX8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5" s="142"/>
      <c r="AZ85" s="142"/>
      <c r="BA85" s="142"/>
      <c r="BB85" s="142"/>
    </row>
    <row r="86" spans="1:54" ht="15" customHeight="1" x14ac:dyDescent="0.2">
      <c r="A86" s="142" t="s">
        <v>1074</v>
      </c>
      <c r="B86" s="142" t="str" cm="1">
        <f t="array" aca="1" ref="B86" ca="1">OFFSET(POrigin,MATCH(Valori[[#This Row],[smo_id]],Posizioni[smo_id],0),MATCH("LUKB_id",PIntestazioni,0)-1,1,1)</f>
        <v>38785045,6920,814</v>
      </c>
      <c r="C86" s="1668" t="str">
        <f ca="1">HYPERLINK("https://boersenundmaerkte.lukb.ch/lukb/details/"&amp;Valori[[#This Row],[LUKB_id]],"è")</f>
        <v>è</v>
      </c>
      <c r="D86" s="142" t="str" cm="1">
        <f t="array" aca="1" ref="D86" ca="1">OFFSET(POrigin,MATCH(Valori[[#This Row],[LUKB_id]],PID,0),MATCH("SC_GROUPED",PIntestazioni,0)-1,1,1)</f>
        <v>ETF</v>
      </c>
      <c r="E86" s="413" t="str" cm="1">
        <f t="array" aca="1" ref="E86" ca="1">OFFSET(POrigin,MATCH(Valori[[#This Row],[LUKB_id]],PID,0),MATCH("isin",PIntestazioni,0)-1,1,1)</f>
        <v>LU1681046774</v>
      </c>
      <c r="F86" s="34" t="str" cm="1">
        <f t="array" aca="1" ref="F86" ca="1">OFFSET(POrigin,MATCH(Valori[[#This Row],[LUKB_id]],PID,0),MATCH("NSIN_CH",PLabel,0)-1,1,1)</f>
        <v>38785045</v>
      </c>
      <c r="G86" s="95" t="str" cm="1">
        <f t="array" aca="1" ref="G86" ca="1">IF(OFFSET(POrigin,MATCH(Valori[[#This Row],[LUKB_id]],PID,0),MATCH("INSTRUNIT",PLabel,0)-1,1,1)="Nominal","Pct","Unit")</f>
        <v>Unit</v>
      </c>
      <c r="H86" s="612">
        <f ca="1">MAX(OFFSET(POrigin,MATCH(Valori[[#This Row],[LUKB_id]],PID,0),MATCH("PRICINGAMT",PLabel,0)-1,1,1),1)</f>
        <v>1</v>
      </c>
      <c r="I86" s="615" t="str" cm="1">
        <f t="array" aca="1" ref="I86" ca="1">OFFSET(POrigin,MATCH(Valori[[#This Row],[LUKB_id]],PID,0),MATCH("M_NAME",PLabel,0)-1,1,1)</f>
        <v>Amundi Index Solutions SICAV - Amundi Euro Lowest Rated IG Government Bond</v>
      </c>
      <c r="J86" s="142" t="s">
        <v>837</v>
      </c>
      <c r="M86" s="142" t="str" cm="1">
        <f t="array" aca="1" ref="M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Amundi ETF - EUR Lowest Rated Govt Bd </v>
      </c>
      <c r="N86" s="1563">
        <f ca="1">COUNTIF('CHF M'!smo_id,Valori[[#This Row],[smo_id]])+COUNTIF('CHF MA'!smo_id,Valori[[#This Row],[smo_id]])+COUNTIF('EUR MB'!smo_id,Valori[[#This Row],[smo_id]])+COUNTIF('EUR M'!smo_id,Valori[[#This Row],[smo_id]])+COUNTIF(AGCO!smo_id,Valori[[#This Row],[smo_id]])</f>
        <v>2</v>
      </c>
      <c r="O86" s="1590" cm="1">
        <f t="array" aca="1" ref="O86" ca="1">SUM(IF('CHF M'!smo_id=Valori[[#This Row],[smo_id]],'CHF M'!Posizione))+SUM(IF('CHF MA'!smo_id=Valori[[#This Row],[smo_id]],'CHF MA'!Posizione))+SUM(IF('EUR MB'!smo_id=Valori[[#This Row],[smo_id]],'EUR MB'!Posizione))+SUM(IF('EUR M'!smo_id=Valori[[#This Row],[smo_id]],'EUR M'!Posizione))+SUM(IF(AGCO!smo_id=Valori[[#This Row],[smo_id]],AGCO!Posizione))</f>
        <v>0</v>
      </c>
      <c r="P86" s="1661" t="str">
        <f ca="1">HYPERLINK(Valori[[#This Row],[P_Source]],"è")</f>
        <v>è</v>
      </c>
      <c r="Q86" s="1663" t="str">
        <f>HYPERLINK(Valori[[#This Row],[Info_W]],"i")</f>
        <v>i</v>
      </c>
      <c r="R86" s="1664" t="str">
        <f>HYPERLINK(Valori[[#This Row],[FN_W]],"")</f>
        <v></v>
      </c>
      <c r="S86" s="1665" t="str">
        <f>HYPERLINK(Valori[[#This Row],[MS_Link]],"")</f>
        <v></v>
      </c>
      <c r="T86" s="1665" t="str">
        <f>HYPERLINK(Valori[[#This Row],[C_source]],"")</f>
        <v></v>
      </c>
      <c r="U86" s="142" t="str" cm="1">
        <f t="array" aca="1" ref="U86" ca="1">OFFSET(POrigin,MATCH(Valori[[#This Row],[LUKB_id]],PID,0),MATCH("M_CUR",PLabel,0)-1,1,1)</f>
        <v>EUR</v>
      </c>
      <c r="V86" s="1562">
        <f ca="1">(Valori[[#This Row],[Last]]+Valori[[#This Row],[Acc. Int]])/Valori[[#This Row],[Pr.Amt]]/IF(Valori[[#This Row],[P_Type]]="Pct",100,1)</f>
        <v>236.44</v>
      </c>
      <c r="W86" s="1591" cm="1">
        <f t="array" aca="1" ref="W86" ca="1">OFFSET(POrigin,MATCH(Valori[[#This Row],[LUKB_id]],PID,0),MATCH("NC2_PR",PLabel,0)-1,1,1)/100</f>
        <v>-5.4681584924709007E-3</v>
      </c>
      <c r="X86" s="1592" cm="1">
        <f t="array" aca="1" ref="X86" ca="1">OFFSET(POrigin,MATCH(Valori[[#This Row],[LUKB_id]],PID,0),MATCH("LVAL",PLabel,0)-1,1,1)</f>
        <v>236.44</v>
      </c>
      <c r="Y86" s="1593" cm="1">
        <f t="array" aca="1" ref="Y86" ca="1">OFFSET(POrigin,MATCH(Valori[[#This Row],[LUKB_id]],PID,0),MATCH("LVAL:datetime",PLabel,0)-1,1,1)</f>
        <v>46083.746527777781</v>
      </c>
      <c r="Z86" s="1594" cm="1">
        <f t="array" aca="1" ref="Z86" ca="1">OFFSET(POrigin,MATCH(Valori[[#This Row],[LUKB_id]],PID,0),MATCH("BID:volume",PLabel,0)-1,1,1)</f>
        <v>0</v>
      </c>
      <c r="AA86" s="1595" cm="1">
        <f t="array" aca="1" ref="AA86" ca="1">OFFSET(POrigin,MATCH(Valori[[#This Row],[LUKB_id]],PID,0),MATCH("BID",PLabel,0)-1,1,1)</f>
        <v>0</v>
      </c>
      <c r="AB86" s="1595" cm="1">
        <f t="array" aca="1" ref="AB86" ca="1">OFFSET(POrigin,MATCH(Valori[[#This Row],[LUKB_id]],PID,0),MATCH("ASK",PLabel,0)-1,1,1)</f>
        <v>0</v>
      </c>
      <c r="AC86" s="1594" cm="1">
        <f t="array" aca="1" ref="AC86" ca="1">OFFSET(POrigin,MATCH(Valori[[#This Row],[LUKB_id]],PID,0),MATCH("ASK:volume",PLabel,0)-1,1,1)</f>
        <v>0</v>
      </c>
      <c r="AD86" s="1596" cm="1">
        <f t="array" aca="1" ref="AD86" ca="1">OFFSET(POrigin,MATCH(Valori[[#This Row],[LUKB_id]],PID,0),MATCH("BID-ASK Spread %",PLabel,0)-1,1,1)</f>
        <v>0</v>
      </c>
      <c r="AE86" s="1597" t="str" cm="1">
        <f t="array" aca="1" ref="AE86" ca="1">IF(OFFSET(POrigin,MATCH(Valori[[#This Row],[LUKB_id]],PID,0),MATCH("MATURITY",PLabel,0)-1,1,1)&gt;0,OFFSET(POrigin,MATCH(Valori[[#This Row],[LUKB_id]],PID,0),MATCH("MATURITY",PLabel,0)-1,1,1),"")</f>
        <v/>
      </c>
      <c r="AF86" s="1598" cm="1">
        <f t="array" aca="1" ref="AF86" ca="1">OFFSET(POrigin,MATCH(Valori[[#This Row],[LUKB_id]],PID,0),MATCH("ACCINT",PLabel,0)-1,1,1)</f>
        <v>0</v>
      </c>
      <c r="AG86" s="1594" cm="1">
        <f t="array" aca="1" ref="AG86" ca="1">OFFSET(POrigin,MATCH(Valori[[#This Row],[LUKB_id]],PID,0),MATCH("DENOM",PLabel,0)-1,1,1)</f>
        <v>0</v>
      </c>
      <c r="AH86" s="1599" cm="1">
        <f t="array" aca="1" ref="AH86" ca="1">(OFFSET(POrigin,MATCH(Valori[[#This Row],[LUKB_id]],PID,0),MATCH("YIELD",PLabel,0)-1,1,1)+OFFSET(POrigin,MATCH(Valori[[#This Row],[LUKB_id]],PID,0),MATCH("YLDEQ",PLabel,0)-1,1,1))/100</f>
        <v>0</v>
      </c>
      <c r="AI86" s="1600">
        <f ca="1">OFFSET(POrigin,MATCH(Valori[[#This Row],[LUKB_id]],PID,0),MATCH("DIVIDEND",PLabel,0)-1,1,1)</f>
        <v>0</v>
      </c>
      <c r="AJ86" s="1601">
        <f ca="1">OFFSET(POrigin,MATCH(Valori[[#This Row],[LUKB_id]],PID,0),MATCH("DIVIDEND:datetime",PLabel,0)-1,1,1)</f>
        <v>0</v>
      </c>
      <c r="AK86" s="1602">
        <f ca="1">OFFSET(POrigin,MATCH(Valori[[#This Row],[LUKB_id]],PID,0),MATCH("INTEREST",PLabel,0)-1,1,1)</f>
        <v>0</v>
      </c>
      <c r="AL86" s="1603">
        <f ca="1">OFFSET(POrigin,MATCH(Valori[[#This Row],[LUKB_id]],PID,0),MATCH("4W_PERF_PR",PLabel,0)-1,1,1)/100</f>
        <v>1.0556909005428041E-2</v>
      </c>
      <c r="AM86" s="1603">
        <f ca="1">OFFSET(POrigin,MATCH(Valori[[#This Row],[LUKB_id]],PID,0),MATCH("12W_PERF_PR",PLabel,0)-1,1,1)/100</f>
        <v>2.0633687300353972E-2</v>
      </c>
      <c r="AN86" s="1603">
        <f ca="1">OFFSET(POrigin,MATCH(Valori[[#This Row],[LUKB_id]],PID,0),MATCH("YTD_PERF_PR",PLabel,0)-1,1,1)/100</f>
        <v>1.7164981716497999E-2</v>
      </c>
      <c r="AO86" s="1591"/>
      <c r="AP86" s="1591"/>
      <c r="AQ86" s="1591"/>
      <c r="AR86" s="1591"/>
      <c r="AS86" s="1890" t="s">
        <v>1075</v>
      </c>
      <c r="AT86" s="1890" t="s">
        <v>1076</v>
      </c>
      <c r="AU86" s="610" t="s">
        <v>1077</v>
      </c>
      <c r="AV86" s="1891" t="s">
        <v>1078</v>
      </c>
      <c r="AW86" s="1604" t="str">
        <f ca="1">"https://boersenundmaerkte.lukb.ch/lukb/details/"&amp;Valori[[#This Row],[LUKB_id]]</f>
        <v>https://boersenundmaerkte.lukb.ch/lukb/details/38785045,6920,814</v>
      </c>
      <c r="AX86" s="1605" t="str">
        <f>"https://www.marketscreener.com/mods_a/charts/TV/inc_dyna_graph.php?c="&amp;Valori[[#This Row],[MS_Code]]&amp;"&amp;style=TradingView.CANDLES&amp;interval=(null)&amp;mobile=(null)&amp;showAT=1"</f>
        <v>https://www.marketscreener.com/mods_a/charts/TV/inc_dyna_graph.php?c=42643513&amp;style=TradingView.CANDLES&amp;interval=(null)&amp;mobile=(null)&amp;showAT=1</v>
      </c>
      <c r="AY86" s="142"/>
      <c r="AZ86" s="142"/>
      <c r="BA86" s="142"/>
      <c r="BB86" s="142"/>
    </row>
    <row r="87" spans="1:54" ht="15" customHeight="1" x14ac:dyDescent="0.2">
      <c r="A87" s="142" t="s">
        <v>1079</v>
      </c>
      <c r="B87" s="142" t="str" cm="1">
        <f t="array" aca="1" ref="B87" ca="1">OFFSET(POrigin,MATCH(Valori[[#This Row],[smo_id]],Posizioni[smo_id],0),MATCH("LUKB_id",PIntestazioni,0)-1,1,1)</f>
        <v>38784749,1703,814</v>
      </c>
      <c r="C87" s="1668" t="str">
        <f ca="1">HYPERLINK("https://boersenundmaerkte.lukb.ch/lukb/details/"&amp;Valori[[#This Row],[LUKB_id]],"è")</f>
        <v>è</v>
      </c>
      <c r="D87" s="142" t="str" cm="1">
        <f t="array" aca="1" ref="D87" ca="1">OFFSET(POrigin,MATCH(Valori[[#This Row],[LUKB_id]],PID,0),MATCH("SC_GROUPED",PIntestazioni,0)-1,1,1)</f>
        <v>ETF</v>
      </c>
      <c r="E87" s="413" t="str" cm="1">
        <f t="array" aca="1" ref="E87" ca="1">OFFSET(POrigin,MATCH(Valori[[#This Row],[LUKB_id]],PID,0),MATCH("isin",PIntestazioni,0)-1,1,1)</f>
        <v>LU1681044647</v>
      </c>
      <c r="F87" s="34" t="str" cm="1">
        <f t="array" aca="1" ref="F87" ca="1">OFFSET(POrigin,MATCH(Valori[[#This Row],[LUKB_id]],PID,0),MATCH("NSIN_CH",PLabel,0)-1,1,1)</f>
        <v>38784749</v>
      </c>
      <c r="G87" s="95" t="str" cm="1">
        <f t="array" aca="1" ref="G87" ca="1">IF(OFFSET(POrigin,MATCH(Valori[[#This Row],[LUKB_id]],PID,0),MATCH("INSTRUNIT",PLabel,0)-1,1,1)="Nominal","Pct","Unit")</f>
        <v>Unit</v>
      </c>
      <c r="H87" s="612">
        <f ca="1">MAX(OFFSET(POrigin,MATCH(Valori[[#This Row],[LUKB_id]],PID,0),MATCH("PRICINGAMT",PLabel,0)-1,1,1),1)</f>
        <v>1</v>
      </c>
      <c r="I87" s="615" t="str" cm="1">
        <f t="array" aca="1" ref="I87" ca="1">OFFSET(POrigin,MATCH(Valori[[#This Row],[LUKB_id]],PID,0),MATCH("M_NAME",PLabel,0)-1,1,1)</f>
        <v>Amundi Index Solutions SICAV - Amundi MSCI Nordic</v>
      </c>
      <c r="J87" s="142" t="s">
        <v>759</v>
      </c>
      <c r="M87" s="142" t="str" cm="1">
        <f t="array" aca="1" ref="M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MSCI Nordic UCITS ETF</v>
      </c>
      <c r="N87" s="1563">
        <f ca="1">COUNTIF('CHF M'!smo_id,Valori[[#This Row],[smo_id]])+COUNTIF('CHF MA'!smo_id,Valori[[#This Row],[smo_id]])+COUNTIF('EUR MB'!smo_id,Valori[[#This Row],[smo_id]])+COUNTIF('EUR M'!smo_id,Valori[[#This Row],[smo_id]])+COUNTIF(AGCO!smo_id,Valori[[#This Row],[smo_id]])</f>
        <v>5</v>
      </c>
      <c r="O87" s="1590" cm="1">
        <f t="array" aca="1" ref="O87" ca="1">SUM(IF('CHF M'!smo_id=Valori[[#This Row],[smo_id]],'CHF M'!Posizione))+SUM(IF('CHF MA'!smo_id=Valori[[#This Row],[smo_id]],'CHF MA'!Posizione))+SUM(IF('EUR MB'!smo_id=Valori[[#This Row],[smo_id]],'EUR MB'!Posizione))+SUM(IF('EUR M'!smo_id=Valori[[#This Row],[smo_id]],'EUR M'!Posizione))+SUM(IF(AGCO!smo_id=Valori[[#This Row],[smo_id]],AGCO!Posizione))</f>
        <v>0</v>
      </c>
      <c r="P87" s="1661" t="str">
        <f ca="1">HYPERLINK(Valori[[#This Row],[P_Source]],"è")</f>
        <v>è</v>
      </c>
      <c r="Q87" s="1663" t="str">
        <f>HYPERLINK(Valori[[#This Row],[Info_W]],"i")</f>
        <v>i</v>
      </c>
      <c r="R87" s="1664" t="str">
        <f>HYPERLINK(Valori[[#This Row],[FN_W]],"")</f>
        <v></v>
      </c>
      <c r="S87" s="1665" t="str">
        <f>HYPERLINK(Valori[[#This Row],[MS_Link]],"")</f>
        <v></v>
      </c>
      <c r="T87" s="1665" t="str">
        <f>HYPERLINK(Valori[[#This Row],[C_source]],"")</f>
        <v></v>
      </c>
      <c r="U87" s="142" t="str" cm="1">
        <f t="array" aca="1" ref="U87" ca="1">OFFSET(POrigin,MATCH(Valori[[#This Row],[LUKB_id]],PID,0),MATCH("M_CUR",PLabel,0)-1,1,1)</f>
        <v>EUR</v>
      </c>
      <c r="V87" s="1562">
        <f ca="1">(Valori[[#This Row],[Last]]+Valori[[#This Row],[Acc. Int]])/Valori[[#This Row],[Pr.Amt]]/IF(Valori[[#This Row],[P_Type]]="Pct",100,1)</f>
        <v>675.30000000000007</v>
      </c>
      <c r="W87" s="1591" cm="1">
        <f t="array" aca="1" ref="W87" ca="1">OFFSET(POrigin,MATCH(Valori[[#This Row],[LUKB_id]],PID,0),MATCH("NC2_PR",PLabel,0)-1,1,1)/100</f>
        <v>-9.9692127254068005E-3</v>
      </c>
      <c r="X87" s="1592" cm="1">
        <f t="array" aca="1" ref="X87" ca="1">OFFSET(POrigin,MATCH(Valori[[#This Row],[LUKB_id]],PID,0),MATCH("LVAL",PLabel,0)-1,1,1)</f>
        <v>675.30000000000007</v>
      </c>
      <c r="Y87" s="1593" cm="1">
        <f t="array" aca="1" ref="Y87" ca="1">OFFSET(POrigin,MATCH(Valori[[#This Row],[LUKB_id]],PID,0),MATCH("LVAL:datetime",PLabel,0)-1,1,1)</f>
        <v>46083.733252314814</v>
      </c>
      <c r="Z87" s="1594" cm="1">
        <f t="array" aca="1" ref="Z87" ca="1">OFFSET(POrigin,MATCH(Valori[[#This Row],[LUKB_id]],PID,0),MATCH("BID:volume",PLabel,0)-1,1,1)</f>
        <v>0</v>
      </c>
      <c r="AA87" s="1595" cm="1">
        <f t="array" aca="1" ref="AA87" ca="1">OFFSET(POrigin,MATCH(Valori[[#This Row],[LUKB_id]],PID,0),MATCH("BID",PLabel,0)-1,1,1)</f>
        <v>0</v>
      </c>
      <c r="AB87" s="1595" cm="1">
        <f t="array" aca="1" ref="AB87" ca="1">OFFSET(POrigin,MATCH(Valori[[#This Row],[LUKB_id]],PID,0),MATCH("ASK",PLabel,0)-1,1,1)</f>
        <v>0</v>
      </c>
      <c r="AC87" s="1594" cm="1">
        <f t="array" aca="1" ref="AC87" ca="1">OFFSET(POrigin,MATCH(Valori[[#This Row],[LUKB_id]],PID,0),MATCH("ASK:volume",PLabel,0)-1,1,1)</f>
        <v>0</v>
      </c>
      <c r="AD87" s="1596" cm="1">
        <f t="array" aca="1" ref="AD87" ca="1">OFFSET(POrigin,MATCH(Valori[[#This Row],[LUKB_id]],PID,0),MATCH("BID-ASK Spread %",PLabel,0)-1,1,1)</f>
        <v>0</v>
      </c>
      <c r="AE87" s="1597" t="str" cm="1">
        <f t="array" aca="1" ref="AE87" ca="1">IF(OFFSET(POrigin,MATCH(Valori[[#This Row],[LUKB_id]],PID,0),MATCH("MATURITY",PLabel,0)-1,1,1)&gt;0,OFFSET(POrigin,MATCH(Valori[[#This Row],[LUKB_id]],PID,0),MATCH("MATURITY",PLabel,0)-1,1,1),"")</f>
        <v/>
      </c>
      <c r="AF87" s="1598" cm="1">
        <f t="array" aca="1" ref="AF87" ca="1">OFFSET(POrigin,MATCH(Valori[[#This Row],[LUKB_id]],PID,0),MATCH("ACCINT",PLabel,0)-1,1,1)</f>
        <v>0</v>
      </c>
      <c r="AG87" s="1594" cm="1">
        <f t="array" aca="1" ref="AG87" ca="1">OFFSET(POrigin,MATCH(Valori[[#This Row],[LUKB_id]],PID,0),MATCH("DENOM",PLabel,0)-1,1,1)</f>
        <v>0</v>
      </c>
      <c r="AH87" s="1599" cm="1">
        <f t="array" aca="1" ref="AH87" ca="1">(OFFSET(POrigin,MATCH(Valori[[#This Row],[LUKB_id]],PID,0),MATCH("YIELD",PLabel,0)-1,1,1)+OFFSET(POrigin,MATCH(Valori[[#This Row],[LUKB_id]],PID,0),MATCH("YLDEQ",PLabel,0)-1,1,1))/100</f>
        <v>0</v>
      </c>
      <c r="AI87" s="1600">
        <f ca="1">OFFSET(POrigin,MATCH(Valori[[#This Row],[LUKB_id]],PID,0),MATCH("DIVIDEND",PLabel,0)-1,1,1)</f>
        <v>0</v>
      </c>
      <c r="AJ87" s="1601">
        <f ca="1">OFFSET(POrigin,MATCH(Valori[[#This Row],[LUKB_id]],PID,0),MATCH("DIVIDEND:datetime",PLabel,0)-1,1,1)</f>
        <v>0</v>
      </c>
      <c r="AK87" s="1602">
        <f ca="1">OFFSET(POrigin,MATCH(Valori[[#This Row],[LUKB_id]],PID,0),MATCH("INTEREST",PLabel,0)-1,1,1)</f>
        <v>0</v>
      </c>
      <c r="AL87" s="1603">
        <f ca="1">OFFSET(POrigin,MATCH(Valori[[#This Row],[LUKB_id]],PID,0),MATCH("4W_PERF_PR",PLabel,0)-1,1,1)/100</f>
        <v>-2.7365692063949298E-2</v>
      </c>
      <c r="AM87" s="1603">
        <f ca="1">OFFSET(POrigin,MATCH(Valori[[#This Row],[LUKB_id]],PID,0),MATCH("12W_PERF_PR",PLabel,0)-1,1,1)/100</f>
        <v>7.1394574012375048E-2</v>
      </c>
      <c r="AN87" s="1603">
        <f ca="1">OFFSET(POrigin,MATCH(Valori[[#This Row],[LUKB_id]],PID,0),MATCH("YTD_PERF_PR",PLabel,0)-1,1,1)/100</f>
        <v>3.41500765696785E-2</v>
      </c>
      <c r="AO87" s="1591"/>
      <c r="AP87" s="1591"/>
      <c r="AQ87" s="1591"/>
      <c r="AR87" s="1591"/>
      <c r="AS87" s="1890" t="s">
        <v>1080</v>
      </c>
      <c r="AT87" s="1890" t="s">
        <v>1081</v>
      </c>
      <c r="AU87" s="610" t="s">
        <v>1082</v>
      </c>
      <c r="AV87" s="1891" t="s">
        <v>1083</v>
      </c>
      <c r="AW87" s="1604" t="str">
        <f ca="1">"https://boersenundmaerkte.lukb.ch/lukb/details/"&amp;Valori[[#This Row],[LUKB_id]]</f>
        <v>https://boersenundmaerkte.lukb.ch/lukb/details/38784749,1703,814</v>
      </c>
      <c r="AX87" s="1605" t="str">
        <f>"https://www.marketscreener.com/mods_a/charts/TV/inc_dyna_graph.php?c="&amp;Valori[[#This Row],[MS_Code]]&amp;"&amp;style=TradingView.CANDLES&amp;interval=(null)&amp;mobile=(null)&amp;showAT=1"</f>
        <v>https://www.marketscreener.com/mods_a/charts/TV/inc_dyna_graph.php?c=42470357&amp;style=TradingView.CANDLES&amp;interval=(null)&amp;mobile=(null)&amp;showAT=1</v>
      </c>
      <c r="AY87" s="142"/>
      <c r="AZ87" s="142"/>
      <c r="BA87" s="142"/>
      <c r="BB87" s="142"/>
    </row>
    <row r="88" spans="1:54" ht="15" customHeight="1" x14ac:dyDescent="0.2">
      <c r="A88" s="142" t="s">
        <v>1084</v>
      </c>
      <c r="B88" s="142" t="str" cm="1">
        <f t="array" aca="1" ref="B88" ca="1">OFFSET(POrigin,MATCH(Valori[[#This Row],[smo_id]],Posizioni[smo_id],0),MATCH("LUKB_id",PIntestazioni,0)-1,1,1)</f>
        <v>21182580,1703,814</v>
      </c>
      <c r="C88" s="1668" t="str">
        <f ca="1">HYPERLINK("https://boersenundmaerkte.lukb.ch/lukb/details/"&amp;Valori[[#This Row],[LUKB_id]],"è")</f>
        <v>è</v>
      </c>
      <c r="D88" s="142" t="str" cm="1">
        <f t="array" aca="1" ref="D88" ca="1">OFFSET(POrigin,MATCH(Valori[[#This Row],[LUKB_id]],PID,0),MATCH("SC_GROUPED",PIntestazioni,0)-1,1,1)</f>
        <v>ETF</v>
      </c>
      <c r="E88" s="413" t="str" cm="1">
        <f t="array" aca="1" ref="E88" ca="1">OFFSET(POrigin,MATCH(Valori[[#This Row],[LUKB_id]],PID,0),MATCH("isin",PIntestazioni,0)-1,1,1)</f>
        <v>LU0908500753</v>
      </c>
      <c r="F88" s="34" t="str" cm="1">
        <f t="array" aca="1" ref="F88" ca="1">OFFSET(POrigin,MATCH(Valori[[#This Row],[LUKB_id]],PID,0),MATCH("NSIN_CH",PLabel,0)-1,1,1)</f>
        <v>21182580</v>
      </c>
      <c r="G88" s="95" t="str" cm="1">
        <f t="array" aca="1" ref="G88" ca="1">IF(OFFSET(POrigin,MATCH(Valori[[#This Row],[LUKB_id]],PID,0),MATCH("INSTRUNIT",PLabel,0)-1,1,1)="Nominal","Pct","Unit")</f>
        <v>Unit</v>
      </c>
      <c r="H88" s="612">
        <f ca="1">MAX(OFFSET(POrigin,MATCH(Valori[[#This Row],[LUKB_id]],PID,0),MATCH("PRICINGAMT",PLabel,0)-1,1,1),1)</f>
        <v>1</v>
      </c>
      <c r="I88" s="615" t="str" cm="1">
        <f t="array" aca="1" ref="I88" ca="1">OFFSET(POrigin,MATCH(Valori[[#This Row],[LUKB_id]],PID,0),MATCH("M_NAME",PLabel,0)-1,1,1)</f>
        <v>Amundi Index Solutions SICAV - Amundi Core Stoxx Europe 600</v>
      </c>
      <c r="J88" s="142" t="s">
        <v>1085</v>
      </c>
      <c r="M88" s="142" t="str" cm="1">
        <f t="array" aca="1" ref="M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STOXX Europe 600</v>
      </c>
      <c r="N88" s="1563">
        <f ca="1">COUNTIF('CHF M'!smo_id,Valori[[#This Row],[smo_id]])+COUNTIF('CHF MA'!smo_id,Valori[[#This Row],[smo_id]])+COUNTIF('EUR MB'!smo_id,Valori[[#This Row],[smo_id]])+COUNTIF('EUR M'!smo_id,Valori[[#This Row],[smo_id]])+COUNTIF(AGCO!smo_id,Valori[[#This Row],[smo_id]])</f>
        <v>0</v>
      </c>
      <c r="O88" s="1590" cm="1">
        <f t="array" aca="1" ref="O88" ca="1">SUM(IF('CHF M'!smo_id=Valori[[#This Row],[smo_id]],'CHF M'!Posizione))+SUM(IF('CHF MA'!smo_id=Valori[[#This Row],[smo_id]],'CHF MA'!Posizione))+SUM(IF('EUR MB'!smo_id=Valori[[#This Row],[smo_id]],'EUR MB'!Posizione))+SUM(IF('EUR M'!smo_id=Valori[[#This Row],[smo_id]],'EUR M'!Posizione))+SUM(IF(AGCO!smo_id=Valori[[#This Row],[smo_id]],AGCO!Posizione))</f>
        <v>0</v>
      </c>
      <c r="P88" s="1661" t="str">
        <f ca="1">HYPERLINK(Valori[[#This Row],[P_Source]],"è")</f>
        <v>è</v>
      </c>
      <c r="Q88" s="1663" t="str">
        <f>HYPERLINK(Valori[[#This Row],[Info_W]],"i")</f>
        <v>i</v>
      </c>
      <c r="R88" s="1664" t="str">
        <f>HYPERLINK(Valori[[#This Row],[FN_W]],"")</f>
        <v></v>
      </c>
      <c r="S88" s="1665" t="str">
        <f>HYPERLINK(Valori[[#This Row],[MS_Link]],"")</f>
        <v></v>
      </c>
      <c r="T88" s="1665" t="str">
        <f>HYPERLINK(Valori[[#This Row],[C_source]],"")</f>
        <v></v>
      </c>
      <c r="U88" s="142" t="str" cm="1">
        <f t="array" aca="1" ref="U88" ca="1">OFFSET(POrigin,MATCH(Valori[[#This Row],[LUKB_id]],PID,0),MATCH("M_CUR",PLabel,0)-1,1,1)</f>
        <v>EUR</v>
      </c>
      <c r="V88" s="1562">
        <f ca="1">(Valori[[#This Row],[Last]]+Valori[[#This Row],[Acc. Int]])/Valori[[#This Row],[Pr.Amt]]/IF(Valori[[#This Row],[P_Type]]="Pct",100,1)</f>
        <v>300.90000000000003</v>
      </c>
      <c r="W88" s="1591" cm="1">
        <f t="array" aca="1" ref="W88" ca="1">OFFSET(POrigin,MATCH(Valori[[#This Row],[LUKB_id]],PID,0),MATCH("NC2_PR",PLabel,0)-1,1,1)/100</f>
        <v>-1.60235448005232E-2</v>
      </c>
      <c r="X88" s="1592" cm="1">
        <f t="array" aca="1" ref="X88" ca="1">OFFSET(POrigin,MATCH(Valori[[#This Row],[LUKB_id]],PID,0),MATCH("LVAL",PLabel,0)-1,1,1)</f>
        <v>300.90000000000003</v>
      </c>
      <c r="Y88" s="1593" cm="1">
        <f t="array" aca="1" ref="Y88" ca="1">OFFSET(POrigin,MATCH(Valori[[#This Row],[LUKB_id]],PID,0),MATCH("LVAL:datetime",PLabel,0)-1,1,1)</f>
        <v>46083.733402777776</v>
      </c>
      <c r="Z88" s="1594" cm="1">
        <f t="array" aca="1" ref="Z88" ca="1">OFFSET(POrigin,MATCH(Valori[[#This Row],[LUKB_id]],PID,0),MATCH("BID:volume",PLabel,0)-1,1,1)</f>
        <v>0</v>
      </c>
      <c r="AA88" s="1595" cm="1">
        <f t="array" aca="1" ref="AA88" ca="1">OFFSET(POrigin,MATCH(Valori[[#This Row],[LUKB_id]],PID,0),MATCH("BID",PLabel,0)-1,1,1)</f>
        <v>0</v>
      </c>
      <c r="AB88" s="1595" cm="1">
        <f t="array" aca="1" ref="AB88" ca="1">OFFSET(POrigin,MATCH(Valori[[#This Row],[LUKB_id]],PID,0),MATCH("ASK",PLabel,0)-1,1,1)</f>
        <v>0</v>
      </c>
      <c r="AC88" s="1594" cm="1">
        <f t="array" aca="1" ref="AC88" ca="1">OFFSET(POrigin,MATCH(Valori[[#This Row],[LUKB_id]],PID,0),MATCH("ASK:volume",PLabel,0)-1,1,1)</f>
        <v>0</v>
      </c>
      <c r="AD88" s="1596" cm="1">
        <f t="array" aca="1" ref="AD88" ca="1">OFFSET(POrigin,MATCH(Valori[[#This Row],[LUKB_id]],PID,0),MATCH("BID-ASK Spread %",PLabel,0)-1,1,1)</f>
        <v>0</v>
      </c>
      <c r="AE88" s="1597" t="str" cm="1">
        <f t="array" aca="1" ref="AE88" ca="1">IF(OFFSET(POrigin,MATCH(Valori[[#This Row],[LUKB_id]],PID,0),MATCH("MATURITY",PLabel,0)-1,1,1)&gt;0,OFFSET(POrigin,MATCH(Valori[[#This Row],[LUKB_id]],PID,0),MATCH("MATURITY",PLabel,0)-1,1,1),"")</f>
        <v/>
      </c>
      <c r="AF88" s="1598" cm="1">
        <f t="array" aca="1" ref="AF88" ca="1">OFFSET(POrigin,MATCH(Valori[[#This Row],[LUKB_id]],PID,0),MATCH("ACCINT",PLabel,0)-1,1,1)</f>
        <v>0</v>
      </c>
      <c r="AG88" s="1594" cm="1">
        <f t="array" aca="1" ref="AG88" ca="1">OFFSET(POrigin,MATCH(Valori[[#This Row],[LUKB_id]],PID,0),MATCH("DENOM",PLabel,0)-1,1,1)</f>
        <v>0</v>
      </c>
      <c r="AH88" s="1599" cm="1">
        <f t="array" aca="1" ref="AH88" ca="1">(OFFSET(POrigin,MATCH(Valori[[#This Row],[LUKB_id]],PID,0),MATCH("YIELD",PLabel,0)-1,1,1)+OFFSET(POrigin,MATCH(Valori[[#This Row],[LUKB_id]],PID,0),MATCH("YLDEQ",PLabel,0)-1,1,1))/100</f>
        <v>0</v>
      </c>
      <c r="AI88" s="1600">
        <f ca="1">OFFSET(POrigin,MATCH(Valori[[#This Row],[LUKB_id]],PID,0),MATCH("DIVIDEND",PLabel,0)-1,1,1)</f>
        <v>0</v>
      </c>
      <c r="AJ88" s="1601">
        <f ca="1">OFFSET(POrigin,MATCH(Valori[[#This Row],[LUKB_id]],PID,0),MATCH("DIVIDEND:datetime",PLabel,0)-1,1,1)</f>
        <v>0</v>
      </c>
      <c r="AK88" s="1602">
        <f ca="1">OFFSET(POrigin,MATCH(Valori[[#This Row],[LUKB_id]],PID,0),MATCH("INTEREST",PLabel,0)-1,1,1)</f>
        <v>0</v>
      </c>
      <c r="AL88" s="1603">
        <f ca="1">OFFSET(POrigin,MATCH(Valori[[#This Row],[LUKB_id]],PID,0),MATCH("4W_PERF_PR",PLabel,0)-1,1,1)/100</f>
        <v>1.0579345088161324E-2</v>
      </c>
      <c r="AM88" s="1603">
        <f ca="1">OFFSET(POrigin,MATCH(Valori[[#This Row],[LUKB_id]],PID,0),MATCH("12W_PERF_PR",PLabel,0)-1,1,1)/100</f>
        <v>8.0043072505384102E-2</v>
      </c>
      <c r="AN88" s="1603">
        <f ca="1">OFFSET(POrigin,MATCH(Valori[[#This Row],[LUKB_id]],PID,0),MATCH("YTD_PERF_PR",PLabel,0)-1,1,1)/100</f>
        <v>5.3940455341506294E-2</v>
      </c>
      <c r="AO88" s="1591"/>
      <c r="AP88" s="1591"/>
      <c r="AQ88" s="1591"/>
      <c r="AR88" s="1591"/>
      <c r="AS88" s="1890"/>
      <c r="AT88" s="1890"/>
      <c r="AU88" s="610"/>
      <c r="AV88" s="1891"/>
      <c r="AW88" s="1604" t="str">
        <f ca="1">"https://boersenundmaerkte.lukb.ch/lukb/details/"&amp;Valori[[#This Row],[LUKB_id]]</f>
        <v>https://boersenundmaerkte.lukb.ch/lukb/details/21182580,1703,814</v>
      </c>
      <c r="AX8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8" s="142"/>
      <c r="AZ88" s="142"/>
      <c r="BA88" s="142"/>
      <c r="BB88" s="142"/>
    </row>
    <row r="89" spans="1:54" ht="15" customHeight="1" x14ac:dyDescent="0.2">
      <c r="A89" s="142" t="s">
        <v>1086</v>
      </c>
      <c r="B89" s="142" t="str" cm="1">
        <f t="array" aca="1" ref="B89" ca="1">OFFSET(POrigin,MATCH(Valori[[#This Row],[smo_id]],Posizioni[smo_id],0),MATCH("LUKB_id",PIntestazioni,0)-1,1,1)</f>
        <v>42745975,6920,814</v>
      </c>
      <c r="C89" s="1668" t="str">
        <f ca="1">HYPERLINK("https://boersenundmaerkte.lukb.ch/lukb/details/"&amp;Valori[[#This Row],[LUKB_id]],"è")</f>
        <v>è</v>
      </c>
      <c r="D89" s="142" t="str" cm="1">
        <f t="array" aca="1" ref="D89" ca="1">OFFSET(POrigin,MATCH(Valori[[#This Row],[LUKB_id]],PID,0),MATCH("SC_GROUPED",PIntestazioni,0)-1,1,1)</f>
        <v>ETF</v>
      </c>
      <c r="E89" s="413" t="str" cm="1">
        <f t="array" aca="1" ref="E89" ca="1">OFFSET(POrigin,MATCH(Valori[[#This Row],[LUKB_id]],PID,0),MATCH("isin",PIntestazioni,0)-1,1,1)</f>
        <v>LU1812090543</v>
      </c>
      <c r="F89" s="34" t="str" cm="1">
        <f t="array" aca="1" ref="F89" ca="1">OFFSET(POrigin,MATCH(Valori[[#This Row],[LUKB_id]],PID,0),MATCH("NSIN_CH",PLabel,0)-1,1,1)</f>
        <v>42745975</v>
      </c>
      <c r="G89" s="95" t="str" cm="1">
        <f t="array" aca="1" ref="G89" ca="1">IF(OFFSET(POrigin,MATCH(Valori[[#This Row],[LUKB_id]],PID,0),MATCH("INSTRUNIT",PLabel,0)-1,1,1)="Nominal","Pct","Unit")</f>
        <v>Unit</v>
      </c>
      <c r="H89" s="612">
        <f ca="1">MAX(OFFSET(POrigin,MATCH(Valori[[#This Row],[LUKB_id]],PID,0),MATCH("PRICINGAMT",PLabel,0)-1,1,1),1)</f>
        <v>1</v>
      </c>
      <c r="I89" s="615" t="str" cm="1">
        <f t="array" aca="1" ref="I89" ca="1">OFFSET(POrigin,MATCH(Valori[[#This Row],[LUKB_id]],PID,0),MATCH("M_NAME",PLabel,0)-1,1,1)</f>
        <v>Amundi Index Solutions SICAV - Amundi EUR High Yield Corporate Bond ESG</v>
      </c>
      <c r="J89" s="142" t="s">
        <v>1087</v>
      </c>
      <c r="M89" s="142" t="str" cm="1">
        <f t="array" aca="1" ref="M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EUR High Yield Corporate Bond ESG</v>
      </c>
      <c r="N89" s="1563">
        <f ca="1">COUNTIF('CHF M'!smo_id,Valori[[#This Row],[smo_id]])+COUNTIF('CHF MA'!smo_id,Valori[[#This Row],[smo_id]])+COUNTIF('EUR MB'!smo_id,Valori[[#This Row],[smo_id]])+COUNTIF('EUR M'!smo_id,Valori[[#This Row],[smo_id]])+COUNTIF(AGCO!smo_id,Valori[[#This Row],[smo_id]])</f>
        <v>0</v>
      </c>
      <c r="O89" s="1590" cm="1">
        <f t="array" aca="1" ref="O89" ca="1">SUM(IF('CHF M'!smo_id=Valori[[#This Row],[smo_id]],'CHF M'!Posizione))+SUM(IF('CHF MA'!smo_id=Valori[[#This Row],[smo_id]],'CHF MA'!Posizione))+SUM(IF('EUR MB'!smo_id=Valori[[#This Row],[smo_id]],'EUR MB'!Posizione))+SUM(IF('EUR M'!smo_id=Valori[[#This Row],[smo_id]],'EUR M'!Posizione))+SUM(IF(AGCO!smo_id=Valori[[#This Row],[smo_id]],AGCO!Posizione))</f>
        <v>0</v>
      </c>
      <c r="P89" s="1661" t="str">
        <f ca="1">HYPERLINK(Valori[[#This Row],[P_Source]],"è")</f>
        <v>è</v>
      </c>
      <c r="Q89" s="1663" t="str">
        <f>HYPERLINK(Valori[[#This Row],[Info_W]],"i")</f>
        <v>i</v>
      </c>
      <c r="R89" s="1664" t="str">
        <f>HYPERLINK(Valori[[#This Row],[FN_W]],"")</f>
        <v></v>
      </c>
      <c r="S89" s="1665" t="str">
        <f>HYPERLINK(Valori[[#This Row],[MS_Link]],"")</f>
        <v></v>
      </c>
      <c r="T89" s="1665" t="str">
        <f>HYPERLINK(Valori[[#This Row],[C_source]],"")</f>
        <v></v>
      </c>
      <c r="U89" s="142" t="str" cm="1">
        <f t="array" aca="1" ref="U89" ca="1">OFFSET(POrigin,MATCH(Valori[[#This Row],[LUKB_id]],PID,0),MATCH("M_CUR",PLabel,0)-1,1,1)</f>
        <v>EUR</v>
      </c>
      <c r="V89" s="1562">
        <f ca="1">(Valori[[#This Row],[Last]]+Valori[[#This Row],[Acc. Int]])/Valori[[#This Row],[Pr.Amt]]/IF(Valori[[#This Row],[P_Type]]="Pct",100,1)</f>
        <v>107.24000000000001</v>
      </c>
      <c r="W89" s="1591" cm="1">
        <f t="array" aca="1" ref="W89" ca="1">OFFSET(POrigin,MATCH(Valori[[#This Row],[LUKB_id]],PID,0),MATCH("NC2_PR",PLabel,0)-1,1,1)/100</f>
        <v>-2.6041666666666002E-3</v>
      </c>
      <c r="X89" s="1592" cm="1">
        <f t="array" aca="1" ref="X89" ca="1">OFFSET(POrigin,MATCH(Valori[[#This Row],[LUKB_id]],PID,0),MATCH("LVAL",PLabel,0)-1,1,1)</f>
        <v>107.24000000000001</v>
      </c>
      <c r="Y89" s="1593" cm="1">
        <f t="array" aca="1" ref="Y89" ca="1">OFFSET(POrigin,MATCH(Valori[[#This Row],[LUKB_id]],PID,0),MATCH("LVAL:datetime",PLabel,0)-1,1,1)</f>
        <v>46083.746527777781</v>
      </c>
      <c r="Z89" s="1594" cm="1">
        <f t="array" aca="1" ref="Z89" ca="1">OFFSET(POrigin,MATCH(Valori[[#This Row],[LUKB_id]],PID,0),MATCH("BID:volume",PLabel,0)-1,1,1)</f>
        <v>0</v>
      </c>
      <c r="AA89" s="1595" cm="1">
        <f t="array" aca="1" ref="AA89" ca="1">OFFSET(POrigin,MATCH(Valori[[#This Row],[LUKB_id]],PID,0),MATCH("BID",PLabel,0)-1,1,1)</f>
        <v>0</v>
      </c>
      <c r="AB89" s="1595" cm="1">
        <f t="array" aca="1" ref="AB89" ca="1">OFFSET(POrigin,MATCH(Valori[[#This Row],[LUKB_id]],PID,0),MATCH("ASK",PLabel,0)-1,1,1)</f>
        <v>0</v>
      </c>
      <c r="AC89" s="1594" cm="1">
        <f t="array" aca="1" ref="AC89" ca="1">OFFSET(POrigin,MATCH(Valori[[#This Row],[LUKB_id]],PID,0),MATCH("ASK:volume",PLabel,0)-1,1,1)</f>
        <v>0</v>
      </c>
      <c r="AD89" s="1596" cm="1">
        <f t="array" aca="1" ref="AD89" ca="1">OFFSET(POrigin,MATCH(Valori[[#This Row],[LUKB_id]],PID,0),MATCH("BID-ASK Spread %",PLabel,0)-1,1,1)</f>
        <v>0</v>
      </c>
      <c r="AE89" s="1597" t="str" cm="1">
        <f t="array" aca="1" ref="AE89" ca="1">IF(OFFSET(POrigin,MATCH(Valori[[#This Row],[LUKB_id]],PID,0),MATCH("MATURITY",PLabel,0)-1,1,1)&gt;0,OFFSET(POrigin,MATCH(Valori[[#This Row],[LUKB_id]],PID,0),MATCH("MATURITY",PLabel,0)-1,1,1),"")</f>
        <v/>
      </c>
      <c r="AF89" s="1598" cm="1">
        <f t="array" aca="1" ref="AF89" ca="1">OFFSET(POrigin,MATCH(Valori[[#This Row],[LUKB_id]],PID,0),MATCH("ACCINT",PLabel,0)-1,1,1)</f>
        <v>0</v>
      </c>
      <c r="AG89" s="1594" cm="1">
        <f t="array" aca="1" ref="AG89" ca="1">OFFSET(POrigin,MATCH(Valori[[#This Row],[LUKB_id]],PID,0),MATCH("DENOM",PLabel,0)-1,1,1)</f>
        <v>0</v>
      </c>
      <c r="AH89" s="1599" cm="1">
        <f t="array" aca="1" ref="AH89" ca="1">(OFFSET(POrigin,MATCH(Valori[[#This Row],[LUKB_id]],PID,0),MATCH("YIELD",PLabel,0)-1,1,1)+OFFSET(POrigin,MATCH(Valori[[#This Row],[LUKB_id]],PID,0),MATCH("YLDEQ",PLabel,0)-1,1,1))/100</f>
        <v>0</v>
      </c>
      <c r="AI89" s="1600">
        <f ca="1">OFFSET(POrigin,MATCH(Valori[[#This Row],[LUKB_id]],PID,0),MATCH("DIVIDEND",PLabel,0)-1,1,1)</f>
        <v>4.3600000000000003</v>
      </c>
      <c r="AJ89" s="1601">
        <f ca="1">OFFSET(POrigin,MATCH(Valori[[#This Row],[LUKB_id]],PID,0),MATCH("DIVIDEND:datetime",PLabel,0)-1,1,1)</f>
        <v>46000</v>
      </c>
      <c r="AK89" s="1602">
        <f ca="1">OFFSET(POrigin,MATCH(Valori[[#This Row],[LUKB_id]],PID,0),MATCH("INTEREST",PLabel,0)-1,1,1)</f>
        <v>0</v>
      </c>
      <c r="AL89" s="1603">
        <f ca="1">OFFSET(POrigin,MATCH(Valori[[#This Row],[LUKB_id]],PID,0),MATCH("4W_PERF_PR",PLabel,0)-1,1,1)/100</f>
        <v>-2.8823802882379178E-3</v>
      </c>
      <c r="AM89" s="1603">
        <f ca="1">OFFSET(POrigin,MATCH(Valori[[#This Row],[LUKB_id]],PID,0),MATCH("12W_PERF_PR",PLabel,0)-1,1,1)/100</f>
        <v>-3.2217308907138281E-2</v>
      </c>
      <c r="AN89" s="1603">
        <f ca="1">OFFSET(POrigin,MATCH(Valori[[#This Row],[LUKB_id]],PID,0),MATCH("YTD_PERF_PR",PLabel,0)-1,1,1)/100</f>
        <v>2.2429906542056999E-3</v>
      </c>
      <c r="AO89" s="1591"/>
      <c r="AP89" s="1591"/>
      <c r="AQ89" s="1591"/>
      <c r="AR89" s="1591"/>
      <c r="AS89" s="1890" t="s">
        <v>1088</v>
      </c>
      <c r="AT89" s="1890" t="s">
        <v>1089</v>
      </c>
      <c r="AU89" s="610" t="s">
        <v>1090</v>
      </c>
      <c r="AV89" s="1891" t="s">
        <v>1091</v>
      </c>
      <c r="AW89" s="1604" t="str">
        <f ca="1">"https://boersenundmaerkte.lukb.ch/lukb/details/"&amp;Valori[[#This Row],[LUKB_id]]</f>
        <v>https://boersenundmaerkte.lukb.ch/lukb/details/42745975,6920,814</v>
      </c>
      <c r="AX89" s="1605" t="str">
        <f>"https://www.marketscreener.com/mods_a/charts/TV/inc_dyna_graph.php?c="&amp;Valori[[#This Row],[MS_Code]]&amp;"&amp;style=TradingView.CANDLES&amp;interval=(null)&amp;mobile=(null)&amp;showAT=1"</f>
        <v>https://www.marketscreener.com/mods_a/charts/TV/inc_dyna_graph.php?c=46843337&amp;style=TradingView.CANDLES&amp;interval=(null)&amp;mobile=(null)&amp;showAT=1</v>
      </c>
      <c r="AY89" s="142"/>
      <c r="AZ89" s="142"/>
      <c r="BA89" s="142"/>
      <c r="BB89" s="142"/>
    </row>
    <row r="90" spans="1:54" ht="15" customHeight="1" x14ac:dyDescent="0.2">
      <c r="A90" s="142" t="s">
        <v>1092</v>
      </c>
      <c r="B90" s="142" t="str" cm="1">
        <f t="array" aca="1" ref="B90" ca="1">OFFSET(POrigin,MATCH(Valori[[#This Row],[smo_id]],Posizioni[smo_id],0),MATCH("LUKB_id",PIntestazioni,0)-1,1,1)</f>
        <v>45209801,1703,814</v>
      </c>
      <c r="C90" s="1668" t="str">
        <f ca="1">HYPERLINK("https://boersenundmaerkte.lukb.ch/lukb/details/"&amp;Valori[[#This Row],[LUKB_id]],"è")</f>
        <v>è</v>
      </c>
      <c r="D90" s="142" t="str" cm="1">
        <f t="array" aca="1" ref="D90" ca="1">OFFSET(POrigin,MATCH(Valori[[#This Row],[LUKB_id]],PID,0),MATCH("SC_GROUPED",PIntestazioni,0)-1,1,1)</f>
        <v>ETF</v>
      </c>
      <c r="E90" s="413" t="str" cm="1">
        <f t="array" aca="1" ref="E90" ca="1">OFFSET(POrigin,MATCH(Valori[[#This Row],[LUKB_id]],PID,0),MATCH("isin",PIntestazioni,0)-1,1,1)</f>
        <v>LU1900066462</v>
      </c>
      <c r="F90" s="34" t="str" cm="1">
        <f t="array" aca="1" ref="F90" ca="1">OFFSET(POrigin,MATCH(Valori[[#This Row],[LUKB_id]],PID,0),MATCH("NSIN_CH",PLabel,0)-1,1,1)</f>
        <v>45209801</v>
      </c>
      <c r="G90" s="95" t="str" cm="1">
        <f t="array" aca="1" ref="G90" ca="1">IF(OFFSET(POrigin,MATCH(Valori[[#This Row],[LUKB_id]],PID,0),MATCH("INSTRUNIT",PLabel,0)-1,1,1)="Nominal","Pct","Unit")</f>
        <v>Unit</v>
      </c>
      <c r="H90" s="612">
        <f ca="1">MAX(OFFSET(POrigin,MATCH(Valori[[#This Row],[LUKB_id]],PID,0),MATCH("PRICINGAMT",PLabel,0)-1,1,1),1)</f>
        <v>1</v>
      </c>
      <c r="I90" s="615" t="str" cm="1">
        <f t="array" aca="1" ref="I90" ca="1">OFFSET(POrigin,MATCH(Valori[[#This Row],[LUKB_id]],PID,0),MATCH("M_NAME",PLabel,0)-1,1,1)</f>
        <v>Multi Units Luxembourg SICAV - Amundi MSCI Eastern Europe Ex Russia</v>
      </c>
      <c r="J90" s="142" t="s">
        <v>773</v>
      </c>
      <c r="M90" s="142" t="str" cm="1">
        <f t="array" aca="1" ref="M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Eastern Europe Ex Russia UCITS</v>
      </c>
      <c r="N90" s="1563">
        <f ca="1">COUNTIF('CHF M'!smo_id,Valori[[#This Row],[smo_id]])+COUNTIF('CHF MA'!smo_id,Valori[[#This Row],[smo_id]])+COUNTIF('EUR MB'!smo_id,Valori[[#This Row],[smo_id]])+COUNTIF('EUR M'!smo_id,Valori[[#This Row],[smo_id]])+COUNTIF(AGCO!smo_id,Valori[[#This Row],[smo_id]])</f>
        <v>5</v>
      </c>
      <c r="O90" s="1590" cm="1">
        <f t="array" aca="1" ref="O90" ca="1">SUM(IF('CHF M'!smo_id=Valori[[#This Row],[smo_id]],'CHF M'!Posizione))+SUM(IF('CHF MA'!smo_id=Valori[[#This Row],[smo_id]],'CHF MA'!Posizione))+SUM(IF('EUR MB'!smo_id=Valori[[#This Row],[smo_id]],'EUR MB'!Posizione))+SUM(IF('EUR M'!smo_id=Valori[[#This Row],[smo_id]],'EUR M'!Posizione))+SUM(IF(AGCO!smo_id=Valori[[#This Row],[smo_id]],AGCO!Posizione))</f>
        <v>0</v>
      </c>
      <c r="P90" s="1661" t="str">
        <f ca="1">HYPERLINK(Valori[[#This Row],[P_Source]],"è")</f>
        <v>è</v>
      </c>
      <c r="Q90" s="1663" t="str">
        <f>HYPERLINK(Valori[[#This Row],[Info_W]],"i")</f>
        <v>i</v>
      </c>
      <c r="R90" s="1664" t="str">
        <f>HYPERLINK(Valori[[#This Row],[FN_W]],"")</f>
        <v></v>
      </c>
      <c r="S90" s="1665" t="str">
        <f>HYPERLINK(Valori[[#This Row],[MS_Link]],"")</f>
        <v></v>
      </c>
      <c r="T90" s="1665" t="str">
        <f>HYPERLINK(Valori[[#This Row],[C_source]],"")</f>
        <v></v>
      </c>
      <c r="U90" s="142" t="str" cm="1">
        <f t="array" aca="1" ref="U90" ca="1">OFFSET(POrigin,MATCH(Valori[[#This Row],[LUKB_id]],PID,0),MATCH("M_CUR",PLabel,0)-1,1,1)</f>
        <v>EUR</v>
      </c>
      <c r="V90" s="1562">
        <f ca="1">(Valori[[#This Row],[Last]]+Valori[[#This Row],[Acc. Int]])/Valori[[#This Row],[Pr.Amt]]/IF(Valori[[#This Row],[P_Type]]="Pct",100,1)</f>
        <v>39.22</v>
      </c>
      <c r="W90" s="1591" cm="1">
        <f t="array" aca="1" ref="W90" ca="1">OFFSET(POrigin,MATCH(Valori[[#This Row],[LUKB_id]],PID,0),MATCH("NC2_PR",PLabel,0)-1,1,1)/100</f>
        <v>-1.48203968852049E-2</v>
      </c>
      <c r="X90" s="1592" cm="1">
        <f t="array" aca="1" ref="X90" ca="1">OFFSET(POrigin,MATCH(Valori[[#This Row],[LUKB_id]],PID,0),MATCH("LVAL",PLabel,0)-1,1,1)</f>
        <v>39.22</v>
      </c>
      <c r="Y90" s="1593" cm="1">
        <f t="array" aca="1" ref="Y90" ca="1">OFFSET(POrigin,MATCH(Valori[[#This Row],[LUKB_id]],PID,0),MATCH("LVAL:datetime",PLabel,0)-1,1,1)</f>
        <v>46083.733275462961</v>
      </c>
      <c r="Z90" s="1594" cm="1">
        <f t="array" aca="1" ref="Z90" ca="1">OFFSET(POrigin,MATCH(Valori[[#This Row],[LUKB_id]],PID,0),MATCH("BID:volume",PLabel,0)-1,1,1)</f>
        <v>0</v>
      </c>
      <c r="AA90" s="1595" cm="1">
        <f t="array" aca="1" ref="AA90" ca="1">OFFSET(POrigin,MATCH(Valori[[#This Row],[LUKB_id]],PID,0),MATCH("BID",PLabel,0)-1,1,1)</f>
        <v>0</v>
      </c>
      <c r="AB90" s="1595" cm="1">
        <f t="array" aca="1" ref="AB90" ca="1">OFFSET(POrigin,MATCH(Valori[[#This Row],[LUKB_id]],PID,0),MATCH("ASK",PLabel,0)-1,1,1)</f>
        <v>0</v>
      </c>
      <c r="AC90" s="1594" cm="1">
        <f t="array" aca="1" ref="AC90" ca="1">OFFSET(POrigin,MATCH(Valori[[#This Row],[LUKB_id]],PID,0),MATCH("ASK:volume",PLabel,0)-1,1,1)</f>
        <v>0</v>
      </c>
      <c r="AD90" s="1596" cm="1">
        <f t="array" aca="1" ref="AD90" ca="1">OFFSET(POrigin,MATCH(Valori[[#This Row],[LUKB_id]],PID,0),MATCH("BID-ASK Spread %",PLabel,0)-1,1,1)</f>
        <v>0</v>
      </c>
      <c r="AE90" s="1597" t="str" cm="1">
        <f t="array" aca="1" ref="AE90" ca="1">IF(OFFSET(POrigin,MATCH(Valori[[#This Row],[LUKB_id]],PID,0),MATCH("MATURITY",PLabel,0)-1,1,1)&gt;0,OFFSET(POrigin,MATCH(Valori[[#This Row],[LUKB_id]],PID,0),MATCH("MATURITY",PLabel,0)-1,1,1),"")</f>
        <v/>
      </c>
      <c r="AF90" s="1598" cm="1">
        <f t="array" aca="1" ref="AF90" ca="1">OFFSET(POrigin,MATCH(Valori[[#This Row],[LUKB_id]],PID,0),MATCH("ACCINT",PLabel,0)-1,1,1)</f>
        <v>0</v>
      </c>
      <c r="AG90" s="1594" cm="1">
        <f t="array" aca="1" ref="AG90" ca="1">OFFSET(POrigin,MATCH(Valori[[#This Row],[LUKB_id]],PID,0),MATCH("DENOM",PLabel,0)-1,1,1)</f>
        <v>0</v>
      </c>
      <c r="AH90" s="1599" cm="1">
        <f t="array" aca="1" ref="AH90" ca="1">(OFFSET(POrigin,MATCH(Valori[[#This Row],[LUKB_id]],PID,0),MATCH("YIELD",PLabel,0)-1,1,1)+OFFSET(POrigin,MATCH(Valori[[#This Row],[LUKB_id]],PID,0),MATCH("YLDEQ",PLabel,0)-1,1,1))/100</f>
        <v>0</v>
      </c>
      <c r="AI90" s="1600">
        <f ca="1">OFFSET(POrigin,MATCH(Valori[[#This Row],[LUKB_id]],PID,0),MATCH("DIVIDEND",PLabel,0)-1,1,1)</f>
        <v>0</v>
      </c>
      <c r="AJ90" s="1601">
        <f ca="1">OFFSET(POrigin,MATCH(Valori[[#This Row],[LUKB_id]],PID,0),MATCH("DIVIDEND:datetime",PLabel,0)-1,1,1)</f>
        <v>0</v>
      </c>
      <c r="AK90" s="1602">
        <f ca="1">OFFSET(POrigin,MATCH(Valori[[#This Row],[LUKB_id]],PID,0),MATCH("INTEREST",PLabel,0)-1,1,1)</f>
        <v>0</v>
      </c>
      <c r="AL90" s="1603">
        <f ca="1">OFFSET(POrigin,MATCH(Valori[[#This Row],[LUKB_id]],PID,0),MATCH("4W_PERF_PR",PLabel,0)-1,1,1)/100</f>
        <v>-1.1094301563288066E-2</v>
      </c>
      <c r="AM90" s="1603">
        <f ca="1">OFFSET(POrigin,MATCH(Valori[[#This Row],[LUKB_id]],PID,0),MATCH("12W_PERF_PR",PLabel,0)-1,1,1)/100</f>
        <v>0.13664686277351096</v>
      </c>
      <c r="AN90" s="1603">
        <f ca="1">OFFSET(POrigin,MATCH(Valori[[#This Row],[LUKB_id]],PID,0),MATCH("YTD_PERF_PR",PLabel,0)-1,1,1)/100</f>
        <v>6.3881730638817302E-2</v>
      </c>
      <c r="AO90" s="1591"/>
      <c r="AP90" s="1591"/>
      <c r="AQ90" s="1591"/>
      <c r="AR90" s="1591"/>
      <c r="AS90" s="1890" t="s">
        <v>1093</v>
      </c>
      <c r="AT90" s="1890" t="s">
        <v>1094</v>
      </c>
      <c r="AU90" s="610" t="s">
        <v>1095</v>
      </c>
      <c r="AV90" s="1891" t="s">
        <v>1096</v>
      </c>
      <c r="AW90" s="1604" t="str">
        <f ca="1">"https://boersenundmaerkte.lukb.ch/lukb/details/"&amp;Valori[[#This Row],[LUKB_id]]</f>
        <v>https://boersenundmaerkte.lukb.ch/lukb/details/45209801,1703,814</v>
      </c>
      <c r="AX90" s="1605" t="str">
        <f>"https://www.marketscreener.com/mods_a/charts/TV/inc_dyna_graph.php?c="&amp;Valori[[#This Row],[MS_Code]]&amp;"&amp;style=TradingView.CANDLES&amp;interval=(null)&amp;mobile=(null)&amp;showAT=1"</f>
        <v>https://www.marketscreener.com/mods_a/charts/TV/inc_dyna_graph.php?c=42809810&amp;style=TradingView.CANDLES&amp;interval=(null)&amp;mobile=(null)&amp;showAT=1</v>
      </c>
      <c r="AY90" s="142"/>
      <c r="AZ90" s="142"/>
      <c r="BA90" s="142"/>
      <c r="BB90" s="142"/>
    </row>
    <row r="91" spans="1:54" ht="15" customHeight="1" x14ac:dyDescent="0.2">
      <c r="A91" s="142" t="s">
        <v>1097</v>
      </c>
      <c r="B91" s="142" t="str" cm="1">
        <f t="array" aca="1" ref="B91" ca="1">OFFSET(POrigin,MATCH(Valori[[#This Row],[smo_id]],Posizioni[smo_id],0),MATCH("LUKB_id",PIntestazioni,0)-1,1,1)</f>
        <v>40916345,5,1</v>
      </c>
      <c r="C91" s="1668" t="str">
        <f ca="1">HYPERLINK("https://boersenundmaerkte.lukb.ch/lukb/details/"&amp;Valori[[#This Row],[LUKB_id]],"è")</f>
        <v>è</v>
      </c>
      <c r="D91" s="142" t="str" cm="1">
        <f t="array" aca="1" ref="D91" ca="1">OFFSET(POrigin,MATCH(Valori[[#This Row],[LUKB_id]],PID,0),MATCH("SC_GROUPED",PIntestazioni,0)-1,1,1)</f>
        <v>ETF</v>
      </c>
      <c r="E91" s="413" t="str" cm="1">
        <f t="array" aca="1" ref="E91" ca="1">OFFSET(POrigin,MATCH(Valori[[#This Row],[LUKB_id]],PID,0),MATCH("isin",PIntestazioni,0)-1,1,1)</f>
        <v>LU1781541252</v>
      </c>
      <c r="F91" s="34" t="str" cm="1">
        <f t="array" aca="1" ref="F91" ca="1">OFFSET(POrigin,MATCH(Valori[[#This Row],[LUKB_id]],PID,0),MATCH("NSIN_CH",PLabel,0)-1,1,1)</f>
        <v>40916345</v>
      </c>
      <c r="G91" s="95" t="str" cm="1">
        <f t="array" aca="1" ref="G91" ca="1">IF(OFFSET(POrigin,MATCH(Valori[[#This Row],[LUKB_id]],PID,0),MATCH("INSTRUNIT",PLabel,0)-1,1,1)="Nominal","Pct","Unit")</f>
        <v>Unit</v>
      </c>
      <c r="H91" s="612">
        <f ca="1">MAX(OFFSET(POrigin,MATCH(Valori[[#This Row],[LUKB_id]],PID,0),MATCH("PRICINGAMT",PLabel,0)-1,1,1),1)</f>
        <v>1</v>
      </c>
      <c r="I91" s="615" t="str" cm="1">
        <f t="array" aca="1" ref="I91" ca="1">OFFSET(POrigin,MATCH(Valori[[#This Row],[LUKB_id]],PID,0),MATCH("M_NAME",PLabel,0)-1,1,1)</f>
        <v>Multi Units Luxembourg SICAV - Amundi Core MSCI Japan</v>
      </c>
      <c r="J91" s="142" t="s">
        <v>771</v>
      </c>
      <c r="M91" s="142" t="str" cm="1">
        <f t="array" aca="1" ref="M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Japan</v>
      </c>
      <c r="N91" s="1563">
        <f ca="1">COUNTIF('CHF M'!smo_id,Valori[[#This Row],[smo_id]])+COUNTIF('CHF MA'!smo_id,Valori[[#This Row],[smo_id]])+COUNTIF('EUR MB'!smo_id,Valori[[#This Row],[smo_id]])+COUNTIF('EUR M'!smo_id,Valori[[#This Row],[smo_id]])+COUNTIF(AGCO!smo_id,Valori[[#This Row],[smo_id]])</f>
        <v>1</v>
      </c>
      <c r="O91" s="1590" cm="1">
        <f t="array" aca="1" ref="O91" ca="1">SUM(IF('CHF M'!smo_id=Valori[[#This Row],[smo_id]],'CHF M'!Posizione))+SUM(IF('CHF MA'!smo_id=Valori[[#This Row],[smo_id]],'CHF MA'!Posizione))+SUM(IF('EUR MB'!smo_id=Valori[[#This Row],[smo_id]],'EUR MB'!Posizione))+SUM(IF('EUR M'!smo_id=Valori[[#This Row],[smo_id]],'EUR M'!Posizione))+SUM(IF(AGCO!smo_id=Valori[[#This Row],[smo_id]],AGCO!Posizione))</f>
        <v>0</v>
      </c>
      <c r="P91" s="1661" t="str">
        <f ca="1">HYPERLINK(Valori[[#This Row],[P_Source]],"è")</f>
        <v>è</v>
      </c>
      <c r="Q91" s="1663" t="str">
        <f>HYPERLINK(Valori[[#This Row],[Info_W]],"i")</f>
        <v>i</v>
      </c>
      <c r="R91" s="1664" t="str">
        <f>HYPERLINK(Valori[[#This Row],[FN_W]],"")</f>
        <v></v>
      </c>
      <c r="S91" s="1665" t="str">
        <f>HYPERLINK(Valori[[#This Row],[MS_Link]],"")</f>
        <v></v>
      </c>
      <c r="T91" s="1665" t="str">
        <f>HYPERLINK(Valori[[#This Row],[C_source]],"")</f>
        <v></v>
      </c>
      <c r="U91" s="142" t="str" cm="1">
        <f t="array" aca="1" ref="U91" ca="1">OFFSET(POrigin,MATCH(Valori[[#This Row],[LUKB_id]],PID,0),MATCH("M_CUR",PLabel,0)-1,1,1)</f>
        <v>CHF</v>
      </c>
      <c r="V91" s="1562">
        <f ca="1">(Valori[[#This Row],[Last]]+Valori[[#This Row],[Acc. Int]])/Valori[[#This Row],[Pr.Amt]]/IF(Valori[[#This Row],[P_Type]]="Pct",100,1)</f>
        <v>18.323</v>
      </c>
      <c r="W91" s="1591" cm="1">
        <f t="array" aca="1" ref="W91" ca="1">OFFSET(POrigin,MATCH(Valori[[#This Row],[LUKB_id]],PID,0),MATCH("NC2_PR",PLabel,0)-1,1,1)/100</f>
        <v>5.4829618242378001E-3</v>
      </c>
      <c r="X91" s="1592" cm="1">
        <f t="array" aca="1" ref="X91" ca="1">OFFSET(POrigin,MATCH(Valori[[#This Row],[LUKB_id]],PID,0),MATCH("LVAL",PLabel,0)-1,1,1)</f>
        <v>18.323</v>
      </c>
      <c r="Y91" s="1593" cm="1">
        <f t="array" aca="1" ref="Y91" ca="1">OFFSET(POrigin,MATCH(Valori[[#This Row],[LUKB_id]],PID,0),MATCH("LVAL:datetime",PLabel,0)-1,1,1)</f>
        <v>46084.728773148148</v>
      </c>
      <c r="Z91" s="1594" cm="1">
        <f t="array" aca="1" ref="Z91" ca="1">OFFSET(POrigin,MATCH(Valori[[#This Row],[LUKB_id]],PID,0),MATCH("BID:volume",PLabel,0)-1,1,1)</f>
        <v>2970</v>
      </c>
      <c r="AA91" s="1595" cm="1">
        <f t="array" aca="1" ref="AA91" ca="1">OFFSET(POrigin,MATCH(Valori[[#This Row],[LUKB_id]],PID,0),MATCH("BID",PLabel,0)-1,1,1)</f>
        <v>18.323</v>
      </c>
      <c r="AB91" s="1595" cm="1">
        <f t="array" aca="1" ref="AB91" ca="1">OFFSET(POrigin,MATCH(Valori[[#This Row],[LUKB_id]],PID,0),MATCH("ASK",PLabel,0)-1,1,1)</f>
        <v>18.394000000000002</v>
      </c>
      <c r="AC91" s="1594" cm="1">
        <f t="array" aca="1" ref="AC91" ca="1">OFFSET(POrigin,MATCH(Valori[[#This Row],[LUKB_id]],PID,0),MATCH("ASK:volume",PLabel,0)-1,1,1)</f>
        <v>2970</v>
      </c>
      <c r="AD91" s="1596" cm="1">
        <f t="array" aca="1" ref="AD91" ca="1">OFFSET(POrigin,MATCH(Valori[[#This Row],[LUKB_id]],PID,0),MATCH("BID-ASK Spread %",PLabel,0)-1,1,1)</f>
        <v>2.5799418604651706E-3</v>
      </c>
      <c r="AE91" s="1597" t="str" cm="1">
        <f t="array" aca="1" ref="AE91" ca="1">IF(OFFSET(POrigin,MATCH(Valori[[#This Row],[LUKB_id]],PID,0),MATCH("MATURITY",PLabel,0)-1,1,1)&gt;0,OFFSET(POrigin,MATCH(Valori[[#This Row],[LUKB_id]],PID,0),MATCH("MATURITY",PLabel,0)-1,1,1),"")</f>
        <v/>
      </c>
      <c r="AF91" s="1598" cm="1">
        <f t="array" aca="1" ref="AF91" ca="1">OFFSET(POrigin,MATCH(Valori[[#This Row],[LUKB_id]],PID,0),MATCH("ACCINT",PLabel,0)-1,1,1)</f>
        <v>0</v>
      </c>
      <c r="AG91" s="1594" cm="1">
        <f t="array" aca="1" ref="AG91" ca="1">OFFSET(POrigin,MATCH(Valori[[#This Row],[LUKB_id]],PID,0),MATCH("DENOM",PLabel,0)-1,1,1)</f>
        <v>0</v>
      </c>
      <c r="AH91" s="1599" cm="1">
        <f t="array" aca="1" ref="AH91" ca="1">(OFFSET(POrigin,MATCH(Valori[[#This Row],[LUKB_id]],PID,0),MATCH("YIELD",PLabel,0)-1,1,1)+OFFSET(POrigin,MATCH(Valori[[#This Row],[LUKB_id]],PID,0),MATCH("YLDEQ",PLabel,0)-1,1,1))/100</f>
        <v>0</v>
      </c>
      <c r="AI91" s="1600">
        <f ca="1">OFFSET(POrigin,MATCH(Valori[[#This Row],[LUKB_id]],PID,0),MATCH("DIVIDEND",PLabel,0)-1,1,1)</f>
        <v>0</v>
      </c>
      <c r="AJ91" s="1601">
        <f ca="1">OFFSET(POrigin,MATCH(Valori[[#This Row],[LUKB_id]],PID,0),MATCH("DIVIDEND:datetime",PLabel,0)-1,1,1)</f>
        <v>0</v>
      </c>
      <c r="AK91" s="1602">
        <f ca="1">OFFSET(POrigin,MATCH(Valori[[#This Row],[LUKB_id]],PID,0),MATCH("INTEREST",PLabel,0)-1,1,1)</f>
        <v>0</v>
      </c>
      <c r="AL91" s="1603">
        <f ca="1">OFFSET(POrigin,MATCH(Valori[[#This Row],[LUKB_id]],PID,0),MATCH("4W_PERF_PR",PLabel,0)-1,1,1)/100</f>
        <v>4.7621633362293594E-2</v>
      </c>
      <c r="AM91" s="1603">
        <f ca="1">OFFSET(POrigin,MATCH(Valori[[#This Row],[LUKB_id]],PID,0),MATCH("12W_PERF_PR",PLabel,0)-1,1,1)/100</f>
        <v>8.2538435641342167E-2</v>
      </c>
      <c r="AN91" s="1603">
        <f ca="1">OFFSET(POrigin,MATCH(Valori[[#This Row],[LUKB_id]],PID,0),MATCH("YTD_PERF_PR",PLabel,0)-1,1,1)/100</f>
        <v>0.110595426760245</v>
      </c>
      <c r="AO91" s="1591"/>
      <c r="AP91" s="1591"/>
      <c r="AQ91" s="1591"/>
      <c r="AR91" s="1591"/>
      <c r="AS91" s="1890" t="s">
        <v>1098</v>
      </c>
      <c r="AT91" s="1890"/>
      <c r="AU91" s="610"/>
      <c r="AV91" s="1891"/>
      <c r="AW91" s="1604" t="str">
        <f ca="1">"https://boersenundmaerkte.lukb.ch/lukb/details/"&amp;Valori[[#This Row],[LUKB_id]]</f>
        <v>https://boersenundmaerkte.lukb.ch/lukb/details/40916345,5,1</v>
      </c>
      <c r="AX9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1" s="142"/>
      <c r="AZ91" s="142"/>
      <c r="BA91" s="142"/>
      <c r="BB91" s="142"/>
    </row>
    <row r="92" spans="1:54" ht="15" customHeight="1" x14ac:dyDescent="0.2">
      <c r="A92" s="142" t="s">
        <v>1099</v>
      </c>
      <c r="B92" s="142" t="s">
        <v>1100</v>
      </c>
      <c r="C92" s="1668" t="str">
        <f>HYPERLINK("https://boersenundmaerkte.lukb.ch/lukb/details/"&amp;Valori[[#This Row],[LUKB_id]],"è")</f>
        <v>è</v>
      </c>
      <c r="D92" s="142" t="str" cm="1">
        <f t="array" aca="1" ref="D92" ca="1">OFFSET(POrigin,MATCH(Valori[[#This Row],[LUKB_id]],PID,0),MATCH("SC_GROUPED",PIntestazioni,0)-1,1,1)</f>
        <v>ETF</v>
      </c>
      <c r="E92" s="413" t="str" cm="1">
        <f t="array" aca="1" ref="E92" ca="1">OFFSET(POrigin,MATCH(Valori[[#This Row],[LUKB_id]],PID,0),MATCH("isin",PIntestazioni,0)-1,1,1)</f>
        <v>LU0942970442</v>
      </c>
      <c r="F92" s="34" t="str" cm="1">
        <f t="array" aca="1" ref="F92" ca="1">OFFSET(POrigin,MATCH(Valori[[#This Row],[LUKB_id]],PID,0),MATCH("NSIN_CH",PLabel,0)-1,1,1)</f>
        <v>23971272</v>
      </c>
      <c r="G92" s="95" t="str" cm="1">
        <f t="array" aca="1" ref="G92" ca="1">IF(OFFSET(POrigin,MATCH(Valori[[#This Row],[LUKB_id]],PID,0),MATCH("INSTRUNIT",PLabel,0)-1,1,1)="Nominal","Pct","Unit")</f>
        <v>Unit</v>
      </c>
      <c r="H92" s="612">
        <f ca="1">MAX(OFFSET(POrigin,MATCH(Valori[[#This Row],[LUKB_id]],PID,0),MATCH("PRICINGAMT",PLabel,0)-1,1,1),1)</f>
        <v>1</v>
      </c>
      <c r="I92" s="615" t="str" cm="1">
        <f t="array" aca="1" ref="I92" ca="1">OFFSET(POrigin,MATCH(Valori[[#This Row],[LUKB_id]],PID,0),MATCH("M_NAME",PLabel,0)-1,1,1)</f>
        <v>Xtrackers II SICAV - Xtrackers II ESG Global Aggregate Bond UCITS ETF</v>
      </c>
      <c r="J92" s="142" t="s">
        <v>749</v>
      </c>
      <c r="M92" s="142" t="str" cm="1">
        <f t="array" aca="1" ref="M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 Barclays Global Aggregate Bd. UCITS ETF - 4C </v>
      </c>
      <c r="N92" s="1563">
        <f ca="1">COUNTIF('CHF M'!smo_id,Valori[[#This Row],[smo_id]])+COUNTIF('CHF MA'!smo_id,Valori[[#This Row],[smo_id]])+COUNTIF('EUR MB'!smo_id,Valori[[#This Row],[smo_id]])+COUNTIF('EUR M'!smo_id,Valori[[#This Row],[smo_id]])+COUNTIF(AGCO!smo_id,Valori[[#This Row],[smo_id]])</f>
        <v>2</v>
      </c>
      <c r="O92" s="1590" cm="1">
        <f t="array" aca="1" ref="O92" ca="1">SUM(IF('CHF M'!smo_id=Valori[[#This Row],[smo_id]],'CHF M'!Posizione))+SUM(IF('CHF MA'!smo_id=Valori[[#This Row],[smo_id]],'CHF MA'!Posizione))+SUM(IF('EUR MB'!smo_id=Valori[[#This Row],[smo_id]],'EUR MB'!Posizione))+SUM(IF('EUR M'!smo_id=Valori[[#This Row],[smo_id]],'EUR M'!Posizione))+SUM(IF(AGCO!smo_id=Valori[[#This Row],[smo_id]],AGCO!Posizione))</f>
        <v>0</v>
      </c>
      <c r="P92" s="1661" t="str">
        <f>HYPERLINK(Valori[[#This Row],[P_Source]],"è")</f>
        <v>è</v>
      </c>
      <c r="Q92" s="1663" t="str">
        <f>HYPERLINK(Valori[[#This Row],[Info_W]],"i")</f>
        <v>i</v>
      </c>
      <c r="R92" s="1664" t="str">
        <f>HYPERLINK(Valori[[#This Row],[FN_W]],"")</f>
        <v></v>
      </c>
      <c r="S92" s="1665" t="str">
        <f>HYPERLINK(Valori[[#This Row],[MS_Link]],"")</f>
        <v></v>
      </c>
      <c r="T92" s="1665" t="str">
        <f>HYPERLINK(Valori[[#This Row],[C_source]],"")</f>
        <v></v>
      </c>
      <c r="U92" s="142" t="str" cm="1">
        <f t="array" aca="1" ref="U92" ca="1">OFFSET(POrigin,MATCH(Valori[[#This Row],[LUKB_id]],PID,0),MATCH("M_CUR",PLabel,0)-1,1,1)</f>
        <v>CHF</v>
      </c>
      <c r="V92" s="1562">
        <f ca="1">(Valori[[#This Row],[Last]]+Valori[[#This Row],[Acc. Int]])/Valori[[#This Row],[Pr.Amt]]/IF(Valori[[#This Row],[P_Type]]="Pct",100,1)</f>
        <v>15.3565</v>
      </c>
      <c r="W92" s="1591" cm="1">
        <f t="array" aca="1" ref="W92" ca="1">OFFSET(POrigin,MATCH(Valori[[#This Row],[LUKB_id]],PID,0),MATCH("NC2_PR",PLabel,0)-1,1,1)/100</f>
        <v>-9.6414291242099999E-3</v>
      </c>
      <c r="X92" s="1592" cm="1">
        <f t="array" aca="1" ref="X92" ca="1">OFFSET(POrigin,MATCH(Valori[[#This Row],[LUKB_id]],PID,0),MATCH("LVAL",PLabel,0)-1,1,1)</f>
        <v>15.3565</v>
      </c>
      <c r="Y92" s="1593" cm="1">
        <f t="array" aca="1" ref="Y92" ca="1">OFFSET(POrigin,MATCH(Valori[[#This Row],[LUKB_id]],PID,0),MATCH("LVAL:datetime",PLabel,0)-1,1,1)</f>
        <v>46084.67696759259</v>
      </c>
      <c r="Z92" s="1594" cm="1">
        <f t="array" aca="1" ref="Z92" ca="1">OFFSET(POrigin,MATCH(Valori[[#This Row],[LUKB_id]],PID,0),MATCH("BID:volume",PLabel,0)-1,1,1)</f>
        <v>6500</v>
      </c>
      <c r="AA92" s="1595" cm="1">
        <f t="array" aca="1" ref="AA92" ca="1">OFFSET(POrigin,MATCH(Valori[[#This Row],[LUKB_id]],PID,0),MATCH("BID",PLabel,0)-1,1,1)</f>
        <v>15.296000000000001</v>
      </c>
      <c r="AB92" s="1595" cm="1">
        <f t="array" aca="1" ref="AB92" ca="1">OFFSET(POrigin,MATCH(Valori[[#This Row],[LUKB_id]],PID,0),MATCH("ASK",PLabel,0)-1,1,1)</f>
        <v>16</v>
      </c>
      <c r="AC92" s="1594" cm="1">
        <f t="array" aca="1" ref="AC92" ca="1">OFFSET(POrigin,MATCH(Valori[[#This Row],[LUKB_id]],PID,0),MATCH("ASK:volume",PLabel,0)-1,1,1)</f>
        <v>2130</v>
      </c>
      <c r="AD92" s="1596" cm="1">
        <f t="array" aca="1" ref="AD92" ca="1">OFFSET(POrigin,MATCH(Valori[[#This Row],[LUKB_id]],PID,0),MATCH("BID-ASK Spread %",PLabel,0)-1,1,1)</f>
        <v>3.0219780219780171E-2</v>
      </c>
      <c r="AE92" s="1597" t="str" cm="1">
        <f t="array" aca="1" ref="AE92" ca="1">IF(OFFSET(POrigin,MATCH(Valori[[#This Row],[LUKB_id]],PID,0),MATCH("MATURITY",PLabel,0)-1,1,1)&gt;0,OFFSET(POrigin,MATCH(Valori[[#This Row],[LUKB_id]],PID,0),MATCH("MATURITY",PLabel,0)-1,1,1),"")</f>
        <v/>
      </c>
      <c r="AF92" s="1598" cm="1">
        <f t="array" aca="1" ref="AF92" ca="1">OFFSET(POrigin,MATCH(Valori[[#This Row],[LUKB_id]],PID,0),MATCH("ACCINT",PLabel,0)-1,1,1)</f>
        <v>0</v>
      </c>
      <c r="AG92" s="1594" cm="1">
        <f t="array" aca="1" ref="AG92" ca="1">OFFSET(POrigin,MATCH(Valori[[#This Row],[LUKB_id]],PID,0),MATCH("DENOM",PLabel,0)-1,1,1)</f>
        <v>0</v>
      </c>
      <c r="AH92" s="1599" cm="1">
        <f t="array" aca="1" ref="AH92" ca="1">(OFFSET(POrigin,MATCH(Valori[[#This Row],[LUKB_id]],PID,0),MATCH("YIELD",PLabel,0)-1,1,1)+OFFSET(POrigin,MATCH(Valori[[#This Row],[LUKB_id]],PID,0),MATCH("YLDEQ",PLabel,0)-1,1,1))/100</f>
        <v>0</v>
      </c>
      <c r="AI92" s="1600">
        <f ca="1">OFFSET(POrigin,MATCH(Valori[[#This Row],[LUKB_id]],PID,0),MATCH("DIVIDEND",PLabel,0)-1,1,1)</f>
        <v>0</v>
      </c>
      <c r="AJ92" s="1601">
        <f ca="1">OFFSET(POrigin,MATCH(Valori[[#This Row],[LUKB_id]],PID,0),MATCH("DIVIDEND:datetime",PLabel,0)-1,1,1)</f>
        <v>0</v>
      </c>
      <c r="AK92" s="1602">
        <f ca="1">OFFSET(POrigin,MATCH(Valori[[#This Row],[LUKB_id]],PID,0),MATCH("INTEREST",PLabel,0)-1,1,1)</f>
        <v>0</v>
      </c>
      <c r="AL92" s="1603">
        <f ca="1">OFFSET(POrigin,MATCH(Valori[[#This Row],[LUKB_id]],PID,0),MATCH("4W_PERF_PR",PLabel,0)-1,1,1)/100</f>
        <v>1.5453769932410264E-2</v>
      </c>
      <c r="AM92" s="1603">
        <f ca="1">OFFSET(POrigin,MATCH(Valori[[#This Row],[LUKB_id]],PID,0),MATCH("12W_PERF_PR",PLabel,0)-1,1,1)/100</f>
        <v>3.2338099999999997E-3</v>
      </c>
      <c r="AN92" s="1603">
        <f ca="1">OFFSET(POrigin,MATCH(Valori[[#This Row],[LUKB_id]],PID,0),MATCH("YTD_PERF_PR",PLabel,0)-1,1,1)/100</f>
        <v>9.5052083333334002E-3</v>
      </c>
      <c r="AO92" s="1591"/>
      <c r="AP92" s="1591"/>
      <c r="AQ92" s="1591"/>
      <c r="AR92" s="1591"/>
      <c r="AS92" s="1890" t="s">
        <v>1101</v>
      </c>
      <c r="AT92" s="1890" t="s">
        <v>1102</v>
      </c>
      <c r="AU92" s="610" t="s">
        <v>1103</v>
      </c>
      <c r="AV92" s="1891" t="s">
        <v>1104</v>
      </c>
      <c r="AW92" s="1604" t="str">
        <f>"https://boersenundmaerkte.lukb.ch/lukb/details/"&amp;Valori[[#This Row],[LUKB_id]]</f>
        <v>https://boersenundmaerkte.lukb.ch/lukb/details/23971272,4,1</v>
      </c>
      <c r="AX92" s="1605" t="str">
        <f>"https://www.marketscreener.com/mods_a/charts/TV/inc_dyna_graph.php?c="&amp;Valori[[#This Row],[MS_Code]]&amp;"&amp;style=TradingView.CANDLES&amp;interval=(null)&amp;mobile=(null)&amp;showAT=1"</f>
        <v>https://www.marketscreener.com/mods_a/charts/TV/inc_dyna_graph.php?c=16545984&amp;style=TradingView.CANDLES&amp;interval=(null)&amp;mobile=(null)&amp;showAT=1</v>
      </c>
      <c r="AY92" s="142"/>
      <c r="AZ92" s="142"/>
      <c r="BA92" s="142"/>
      <c r="BB92" s="142"/>
    </row>
    <row r="93" spans="1:54" ht="15" customHeight="1" x14ac:dyDescent="0.2">
      <c r="A93" s="142" t="s">
        <v>1105</v>
      </c>
      <c r="B93" s="142" t="str" cm="1">
        <f t="array" aca="1" ref="B93" ca="1">OFFSET(POrigin,MATCH(Valori[[#This Row],[smo_id]],Posizioni[smo_id],0),MATCH("LUKB_id",PIntestazioni,0)-1,1,1)</f>
        <v>23793847,1703,814</v>
      </c>
      <c r="C93" s="1668" t="str">
        <f ca="1">HYPERLINK("https://boersenundmaerkte.lukb.ch/lukb/details/"&amp;Valori[[#This Row],[LUKB_id]],"è")</f>
        <v>è</v>
      </c>
      <c r="D93" s="142" t="str" cm="1">
        <f t="array" aca="1" ref="D93" ca="1">OFFSET(POrigin,MATCH(Valori[[#This Row],[LUKB_id]],PID,0),MATCH("SC_GROUPED",PIntestazioni,0)-1,1,1)</f>
        <v>ETF</v>
      </c>
      <c r="E93" s="413" t="str" cm="1">
        <f t="array" aca="1" ref="E93" ca="1">OFFSET(POrigin,MATCH(Valori[[#This Row],[LUKB_id]],PID,0),MATCH("isin",PIntestazioni,0)-1,1,1)</f>
        <v>LU0942970798</v>
      </c>
      <c r="F93" s="34" t="str" cm="1">
        <f t="array" aca="1" ref="F93" ca="1">OFFSET(POrigin,MATCH(Valori[[#This Row],[LUKB_id]],PID,0),MATCH("NSIN_CH",PLabel,0)-1,1,1)</f>
        <v>23793847</v>
      </c>
      <c r="G93" s="95" t="str" cm="1">
        <f t="array" aca="1" ref="G93" ca="1">IF(OFFSET(POrigin,MATCH(Valori[[#This Row],[LUKB_id]],PID,0),MATCH("INSTRUNIT",PLabel,0)-1,1,1)="Nominal","Pct","Unit")</f>
        <v>Unit</v>
      </c>
      <c r="H93" s="612">
        <f ca="1">MAX(OFFSET(POrigin,MATCH(Valori[[#This Row],[LUKB_id]],PID,0),MATCH("PRICINGAMT",PLabel,0)-1,1,1),1)</f>
        <v>1</v>
      </c>
      <c r="I93" s="615" t="str" cm="1">
        <f t="array" aca="1" ref="I93" ca="1">OFFSET(POrigin,MATCH(Valori[[#This Row],[LUKB_id]],PID,0),MATCH("M_NAME",PLabel,0)-1,1,1)</f>
        <v>Xtrackers II SICAV - Xtrackers II ESG Global Aggregate Bond UCITS ETF</v>
      </c>
      <c r="J93" s="142" t="s">
        <v>840</v>
      </c>
      <c r="M93" s="142" t="str" cm="1">
        <f t="array" aca="1" ref="M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Barclays Global Aggregate Bond UCITS 5C </v>
      </c>
      <c r="N93" s="1563">
        <f ca="1">COUNTIF('CHF M'!smo_id,Valori[[#This Row],[smo_id]])+COUNTIF('CHF MA'!smo_id,Valori[[#This Row],[smo_id]])+COUNTIF('EUR MB'!smo_id,Valori[[#This Row],[smo_id]])+COUNTIF('EUR M'!smo_id,Valori[[#This Row],[smo_id]])+COUNTIF(AGCO!smo_id,Valori[[#This Row],[smo_id]])</f>
        <v>2</v>
      </c>
      <c r="O93" s="1590" cm="1">
        <f t="array" aca="1" ref="O93" ca="1">SUM(IF('CHF M'!smo_id=Valori[[#This Row],[smo_id]],'CHF M'!Posizione))+SUM(IF('CHF MA'!smo_id=Valori[[#This Row],[smo_id]],'CHF MA'!Posizione))+SUM(IF('EUR MB'!smo_id=Valori[[#This Row],[smo_id]],'EUR MB'!Posizione))+SUM(IF('EUR M'!smo_id=Valori[[#This Row],[smo_id]],'EUR M'!Posizione))+SUM(IF(AGCO!smo_id=Valori[[#This Row],[smo_id]],AGCO!Posizione))</f>
        <v>0</v>
      </c>
      <c r="P93" s="1661" t="str">
        <f ca="1">HYPERLINK(Valori[[#This Row],[P_Source]],"è")</f>
        <v>è</v>
      </c>
      <c r="Q93" s="1663" t="str">
        <f>HYPERLINK(Valori[[#This Row],[Info_W]],"i")</f>
        <v>i</v>
      </c>
      <c r="R93" s="1664" t="str">
        <f>HYPERLINK(Valori[[#This Row],[FN_W]],"")</f>
        <v></v>
      </c>
      <c r="S93" s="1665" t="str">
        <f>HYPERLINK(Valori[[#This Row],[MS_Link]],"")</f>
        <v></v>
      </c>
      <c r="T93" s="1665" t="str">
        <f>HYPERLINK(Valori[[#This Row],[C_source]],"")</f>
        <v></v>
      </c>
      <c r="U93" s="142" t="str" cm="1">
        <f t="array" aca="1" ref="U93" ca="1">OFFSET(POrigin,MATCH(Valori[[#This Row],[LUKB_id]],PID,0),MATCH("M_CUR",PLabel,0)-1,1,1)</f>
        <v>EUR</v>
      </c>
      <c r="V93" s="1562">
        <f ca="1">(Valori[[#This Row],[Last]]+Valori[[#This Row],[Acc. Int]])/Valori[[#This Row],[Pr.Amt]]/IF(Valori[[#This Row],[P_Type]]="Pct",100,1)</f>
        <v>21.138000000000002</v>
      </c>
      <c r="W93" s="1591" cm="1">
        <f t="array" aca="1" ref="W93" ca="1">OFFSET(POrigin,MATCH(Valori[[#This Row],[LUKB_id]],PID,0),MATCH("NC2_PR",PLabel,0)-1,1,1)/100</f>
        <v>-1.5095051653380002E-3</v>
      </c>
      <c r="X93" s="1592" cm="1">
        <f t="array" aca="1" ref="X93" ca="1">OFFSET(POrigin,MATCH(Valori[[#This Row],[LUKB_id]],PID,0),MATCH("LVAL",PLabel,0)-1,1,1)</f>
        <v>21.138000000000002</v>
      </c>
      <c r="Y93" s="1593" cm="1">
        <f t="array" aca="1" ref="Y93" ca="1">OFFSET(POrigin,MATCH(Valori[[#This Row],[LUKB_id]],PID,0),MATCH("LVAL:datetime",PLabel,0)-1,1,1)</f>
        <v>46083.733159722222</v>
      </c>
      <c r="Z93" s="1594" cm="1">
        <f t="array" aca="1" ref="Z93" ca="1">OFFSET(POrigin,MATCH(Valori[[#This Row],[LUKB_id]],PID,0),MATCH("BID:volume",PLabel,0)-1,1,1)</f>
        <v>0</v>
      </c>
      <c r="AA93" s="1595" cm="1">
        <f t="array" aca="1" ref="AA93" ca="1">OFFSET(POrigin,MATCH(Valori[[#This Row],[LUKB_id]],PID,0),MATCH("BID",PLabel,0)-1,1,1)</f>
        <v>0</v>
      </c>
      <c r="AB93" s="1595" cm="1">
        <f t="array" aca="1" ref="AB93" ca="1">OFFSET(POrigin,MATCH(Valori[[#This Row],[LUKB_id]],PID,0),MATCH("ASK",PLabel,0)-1,1,1)</f>
        <v>0</v>
      </c>
      <c r="AC93" s="1594" cm="1">
        <f t="array" aca="1" ref="AC93" ca="1">OFFSET(POrigin,MATCH(Valori[[#This Row],[LUKB_id]],PID,0),MATCH("ASK:volume",PLabel,0)-1,1,1)</f>
        <v>0</v>
      </c>
      <c r="AD93" s="1596" cm="1">
        <f t="array" aca="1" ref="AD93" ca="1">OFFSET(POrigin,MATCH(Valori[[#This Row],[LUKB_id]],PID,0),MATCH("BID-ASK Spread %",PLabel,0)-1,1,1)</f>
        <v>0</v>
      </c>
      <c r="AE93" s="1597" t="str" cm="1">
        <f t="array" aca="1" ref="AE93" ca="1">IF(OFFSET(POrigin,MATCH(Valori[[#This Row],[LUKB_id]],PID,0),MATCH("MATURITY",PLabel,0)-1,1,1)&gt;0,OFFSET(POrigin,MATCH(Valori[[#This Row],[LUKB_id]],PID,0),MATCH("MATURITY",PLabel,0)-1,1,1),"")</f>
        <v/>
      </c>
      <c r="AF93" s="1598" cm="1">
        <f t="array" aca="1" ref="AF93" ca="1">OFFSET(POrigin,MATCH(Valori[[#This Row],[LUKB_id]],PID,0),MATCH("ACCINT",PLabel,0)-1,1,1)</f>
        <v>0</v>
      </c>
      <c r="AG93" s="1594" cm="1">
        <f t="array" aca="1" ref="AG93" ca="1">OFFSET(POrigin,MATCH(Valori[[#This Row],[LUKB_id]],PID,0),MATCH("DENOM",PLabel,0)-1,1,1)</f>
        <v>0</v>
      </c>
      <c r="AH93" s="1599" cm="1">
        <f t="array" aca="1" ref="AH93" ca="1">(OFFSET(POrigin,MATCH(Valori[[#This Row],[LUKB_id]],PID,0),MATCH("YIELD",PLabel,0)-1,1,1)+OFFSET(POrigin,MATCH(Valori[[#This Row],[LUKB_id]],PID,0),MATCH("YLDEQ",PLabel,0)-1,1,1))/100</f>
        <v>0</v>
      </c>
      <c r="AI93" s="1600">
        <f ca="1">OFFSET(POrigin,MATCH(Valori[[#This Row],[LUKB_id]],PID,0),MATCH("DIVIDEND",PLabel,0)-1,1,1)</f>
        <v>0</v>
      </c>
      <c r="AJ93" s="1601">
        <f ca="1">OFFSET(POrigin,MATCH(Valori[[#This Row],[LUKB_id]],PID,0),MATCH("DIVIDEND:datetime",PLabel,0)-1,1,1)</f>
        <v>0</v>
      </c>
      <c r="AK93" s="1602">
        <f ca="1">OFFSET(POrigin,MATCH(Valori[[#This Row],[LUKB_id]],PID,0),MATCH("INTEREST",PLabel,0)-1,1,1)</f>
        <v>0</v>
      </c>
      <c r="AL93" s="1603">
        <f ca="1">OFFSET(POrigin,MATCH(Valori[[#This Row],[LUKB_id]],PID,0),MATCH("4W_PERF_PR",PLabel,0)-1,1,1)/100</f>
        <v>1.1387559808612417E-2</v>
      </c>
      <c r="AM93" s="1603">
        <f ca="1">OFFSET(POrigin,MATCH(Valori[[#This Row],[LUKB_id]],PID,0),MATCH("12W_PERF_PR",PLabel,0)-1,1,1)/100</f>
        <v>1.3375521357687324E-2</v>
      </c>
      <c r="AN93" s="1603">
        <f ca="1">OFFSET(POrigin,MATCH(Valori[[#This Row],[LUKB_id]],PID,0),MATCH("YTD_PERF_PR",PLabel,0)-1,1,1)/100</f>
        <v>1.1661807580175002E-2</v>
      </c>
      <c r="AO93" s="1591"/>
      <c r="AP93" s="1591"/>
      <c r="AQ93" s="1591"/>
      <c r="AR93" s="1591"/>
      <c r="AS93" s="1890" t="s">
        <v>1106</v>
      </c>
      <c r="AT93" s="1890" t="s">
        <v>1107</v>
      </c>
      <c r="AU93" s="610" t="s">
        <v>1108</v>
      </c>
      <c r="AV93" s="1891" t="s">
        <v>1109</v>
      </c>
      <c r="AW93" s="1604" t="str">
        <f ca="1">"https://boersenundmaerkte.lukb.ch/lukb/details/"&amp;Valori[[#This Row],[LUKB_id]]</f>
        <v>https://boersenundmaerkte.lukb.ch/lukb/details/23793847,1703,814</v>
      </c>
      <c r="AX93" s="1605" t="str">
        <f>"https://www.marketscreener.com/mods_a/charts/TV/inc_dyna_graph.php?c="&amp;Valori[[#This Row],[MS_Code]]&amp;"&amp;style=TradingView.CANDLES&amp;interval=(null)&amp;mobile=(null)&amp;showAT=1"</f>
        <v>https://www.marketscreener.com/mods_a/charts/TV/inc_dyna_graph.php?c=41713296&amp;style=TradingView.CANDLES&amp;interval=(null)&amp;mobile=(null)&amp;showAT=1</v>
      </c>
      <c r="AY93" s="142"/>
      <c r="AZ93" s="142"/>
      <c r="BA93" s="142"/>
      <c r="BB93" s="142"/>
    </row>
    <row r="94" spans="1:54" ht="15" customHeight="1" x14ac:dyDescent="0.2">
      <c r="A94" s="142" t="s">
        <v>1993</v>
      </c>
      <c r="B94" s="142" t="str" cm="1">
        <f t="array" aca="1" ref="B94" ca="1">OFFSET(POrigin,MATCH(Valori[[#This Row],[smo_id]],Posizioni[smo_id],0),MATCH("LUKB_id",PIntestazioni,0)-1,1,1)</f>
        <v>3067298,719,333</v>
      </c>
      <c r="C94" s="1668" t="str">
        <f ca="1">HYPERLINK("https://boersenundmaerkte.lukb.ch/lukb/details/"&amp;Valori[[#This Row],[LUKB_id]],"è")</f>
        <v>è</v>
      </c>
      <c r="D94" s="142" t="str" cm="1">
        <f t="array" aca="1" ref="D94" ca="1">OFFSET(POrigin,MATCH(Valori[[#This Row],[LUKB_id]],PID,0),MATCH("SC_GROUPED",PIntestazioni,0)-1,1,1)</f>
        <v>ETF</v>
      </c>
      <c r="E94" s="413" t="str" cm="1">
        <f t="array" aca="1" ref="E94" ca="1">OFFSET(POrigin,MATCH(Valori[[#This Row],[LUKB_id]],PID,0),MATCH("isin",PIntestazioni,0)-1,1,1)</f>
        <v>LU0292107991</v>
      </c>
      <c r="F94" s="34" t="str" cm="1">
        <f t="array" aca="1" ref="F94" ca="1">OFFSET(POrigin,MATCH(Valori[[#This Row],[LUKB_id]],PID,0),MATCH("NSIN_CH",PLabel,0)-1,1,1)</f>
        <v>3067298</v>
      </c>
      <c r="G94" s="95" t="str" cm="1">
        <f t="array" aca="1" ref="G94" ca="1">IF(OFFSET(POrigin,MATCH(Valori[[#This Row],[LUKB_id]],PID,0),MATCH("INSTRUNIT",PLabel,0)-1,1,1)="Nominal","Pct","Unit")</f>
        <v>Unit</v>
      </c>
      <c r="H94" s="612">
        <f ca="1">MAX(OFFSET(POrigin,MATCH(Valori[[#This Row],[LUKB_id]],PID,0),MATCH("PRICINGAMT",PLabel,0)-1,1,1),1)</f>
        <v>1</v>
      </c>
      <c r="I94" s="615" t="str" cm="1">
        <f t="array" aca="1" ref="I94" ca="1">OFFSET(POrigin,MATCH(Valori[[#This Row],[LUKB_id]],PID,0),MATCH("M_NAME",PLabel,0)-1,1,1)</f>
        <v>Xtrackers SICAV - Xtrackers MSCI EM Asia Screened Swap UCITS ETF</v>
      </c>
      <c r="J94" s="142" t="s">
        <v>465</v>
      </c>
      <c r="M94" s="142" t="str" cm="1">
        <f t="array" aca="1" ref="M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db x-trackers MSCI EM Asia UCITS 1C</v>
      </c>
      <c r="N94" s="1563">
        <f ca="1">COUNTIF('CHF M'!smo_id,Valori[[#This Row],[smo_id]])+COUNTIF('CHF MA'!smo_id,Valori[[#This Row],[smo_id]])+COUNTIF('EUR MB'!smo_id,Valori[[#This Row],[smo_id]])+COUNTIF('EUR M'!smo_id,Valori[[#This Row],[smo_id]])+COUNTIF(AGCO!smo_id,Valori[[#This Row],[smo_id]])</f>
        <v>4</v>
      </c>
      <c r="O94" s="1590" cm="1">
        <f t="array" aca="1" ref="O94" ca="1">SUM(IF('CHF M'!smo_id=Valori[[#This Row],[smo_id]],'CHF M'!Posizione))+SUM(IF('CHF MA'!smo_id=Valori[[#This Row],[smo_id]],'CHF MA'!Posizione))+SUM(IF('EUR MB'!smo_id=Valori[[#This Row],[smo_id]],'EUR MB'!Posizione))+SUM(IF('EUR M'!smo_id=Valori[[#This Row],[smo_id]],'EUR M'!Posizione))+SUM(IF(AGCO!smo_id=Valori[[#This Row],[smo_id]],AGCO!Posizione))</f>
        <v>0</v>
      </c>
      <c r="P94" s="1661" t="str">
        <f ca="1">HYPERLINK(Valori[[#This Row],[P_Source]],"è")</f>
        <v>è</v>
      </c>
      <c r="Q94" s="1663" t="str">
        <f>HYPERLINK(Valori[[#This Row],[Info_W]],"i")</f>
        <v>i</v>
      </c>
      <c r="R94" s="1664" t="str">
        <f>HYPERLINK(Valori[[#This Row],[FN_W]],"")</f>
        <v></v>
      </c>
      <c r="S94" s="1665" t="str">
        <f>HYPERLINK(Valori[[#This Row],[MS_Link]],"")</f>
        <v></v>
      </c>
      <c r="T94" s="1665" t="str">
        <f>HYPERLINK(Valori[[#This Row],[C_source]],"")</f>
        <v></v>
      </c>
      <c r="U94" s="142" t="str" cm="1">
        <f t="array" aca="1" ref="U94" ca="1">OFFSET(POrigin,MATCH(Valori[[#This Row],[LUKB_id]],PID,0),MATCH("M_CUR",PLabel,0)-1,1,1)</f>
        <v>USD</v>
      </c>
      <c r="V94" s="1562">
        <f ca="1">(Valori[[#This Row],[Last]]+Valori[[#This Row],[Acc. Int]])/Valori[[#This Row],[Pr.Amt]]/IF(Valori[[#This Row],[P_Type]]="Pct",100,1)</f>
        <v>86.364999999999995</v>
      </c>
      <c r="W94" s="1591" cm="1">
        <f t="array" aca="1" ref="W94" ca="1">OFFSET(POrigin,MATCH(Valori[[#This Row],[LUKB_id]],PID,0),MATCH("NC2_PR",PLabel,0)-1,1,1)/100</f>
        <v>-4.4256534153305598E-2</v>
      </c>
      <c r="X94" s="1592" cm="1">
        <f t="array" aca="1" ref="X94" ca="1">OFFSET(POrigin,MATCH(Valori[[#This Row],[LUKB_id]],PID,0),MATCH("LVAL",PLabel,0)-1,1,1)</f>
        <v>86.364999999999995</v>
      </c>
      <c r="Y94" s="1593" cm="1">
        <f t="array" aca="1" ref="Y94" ca="1">OFFSET(POrigin,MATCH(Valori[[#This Row],[LUKB_id]],PID,0),MATCH("LVAL:datetime",PLabel,0)-1,1,1)</f>
        <v>46084.73269675926</v>
      </c>
      <c r="Z94" s="1594" cm="1">
        <f t="array" aca="1" ref="Z94" ca="1">OFFSET(POrigin,MATCH(Valori[[#This Row],[LUKB_id]],PID,0),MATCH("BID:volume",PLabel,0)-1,1,1)</f>
        <v>762</v>
      </c>
      <c r="AA94" s="1595" cm="1">
        <f t="array" aca="1" ref="AA94" ca="1">OFFSET(POrigin,MATCH(Valori[[#This Row],[LUKB_id]],PID,0),MATCH("BID",PLabel,0)-1,1,1)</f>
        <v>85.44</v>
      </c>
      <c r="AB94" s="1595" cm="1">
        <f t="array" aca="1" ref="AB94" ca="1">OFFSET(POrigin,MATCH(Valori[[#This Row],[LUKB_id]],PID,0),MATCH("ASK",PLabel,0)-1,1,1)</f>
        <v>86.77</v>
      </c>
      <c r="AC94" s="1594" cm="1">
        <f t="array" aca="1" ref="AC94" ca="1">OFFSET(POrigin,MATCH(Valori[[#This Row],[LUKB_id]],PID,0),MATCH("ASK:volume",PLabel,0)-1,1,1)</f>
        <v>762</v>
      </c>
      <c r="AD94" s="1596" cm="1">
        <f t="array" aca="1" ref="AD94" ca="1">OFFSET(POrigin,MATCH(Valori[[#This Row],[LUKB_id]],PID,0),MATCH("BID-ASK Spread %",PLabel,0)-1,1,1)</f>
        <v>1.0324083058412563E-2</v>
      </c>
      <c r="AE94" s="1597" t="str" cm="1">
        <f t="array" aca="1" ref="AE94" ca="1">IF(OFFSET(POrigin,MATCH(Valori[[#This Row],[LUKB_id]],PID,0),MATCH("MATURITY",PLabel,0)-1,1,1)&gt;0,OFFSET(POrigin,MATCH(Valori[[#This Row],[LUKB_id]],PID,0),MATCH("MATURITY",PLabel,0)-1,1,1),"")</f>
        <v/>
      </c>
      <c r="AF94" s="1598" cm="1">
        <f t="array" aca="1" ref="AF94" ca="1">OFFSET(POrigin,MATCH(Valori[[#This Row],[LUKB_id]],PID,0),MATCH("ACCINT",PLabel,0)-1,1,1)</f>
        <v>0</v>
      </c>
      <c r="AG94" s="1594" cm="1">
        <f t="array" aca="1" ref="AG94" ca="1">OFFSET(POrigin,MATCH(Valori[[#This Row],[LUKB_id]],PID,0),MATCH("DENOM",PLabel,0)-1,1,1)</f>
        <v>0</v>
      </c>
      <c r="AH94" s="1599" cm="1">
        <f t="array" aca="1" ref="AH94" ca="1">(OFFSET(POrigin,MATCH(Valori[[#This Row],[LUKB_id]],PID,0),MATCH("YIELD",PLabel,0)-1,1,1)+OFFSET(POrigin,MATCH(Valori[[#This Row],[LUKB_id]],PID,0),MATCH("YLDEQ",PLabel,0)-1,1,1))/100</f>
        <v>0</v>
      </c>
      <c r="AI94" s="1600">
        <f ca="1">OFFSET(POrigin,MATCH(Valori[[#This Row],[LUKB_id]],PID,0),MATCH("DIVIDEND",PLabel,0)-1,1,1)</f>
        <v>0</v>
      </c>
      <c r="AJ94" s="1601">
        <f ca="1">OFFSET(POrigin,MATCH(Valori[[#This Row],[LUKB_id]],PID,0),MATCH("DIVIDEND:datetime",PLabel,0)-1,1,1)</f>
        <v>0</v>
      </c>
      <c r="AK94" s="1602">
        <f ca="1">OFFSET(POrigin,MATCH(Valori[[#This Row],[LUKB_id]],PID,0),MATCH("INTEREST",PLabel,0)-1,1,1)</f>
        <v>0</v>
      </c>
      <c r="AL94" s="1603">
        <f ca="1">OFFSET(POrigin,MATCH(Valori[[#This Row],[LUKB_id]],PID,0),MATCH("4W_PERF_PR",PLabel,0)-1,1,1)/100</f>
        <v>-1.672127E-2</v>
      </c>
      <c r="AM94" s="1603">
        <f ca="1">OFFSET(POrigin,MATCH(Valori[[#This Row],[LUKB_id]],PID,0),MATCH("12W_PERF_PR",PLabel,0)-1,1,1)/100</f>
        <v>0.13632113694446177</v>
      </c>
      <c r="AN94" s="1603">
        <f ca="1">OFFSET(POrigin,MATCH(Valori[[#This Row],[LUKB_id]],PID,0),MATCH("YTD_PERF_PR",PLabel,0)-1,1,1)/100</f>
        <v>0.11634179232561</v>
      </c>
      <c r="AO94" s="1591"/>
      <c r="AP94" s="1591"/>
      <c r="AQ94" s="1591"/>
      <c r="AR94" s="1591"/>
      <c r="AS94" s="1890" t="s">
        <v>1994</v>
      </c>
      <c r="AT94" s="1890" t="s">
        <v>1995</v>
      </c>
      <c r="AU94" s="610" t="s">
        <v>1996</v>
      </c>
      <c r="AV94" s="1891" t="s">
        <v>1997</v>
      </c>
      <c r="AW94" s="1604" t="str">
        <f ca="1">"https://boersenundmaerkte.lukb.ch/lukb/details/"&amp;Valori[[#This Row],[LUKB_id]]</f>
        <v>https://boersenundmaerkte.lukb.ch/lukb/details/3067298,719,333</v>
      </c>
      <c r="AX94" s="1605" t="str">
        <f>"https://www.marketscreener.com/mods_a/charts/TV/inc_dyna_graph.php?c="&amp;Valori[[#This Row],[MS_Code]]&amp;"&amp;style=TradingView.CANDLES&amp;interval=(null)&amp;mobile=(null)&amp;showAT=1"</f>
        <v>https://www.marketscreener.com/mods_a/charts/TV/inc_dyna_graph.php?c=44657871&amp;style=TradingView.CANDLES&amp;interval=(null)&amp;mobile=(null)&amp;showAT=1</v>
      </c>
      <c r="AY94" s="142"/>
      <c r="AZ94" s="142"/>
      <c r="BA94" s="142"/>
      <c r="BB94" s="142"/>
    </row>
    <row r="95" spans="1:54" ht="15" customHeight="1" x14ac:dyDescent="0.2">
      <c r="A95" s="142" t="s">
        <v>1110</v>
      </c>
      <c r="B95" s="142" t="str" cm="1">
        <f t="array" aca="1" ref="B95" ca="1">OFFSET(POrigin,MATCH(Valori[[#This Row],[smo_id]],Posizioni[smo_id],0),MATCH("LUKB_id",PIntestazioni,0)-1,1,1)</f>
        <v>28549941,537,333</v>
      </c>
      <c r="C95" s="1668" t="str">
        <f ca="1">HYPERLINK("https://boersenundmaerkte.lukb.ch/lukb/details/"&amp;Valori[[#This Row],[LUKB_id]],"è")</f>
        <v>è</v>
      </c>
      <c r="D95" s="142" t="str" cm="1">
        <f t="array" aca="1" ref="D95" ca="1">OFFSET(POrigin,MATCH(Valori[[#This Row],[LUKB_id]],PID,0),MATCH("SC_GROUPED",PIntestazioni,0)-1,1,1)</f>
        <v>ETF</v>
      </c>
      <c r="E95" s="413" t="str" cm="1">
        <f t="array" aca="1" ref="E95" ca="1">OFFSET(POrigin,MATCH(Valori[[#This Row],[LUKB_id]],PID,0),MATCH("isin",PIntestazioni,0)-1,1,1)</f>
        <v>US33734X8469</v>
      </c>
      <c r="F95" s="34" t="str" cm="1">
        <f t="array" aca="1" ref="F95" ca="1">OFFSET(POrigin,MATCH(Valori[[#This Row],[LUKB_id]],PID,0),MATCH("NSIN_CH",PLabel,0)-1,1,1)</f>
        <v>28549941</v>
      </c>
      <c r="G95" s="95" t="str" cm="1">
        <f t="array" aca="1" ref="G95" ca="1">IF(OFFSET(POrigin,MATCH(Valori[[#This Row],[LUKB_id]],PID,0),MATCH("INSTRUNIT",PLabel,0)-1,1,1)="Nominal","Pct","Unit")</f>
        <v>Unit</v>
      </c>
      <c r="H95" s="612">
        <f ca="1">MAX(OFFSET(POrigin,MATCH(Valori[[#This Row],[LUKB_id]],PID,0),MATCH("PRICINGAMT",PLabel,0)-1,1,1),1)</f>
        <v>1</v>
      </c>
      <c r="I95" s="615" t="str" cm="1">
        <f t="array" aca="1" ref="I95" ca="1">OFFSET(POrigin,MATCH(Valori[[#This Row],[LUKB_id]],PID,0),MATCH("M_NAME",PLabel,0)-1,1,1)</f>
        <v>First Trust NASDAQ Cybersecurity ETF</v>
      </c>
      <c r="J95" s="142" t="s">
        <v>1111</v>
      </c>
      <c r="M95" s="142" t="str" cm="1">
        <f t="array" aca="1" ref="M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First Trust NASDAQ Cybersecurity ETF</v>
      </c>
      <c r="N95" s="1563">
        <f ca="1">COUNTIF('CHF M'!smo_id,Valori[[#This Row],[smo_id]])+COUNTIF('CHF MA'!smo_id,Valori[[#This Row],[smo_id]])+COUNTIF('EUR MB'!smo_id,Valori[[#This Row],[smo_id]])+COUNTIF('EUR M'!smo_id,Valori[[#This Row],[smo_id]])+COUNTIF(AGCO!smo_id,Valori[[#This Row],[smo_id]])</f>
        <v>0</v>
      </c>
      <c r="O95" s="1590" cm="1">
        <f t="array" aca="1" ref="O95" ca="1">SUM(IF('CHF M'!smo_id=Valori[[#This Row],[smo_id]],'CHF M'!Posizione))+SUM(IF('CHF MA'!smo_id=Valori[[#This Row],[smo_id]],'CHF MA'!Posizione))+SUM(IF('EUR MB'!smo_id=Valori[[#This Row],[smo_id]],'EUR MB'!Posizione))+SUM(IF('EUR M'!smo_id=Valori[[#This Row],[smo_id]],'EUR M'!Posizione))+SUM(IF(AGCO!smo_id=Valori[[#This Row],[smo_id]],AGCO!Posizione))</f>
        <v>0</v>
      </c>
      <c r="P95" s="1661" t="str">
        <f ca="1">HYPERLINK(Valori[[#This Row],[P_Source]],"è")</f>
        <v>è</v>
      </c>
      <c r="Q95" s="1663" t="str">
        <f>HYPERLINK(Valori[[#This Row],[Info_W]],"i")</f>
        <v>i</v>
      </c>
      <c r="R95" s="1664" t="str">
        <f>HYPERLINK(Valori[[#This Row],[FN_W]],"")</f>
        <v></v>
      </c>
      <c r="S95" s="1665" t="str">
        <f>HYPERLINK(Valori[[#This Row],[MS_Link]],"")</f>
        <v></v>
      </c>
      <c r="T95" s="1665" t="str">
        <f>HYPERLINK(Valori[[#This Row],[C_source]],"")</f>
        <v></v>
      </c>
      <c r="U95" s="142" t="str" cm="1">
        <f t="array" aca="1" ref="U95" ca="1">OFFSET(POrigin,MATCH(Valori[[#This Row],[LUKB_id]],PID,0),MATCH("M_CUR",PLabel,0)-1,1,1)</f>
        <v>USD</v>
      </c>
      <c r="V95" s="1562">
        <f ca="1">(Valori[[#This Row],[Last]]+Valori[[#This Row],[Acc. Int]])/Valori[[#This Row],[Pr.Amt]]/IF(Valori[[#This Row],[P_Type]]="Pct",100,1)</f>
        <v>63.480000000000004</v>
      </c>
      <c r="W95" s="1591" cm="1">
        <f t="array" aca="1" ref="W95" ca="1">OFFSET(POrigin,MATCH(Valori[[#This Row],[LUKB_id]],PID,0),MATCH("NC2_PR",PLabel,0)-1,1,1)/100</f>
        <v>1.2618296529968999E-3</v>
      </c>
      <c r="X95" s="1592" cm="1">
        <f t="array" aca="1" ref="X95" ca="1">OFFSET(POrigin,MATCH(Valori[[#This Row],[LUKB_id]],PID,0),MATCH("LVAL",PLabel,0)-1,1,1)</f>
        <v>63.480000000000004</v>
      </c>
      <c r="Y95" s="1593" cm="1">
        <f t="array" aca="1" ref="Y95" ca="1">OFFSET(POrigin,MATCH(Valori[[#This Row],[LUKB_id]],PID,0),MATCH("LVAL:datetime",PLabel,0)-1,1,1)</f>
        <v>46084.785775462966</v>
      </c>
      <c r="Z95" s="1594" cm="1">
        <f t="array" aca="1" ref="Z95" ca="1">OFFSET(POrigin,MATCH(Valori[[#This Row],[LUKB_id]],PID,0),MATCH("BID:volume",PLabel,0)-1,1,1)</f>
        <v>300</v>
      </c>
      <c r="AA95" s="1595" cm="1">
        <f t="array" aca="1" ref="AA95" ca="1">OFFSET(POrigin,MATCH(Valori[[#This Row],[LUKB_id]],PID,0),MATCH("BID",PLabel,0)-1,1,1)</f>
        <v>63.410000000000004</v>
      </c>
      <c r="AB95" s="1595" cm="1">
        <f t="array" aca="1" ref="AB95" ca="1">OFFSET(POrigin,MATCH(Valori[[#This Row],[LUKB_id]],PID,0),MATCH("ASK",PLabel,0)-1,1,1)</f>
        <v>63.5</v>
      </c>
      <c r="AC95" s="1594" cm="1">
        <f t="array" aca="1" ref="AC95" ca="1">OFFSET(POrigin,MATCH(Valori[[#This Row],[LUKB_id]],PID,0),MATCH("ASK:volume",PLabel,0)-1,1,1)</f>
        <v>200</v>
      </c>
      <c r="AD95" s="1596" cm="1">
        <f t="array" aca="1" ref="AD95" ca="1">OFFSET(POrigin,MATCH(Valori[[#This Row],[LUKB_id]],PID,0),MATCH("BID-ASK Spread %",PLabel,0)-1,1,1)</f>
        <v>9.4577553593943155E-4</v>
      </c>
      <c r="AE95" s="1597" t="str" cm="1">
        <f t="array" aca="1" ref="AE95" ca="1">IF(OFFSET(POrigin,MATCH(Valori[[#This Row],[LUKB_id]],PID,0),MATCH("MATURITY",PLabel,0)-1,1,1)&gt;0,OFFSET(POrigin,MATCH(Valori[[#This Row],[LUKB_id]],PID,0),MATCH("MATURITY",PLabel,0)-1,1,1),"")</f>
        <v/>
      </c>
      <c r="AF95" s="1598" cm="1">
        <f t="array" aca="1" ref="AF95" ca="1">OFFSET(POrigin,MATCH(Valori[[#This Row],[LUKB_id]],PID,0),MATCH("ACCINT",PLabel,0)-1,1,1)</f>
        <v>0</v>
      </c>
      <c r="AG95" s="1594" cm="1">
        <f t="array" aca="1" ref="AG95" ca="1">OFFSET(POrigin,MATCH(Valori[[#This Row],[LUKB_id]],PID,0),MATCH("DENOM",PLabel,0)-1,1,1)</f>
        <v>0</v>
      </c>
      <c r="AH95" s="1599" cm="1">
        <f t="array" aca="1" ref="AH95" ca="1">(OFFSET(POrigin,MATCH(Valori[[#This Row],[LUKB_id]],PID,0),MATCH("YIELD",PLabel,0)-1,1,1)+OFFSET(POrigin,MATCH(Valori[[#This Row],[LUKB_id]],PID,0),MATCH("YLDEQ",PLabel,0)-1,1,1))/100</f>
        <v>0</v>
      </c>
      <c r="AI95" s="1600">
        <f ca="1">OFFSET(POrigin,MATCH(Valori[[#This Row],[LUKB_id]],PID,0),MATCH("DIVIDEND",PLabel,0)-1,1,1)</f>
        <v>0.2084</v>
      </c>
      <c r="AJ95" s="1601">
        <f ca="1">OFFSET(POrigin,MATCH(Valori[[#This Row],[LUKB_id]],PID,0),MATCH("DIVIDEND:datetime",PLabel,0)-1,1,1)</f>
        <v>46003</v>
      </c>
      <c r="AK95" s="1602">
        <f ca="1">OFFSET(POrigin,MATCH(Valori[[#This Row],[LUKB_id]],PID,0),MATCH("INTEREST",PLabel,0)-1,1,1)</f>
        <v>0</v>
      </c>
      <c r="AL95" s="1603">
        <f ca="1">OFFSET(POrigin,MATCH(Valori[[#This Row],[LUKB_id]],PID,0),MATCH("4W_PERF_PR",PLabel,0)-1,1,1)/100</f>
        <v>-5.380832E-2</v>
      </c>
      <c r="AM95" s="1603">
        <f ca="1">OFFSET(POrigin,MATCH(Valori[[#This Row],[LUKB_id]],PID,0),MATCH("12W_PERF_PR",PLabel,0)-1,1,1)/100</f>
        <v>-0.16076150000000003</v>
      </c>
      <c r="AN95" s="1603">
        <f ca="1">OFFSET(POrigin,MATCH(Valori[[#This Row],[LUKB_id]],PID,0),MATCH("YTD_PERF_PR",PLabel,0)-1,1,1)/100</f>
        <v>-0.112666200139958</v>
      </c>
      <c r="AO95" s="1591"/>
      <c r="AP95" s="1591"/>
      <c r="AQ95" s="1591"/>
      <c r="AR95" s="1591"/>
      <c r="AS95" s="1890" t="s">
        <v>877</v>
      </c>
      <c r="AT95" s="1890" t="s">
        <v>1112</v>
      </c>
      <c r="AU95" s="610" t="s">
        <v>1113</v>
      </c>
      <c r="AV95" s="1891" t="s">
        <v>1114</v>
      </c>
      <c r="AW95" s="1604" t="str">
        <f ca="1">"https://boersenundmaerkte.lukb.ch/lukb/details/"&amp;Valori[[#This Row],[LUKB_id]]</f>
        <v>https://boersenundmaerkte.lukb.ch/lukb/details/28549941,537,333</v>
      </c>
      <c r="AX95" s="1605" t="str">
        <f>"https://www.marketscreener.com/mods_a/charts/TV/inc_dyna_graph.php?c="&amp;Valori[[#This Row],[MS_Code]]&amp;"&amp;style=TradingView.CANDLES&amp;interval=(null)&amp;mobile=(null)&amp;showAT=1"</f>
        <v>https://www.marketscreener.com/mods_a/charts/TV/inc_dyna_graph.php?c=22881125&amp;style=TradingView.CANDLES&amp;interval=(null)&amp;mobile=(null)&amp;showAT=1</v>
      </c>
      <c r="AY95" s="142"/>
      <c r="AZ95" s="142"/>
      <c r="BA95" s="142"/>
      <c r="BB95" s="142"/>
    </row>
    <row r="96" spans="1:54" ht="15" customHeight="1" x14ac:dyDescent="0.2">
      <c r="A96" s="142" t="s">
        <v>1115</v>
      </c>
      <c r="B96" s="142" t="str" cm="1">
        <f t="array" aca="1" ref="B96" ca="1">OFFSET(POrigin,MATCH(Valori[[#This Row],[smo_id]],Posizioni[smo_id],0),MATCH("LUKB_id",PIntestazioni,0)-1,1,1)</f>
        <v>33923402,537,333</v>
      </c>
      <c r="C96" s="1668" t="str">
        <f ca="1">HYPERLINK("https://boersenundmaerkte.lukb.ch/lukb/details/"&amp;Valori[[#This Row],[LUKB_id]],"è")</f>
        <v>è</v>
      </c>
      <c r="D96" s="142" t="str" cm="1">
        <f t="array" aca="1" ref="D96" ca="1">OFFSET(POrigin,MATCH(Valori[[#This Row],[LUKB_id]],PID,0),MATCH("SC_GROUPED",PIntestazioni,0)-1,1,1)</f>
        <v>ETF</v>
      </c>
      <c r="E96" s="413" t="str" cm="1">
        <f t="array" aca="1" ref="E96" ca="1">OFFSET(POrigin,MATCH(Valori[[#This Row],[LUKB_id]],PID,0),MATCH("isin",PIntestazioni,0)-1,1,1)</f>
        <v>US37954Y7159</v>
      </c>
      <c r="F96" s="34" t="str" cm="1">
        <f t="array" aca="1" ref="F96" ca="1">OFFSET(POrigin,MATCH(Valori[[#This Row],[LUKB_id]],PID,0),MATCH("NSIN_CH",PLabel,0)-1,1,1)</f>
        <v>33923402</v>
      </c>
      <c r="G96" s="95" t="str" cm="1">
        <f t="array" aca="1" ref="G96" ca="1">IF(OFFSET(POrigin,MATCH(Valori[[#This Row],[LUKB_id]],PID,0),MATCH("INSTRUNIT",PLabel,0)-1,1,1)="Nominal","Pct","Unit")</f>
        <v>Unit</v>
      </c>
      <c r="H96" s="612">
        <f ca="1">MAX(OFFSET(POrigin,MATCH(Valori[[#This Row],[LUKB_id]],PID,0),MATCH("PRICINGAMT",PLabel,0)-1,1,1),1)</f>
        <v>1</v>
      </c>
      <c r="I96" s="615" t="str" cm="1">
        <f t="array" aca="1" ref="I96" ca="1">OFFSET(POrigin,MATCH(Valori[[#This Row],[LUKB_id]],PID,0),MATCH("M_NAME",PLabel,0)-1,1,1)</f>
        <v>Global X Robotics &amp; Artificial Intelligence ETF</v>
      </c>
      <c r="M96" s="142" t="str" cm="1">
        <f t="array" aca="1" ref="M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Global X Robotics &amp; Artificial Intelligence ETF</v>
      </c>
      <c r="N96" s="1563">
        <f ca="1">COUNTIF('CHF M'!smo_id,Valori[[#This Row],[smo_id]])+COUNTIF('CHF MA'!smo_id,Valori[[#This Row],[smo_id]])+COUNTIF('EUR MB'!smo_id,Valori[[#This Row],[smo_id]])+COUNTIF('EUR M'!smo_id,Valori[[#This Row],[smo_id]])+COUNTIF(AGCO!smo_id,Valori[[#This Row],[smo_id]])</f>
        <v>1</v>
      </c>
      <c r="O96" s="1590" cm="1">
        <f t="array" aca="1" ref="O96" ca="1">SUM(IF('CHF M'!smo_id=Valori[[#This Row],[smo_id]],'CHF M'!Posizione))+SUM(IF('CHF MA'!smo_id=Valori[[#This Row],[smo_id]],'CHF MA'!Posizione))+SUM(IF('EUR MB'!smo_id=Valori[[#This Row],[smo_id]],'EUR MB'!Posizione))+SUM(IF('EUR M'!smo_id=Valori[[#This Row],[smo_id]],'EUR M'!Posizione))+SUM(IF(AGCO!smo_id=Valori[[#This Row],[smo_id]],AGCO!Posizione))</f>
        <v>350</v>
      </c>
      <c r="P96" s="1661" t="str">
        <f ca="1">HYPERLINK(Valori[[#This Row],[P_Source]],"è")</f>
        <v>è</v>
      </c>
      <c r="Q96" s="1663" t="str">
        <f>HYPERLINK(Valori[[#This Row],[Info_W]],"i")</f>
        <v>i</v>
      </c>
      <c r="R96" s="1664" t="str">
        <f>HYPERLINK(Valori[[#This Row],[FN_W]],"")</f>
        <v></v>
      </c>
      <c r="S96" s="1665" t="str">
        <f>HYPERLINK(Valori[[#This Row],[MS_Link]],"")</f>
        <v></v>
      </c>
      <c r="T96" s="1665" t="str">
        <f>HYPERLINK(Valori[[#This Row],[C_source]],"")</f>
        <v></v>
      </c>
      <c r="U96" s="142" t="str" cm="1">
        <f t="array" aca="1" ref="U96" ca="1">OFFSET(POrigin,MATCH(Valori[[#This Row],[LUKB_id]],PID,0),MATCH("M_CUR",PLabel,0)-1,1,1)</f>
        <v>USD</v>
      </c>
      <c r="V96" s="1562">
        <f ca="1">(Valori[[#This Row],[Last]]+Valori[[#This Row],[Acc. Int]])/Valori[[#This Row],[Pr.Amt]]/IF(Valori[[#This Row],[P_Type]]="Pct",100,1)</f>
        <v>36.730000000000004</v>
      </c>
      <c r="W96" s="1591" cm="1">
        <f t="array" aca="1" ref="W96" ca="1">OFFSET(POrigin,MATCH(Valori[[#This Row],[LUKB_id]],PID,0),MATCH("NC2_PR",PLabel,0)-1,1,1)/100</f>
        <v>-3.8229903115998803E-2</v>
      </c>
      <c r="X96" s="1592" cm="1">
        <f t="array" aca="1" ref="X96" ca="1">OFFSET(POrigin,MATCH(Valori[[#This Row],[LUKB_id]],PID,0),MATCH("LVAL",PLabel,0)-1,1,1)</f>
        <v>36.730000000000004</v>
      </c>
      <c r="Y96" s="1593" cm="1">
        <f t="array" aca="1" ref="Y96" ca="1">OFFSET(POrigin,MATCH(Valori[[#This Row],[LUKB_id]],PID,0),MATCH("LVAL:datetime",PLabel,0)-1,1,1)</f>
        <v>46084.785879629628</v>
      </c>
      <c r="Z96" s="1594" cm="1">
        <f t="array" aca="1" ref="Z96" ca="1">OFFSET(POrigin,MATCH(Valori[[#This Row],[LUKB_id]],PID,0),MATCH("BID:volume",PLabel,0)-1,1,1)</f>
        <v>800</v>
      </c>
      <c r="AA96" s="1595" cm="1">
        <f t="array" aca="1" ref="AA96" ca="1">OFFSET(POrigin,MATCH(Valori[[#This Row],[LUKB_id]],PID,0),MATCH("BID",PLabel,0)-1,1,1)</f>
        <v>36.72</v>
      </c>
      <c r="AB96" s="1595" cm="1">
        <f t="array" aca="1" ref="AB96" ca="1">OFFSET(POrigin,MATCH(Valori[[#This Row],[LUKB_id]],PID,0),MATCH("ASK",PLabel,0)-1,1,1)</f>
        <v>36.74</v>
      </c>
      <c r="AC96" s="1594" cm="1">
        <f t="array" aca="1" ref="AC96" ca="1">OFFSET(POrigin,MATCH(Valori[[#This Row],[LUKB_id]],PID,0),MATCH("ASK:volume",PLabel,0)-1,1,1)</f>
        <v>800</v>
      </c>
      <c r="AD96" s="1596" cm="1">
        <f t="array" aca="1" ref="AD96" ca="1">OFFSET(POrigin,MATCH(Valori[[#This Row],[LUKB_id]],PID,0),MATCH("BID-ASK Spread %",PLabel,0)-1,1,1)</f>
        <v>3.6304229442735749E-4</v>
      </c>
      <c r="AE96" s="1597" t="str" cm="1">
        <f t="array" aca="1" ref="AE96" ca="1">IF(OFFSET(POrigin,MATCH(Valori[[#This Row],[LUKB_id]],PID,0),MATCH("MATURITY",PLabel,0)-1,1,1)&gt;0,OFFSET(POrigin,MATCH(Valori[[#This Row],[LUKB_id]],PID,0),MATCH("MATURITY",PLabel,0)-1,1,1),"")</f>
        <v/>
      </c>
      <c r="AF96" s="1598" cm="1">
        <f t="array" aca="1" ref="AF96" ca="1">OFFSET(POrigin,MATCH(Valori[[#This Row],[LUKB_id]],PID,0),MATCH("ACCINT",PLabel,0)-1,1,1)</f>
        <v>0</v>
      </c>
      <c r="AG96" s="1594" cm="1">
        <f t="array" aca="1" ref="AG96" ca="1">OFFSET(POrigin,MATCH(Valori[[#This Row],[LUKB_id]],PID,0),MATCH("DENOM",PLabel,0)-1,1,1)</f>
        <v>0</v>
      </c>
      <c r="AH96" s="1599" cm="1">
        <f t="array" aca="1" ref="AH96" ca="1">(OFFSET(POrigin,MATCH(Valori[[#This Row],[LUKB_id]],PID,0),MATCH("YIELD",PLabel,0)-1,1,1)+OFFSET(POrigin,MATCH(Valori[[#This Row],[LUKB_id]],PID,0),MATCH("YLDEQ",PLabel,0)-1,1,1))/100</f>
        <v>0</v>
      </c>
      <c r="AI96" s="1600">
        <f ca="1">OFFSET(POrigin,MATCH(Valori[[#This Row],[LUKB_id]],PID,0),MATCH("DIVIDEND",PLabel,0)-1,1,1)</f>
        <v>0.15796099999999999</v>
      </c>
      <c r="AJ96" s="1601">
        <f ca="1">OFFSET(POrigin,MATCH(Valori[[#This Row],[LUKB_id]],PID,0),MATCH("DIVIDEND:datetime",PLabel,0)-1,1,1)</f>
        <v>46021</v>
      </c>
      <c r="AK96" s="1602">
        <f ca="1">OFFSET(POrigin,MATCH(Valori[[#This Row],[LUKB_id]],PID,0),MATCH("INTEREST",PLabel,0)-1,1,1)</f>
        <v>0</v>
      </c>
      <c r="AL96" s="1603">
        <f ca="1">OFFSET(POrigin,MATCH(Valori[[#This Row],[LUKB_id]],PID,0),MATCH("4W_PERF_PR",PLabel,0)-1,1,1)/100</f>
        <v>-4.0672499999999997E-3</v>
      </c>
      <c r="AM96" s="1603">
        <f ca="1">OFFSET(POrigin,MATCH(Valori[[#This Row],[LUKB_id]],PID,0),MATCH("12W_PERF_PR",PLabel,0)-1,1,1)/100</f>
        <v>-4.0672499999999997E-3</v>
      </c>
      <c r="AN96" s="1603">
        <f ca="1">OFFSET(POrigin,MATCH(Valori[[#This Row],[LUKB_id]],PID,0),MATCH("YTD_PERF_PR",PLabel,0)-1,1,1)/100</f>
        <v>5.4098813138282999E-2</v>
      </c>
      <c r="AO96" s="1591"/>
      <c r="AP96" s="1591"/>
      <c r="AQ96" s="1591"/>
      <c r="AR96" s="1591"/>
      <c r="AS96" s="1890" t="s">
        <v>1116</v>
      </c>
      <c r="AT96" s="1890" t="s">
        <v>1117</v>
      </c>
      <c r="AU96" s="610" t="s">
        <v>1118</v>
      </c>
      <c r="AV96" s="1891" t="s">
        <v>1119</v>
      </c>
      <c r="AW96" s="1604" t="str">
        <f ca="1">"https://boersenundmaerkte.lukb.ch/lukb/details/"&amp;Valori[[#This Row],[LUKB_id]]</f>
        <v>https://boersenundmaerkte.lukb.ch/lukb/details/33923402,537,333</v>
      </c>
      <c r="AX96" s="1605"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96" s="142"/>
      <c r="AZ96" s="142"/>
      <c r="BA96" s="142"/>
      <c r="BB96" s="142"/>
    </row>
    <row r="97" spans="1:54" ht="15" customHeight="1" x14ac:dyDescent="0.2">
      <c r="A97" s="142" t="s">
        <v>1120</v>
      </c>
      <c r="B97" s="142" t="str" cm="1">
        <f t="array" aca="1" ref="B97" ca="1">OFFSET(POrigin,MATCH(Valori[[#This Row],[smo_id]],Posizioni[smo_id],0),MATCH("LUKB_id",PIntestazioni,0)-1,1,1)</f>
        <v>127984260,361,333</v>
      </c>
      <c r="C97" s="1668" t="str">
        <f ca="1">HYPERLINK("https://boersenundmaerkte.lukb.ch/lukb/details/"&amp;Valori[[#This Row],[LUKB_id]],"è")</f>
        <v>è</v>
      </c>
      <c r="D97" s="142" t="str" cm="1">
        <f t="array" aca="1" ref="D97" ca="1">OFFSET(POrigin,MATCH(Valori[[#This Row],[LUKB_id]],PID,0),MATCH("SC_GROUPED",PIntestazioni,0)-1,1,1)</f>
        <v>ETF</v>
      </c>
      <c r="E97" s="413" t="str" cm="1">
        <f t="array" aca="1" ref="E97" ca="1">OFFSET(POrigin,MATCH(Valori[[#This Row],[LUKB_id]],PID,0),MATCH("isin",PIntestazioni,0)-1,1,1)</f>
        <v>IE000OJ5TQP4</v>
      </c>
      <c r="F97" s="34" t="str" cm="1">
        <f t="array" aca="1" ref="F97" ca="1">OFFSET(POrigin,MATCH(Valori[[#This Row],[LUKB_id]],PID,0),MATCH("NSIN_CH",PLabel,0)-1,1,1)</f>
        <v>127984260</v>
      </c>
      <c r="G97" s="95" t="str" cm="1">
        <f t="array" aca="1" ref="G97" ca="1">IF(OFFSET(POrigin,MATCH(Valori[[#This Row],[LUKB_id]],PID,0),MATCH("INSTRUNIT",PLabel,0)-1,1,1)="Nominal","Pct","Unit")</f>
        <v>Unit</v>
      </c>
      <c r="H97" s="612">
        <f ca="1">MAX(OFFSET(POrigin,MATCH(Valori[[#This Row],[LUKB_id]],PID,0),MATCH("PRICINGAMT",PLabel,0)-1,1,1),1)</f>
        <v>1</v>
      </c>
      <c r="I97" s="615" t="str" cm="1">
        <f t="array" aca="1" ref="I97" ca="1">OFFSET(POrigin,MATCH(Valori[[#This Row],[LUKB_id]],PID,0),MATCH("M_NAME",PLabel,0)-1,1,1)</f>
        <v>HANetf ICAV - Future of Defence UCITS ETF</v>
      </c>
      <c r="M97" s="142" t="str" cm="1">
        <f t="array" aca="1" ref="M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HANetf ICAV - Future of Defence UCITS ETF</v>
      </c>
      <c r="N97" s="1563">
        <f ca="1">COUNTIF('CHF M'!smo_id,Valori[[#This Row],[smo_id]])+COUNTIF('CHF MA'!smo_id,Valori[[#This Row],[smo_id]])+COUNTIF('EUR MB'!smo_id,Valori[[#This Row],[smo_id]])+COUNTIF('EUR M'!smo_id,Valori[[#This Row],[smo_id]])+COUNTIF(AGCO!smo_id,Valori[[#This Row],[smo_id]])</f>
        <v>0</v>
      </c>
      <c r="O97" s="1590" cm="1">
        <f t="array" aca="1" ref="O97" ca="1">SUM(IF('CHF M'!smo_id=Valori[[#This Row],[smo_id]],'CHF M'!Posizione))+SUM(IF('CHF MA'!smo_id=Valori[[#This Row],[smo_id]],'CHF MA'!Posizione))+SUM(IF('EUR MB'!smo_id=Valori[[#This Row],[smo_id]],'EUR MB'!Posizione))+SUM(IF('EUR M'!smo_id=Valori[[#This Row],[smo_id]],'EUR M'!Posizione))+SUM(IF(AGCO!smo_id=Valori[[#This Row],[smo_id]],AGCO!Posizione))</f>
        <v>0</v>
      </c>
      <c r="P97" s="1661" t="str">
        <f ca="1">HYPERLINK(Valori[[#This Row],[P_Source]],"è")</f>
        <v>è</v>
      </c>
      <c r="Q97" s="1663" t="str">
        <f>HYPERLINK(Valori[[#This Row],[Info_W]],"i")</f>
        <v>i</v>
      </c>
      <c r="R97" s="1664" t="str">
        <f>HYPERLINK(Valori[[#This Row],[FN_W]],"")</f>
        <v></v>
      </c>
      <c r="S97" s="1665" t="str">
        <f>HYPERLINK(Valori[[#This Row],[MS_Link]],"")</f>
        <v></v>
      </c>
      <c r="T97" s="1665" t="str">
        <f>HYPERLINK(Valori[[#This Row],[C_source]],"")</f>
        <v></v>
      </c>
      <c r="U97" s="142" t="str" cm="1">
        <f t="array" aca="1" ref="U97" ca="1">OFFSET(POrigin,MATCH(Valori[[#This Row],[LUKB_id]],PID,0),MATCH("M_CUR",PLabel,0)-1,1,1)</f>
        <v>USD</v>
      </c>
      <c r="V97" s="1562">
        <f ca="1">(Valori[[#This Row],[Last]]+Valori[[#This Row],[Acc. Int]])/Valori[[#This Row],[Pr.Amt]]/IF(Valori[[#This Row],[P_Type]]="Pct",100,1)</f>
        <v>20.200000000000003</v>
      </c>
      <c r="W97" s="1591" cm="1">
        <f t="array" aca="1" ref="W97" ca="1">OFFSET(POrigin,MATCH(Valori[[#This Row],[LUKB_id]],PID,0),MATCH("NC2_PR",PLabel,0)-1,1,1)/100</f>
        <v>-1.43937545742864E-2</v>
      </c>
      <c r="X97" s="1592" cm="1">
        <f t="array" aca="1" ref="X97" ca="1">OFFSET(POrigin,MATCH(Valori[[#This Row],[LUKB_id]],PID,0),MATCH("LVAL",PLabel,0)-1,1,1)</f>
        <v>20.200000000000003</v>
      </c>
      <c r="Y97" s="1593" cm="1">
        <f t="array" aca="1" ref="Y97" ca="1">OFFSET(POrigin,MATCH(Valori[[#This Row],[LUKB_id]],PID,0),MATCH("LVAL:datetime",PLabel,0)-1,1,1)</f>
        <v>46084.732939814814</v>
      </c>
      <c r="Z97" s="1594" cm="1">
        <f t="array" aca="1" ref="Z97" ca="1">OFFSET(POrigin,MATCH(Valori[[#This Row],[LUKB_id]],PID,0),MATCH("BID:volume",PLabel,0)-1,1,1)</f>
        <v>50968</v>
      </c>
      <c r="AA97" s="1595" cm="1">
        <f t="array" aca="1" ref="AA97" ca="1">OFFSET(POrigin,MATCH(Valori[[#This Row],[LUKB_id]],PID,0),MATCH("BID",PLabel,0)-1,1,1)</f>
        <v>19.62</v>
      </c>
      <c r="AB97" s="1595" cm="1">
        <f t="array" aca="1" ref="AB97" ca="1">OFFSET(POrigin,MATCH(Valori[[#This Row],[LUKB_id]],PID,0),MATCH("ASK",PLabel,0)-1,1,1)</f>
        <v>21.150000000000002</v>
      </c>
      <c r="AC97" s="1594" cm="1">
        <f t="array" aca="1" ref="AC97" ca="1">OFFSET(POrigin,MATCH(Valori[[#This Row],[LUKB_id]],PID,0),MATCH("ASK:volume",PLabel,0)-1,1,1)</f>
        <v>15</v>
      </c>
      <c r="AD97" s="1596" cm="1">
        <f t="array" aca="1" ref="AD97" ca="1">OFFSET(POrigin,MATCH(Valori[[#This Row],[LUKB_id]],PID,0),MATCH("BID-ASK Spread %",PLabel,0)-1,1,1)</f>
        <v>5.0670640834575301E-2</v>
      </c>
      <c r="AE97" s="1597" t="str" cm="1">
        <f t="array" aca="1" ref="AE97" ca="1">IF(OFFSET(POrigin,MATCH(Valori[[#This Row],[LUKB_id]],PID,0),MATCH("MATURITY",PLabel,0)-1,1,1)&gt;0,OFFSET(POrigin,MATCH(Valori[[#This Row],[LUKB_id]],PID,0),MATCH("MATURITY",PLabel,0)-1,1,1),"")</f>
        <v/>
      </c>
      <c r="AF97" s="1598" cm="1">
        <f t="array" aca="1" ref="AF97" ca="1">OFFSET(POrigin,MATCH(Valori[[#This Row],[LUKB_id]],PID,0),MATCH("ACCINT",PLabel,0)-1,1,1)</f>
        <v>0</v>
      </c>
      <c r="AG97" s="1594" cm="1">
        <f t="array" aca="1" ref="AG97" ca="1">OFFSET(POrigin,MATCH(Valori[[#This Row],[LUKB_id]],PID,0),MATCH("DENOM",PLabel,0)-1,1,1)</f>
        <v>0</v>
      </c>
      <c r="AH97" s="1599" cm="1">
        <f t="array" aca="1" ref="AH97" ca="1">(OFFSET(POrigin,MATCH(Valori[[#This Row],[LUKB_id]],PID,0),MATCH("YIELD",PLabel,0)-1,1,1)+OFFSET(POrigin,MATCH(Valori[[#This Row],[LUKB_id]],PID,0),MATCH("YLDEQ",PLabel,0)-1,1,1))/100</f>
        <v>0</v>
      </c>
      <c r="AI97" s="1600">
        <f ca="1">OFFSET(POrigin,MATCH(Valori[[#This Row],[LUKB_id]],PID,0),MATCH("DIVIDEND",PLabel,0)-1,1,1)</f>
        <v>0</v>
      </c>
      <c r="AJ97" s="1601">
        <f ca="1">OFFSET(POrigin,MATCH(Valori[[#This Row],[LUKB_id]],PID,0),MATCH("DIVIDEND:datetime",PLabel,0)-1,1,1)</f>
        <v>0</v>
      </c>
      <c r="AK97" s="1602">
        <f ca="1">OFFSET(POrigin,MATCH(Valori[[#This Row],[LUKB_id]],PID,0),MATCH("INTEREST",PLabel,0)-1,1,1)</f>
        <v>0</v>
      </c>
      <c r="AL97" s="1603">
        <f ca="1">OFFSET(POrigin,MATCH(Valori[[#This Row],[LUKB_id]],PID,0),MATCH("4W_PERF_PR",PLabel,0)-1,1,1)/100</f>
        <v>-7.6148399999999995E-3</v>
      </c>
      <c r="AM97" s="1603">
        <f ca="1">OFFSET(POrigin,MATCH(Valori[[#This Row],[LUKB_id]],PID,0),MATCH("12W_PERF_PR",PLabel,0)-1,1,1)/100</f>
        <v>8.672262E-2</v>
      </c>
      <c r="AN97" s="1603">
        <f ca="1">OFFSET(POrigin,MATCH(Valori[[#This Row],[LUKB_id]],PID,0),MATCH("YTD_PERF_PR",PLabel,0)-1,1,1)/100</f>
        <v>0.10330534022394501</v>
      </c>
      <c r="AO97" s="1591"/>
      <c r="AP97" s="1591"/>
      <c r="AQ97" s="1591"/>
      <c r="AR97" s="1591"/>
      <c r="AS97" s="1890"/>
      <c r="AT97" s="1890"/>
      <c r="AU97" s="610"/>
      <c r="AV97" s="1891"/>
      <c r="AW97" s="1604" t="str">
        <f ca="1">"https://boersenundmaerkte.lukb.ch/lukb/details/"&amp;Valori[[#This Row],[LUKB_id]]</f>
        <v>https://boersenundmaerkte.lukb.ch/lukb/details/127984260,361,333</v>
      </c>
      <c r="AX9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7" s="142"/>
      <c r="AZ97" s="142"/>
      <c r="BA97" s="142"/>
      <c r="BB97" s="142"/>
    </row>
    <row r="98" spans="1:54" ht="15" customHeight="1" x14ac:dyDescent="0.2">
      <c r="A98" s="142" t="s">
        <v>1121</v>
      </c>
      <c r="B98" s="142" t="str" cm="1">
        <f t="array" aca="1" ref="B98" ca="1">OFFSET(POrigin,MATCH(Valori[[#This Row],[smo_id]],Posizioni[smo_id],0),MATCH("LUKB_id",PIntestazioni,0)-1,1,1)</f>
        <v>47284465,1703,814</v>
      </c>
      <c r="C98" s="1668" t="str">
        <f ca="1">HYPERLINK("https://boersenundmaerkte.lukb.ch/lukb/details/"&amp;Valori[[#This Row],[LUKB_id]],"è")</f>
        <v>è</v>
      </c>
      <c r="D98" s="142" t="str" cm="1">
        <f t="array" aca="1" ref="D98" ca="1">OFFSET(POrigin,MATCH(Valori[[#This Row],[LUKB_id]],PID,0),MATCH("SC_GROUPED",PIntestazioni,0)-1,1,1)</f>
        <v>ETF</v>
      </c>
      <c r="E98" s="413" t="str" cm="1">
        <f t="array" aca="1" ref="E98" ca="1">OFFSET(POrigin,MATCH(Valori[[#This Row],[LUKB_id]],PID,0),MATCH("isin",PIntestazioni,0)-1,1,1)</f>
        <v>IE00BJQTJ848</v>
      </c>
      <c r="F98" s="34" t="str" cm="1">
        <f t="array" aca="1" ref="F98" ca="1">OFFSET(POrigin,MATCH(Valori[[#This Row],[LUKB_id]],PID,0),MATCH("NSIN_CH",PLabel,0)-1,1,1)</f>
        <v>47284465</v>
      </c>
      <c r="G98" s="95" t="str" cm="1">
        <f t="array" aca="1" ref="G98" ca="1">IF(OFFSET(POrigin,MATCH(Valori[[#This Row],[LUKB_id]],PID,0),MATCH("INSTRUNIT",PLabel,0)-1,1,1)="Nominal","Pct","Unit")</f>
        <v>Unit</v>
      </c>
      <c r="H98" s="612">
        <f ca="1">MAX(OFFSET(POrigin,MATCH(Valori[[#This Row],[LUKB_id]],PID,0),MATCH("PRICINGAMT",PLabel,0)-1,1,1),1)</f>
        <v>1</v>
      </c>
      <c r="I98" s="615" t="str" cm="1">
        <f t="array" aca="1" ref="I98" ca="1">OFFSET(POrigin,MATCH(Valori[[#This Row],[LUKB_id]],PID,0),MATCH("M_NAME",PLabel,0)-1,1,1)</f>
        <v>HANetf ICAV - Harbor Health Care UCITS ETF</v>
      </c>
      <c r="J98" s="142" t="s">
        <v>592</v>
      </c>
      <c r="M98" s="142" t="str" cm="1">
        <f t="array" aca="1" ref="M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EUR)</v>
      </c>
      <c r="N98" s="1563">
        <f ca="1">COUNTIF('CHF M'!smo_id,Valori[[#This Row],[smo_id]])+COUNTIF('CHF MA'!smo_id,Valori[[#This Row],[smo_id]])+COUNTIF('EUR MB'!smo_id,Valori[[#This Row],[smo_id]])+COUNTIF('EUR M'!smo_id,Valori[[#This Row],[smo_id]])+COUNTIF(AGCO!smo_id,Valori[[#This Row],[smo_id]])</f>
        <v>1</v>
      </c>
      <c r="O98" s="1590" cm="1">
        <f t="array" aca="1" ref="O98" ca="1">SUM(IF('CHF M'!smo_id=Valori[[#This Row],[smo_id]],'CHF M'!Posizione))+SUM(IF('CHF MA'!smo_id=Valori[[#This Row],[smo_id]],'CHF MA'!Posizione))+SUM(IF('EUR MB'!smo_id=Valori[[#This Row],[smo_id]],'EUR MB'!Posizione))+SUM(IF('EUR M'!smo_id=Valori[[#This Row],[smo_id]],'EUR M'!Posizione))+SUM(IF(AGCO!smo_id=Valori[[#This Row],[smo_id]],AGCO!Posizione))</f>
        <v>2500</v>
      </c>
      <c r="P98" s="1661" t="str">
        <f ca="1">HYPERLINK(Valori[[#This Row],[P_Source]],"è")</f>
        <v>è</v>
      </c>
      <c r="Q98" s="1663" t="str">
        <f>HYPERLINK(Valori[[#This Row],[Info_W]],"i")</f>
        <v>i</v>
      </c>
      <c r="R98" s="1664" t="str">
        <f>HYPERLINK(Valori[[#This Row],[FN_W]],"")</f>
        <v></v>
      </c>
      <c r="S98" s="1665" t="str">
        <f>HYPERLINK(Valori[[#This Row],[MS_Link]],"")</f>
        <v></v>
      </c>
      <c r="T98" s="1665" t="str">
        <f>HYPERLINK(Valori[[#This Row],[C_source]],"")</f>
        <v></v>
      </c>
      <c r="U98" s="142" t="str" cm="1">
        <f t="array" aca="1" ref="U98" ca="1">OFFSET(POrigin,MATCH(Valori[[#This Row],[LUKB_id]],PID,0),MATCH("M_CUR",PLabel,0)-1,1,1)</f>
        <v>EUR</v>
      </c>
      <c r="V98" s="1562">
        <f ca="1">(Valori[[#This Row],[Last]]+Valori[[#This Row],[Acc. Int]])/Valori[[#This Row],[Pr.Amt]]/IF(Valori[[#This Row],[P_Type]]="Pct",100,1)</f>
        <v>6.68</v>
      </c>
      <c r="W98" s="1591" cm="1">
        <f t="array" aca="1" ref="W98" ca="1">OFFSET(POrigin,MATCH(Valori[[#This Row],[LUKB_id]],PID,0),MATCH("NC2_PR",PLabel,0)-1,1,1)/100</f>
        <v>8.1632653061225E-3</v>
      </c>
      <c r="X98" s="1592" cm="1">
        <f t="array" aca="1" ref="X98" ca="1">OFFSET(POrigin,MATCH(Valori[[#This Row],[LUKB_id]],PID,0),MATCH("LVAL",PLabel,0)-1,1,1)</f>
        <v>6.68</v>
      </c>
      <c r="Y98" s="1593" cm="1">
        <f t="array" aca="1" ref="Y98" ca="1">OFFSET(POrigin,MATCH(Valori[[#This Row],[LUKB_id]],PID,0),MATCH("LVAL:datetime",PLabel,0)-1,1,1)</f>
        <v>46083.733356481483</v>
      </c>
      <c r="Z98" s="1594" cm="1">
        <f t="array" aca="1" ref="Z98" ca="1">OFFSET(POrigin,MATCH(Valori[[#This Row],[LUKB_id]],PID,0),MATCH("BID:volume",PLabel,0)-1,1,1)</f>
        <v>0</v>
      </c>
      <c r="AA98" s="1595" cm="1">
        <f t="array" aca="1" ref="AA98" ca="1">OFFSET(POrigin,MATCH(Valori[[#This Row],[LUKB_id]],PID,0),MATCH("BID",PLabel,0)-1,1,1)</f>
        <v>0</v>
      </c>
      <c r="AB98" s="1595" cm="1">
        <f t="array" aca="1" ref="AB98" ca="1">OFFSET(POrigin,MATCH(Valori[[#This Row],[LUKB_id]],PID,0),MATCH("ASK",PLabel,0)-1,1,1)</f>
        <v>0</v>
      </c>
      <c r="AC98" s="1594" cm="1">
        <f t="array" aca="1" ref="AC98" ca="1">OFFSET(POrigin,MATCH(Valori[[#This Row],[LUKB_id]],PID,0),MATCH("ASK:volume",PLabel,0)-1,1,1)</f>
        <v>0</v>
      </c>
      <c r="AD98" s="1596" cm="1">
        <f t="array" aca="1" ref="AD98" ca="1">OFFSET(POrigin,MATCH(Valori[[#This Row],[LUKB_id]],PID,0),MATCH("BID-ASK Spread %",PLabel,0)-1,1,1)</f>
        <v>0</v>
      </c>
      <c r="AE98" s="1597" t="str" cm="1">
        <f t="array" aca="1" ref="AE98" ca="1">IF(OFFSET(POrigin,MATCH(Valori[[#This Row],[LUKB_id]],PID,0),MATCH("MATURITY",PLabel,0)-1,1,1)&gt;0,OFFSET(POrigin,MATCH(Valori[[#This Row],[LUKB_id]],PID,0),MATCH("MATURITY",PLabel,0)-1,1,1),"")</f>
        <v/>
      </c>
      <c r="AF98" s="1598" cm="1">
        <f t="array" aca="1" ref="AF98" ca="1">OFFSET(POrigin,MATCH(Valori[[#This Row],[LUKB_id]],PID,0),MATCH("ACCINT",PLabel,0)-1,1,1)</f>
        <v>0</v>
      </c>
      <c r="AG98" s="1594" cm="1">
        <f t="array" aca="1" ref="AG98" ca="1">OFFSET(POrigin,MATCH(Valori[[#This Row],[LUKB_id]],PID,0),MATCH("DENOM",PLabel,0)-1,1,1)</f>
        <v>0</v>
      </c>
      <c r="AH98" s="1599" cm="1">
        <f t="array" aca="1" ref="AH98" ca="1">(OFFSET(POrigin,MATCH(Valori[[#This Row],[LUKB_id]],PID,0),MATCH("YIELD",PLabel,0)-1,1,1)+OFFSET(POrigin,MATCH(Valori[[#This Row],[LUKB_id]],PID,0),MATCH("YLDEQ",PLabel,0)-1,1,1))/100</f>
        <v>0</v>
      </c>
      <c r="AI98" s="1600">
        <f ca="1">OFFSET(POrigin,MATCH(Valori[[#This Row],[LUKB_id]],PID,0),MATCH("DIVIDEND",PLabel,0)-1,1,1)</f>
        <v>0</v>
      </c>
      <c r="AJ98" s="1601">
        <f ca="1">OFFSET(POrigin,MATCH(Valori[[#This Row],[LUKB_id]],PID,0),MATCH("DIVIDEND:datetime",PLabel,0)-1,1,1)</f>
        <v>0</v>
      </c>
      <c r="AK98" s="1602">
        <f ca="1">OFFSET(POrigin,MATCH(Valori[[#This Row],[LUKB_id]],PID,0),MATCH("INTEREST",PLabel,0)-1,1,1)</f>
        <v>0</v>
      </c>
      <c r="AL98" s="1603">
        <f ca="1">OFFSET(POrigin,MATCH(Valori[[#This Row],[LUKB_id]],PID,0),MATCH("4W_PERF_PR",PLabel,0)-1,1,1)/100</f>
        <v>-3.5799522673031058E-3</v>
      </c>
      <c r="AM98" s="1603">
        <f ca="1">OFFSET(POrigin,MATCH(Valori[[#This Row],[LUKB_id]],PID,0),MATCH("12W_PERF_PR",PLabel,0)-1,1,1)/100</f>
        <v>-3.4682080924855523E-2</v>
      </c>
      <c r="AN98" s="1603">
        <f ca="1">OFFSET(POrigin,MATCH(Valori[[#This Row],[LUKB_id]],PID,0),MATCH("YTD_PERF_PR",PLabel,0)-1,1,1)/100</f>
        <v>-2.2713950762016401E-2</v>
      </c>
      <c r="AO98" s="1591"/>
      <c r="AP98" s="1591"/>
      <c r="AQ98" s="1591"/>
      <c r="AR98" s="1591"/>
      <c r="AS98" s="1890" t="s">
        <v>1122</v>
      </c>
      <c r="AT98" s="1890" t="s">
        <v>1123</v>
      </c>
      <c r="AU98" s="610" t="s">
        <v>1124</v>
      </c>
      <c r="AV98" s="1891" t="s">
        <v>1125</v>
      </c>
      <c r="AW98" s="1604" t="str">
        <f ca="1">"https://boersenundmaerkte.lukb.ch/lukb/details/"&amp;Valori[[#This Row],[LUKB_id]]</f>
        <v>https://boersenundmaerkte.lukb.ch/lukb/details/47284465,1703,814</v>
      </c>
      <c r="AX98" s="1605"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98" s="142"/>
      <c r="AZ98" s="142"/>
      <c r="BA98" s="142"/>
      <c r="BB98" s="142"/>
    </row>
    <row r="99" spans="1:54" ht="15" customHeight="1" x14ac:dyDescent="0.2">
      <c r="A99" s="142" t="s">
        <v>1126</v>
      </c>
      <c r="B99" s="142" t="str" cm="1">
        <f t="array" aca="1" ref="B99" ca="1">OFFSET(POrigin,MATCH(Valori[[#This Row],[smo_id]],Posizioni[smo_id],0),MATCH("LUKB_id",PIntestazioni,0)-1,1,1)</f>
        <v>47284465,361,333</v>
      </c>
      <c r="C99" s="1668" t="str">
        <f ca="1">HYPERLINK("https://boersenundmaerkte.lukb.ch/lukb/details/"&amp;Valori[[#This Row],[LUKB_id]],"è")</f>
        <v>è</v>
      </c>
      <c r="D99" s="142" t="str" cm="1">
        <f t="array" aca="1" ref="D99" ca="1">OFFSET(POrigin,MATCH(Valori[[#This Row],[LUKB_id]],PID,0),MATCH("SC_GROUPED",PIntestazioni,0)-1,1,1)</f>
        <v>ETF</v>
      </c>
      <c r="E99" s="413" t="str" cm="1">
        <f t="array" aca="1" ref="E99" ca="1">OFFSET(POrigin,MATCH(Valori[[#This Row],[LUKB_id]],PID,0),MATCH("isin",PIntestazioni,0)-1,1,1)</f>
        <v>IE00BJQTJ848</v>
      </c>
      <c r="F99" s="34" t="str" cm="1">
        <f t="array" aca="1" ref="F99" ca="1">OFFSET(POrigin,MATCH(Valori[[#This Row],[LUKB_id]],PID,0),MATCH("NSIN_CH",PLabel,0)-1,1,1)</f>
        <v>47284465</v>
      </c>
      <c r="G99" s="95" t="str" cm="1">
        <f t="array" aca="1" ref="G99" ca="1">IF(OFFSET(POrigin,MATCH(Valori[[#This Row],[LUKB_id]],PID,0),MATCH("INSTRUNIT",PLabel,0)-1,1,1)="Nominal","Pct","Unit")</f>
        <v>Unit</v>
      </c>
      <c r="H99" s="612">
        <f ca="1">MAX(OFFSET(POrigin,MATCH(Valori[[#This Row],[LUKB_id]],PID,0),MATCH("PRICINGAMT",PLabel,0)-1,1,1),1)</f>
        <v>1</v>
      </c>
      <c r="I99" s="615" t="str" cm="1">
        <f t="array" aca="1" ref="I99" ca="1">OFFSET(POrigin,MATCH(Valori[[#This Row],[LUKB_id]],PID,0),MATCH("M_NAME",PLabel,0)-1,1,1)</f>
        <v>HANetf ICAV - Harbor Health Care UCITS ETF</v>
      </c>
      <c r="J99" s="142" t="s">
        <v>778</v>
      </c>
      <c r="M99" s="142" t="str" cm="1">
        <f t="array" aca="1" ref="M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USD)</v>
      </c>
      <c r="N99" s="1563">
        <f ca="1">COUNTIF('CHF M'!smo_id,Valori[[#This Row],[smo_id]])+COUNTIF('CHF MA'!smo_id,Valori[[#This Row],[smo_id]])+COUNTIF('EUR MB'!smo_id,Valori[[#This Row],[smo_id]])+COUNTIF('EUR M'!smo_id,Valori[[#This Row],[smo_id]])+COUNTIF(AGCO!smo_id,Valori[[#This Row],[smo_id]])</f>
        <v>1</v>
      </c>
      <c r="O99" s="1590" cm="1">
        <f t="array" aca="1" ref="O99" ca="1">SUM(IF('CHF M'!smo_id=Valori[[#This Row],[smo_id]],'CHF M'!Posizione))+SUM(IF('CHF MA'!smo_id=Valori[[#This Row],[smo_id]],'CHF MA'!Posizione))+SUM(IF('EUR MB'!smo_id=Valori[[#This Row],[smo_id]],'EUR MB'!Posizione))+SUM(IF('EUR M'!smo_id=Valori[[#This Row],[smo_id]],'EUR M'!Posizione))+SUM(IF(AGCO!smo_id=Valori[[#This Row],[smo_id]],AGCO!Posizione))</f>
        <v>500</v>
      </c>
      <c r="P99" s="1661" t="str">
        <f ca="1">HYPERLINK(Valori[[#This Row],[P_Source]],"è")</f>
        <v>è</v>
      </c>
      <c r="Q99" s="1663" t="str">
        <f>HYPERLINK(Valori[[#This Row],[Info_W]],"i")</f>
        <v>i</v>
      </c>
      <c r="R99" s="1664" t="str">
        <f>HYPERLINK(Valori[[#This Row],[FN_W]],"")</f>
        <v></v>
      </c>
      <c r="S99" s="1665" t="str">
        <f>HYPERLINK(Valori[[#This Row],[MS_Link]],"")</f>
        <v></v>
      </c>
      <c r="T99" s="1665" t="str">
        <f>HYPERLINK(Valori[[#This Row],[C_source]],"")</f>
        <v></v>
      </c>
      <c r="U99" s="142" t="str" cm="1">
        <f t="array" aca="1" ref="U99" ca="1">OFFSET(POrigin,MATCH(Valori[[#This Row],[LUKB_id]],PID,0),MATCH("M_CUR",PLabel,0)-1,1,1)</f>
        <v>USD</v>
      </c>
      <c r="V99" s="1562">
        <f ca="1">(Valori[[#This Row],[Last]]+Valori[[#This Row],[Acc. Int]])/Valori[[#This Row],[Pr.Amt]]/IF(Valori[[#This Row],[P_Type]]="Pct",100,1)</f>
        <v>7.7015000000000002</v>
      </c>
      <c r="W99" s="1591" cm="1">
        <f t="array" aca="1" ref="W99" ca="1">OFFSET(POrigin,MATCH(Valori[[#This Row],[LUKB_id]],PID,0),MATCH("NC2_PR",PLabel,0)-1,1,1)/100</f>
        <v>-1.97359989747533E-2</v>
      </c>
      <c r="X99" s="1592" cm="1">
        <f t="array" aca="1" ref="X99" ca="1">OFFSET(POrigin,MATCH(Valori[[#This Row],[LUKB_id]],PID,0),MATCH("LVAL",PLabel,0)-1,1,1)</f>
        <v>7.7015000000000002</v>
      </c>
      <c r="Y99" s="1593" cm="1">
        <f t="array" aca="1" ref="Y99" ca="1">OFFSET(POrigin,MATCH(Valori[[#This Row],[LUKB_id]],PID,0),MATCH("LVAL:datetime",PLabel,0)-1,1,1)</f>
        <v>46084.732893518521</v>
      </c>
      <c r="Z99" s="1594" cm="1">
        <f t="array" aca="1" ref="Z99" ca="1">OFFSET(POrigin,MATCH(Valori[[#This Row],[LUKB_id]],PID,0),MATCH("BID:volume",PLabel,0)-1,1,1)</f>
        <v>12800</v>
      </c>
      <c r="AA99" s="1595" cm="1">
        <f t="array" aca="1" ref="AA99" ca="1">OFFSET(POrigin,MATCH(Valori[[#This Row],[LUKB_id]],PID,0),MATCH("BID",PLabel,0)-1,1,1)</f>
        <v>7.6980000000000004</v>
      </c>
      <c r="AB99" s="1595" cm="1">
        <f t="array" aca="1" ref="AB99" ca="1">OFFSET(POrigin,MATCH(Valori[[#This Row],[LUKB_id]],PID,0),MATCH("ASK",PLabel,0)-1,1,1)</f>
        <v>7.8769999999999998</v>
      </c>
      <c r="AC99" s="1594" cm="1">
        <f t="array" aca="1" ref="AC99" ca="1">OFFSET(POrigin,MATCH(Valori[[#This Row],[LUKB_id]],PID,0),MATCH("ASK:volume",PLabel,0)-1,1,1)</f>
        <v>1102</v>
      </c>
      <c r="AD99" s="1596" cm="1">
        <f t="array" aca="1" ref="AD99" ca="1">OFFSET(POrigin,MATCH(Valori[[#This Row],[LUKB_id]],PID,0),MATCH("BID-ASK Spread %",PLabel,0)-1,1,1)</f>
        <v>1.5382632234778445E-2</v>
      </c>
      <c r="AE99" s="1597" t="str" cm="1">
        <f t="array" aca="1" ref="AE99" ca="1">IF(OFFSET(POrigin,MATCH(Valori[[#This Row],[LUKB_id]],PID,0),MATCH("MATURITY",PLabel,0)-1,1,1)&gt;0,OFFSET(POrigin,MATCH(Valori[[#This Row],[LUKB_id]],PID,0),MATCH("MATURITY",PLabel,0)-1,1,1),"")</f>
        <v/>
      </c>
      <c r="AF99" s="1598" cm="1">
        <f t="array" aca="1" ref="AF99" ca="1">OFFSET(POrigin,MATCH(Valori[[#This Row],[LUKB_id]],PID,0),MATCH("ACCINT",PLabel,0)-1,1,1)</f>
        <v>0</v>
      </c>
      <c r="AG99" s="1594" cm="1">
        <f t="array" aca="1" ref="AG99" ca="1">OFFSET(POrigin,MATCH(Valori[[#This Row],[LUKB_id]],PID,0),MATCH("DENOM",PLabel,0)-1,1,1)</f>
        <v>0</v>
      </c>
      <c r="AH99" s="1599" cm="1">
        <f t="array" aca="1" ref="AH99" ca="1">(OFFSET(POrigin,MATCH(Valori[[#This Row],[LUKB_id]],PID,0),MATCH("YIELD",PLabel,0)-1,1,1)+OFFSET(POrigin,MATCH(Valori[[#This Row],[LUKB_id]],PID,0),MATCH("YLDEQ",PLabel,0)-1,1,1))/100</f>
        <v>0</v>
      </c>
      <c r="AI99" s="1600">
        <f ca="1">OFFSET(POrigin,MATCH(Valori[[#This Row],[LUKB_id]],PID,0),MATCH("DIVIDEND",PLabel,0)-1,1,1)</f>
        <v>0</v>
      </c>
      <c r="AJ99" s="1601">
        <f ca="1">OFFSET(POrigin,MATCH(Valori[[#This Row],[LUKB_id]],PID,0),MATCH("DIVIDEND:datetime",PLabel,0)-1,1,1)</f>
        <v>0</v>
      </c>
      <c r="AK99" s="1602">
        <f ca="1">OFFSET(POrigin,MATCH(Valori[[#This Row],[LUKB_id]],PID,0),MATCH("INTEREST",PLabel,0)-1,1,1)</f>
        <v>0</v>
      </c>
      <c r="AL99" s="1603">
        <f ca="1">OFFSET(POrigin,MATCH(Valori[[#This Row],[LUKB_id]],PID,0),MATCH("4W_PERF_PR",PLabel,0)-1,1,1)/100</f>
        <v>-1.4586095851487126E-2</v>
      </c>
      <c r="AM99" s="1603">
        <f ca="1">OFFSET(POrigin,MATCH(Valori[[#This Row],[LUKB_id]],PID,0),MATCH("12W_PERF_PR",PLabel,0)-1,1,1)/100</f>
        <v>-4.2078900000000002E-2</v>
      </c>
      <c r="AN99" s="1603">
        <f ca="1">OFFSET(POrigin,MATCH(Valori[[#This Row],[LUKB_id]],PID,0),MATCH("YTD_PERF_PR",PLabel,0)-1,1,1)/100</f>
        <v>-2.1076401957094499E-2</v>
      </c>
      <c r="AO99" s="1591"/>
      <c r="AP99" s="1591"/>
      <c r="AQ99" s="1591"/>
      <c r="AR99" s="1591"/>
      <c r="AS99" s="1890" t="s">
        <v>1122</v>
      </c>
      <c r="AT99" s="1890" t="s">
        <v>1123</v>
      </c>
      <c r="AU99" s="610" t="s">
        <v>1124</v>
      </c>
      <c r="AV99" s="1891" t="s">
        <v>1125</v>
      </c>
      <c r="AW99" s="1604" t="str">
        <f ca="1">"https://boersenundmaerkte.lukb.ch/lukb/details/"&amp;Valori[[#This Row],[LUKB_id]]</f>
        <v>https://boersenundmaerkte.lukb.ch/lukb/details/47284465,361,333</v>
      </c>
      <c r="AX99" s="1605"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99" s="142"/>
      <c r="AZ99" s="142"/>
      <c r="BA99" s="142"/>
      <c r="BB99" s="142"/>
    </row>
    <row r="100" spans="1:54" ht="15" customHeight="1" x14ac:dyDescent="0.2">
      <c r="A100" s="142" t="s">
        <v>4251</v>
      </c>
      <c r="B100" s="142" t="str" cm="1">
        <f t="array" aca="1" ref="B100" ca="1">OFFSET(POrigin,MATCH(Valori[[#This Row],[smo_id]],Posizioni[smo_id],0),MATCH("LUKB_id",PIntestazioni,0)-1,1,1)</f>
        <v>41970675,321,333</v>
      </c>
      <c r="C100" s="1668" t="str">
        <f ca="1">HYPERLINK("https://boersenundmaerkte.lukb.ch/lukb/details/"&amp;Valori[[#This Row],[LUKB_id]],"è")</f>
        <v>è</v>
      </c>
      <c r="D100" s="142" t="str" cm="1">
        <f t="array" aca="1" ref="D100" ca="1">OFFSET(POrigin,MATCH(Valori[[#This Row],[LUKB_id]],PID,0),MATCH("SC_GROUPED",PIntestazioni,0)-1,1,1)</f>
        <v>ETF</v>
      </c>
      <c r="E100" s="413" t="str" cm="1">
        <f t="array" aca="1" ref="E100" ca="1">OFFSET(POrigin,MATCH(Valori[[#This Row],[LUKB_id]],PID,0),MATCH("isin",PIntestazioni,0)-1,1,1)</f>
        <v>US46138E8003</v>
      </c>
      <c r="F100" s="34" t="str" cm="1">
        <f t="array" aca="1" ref="F100" ca="1">OFFSET(POrigin,MATCH(Valori[[#This Row],[LUKB_id]],PID,0),MATCH("NSIN_CH",PLabel,0)-1,1,1)</f>
        <v>41970675</v>
      </c>
      <c r="G100" s="95" t="str" cm="1">
        <f t="array" aca="1" ref="G100" ca="1">IF(OFFSET(POrigin,MATCH(Valori[[#This Row],[LUKB_id]],PID,0),MATCH("INSTRUNIT",PLabel,0)-1,1,1)="Nominal","Pct","Unit")</f>
        <v>Unit</v>
      </c>
      <c r="H100" s="612">
        <f ca="1">MAX(OFFSET(POrigin,MATCH(Valori[[#This Row],[LUKB_id]],PID,0),MATCH("PRICINGAMT",PLabel,0)-1,1,1),1)</f>
        <v>1</v>
      </c>
      <c r="I100" s="615" t="str" cm="1">
        <f t="array" aca="1" ref="I100" ca="1">OFFSET(POrigin,MATCH(Valori[[#This Row],[LUKB_id]],PID,0),MATCH("M_NAME",PLabel,0)-1,1,1)</f>
        <v>Invesco China Technology ETF</v>
      </c>
      <c r="M100" s="142" t="str" cm="1">
        <f t="array" aca="1" ref="M1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China Technology ETF</v>
      </c>
      <c r="N100" s="1563">
        <f ca="1">COUNTIF('CHF M'!smo_id,Valori[[#This Row],[smo_id]])+COUNTIF('CHF MA'!smo_id,Valori[[#This Row],[smo_id]])+COUNTIF('EUR MB'!smo_id,Valori[[#This Row],[smo_id]])+COUNTIF('EUR M'!smo_id,Valori[[#This Row],[smo_id]])+COUNTIF(AGCO!smo_id,Valori[[#This Row],[smo_id]])</f>
        <v>4</v>
      </c>
      <c r="O100" s="1590">
        <v>6090</v>
      </c>
      <c r="P100" s="1661" t="str">
        <f ca="1">HYPERLINK(Valori[[#This Row],[P_Source]],"è")</f>
        <v>è</v>
      </c>
      <c r="Q100" s="1663" t="str">
        <f>HYPERLINK(Valori[[#This Row],[Info_W]],"i")</f>
        <v>i</v>
      </c>
      <c r="R100" s="1664" t="str">
        <f>HYPERLINK(Valori[[#This Row],[FN_W]],"")</f>
        <v></v>
      </c>
      <c r="S100" s="1665" t="str">
        <f>HYPERLINK(Valori[[#This Row],[MS_Link]],"")</f>
        <v></v>
      </c>
      <c r="T100" s="1665" t="str">
        <f>HYPERLINK(Valori[[#This Row],[C_source]],"")</f>
        <v></v>
      </c>
      <c r="U100" s="142" t="str" cm="1">
        <f t="array" aca="1" ref="U100" ca="1">OFFSET(POrigin,MATCH(Valori[[#This Row],[LUKB_id]],PID,0),MATCH("M_CUR",PLabel,0)-1,1,1)</f>
        <v>USD</v>
      </c>
      <c r="V100" s="1562">
        <f ca="1">(Valori[[#This Row],[Last]]+Valori[[#This Row],[Acc. Int]])/Valori[[#This Row],[Pr.Amt]]/IF(Valori[[#This Row],[P_Type]]="Pct",100,1)</f>
        <v>48.134999999999998</v>
      </c>
      <c r="W100" s="1591" cm="1">
        <f t="array" aca="1" ref="W100" ca="1">OFFSET(POrigin,MATCH(Valori[[#This Row],[LUKB_id]],PID,0),MATCH("NC2_PR",PLabel,0)-1,1,1)/100</f>
        <v>-5.7470139024867903E-2</v>
      </c>
      <c r="X100" s="1592" cm="1">
        <f t="array" aca="1" ref="X100" ca="1">OFFSET(POrigin,MATCH(Valori[[#This Row],[LUKB_id]],PID,0),MATCH("LVAL",PLabel,0)-1,1,1)</f>
        <v>48.134999999999998</v>
      </c>
      <c r="Y100" s="1593" cm="1">
        <f t="array" aca="1" ref="Y100" ca="1">OFFSET(POrigin,MATCH(Valori[[#This Row],[LUKB_id]],PID,0),MATCH("LVAL:datetime",PLabel,0)-1,1,1)</f>
        <v>46084.785752314812</v>
      </c>
      <c r="Z100" s="1594" cm="1">
        <f t="array" aca="1" ref="Z100" ca="1">OFFSET(POrigin,MATCH(Valori[[#This Row],[LUKB_id]],PID,0),MATCH("BID:volume",PLabel,0)-1,1,1)</f>
        <v>200</v>
      </c>
      <c r="AA100" s="1595" cm="1">
        <f t="array" aca="1" ref="AA100" ca="1">OFFSET(POrigin,MATCH(Valori[[#This Row],[LUKB_id]],PID,0),MATCH("BID",PLabel,0)-1,1,1)</f>
        <v>48.13</v>
      </c>
      <c r="AB100" s="1595" cm="1">
        <f t="array" aca="1" ref="AB100" ca="1">OFFSET(POrigin,MATCH(Valori[[#This Row],[LUKB_id]],PID,0),MATCH("ASK",PLabel,0)-1,1,1)</f>
        <v>48.14</v>
      </c>
      <c r="AC100" s="1594" cm="1">
        <f t="array" aca="1" ref="AC100" ca="1">OFFSET(POrigin,MATCH(Valori[[#This Row],[LUKB_id]],PID,0),MATCH("ASK:volume",PLabel,0)-1,1,1)</f>
        <v>1100</v>
      </c>
      <c r="AD100" s="1596" cm="1">
        <f t="array" aca="1" ref="AD100" ca="1">OFFSET(POrigin,MATCH(Valori[[#This Row],[LUKB_id]],PID,0),MATCH("BID-ASK Spread %",PLabel,0)-1,1,1)</f>
        <v>1.3850415512462618E-4</v>
      </c>
      <c r="AE100" s="1597" t="str" cm="1">
        <f t="array" aca="1" ref="AE100" ca="1">IF(OFFSET(POrigin,MATCH(Valori[[#This Row],[LUKB_id]],PID,0),MATCH("MATURITY",PLabel,0)-1,1,1)&gt;0,OFFSET(POrigin,MATCH(Valori[[#This Row],[LUKB_id]],PID,0),MATCH("MATURITY",PLabel,0)-1,1,1),"")</f>
        <v/>
      </c>
      <c r="AF100" s="1598" cm="1">
        <f t="array" aca="1" ref="AF100" ca="1">OFFSET(POrigin,MATCH(Valori[[#This Row],[LUKB_id]],PID,0),MATCH("ACCINT",PLabel,0)-1,1,1)</f>
        <v>0</v>
      </c>
      <c r="AG100" s="1594" cm="1">
        <f t="array" aca="1" ref="AG100" ca="1">OFFSET(POrigin,MATCH(Valori[[#This Row],[LUKB_id]],PID,0),MATCH("DENOM",PLabel,0)-1,1,1)</f>
        <v>0</v>
      </c>
      <c r="AH100" s="1599" cm="1">
        <f t="array" aca="1" ref="AH100" ca="1">(OFFSET(POrigin,MATCH(Valori[[#This Row],[LUKB_id]],PID,0),MATCH("YIELD",PLabel,0)-1,1,1)+OFFSET(POrigin,MATCH(Valori[[#This Row],[LUKB_id]],PID,0),MATCH("YLDEQ",PLabel,0)-1,1,1))/100</f>
        <v>0</v>
      </c>
      <c r="AI100" s="1600">
        <f ca="1">OFFSET(POrigin,MATCH(Valori[[#This Row],[LUKB_id]],PID,0),MATCH("DIVIDEND",PLabel,0)-1,1,1)</f>
        <v>1.12616</v>
      </c>
      <c r="AJ100" s="1601">
        <f ca="1">OFFSET(POrigin,MATCH(Valori[[#This Row],[LUKB_id]],PID,0),MATCH("DIVIDEND:datetime",PLabel,0)-1,1,1)</f>
        <v>46013</v>
      </c>
      <c r="AK100" s="1602">
        <f ca="1">OFFSET(POrigin,MATCH(Valori[[#This Row],[LUKB_id]],PID,0),MATCH("INTEREST",PLabel,0)-1,1,1)</f>
        <v>0</v>
      </c>
      <c r="AL100" s="1603">
        <f ca="1">OFFSET(POrigin,MATCH(Valori[[#This Row],[LUKB_id]],PID,0),MATCH("4W_PERF_PR",PLabel,0)-1,1,1)/100</f>
        <v>-0.11222795999999999</v>
      </c>
      <c r="AM100" s="1603">
        <f ca="1">OFFSET(POrigin,MATCH(Valori[[#This Row],[LUKB_id]],PID,0),MATCH("12W_PERF_PR",PLabel,0)-1,1,1)/100</f>
        <v>-8.9387060000000004E-2</v>
      </c>
      <c r="AN100" s="1603">
        <f ca="1">OFFSET(POrigin,MATCH(Valori[[#This Row],[LUKB_id]],PID,0),MATCH("YTD_PERF_PR",PLabel,0)-1,1,1)/100</f>
        <v>-1.7884615384615402E-2</v>
      </c>
      <c r="AO100" s="1591"/>
      <c r="AP100" s="1591"/>
      <c r="AQ100" s="1591"/>
      <c r="AR100" s="1591"/>
      <c r="AS100" s="1890"/>
      <c r="AT100" s="1890"/>
      <c r="AU100" s="610"/>
      <c r="AV100" s="1891"/>
      <c r="AW100" s="1604" t="str">
        <f ca="1">"https://boersenundmaerkte.lukb.ch/lukb/details/"&amp;Valori[[#This Row],[LUKB_id]]</f>
        <v>https://boersenundmaerkte.lukb.ch/lukb/details/41970675,321,333</v>
      </c>
      <c r="AX10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0" s="142"/>
      <c r="AZ100" s="142"/>
      <c r="BA100" s="142"/>
      <c r="BB100" s="142"/>
    </row>
    <row r="101" spans="1:54" ht="15" customHeight="1" x14ac:dyDescent="0.2">
      <c r="A101" s="142" t="s">
        <v>1127</v>
      </c>
      <c r="B101" s="142" t="str" cm="1">
        <f t="array" aca="1" ref="B101" ca="1">OFFSET(POrigin,MATCH(Valori[[#This Row],[smo_id]],Posizioni[smo_id],0),MATCH("LUKB_id",PIntestazioni,0)-1,1,1)</f>
        <v>37364244,4,1</v>
      </c>
      <c r="C101" s="1668" t="str">
        <f ca="1">HYPERLINK("https://boersenundmaerkte.lukb.ch/lukb/details/"&amp;Valori[[#This Row],[LUKB_id]],"è")</f>
        <v>è</v>
      </c>
      <c r="D101" s="142" t="str" cm="1">
        <f t="array" aca="1" ref="D101" ca="1">OFFSET(POrigin,MATCH(Valori[[#This Row],[LUKB_id]],PID,0),MATCH("SC_GROUPED",PIntestazioni,0)-1,1,1)</f>
        <v>ETF</v>
      </c>
      <c r="E101" s="413" t="str" cm="1">
        <f t="array" aca="1" ref="E101" ca="1">OFFSET(POrigin,MATCH(Valori[[#This Row],[LUKB_id]],PID,0),MATCH("isin",PIntestazioni,0)-1,1,1)</f>
        <v>IE00BYVTMT69</v>
      </c>
      <c r="F101" s="34" t="str" cm="1">
        <f t="array" aca="1" ref="F101" ca="1">OFFSET(POrigin,MATCH(Valori[[#This Row],[LUKB_id]],PID,0),MATCH("NSIN_CH",PLabel,0)-1,1,1)</f>
        <v>37364244</v>
      </c>
      <c r="G101" s="95" t="str" cm="1">
        <f t="array" aca="1" ref="G101" ca="1">IF(OFFSET(POrigin,MATCH(Valori[[#This Row],[LUKB_id]],PID,0),MATCH("INSTRUNIT",PLabel,0)-1,1,1)="Nominal","Pct","Unit")</f>
        <v>Unit</v>
      </c>
      <c r="H101" s="612">
        <f ca="1">MAX(OFFSET(POrigin,MATCH(Valori[[#This Row],[LUKB_id]],PID,0),MATCH("PRICINGAMT",PLabel,0)-1,1,1),1)</f>
        <v>1</v>
      </c>
      <c r="I101" s="615" t="str" cm="1">
        <f t="array" aca="1" ref="I101" ca="1">OFFSET(POrigin,MATCH(Valori[[#This Row],[LUKB_id]],PID,0),MATCH("M_NAME",PLabel,0)-1,1,1)</f>
        <v>Invesco Markets III PLC - Invesco EQQQ NASDAQ-100 UCITS ETF</v>
      </c>
      <c r="J101" s="142" t="s">
        <v>402</v>
      </c>
      <c r="M101" s="142" t="str" cm="1">
        <f t="array" aca="1" ref="M1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(CHF Hedged)</v>
      </c>
      <c r="N101" s="1563">
        <f ca="1">COUNTIF('CHF M'!smo_id,Valori[[#This Row],[smo_id]])+COUNTIF('CHF MA'!smo_id,Valori[[#This Row],[smo_id]])+COUNTIF('EUR MB'!smo_id,Valori[[#This Row],[smo_id]])+COUNTIF('EUR M'!smo_id,Valori[[#This Row],[smo_id]])+COUNTIF(AGCO!smo_id,Valori[[#This Row],[smo_id]])</f>
        <v>2</v>
      </c>
      <c r="O101" s="1590">
        <v>380</v>
      </c>
      <c r="P101" s="1661" t="str">
        <f ca="1">HYPERLINK(Valori[[#This Row],[P_Source]],"è")</f>
        <v>è</v>
      </c>
      <c r="Q101" s="1663" t="str">
        <f>HYPERLINK(Valori[[#This Row],[Info_W]],"i")</f>
        <v>i</v>
      </c>
      <c r="R101" s="1664" t="str">
        <f>HYPERLINK(Valori[[#This Row],[FN_W]],"")</f>
        <v></v>
      </c>
      <c r="S101" s="1665" t="str">
        <f>HYPERLINK(Valori[[#This Row],[MS_Link]],"")</f>
        <v></v>
      </c>
      <c r="T101" s="1665" t="str">
        <f>HYPERLINK(Valori[[#This Row],[C_source]],"")</f>
        <v></v>
      </c>
      <c r="U101" s="142" t="str" cm="1">
        <f t="array" aca="1" ref="U101" ca="1">OFFSET(POrigin,MATCH(Valori[[#This Row],[LUKB_id]],PID,0),MATCH("M_CUR",PLabel,0)-1,1,1)</f>
        <v>CHF</v>
      </c>
      <c r="V101" s="1562">
        <f ca="1">(Valori[[#This Row],[Last]]+Valori[[#This Row],[Acc. Int]])/Valori[[#This Row],[Pr.Amt]]/IF(Valori[[#This Row],[P_Type]]="Pct",100,1)</f>
        <v>392.75</v>
      </c>
      <c r="W101" s="1591" cm="1">
        <f t="array" aca="1" ref="W101" ca="1">OFFSET(POrigin,MATCH(Valori[[#This Row],[LUKB_id]],PID,0),MATCH("NC2_PR",PLabel,0)-1,1,1)/100</f>
        <v>-1.1203423967774599E-2</v>
      </c>
      <c r="X101" s="1592" cm="1">
        <f t="array" aca="1" ref="X101" ca="1">OFFSET(POrigin,MATCH(Valori[[#This Row],[LUKB_id]],PID,0),MATCH("LVAL",PLabel,0)-1,1,1)</f>
        <v>392.75</v>
      </c>
      <c r="Y101" s="1593" cm="1">
        <f t="array" aca="1" ref="Y101" ca="1">OFFSET(POrigin,MATCH(Valori[[#This Row],[LUKB_id]],PID,0),MATCH("LVAL:datetime",PLabel,0)-1,1,1)</f>
        <v>46084.73300925926</v>
      </c>
      <c r="Z101" s="1594" cm="1">
        <f t="array" aca="1" ref="Z101" ca="1">OFFSET(POrigin,MATCH(Valori[[#This Row],[LUKB_id]],PID,0),MATCH("BID:volume",PLabel,0)-1,1,1)</f>
        <v>11</v>
      </c>
      <c r="AA101" s="1595" cm="1">
        <f t="array" aca="1" ref="AA101" ca="1">OFFSET(POrigin,MATCH(Valori[[#This Row],[LUKB_id]],PID,0),MATCH("BID",PLabel,0)-1,1,1)</f>
        <v>385.5</v>
      </c>
      <c r="AB101" s="1595" cm="1">
        <f t="array" aca="1" ref="AB101" ca="1">OFFSET(POrigin,MATCH(Valori[[#This Row],[LUKB_id]],PID,0),MATCH("ASK",PLabel,0)-1,1,1)</f>
        <v>399</v>
      </c>
      <c r="AC101" s="1594" cm="1">
        <f t="array" aca="1" ref="AC101" ca="1">OFFSET(POrigin,MATCH(Valori[[#This Row],[LUKB_id]],PID,0),MATCH("ASK:volume",PLabel,0)-1,1,1)</f>
        <v>4</v>
      </c>
      <c r="AD101" s="1596" cm="1">
        <f t="array" aca="1" ref="AD101" ca="1">OFFSET(POrigin,MATCH(Valori[[#This Row],[LUKB_id]],PID,0),MATCH("BID-ASK Spread %",PLabel,0)-1,1,1)</f>
        <v>2.3076923076923078E-2</v>
      </c>
      <c r="AE101" s="1597" t="str" cm="1">
        <f t="array" aca="1" ref="AE101" ca="1">IF(OFFSET(POrigin,MATCH(Valori[[#This Row],[LUKB_id]],PID,0),MATCH("MATURITY",PLabel,0)-1,1,1)&gt;0,OFFSET(POrigin,MATCH(Valori[[#This Row],[LUKB_id]],PID,0),MATCH("MATURITY",PLabel,0)-1,1,1),"")</f>
        <v/>
      </c>
      <c r="AF101" s="1598" cm="1">
        <f t="array" aca="1" ref="AF101" ca="1">OFFSET(POrigin,MATCH(Valori[[#This Row],[LUKB_id]],PID,0),MATCH("ACCINT",PLabel,0)-1,1,1)</f>
        <v>0</v>
      </c>
      <c r="AG101" s="1594" cm="1">
        <f t="array" aca="1" ref="AG101" ca="1">OFFSET(POrigin,MATCH(Valori[[#This Row],[LUKB_id]],PID,0),MATCH("DENOM",PLabel,0)-1,1,1)</f>
        <v>0</v>
      </c>
      <c r="AH101" s="1599" cm="1">
        <f t="array" aca="1" ref="AH101" ca="1">(OFFSET(POrigin,MATCH(Valori[[#This Row],[LUKB_id]],PID,0),MATCH("YIELD",PLabel,0)-1,1,1)+OFFSET(POrigin,MATCH(Valori[[#This Row],[LUKB_id]],PID,0),MATCH("YLDEQ",PLabel,0)-1,1,1))/100</f>
        <v>0</v>
      </c>
      <c r="AI101" s="1600">
        <f ca="1">OFFSET(POrigin,MATCH(Valori[[#This Row],[LUKB_id]],PID,0),MATCH("DIVIDEND",PLabel,0)-1,1,1)</f>
        <v>0</v>
      </c>
      <c r="AJ101" s="1601">
        <f ca="1">OFFSET(POrigin,MATCH(Valori[[#This Row],[LUKB_id]],PID,0),MATCH("DIVIDEND:datetime",PLabel,0)-1,1,1)</f>
        <v>0</v>
      </c>
      <c r="AK101" s="1602">
        <f ca="1">OFFSET(POrigin,MATCH(Valori[[#This Row],[LUKB_id]],PID,0),MATCH("INTEREST",PLabel,0)-1,1,1)</f>
        <v>0</v>
      </c>
      <c r="AL101" s="1603">
        <f ca="1">OFFSET(POrigin,MATCH(Valori[[#This Row],[LUKB_id]],PID,0),MATCH("4W_PERF_PR",PLabel,0)-1,1,1)/100</f>
        <v>-3.8438E-2</v>
      </c>
      <c r="AM101" s="1603">
        <f ca="1">OFFSET(POrigin,MATCH(Valori[[#This Row],[LUKB_id]],PID,0),MATCH("12W_PERF_PR",PLabel,0)-1,1,1)/100</f>
        <v>-5.2358549999999997E-2</v>
      </c>
      <c r="AN101" s="1603">
        <f ca="1">OFFSET(POrigin,MATCH(Valori[[#This Row],[LUKB_id]],PID,0),MATCH("YTD_PERF_PR",PLabel,0)-1,1,1)/100</f>
        <v>-3.3929222911346202E-2</v>
      </c>
      <c r="AO101" s="1591"/>
      <c r="AP101" s="1591"/>
      <c r="AQ101" s="1591"/>
      <c r="AR101" s="1591"/>
      <c r="AS101" s="1890"/>
      <c r="AT101" s="1890"/>
      <c r="AU101" s="610"/>
      <c r="AV101" s="1891"/>
      <c r="AW101" s="1604" t="str">
        <f ca="1">"https://boersenundmaerkte.lukb.ch/lukb/details/"&amp;Valori[[#This Row],[LUKB_id]]</f>
        <v>https://boersenundmaerkte.lukb.ch/lukb/details/37364244,4,1</v>
      </c>
      <c r="AX10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1" s="142"/>
      <c r="AZ101" s="142"/>
      <c r="BA101" s="142"/>
      <c r="BB101" s="142"/>
    </row>
    <row r="102" spans="1:54" ht="15" customHeight="1" x14ac:dyDescent="0.2">
      <c r="A102" s="142" t="s">
        <v>4433</v>
      </c>
      <c r="B102" s="142" t="str" cm="1">
        <f t="array" aca="1" ref="B102" ca="1">OFFSET(POrigin,MATCH(Valori[[#This Row],[smo_id]],Posizioni[smo_id],0),MATCH("LUKB_id",PIntestazioni,0)-1,1,1)</f>
        <v>37407902,2779,814</v>
      </c>
      <c r="C102" s="1668" t="str">
        <f ca="1">HYPERLINK("https://boersenundmaerkte.lukb.ch/lukb/details/"&amp;Valori[[#This Row],[LUKB_id]],"è")</f>
        <v>è</v>
      </c>
      <c r="D102" s="142" t="str" cm="1">
        <f t="array" aca="1" ref="D102" ca="1">OFFSET(POrigin,MATCH(Valori[[#This Row],[LUKB_id]],PID,0),MATCH("SC_GROUPED",PIntestazioni,0)-1,1,1)</f>
        <v>ETF</v>
      </c>
      <c r="E102" s="413" t="str" cm="1">
        <f t="array" aca="1" ref="E102" ca="1">OFFSET(POrigin,MATCH(Valori[[#This Row],[LUKB_id]],PID,0),MATCH("isin",PIntestazioni,0)-1,1,1)</f>
        <v>IE00BYVTMS52</v>
      </c>
      <c r="F102" s="34" t="str" cm="1">
        <f t="array" aca="1" ref="F102" ca="1">OFFSET(POrigin,MATCH(Valori[[#This Row],[LUKB_id]],PID,0),MATCH("NSIN_CH",PLabel,0)-1,1,1)</f>
        <v>37407902</v>
      </c>
      <c r="G102" s="95" t="str" cm="1">
        <f t="array" aca="1" ref="G102" ca="1">IF(OFFSET(POrigin,MATCH(Valori[[#This Row],[LUKB_id]],PID,0),MATCH("INSTRUNIT",PLabel,0)-1,1,1)="Nominal","Pct","Unit")</f>
        <v>Unit</v>
      </c>
      <c r="H102" s="612">
        <f ca="1">MAX(OFFSET(POrigin,MATCH(Valori[[#This Row],[LUKB_id]],PID,0),MATCH("PRICINGAMT",PLabel,0)-1,1,1),1)</f>
        <v>1</v>
      </c>
      <c r="I102" s="615" t="str" cm="1">
        <f t="array" aca="1" ref="I102" ca="1">OFFSET(POrigin,MATCH(Valori[[#This Row],[LUKB_id]],PID,0),MATCH("M_NAME",PLabel,0)-1,1,1)</f>
        <v>Invesco Markets III PLC - Invesco EQQQ NASDAQ-100 UCITS ETF</v>
      </c>
      <c r="J102" s="142" t="s">
        <v>390</v>
      </c>
      <c r="M102" s="142" t="str" cm="1">
        <f t="array" aca="1" ref="M1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(EUR Hedged)</v>
      </c>
      <c r="N102" s="1563">
        <f ca="1">COUNTIF('CHF M'!smo_id,Valori[[#This Row],[smo_id]])+COUNTIF('CHF MA'!smo_id,Valori[[#This Row],[smo_id]])+COUNTIF('EUR MB'!smo_id,Valori[[#This Row],[smo_id]])+COUNTIF('EUR M'!smo_id,Valori[[#This Row],[smo_id]])+COUNTIF(AGCO!smo_id,Valori[[#This Row],[smo_id]])</f>
        <v>2</v>
      </c>
      <c r="O102" s="1590" cm="1">
        <f t="array" aca="1" ref="O102" ca="1">SUM(IF('CHF M'!smo_id=Valori[[#This Row],[smo_id]],'CHF M'!Posizione))+SUM(IF('CHF MA'!smo_id=Valori[[#This Row],[smo_id]],'CHF MA'!Posizione))+SUM(IF('EUR MB'!smo_id=Valori[[#This Row],[smo_id]],'EUR MB'!Posizione))+SUM(IF('EUR M'!smo_id=Valori[[#This Row],[smo_id]],'EUR M'!Posizione))+SUM(IF(AGCO!smo_id=Valori[[#This Row],[smo_id]],AGCO!Posizione))</f>
        <v>0</v>
      </c>
      <c r="P102" s="1661" t="str">
        <f ca="1">HYPERLINK(Valori[[#This Row],[P_Source]],"è")</f>
        <v>è</v>
      </c>
      <c r="Q102" s="1663" t="str">
        <f>HYPERLINK(Valori[[#This Row],[Info_W]],"i")</f>
        <v>i</v>
      </c>
      <c r="R102" s="1664" t="str">
        <f>HYPERLINK(Valori[[#This Row],[FN_W]],"")</f>
        <v></v>
      </c>
      <c r="S102" s="1665" t="str">
        <f>HYPERLINK(Valori[[#This Row],[MS_Link]],"")</f>
        <v></v>
      </c>
      <c r="T102" s="1665" t="str">
        <f>HYPERLINK(Valori[[#This Row],[C_source]],"")</f>
        <v></v>
      </c>
      <c r="U102" s="142" t="str" cm="1">
        <f t="array" aca="1" ref="U102" ca="1">OFFSET(POrigin,MATCH(Valori[[#This Row],[LUKB_id]],PID,0),MATCH("M_CUR",PLabel,0)-1,1,1)</f>
        <v>EUR</v>
      </c>
      <c r="V102" s="1562">
        <f ca="1">(Valori[[#This Row],[Last]]+Valori[[#This Row],[Acc. Int]])/Valori[[#This Row],[Pr.Amt]]/IF(Valori[[#This Row],[P_Type]]="Pct",100,1)</f>
        <v>422.85</v>
      </c>
      <c r="W102" s="1591" cm="1">
        <f t="array" aca="1" ref="W102" ca="1">OFFSET(POrigin,MATCH(Valori[[#This Row],[LUKB_id]],PID,0),MATCH("NC2_PR",PLabel,0)-1,1,1)/100</f>
        <v>-2.4679967708453501E-2</v>
      </c>
      <c r="X102" s="1592" cm="1">
        <f t="array" aca="1" ref="X102" ca="1">OFFSET(POrigin,MATCH(Valori[[#This Row],[LUKB_id]],PID,0),MATCH("LVAL",PLabel,0)-1,1,1)</f>
        <v>422.85</v>
      </c>
      <c r="Y102" s="1593" cm="1">
        <f t="array" aca="1" ref="Y102" ca="1">OFFSET(POrigin,MATCH(Valori[[#This Row],[LUKB_id]],PID,0),MATCH("LVAL:datetime",PLabel,0)-1,1,1)</f>
        <v>46084.687754629631</v>
      </c>
      <c r="Z102" s="1594" cm="1">
        <f t="array" aca="1" ref="Z102" ca="1">OFFSET(POrigin,MATCH(Valori[[#This Row],[LUKB_id]],PID,0),MATCH("BID:volume",PLabel,0)-1,1,1)</f>
        <v>100</v>
      </c>
      <c r="AA102" s="1595" cm="1">
        <f t="array" aca="1" ref="AA102" ca="1">OFFSET(POrigin,MATCH(Valori[[#This Row],[LUKB_id]],PID,0),MATCH("BID",PLabel,0)-1,1,1)</f>
        <v>428.1</v>
      </c>
      <c r="AB102" s="1595" cm="1">
        <f t="array" aca="1" ref="AB102" ca="1">OFFSET(POrigin,MATCH(Valori[[#This Row],[LUKB_id]],PID,0),MATCH("ASK",PLabel,0)-1,1,1)</f>
        <v>429.35</v>
      </c>
      <c r="AC102" s="1594" cm="1">
        <f t="array" aca="1" ref="AC102" ca="1">OFFSET(POrigin,MATCH(Valori[[#This Row],[LUKB_id]],PID,0),MATCH("ASK:volume",PLabel,0)-1,1,1)</f>
        <v>100</v>
      </c>
      <c r="AD102" s="1596" cm="1">
        <f t="array" aca="1" ref="AD102" ca="1">OFFSET(POrigin,MATCH(Valori[[#This Row],[LUKB_id]],PID,0),MATCH("BID-ASK Spread %",PLabel,0)-1,1,1)</f>
        <v>1.9446929329858813E-3</v>
      </c>
      <c r="AE102" s="1597" t="str" cm="1">
        <f t="array" aca="1" ref="AE102" ca="1">IF(OFFSET(POrigin,MATCH(Valori[[#This Row],[LUKB_id]],PID,0),MATCH("MATURITY",PLabel,0)-1,1,1)&gt;0,OFFSET(POrigin,MATCH(Valori[[#This Row],[LUKB_id]],PID,0),MATCH("MATURITY",PLabel,0)-1,1,1),"")</f>
        <v/>
      </c>
      <c r="AF102" s="1598" cm="1">
        <f t="array" aca="1" ref="AF102" ca="1">OFFSET(POrigin,MATCH(Valori[[#This Row],[LUKB_id]],PID,0),MATCH("ACCINT",PLabel,0)-1,1,1)</f>
        <v>0</v>
      </c>
      <c r="AG102" s="1594" cm="1">
        <f t="array" aca="1" ref="AG102" ca="1">OFFSET(POrigin,MATCH(Valori[[#This Row],[LUKB_id]],PID,0),MATCH("DENOM",PLabel,0)-1,1,1)</f>
        <v>0</v>
      </c>
      <c r="AH102" s="1599" cm="1">
        <f t="array" aca="1" ref="AH102" ca="1">(OFFSET(POrigin,MATCH(Valori[[#This Row],[LUKB_id]],PID,0),MATCH("YIELD",PLabel,0)-1,1,1)+OFFSET(POrigin,MATCH(Valori[[#This Row],[LUKB_id]],PID,0),MATCH("YLDEQ",PLabel,0)-1,1,1))/100</f>
        <v>0</v>
      </c>
      <c r="AI102" s="1600">
        <f ca="1">OFFSET(POrigin,MATCH(Valori[[#This Row],[LUKB_id]],PID,0),MATCH("DIVIDEND",PLabel,0)-1,1,1)</f>
        <v>0</v>
      </c>
      <c r="AJ102" s="1601">
        <f ca="1">OFFSET(POrigin,MATCH(Valori[[#This Row],[LUKB_id]],PID,0),MATCH("DIVIDEND:datetime",PLabel,0)-1,1,1)</f>
        <v>0</v>
      </c>
      <c r="AK102" s="1602">
        <f ca="1">OFFSET(POrigin,MATCH(Valori[[#This Row],[LUKB_id]],PID,0),MATCH("INTEREST",PLabel,0)-1,1,1)</f>
        <v>0</v>
      </c>
      <c r="AL102" s="1603">
        <f ca="1">OFFSET(POrigin,MATCH(Valori[[#This Row],[LUKB_id]],PID,0),MATCH("4W_PERF_PR",PLabel,0)-1,1,1)/100</f>
        <v>-3.3927347498286548E-2</v>
      </c>
      <c r="AM102" s="1603">
        <f ca="1">OFFSET(POrigin,MATCH(Valori[[#This Row],[LUKB_id]],PID,0),MATCH("12W_PERF_PR",PLabel,0)-1,1,1)/100</f>
        <v>-5.6243722798794756E-2</v>
      </c>
      <c r="AN102" s="1603">
        <f ca="1">OFFSET(POrigin,MATCH(Valori[[#This Row],[LUKB_id]],PID,0),MATCH("YTD_PERF_PR",PLabel,0)-1,1,1)/100</f>
        <v>-2.6058631921824199E-2</v>
      </c>
      <c r="AO102" s="1591"/>
      <c r="AP102" s="1591"/>
      <c r="AQ102" s="1591"/>
      <c r="AR102" s="1591"/>
      <c r="AS102" s="1890"/>
      <c r="AT102" s="1890"/>
      <c r="AU102" s="610"/>
      <c r="AV102" s="1891"/>
      <c r="AW102" s="1604" t="str">
        <f ca="1">"https://boersenundmaerkte.lukb.ch/lukb/details/"&amp;Valori[[#This Row],[LUKB_id]]</f>
        <v>https://boersenundmaerkte.lukb.ch/lukb/details/37407902,2779,814</v>
      </c>
      <c r="AX10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2" s="142"/>
      <c r="AZ102" s="142"/>
      <c r="BA102" s="142"/>
      <c r="BB102" s="142"/>
    </row>
    <row r="103" spans="1:54" ht="15" customHeight="1" x14ac:dyDescent="0.2">
      <c r="A103" s="142" t="s">
        <v>1128</v>
      </c>
      <c r="B103" s="142" t="str" cm="1">
        <f t="array" aca="1" ref="B103" ca="1">OFFSET(POrigin,MATCH(Valori[[#This Row],[smo_id]],Posizioni[smo_id],0),MATCH("LUKB_id",PIntestazioni,0)-1,1,1)</f>
        <v>41906744,537,333</v>
      </c>
      <c r="C103" s="1668" t="str">
        <f ca="1">HYPERLINK("https://boersenundmaerkte.lukb.ch/lukb/details/"&amp;Valori[[#This Row],[LUKB_id]],"è")</f>
        <v>è</v>
      </c>
      <c r="D103" s="142" t="str" cm="1">
        <f t="array" aca="1" ref="D103" ca="1">OFFSET(POrigin,MATCH(Valori[[#This Row],[LUKB_id]],PID,0),MATCH("SC_GROUPED",PIntestazioni,0)-1,1,1)</f>
        <v>ETF</v>
      </c>
      <c r="E103" s="413" t="str" cm="1">
        <f t="array" aca="1" ref="E103" ca="1">OFFSET(POrigin,MATCH(Valori[[#This Row],[LUKB_id]],PID,0),MATCH("isin",PIntestazioni,0)-1,1,1)</f>
        <v>US46137V5306</v>
      </c>
      <c r="F103" s="34" t="str" cm="1">
        <f t="array" aca="1" ref="F103" ca="1">OFFSET(POrigin,MATCH(Valori[[#This Row],[LUKB_id]],PID,0),MATCH("NSIN_CH",PLabel,0)-1,1,1)</f>
        <v>41906744</v>
      </c>
      <c r="G103" s="95" t="str" cm="1">
        <f t="array" aca="1" ref="G103" ca="1">IF(OFFSET(POrigin,MATCH(Valori[[#This Row],[LUKB_id]],PID,0),MATCH("INSTRUNIT",PLabel,0)-1,1,1)="Nominal","Pct","Unit")</f>
        <v>Unit</v>
      </c>
      <c r="H103" s="612">
        <f ca="1">MAX(OFFSET(POrigin,MATCH(Valori[[#This Row],[LUKB_id]],PID,0),MATCH("PRICINGAMT",PLabel,0)-1,1,1),1)</f>
        <v>1</v>
      </c>
      <c r="I103" s="615" t="str" cm="1">
        <f t="array" aca="1" ref="I103" ca="1">OFFSET(POrigin,MATCH(Valori[[#This Row],[LUKB_id]],PID,0),MATCH("M_NAME",PLabel,0)-1,1,1)</f>
        <v>Invesco NASDAQ Internet ETF</v>
      </c>
      <c r="J103" s="142" t="s">
        <v>1129</v>
      </c>
      <c r="M103" s="142" t="str" cm="1">
        <f t="array" aca="1" ref="M1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NASDAQ Internet ETF</v>
      </c>
      <c r="N103" s="1563">
        <f ca="1">COUNTIF('CHF M'!smo_id,Valori[[#This Row],[smo_id]])+COUNTIF('CHF MA'!smo_id,Valori[[#This Row],[smo_id]])+COUNTIF('EUR MB'!smo_id,Valori[[#This Row],[smo_id]])+COUNTIF('EUR M'!smo_id,Valori[[#This Row],[smo_id]])+COUNTIF(AGCO!smo_id,Valori[[#This Row],[smo_id]])</f>
        <v>0</v>
      </c>
      <c r="O103" s="1590" cm="1">
        <f t="array" aca="1" ref="O103" ca="1">SUM(IF('CHF M'!smo_id=Valori[[#This Row],[smo_id]],'CHF M'!Posizione))+SUM(IF('CHF MA'!smo_id=Valori[[#This Row],[smo_id]],'CHF MA'!Posizione))+SUM(IF('EUR MB'!smo_id=Valori[[#This Row],[smo_id]],'EUR MB'!Posizione))+SUM(IF('EUR M'!smo_id=Valori[[#This Row],[smo_id]],'EUR M'!Posizione))+SUM(IF(AGCO!smo_id=Valori[[#This Row],[smo_id]],AGCO!Posizione))</f>
        <v>0</v>
      </c>
      <c r="P103" s="1661" t="str">
        <f ca="1">HYPERLINK(Valori[[#This Row],[P_Source]],"è")</f>
        <v>è</v>
      </c>
      <c r="Q103" s="1663" t="str">
        <f>HYPERLINK(Valori[[#This Row],[Info_W]],"i")</f>
        <v>i</v>
      </c>
      <c r="R103" s="1664" t="str">
        <f>HYPERLINK(Valori[[#This Row],[FN_W]],"")</f>
        <v></v>
      </c>
      <c r="S103" s="1665" t="str">
        <f>HYPERLINK(Valori[[#This Row],[MS_Link]],"")</f>
        <v></v>
      </c>
      <c r="T103" s="1665" t="str">
        <f>HYPERLINK(Valori[[#This Row],[C_source]],"")</f>
        <v></v>
      </c>
      <c r="U103" s="142" t="str" cm="1">
        <f t="array" aca="1" ref="U103" ca="1">OFFSET(POrigin,MATCH(Valori[[#This Row],[LUKB_id]],PID,0),MATCH("M_CUR",PLabel,0)-1,1,1)</f>
        <v>USD</v>
      </c>
      <c r="V103" s="1562">
        <f ca="1">(Valori[[#This Row],[Last]]+Valori[[#This Row],[Acc. Int]])/Valori[[#This Row],[Pr.Amt]]/IF(Valori[[#This Row],[P_Type]]="Pct",100,1)</f>
        <v>46.78</v>
      </c>
      <c r="W103" s="1591" cm="1">
        <f t="array" aca="1" ref="W103" ca="1">OFFSET(POrigin,MATCH(Valori[[#This Row],[LUKB_id]],PID,0),MATCH("NC2_PR",PLabel,0)-1,1,1)/100</f>
        <v>-8.8353073288557002E-3</v>
      </c>
      <c r="X103" s="1592" cm="1">
        <f t="array" aca="1" ref="X103" ca="1">OFFSET(POrigin,MATCH(Valori[[#This Row],[LUKB_id]],PID,0),MATCH("LVAL",PLabel,0)-1,1,1)</f>
        <v>46.78</v>
      </c>
      <c r="Y103" s="1593" cm="1">
        <f t="array" aca="1" ref="Y103" ca="1">OFFSET(POrigin,MATCH(Valori[[#This Row],[LUKB_id]],PID,0),MATCH("LVAL:datetime",PLabel,0)-1,1,1)</f>
        <v>46084.785439814812</v>
      </c>
      <c r="Z103" s="1594" cm="1">
        <f t="array" aca="1" ref="Z103" ca="1">OFFSET(POrigin,MATCH(Valori[[#This Row],[LUKB_id]],PID,0),MATCH("BID:volume",PLabel,0)-1,1,1)</f>
        <v>2300</v>
      </c>
      <c r="AA103" s="1595" cm="1">
        <f t="array" aca="1" ref="AA103" ca="1">OFFSET(POrigin,MATCH(Valori[[#This Row],[LUKB_id]],PID,0),MATCH("BID",PLabel,0)-1,1,1)</f>
        <v>46.77</v>
      </c>
      <c r="AB103" s="1595" cm="1">
        <f t="array" aca="1" ref="AB103" ca="1">OFFSET(POrigin,MATCH(Valori[[#This Row],[LUKB_id]],PID,0),MATCH("ASK",PLabel,0)-1,1,1)</f>
        <v>46.79</v>
      </c>
      <c r="AC103" s="1594" cm="1">
        <f t="array" aca="1" ref="AC103" ca="1">OFFSET(POrigin,MATCH(Valori[[#This Row],[LUKB_id]],PID,0),MATCH("ASK:volume",PLabel,0)-1,1,1)</f>
        <v>900</v>
      </c>
      <c r="AD103" s="1596" cm="1">
        <f t="array" aca="1" ref="AD103" ca="1">OFFSET(POrigin,MATCH(Valori[[#This Row],[LUKB_id]],PID,0),MATCH("BID-ASK Spread %",PLabel,0)-1,1,1)</f>
        <v>2.8504240005695176E-4</v>
      </c>
      <c r="AE103" s="1597" t="str" cm="1">
        <f t="array" aca="1" ref="AE103" ca="1">IF(OFFSET(POrigin,MATCH(Valori[[#This Row],[LUKB_id]],PID,0),MATCH("MATURITY",PLabel,0)-1,1,1)&gt;0,OFFSET(POrigin,MATCH(Valori[[#This Row],[LUKB_id]],PID,0),MATCH("MATURITY",PLabel,0)-1,1,1),"")</f>
        <v/>
      </c>
      <c r="AF103" s="1598" cm="1">
        <f t="array" aca="1" ref="AF103" ca="1">OFFSET(POrigin,MATCH(Valori[[#This Row],[LUKB_id]],PID,0),MATCH("ACCINT",PLabel,0)-1,1,1)</f>
        <v>0</v>
      </c>
      <c r="AG103" s="1594" cm="1">
        <f t="array" aca="1" ref="AG103" ca="1">OFFSET(POrigin,MATCH(Valori[[#This Row],[LUKB_id]],PID,0),MATCH("DENOM",PLabel,0)-1,1,1)</f>
        <v>0</v>
      </c>
      <c r="AH103" s="1599" cm="1">
        <f t="array" aca="1" ref="AH103" ca="1">(OFFSET(POrigin,MATCH(Valori[[#This Row],[LUKB_id]],PID,0),MATCH("YIELD",PLabel,0)-1,1,1)+OFFSET(POrigin,MATCH(Valori[[#This Row],[LUKB_id]],PID,0),MATCH("YLDEQ",PLabel,0)-1,1,1))/100</f>
        <v>0</v>
      </c>
      <c r="AI103" s="1600">
        <f ca="1">OFFSET(POrigin,MATCH(Valori[[#This Row],[LUKB_id]],PID,0),MATCH("DIVIDEND",PLabel,0)-1,1,1)</f>
        <v>9.0000000000000011E-3</v>
      </c>
      <c r="AJ103" s="1601">
        <f ca="1">OFFSET(POrigin,MATCH(Valori[[#This Row],[LUKB_id]],PID,0),MATCH("DIVIDEND:datetime",PLabel,0)-1,1,1)</f>
        <v>45831</v>
      </c>
      <c r="AK103" s="1602">
        <f ca="1">OFFSET(POrigin,MATCH(Valori[[#This Row],[LUKB_id]],PID,0),MATCH("INTEREST",PLabel,0)-1,1,1)</f>
        <v>0</v>
      </c>
      <c r="AL103" s="1603">
        <f ca="1">OFFSET(POrigin,MATCH(Valori[[#This Row],[LUKB_id]],PID,0),MATCH("4W_PERF_PR",PLabel,0)-1,1,1)/100</f>
        <v>-5.4498709999999999E-2</v>
      </c>
      <c r="AM103" s="1603">
        <f ca="1">OFFSET(POrigin,MATCH(Valori[[#This Row],[LUKB_id]],PID,0),MATCH("12W_PERF_PR",PLabel,0)-1,1,1)/100</f>
        <v>-0.14337720000000001</v>
      </c>
      <c r="AN103" s="1603">
        <f ca="1">OFFSET(POrigin,MATCH(Valori[[#This Row],[LUKB_id]],PID,0),MATCH("YTD_PERF_PR",PLabel,0)-1,1,1)/100</f>
        <v>-0.125127670893632</v>
      </c>
      <c r="AO103" s="1591"/>
      <c r="AP103" s="1591"/>
      <c r="AQ103" s="1591"/>
      <c r="AR103" s="1591"/>
      <c r="AS103" s="1890" t="s">
        <v>877</v>
      </c>
      <c r="AT103" s="1890" t="s">
        <v>1130</v>
      </c>
      <c r="AU103" s="610" t="s">
        <v>1131</v>
      </c>
      <c r="AV103" s="1891" t="s">
        <v>1132</v>
      </c>
      <c r="AW103" s="1604" t="str">
        <f ca="1">"https://boersenundmaerkte.lukb.ch/lukb/details/"&amp;Valori[[#This Row],[LUKB_id]]</f>
        <v>https://boersenundmaerkte.lukb.ch/lukb/details/41906744,537,333</v>
      </c>
      <c r="AX103" s="1605" t="str">
        <f>"https://www.marketscreener.com/mods_a/charts/TV/inc_dyna_graph.php?c="&amp;Valori[[#This Row],[MS_Code]]&amp;"&amp;style=TradingView.CANDLES&amp;interval=(null)&amp;mobile=(null)&amp;showAT=1"</f>
        <v>https://www.marketscreener.com/mods_a/charts/TV/inc_dyna_graph.php?c=43873936&amp;style=TradingView.CANDLES&amp;interval=(null)&amp;mobile=(null)&amp;showAT=1</v>
      </c>
      <c r="AY103" s="142"/>
      <c r="AZ103" s="142"/>
      <c r="BA103" s="142"/>
      <c r="BB103" s="142"/>
    </row>
    <row r="104" spans="1:54" ht="15" customHeight="1" x14ac:dyDescent="0.2">
      <c r="A104" s="142" t="s">
        <v>1133</v>
      </c>
      <c r="B104" s="142" t="str" cm="1">
        <f t="array" aca="1" ref="B104" ca="1">OFFSET(POrigin,MATCH(Valori[[#This Row],[smo_id]],Posizioni[smo_id],0),MATCH("LUKB_id",PIntestazioni,0)-1,1,1)</f>
        <v>41887057,321,333</v>
      </c>
      <c r="C104" s="1668" t="str">
        <f ca="1">HYPERLINK("https://boersenundmaerkte.lukb.ch/lukb/details/"&amp;Valori[[#This Row],[LUKB_id]],"è")</f>
        <v>è</v>
      </c>
      <c r="D104" s="142" t="str" cm="1">
        <f t="array" aca="1" ref="D104" ca="1">OFFSET(POrigin,MATCH(Valori[[#This Row],[LUKB_id]],PID,0),MATCH("SC_GROUPED",PIntestazioni,0)-1,1,1)</f>
        <v>ETF</v>
      </c>
      <c r="E104" s="413" t="str" cm="1">
        <f t="array" aca="1" ref="E104" ca="1">OFFSET(POrigin,MATCH(Valori[[#This Row],[LUKB_id]],PID,0),MATCH("isin",PIntestazioni,0)-1,1,1)</f>
        <v>US46137V3574</v>
      </c>
      <c r="F104" s="34" t="str" cm="1">
        <f t="array" aca="1" ref="F104" ca="1">OFFSET(POrigin,MATCH(Valori[[#This Row],[LUKB_id]],PID,0),MATCH("NSIN_CH",PLabel,0)-1,1,1)</f>
        <v>41887057</v>
      </c>
      <c r="G104" s="95" t="str" cm="1">
        <f t="array" aca="1" ref="G104" ca="1">IF(OFFSET(POrigin,MATCH(Valori[[#This Row],[LUKB_id]],PID,0),MATCH("INSTRUNIT",PLabel,0)-1,1,1)="Nominal","Pct","Unit")</f>
        <v>Unit</v>
      </c>
      <c r="H104" s="612">
        <f ca="1">MAX(OFFSET(POrigin,MATCH(Valori[[#This Row],[LUKB_id]],PID,0),MATCH("PRICINGAMT",PLabel,0)-1,1,1),1)</f>
        <v>1</v>
      </c>
      <c r="I104" s="615" t="str" cm="1">
        <f t="array" aca="1" ref="I104" ca="1">OFFSET(POrigin,MATCH(Valori[[#This Row],[LUKB_id]],PID,0),MATCH("M_NAME",PLabel,0)-1,1,1)</f>
        <v>Invesco S&amp;P 500 Equal Weight ETF</v>
      </c>
      <c r="M104" s="142" t="str" cm="1">
        <f t="array" aca="1" ref="M1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S&amp;P 500 Equal Weight ETF</v>
      </c>
      <c r="N104" s="1563">
        <f ca="1">COUNTIF('CHF M'!smo_id,Valori[[#This Row],[smo_id]])+COUNTIF('CHF MA'!smo_id,Valori[[#This Row],[smo_id]])+COUNTIF('EUR MB'!smo_id,Valori[[#This Row],[smo_id]])+COUNTIF('EUR M'!smo_id,Valori[[#This Row],[smo_id]])+COUNTIF(AGCO!smo_id,Valori[[#This Row],[smo_id]])</f>
        <v>0</v>
      </c>
      <c r="O104" s="1590" cm="1">
        <f t="array" aca="1" ref="O104" ca="1">SUM(IF('CHF M'!smo_id=Valori[[#This Row],[smo_id]],'CHF M'!Posizione))+SUM(IF('CHF MA'!smo_id=Valori[[#This Row],[smo_id]],'CHF MA'!Posizione))+SUM(IF('EUR MB'!smo_id=Valori[[#This Row],[smo_id]],'EUR MB'!Posizione))+SUM(IF('EUR M'!smo_id=Valori[[#This Row],[smo_id]],'EUR M'!Posizione))+SUM(IF(AGCO!smo_id=Valori[[#This Row],[smo_id]],AGCO!Posizione))</f>
        <v>0</v>
      </c>
      <c r="P104" s="1661" t="str">
        <f ca="1">HYPERLINK(Valori[[#This Row],[P_Source]],"è")</f>
        <v>è</v>
      </c>
      <c r="Q104" s="1663" t="str">
        <f>HYPERLINK(Valori[[#This Row],[Info_W]],"i")</f>
        <v>i</v>
      </c>
      <c r="R104" s="1664" t="str">
        <f>HYPERLINK(Valori[[#This Row],[FN_W]],"")</f>
        <v></v>
      </c>
      <c r="S104" s="1665" t="str">
        <f>HYPERLINK(Valori[[#This Row],[MS_Link]],"")</f>
        <v></v>
      </c>
      <c r="T104" s="1665" t="str">
        <f>HYPERLINK(Valori[[#This Row],[C_source]],"")</f>
        <v></v>
      </c>
      <c r="U104" s="142" t="str" cm="1">
        <f t="array" aca="1" ref="U104" ca="1">OFFSET(POrigin,MATCH(Valori[[#This Row],[LUKB_id]],PID,0),MATCH("M_CUR",PLabel,0)-1,1,1)</f>
        <v>USD</v>
      </c>
      <c r="V104" s="1562">
        <f ca="1">(Valori[[#This Row],[Last]]+Valori[[#This Row],[Acc. Int]])/Valori[[#This Row],[Pr.Amt]]/IF(Valori[[#This Row],[P_Type]]="Pct",100,1)</f>
        <v>201.68</v>
      </c>
      <c r="W104" s="1591" cm="1">
        <f t="array" aca="1" ref="W104" ca="1">OFFSET(POrigin,MATCH(Valori[[#This Row],[LUKB_id]],PID,0),MATCH("NC2_PR",PLabel,0)-1,1,1)/100</f>
        <v>-1.42235690893983E-2</v>
      </c>
      <c r="X104" s="1592" cm="1">
        <f t="array" aca="1" ref="X104" ca="1">OFFSET(POrigin,MATCH(Valori[[#This Row],[LUKB_id]],PID,0),MATCH("LVAL",PLabel,0)-1,1,1)</f>
        <v>201.68</v>
      </c>
      <c r="Y104" s="1593" cm="1">
        <f t="array" aca="1" ref="Y104" ca="1">OFFSET(POrigin,MATCH(Valori[[#This Row],[LUKB_id]],PID,0),MATCH("LVAL:datetime",PLabel,0)-1,1,1)</f>
        <v>46084.785914351851</v>
      </c>
      <c r="Z104" s="1594" cm="1">
        <f t="array" aca="1" ref="Z104" ca="1">OFFSET(POrigin,MATCH(Valori[[#This Row],[LUKB_id]],PID,0),MATCH("BID:volume",PLabel,0)-1,1,1)</f>
        <v>1200</v>
      </c>
      <c r="AA104" s="1595" cm="1">
        <f t="array" aca="1" ref="AA104" ca="1">OFFSET(POrigin,MATCH(Valori[[#This Row],[LUKB_id]],PID,0),MATCH("BID",PLabel,0)-1,1,1)</f>
        <v>201.68</v>
      </c>
      <c r="AB104" s="1595" cm="1">
        <f t="array" aca="1" ref="AB104" ca="1">OFFSET(POrigin,MATCH(Valori[[#This Row],[LUKB_id]],PID,0),MATCH("ASK",PLabel,0)-1,1,1)</f>
        <v>201.69</v>
      </c>
      <c r="AC104" s="1594" cm="1">
        <f t="array" aca="1" ref="AC104" ca="1">OFFSET(POrigin,MATCH(Valori[[#This Row],[LUKB_id]],PID,0),MATCH("ASK:volume",PLabel,0)-1,1,1)</f>
        <v>800</v>
      </c>
      <c r="AD104" s="1596" cm="1">
        <f t="array" aca="1" ref="AD104" ca="1">OFFSET(POrigin,MATCH(Valori[[#This Row],[LUKB_id]],PID,0),MATCH("BID-ASK Spread %",PLabel,0)-1,1,1)</f>
        <v>3.3055119411588813E-5</v>
      </c>
      <c r="AE104" s="1597" t="str" cm="1">
        <f t="array" aca="1" ref="AE104" ca="1">IF(OFFSET(POrigin,MATCH(Valori[[#This Row],[LUKB_id]],PID,0),MATCH("MATURITY",PLabel,0)-1,1,1)&gt;0,OFFSET(POrigin,MATCH(Valori[[#This Row],[LUKB_id]],PID,0),MATCH("MATURITY",PLabel,0)-1,1,1),"")</f>
        <v/>
      </c>
      <c r="AF104" s="1598" cm="1">
        <f t="array" aca="1" ref="AF104" ca="1">OFFSET(POrigin,MATCH(Valori[[#This Row],[LUKB_id]],PID,0),MATCH("ACCINT",PLabel,0)-1,1,1)</f>
        <v>0</v>
      </c>
      <c r="AG104" s="1594" cm="1">
        <f t="array" aca="1" ref="AG104" ca="1">OFFSET(POrigin,MATCH(Valori[[#This Row],[LUKB_id]],PID,0),MATCH("DENOM",PLabel,0)-1,1,1)</f>
        <v>0</v>
      </c>
      <c r="AH104" s="1599" cm="1">
        <f t="array" aca="1" ref="AH104" ca="1">(OFFSET(POrigin,MATCH(Valori[[#This Row],[LUKB_id]],PID,0),MATCH("YIELD",PLabel,0)-1,1,1)+OFFSET(POrigin,MATCH(Valori[[#This Row],[LUKB_id]],PID,0),MATCH("YLDEQ",PLabel,0)-1,1,1))/100</f>
        <v>0</v>
      </c>
      <c r="AI104" s="1600">
        <f ca="1">OFFSET(POrigin,MATCH(Valori[[#This Row],[LUKB_id]],PID,0),MATCH("DIVIDEND",PLabel,0)-1,1,1)</f>
        <v>0.76369000000000009</v>
      </c>
      <c r="AJ104" s="1601">
        <f ca="1">OFFSET(POrigin,MATCH(Valori[[#This Row],[LUKB_id]],PID,0),MATCH("DIVIDEND:datetime",PLabel,0)-1,1,1)</f>
        <v>46013</v>
      </c>
      <c r="AK104" s="1602">
        <f ca="1">OFFSET(POrigin,MATCH(Valori[[#This Row],[LUKB_id]],PID,0),MATCH("INTEREST",PLabel,0)-1,1,1)</f>
        <v>0</v>
      </c>
      <c r="AL104" s="1603">
        <f ca="1">OFFSET(POrigin,MATCH(Valori[[#This Row],[LUKB_id]],PID,0),MATCH("4W_PERF_PR",PLabel,0)-1,1,1)/100</f>
        <v>1.5661979999999999E-2</v>
      </c>
      <c r="AM104" s="1603">
        <f ca="1">OFFSET(POrigin,MATCH(Valori[[#This Row],[LUKB_id]],PID,0),MATCH("12W_PERF_PR",PLabel,0)-1,1,1)/100</f>
        <v>5.8743239999999995E-2</v>
      </c>
      <c r="AN104" s="1603">
        <f ca="1">OFFSET(POrigin,MATCH(Valori[[#This Row],[LUKB_id]],PID,0),MATCH("YTD_PERF_PR",PLabel,0)-1,1,1)/100</f>
        <v>6.8020463562330408E-2</v>
      </c>
      <c r="AO104" s="1591"/>
      <c r="AP104" s="1591"/>
      <c r="AQ104" s="1591"/>
      <c r="AR104" s="1591"/>
      <c r="AS104" s="1890"/>
      <c r="AT104" s="1890"/>
      <c r="AU104" s="610"/>
      <c r="AV104" s="1891"/>
      <c r="AW104" s="1604" t="str">
        <f ca="1">"https://boersenundmaerkte.lukb.ch/lukb/details/"&amp;Valori[[#This Row],[LUKB_id]]</f>
        <v>https://boersenundmaerkte.lukb.ch/lukb/details/41887057,321,333</v>
      </c>
      <c r="AX10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4" s="142"/>
      <c r="AZ104" s="142"/>
      <c r="BA104" s="142"/>
      <c r="BB104" s="142"/>
    </row>
    <row r="105" spans="1:54" ht="15" customHeight="1" x14ac:dyDescent="0.2">
      <c r="A105" s="142" t="s">
        <v>1134</v>
      </c>
      <c r="B105" s="142" t="str" cm="1">
        <f t="array" aca="1" ref="B105" ca="1">OFFSET(POrigin,MATCH(Valori[[#This Row],[smo_id]],Posizioni[smo_id],0),MATCH("LUKB_id",PIntestazioni,0)-1,1,1)</f>
        <v>20023273,719,333</v>
      </c>
      <c r="C105" s="1668" t="str">
        <f ca="1">HYPERLINK("https://boersenundmaerkte.lukb.ch/lukb/details/"&amp;Valori[[#This Row],[LUKB_id]],"è")</f>
        <v>è</v>
      </c>
      <c r="D105" s="142" t="str" cm="1">
        <f t="array" aca="1" ref="D105" ca="1">OFFSET(POrigin,MATCH(Valori[[#This Row],[LUKB_id]],PID,0),MATCH("SC_GROUPED",PIntestazioni,0)-1,1,1)</f>
        <v>ETF</v>
      </c>
      <c r="E105" s="413" t="str" cm="1">
        <f t="array" aca="1" ref="E105" ca="1">OFFSET(POrigin,MATCH(Valori[[#This Row],[LUKB_id]],PID,0),MATCH("isin",PIntestazioni,0)-1,1,1)</f>
        <v>IE00B6SPMN59</v>
      </c>
      <c r="F105" s="34" t="str" cm="1">
        <f t="array" aca="1" ref="F105" ca="1">OFFSET(POrigin,MATCH(Valori[[#This Row],[LUKB_id]],PID,0),MATCH("NSIN_CH",PLabel,0)-1,1,1)</f>
        <v>20023273</v>
      </c>
      <c r="G105" s="95" t="str" cm="1">
        <f t="array" aca="1" ref="G105" ca="1">IF(OFFSET(POrigin,MATCH(Valori[[#This Row],[LUKB_id]],PID,0),MATCH("INSTRUNIT",PLabel,0)-1,1,1)="Nominal","Pct","Unit")</f>
        <v>Unit</v>
      </c>
      <c r="H105" s="612">
        <f ca="1">MAX(OFFSET(POrigin,MATCH(Valori[[#This Row],[LUKB_id]],PID,0),MATCH("PRICINGAMT",PLabel,0)-1,1,1),1)</f>
        <v>1</v>
      </c>
      <c r="I105" s="615" t="str" cm="1">
        <f t="array" aca="1" ref="I105" ca="1">OFFSET(POrigin,MATCH(Valori[[#This Row],[LUKB_id]],PID,0),MATCH("M_NAME",PLabel,0)-1,1,1)</f>
        <v>iShares VI PLC - iShares Edge S&amp;P 500 Minimum Volatility UCITS ETF</v>
      </c>
      <c r="J105" s="142" t="s">
        <v>488</v>
      </c>
      <c r="M105" s="142" t="str" cm="1">
        <f t="array" aca="1" ref="M1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 S&amp;P 500 Min. Vola. UCITS ETF - USD (Acc)</v>
      </c>
      <c r="N105" s="1563">
        <f ca="1">COUNTIF('CHF M'!smo_id,Valori[[#This Row],[smo_id]])+COUNTIF('CHF MA'!smo_id,Valori[[#This Row],[smo_id]])+COUNTIF('EUR MB'!smo_id,Valori[[#This Row],[smo_id]])+COUNTIF('EUR M'!smo_id,Valori[[#This Row],[smo_id]])+COUNTIF(AGCO!smo_id,Valori[[#This Row],[smo_id]])</f>
        <v>3</v>
      </c>
      <c r="O105" s="1590" cm="1">
        <f t="array" aca="1" ref="O105" ca="1">SUM(IF('CHF M'!smo_id=Valori[[#This Row],[smo_id]],'CHF M'!Posizione))+SUM(IF('CHF MA'!smo_id=Valori[[#This Row],[smo_id]],'CHF MA'!Posizione))+SUM(IF('EUR MB'!smo_id=Valori[[#This Row],[smo_id]],'EUR MB'!Posizione))+SUM(IF('EUR M'!smo_id=Valori[[#This Row],[smo_id]],'EUR M'!Posizione))+SUM(IF(AGCO!smo_id=Valori[[#This Row],[smo_id]],AGCO!Posizione))</f>
        <v>0</v>
      </c>
      <c r="P105" s="1661" t="str">
        <f ca="1">HYPERLINK(Valori[[#This Row],[P_Source]],"è")</f>
        <v>è</v>
      </c>
      <c r="Q105" s="1663" t="str">
        <f>HYPERLINK(Valori[[#This Row],[Info_W]],"i")</f>
        <v>i</v>
      </c>
      <c r="R105" s="1664" t="str">
        <f>HYPERLINK(Valori[[#This Row],[FN_W]],"")</f>
        <v></v>
      </c>
      <c r="S105" s="1665" t="str">
        <f>HYPERLINK(Valori[[#This Row],[MS_Link]],"")</f>
        <v></v>
      </c>
      <c r="T105" s="1665" t="str">
        <f>HYPERLINK(Valori[[#This Row],[C_source]],"")</f>
        <v></v>
      </c>
      <c r="U105" s="142" t="str" cm="1">
        <f t="array" aca="1" ref="U105" ca="1">OFFSET(POrigin,MATCH(Valori[[#This Row],[LUKB_id]],PID,0),MATCH("M_CUR",PLabel,0)-1,1,1)</f>
        <v>USD</v>
      </c>
      <c r="V105" s="1562">
        <f ca="1">(Valori[[#This Row],[Last]]+Valori[[#This Row],[Acc. Int]])/Valori[[#This Row],[Pr.Amt]]/IF(Valori[[#This Row],[P_Type]]="Pct",100,1)</f>
        <v>108.97</v>
      </c>
      <c r="W105" s="1591" cm="1">
        <f t="array" aca="1" ref="W105" ca="1">OFFSET(POrigin,MATCH(Valori[[#This Row],[LUKB_id]],PID,0),MATCH("NC2_PR",PLabel,0)-1,1,1)/100</f>
        <v>-9.9045888232620009E-3</v>
      </c>
      <c r="X105" s="1592" cm="1">
        <f t="array" aca="1" ref="X105" ca="1">OFFSET(POrigin,MATCH(Valori[[#This Row],[LUKB_id]],PID,0),MATCH("LVAL",PLabel,0)-1,1,1)</f>
        <v>108.97</v>
      </c>
      <c r="Y105" s="1593" cm="1">
        <f t="array" aca="1" ref="Y105" ca="1">OFFSET(POrigin,MATCH(Valori[[#This Row],[LUKB_id]],PID,0),MATCH("LVAL:datetime",PLabel,0)-1,1,1)</f>
        <v>46084.732673611114</v>
      </c>
      <c r="Z105" s="1594" cm="1">
        <f t="array" aca="1" ref="Z105" ca="1">OFFSET(POrigin,MATCH(Valori[[#This Row],[LUKB_id]],PID,0),MATCH("BID:volume",PLabel,0)-1,1,1)</f>
        <v>150</v>
      </c>
      <c r="AA105" s="1595" cm="1">
        <f t="array" aca="1" ref="AA105" ca="1">OFFSET(POrigin,MATCH(Valori[[#This Row],[LUKB_id]],PID,0),MATCH("BID",PLabel,0)-1,1,1)</f>
        <v>104</v>
      </c>
      <c r="AB105" s="1595" cm="1">
        <f t="array" aca="1" ref="AB105" ca="1">OFFSET(POrigin,MATCH(Valori[[#This Row],[LUKB_id]],PID,0),MATCH("ASK",PLabel,0)-1,1,1)</f>
        <v>108.98</v>
      </c>
      <c r="AC105" s="1594" cm="1">
        <f t="array" aca="1" ref="AC105" ca="1">OFFSET(POrigin,MATCH(Valori[[#This Row],[LUKB_id]],PID,0),MATCH("ASK:volume",PLabel,0)-1,1,1)</f>
        <v>22</v>
      </c>
      <c r="AD105" s="1596" cm="1">
        <f t="array" aca="1" ref="AD105" ca="1">OFFSET(POrigin,MATCH(Valori[[#This Row],[LUKB_id]],PID,0),MATCH("BID-ASK Spread %",PLabel,0)-1,1,1)</f>
        <v>3.1421540791217138E-2</v>
      </c>
      <c r="AE105" s="1597" t="str" cm="1">
        <f t="array" aca="1" ref="AE105" ca="1">IF(OFFSET(POrigin,MATCH(Valori[[#This Row],[LUKB_id]],PID,0),MATCH("MATURITY",PLabel,0)-1,1,1)&gt;0,OFFSET(POrigin,MATCH(Valori[[#This Row],[LUKB_id]],PID,0),MATCH("MATURITY",PLabel,0)-1,1,1),"")</f>
        <v/>
      </c>
      <c r="AF105" s="1598" cm="1">
        <f t="array" aca="1" ref="AF105" ca="1">OFFSET(POrigin,MATCH(Valori[[#This Row],[LUKB_id]],PID,0),MATCH("ACCINT",PLabel,0)-1,1,1)</f>
        <v>0</v>
      </c>
      <c r="AG105" s="1594" cm="1">
        <f t="array" aca="1" ref="AG105" ca="1">OFFSET(POrigin,MATCH(Valori[[#This Row],[LUKB_id]],PID,0),MATCH("DENOM",PLabel,0)-1,1,1)</f>
        <v>0</v>
      </c>
      <c r="AH105" s="1599" cm="1">
        <f t="array" aca="1" ref="AH105" ca="1">(OFFSET(POrigin,MATCH(Valori[[#This Row],[LUKB_id]],PID,0),MATCH("YIELD",PLabel,0)-1,1,1)+OFFSET(POrigin,MATCH(Valori[[#This Row],[LUKB_id]],PID,0),MATCH("YLDEQ",PLabel,0)-1,1,1))/100</f>
        <v>0</v>
      </c>
      <c r="AI105" s="1600">
        <f ca="1">OFFSET(POrigin,MATCH(Valori[[#This Row],[LUKB_id]],PID,0),MATCH("DIVIDEND",PLabel,0)-1,1,1)</f>
        <v>0</v>
      </c>
      <c r="AJ105" s="1601">
        <f ca="1">OFFSET(POrigin,MATCH(Valori[[#This Row],[LUKB_id]],PID,0),MATCH("DIVIDEND:datetime",PLabel,0)-1,1,1)</f>
        <v>0</v>
      </c>
      <c r="AK105" s="1602">
        <f ca="1">OFFSET(POrigin,MATCH(Valori[[#This Row],[LUKB_id]],PID,0),MATCH("INTEREST",PLabel,0)-1,1,1)</f>
        <v>0</v>
      </c>
      <c r="AL105" s="1603">
        <f ca="1">OFFSET(POrigin,MATCH(Valori[[#This Row],[LUKB_id]],PID,0),MATCH("4W_PERF_PR",PLabel,0)-1,1,1)/100</f>
        <v>-6.2927499999999989E-3</v>
      </c>
      <c r="AM105" s="1603">
        <f ca="1">OFFSET(POrigin,MATCH(Valori[[#This Row],[LUKB_id]],PID,0),MATCH("12W_PERF_PR",PLabel,0)-1,1,1)/100</f>
        <v>1.1135859999999999E-2</v>
      </c>
      <c r="AN105" s="1603">
        <f ca="1">OFFSET(POrigin,MATCH(Valori[[#This Row],[LUKB_id]],PID,0),MATCH("YTD_PERF_PR",PLabel,0)-1,1,1)/100</f>
        <v>7.1382813214972999E-3</v>
      </c>
      <c r="AO105" s="1591"/>
      <c r="AP105" s="1591"/>
      <c r="AQ105" s="1591"/>
      <c r="AR105" s="1591"/>
      <c r="AS105" s="1890" t="s">
        <v>1135</v>
      </c>
      <c r="AT105" s="1890" t="s">
        <v>1136</v>
      </c>
      <c r="AU105" s="610" t="s">
        <v>1137</v>
      </c>
      <c r="AV105" s="1891" t="s">
        <v>1138</v>
      </c>
      <c r="AW105" s="1604" t="str">
        <f ca="1">"https://boersenundmaerkte.lukb.ch/lukb/details/"&amp;Valori[[#This Row],[LUKB_id]]</f>
        <v>https://boersenundmaerkte.lukb.ch/lukb/details/20023273,719,333</v>
      </c>
      <c r="AX105" s="1605" t="str">
        <f>"https://www.zonebourse.com/mods_a/charts/TV/inc_dyna_graph.php?c="&amp;Valori[[#This Row],[MS_Code]]&amp;"&amp;style=TradingView.CANDLES&amp;interval=(null)&amp;mobile=(null)&amp;showAT=1"</f>
        <v>https://www.zonebourse.com/mods_a/charts/TV/inc_dyna_graph.php?c=41590036&amp;style=TradingView.CANDLES&amp;interval=(null)&amp;mobile=(null)&amp;showAT=1</v>
      </c>
      <c r="AY105" s="142"/>
      <c r="AZ105" s="142"/>
      <c r="BA105" s="142"/>
      <c r="BB105" s="142"/>
    </row>
    <row r="106" spans="1:54" ht="15" customHeight="1" x14ac:dyDescent="0.2">
      <c r="A106" s="142" t="s">
        <v>4323</v>
      </c>
      <c r="B106" s="142" t="str" cm="1">
        <f t="array" aca="1" ref="B106" ca="1">OFFSET(POrigin,MATCH(Valori[[#This Row],[smo_id]],Posizioni[smo_id],0),MATCH("LUKB_id",PIntestazioni,0)-1,1,1)</f>
        <v>38858192,321,333</v>
      </c>
      <c r="C106" s="1669" t="str">
        <f ca="1">HYPERLINK("https://boersenundmaerkte.lukb.ch/lukb/details/"&amp;Valori[[#This Row],[LUKB_id]],"è")</f>
        <v>è</v>
      </c>
      <c r="D106" s="142" t="str" cm="1">
        <f t="array" aca="1" ref="D106" ca="1">OFFSET(POrigin,MATCH(Valori[[#This Row],[LUKB_id]],PID,0),MATCH("SC_GROUPED",PIntestazioni,0)-1,1,1)</f>
        <v>ETF</v>
      </c>
      <c r="E106" s="413" t="str" cm="1">
        <f t="array" aca="1" ref="E106" ca="1">OFFSET(POrigin,MATCH(Valori[[#This Row],[LUKB_id]],PID,0),MATCH("isin",PIntestazioni,0)-1,1,1)</f>
        <v>US46435U8532</v>
      </c>
      <c r="F106" s="34" t="str" cm="1">
        <f t="array" aca="1" ref="F106" ca="1">OFFSET(POrigin,MATCH(Valori[[#This Row],[LUKB_id]],PID,0),MATCH("NSIN_CH",PLabel,0)-1,1,1)</f>
        <v>38858192</v>
      </c>
      <c r="G106" s="95" t="str" cm="1">
        <f t="array" aca="1" ref="G106" ca="1">IF(OFFSET(POrigin,MATCH(Valori[[#This Row],[LUKB_id]],PID,0),MATCH("INSTRUNIT",PLabel,0)-1,1,1)="Nominal","Pct","Unit")</f>
        <v>Unit</v>
      </c>
      <c r="H106" s="612">
        <f ca="1">MAX(OFFSET(POrigin,MATCH(Valori[[#This Row],[LUKB_id]],PID,0),MATCH("PRICINGAMT",PLabel,0)-1,1,1),1)</f>
        <v>1</v>
      </c>
      <c r="I106" s="615" t="str" cm="1">
        <f t="array" aca="1" ref="I106" ca="1">OFFSET(POrigin,MATCH(Valori[[#This Row],[LUKB_id]],PID,0),MATCH("M_NAME",PLabel,0)-1,1,1)</f>
        <v>iSh USD High Yield Corporate Bond ETF</v>
      </c>
      <c r="J106" s="142" t="s">
        <v>4328</v>
      </c>
      <c r="M106" s="142" t="str" cm="1">
        <f t="array" aca="1" ref="M1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Broad USD High Yield Corporate Bond ETF</v>
      </c>
      <c r="N106" s="1563">
        <f ca="1">COUNTIF('CHF M'!smo_id,Valori[[#This Row],[smo_id]])+COUNTIF('CHF MA'!smo_id,Valori[[#This Row],[smo_id]])+COUNTIF('EUR MB'!smo_id,Valori[[#This Row],[smo_id]])+COUNTIF('EUR M'!smo_id,Valori[[#This Row],[smo_id]])+COUNTIF(AGCO!smo_id,Valori[[#This Row],[smo_id]])</f>
        <v>1</v>
      </c>
      <c r="O106" s="1590" cm="1">
        <f t="array" aca="1" ref="O106" ca="1">SUM(IF('CHF M'!smo_id=Valori[[#This Row],[smo_id]],'CHF M'!Posizione))+SUM(IF('CHF MA'!smo_id=Valori[[#This Row],[smo_id]],'CHF MA'!Posizione))+SUM(IF('EUR MB'!smo_id=Valori[[#This Row],[smo_id]],'EUR MB'!Posizione))+SUM(IF('EUR M'!smo_id=Valori[[#This Row],[smo_id]],'EUR M'!Posizione))+SUM(IF(AGCO!smo_id=Valori[[#This Row],[smo_id]],AGCO!Posizione))</f>
        <v>0</v>
      </c>
      <c r="P106" s="1661" t="str">
        <f ca="1">HYPERLINK(Valori[[#This Row],[P_Source]],"è")</f>
        <v>è</v>
      </c>
      <c r="Q106" s="1663" t="str">
        <f>HYPERLINK(Valori[[#This Row],[Info_W]],"i")</f>
        <v>i</v>
      </c>
      <c r="R106" s="1664" t="str">
        <f>HYPERLINK(Valori[[#This Row],[FN_W]],"")</f>
        <v></v>
      </c>
      <c r="S106" s="1665" t="str">
        <f>HYPERLINK(Valori[[#This Row],[MS_Link]],"")</f>
        <v></v>
      </c>
      <c r="T106" s="1665" t="str">
        <f>HYPERLINK(Valori[[#This Row],[C_source]],"")</f>
        <v></v>
      </c>
      <c r="U106" s="142" t="str" cm="1">
        <f t="array" aca="1" ref="U106" ca="1">OFFSET(POrigin,MATCH(Valori[[#This Row],[LUKB_id]],PID,0),MATCH("M_CUR",PLabel,0)-1,1,1)</f>
        <v>USD</v>
      </c>
      <c r="V106" s="1562">
        <f ca="1">(Valori[[#This Row],[Last]]+Valori[[#This Row],[Acc. Int]])/Valori[[#This Row],[Pr.Amt]]/IF(Valori[[#This Row],[P_Type]]="Pct",100,1)</f>
        <v>37.134999999999998</v>
      </c>
      <c r="W106" s="1591" cm="1">
        <f t="array" aca="1" ref="W106" ca="1">OFFSET(POrigin,MATCH(Valori[[#This Row],[LUKB_id]],PID,0),MATCH("NC2_PR",PLabel,0)-1,1,1)/100</f>
        <v>-2.0155872077399998E-3</v>
      </c>
      <c r="X106" s="1592" cm="1">
        <f t="array" aca="1" ref="X106" ca="1">OFFSET(POrigin,MATCH(Valori[[#This Row],[LUKB_id]],PID,0),MATCH("LVAL",PLabel,0)-1,1,1)</f>
        <v>37.134999999999998</v>
      </c>
      <c r="Y106" s="1593" cm="1">
        <f t="array" aca="1" ref="Y106" ca="1">OFFSET(POrigin,MATCH(Valori[[#This Row],[LUKB_id]],PID,0),MATCH("LVAL:datetime",PLabel,0)-1,1,1)</f>
        <v>46084.785543981481</v>
      </c>
      <c r="Z106" s="1594" cm="1">
        <f t="array" aca="1" ref="Z106" ca="1">OFFSET(POrigin,MATCH(Valori[[#This Row],[LUKB_id]],PID,0),MATCH("BID:volume",PLabel,0)-1,1,1)</f>
        <v>81700</v>
      </c>
      <c r="AA106" s="1595" cm="1">
        <f t="array" aca="1" ref="AA106" ca="1">OFFSET(POrigin,MATCH(Valori[[#This Row],[LUKB_id]],PID,0),MATCH("BID",PLabel,0)-1,1,1)</f>
        <v>37.130000000000003</v>
      </c>
      <c r="AB106" s="1595" cm="1">
        <f t="array" aca="1" ref="AB106" ca="1">OFFSET(POrigin,MATCH(Valori[[#This Row],[LUKB_id]],PID,0),MATCH("ASK",PLabel,0)-1,1,1)</f>
        <v>37.14</v>
      </c>
      <c r="AC106" s="1594" cm="1">
        <f t="array" aca="1" ref="AC106" ca="1">OFFSET(POrigin,MATCH(Valori[[#This Row],[LUKB_id]],PID,0),MATCH("ASK:volume",PLabel,0)-1,1,1)</f>
        <v>65500</v>
      </c>
      <c r="AD106" s="1596" cm="1">
        <f t="array" aca="1" ref="AD106" ca="1">OFFSET(POrigin,MATCH(Valori[[#This Row],[LUKB_id]],PID,0),MATCH("BID-ASK Spread %",PLabel,0)-1,1,1)</f>
        <v>1.795332136444885E-4</v>
      </c>
      <c r="AE106" s="1597" t="str" cm="1">
        <f t="array" aca="1" ref="AE106" ca="1">IF(OFFSET(POrigin,MATCH(Valori[[#This Row],[LUKB_id]],PID,0),MATCH("MATURITY",PLabel,0)-1,1,1)&gt;0,OFFSET(POrigin,MATCH(Valori[[#This Row],[LUKB_id]],PID,0),MATCH("MATURITY",PLabel,0)-1,1,1),"")</f>
        <v/>
      </c>
      <c r="AF106" s="1598" cm="1">
        <f t="array" aca="1" ref="AF106" ca="1">OFFSET(POrigin,MATCH(Valori[[#This Row],[LUKB_id]],PID,0),MATCH("ACCINT",PLabel,0)-1,1,1)</f>
        <v>0</v>
      </c>
      <c r="AG106" s="1594" cm="1">
        <f t="array" aca="1" ref="AG106" ca="1">OFFSET(POrigin,MATCH(Valori[[#This Row],[LUKB_id]],PID,0),MATCH("DENOM",PLabel,0)-1,1,1)</f>
        <v>0</v>
      </c>
      <c r="AH106" s="1599" cm="1">
        <f t="array" aca="1" ref="AH106" ca="1">(OFFSET(POrigin,MATCH(Valori[[#This Row],[LUKB_id]],PID,0),MATCH("YIELD",PLabel,0)-1,1,1)+OFFSET(POrigin,MATCH(Valori[[#This Row],[LUKB_id]],PID,0),MATCH("YLDEQ",PLabel,0)-1,1,1))/100</f>
        <v>0</v>
      </c>
      <c r="AI106" s="1600">
        <f ca="1">OFFSET(POrigin,MATCH(Valori[[#This Row],[LUKB_id]],PID,0),MATCH("DIVIDEND",PLabel,0)-1,1,1)</f>
        <v>0.20235699999999998</v>
      </c>
      <c r="AJ106" s="1601">
        <f ca="1">OFFSET(POrigin,MATCH(Valori[[#This Row],[LUKB_id]],PID,0),MATCH("DIVIDEND:datetime",PLabel,0)-1,1,1)</f>
        <v>46083</v>
      </c>
      <c r="AK106" s="1602">
        <f ca="1">OFFSET(POrigin,MATCH(Valori[[#This Row],[LUKB_id]],PID,0),MATCH("INTEREST",PLabel,0)-1,1,1)</f>
        <v>0</v>
      </c>
      <c r="AL106" s="1603">
        <f ca="1">OFFSET(POrigin,MATCH(Valori[[#This Row],[LUKB_id]],PID,0),MATCH("4W_PERF_PR",PLabel,0)-1,1,1)/100</f>
        <v>-7.6162499999999998E-3</v>
      </c>
      <c r="AM106" s="1603">
        <f ca="1">OFFSET(POrigin,MATCH(Valori[[#This Row],[LUKB_id]],PID,0),MATCH("12W_PERF_PR",PLabel,0)-1,1,1)/100</f>
        <v>-5.7563599999999994E-3</v>
      </c>
      <c r="AN106" s="1603">
        <f ca="1">OFFSET(POrigin,MATCH(Valori[[#This Row],[LUKB_id]],PID,0),MATCH("YTD_PERF_PR",PLabel,0)-1,1,1)/100</f>
        <v>-4.9471854526006998E-3</v>
      </c>
      <c r="AO106" s="1591"/>
      <c r="AP106" s="1591"/>
      <c r="AQ106" s="1591"/>
      <c r="AR106" s="1591"/>
      <c r="AS106" s="1890"/>
      <c r="AT106" s="1890"/>
      <c r="AU106" s="610"/>
      <c r="AV106" s="1891"/>
      <c r="AW106" s="1604" t="str">
        <f ca="1">"https://boersenundmaerkte.lukb.ch/lukb/details/"&amp;Valori[[#This Row],[LUKB_id]]</f>
        <v>https://boersenundmaerkte.lukb.ch/lukb/details/38858192,321,333</v>
      </c>
      <c r="AX10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6" s="142"/>
      <c r="AZ106" s="142"/>
      <c r="BA106" s="142"/>
      <c r="BB106" s="142"/>
    </row>
    <row r="107" spans="1:54" ht="15" customHeight="1" x14ac:dyDescent="0.2">
      <c r="A107" s="142" t="s">
        <v>4308</v>
      </c>
      <c r="B107" s="142" t="str" cm="1">
        <f t="array" aca="1" ref="B107" ca="1">OFFSET(POrigin,MATCH(Valori[[#This Row],[smo_id]],Posizioni[smo_id],0),MATCH("LUKB_id",PIntestazioni,0)-1,1,1)</f>
        <v>54540945,1801,333</v>
      </c>
      <c r="C107" s="1668" t="str">
        <f ca="1">HYPERLINK("https://boersenundmaerkte.lukb.ch/lukb/details/"&amp;Valori[[#This Row],[LUKB_id]],"è")</f>
        <v>è</v>
      </c>
      <c r="D107" s="142" t="str" cm="1">
        <f t="array" aca="1" ref="D107" ca="1">OFFSET(POrigin,MATCH(Valori[[#This Row],[LUKB_id]],PID,0),MATCH("SC_GROUPED",PIntestazioni,0)-1,1,1)</f>
        <v>ETF</v>
      </c>
      <c r="E107" s="413" t="str" cm="1">
        <f t="array" aca="1" ref="E107" ca="1">OFFSET(POrigin,MATCH(Valori[[#This Row],[LUKB_id]],PID,0),MATCH("isin",PIntestazioni,0)-1,1,1)</f>
        <v>IE00BKPSFD61</v>
      </c>
      <c r="F107" s="34" t="str" cm="1">
        <f t="array" aca="1" ref="F107" ca="1">OFFSET(POrigin,MATCH(Valori[[#This Row],[LUKB_id]],PID,0),MATCH("NSIN_CH",PLabel,0)-1,1,1)</f>
        <v>54540945</v>
      </c>
      <c r="G107" s="95" t="str" cm="1">
        <f t="array" aca="1" ref="G107" ca="1">IF(OFFSET(POrigin,MATCH(Valori[[#This Row],[LUKB_id]],PID,0),MATCH("INSTRUNIT",PLabel,0)-1,1,1)="Nominal","Pct","Unit")</f>
        <v>Unit</v>
      </c>
      <c r="H107" s="612">
        <f ca="1">MAX(OFFSET(POrigin,MATCH(Valori[[#This Row],[LUKB_id]],PID,0),MATCH("PRICINGAMT",PLabel,0)-1,1,1),1)</f>
        <v>1</v>
      </c>
      <c r="I107" s="615" t="str" cm="1">
        <f t="array" aca="1" ref="I107" ca="1">OFFSET(POrigin,MATCH(Valori[[#This Row],[LUKB_id]],PID,0),MATCH("M_NAME",PLabel,0)-1,1,1)</f>
        <v>iShares IV PLC - iShares China CNY Bond UCITS ETF</v>
      </c>
      <c r="J107" s="142" t="s">
        <v>574</v>
      </c>
      <c r="M107" s="142" t="str" cm="1">
        <f t="array" aca="1" ref="M1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China CNY Bond UCITS ETF (Acc) - USD</v>
      </c>
      <c r="N107" s="1563">
        <f ca="1">COUNTIF('CHF M'!smo_id,Valori[[#This Row],[smo_id]])+COUNTIF('CHF MA'!smo_id,Valori[[#This Row],[smo_id]])+COUNTIF('EUR MB'!smo_id,Valori[[#This Row],[smo_id]])+COUNTIF('EUR M'!smo_id,Valori[[#This Row],[smo_id]])+COUNTIF(AGCO!smo_id,Valori[[#This Row],[smo_id]])</f>
        <v>3</v>
      </c>
      <c r="O107" s="1590" cm="1">
        <f t="array" aca="1" ref="O107" ca="1">SUM(IF('CHF M'!smo_id=Valori[[#This Row],[smo_id]],'CHF M'!Posizione))+SUM(IF('CHF MA'!smo_id=Valori[[#This Row],[smo_id]],'CHF MA'!Posizione))+SUM(IF('EUR MB'!smo_id=Valori[[#This Row],[smo_id]],'EUR MB'!Posizione))+SUM(IF('EUR M'!smo_id=Valori[[#This Row],[smo_id]],'EUR M'!Posizione))+SUM(IF(AGCO!smo_id=Valori[[#This Row],[smo_id]],AGCO!Posizione))</f>
        <v>0</v>
      </c>
      <c r="P107" s="1661" t="str">
        <f ca="1">HYPERLINK(Valori[[#This Row],[P_Source]],"è")</f>
        <v>è</v>
      </c>
      <c r="Q107" s="1663" t="str">
        <f>HYPERLINK(Valori[[#This Row],[Info_W]],"i")</f>
        <v>i</v>
      </c>
      <c r="R107" s="1664" t="str">
        <f>HYPERLINK(Valori[[#This Row],[FN_W]],"")</f>
        <v></v>
      </c>
      <c r="S107" s="1665" t="str">
        <f>HYPERLINK(Valori[[#This Row],[MS_Link]],"")</f>
        <v></v>
      </c>
      <c r="T107" s="1665" t="str">
        <f>HYPERLINK(Valori[[#This Row],[C_source]],"")</f>
        <v></v>
      </c>
      <c r="U107" s="142" t="str" cm="1">
        <f t="array" aca="1" ref="U107" ca="1">OFFSET(POrigin,MATCH(Valori[[#This Row],[LUKB_id]],PID,0),MATCH("M_CUR",PLabel,0)-1,1,1)</f>
        <v>USD</v>
      </c>
      <c r="V107" s="1562">
        <f ca="1">(Valori[[#This Row],[Last]]+Valori[[#This Row],[Acc. Int]])/Valori[[#This Row],[Pr.Amt]]/IF(Valori[[#This Row],[P_Type]]="Pct",100,1)</f>
        <v>6.2729999999999997</v>
      </c>
      <c r="W107" s="1591" cm="1">
        <f t="array" aca="1" ref="W107" ca="1">OFFSET(POrigin,MATCH(Valori[[#This Row],[LUKB_id]],PID,0),MATCH("NC2_PR",PLabel,0)-1,1,1)/100</f>
        <v>-7.1685155001345998E-3</v>
      </c>
      <c r="X107" s="1592" cm="1">
        <f t="array" aca="1" ref="X107" ca="1">OFFSET(POrigin,MATCH(Valori[[#This Row],[LUKB_id]],PID,0),MATCH("LVAL",PLabel,0)-1,1,1)</f>
        <v>6.2729999999999997</v>
      </c>
      <c r="Y107" s="1593" cm="1">
        <f t="array" aca="1" ref="Y107" ca="1">OFFSET(POrigin,MATCH(Valori[[#This Row],[LUKB_id]],PID,0),MATCH("LVAL:datetime",PLabel,0)-1,1,1)</f>
        <v>46083.746527777781</v>
      </c>
      <c r="Z107" s="1594" cm="1">
        <f t="array" aca="1" ref="Z107" ca="1">OFFSET(POrigin,MATCH(Valori[[#This Row],[LUKB_id]],PID,0),MATCH("BID:volume",PLabel,0)-1,1,1)</f>
        <v>0</v>
      </c>
      <c r="AA107" s="1595" cm="1">
        <f t="array" aca="1" ref="AA107" ca="1">OFFSET(POrigin,MATCH(Valori[[#This Row],[LUKB_id]],PID,0),MATCH("BID",PLabel,0)-1,1,1)</f>
        <v>0</v>
      </c>
      <c r="AB107" s="1595" cm="1">
        <f t="array" aca="1" ref="AB107" ca="1">OFFSET(POrigin,MATCH(Valori[[#This Row],[LUKB_id]],PID,0),MATCH("ASK",PLabel,0)-1,1,1)</f>
        <v>0</v>
      </c>
      <c r="AC107" s="1594" cm="1">
        <f t="array" aca="1" ref="AC107" ca="1">OFFSET(POrigin,MATCH(Valori[[#This Row],[LUKB_id]],PID,0),MATCH("ASK:volume",PLabel,0)-1,1,1)</f>
        <v>0</v>
      </c>
      <c r="AD107" s="1596" cm="1">
        <f t="array" aca="1" ref="AD107" ca="1">OFFSET(POrigin,MATCH(Valori[[#This Row],[LUKB_id]],PID,0),MATCH("BID-ASK Spread %",PLabel,0)-1,1,1)</f>
        <v>0</v>
      </c>
      <c r="AE107" s="1597" t="str" cm="1">
        <f t="array" aca="1" ref="AE107" ca="1">IF(OFFSET(POrigin,MATCH(Valori[[#This Row],[LUKB_id]],PID,0),MATCH("MATURITY",PLabel,0)-1,1,1)&gt;0,OFFSET(POrigin,MATCH(Valori[[#This Row],[LUKB_id]],PID,0),MATCH("MATURITY",PLabel,0)-1,1,1),"")</f>
        <v/>
      </c>
      <c r="AF107" s="1598" cm="1">
        <f t="array" aca="1" ref="AF107" ca="1">OFFSET(POrigin,MATCH(Valori[[#This Row],[LUKB_id]],PID,0),MATCH("ACCINT",PLabel,0)-1,1,1)</f>
        <v>0</v>
      </c>
      <c r="AG107" s="1594" cm="1">
        <f t="array" aca="1" ref="AG107" ca="1">OFFSET(POrigin,MATCH(Valori[[#This Row],[LUKB_id]],PID,0),MATCH("DENOM",PLabel,0)-1,1,1)</f>
        <v>0</v>
      </c>
      <c r="AH107" s="1599" cm="1">
        <f t="array" aca="1" ref="AH107" ca="1">(OFFSET(POrigin,MATCH(Valori[[#This Row],[LUKB_id]],PID,0),MATCH("YIELD",PLabel,0)-1,1,1)+OFFSET(POrigin,MATCH(Valori[[#This Row],[LUKB_id]],PID,0),MATCH("YLDEQ",PLabel,0)-1,1,1))/100</f>
        <v>0</v>
      </c>
      <c r="AI107" s="1600">
        <f ca="1">OFFSET(POrigin,MATCH(Valori[[#This Row],[LUKB_id]],PID,0),MATCH("DIVIDEND",PLabel,0)-1,1,1)</f>
        <v>0</v>
      </c>
      <c r="AJ107" s="1601">
        <f ca="1">OFFSET(POrigin,MATCH(Valori[[#This Row],[LUKB_id]],PID,0),MATCH("DIVIDEND:datetime",PLabel,0)-1,1,1)</f>
        <v>0</v>
      </c>
      <c r="AK107" s="1602">
        <f ca="1">OFFSET(POrigin,MATCH(Valori[[#This Row],[LUKB_id]],PID,0),MATCH("INTEREST",PLabel,0)-1,1,1)</f>
        <v>0</v>
      </c>
      <c r="AL107" s="1603">
        <f ca="1">OFFSET(POrigin,MATCH(Valori[[#This Row],[LUKB_id]],PID,0),MATCH("4W_PERF_PR",PLabel,0)-1,1,1)/100</f>
        <v>7.6460950300380999E-3</v>
      </c>
      <c r="AM107" s="1603">
        <f ca="1">OFFSET(POrigin,MATCH(Valori[[#This Row],[LUKB_id]],PID,0),MATCH("12W_PERF_PR",PLabel,0)-1,1,1)/100</f>
        <v>3.0218426671046027E-2</v>
      </c>
      <c r="AN107" s="1603">
        <f ca="1">OFFSET(POrigin,MATCH(Valori[[#This Row],[LUKB_id]],PID,0),MATCH("YTD_PERF_PR",PLabel,0)-1,1,1)/100</f>
        <v>1.8308121794455699E-2</v>
      </c>
      <c r="AO107" s="1591"/>
      <c r="AP107" s="1591"/>
      <c r="AQ107" s="1591"/>
      <c r="AR107" s="1591"/>
      <c r="AS107" s="1890"/>
      <c r="AT107" s="1890" t="s">
        <v>1140</v>
      </c>
      <c r="AU107" s="610" t="s">
        <v>1141</v>
      </c>
      <c r="AV107" s="1891" t="s">
        <v>1142</v>
      </c>
      <c r="AW107" s="1604" t="str">
        <f ca="1">"https://boersenundmaerkte.lukb.ch/lukb/details/"&amp;Valori[[#This Row],[LUKB_id]]</f>
        <v>https://boersenundmaerkte.lukb.ch/lukb/details/54540945,1801,333</v>
      </c>
      <c r="AX107" s="1605" t="str">
        <f>"https://www.zonebourse.com/mods_a/charts/TV/inc_dyna_graph.php?c="&amp;Valori[[#This Row],[MS_Code]]&amp;"&amp;style=TradingView.CANDLES&amp;interval=(null)&amp;mobile=(null)&amp;showAT=1"</f>
        <v>https://www.zonebourse.com/mods_a/charts/TV/inc_dyna_graph.php?c=105996577&amp;style=TradingView.CANDLES&amp;interval=(null)&amp;mobile=(null)&amp;showAT=1</v>
      </c>
      <c r="AY107" s="142"/>
      <c r="AZ107" s="142"/>
      <c r="BA107" s="142"/>
      <c r="BB107" s="142"/>
    </row>
    <row r="108" spans="1:54" ht="15" customHeight="1" x14ac:dyDescent="0.2">
      <c r="A108" s="142" t="s">
        <v>1143</v>
      </c>
      <c r="B108" s="142" t="str" cm="1">
        <f t="array" aca="1" ref="B108" ca="1">OFFSET(POrigin,MATCH(Valori[[#This Row],[smo_id]],Posizioni[smo_id],0),MATCH("LUKB_id",PIntestazioni,0)-1,1,1)</f>
        <v>22697681,4,1</v>
      </c>
      <c r="C108" s="1668" t="str">
        <f ca="1">HYPERLINK("https://boersenundmaerkte.lukb.ch/lukb/details/"&amp;Valori[[#This Row],[LUKB_id]],"è")</f>
        <v>è</v>
      </c>
      <c r="D108" s="142" t="str" cm="1">
        <f t="array" aca="1" ref="D108" ca="1">OFFSET(POrigin,MATCH(Valori[[#This Row],[LUKB_id]],PID,0),MATCH("SC_GROUPED",PIntestazioni,0)-1,1,1)</f>
        <v>ETF</v>
      </c>
      <c r="E108" s="413" t="str" cm="1">
        <f t="array" aca="1" ref="E108" ca="1">OFFSET(POrigin,MATCH(Valori[[#This Row],[LUKB_id]],PID,0),MATCH("isin",PIntestazioni,0)-1,1,1)</f>
        <v>CH0226976816</v>
      </c>
      <c r="F108" s="34" t="str" cm="1">
        <f t="array" aca="1" ref="F108" ca="1">OFFSET(POrigin,MATCH(Valori[[#This Row],[LUKB_id]],PID,0),MATCH("NSIN_CH",PLabel,0)-1,1,1)</f>
        <v>22697681</v>
      </c>
      <c r="G108" s="95" t="str" cm="1">
        <f t="array" aca="1" ref="G108" ca="1">IF(OFFSET(POrigin,MATCH(Valori[[#This Row],[LUKB_id]],PID,0),MATCH("INSTRUNIT",PLabel,0)-1,1,1)="Nominal","Pct","Unit")</f>
        <v>Unit</v>
      </c>
      <c r="H108" s="612">
        <f ca="1">MAX(OFFSET(POrigin,MATCH(Valori[[#This Row],[LUKB_id]],PID,0),MATCH("PRICINGAMT",PLabel,0)-1,1,1),1)</f>
        <v>1</v>
      </c>
      <c r="I108" s="615" t="str" cm="1">
        <f t="array" aca="1" ref="I108" ca="1">OFFSET(POrigin,MATCH(Valori[[#This Row],[LUKB_id]],PID,0),MATCH("M_NAME",PLabel,0)-1,1,1)</f>
        <v>iShares ETF (CH) - iShares Core CHF Corporate   Bond ETF (CH)</v>
      </c>
      <c r="J108" s="142" t="s">
        <v>739</v>
      </c>
      <c r="M108" s="142" t="str" cm="1">
        <f t="array" aca="1" ref="M1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CHF Corporate Bd. ETF (CH)</v>
      </c>
      <c r="N108" s="1563">
        <f ca="1">COUNTIF('CHF M'!smo_id,Valori[[#This Row],[smo_id]])+COUNTIF('CHF MA'!smo_id,Valori[[#This Row],[smo_id]])+COUNTIF('EUR MB'!smo_id,Valori[[#This Row],[smo_id]])+COUNTIF('EUR M'!smo_id,Valori[[#This Row],[smo_id]])+COUNTIF(AGCO!smo_id,Valori[[#This Row],[smo_id]])</f>
        <v>2</v>
      </c>
      <c r="O108" s="1590" cm="1">
        <f t="array" aca="1" ref="O108" ca="1">SUM(IF('CHF M'!smo_id=Valori[[#This Row],[smo_id]],'CHF M'!Posizione))+SUM(IF('CHF MA'!smo_id=Valori[[#This Row],[smo_id]],'CHF MA'!Posizione))+SUM(IF('EUR MB'!smo_id=Valori[[#This Row],[smo_id]],'EUR MB'!Posizione))+SUM(IF('EUR M'!smo_id=Valori[[#This Row],[smo_id]],'EUR M'!Posizione))+SUM(IF(AGCO!smo_id=Valori[[#This Row],[smo_id]],AGCO!Posizione))</f>
        <v>0</v>
      </c>
      <c r="P108" s="1661" t="str">
        <f ca="1">HYPERLINK(Valori[[#This Row],[P_Source]],"è")</f>
        <v>è</v>
      </c>
      <c r="Q108" s="1663" t="str">
        <f>HYPERLINK(Valori[[#This Row],[Info_W]],"i")</f>
        <v>i</v>
      </c>
      <c r="R108" s="1664" t="str">
        <f>HYPERLINK(Valori[[#This Row],[FN_W]],"")</f>
        <v></v>
      </c>
      <c r="S108" s="1665" t="str">
        <f>HYPERLINK(Valori[[#This Row],[MS_Link]],"")</f>
        <v></v>
      </c>
      <c r="T108" s="1665" t="str">
        <f>HYPERLINK(Valori[[#This Row],[C_source]],"")</f>
        <v></v>
      </c>
      <c r="U108" s="142" t="str" cm="1">
        <f t="array" aca="1" ref="U108" ca="1">OFFSET(POrigin,MATCH(Valori[[#This Row],[LUKB_id]],PID,0),MATCH("M_CUR",PLabel,0)-1,1,1)</f>
        <v>CHF</v>
      </c>
      <c r="V108" s="1562">
        <f ca="1">(Valori[[#This Row],[Last]]+Valori[[#This Row],[Acc. Int]])/Valori[[#This Row],[Pr.Amt]]/IF(Valori[[#This Row],[P_Type]]="Pct",100,1)</f>
        <v>97.5</v>
      </c>
      <c r="W108" s="1591" cm="1">
        <f t="array" aca="1" ref="W108" ca="1">OFFSET(POrigin,MATCH(Valori[[#This Row],[LUKB_id]],PID,0),MATCH("NC2_PR",PLabel,0)-1,1,1)/100</f>
        <v>-4.0044130266007998E-3</v>
      </c>
      <c r="X108" s="1592" cm="1">
        <f t="array" aca="1" ref="X108" ca="1">OFFSET(POrigin,MATCH(Valori[[#This Row],[LUKB_id]],PID,0),MATCH("LVAL",PLabel,0)-1,1,1)</f>
        <v>97.5</v>
      </c>
      <c r="Y108" s="1593" cm="1">
        <f t="array" aca="1" ref="Y108" ca="1">OFFSET(POrigin,MATCH(Valori[[#This Row],[LUKB_id]],PID,0),MATCH("LVAL:datetime",PLabel,0)-1,1,1)</f>
        <v>46084.73300925926</v>
      </c>
      <c r="Z108" s="1594" cm="1">
        <f t="array" aca="1" ref="Z108" ca="1">OFFSET(POrigin,MATCH(Valori[[#This Row],[LUKB_id]],PID,0),MATCH("BID:volume",PLabel,0)-1,1,1)</f>
        <v>729</v>
      </c>
      <c r="AA108" s="1595" cm="1">
        <f t="array" aca="1" ref="AA108" ca="1">OFFSET(POrigin,MATCH(Valori[[#This Row],[LUKB_id]],PID,0),MATCH("BID",PLabel,0)-1,1,1)</f>
        <v>97.254000000000005</v>
      </c>
      <c r="AB108" s="1595" cm="1">
        <f t="array" aca="1" ref="AB108" ca="1">OFFSET(POrigin,MATCH(Valori[[#This Row],[LUKB_id]],PID,0),MATCH("ASK",PLabel,0)-1,1,1)</f>
        <v>98.05</v>
      </c>
      <c r="AC108" s="1594" cm="1">
        <f t="array" aca="1" ref="AC108" ca="1">OFFSET(POrigin,MATCH(Valori[[#This Row],[LUKB_id]],PID,0),MATCH("ASK:volume",PLabel,0)-1,1,1)</f>
        <v>160</v>
      </c>
      <c r="AD108" s="1596" cm="1">
        <f t="array" aca="1" ref="AD108" ca="1">OFFSET(POrigin,MATCH(Valori[[#This Row],[LUKB_id]],PID,0),MATCH("BID-ASK Spread %",PLabel,0)-1,1,1)</f>
        <v>5.4416560135083798E-3</v>
      </c>
      <c r="AE108" s="1597" t="str" cm="1">
        <f t="array" aca="1" ref="AE108" ca="1">IF(OFFSET(POrigin,MATCH(Valori[[#This Row],[LUKB_id]],PID,0),MATCH("MATURITY",PLabel,0)-1,1,1)&gt;0,OFFSET(POrigin,MATCH(Valori[[#This Row],[LUKB_id]],PID,0),MATCH("MATURITY",PLabel,0)-1,1,1),"")</f>
        <v/>
      </c>
      <c r="AF108" s="1598" cm="1">
        <f t="array" aca="1" ref="AF108" ca="1">OFFSET(POrigin,MATCH(Valori[[#This Row],[LUKB_id]],PID,0),MATCH("ACCINT",PLabel,0)-1,1,1)</f>
        <v>0</v>
      </c>
      <c r="AG108" s="1594" cm="1">
        <f t="array" aca="1" ref="AG108" ca="1">OFFSET(POrigin,MATCH(Valori[[#This Row],[LUKB_id]],PID,0),MATCH("DENOM",PLabel,0)-1,1,1)</f>
        <v>0</v>
      </c>
      <c r="AH108" s="1599" cm="1">
        <f t="array" aca="1" ref="AH108" ca="1">(OFFSET(POrigin,MATCH(Valori[[#This Row],[LUKB_id]],PID,0),MATCH("YIELD",PLabel,0)-1,1,1)+OFFSET(POrigin,MATCH(Valori[[#This Row],[LUKB_id]],PID,0),MATCH("YLDEQ",PLabel,0)-1,1,1))/100</f>
        <v>0</v>
      </c>
      <c r="AI108" s="1600">
        <f ca="1">OFFSET(POrigin,MATCH(Valori[[#This Row],[LUKB_id]],PID,0),MATCH("DIVIDEND",PLabel,0)-1,1,1)</f>
        <v>0.57999999999999996</v>
      </c>
      <c r="AJ108" s="1601">
        <f ca="1">OFFSET(POrigin,MATCH(Valori[[#This Row],[LUKB_id]],PID,0),MATCH("DIVIDEND:datetime",PLabel,0)-1,1,1)</f>
        <v>46042</v>
      </c>
      <c r="AK108" s="1602">
        <f ca="1">OFFSET(POrigin,MATCH(Valori[[#This Row],[LUKB_id]],PID,0),MATCH("INTEREST",PLabel,0)-1,1,1)</f>
        <v>0</v>
      </c>
      <c r="AL108" s="1603">
        <f ca="1">OFFSET(POrigin,MATCH(Valori[[#This Row],[LUKB_id]],PID,0),MATCH("4W_PERF_PR",PLabel,0)-1,1,1)/100</f>
        <v>3.5820199999999996E-3</v>
      </c>
      <c r="AM108" s="1603">
        <f ca="1">OFFSET(POrigin,MATCH(Valori[[#This Row],[LUKB_id]],PID,0),MATCH("12W_PERF_PR",PLabel,0)-1,1,1)/100</f>
        <v>5.7468999999999999E-4</v>
      </c>
      <c r="AN108" s="1603">
        <f ca="1">OFFSET(POrigin,MATCH(Valori[[#This Row],[LUKB_id]],PID,0),MATCH("YTD_PERF_PR",PLabel,0)-1,1,1)/100</f>
        <v>3.8146021328959003E-3</v>
      </c>
      <c r="AO108" s="1591"/>
      <c r="AP108" s="1591"/>
      <c r="AQ108" s="1591"/>
      <c r="AR108" s="1591"/>
      <c r="AS108" s="1890" t="s">
        <v>1144</v>
      </c>
      <c r="AT108" s="1890" t="s">
        <v>1145</v>
      </c>
      <c r="AU108" s="610" t="s">
        <v>1146</v>
      </c>
      <c r="AV108" s="1891" t="s">
        <v>1147</v>
      </c>
      <c r="AW108" s="1604" t="str">
        <f ca="1">"https://boersenundmaerkte.lukb.ch/lukb/details/"&amp;Valori[[#This Row],[LUKB_id]]</f>
        <v>https://boersenundmaerkte.lukb.ch/lukb/details/22697681,4,1</v>
      </c>
      <c r="AX108" s="1605" t="str">
        <f>"https://www.marketscreener.com/mods_a/charts/TV/inc_dyna_graph.php?c="&amp;Valori[[#This Row],[MS_Code]]&amp;"&amp;style=TradingView.CANDLES&amp;interval=(null)&amp;mobile=(null)&amp;showAT=1"</f>
        <v>https://www.marketscreener.com/mods_a/charts/TV/inc_dyna_graph.php?c=41712130&amp;style=TradingView.CANDLES&amp;interval=(null)&amp;mobile=(null)&amp;showAT=1</v>
      </c>
      <c r="AY108" s="142"/>
      <c r="AZ108" s="142"/>
      <c r="BA108" s="142"/>
      <c r="BB108" s="142"/>
    </row>
    <row r="109" spans="1:54" ht="15" customHeight="1" x14ac:dyDescent="0.2">
      <c r="A109" s="142" t="s">
        <v>1148</v>
      </c>
      <c r="B109" s="142" t="str" cm="1">
        <f t="array" aca="1" ref="B109" ca="1">OFFSET(POrigin,MATCH(Valori[[#This Row],[smo_id]],Posizioni[smo_id],0),MATCH("LUKB_id",PIntestazioni,0)-1,1,1)</f>
        <v>10737120,361,333</v>
      </c>
      <c r="C109" s="1668" t="str">
        <f ca="1">HYPERLINK("https://boersenundmaerkte.lukb.ch/lukb/details/"&amp;Valori[[#This Row],[LUKB_id]],"è")</f>
        <v>è</v>
      </c>
      <c r="D109" s="142" t="str" cm="1">
        <f t="array" aca="1" ref="D109" ca="1">OFFSET(POrigin,MATCH(Valori[[#This Row],[LUKB_id]],PID,0),MATCH("SC_GROUPED",PIntestazioni,0)-1,1,1)</f>
        <v>ETF</v>
      </c>
      <c r="E109" s="413" t="str" cm="1">
        <f t="array" aca="1" ref="E109" ca="1">OFFSET(POrigin,MATCH(Valori[[#This Row],[LUKB_id]],PID,0),MATCH("isin",PIntestazioni,0)-1,1,1)</f>
        <v>IE00B52MJY50</v>
      </c>
      <c r="F109" s="34" t="str" cm="1">
        <f t="array" aca="1" ref="F109" ca="1">OFFSET(POrigin,MATCH(Valori[[#This Row],[LUKB_id]],PID,0),MATCH("NSIN_CH",PLabel,0)-1,1,1)</f>
        <v>10737120</v>
      </c>
      <c r="G109" s="95" t="str" cm="1">
        <f t="array" aca="1" ref="G109" ca="1">IF(OFFSET(POrigin,MATCH(Valori[[#This Row],[LUKB_id]],PID,0),MATCH("INSTRUNIT",PLabel,0)-1,1,1)="Nominal","Pct","Unit")</f>
        <v>Unit</v>
      </c>
      <c r="H109" s="612">
        <f ca="1">MAX(OFFSET(POrigin,MATCH(Valori[[#This Row],[LUKB_id]],PID,0),MATCH("PRICINGAMT",PLabel,0)-1,1,1),1)</f>
        <v>1</v>
      </c>
      <c r="I109" s="615" t="str" cm="1">
        <f t="array" aca="1" ref="I109" ca="1">OFFSET(POrigin,MATCH(Valori[[#This Row],[LUKB_id]],PID,0),MATCH("M_NAME",PLabel,0)-1,1,1)</f>
        <v>iShares VII PLC - iShares Core MSCI Pacific ex Japan UCITS ETF</v>
      </c>
      <c r="J109" s="142" t="s">
        <v>770</v>
      </c>
      <c r="M109" s="142" t="str" cm="1">
        <f t="array" aca="1" ref="M1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MSCI Pacific ex Japan UCITS ETF (Acc)</v>
      </c>
      <c r="N109" s="1563">
        <f ca="1">COUNTIF('CHF M'!smo_id,Valori[[#This Row],[smo_id]])+COUNTIF('CHF MA'!smo_id,Valori[[#This Row],[smo_id]])+COUNTIF('EUR MB'!smo_id,Valori[[#This Row],[smo_id]])+COUNTIF('EUR M'!smo_id,Valori[[#This Row],[smo_id]])+COUNTIF(AGCO!smo_id,Valori[[#This Row],[smo_id]])</f>
        <v>4</v>
      </c>
      <c r="O109" s="1590" cm="1">
        <f t="array" aca="1" ref="O109" ca="1">SUM(IF('CHF M'!smo_id=Valori[[#This Row],[smo_id]],'CHF M'!Posizione))+SUM(IF('CHF MA'!smo_id=Valori[[#This Row],[smo_id]],'CHF MA'!Posizione))+SUM(IF('EUR MB'!smo_id=Valori[[#This Row],[smo_id]],'EUR MB'!Posizione))+SUM(IF('EUR M'!smo_id=Valori[[#This Row],[smo_id]],'EUR M'!Posizione))+SUM(IF(AGCO!smo_id=Valori[[#This Row],[smo_id]],AGCO!Posizione))</f>
        <v>565</v>
      </c>
      <c r="P109" s="1661" t="str">
        <f ca="1">HYPERLINK(Valori[[#This Row],[P_Source]],"è")</f>
        <v>è</v>
      </c>
      <c r="Q109" s="1663" t="str">
        <f>HYPERLINK(Valori[[#This Row],[Info_W]],"i")</f>
        <v>i</v>
      </c>
      <c r="R109" s="1664" t="str">
        <f>HYPERLINK(Valori[[#This Row],[FN_W]],"")</f>
        <v></v>
      </c>
      <c r="S109" s="1665" t="str">
        <f>HYPERLINK(Valori[[#This Row],[MS_Link]],"")</f>
        <v></v>
      </c>
      <c r="T109" s="1665" t="str">
        <f>HYPERLINK(Valori[[#This Row],[C_source]],"")</f>
        <v></v>
      </c>
      <c r="U109" s="142" t="str" cm="1">
        <f t="array" aca="1" ref="U109" ca="1">OFFSET(POrigin,MATCH(Valori[[#This Row],[LUKB_id]],PID,0),MATCH("M_CUR",PLabel,0)-1,1,1)</f>
        <v>USD</v>
      </c>
      <c r="V109" s="1562">
        <f ca="1">(Valori[[#This Row],[Last]]+Valori[[#This Row],[Acc. Int]])/Valori[[#This Row],[Pr.Amt]]/IF(Valori[[#This Row],[P_Type]]="Pct",100,1)</f>
        <v>235.37</v>
      </c>
      <c r="W109" s="1591" cm="1">
        <f t="array" aca="1" ref="W109" ca="1">OFFSET(POrigin,MATCH(Valori[[#This Row],[LUKB_id]],PID,0),MATCH("NC2_PR",PLabel,0)-1,1,1)/100</f>
        <v>-2.8480620794980899E-2</v>
      </c>
      <c r="X109" s="1592" cm="1">
        <f t="array" aca="1" ref="X109" ca="1">OFFSET(POrigin,MATCH(Valori[[#This Row],[LUKB_id]],PID,0),MATCH("LVAL",PLabel,0)-1,1,1)</f>
        <v>235.37</v>
      </c>
      <c r="Y109" s="1593" cm="1">
        <f t="array" aca="1" ref="Y109" ca="1">OFFSET(POrigin,MATCH(Valori[[#This Row],[LUKB_id]],PID,0),MATCH("LVAL:datetime",PLabel,0)-1,1,1)</f>
        <v>46084.732939814814</v>
      </c>
      <c r="Z109" s="1594" cm="1">
        <f t="array" aca="1" ref="Z109" ca="1">OFFSET(POrigin,MATCH(Valori[[#This Row],[LUKB_id]],PID,0),MATCH("BID:volume",PLabel,0)-1,1,1)</f>
        <v>175</v>
      </c>
      <c r="AA109" s="1595" cm="1">
        <f t="array" aca="1" ref="AA109" ca="1">OFFSET(POrigin,MATCH(Valori[[#This Row],[LUKB_id]],PID,0),MATCH("BID",PLabel,0)-1,1,1)</f>
        <v>233.55</v>
      </c>
      <c r="AB109" s="1595" cm="1">
        <f t="array" aca="1" ref="AB109" ca="1">OFFSET(POrigin,MATCH(Valori[[#This Row],[LUKB_id]],PID,0),MATCH("ASK",PLabel,0)-1,1,1)</f>
        <v>237.10000000000002</v>
      </c>
      <c r="AC109" s="1594" cm="1">
        <f t="array" aca="1" ref="AC109" ca="1">OFFSET(POrigin,MATCH(Valori[[#This Row],[LUKB_id]],PID,0),MATCH("ASK:volume",PLabel,0)-1,1,1)</f>
        <v>1</v>
      </c>
      <c r="AD109" s="1596" cm="1">
        <f t="array" aca="1" ref="AD109" ca="1">OFFSET(POrigin,MATCH(Valori[[#This Row],[LUKB_id]],PID,0),MATCH("BID-ASK Spread %",PLabel,0)-1,1,1)</f>
        <v>1.0082362965066774E-2</v>
      </c>
      <c r="AE109" s="1597" t="str" cm="1">
        <f t="array" aca="1" ref="AE109" ca="1">IF(OFFSET(POrigin,MATCH(Valori[[#This Row],[LUKB_id]],PID,0),MATCH("MATURITY",PLabel,0)-1,1,1)&gt;0,OFFSET(POrigin,MATCH(Valori[[#This Row],[LUKB_id]],PID,0),MATCH("MATURITY",PLabel,0)-1,1,1),"")</f>
        <v/>
      </c>
      <c r="AF109" s="1598" cm="1">
        <f t="array" aca="1" ref="AF109" ca="1">OFFSET(POrigin,MATCH(Valori[[#This Row],[LUKB_id]],PID,0),MATCH("ACCINT",PLabel,0)-1,1,1)</f>
        <v>0</v>
      </c>
      <c r="AG109" s="1594" cm="1">
        <f t="array" aca="1" ref="AG109" ca="1">OFFSET(POrigin,MATCH(Valori[[#This Row],[LUKB_id]],PID,0),MATCH("DENOM",PLabel,0)-1,1,1)</f>
        <v>0</v>
      </c>
      <c r="AH109" s="1599" cm="1">
        <f t="array" aca="1" ref="AH109" ca="1">(OFFSET(POrigin,MATCH(Valori[[#This Row],[LUKB_id]],PID,0),MATCH("YIELD",PLabel,0)-1,1,1)+OFFSET(POrigin,MATCH(Valori[[#This Row],[LUKB_id]],PID,0),MATCH("YLDEQ",PLabel,0)-1,1,1))/100</f>
        <v>0</v>
      </c>
      <c r="AI109" s="1600">
        <f ca="1">OFFSET(POrigin,MATCH(Valori[[#This Row],[LUKB_id]],PID,0),MATCH("DIVIDEND",PLabel,0)-1,1,1)</f>
        <v>0</v>
      </c>
      <c r="AJ109" s="1601">
        <f ca="1">OFFSET(POrigin,MATCH(Valori[[#This Row],[LUKB_id]],PID,0),MATCH("DIVIDEND:datetime",PLabel,0)-1,1,1)</f>
        <v>0</v>
      </c>
      <c r="AK109" s="1602">
        <f ca="1">OFFSET(POrigin,MATCH(Valori[[#This Row],[LUKB_id]],PID,0),MATCH("INTEREST",PLabel,0)-1,1,1)</f>
        <v>0</v>
      </c>
      <c r="AL109" s="1603">
        <f ca="1">OFFSET(POrigin,MATCH(Valori[[#This Row],[LUKB_id]],PID,0),MATCH("4W_PERF_PR",PLabel,0)-1,1,1)/100</f>
        <v>5.0386399999999996E-3</v>
      </c>
      <c r="AM109" s="1603">
        <f ca="1">OFFSET(POrigin,MATCH(Valori[[#This Row],[LUKB_id]],PID,0),MATCH("12W_PERF_PR",PLabel,0)-1,1,1)/100</f>
        <v>9.1242059999999986E-2</v>
      </c>
      <c r="AN109" s="1603">
        <f ca="1">OFFSET(POrigin,MATCH(Valori[[#This Row],[LUKB_id]],PID,0),MATCH("YTD_PERF_PR",PLabel,0)-1,1,1)/100</f>
        <v>0.10479274020703201</v>
      </c>
      <c r="AO109" s="1591"/>
      <c r="AP109" s="1591"/>
      <c r="AQ109" s="1591"/>
      <c r="AR109" s="1591"/>
      <c r="AS109" s="1890" t="s">
        <v>1149</v>
      </c>
      <c r="AT109" s="1890" t="s">
        <v>1150</v>
      </c>
      <c r="AU109" s="610" t="s">
        <v>1151</v>
      </c>
      <c r="AV109" s="1891" t="s">
        <v>1152</v>
      </c>
      <c r="AW109" s="1604" t="str">
        <f ca="1">"https://boersenundmaerkte.lukb.ch/lukb/details/"&amp;Valori[[#This Row],[LUKB_id]]</f>
        <v>https://boersenundmaerkte.lukb.ch/lukb/details/10737120,361,333</v>
      </c>
      <c r="AX109" s="1605" t="str">
        <f>"https://www.zonebourse.com/mods_a/charts/TV/inc_dyna_graph.php?c="&amp;Valori[[#This Row],[MS_Code]]&amp;"&amp;style=TradingView.CANDLES&amp;interval=(null)&amp;mobile=(null)&amp;showAT=1"</f>
        <v>https://www.zonebourse.com/mods_a/charts/TV/inc_dyna_graph.php?c=5861322&amp;style=TradingView.CANDLES&amp;interval=(null)&amp;mobile=(null)&amp;showAT=1</v>
      </c>
      <c r="AY109" s="142"/>
      <c r="AZ109" s="142"/>
      <c r="BA109" s="142"/>
      <c r="BB109" s="142"/>
    </row>
    <row r="110" spans="1:54" ht="15" customHeight="1" x14ac:dyDescent="0.2">
      <c r="A110" s="142" t="s">
        <v>1153</v>
      </c>
      <c r="B110" s="142" t="str" cm="1">
        <f t="array" aca="1" ref="B110" ca="1">OFFSET(POrigin,MATCH(Valori[[#This Row],[smo_id]],Posizioni[smo_id],0),MATCH("LUKB_id",PIntestazioni,0)-1,1,1)</f>
        <v>10737041,361,333</v>
      </c>
      <c r="C110" s="1668" t="str">
        <f ca="1">HYPERLINK("https://boersenundmaerkte.lukb.ch/lukb/details/"&amp;Valori[[#This Row],[LUKB_id]],"è")</f>
        <v>è</v>
      </c>
      <c r="D110" s="142" t="str" cm="1">
        <f t="array" aca="1" ref="D110" ca="1">OFFSET(POrigin,MATCH(Valori[[#This Row],[LUKB_id]],PID,0),MATCH("SC_GROUPED",PIntestazioni,0)-1,1,1)</f>
        <v>ETF</v>
      </c>
      <c r="E110" s="413" t="str" cm="1">
        <f t="array" aca="1" ref="E110" ca="1">OFFSET(POrigin,MATCH(Valori[[#This Row],[LUKB_id]],PID,0),MATCH("isin",PIntestazioni,0)-1,1,1)</f>
        <v>IE00B5BMR087</v>
      </c>
      <c r="F110" s="34" t="str" cm="1">
        <f t="array" aca="1" ref="F110" ca="1">OFFSET(POrigin,MATCH(Valori[[#This Row],[LUKB_id]],PID,0),MATCH("NSIN_CH",PLabel,0)-1,1,1)</f>
        <v>10737041</v>
      </c>
      <c r="G110" s="95" t="str" cm="1">
        <f t="array" aca="1" ref="G110" ca="1">IF(OFFSET(POrigin,MATCH(Valori[[#This Row],[LUKB_id]],PID,0),MATCH("INSTRUNIT",PLabel,0)-1,1,1)="Nominal","Pct","Unit")</f>
        <v>Unit</v>
      </c>
      <c r="H110" s="612">
        <f ca="1">MAX(OFFSET(POrigin,MATCH(Valori[[#This Row],[LUKB_id]],PID,0),MATCH("PRICINGAMT",PLabel,0)-1,1,1),1)</f>
        <v>1</v>
      </c>
      <c r="I110" s="615" t="str" cm="1">
        <f t="array" aca="1" ref="I110" ca="1">OFFSET(POrigin,MATCH(Valori[[#This Row],[LUKB_id]],PID,0),MATCH("M_NAME",PLabel,0)-1,1,1)</f>
        <v>iShares VII PLC - iShares Core S&amp;P 500 UCITS ETF</v>
      </c>
      <c r="J110" s="142" t="s">
        <v>399</v>
      </c>
      <c r="M110" s="142" t="str" cm="1">
        <f t="array" aca="1" ref="M1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S&amp;P 500 UCITS ETF (Acc)</v>
      </c>
      <c r="N110" s="1563">
        <f ca="1">COUNTIF('CHF M'!smo_id,Valori[[#This Row],[smo_id]])+COUNTIF('CHF MA'!smo_id,Valori[[#This Row],[smo_id]])+COUNTIF('EUR MB'!smo_id,Valori[[#This Row],[smo_id]])+COUNTIF('EUR M'!smo_id,Valori[[#This Row],[smo_id]])+COUNTIF(AGCO!smo_id,Valori[[#This Row],[smo_id]])</f>
        <v>2</v>
      </c>
      <c r="O110" s="1590" cm="1">
        <f t="array" aca="1" ref="O110" ca="1">SUM(IF('CHF M'!smo_id=Valori[[#This Row],[smo_id]],'CHF M'!Posizione))+SUM(IF('CHF MA'!smo_id=Valori[[#This Row],[smo_id]],'CHF MA'!Posizione))+SUM(IF('EUR MB'!smo_id=Valori[[#This Row],[smo_id]],'EUR MB'!Posizione))+SUM(IF('EUR M'!smo_id=Valori[[#This Row],[smo_id]],'EUR M'!Posizione))+SUM(IF(AGCO!smo_id=Valori[[#This Row],[smo_id]],AGCO!Posizione))</f>
        <v>15</v>
      </c>
      <c r="P110" s="1661" t="str">
        <f ca="1">HYPERLINK(Valori[[#This Row],[P_Source]],"è")</f>
        <v>è</v>
      </c>
      <c r="Q110" s="1663" t="str">
        <f>HYPERLINK(Valori[[#This Row],[Info_W]],"i")</f>
        <v>i</v>
      </c>
      <c r="R110" s="1664" t="str">
        <f>HYPERLINK(Valori[[#This Row],[FN_W]],"")</f>
        <v></v>
      </c>
      <c r="S110" s="1665" t="str">
        <f>HYPERLINK(Valori[[#This Row],[MS_Link]],"")</f>
        <v></v>
      </c>
      <c r="T110" s="1665" t="str">
        <f>HYPERLINK(Valori[[#This Row],[C_source]],"")</f>
        <v></v>
      </c>
      <c r="U110" s="142" t="str" cm="1">
        <f t="array" aca="1" ref="U110" ca="1">OFFSET(POrigin,MATCH(Valori[[#This Row],[LUKB_id]],PID,0),MATCH("M_CUR",PLabel,0)-1,1,1)</f>
        <v>USD</v>
      </c>
      <c r="V110" s="1562">
        <f ca="1">(Valori[[#This Row],[Last]]+Valori[[#This Row],[Acc. Int]])/Valori[[#This Row],[Pr.Amt]]/IF(Valori[[#This Row],[P_Type]]="Pct",100,1)</f>
        <v>727.16</v>
      </c>
      <c r="W110" s="1591" cm="1">
        <f t="array" aca="1" ref="W110" ca="1">OFFSET(POrigin,MATCH(Valori[[#This Row],[LUKB_id]],PID,0),MATCH("NC2_PR",PLabel,0)-1,1,1)/100</f>
        <v>-1.10837605907714E-2</v>
      </c>
      <c r="X110" s="1592" cm="1">
        <f t="array" aca="1" ref="X110" ca="1">OFFSET(POrigin,MATCH(Valori[[#This Row],[LUKB_id]],PID,0),MATCH("LVAL",PLabel,0)-1,1,1)</f>
        <v>727.16</v>
      </c>
      <c r="Y110" s="1593" cm="1">
        <f t="array" aca="1" ref="Y110" ca="1">OFFSET(POrigin,MATCH(Valori[[#This Row],[LUKB_id]],PID,0),MATCH("LVAL:datetime",PLabel,0)-1,1,1)</f>
        <v>46084.732870370368</v>
      </c>
      <c r="Z110" s="1594" cm="1">
        <f t="array" aca="1" ref="Z110" ca="1">OFFSET(POrigin,MATCH(Valori[[#This Row],[LUKB_id]],PID,0),MATCH("BID:volume",PLabel,0)-1,1,1)</f>
        <v>13</v>
      </c>
      <c r="AA110" s="1595" cm="1">
        <f t="array" aca="1" ref="AA110" ca="1">OFFSET(POrigin,MATCH(Valori[[#This Row],[LUKB_id]],PID,0),MATCH("BID",PLabel,0)-1,1,1)</f>
        <v>721</v>
      </c>
      <c r="AB110" s="1595" cm="1">
        <f t="array" aca="1" ref="AB110" ca="1">OFFSET(POrigin,MATCH(Valori[[#This Row],[LUKB_id]],PID,0),MATCH("ASK",PLabel,0)-1,1,1)</f>
        <v>748</v>
      </c>
      <c r="AC110" s="1594" cm="1">
        <f t="array" aca="1" ref="AC110" ca="1">OFFSET(POrigin,MATCH(Valori[[#This Row],[LUKB_id]],PID,0),MATCH("ASK:volume",PLabel,0)-1,1,1)</f>
        <v>121</v>
      </c>
      <c r="AD110" s="1596" cm="1">
        <f t="array" aca="1" ref="AD110" ca="1">OFFSET(POrigin,MATCH(Valori[[#This Row],[LUKB_id]],PID,0),MATCH("BID-ASK Spread %",PLabel,0)-1,1,1)</f>
        <v>2.4657534246575342E-2</v>
      </c>
      <c r="AE110" s="1597" t="str" cm="1">
        <f t="array" aca="1" ref="AE110" ca="1">IF(OFFSET(POrigin,MATCH(Valori[[#This Row],[LUKB_id]],PID,0),MATCH("MATURITY",PLabel,0)-1,1,1)&gt;0,OFFSET(POrigin,MATCH(Valori[[#This Row],[LUKB_id]],PID,0),MATCH("MATURITY",PLabel,0)-1,1,1),"")</f>
        <v/>
      </c>
      <c r="AF110" s="1598" cm="1">
        <f t="array" aca="1" ref="AF110" ca="1">OFFSET(POrigin,MATCH(Valori[[#This Row],[LUKB_id]],PID,0),MATCH("ACCINT",PLabel,0)-1,1,1)</f>
        <v>0</v>
      </c>
      <c r="AG110" s="1594" cm="1">
        <f t="array" aca="1" ref="AG110" ca="1">OFFSET(POrigin,MATCH(Valori[[#This Row],[LUKB_id]],PID,0),MATCH("DENOM",PLabel,0)-1,1,1)</f>
        <v>0</v>
      </c>
      <c r="AH110" s="1599" cm="1">
        <f t="array" aca="1" ref="AH110" ca="1">(OFFSET(POrigin,MATCH(Valori[[#This Row],[LUKB_id]],PID,0),MATCH("YIELD",PLabel,0)-1,1,1)+OFFSET(POrigin,MATCH(Valori[[#This Row],[LUKB_id]],PID,0),MATCH("YLDEQ",PLabel,0)-1,1,1))/100</f>
        <v>0</v>
      </c>
      <c r="AI110" s="1600">
        <f ca="1">OFFSET(POrigin,MATCH(Valori[[#This Row],[LUKB_id]],PID,0),MATCH("DIVIDEND",PLabel,0)-1,1,1)</f>
        <v>0</v>
      </c>
      <c r="AJ110" s="1601">
        <f ca="1">OFFSET(POrigin,MATCH(Valori[[#This Row],[LUKB_id]],PID,0),MATCH("DIVIDEND:datetime",PLabel,0)-1,1,1)</f>
        <v>0</v>
      </c>
      <c r="AK110" s="1602">
        <f ca="1">OFFSET(POrigin,MATCH(Valori[[#This Row],[LUKB_id]],PID,0),MATCH("INTEREST",PLabel,0)-1,1,1)</f>
        <v>0</v>
      </c>
      <c r="AL110" s="1603">
        <f ca="1">OFFSET(POrigin,MATCH(Valori[[#This Row],[LUKB_id]],PID,0),MATCH("4W_PERF_PR",PLabel,0)-1,1,1)/100</f>
        <v>-2.1806100000000002E-2</v>
      </c>
      <c r="AM110" s="1603">
        <f ca="1">OFFSET(POrigin,MATCH(Valori[[#This Row],[LUKB_id]],PID,0),MATCH("12W_PERF_PR",PLabel,0)-1,1,1)/100</f>
        <v>-1.0787789999999998E-2</v>
      </c>
      <c r="AN110" s="1603">
        <f ca="1">OFFSET(POrigin,MATCH(Valori[[#This Row],[LUKB_id]],PID,0),MATCH("YTD_PERF_PR",PLabel,0)-1,1,1)/100</f>
        <v>-4.3600124571784001E-3</v>
      </c>
      <c r="AO110" s="1591"/>
      <c r="AP110" s="1591"/>
      <c r="AQ110" s="1591"/>
      <c r="AR110" s="1591"/>
      <c r="AS110" s="1890" t="s">
        <v>1154</v>
      </c>
      <c r="AT110" s="1890" t="s">
        <v>1155</v>
      </c>
      <c r="AU110" s="610" t="s">
        <v>1156</v>
      </c>
      <c r="AV110" s="1891" t="s">
        <v>1157</v>
      </c>
      <c r="AW110" s="1604" t="str">
        <f ca="1">"https://boersenundmaerkte.lukb.ch/lukb/details/"&amp;Valori[[#This Row],[LUKB_id]]</f>
        <v>https://boersenundmaerkte.lukb.ch/lukb/details/10737041,361,333</v>
      </c>
      <c r="AX110" s="1605" t="str">
        <f>"https://www.marketscreener.com/mods_a/charts/TV/inc_dyna_graph.php?c="&amp;Valori[[#This Row],[MS_Code]]&amp;"&amp;style=TradingView.CANDLES&amp;interval=(null)&amp;mobile=(null)&amp;showAT=1"</f>
        <v>https://www.marketscreener.com/mods_a/charts/TV/inc_dyna_graph.php?c=9276710&amp;style=TradingView.CANDLES&amp;interval=(null)&amp;mobile=(null)&amp;showAT=1</v>
      </c>
      <c r="AY110" s="142"/>
      <c r="AZ110" s="142"/>
      <c r="BA110" s="142"/>
      <c r="BB110" s="142"/>
    </row>
    <row r="111" spans="1:54" ht="15" customHeight="1" x14ac:dyDescent="0.2">
      <c r="A111" s="142" t="s">
        <v>1158</v>
      </c>
      <c r="B111" s="142" t="str" cm="1">
        <f t="array" aca="1" ref="B111" ca="1">OFFSET(POrigin,MATCH(Valori[[#This Row],[smo_id]],Posizioni[smo_id],0),MATCH("LUKB_id",PIntestazioni,0)-1,1,1)</f>
        <v>36082553,361,333</v>
      </c>
      <c r="C111" s="1668" t="str">
        <f ca="1">HYPERLINK("https://boersenundmaerkte.lukb.ch/lukb/details/"&amp;Valori[[#This Row],[LUKB_id]],"è")</f>
        <v>è</v>
      </c>
      <c r="D111" s="142" t="str" cm="1">
        <f t="array" aca="1" ref="D111" ca="1">OFFSET(POrigin,MATCH(Valori[[#This Row],[LUKB_id]],PID,0),MATCH("SC_GROUPED",PIntestazioni,0)-1,1,1)</f>
        <v>ETF</v>
      </c>
      <c r="E111" s="413" t="str" cm="1">
        <f t="array" aca="1" ref="E111" ca="1">OFFSET(POrigin,MATCH(Valori[[#This Row],[LUKB_id]],PID,0),MATCH("isin",PIntestazioni,0)-1,1,1)</f>
        <v>IE00BDFL4P12</v>
      </c>
      <c r="F111" s="34" t="str" cm="1">
        <f t="array" aca="1" ref="F111" ca="1">OFFSET(POrigin,MATCH(Valori[[#This Row],[LUKB_id]],PID,0),MATCH("NSIN_CH",PLabel,0)-1,1,1)</f>
        <v>36082553</v>
      </c>
      <c r="G111" s="95" t="str" cm="1">
        <f t="array" aca="1" ref="G111" ca="1">IF(OFFSET(POrigin,MATCH(Valori[[#This Row],[LUKB_id]],PID,0),MATCH("INSTRUNIT",PLabel,0)-1,1,1)="Nominal","Pct","Unit")</f>
        <v>Unit</v>
      </c>
      <c r="H111" s="612">
        <f ca="1">MAX(OFFSET(POrigin,MATCH(Valori[[#This Row],[LUKB_id]],PID,0),MATCH("PRICINGAMT",PLabel,0)-1,1,1),1)</f>
        <v>1</v>
      </c>
      <c r="I111" s="615" t="str" cm="1">
        <f t="array" aca="1" ref="I111" ca="1">OFFSET(POrigin,MATCH(Valori[[#This Row],[LUKB_id]],PID,0),MATCH("M_NAME",PLabel,0)-1,1,1)</f>
        <v>iShares VI PLC - iShares Diversified Commodity  Swap UCITS ETF</v>
      </c>
      <c r="J111" s="142" t="s">
        <v>540</v>
      </c>
      <c r="K111" s="142" t="s">
        <v>784</v>
      </c>
      <c r="M111" s="142" t="str" cm="1">
        <f t="array" aca="1" ref="M1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Diversified Commodity Swap UCITS ETF</v>
      </c>
      <c r="N111" s="1563">
        <f ca="1">COUNTIF('CHF M'!smo_id,Valori[[#This Row],[smo_id]])+COUNTIF('CHF MA'!smo_id,Valori[[#This Row],[smo_id]])+COUNTIF('EUR MB'!smo_id,Valori[[#This Row],[smo_id]])+COUNTIF('EUR M'!smo_id,Valori[[#This Row],[smo_id]])+COUNTIF(AGCO!smo_id,Valori[[#This Row],[smo_id]])</f>
        <v>5</v>
      </c>
      <c r="O111" s="1590" cm="1">
        <f t="array" aca="1" ref="O111" ca="1">SUM(IF('CHF M'!smo_id=Valori[[#This Row],[smo_id]],'CHF M'!Posizione))+SUM(IF('CHF MA'!smo_id=Valori[[#This Row],[smo_id]],'CHF MA'!Posizione))+SUM(IF('EUR MB'!smo_id=Valori[[#This Row],[smo_id]],'EUR MB'!Posizione))+SUM(IF('EUR M'!smo_id=Valori[[#This Row],[smo_id]],'EUR M'!Posizione))+SUM(IF(AGCO!smo_id=Valori[[#This Row],[smo_id]],AGCO!Posizione))</f>
        <v>0</v>
      </c>
      <c r="P111" s="1661" t="str">
        <f ca="1">HYPERLINK(Valori[[#This Row],[P_Source]],"è")</f>
        <v>è</v>
      </c>
      <c r="Q111" s="1663" t="str">
        <f>HYPERLINK(Valori[[#This Row],[Info_W]],"i")</f>
        <v>i</v>
      </c>
      <c r="R111" s="1664" t="str">
        <f>HYPERLINK(Valori[[#This Row],[FN_W]],"")</f>
        <v></v>
      </c>
      <c r="S111" s="1665" t="str">
        <f>HYPERLINK(Valori[[#This Row],[MS_Link]],"")</f>
        <v></v>
      </c>
      <c r="T111" s="1665" t="str">
        <f>HYPERLINK(Valori[[#This Row],[C_source]],"")</f>
        <v></v>
      </c>
      <c r="U111" s="142" t="str" cm="1">
        <f t="array" aca="1" ref="U111" ca="1">OFFSET(POrigin,MATCH(Valori[[#This Row],[LUKB_id]],PID,0),MATCH("M_CUR",PLabel,0)-1,1,1)</f>
        <v>USD</v>
      </c>
      <c r="V111" s="1562">
        <f ca="1">(Valori[[#This Row],[Last]]+Valori[[#This Row],[Acc. Int]])/Valori[[#This Row],[Pr.Amt]]/IF(Valori[[#This Row],[P_Type]]="Pct",100,1)</f>
        <v>9.1725000000000012</v>
      </c>
      <c r="W111" s="1591" cm="1">
        <f t="array" aca="1" ref="W111" ca="1">OFFSET(POrigin,MATCH(Valori[[#This Row],[LUKB_id]],PID,0),MATCH("NC2_PR",PLabel,0)-1,1,1)/100</f>
        <v>1.4096185737977001E-2</v>
      </c>
      <c r="X111" s="1592" cm="1">
        <f t="array" aca="1" ref="X111" ca="1">OFFSET(POrigin,MATCH(Valori[[#This Row],[LUKB_id]],PID,0),MATCH("LVAL",PLabel,0)-1,1,1)</f>
        <v>9.1725000000000012</v>
      </c>
      <c r="Y111" s="1593" cm="1">
        <f t="array" aca="1" ref="Y111" ca="1">OFFSET(POrigin,MATCH(Valori[[#This Row],[LUKB_id]],PID,0),MATCH("LVAL:datetime",PLabel,0)-1,1,1)</f>
        <v>46084.732858796298</v>
      </c>
      <c r="Z111" s="1594" cm="1">
        <f t="array" aca="1" ref="Z111" ca="1">OFFSET(POrigin,MATCH(Valori[[#This Row],[LUKB_id]],PID,0),MATCH("BID:volume",PLabel,0)-1,1,1)</f>
        <v>700</v>
      </c>
      <c r="AA111" s="1595" cm="1">
        <f t="array" aca="1" ref="AA111" ca="1">OFFSET(POrigin,MATCH(Valori[[#This Row],[LUKB_id]],PID,0),MATCH("BID",PLabel,0)-1,1,1)</f>
        <v>8.2000000000000011</v>
      </c>
      <c r="AB111" s="1595" cm="1">
        <f t="array" aca="1" ref="AB111" ca="1">OFFSET(POrigin,MATCH(Valori[[#This Row],[LUKB_id]],PID,0),MATCH("ASK",PLabel,0)-1,1,1)</f>
        <v>9.99</v>
      </c>
      <c r="AC111" s="1594" cm="1">
        <f t="array" aca="1" ref="AC111" ca="1">OFFSET(POrigin,MATCH(Valori[[#This Row],[LUKB_id]],PID,0),MATCH("ASK:volume",PLabel,0)-1,1,1)</f>
        <v>300</v>
      </c>
      <c r="AD111" s="1596" cm="1">
        <f t="array" aca="1" ref="AD111" ca="1">OFFSET(POrigin,MATCH(Valori[[#This Row],[LUKB_id]],PID,0),MATCH("BID-ASK Spread %",PLabel,0)-1,1,1)</f>
        <v>0.13565744600227353</v>
      </c>
      <c r="AE111" s="1597" t="str" cm="1">
        <f t="array" aca="1" ref="AE111" ca="1">IF(OFFSET(POrigin,MATCH(Valori[[#This Row],[LUKB_id]],PID,0),MATCH("MATURITY",PLabel,0)-1,1,1)&gt;0,OFFSET(POrigin,MATCH(Valori[[#This Row],[LUKB_id]],PID,0),MATCH("MATURITY",PLabel,0)-1,1,1),"")</f>
        <v/>
      </c>
      <c r="AF111" s="1598" cm="1">
        <f t="array" aca="1" ref="AF111" ca="1">OFFSET(POrigin,MATCH(Valori[[#This Row],[LUKB_id]],PID,0),MATCH("ACCINT",PLabel,0)-1,1,1)</f>
        <v>0</v>
      </c>
      <c r="AG111" s="1594" cm="1">
        <f t="array" aca="1" ref="AG111" ca="1">OFFSET(POrigin,MATCH(Valori[[#This Row],[LUKB_id]],PID,0),MATCH("DENOM",PLabel,0)-1,1,1)</f>
        <v>0</v>
      </c>
      <c r="AH111" s="1599" cm="1">
        <f t="array" aca="1" ref="AH111" ca="1">(OFFSET(POrigin,MATCH(Valori[[#This Row],[LUKB_id]],PID,0),MATCH("YIELD",PLabel,0)-1,1,1)+OFFSET(POrigin,MATCH(Valori[[#This Row],[LUKB_id]],PID,0),MATCH("YLDEQ",PLabel,0)-1,1,1))/100</f>
        <v>0</v>
      </c>
      <c r="AI111" s="1600">
        <f ca="1">OFFSET(POrigin,MATCH(Valori[[#This Row],[LUKB_id]],PID,0),MATCH("DIVIDEND",PLabel,0)-1,1,1)</f>
        <v>0</v>
      </c>
      <c r="AJ111" s="1601">
        <f ca="1">OFFSET(POrigin,MATCH(Valori[[#This Row],[LUKB_id]],PID,0),MATCH("DIVIDEND:datetime",PLabel,0)-1,1,1)</f>
        <v>0</v>
      </c>
      <c r="AK111" s="1602">
        <f ca="1">OFFSET(POrigin,MATCH(Valori[[#This Row],[LUKB_id]],PID,0),MATCH("INTEREST",PLabel,0)-1,1,1)</f>
        <v>0</v>
      </c>
      <c r="AL111" s="1603">
        <f ca="1">OFFSET(POrigin,MATCH(Valori[[#This Row],[LUKB_id]],PID,0),MATCH("4W_PERF_PR",PLabel,0)-1,1,1)/100</f>
        <v>6.2862109999999999E-2</v>
      </c>
      <c r="AM111" s="1603">
        <f ca="1">OFFSET(POrigin,MATCH(Valori[[#This Row],[LUKB_id]],PID,0),MATCH("12W_PERF_PR",PLabel,0)-1,1,1)/100</f>
        <v>0.14979630000000002</v>
      </c>
      <c r="AN111" s="1603">
        <f ca="1">OFFSET(POrigin,MATCH(Valori[[#This Row],[LUKB_id]],PID,0),MATCH("YTD_PERF_PR",PLabel,0)-1,1,1)/100</f>
        <v>0.12850904553961401</v>
      </c>
      <c r="AO111" s="1591"/>
      <c r="AP111" s="1591"/>
      <c r="AQ111" s="1591"/>
      <c r="AR111" s="1591"/>
      <c r="AS111" s="1890" t="s">
        <v>1159</v>
      </c>
      <c r="AT111" s="1890" t="s">
        <v>1160</v>
      </c>
      <c r="AU111" s="610" t="s">
        <v>1161</v>
      </c>
      <c r="AV111" s="1891" t="s">
        <v>1162</v>
      </c>
      <c r="AW111" s="1604" t="str">
        <f ca="1">"https://boersenundmaerkte.lukb.ch/lukb/details/"&amp;Valori[[#This Row],[LUKB_id]]</f>
        <v>https://boersenundmaerkte.lukb.ch/lukb/details/36082553,361,333</v>
      </c>
      <c r="AX111" s="1605" t="str">
        <f>"https://www.zonebourse.com/mods_a/charts/TV/inc_dyna_graph.php?c="&amp;Valori[[#This Row],[MS_Code]]&amp;"&amp;style=TradingView.CANDLES&amp;interval=(null)&amp;mobile=(null)&amp;showAT=1"</f>
        <v>https://www.zonebourse.com/mods_a/charts/TV/inc_dyna_graph.php?c=37199564&amp;style=TradingView.CANDLES&amp;interval=(null)&amp;mobile=(null)&amp;showAT=1</v>
      </c>
      <c r="AY111" s="142"/>
      <c r="AZ111" s="142"/>
      <c r="BA111" s="142"/>
      <c r="BB111" s="142"/>
    </row>
    <row r="112" spans="1:54" ht="15" customHeight="1" x14ac:dyDescent="0.2">
      <c r="A112" s="142" t="s">
        <v>1163</v>
      </c>
      <c r="B112" s="142" t="str" cm="1">
        <f t="array" aca="1" ref="B112" ca="1">OFFSET(POrigin,MATCH(Valori[[#This Row],[smo_id]],Posizioni[smo_id],0),MATCH("LUKB_id",PIntestazioni,0)-1,1,1)</f>
        <v>18127378,4,1</v>
      </c>
      <c r="C112" s="1668" t="str">
        <f ca="1">HYPERLINK("https://boersenundmaerkte.lukb.ch/lukb/details/"&amp;Valori[[#This Row],[LUKB_id]],"è")</f>
        <v>è</v>
      </c>
      <c r="D112" s="142" t="str" cm="1">
        <f t="array" aca="1" ref="D112" ca="1">OFFSET(POrigin,MATCH(Valori[[#This Row],[LUKB_id]],PID,0),MATCH("SC_GROUPED",PIntestazioni,0)-1,1,1)</f>
        <v>ETF</v>
      </c>
      <c r="E112" s="413" t="str" cm="1">
        <f t="array" aca="1" ref="E112" ca="1">OFFSET(POrigin,MATCH(Valori[[#This Row],[LUKB_id]],PID,0),MATCH("isin",PIntestazioni,0)-1,1,1)</f>
        <v>IE00B6QGFW01</v>
      </c>
      <c r="F112" s="34" t="str" cm="1">
        <f t="array" aca="1" ref="F112" ca="1">OFFSET(POrigin,MATCH(Valori[[#This Row],[LUKB_id]],PID,0),MATCH("NSIN_CH",PLabel,0)-1,1,1)</f>
        <v>18127378</v>
      </c>
      <c r="G112" s="95" t="str" cm="1">
        <f t="array" aca="1" ref="G112" ca="1">IF(OFFSET(POrigin,MATCH(Valori[[#This Row],[LUKB_id]],PID,0),MATCH("INSTRUNIT",PLabel,0)-1,1,1)="Nominal","Pct","Unit")</f>
        <v>Unit</v>
      </c>
      <c r="H112" s="612">
        <f ca="1">MAX(OFFSET(POrigin,MATCH(Valori[[#This Row],[LUKB_id]],PID,0),MATCH("PRICINGAMT",PLabel,0)-1,1,1),1)</f>
        <v>1</v>
      </c>
      <c r="I112" s="615" t="str" cm="1">
        <f t="array" aca="1" ref="I112" ca="1">OFFSET(POrigin,MATCH(Valori[[#This Row],[LUKB_id]],PID,0),MATCH("M_NAME",PLabel,0)-1,1,1)</f>
        <v>iShares III PLC - iShares Emerging Asia Local Govt Bond UCITS ETF</v>
      </c>
      <c r="J112" s="142" t="s">
        <v>579</v>
      </c>
      <c r="M112" s="142" t="str" cm="1">
        <f t="array" aca="1" ref="M1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CHF</v>
      </c>
      <c r="N112" s="1563">
        <f ca="1">COUNTIF('CHF M'!smo_id,Valori[[#This Row],[smo_id]])+COUNTIF('CHF MA'!smo_id,Valori[[#This Row],[smo_id]])+COUNTIF('EUR MB'!smo_id,Valori[[#This Row],[smo_id]])+COUNTIF('EUR M'!smo_id,Valori[[#This Row],[smo_id]])+COUNTIF(AGCO!smo_id,Valori[[#This Row],[smo_id]])</f>
        <v>2</v>
      </c>
      <c r="O112" s="1590" cm="1">
        <f t="array" aca="1" ref="O112" ca="1">SUM(IF('CHF M'!smo_id=Valori[[#This Row],[smo_id]],'CHF M'!Posizione))+SUM(IF('CHF MA'!smo_id=Valori[[#This Row],[smo_id]],'CHF MA'!Posizione))+SUM(IF('EUR MB'!smo_id=Valori[[#This Row],[smo_id]],'EUR MB'!Posizione))+SUM(IF('EUR M'!smo_id=Valori[[#This Row],[smo_id]],'EUR M'!Posizione))+SUM(IF(AGCO!smo_id=Valori[[#This Row],[smo_id]],AGCO!Posizione))</f>
        <v>0</v>
      </c>
      <c r="P112" s="1661" t="str">
        <f ca="1">HYPERLINK(Valori[[#This Row],[P_Source]],"è")</f>
        <v>è</v>
      </c>
      <c r="Q112" s="1663" t="str">
        <f>HYPERLINK(Valori[[#This Row],[Info_W]],"i")</f>
        <v>i</v>
      </c>
      <c r="R112" s="1664" t="str">
        <f>HYPERLINK(Valori[[#This Row],[FN_W]],"")</f>
        <v></v>
      </c>
      <c r="S112" s="1665" t="str">
        <f>HYPERLINK(Valori[[#This Row],[MS_Link]],"")</f>
        <v></v>
      </c>
      <c r="T112" s="1665" t="str">
        <f>HYPERLINK(Valori[[#This Row],[C_source]],"")</f>
        <v></v>
      </c>
      <c r="U112" s="142" t="str" cm="1">
        <f t="array" aca="1" ref="U112" ca="1">OFFSET(POrigin,MATCH(Valori[[#This Row],[LUKB_id]],PID,0),MATCH("M_CUR",PLabel,0)-1,1,1)</f>
        <v>CHF</v>
      </c>
      <c r="V112" s="1562">
        <f ca="1">(Valori[[#This Row],[Last]]+Valori[[#This Row],[Acc. Int]])/Valori[[#This Row],[Pr.Amt]]/IF(Valori[[#This Row],[P_Type]]="Pct",100,1)</f>
        <v>68.064000000000007</v>
      </c>
      <c r="W112" s="1591" cm="1">
        <f t="array" aca="1" ref="W112" ca="1">OFFSET(POrigin,MATCH(Valori[[#This Row],[LUKB_id]],PID,0),MATCH("NC2_PR",PLabel,0)-1,1,1)/100</f>
        <v>1.527446300716E-2</v>
      </c>
      <c r="X112" s="1592" cm="1">
        <f t="array" aca="1" ref="X112" ca="1">OFFSET(POrigin,MATCH(Valori[[#This Row],[LUKB_id]],PID,0),MATCH("LVAL",PLabel,0)-1,1,1)</f>
        <v>68.064000000000007</v>
      </c>
      <c r="Y112" s="1593" cm="1">
        <f t="array" aca="1" ref="Y112" ca="1">OFFSET(POrigin,MATCH(Valori[[#This Row],[LUKB_id]],PID,0),MATCH("LVAL:datetime",PLabel,0)-1,1,1)</f>
        <v>46084.383645833332</v>
      </c>
      <c r="Z112" s="1594" cm="1">
        <f t="array" aca="1" ref="Z112" ca="1">OFFSET(POrigin,MATCH(Valori[[#This Row],[LUKB_id]],PID,0),MATCH("BID:volume",PLabel,0)-1,1,1)</f>
        <v>2432</v>
      </c>
      <c r="AA112" s="1595" cm="1">
        <f t="array" aca="1" ref="AA112" ca="1">OFFSET(POrigin,MATCH(Valori[[#This Row],[LUKB_id]],PID,0),MATCH("BID",PLabel,0)-1,1,1)</f>
        <v>66.957999999999998</v>
      </c>
      <c r="AB112" s="1595" cm="1">
        <f t="array" aca="1" ref="AB112" ca="1">OFFSET(POrigin,MATCH(Valori[[#This Row],[LUKB_id]],PID,0),MATCH("ASK",PLabel,0)-1,1,1)</f>
        <v>67.924000000000007</v>
      </c>
      <c r="AC112" s="1594" cm="1">
        <f t="array" aca="1" ref="AC112" ca="1">OFFSET(POrigin,MATCH(Valori[[#This Row],[LUKB_id]],PID,0),MATCH("ASK:volume",PLabel,0)-1,1,1)</f>
        <v>2432</v>
      </c>
      <c r="AD112" s="1596" cm="1">
        <f t="array" aca="1" ref="AD112" ca="1">OFFSET(POrigin,MATCH(Valori[[#This Row],[LUKB_id]],PID,0),MATCH("BID-ASK Spread %",PLabel,0)-1,1,1)</f>
        <v>9.5719381688466922E-3</v>
      </c>
      <c r="AE112" s="1597" t="str" cm="1">
        <f t="array" aca="1" ref="AE112" ca="1">IF(OFFSET(POrigin,MATCH(Valori[[#This Row],[LUKB_id]],PID,0),MATCH("MATURITY",PLabel,0)-1,1,1)&gt;0,OFFSET(POrigin,MATCH(Valori[[#This Row],[LUKB_id]],PID,0),MATCH("MATURITY",PLabel,0)-1,1,1),"")</f>
        <v/>
      </c>
      <c r="AF112" s="1598" cm="1">
        <f t="array" aca="1" ref="AF112" ca="1">OFFSET(POrigin,MATCH(Valori[[#This Row],[LUKB_id]],PID,0),MATCH("ACCINT",PLabel,0)-1,1,1)</f>
        <v>0</v>
      </c>
      <c r="AG112" s="1594" cm="1">
        <f t="array" aca="1" ref="AG112" ca="1">OFFSET(POrigin,MATCH(Valori[[#This Row],[LUKB_id]],PID,0),MATCH("DENOM",PLabel,0)-1,1,1)</f>
        <v>0</v>
      </c>
      <c r="AH112" s="1599" cm="1">
        <f t="array" aca="1" ref="AH112" ca="1">(OFFSET(POrigin,MATCH(Valori[[#This Row],[LUKB_id]],PID,0),MATCH("YIELD",PLabel,0)-1,1,1)+OFFSET(POrigin,MATCH(Valori[[#This Row],[LUKB_id]],PID,0),MATCH("YLDEQ",PLabel,0)-1,1,1))/100</f>
        <v>0</v>
      </c>
      <c r="AI112" s="1600">
        <f ca="1">OFFSET(POrigin,MATCH(Valori[[#This Row],[LUKB_id]],PID,0),MATCH("DIVIDEND",PLabel,0)-1,1,1)</f>
        <v>0</v>
      </c>
      <c r="AJ112" s="1601">
        <f ca="1">OFFSET(POrigin,MATCH(Valori[[#This Row],[LUKB_id]],PID,0),MATCH("DIVIDEND:datetime",PLabel,0)-1,1,1)</f>
        <v>0</v>
      </c>
      <c r="AK112" s="1602">
        <f ca="1">OFFSET(POrigin,MATCH(Valori[[#This Row],[LUKB_id]],PID,0),MATCH("INTEREST",PLabel,0)-1,1,1)</f>
        <v>0</v>
      </c>
      <c r="AL112" s="1603">
        <f ca="1">OFFSET(POrigin,MATCH(Valori[[#This Row],[LUKB_id]],PID,0),MATCH("4W_PERF_PR",PLabel,0)-1,1,1)/100</f>
        <v>8.6047757994402868E-3</v>
      </c>
      <c r="AM112" s="1603">
        <f ca="1">OFFSET(POrigin,MATCH(Valori[[#This Row],[LUKB_id]],PID,0),MATCH("12W_PERF_PR",PLabel,0)-1,1,1)/100</f>
        <v>-3.8925298606973642E-2</v>
      </c>
      <c r="AN112" s="1603">
        <f ca="1">OFFSET(POrigin,MATCH(Valori[[#This Row],[LUKB_id]],PID,0),MATCH("YTD_PERF_PR",PLabel,0)-1,1,1)/100</f>
        <v>-3.8522215529357702E-2</v>
      </c>
      <c r="AO112" s="1591"/>
      <c r="AP112" s="1591"/>
      <c r="AQ112" s="1591">
        <v>5.0000000000000001E-3</v>
      </c>
      <c r="AR112" s="1591"/>
      <c r="AS112" s="1890" t="s">
        <v>1164</v>
      </c>
      <c r="AT112" s="1890" t="s">
        <v>1165</v>
      </c>
      <c r="AU112" s="610" t="s">
        <v>1166</v>
      </c>
      <c r="AV112" s="1891" t="s">
        <v>1167</v>
      </c>
      <c r="AW112" s="1604" t="str">
        <f ca="1">"https://boersenundmaerkte.lukb.ch/lukb/details/"&amp;Valori[[#This Row],[LUKB_id]]</f>
        <v>https://boersenundmaerkte.lukb.ch/lukb/details/18127378,4,1</v>
      </c>
      <c r="AX112" s="1605"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2" s="142"/>
      <c r="AZ112" s="142"/>
      <c r="BA112" s="142"/>
      <c r="BB112" s="142"/>
    </row>
    <row r="113" spans="1:54" ht="15" customHeight="1" x14ac:dyDescent="0.2">
      <c r="A113" s="142" t="s">
        <v>1168</v>
      </c>
      <c r="B113" s="142" t="str" cm="1">
        <f t="array" aca="1" ref="B113" ca="1">OFFSET(POrigin,MATCH(Valori[[#This Row],[smo_id]],Posizioni[smo_id],0),MATCH("LUKB_id",PIntestazioni,0)-1,1,1)</f>
        <v>18127378,1703,814</v>
      </c>
      <c r="C113" s="1668" t="str">
        <f ca="1">HYPERLINK("https://boersenundmaerkte.lukb.ch/lukb/details/"&amp;Valori[[#This Row],[LUKB_id]],"è")</f>
        <v>è</v>
      </c>
      <c r="D113" s="142" t="str" cm="1">
        <f t="array" aca="1" ref="D113" ca="1">OFFSET(POrigin,MATCH(Valori[[#This Row],[LUKB_id]],PID,0),MATCH("SC_GROUPED",PIntestazioni,0)-1,1,1)</f>
        <v>ETF</v>
      </c>
      <c r="E113" s="413" t="str" cm="1">
        <f t="array" aca="1" ref="E113" ca="1">OFFSET(POrigin,MATCH(Valori[[#This Row],[LUKB_id]],PID,0),MATCH("isin",PIntestazioni,0)-1,1,1)</f>
        <v>IE00B6QGFW01</v>
      </c>
      <c r="F113" s="34" t="str" cm="1">
        <f t="array" aca="1" ref="F113" ca="1">OFFSET(POrigin,MATCH(Valori[[#This Row],[LUKB_id]],PID,0),MATCH("NSIN_CH",PLabel,0)-1,1,1)</f>
        <v>18127378</v>
      </c>
      <c r="G113" s="95" t="str" cm="1">
        <f t="array" aca="1" ref="G113" ca="1">IF(OFFSET(POrigin,MATCH(Valori[[#This Row],[LUKB_id]],PID,0),MATCH("INSTRUNIT",PLabel,0)-1,1,1)="Nominal","Pct","Unit")</f>
        <v>Unit</v>
      </c>
      <c r="H113" s="612">
        <f ca="1">MAX(OFFSET(POrigin,MATCH(Valori[[#This Row],[LUKB_id]],PID,0),MATCH("PRICINGAMT",PLabel,0)-1,1,1),1)</f>
        <v>1</v>
      </c>
      <c r="I113" s="615" t="str" cm="1">
        <f t="array" aca="1" ref="I113" ca="1">OFFSET(POrigin,MATCH(Valori[[#This Row],[LUKB_id]],PID,0),MATCH("M_NAME",PLabel,0)-1,1,1)</f>
        <v>iShares III PLC - iShares Emerging Asia Local Govt Bond UCITS ETF</v>
      </c>
      <c r="J113" s="142" t="s">
        <v>580</v>
      </c>
      <c r="M113" s="142" t="str" cm="1">
        <f t="array" aca="1" ref="M1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EUR</v>
      </c>
      <c r="N113" s="1563">
        <f ca="1">COUNTIF('CHF M'!smo_id,Valori[[#This Row],[smo_id]])+COUNTIF('CHF MA'!smo_id,Valori[[#This Row],[smo_id]])+COUNTIF('EUR MB'!smo_id,Valori[[#This Row],[smo_id]])+COUNTIF('EUR M'!smo_id,Valori[[#This Row],[smo_id]])+COUNTIF(AGCO!smo_id,Valori[[#This Row],[smo_id]])</f>
        <v>2</v>
      </c>
      <c r="O113" s="1590" cm="1">
        <f t="array" aca="1" ref="O113" ca="1">SUM(IF('CHF M'!smo_id=Valori[[#This Row],[smo_id]],'CHF M'!Posizione))+SUM(IF('CHF MA'!smo_id=Valori[[#This Row],[smo_id]],'CHF MA'!Posizione))+SUM(IF('EUR MB'!smo_id=Valori[[#This Row],[smo_id]],'EUR MB'!Posizione))+SUM(IF('EUR M'!smo_id=Valori[[#This Row],[smo_id]],'EUR M'!Posizione))+SUM(IF(AGCO!smo_id=Valori[[#This Row],[smo_id]],AGCO!Posizione))</f>
        <v>0</v>
      </c>
      <c r="P113" s="1661" t="str">
        <f ca="1">HYPERLINK(Valori[[#This Row],[P_Source]],"è")</f>
        <v>è</v>
      </c>
      <c r="Q113" s="1663" t="str">
        <f>HYPERLINK(Valori[[#This Row],[Info_W]],"i")</f>
        <v>i</v>
      </c>
      <c r="R113" s="1664" t="str">
        <f>HYPERLINK(Valori[[#This Row],[FN_W]],"")</f>
        <v></v>
      </c>
      <c r="S113" s="1665" t="str">
        <f>HYPERLINK(Valori[[#This Row],[MS_Link]],"")</f>
        <v></v>
      </c>
      <c r="T113" s="1665" t="str">
        <f>HYPERLINK(Valori[[#This Row],[C_source]],"")</f>
        <v></v>
      </c>
      <c r="U113" s="142" t="str" cm="1">
        <f t="array" aca="1" ref="U113" ca="1">OFFSET(POrigin,MATCH(Valori[[#This Row],[LUKB_id]],PID,0),MATCH("M_CUR",PLabel,0)-1,1,1)</f>
        <v>EUR</v>
      </c>
      <c r="V113" s="1562">
        <f ca="1">(Valori[[#This Row],[Last]]+Valori[[#This Row],[Acc. Int]])/Valori[[#This Row],[Pr.Amt]]/IF(Valori[[#This Row],[P_Type]]="Pct",100,1)</f>
        <v>74.448000000000008</v>
      </c>
      <c r="W113" s="1591" cm="1">
        <f t="array" aca="1" ref="W113" ca="1">OFFSET(POrigin,MATCH(Valori[[#This Row],[LUKB_id]],PID,0),MATCH("NC2_PR",PLabel,0)-1,1,1)/100</f>
        <v>2.0990312163616E-3</v>
      </c>
      <c r="X113" s="1592" cm="1">
        <f t="array" aca="1" ref="X113" ca="1">OFFSET(POrigin,MATCH(Valori[[#This Row],[LUKB_id]],PID,0),MATCH("LVAL",PLabel,0)-1,1,1)</f>
        <v>74.448000000000008</v>
      </c>
      <c r="Y113" s="1593" cm="1">
        <f t="array" aca="1" ref="Y113" ca="1">OFFSET(POrigin,MATCH(Valori[[#This Row],[LUKB_id]],PID,0),MATCH("LVAL:datetime",PLabel,0)-1,1,1)</f>
        <v>46083.73333333333</v>
      </c>
      <c r="Z113" s="1594" cm="1">
        <f t="array" aca="1" ref="Z113" ca="1">OFFSET(POrigin,MATCH(Valori[[#This Row],[LUKB_id]],PID,0),MATCH("BID:volume",PLabel,0)-1,1,1)</f>
        <v>0</v>
      </c>
      <c r="AA113" s="1595" cm="1">
        <f t="array" aca="1" ref="AA113" ca="1">OFFSET(POrigin,MATCH(Valori[[#This Row],[LUKB_id]],PID,0),MATCH("BID",PLabel,0)-1,1,1)</f>
        <v>0</v>
      </c>
      <c r="AB113" s="1595" cm="1">
        <f t="array" aca="1" ref="AB113" ca="1">OFFSET(POrigin,MATCH(Valori[[#This Row],[LUKB_id]],PID,0),MATCH("ASK",PLabel,0)-1,1,1)</f>
        <v>0</v>
      </c>
      <c r="AC113" s="1594" cm="1">
        <f t="array" aca="1" ref="AC113" ca="1">OFFSET(POrigin,MATCH(Valori[[#This Row],[LUKB_id]],PID,0),MATCH("ASK:volume",PLabel,0)-1,1,1)</f>
        <v>0</v>
      </c>
      <c r="AD113" s="1596" cm="1">
        <f t="array" aca="1" ref="AD113" ca="1">OFFSET(POrigin,MATCH(Valori[[#This Row],[LUKB_id]],PID,0),MATCH("BID-ASK Spread %",PLabel,0)-1,1,1)</f>
        <v>0</v>
      </c>
      <c r="AE113" s="1597" t="str" cm="1">
        <f t="array" aca="1" ref="AE113" ca="1">IF(OFFSET(POrigin,MATCH(Valori[[#This Row],[LUKB_id]],PID,0),MATCH("MATURITY",PLabel,0)-1,1,1)&gt;0,OFFSET(POrigin,MATCH(Valori[[#This Row],[LUKB_id]],PID,0),MATCH("MATURITY",PLabel,0)-1,1,1),"")</f>
        <v/>
      </c>
      <c r="AF113" s="1598" cm="1">
        <f t="array" aca="1" ref="AF113" ca="1">OFFSET(POrigin,MATCH(Valori[[#This Row],[LUKB_id]],PID,0),MATCH("ACCINT",PLabel,0)-1,1,1)</f>
        <v>0</v>
      </c>
      <c r="AG113" s="1594" cm="1">
        <f t="array" aca="1" ref="AG113" ca="1">OFFSET(POrigin,MATCH(Valori[[#This Row],[LUKB_id]],PID,0),MATCH("DENOM",PLabel,0)-1,1,1)</f>
        <v>0</v>
      </c>
      <c r="AH113" s="1599" cm="1">
        <f t="array" aca="1" ref="AH113" ca="1">(OFFSET(POrigin,MATCH(Valori[[#This Row],[LUKB_id]],PID,0),MATCH("YIELD",PLabel,0)-1,1,1)+OFFSET(POrigin,MATCH(Valori[[#This Row],[LUKB_id]],PID,0),MATCH("YLDEQ",PLabel,0)-1,1,1))/100</f>
        <v>0</v>
      </c>
      <c r="AI113" s="1600">
        <f ca="1">OFFSET(POrigin,MATCH(Valori[[#This Row],[LUKB_id]],PID,0),MATCH("DIVIDEND",PLabel,0)-1,1,1)</f>
        <v>1.4426489999999998</v>
      </c>
      <c r="AJ113" s="1601">
        <f ca="1">OFFSET(POrigin,MATCH(Valori[[#This Row],[LUKB_id]],PID,0),MATCH("DIVIDEND:datetime",PLabel,0)-1,1,1)</f>
        <v>42383</v>
      </c>
      <c r="AK113" s="1602">
        <f ca="1">OFFSET(POrigin,MATCH(Valori[[#This Row],[LUKB_id]],PID,0),MATCH("INTEREST",PLabel,0)-1,1,1)</f>
        <v>0</v>
      </c>
      <c r="AL113" s="1603">
        <f ca="1">OFFSET(POrigin,MATCH(Valori[[#This Row],[LUKB_id]],PID,0),MATCH("4W_PERF_PR",PLabel,0)-1,1,1)/100</f>
        <v>1.9053876478318143E-2</v>
      </c>
      <c r="AM113" s="1603">
        <f ca="1">OFFSET(POrigin,MATCH(Valori[[#This Row],[LUKB_id]],PID,0),MATCH("12W_PERF_PR",PLabel,0)-1,1,1)/100</f>
        <v>-1.0078983059862186E-2</v>
      </c>
      <c r="AN113" s="1603">
        <f ca="1">OFFSET(POrigin,MATCH(Valori[[#This Row],[LUKB_id]],PID,0),MATCH("YTD_PERF_PR",PLabel,0)-1,1,1)/100</f>
        <v>-8.4673554159121998E-3</v>
      </c>
      <c r="AO113" s="1591"/>
      <c r="AP113" s="1591"/>
      <c r="AQ113" s="1591">
        <v>5.0000000000000001E-3</v>
      </c>
      <c r="AR113" s="1591"/>
      <c r="AS113" s="1890" t="s">
        <v>1164</v>
      </c>
      <c r="AT113" s="1890" t="s">
        <v>1165</v>
      </c>
      <c r="AU113" s="610" t="s">
        <v>1166</v>
      </c>
      <c r="AV113" s="1891" t="s">
        <v>1169</v>
      </c>
      <c r="AW113" s="1604" t="str">
        <f ca="1">"https://boersenundmaerkte.lukb.ch/lukb/details/"&amp;Valori[[#This Row],[LUKB_id]]</f>
        <v>https://boersenundmaerkte.lukb.ch/lukb/details/18127378,1703,814</v>
      </c>
      <c r="AX113" s="1605"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3" s="142"/>
      <c r="AZ113" s="142"/>
      <c r="BA113" s="142"/>
      <c r="BB113" s="142"/>
    </row>
    <row r="114" spans="1:54" ht="15" customHeight="1" x14ac:dyDescent="0.2">
      <c r="A114" s="142" t="s">
        <v>1170</v>
      </c>
      <c r="B114" s="142" t="str" cm="1">
        <f t="array" aca="1" ref="B114" ca="1">OFFSET(POrigin,MATCH(Valori[[#This Row],[smo_id]],Posizioni[smo_id],0),MATCH("LUKB_id",PIntestazioni,0)-1,1,1)</f>
        <v>18127378,361,333</v>
      </c>
      <c r="C114" s="1668" t="str">
        <f ca="1">HYPERLINK("https://boersenundmaerkte.lukb.ch/lukb/details/"&amp;Valori[[#This Row],[LUKB_id]],"è")</f>
        <v>è</v>
      </c>
      <c r="D114" s="142" t="str" cm="1">
        <f t="array" aca="1" ref="D114" ca="1">OFFSET(POrigin,MATCH(Valori[[#This Row],[LUKB_id]],PID,0),MATCH("SC_GROUPED",PIntestazioni,0)-1,1,1)</f>
        <v>ETF</v>
      </c>
      <c r="E114" s="413" t="str" cm="1">
        <f t="array" aca="1" ref="E114" ca="1">OFFSET(POrigin,MATCH(Valori[[#This Row],[LUKB_id]],PID,0),MATCH("isin",PIntestazioni,0)-1,1,1)</f>
        <v>IE00B6QGFW01</v>
      </c>
      <c r="F114" s="34" t="str" cm="1">
        <f t="array" aca="1" ref="F114" ca="1">OFFSET(POrigin,MATCH(Valori[[#This Row],[LUKB_id]],PID,0),MATCH("NSIN_CH",PLabel,0)-1,1,1)</f>
        <v>18127378</v>
      </c>
      <c r="G114" s="95" t="str" cm="1">
        <f t="array" aca="1" ref="G114" ca="1">IF(OFFSET(POrigin,MATCH(Valori[[#This Row],[LUKB_id]],PID,0),MATCH("INSTRUNIT",PLabel,0)-1,1,1)="Nominal","Pct","Unit")</f>
        <v>Unit</v>
      </c>
      <c r="H114" s="612">
        <f ca="1">MAX(OFFSET(POrigin,MATCH(Valori[[#This Row],[LUKB_id]],PID,0),MATCH("PRICINGAMT",PLabel,0)-1,1,1),1)</f>
        <v>1</v>
      </c>
      <c r="I114" s="615" t="str" cm="1">
        <f t="array" aca="1" ref="I114" ca="1">OFFSET(POrigin,MATCH(Valori[[#This Row],[LUKB_id]],PID,0),MATCH("M_NAME",PLabel,0)-1,1,1)</f>
        <v>iShares III PLC - iShares Emerging Asia Local Govt Bond UCITS ETF</v>
      </c>
      <c r="J114" s="142" t="s">
        <v>752</v>
      </c>
      <c r="M114" s="142" t="str" cm="1">
        <f t="array" aca="1" ref="M1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USD</v>
      </c>
      <c r="N114" s="1563">
        <f ca="1">COUNTIF('CHF M'!smo_id,Valori[[#This Row],[smo_id]])+COUNTIF('CHF MA'!smo_id,Valori[[#This Row],[smo_id]])+COUNTIF('EUR MB'!smo_id,Valori[[#This Row],[smo_id]])+COUNTIF('EUR M'!smo_id,Valori[[#This Row],[smo_id]])+COUNTIF(AGCO!smo_id,Valori[[#This Row],[smo_id]])</f>
        <v>3</v>
      </c>
      <c r="O114" s="1590" cm="1">
        <f t="array" aca="1" ref="O114" ca="1">SUM(IF('CHF M'!smo_id=Valori[[#This Row],[smo_id]],'CHF M'!Posizione))+SUM(IF('CHF MA'!smo_id=Valori[[#This Row],[smo_id]],'CHF MA'!Posizione))+SUM(IF('EUR MB'!smo_id=Valori[[#This Row],[smo_id]],'EUR MB'!Posizione))+SUM(IF('EUR M'!smo_id=Valori[[#This Row],[smo_id]],'EUR M'!Posizione))+SUM(IF(AGCO!smo_id=Valori[[#This Row],[smo_id]],AGCO!Posizione))</f>
        <v>1300</v>
      </c>
      <c r="P114" s="1661" t="str">
        <f ca="1">HYPERLINK(Valori[[#This Row],[P_Source]],"è")</f>
        <v>è</v>
      </c>
      <c r="Q114" s="1663" t="str">
        <f>HYPERLINK(Valori[[#This Row],[Info_W]],"i")</f>
        <v>i</v>
      </c>
      <c r="R114" s="1664" t="str">
        <f>HYPERLINK(Valori[[#This Row],[FN_W]],"")</f>
        <v></v>
      </c>
      <c r="S114" s="1665" t="str">
        <f>HYPERLINK(Valori[[#This Row],[MS_Link]],"")</f>
        <v></v>
      </c>
      <c r="T114" s="1665" t="str">
        <f>HYPERLINK(Valori[[#This Row],[C_source]],"")</f>
        <v></v>
      </c>
      <c r="U114" s="142" t="str" cm="1">
        <f t="array" aca="1" ref="U114" ca="1">OFFSET(POrigin,MATCH(Valori[[#This Row],[LUKB_id]],PID,0),MATCH("M_CUR",PLabel,0)-1,1,1)</f>
        <v>USD</v>
      </c>
      <c r="V114" s="1562">
        <f ca="1">(Valori[[#This Row],[Last]]+Valori[[#This Row],[Acc. Int]])/Valori[[#This Row],[Pr.Amt]]/IF(Valori[[#This Row],[P_Type]]="Pct",100,1)</f>
        <v>85.98</v>
      </c>
      <c r="W114" s="1591" cm="1">
        <f t="array" aca="1" ref="W114" ca="1">OFFSET(POrigin,MATCH(Valori[[#This Row],[LUKB_id]],PID,0),MATCH("NC2_PR",PLabel,0)-1,1,1)/100</f>
        <v>-6.8168688619294005E-3</v>
      </c>
      <c r="X114" s="1592" cm="1">
        <f t="array" aca="1" ref="X114" ca="1">OFFSET(POrigin,MATCH(Valori[[#This Row],[LUKB_id]],PID,0),MATCH("LVAL",PLabel,0)-1,1,1)</f>
        <v>85.98</v>
      </c>
      <c r="Y114" s="1593" cm="1">
        <f t="array" aca="1" ref="Y114" ca="1">OFFSET(POrigin,MATCH(Valori[[#This Row],[LUKB_id]],PID,0),MATCH("LVAL:datetime",PLabel,0)-1,1,1)</f>
        <v>46084.732719907406</v>
      </c>
      <c r="Z114" s="1594" cm="1">
        <f t="array" aca="1" ref="Z114" ca="1">OFFSET(POrigin,MATCH(Valori[[#This Row],[LUKB_id]],PID,0),MATCH("BID:volume",PLabel,0)-1,1,1)</f>
        <v>8200</v>
      </c>
      <c r="AA114" s="1595" cm="1">
        <f t="array" aca="1" ref="AA114" ca="1">OFFSET(POrigin,MATCH(Valori[[#This Row],[LUKB_id]],PID,0),MATCH("BID",PLabel,0)-1,1,1)</f>
        <v>84.88</v>
      </c>
      <c r="AB114" s="1595" cm="1">
        <f t="array" aca="1" ref="AB114" ca="1">OFFSET(POrigin,MATCH(Valori[[#This Row],[LUKB_id]],PID,0),MATCH("ASK",PLabel,0)-1,1,1)</f>
        <v>86.75</v>
      </c>
      <c r="AC114" s="1594" cm="1">
        <f t="array" aca="1" ref="AC114" ca="1">OFFSET(POrigin,MATCH(Valori[[#This Row],[LUKB_id]],PID,0),MATCH("ASK:volume",PLabel,0)-1,1,1)</f>
        <v>8200</v>
      </c>
      <c r="AD114" s="1596" cm="1">
        <f t="array" aca="1" ref="AD114" ca="1">OFFSET(POrigin,MATCH(Valori[[#This Row],[LUKB_id]],PID,0),MATCH("BID-ASK Spread %",PLabel,0)-1,1,1)</f>
        <v>1.4580328252309888E-2</v>
      </c>
      <c r="AE114" s="1597" t="str" cm="1">
        <f t="array" aca="1" ref="AE114" ca="1">IF(OFFSET(POrigin,MATCH(Valori[[#This Row],[LUKB_id]],PID,0),MATCH("MATURITY",PLabel,0)-1,1,1)&gt;0,OFFSET(POrigin,MATCH(Valori[[#This Row],[LUKB_id]],PID,0),MATCH("MATURITY",PLabel,0)-1,1,1),"")</f>
        <v/>
      </c>
      <c r="AF114" s="1598" cm="1">
        <f t="array" aca="1" ref="AF114" ca="1">OFFSET(POrigin,MATCH(Valori[[#This Row],[LUKB_id]],PID,0),MATCH("ACCINT",PLabel,0)-1,1,1)</f>
        <v>0</v>
      </c>
      <c r="AG114" s="1594" cm="1">
        <f t="array" aca="1" ref="AG114" ca="1">OFFSET(POrigin,MATCH(Valori[[#This Row],[LUKB_id]],PID,0),MATCH("DENOM",PLabel,0)-1,1,1)</f>
        <v>0</v>
      </c>
      <c r="AH114" s="1599" cm="1">
        <f t="array" aca="1" ref="AH114" ca="1">(OFFSET(POrigin,MATCH(Valori[[#This Row],[LUKB_id]],PID,0),MATCH("YIELD",PLabel,0)-1,1,1)+OFFSET(POrigin,MATCH(Valori[[#This Row],[LUKB_id]],PID,0),MATCH("YLDEQ",PLabel,0)-1,1,1))/100</f>
        <v>0</v>
      </c>
      <c r="AI114" s="1600">
        <f ca="1">OFFSET(POrigin,MATCH(Valori[[#This Row],[LUKB_id]],PID,0),MATCH("DIVIDEND",PLabel,0)-1,1,1)</f>
        <v>0</v>
      </c>
      <c r="AJ114" s="1601">
        <f ca="1">OFFSET(POrigin,MATCH(Valori[[#This Row],[LUKB_id]],PID,0),MATCH("DIVIDEND:datetime",PLabel,0)-1,1,1)</f>
        <v>0</v>
      </c>
      <c r="AK114" s="1602">
        <f ca="1">OFFSET(POrigin,MATCH(Valori[[#This Row],[LUKB_id]],PID,0),MATCH("INTEREST",PLabel,0)-1,1,1)</f>
        <v>0</v>
      </c>
      <c r="AL114" s="1603">
        <f ca="1">OFFSET(POrigin,MATCH(Valori[[#This Row],[LUKB_id]],PID,0),MATCH("4W_PERF_PR",PLabel,0)-1,1,1)/100</f>
        <v>-3.2467500000000001E-3</v>
      </c>
      <c r="AM114" s="1603">
        <f ca="1">OFFSET(POrigin,MATCH(Valori[[#This Row],[LUKB_id]],PID,0),MATCH("12W_PERF_PR",PLabel,0)-1,1,1)/100</f>
        <v>-1.2634959999999999E-2</v>
      </c>
      <c r="AN114" s="1603">
        <f ca="1">OFFSET(POrigin,MATCH(Valori[[#This Row],[LUKB_id]],PID,0),MATCH("YTD_PERF_PR",PLabel,0)-1,1,1)/100</f>
        <v>-1.9096730322434502E-2</v>
      </c>
      <c r="AO114" s="1591"/>
      <c r="AP114" s="1591"/>
      <c r="AQ114" s="1591">
        <v>5.0000000000000001E-3</v>
      </c>
      <c r="AR114" s="1591"/>
      <c r="AS114" s="1890" t="s">
        <v>1171</v>
      </c>
      <c r="AT114" s="1890" t="s">
        <v>1165</v>
      </c>
      <c r="AU114" s="610" t="s">
        <v>1166</v>
      </c>
      <c r="AV114" s="1891" t="s">
        <v>1164</v>
      </c>
      <c r="AW114" s="1604" t="str">
        <f ca="1">"https://boersenundmaerkte.lukb.ch/lukb/details/"&amp;Valori[[#This Row],[LUKB_id]]</f>
        <v>https://boersenundmaerkte.lukb.ch/lukb/details/18127378,361,333</v>
      </c>
      <c r="AX114" s="1605"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4" s="142"/>
      <c r="AZ114" s="142"/>
      <c r="BA114" s="142"/>
      <c r="BB114" s="142"/>
    </row>
    <row r="115" spans="1:54" ht="15" customHeight="1" x14ac:dyDescent="0.2">
      <c r="A115" s="142" t="s">
        <v>1172</v>
      </c>
      <c r="B115" s="142" t="str" cm="1">
        <f t="array" aca="1" ref="B115" ca="1">OFFSET(POrigin,MATCH(Valori[[#This Row],[smo_id]],Posizioni[smo_id],0),MATCH("LUKB_id",PIntestazioni,0)-1,1,1)</f>
        <v>14149598,321,333</v>
      </c>
      <c r="C115" s="1668" t="str">
        <f ca="1">HYPERLINK("https://boersenundmaerkte.lukb.ch/lukb/details/"&amp;Valori[[#This Row],[LUKB_id]],"è")</f>
        <v>è</v>
      </c>
      <c r="D115" s="142" t="str" cm="1">
        <f t="array" aca="1" ref="D115" ca="1">OFFSET(POrigin,MATCH(Valori[[#This Row],[LUKB_id]],PID,0),MATCH("SC_GROUPED",PIntestazioni,0)-1,1,1)</f>
        <v>ETF</v>
      </c>
      <c r="E115" s="413" t="str" cm="1">
        <f t="array" aca="1" ref="E115" ca="1">OFFSET(POrigin,MATCH(Valori[[#This Row],[LUKB_id]],PID,0),MATCH("isin",PIntestazioni,0)-1,1,1)</f>
        <v>US4642865178</v>
      </c>
      <c r="F115" s="34" t="str" cm="1">
        <f t="array" aca="1" ref="F115" ca="1">OFFSET(POrigin,MATCH(Valori[[#This Row],[LUKB_id]],PID,0),MATCH("NSIN_CH",PLabel,0)-1,1,1)</f>
        <v>14149598</v>
      </c>
      <c r="G115" s="95" t="str" cm="1">
        <f t="array" aca="1" ref="G115" ca="1">IF(OFFSET(POrigin,MATCH(Valori[[#This Row],[LUKB_id]],PID,0),MATCH("INSTRUNIT",PLabel,0)-1,1,1)="Nominal","Pct","Unit")</f>
        <v>Unit</v>
      </c>
      <c r="H115" s="612">
        <f ca="1">MAX(OFFSET(POrigin,MATCH(Valori[[#This Row],[LUKB_id]],PID,0),MATCH("PRICINGAMT",PLabel,0)-1,1,1),1)</f>
        <v>1</v>
      </c>
      <c r="I115" s="615" t="str" cm="1">
        <f t="array" aca="1" ref="I115" ca="1">OFFSET(POrigin,MATCH(Valori[[#This Row],[LUKB_id]],PID,0),MATCH("M_NAME",PLabel,0)-1,1,1)</f>
        <v>iShares J.P. Morgan EM Local Currency Bond ETF</v>
      </c>
      <c r="J115" s="142" t="s">
        <v>841</v>
      </c>
      <c r="M115" s="142" t="str" cm="1">
        <f t="array" aca="1" ref="M1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Markets Local Currency Bond</v>
      </c>
      <c r="N115" s="1563">
        <f ca="1">COUNTIF('CHF M'!smo_id,Valori[[#This Row],[smo_id]])+COUNTIF('CHF MA'!smo_id,Valori[[#This Row],[smo_id]])+COUNTIF('EUR MB'!smo_id,Valori[[#This Row],[smo_id]])+COUNTIF('EUR M'!smo_id,Valori[[#This Row],[smo_id]])+COUNTIF(AGCO!smo_id,Valori[[#This Row],[smo_id]])</f>
        <v>2</v>
      </c>
      <c r="O115" s="1590" cm="1">
        <f t="array" aca="1" ref="O115" ca="1">SUM(IF('CHF M'!smo_id=Valori[[#This Row],[smo_id]],'CHF M'!Posizione))+SUM(IF('CHF MA'!smo_id=Valori[[#This Row],[smo_id]],'CHF MA'!Posizione))+SUM(IF('EUR MB'!smo_id=Valori[[#This Row],[smo_id]],'EUR MB'!Posizione))+SUM(IF('EUR M'!smo_id=Valori[[#This Row],[smo_id]],'EUR M'!Posizione))+SUM(IF(AGCO!smo_id=Valori[[#This Row],[smo_id]],AGCO!Posizione))</f>
        <v>0</v>
      </c>
      <c r="P115" s="1661" t="str">
        <f ca="1">HYPERLINK(Valori[[#This Row],[P_Source]],"è")</f>
        <v>è</v>
      </c>
      <c r="Q115" s="1663" t="str">
        <f>HYPERLINK(Valori[[#This Row],[Info_W]],"i")</f>
        <v>i</v>
      </c>
      <c r="R115" s="1664" t="str">
        <f>HYPERLINK(Valori[[#This Row],[FN_W]],"")</f>
        <v></v>
      </c>
      <c r="S115" s="1665" t="str">
        <f>HYPERLINK(Valori[[#This Row],[MS_Link]],"")</f>
        <v></v>
      </c>
      <c r="T115" s="1665" t="str">
        <f>HYPERLINK(Valori[[#This Row],[C_source]],"")</f>
        <v></v>
      </c>
      <c r="U115" s="142" t="str" cm="1">
        <f t="array" aca="1" ref="U115" ca="1">OFFSET(POrigin,MATCH(Valori[[#This Row],[LUKB_id]],PID,0),MATCH("M_CUR",PLabel,0)-1,1,1)</f>
        <v>USD</v>
      </c>
      <c r="V115" s="1562">
        <f ca="1">(Valori[[#This Row],[Last]]+Valori[[#This Row],[Acc. Int]])/Valori[[#This Row],[Pr.Amt]]/IF(Valori[[#This Row],[P_Type]]="Pct",100,1)</f>
        <v>41.71</v>
      </c>
      <c r="W115" s="1591" cm="1">
        <f t="array" aca="1" ref="W115" ca="1">OFFSET(POrigin,MATCH(Valori[[#This Row],[LUKB_id]],PID,0),MATCH("NC2_PR",PLabel,0)-1,1,1)/100</f>
        <v>-1.9049858889934299E-2</v>
      </c>
      <c r="X115" s="1592" cm="1">
        <f t="array" aca="1" ref="X115" ca="1">OFFSET(POrigin,MATCH(Valori[[#This Row],[LUKB_id]],PID,0),MATCH("LVAL",PLabel,0)-1,1,1)</f>
        <v>41.71</v>
      </c>
      <c r="Y115" s="1593" cm="1">
        <f t="array" aca="1" ref="Y115" ca="1">OFFSET(POrigin,MATCH(Valori[[#This Row],[LUKB_id]],PID,0),MATCH("LVAL:datetime",PLabel,0)-1,1,1)</f>
        <v>46084.784328703703</v>
      </c>
      <c r="Z115" s="1594" cm="1">
        <f t="array" aca="1" ref="Z115" ca="1">OFFSET(POrigin,MATCH(Valori[[#This Row],[LUKB_id]],PID,0),MATCH("BID:volume",PLabel,0)-1,1,1)</f>
        <v>200</v>
      </c>
      <c r="AA115" s="1595" cm="1">
        <f t="array" aca="1" ref="AA115" ca="1">OFFSET(POrigin,MATCH(Valori[[#This Row],[LUKB_id]],PID,0),MATCH("BID",PLabel,0)-1,1,1)</f>
        <v>41.7</v>
      </c>
      <c r="AB115" s="1595" cm="1">
        <f t="array" aca="1" ref="AB115" ca="1">OFFSET(POrigin,MATCH(Valori[[#This Row],[LUKB_id]],PID,0),MATCH("ASK",PLabel,0)-1,1,1)</f>
        <v>41.72</v>
      </c>
      <c r="AC115" s="1594" cm="1">
        <f t="array" aca="1" ref="AC115" ca="1">OFFSET(POrigin,MATCH(Valori[[#This Row],[LUKB_id]],PID,0),MATCH("ASK:volume",PLabel,0)-1,1,1)</f>
        <v>200</v>
      </c>
      <c r="AD115" s="1596" cm="1">
        <f t="array" aca="1" ref="AD115" ca="1">OFFSET(POrigin,MATCH(Valori[[#This Row],[LUKB_id]],PID,0),MATCH("BID-ASK Spread %",PLabel,0)-1,1,1)</f>
        <v>3.1969309462909239E-4</v>
      </c>
      <c r="AE115" s="1597" t="str" cm="1">
        <f t="array" aca="1" ref="AE115" ca="1">IF(OFFSET(POrigin,MATCH(Valori[[#This Row],[LUKB_id]],PID,0),MATCH("MATURITY",PLabel,0)-1,1,1)&gt;0,OFFSET(POrigin,MATCH(Valori[[#This Row],[LUKB_id]],PID,0),MATCH("MATURITY",PLabel,0)-1,1,1),"")</f>
        <v/>
      </c>
      <c r="AF115" s="1598" cm="1">
        <f t="array" aca="1" ref="AF115" ca="1">OFFSET(POrigin,MATCH(Valori[[#This Row],[LUKB_id]],PID,0),MATCH("ACCINT",PLabel,0)-1,1,1)</f>
        <v>0</v>
      </c>
      <c r="AG115" s="1594" cm="1">
        <f t="array" aca="1" ref="AG115" ca="1">OFFSET(POrigin,MATCH(Valori[[#This Row],[LUKB_id]],PID,0),MATCH("DENOM",PLabel,0)-1,1,1)</f>
        <v>0</v>
      </c>
      <c r="AH115" s="1599" cm="1">
        <f t="array" aca="1" ref="AH115" ca="1">(OFFSET(POrigin,MATCH(Valori[[#This Row],[LUKB_id]],PID,0),MATCH("YIELD",PLabel,0)-1,1,1)+OFFSET(POrigin,MATCH(Valori[[#This Row],[LUKB_id]],PID,0),MATCH("YLDEQ",PLabel,0)-1,1,1))/100</f>
        <v>0</v>
      </c>
      <c r="AI115" s="1600">
        <f ca="1">OFFSET(POrigin,MATCH(Valori[[#This Row],[LUKB_id]],PID,0),MATCH("DIVIDEND",PLabel,0)-1,1,1)</f>
        <v>1.0152800000000002</v>
      </c>
      <c r="AJ115" s="1601">
        <f ca="1">OFFSET(POrigin,MATCH(Valori[[#This Row],[LUKB_id]],PID,0),MATCH("DIVIDEND:datetime",PLabel,0)-1,1,1)</f>
        <v>46010</v>
      </c>
      <c r="AK115" s="1602">
        <f ca="1">OFFSET(POrigin,MATCH(Valori[[#This Row],[LUKB_id]],PID,0),MATCH("INTEREST",PLabel,0)-1,1,1)</f>
        <v>0</v>
      </c>
      <c r="AL115" s="1603">
        <f ca="1">OFFSET(POrigin,MATCH(Valori[[#This Row],[LUKB_id]],PID,0),MATCH("4W_PERF_PR",PLabel,0)-1,1,1)/100</f>
        <v>-1.835726E-2</v>
      </c>
      <c r="AM115" s="1603">
        <f ca="1">OFFSET(POrigin,MATCH(Valori[[#This Row],[LUKB_id]],PID,0),MATCH("12W_PERF_PR",PLabel,0)-1,1,1)/100</f>
        <v>-5.365449999999999E-3</v>
      </c>
      <c r="AN115" s="1603">
        <f ca="1">OFFSET(POrigin,MATCH(Valori[[#This Row],[LUKB_id]],PID,0),MATCH("YTD_PERF_PR",PLabel,0)-1,1,1)/100</f>
        <v>2.2853019004089599E-2</v>
      </c>
      <c r="AO115" s="1591"/>
      <c r="AP115" s="1591"/>
      <c r="AQ115" s="1591"/>
      <c r="AR115" s="1591"/>
      <c r="AS115" s="1890" t="s">
        <v>877</v>
      </c>
      <c r="AT115" s="1890" t="s">
        <v>1173</v>
      </c>
      <c r="AU115" s="610" t="s">
        <v>1174</v>
      </c>
      <c r="AV115" s="1891" t="s">
        <v>1175</v>
      </c>
      <c r="AW115" s="1604" t="str">
        <f ca="1">"https://boersenundmaerkte.lukb.ch/lukb/details/"&amp;Valori[[#This Row],[LUKB_id]]</f>
        <v>https://boersenundmaerkte.lukb.ch/lukb/details/14149598,321,333</v>
      </c>
      <c r="AX115" s="1605" t="str">
        <f>"https://www.marketscreener.com/mods_a/charts/TV/inc_dyna_graph.php?c="&amp;Valori[[#This Row],[MS_Code]]&amp;"&amp;style=TradingView.CANDLES&amp;interval=(null)&amp;mobile=(null)&amp;showAT=1"</f>
        <v>https://www.marketscreener.com/mods_a/charts/TV/inc_dyna_graph.php?c=29426350&amp;style=TradingView.CANDLES&amp;interval=(null)&amp;mobile=(null)&amp;showAT=1</v>
      </c>
      <c r="AY115" s="142"/>
      <c r="AZ115" s="142"/>
      <c r="BA115" s="142"/>
      <c r="BB115" s="142"/>
    </row>
    <row r="116" spans="1:54" ht="15" customHeight="1" x14ac:dyDescent="0.2">
      <c r="A116" s="142" t="s">
        <v>1176</v>
      </c>
      <c r="B116" s="142" t="str" cm="1">
        <f t="array" aca="1" ref="B116" ca="1">OFFSET(POrigin,MATCH(Valori[[#This Row],[smo_id]],Posizioni[smo_id],0),MATCH("LUKB_id",PIntestazioni,0)-1,1,1)</f>
        <v>10012758,16,814</v>
      </c>
      <c r="C116" s="1668" t="str">
        <f ca="1">HYPERLINK("https://boersenundmaerkte.lukb.ch/lukb/details/"&amp;Valori[[#This Row],[LUKB_id]],"è")</f>
        <v>è</v>
      </c>
      <c r="D116" s="142" t="str" cm="1">
        <f t="array" aca="1" ref="D116" ca="1">OFFSET(POrigin,MATCH(Valori[[#This Row],[LUKB_id]],PID,0),MATCH("SC_GROUPED",PIntestazioni,0)-1,1,1)</f>
        <v>ETF</v>
      </c>
      <c r="E116" s="413" t="str" cm="1">
        <f t="array" aca="1" ref="E116" ca="1">OFFSET(POrigin,MATCH(Valori[[#This Row],[LUKB_id]],PID,0),MATCH("isin",PIntestazioni,0)-1,1,1)</f>
        <v>IE00B3DKXQ41</v>
      </c>
      <c r="F116" s="34" t="str" cm="1">
        <f t="array" aca="1" ref="F116" ca="1">OFFSET(POrigin,MATCH(Valori[[#This Row],[LUKB_id]],PID,0),MATCH("NSIN_CH",PLabel,0)-1,1,1)</f>
        <v>10012758</v>
      </c>
      <c r="G116" s="95" t="str" cm="1">
        <f t="array" aca="1" ref="G116" ca="1">IF(OFFSET(POrigin,MATCH(Valori[[#This Row],[LUKB_id]],PID,0),MATCH("INSTRUNIT",PLabel,0)-1,1,1)="Nominal","Pct","Unit")</f>
        <v>Unit</v>
      </c>
      <c r="H116" s="612">
        <f ca="1">MAX(OFFSET(POrigin,MATCH(Valori[[#This Row],[LUKB_id]],PID,0),MATCH("PRICINGAMT",PLabel,0)-1,1,1),1)</f>
        <v>1</v>
      </c>
      <c r="I116" s="615" t="str" cm="1">
        <f t="array" aca="1" ref="I116" ca="1">OFFSET(POrigin,MATCH(Valori[[#This Row],[LUKB_id]],PID,0),MATCH("M_NAME",PLabel,0)-1,1,1)</f>
        <v>iShares III PLC - iShares Euro Aggregate Bond ESG SRI UCITS ETF</v>
      </c>
      <c r="J116" s="142" t="s">
        <v>839</v>
      </c>
      <c r="M116" s="142" t="str" cm="1">
        <f t="array" aca="1" ref="M1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EUR Aggregate Bond UCITS</v>
      </c>
      <c r="N116" s="1563">
        <f ca="1">COUNTIF('CHF M'!smo_id,Valori[[#This Row],[smo_id]])+COUNTIF('CHF MA'!smo_id,Valori[[#This Row],[smo_id]])+COUNTIF('EUR MB'!smo_id,Valori[[#This Row],[smo_id]])+COUNTIF('EUR M'!smo_id,Valori[[#This Row],[smo_id]])+COUNTIF(AGCO!smo_id,Valori[[#This Row],[smo_id]])</f>
        <v>1</v>
      </c>
      <c r="O116" s="1590" cm="1">
        <f t="array" aca="1" ref="O116" ca="1">SUM(IF('CHF M'!smo_id=Valori[[#This Row],[smo_id]],'CHF M'!Posizione))+SUM(IF('CHF MA'!smo_id=Valori[[#This Row],[smo_id]],'CHF MA'!Posizione))+SUM(IF('EUR MB'!smo_id=Valori[[#This Row],[smo_id]],'EUR MB'!Posizione))+SUM(IF('EUR M'!smo_id=Valori[[#This Row],[smo_id]],'EUR M'!Posizione))+SUM(IF(AGCO!smo_id=Valori[[#This Row],[smo_id]],AGCO!Posizione))</f>
        <v>0</v>
      </c>
      <c r="P116" s="1661" t="str">
        <f ca="1">HYPERLINK(Valori[[#This Row],[P_Source]],"è")</f>
        <v>è</v>
      </c>
      <c r="Q116" s="1663" t="str">
        <f>HYPERLINK(Valori[[#This Row],[Info_W]],"i")</f>
        <v>i</v>
      </c>
      <c r="R116" s="1664" t="str">
        <f>HYPERLINK(Valori[[#This Row],[FN_W]],"")</f>
        <v></v>
      </c>
      <c r="S116" s="1665" t="str">
        <f>HYPERLINK(Valori[[#This Row],[MS_Link]],"")</f>
        <v></v>
      </c>
      <c r="T116" s="1665" t="str">
        <f>HYPERLINK(Valori[[#This Row],[C_source]],"")</f>
        <v></v>
      </c>
      <c r="U116" s="142" t="str" cm="1">
        <f t="array" aca="1" ref="U116" ca="1">OFFSET(POrigin,MATCH(Valori[[#This Row],[LUKB_id]],PID,0),MATCH("M_CUR",PLabel,0)-1,1,1)</f>
        <v>EUR</v>
      </c>
      <c r="V116" s="1562">
        <f ca="1">(Valori[[#This Row],[Last]]+Valori[[#This Row],[Acc. Int]])/Valori[[#This Row],[Pr.Amt]]/IF(Valori[[#This Row],[P_Type]]="Pct",100,1)</f>
        <v>107.9</v>
      </c>
      <c r="W116" s="1591" cm="1">
        <f t="array" aca="1" ref="W116" ca="1">OFFSET(POrigin,MATCH(Valori[[#This Row],[LUKB_id]],PID,0),MATCH("NC2_PR",PLabel,0)-1,1,1)/100</f>
        <v>-3.2145481263776998E-3</v>
      </c>
      <c r="X116" s="1592" cm="1">
        <f t="array" aca="1" ref="X116" ca="1">OFFSET(POrigin,MATCH(Valori[[#This Row],[LUKB_id]],PID,0),MATCH("LVAL",PLabel,0)-1,1,1)</f>
        <v>107.9</v>
      </c>
      <c r="Y116" s="1593" cm="1">
        <f t="array" aca="1" ref="Y116" ca="1">OFFSET(POrigin,MATCH(Valori[[#This Row],[LUKB_id]],PID,0),MATCH("LVAL:datetime",PLabel,0)-1,1,1)</f>
        <v>46084.781388888892</v>
      </c>
      <c r="Z116" s="1594" cm="1">
        <f t="array" aca="1" ref="Z116" ca="1">OFFSET(POrigin,MATCH(Valori[[#This Row],[LUKB_id]],PID,0),MATCH("BID:volume",PLabel,0)-1,1,1)</f>
        <v>38</v>
      </c>
      <c r="AA116" s="1595" cm="1">
        <f t="array" aca="1" ref="AA116" ca="1">OFFSET(POrigin,MATCH(Valori[[#This Row],[LUKB_id]],PID,0),MATCH("BID",PLabel,0)-1,1,1)</f>
        <v>107.9</v>
      </c>
      <c r="AB116" s="1595" cm="1">
        <f t="array" aca="1" ref="AB116" ca="1">OFFSET(POrigin,MATCH(Valori[[#This Row],[LUKB_id]],PID,0),MATCH("ASK",PLabel,0)-1,1,1)</f>
        <v>108.44</v>
      </c>
      <c r="AC116" s="1594" cm="1">
        <f t="array" aca="1" ref="AC116" ca="1">OFFSET(POrigin,MATCH(Valori[[#This Row],[LUKB_id]],PID,0),MATCH("ASK:volume",PLabel,0)-1,1,1)</f>
        <v>1384</v>
      </c>
      <c r="AD116" s="1596" cm="1">
        <f t="array" aca="1" ref="AD116" ca="1">OFFSET(POrigin,MATCH(Valori[[#This Row],[LUKB_id]],PID,0),MATCH("BID-ASK Spread %",PLabel,0)-1,1,1)</f>
        <v>3.3308660251664939E-3</v>
      </c>
      <c r="AE116" s="1597" t="str" cm="1">
        <f t="array" aca="1" ref="AE116" ca="1">IF(OFFSET(POrigin,MATCH(Valori[[#This Row],[LUKB_id]],PID,0),MATCH("MATURITY",PLabel,0)-1,1,1)&gt;0,OFFSET(POrigin,MATCH(Valori[[#This Row],[LUKB_id]],PID,0),MATCH("MATURITY",PLabel,0)-1,1,1),"")</f>
        <v/>
      </c>
      <c r="AF116" s="1598" cm="1">
        <f t="array" aca="1" ref="AF116" ca="1">OFFSET(POrigin,MATCH(Valori[[#This Row],[LUKB_id]],PID,0),MATCH("ACCINT",PLabel,0)-1,1,1)</f>
        <v>0</v>
      </c>
      <c r="AG116" s="1594" cm="1">
        <f t="array" aca="1" ref="AG116" ca="1">OFFSET(POrigin,MATCH(Valori[[#This Row],[LUKB_id]],PID,0),MATCH("DENOM",PLabel,0)-1,1,1)</f>
        <v>0</v>
      </c>
      <c r="AH116" s="1599" cm="1">
        <f t="array" aca="1" ref="AH116" ca="1">(OFFSET(POrigin,MATCH(Valori[[#This Row],[LUKB_id]],PID,0),MATCH("YIELD",PLabel,0)-1,1,1)+OFFSET(POrigin,MATCH(Valori[[#This Row],[LUKB_id]],PID,0),MATCH("YLDEQ",PLabel,0)-1,1,1))/100</f>
        <v>0</v>
      </c>
      <c r="AI116" s="1600">
        <f ca="1">OFFSET(POrigin,MATCH(Valori[[#This Row],[LUKB_id]],PID,0),MATCH("DIVIDEND",PLabel,0)-1,1,1)</f>
        <v>1.3839000000000001</v>
      </c>
      <c r="AJ116" s="1601">
        <f ca="1">OFFSET(POrigin,MATCH(Valori[[#This Row],[LUKB_id]],PID,0),MATCH("DIVIDEND:datetime",PLabel,0)-1,1,1)</f>
        <v>46037</v>
      </c>
      <c r="AK116" s="1602">
        <f ca="1">OFFSET(POrigin,MATCH(Valori[[#This Row],[LUKB_id]],PID,0),MATCH("INTEREST",PLabel,0)-1,1,1)</f>
        <v>0</v>
      </c>
      <c r="AL116" s="1603">
        <f ca="1">OFFSET(POrigin,MATCH(Valori[[#This Row],[LUKB_id]],PID,0),MATCH("4W_PERF_PR",PLabel,0)-1,1,1)/100</f>
        <v>4.8143700000000001E-3</v>
      </c>
      <c r="AM116" s="1603">
        <f ca="1">OFFSET(POrigin,MATCH(Valori[[#This Row],[LUKB_id]],PID,0),MATCH("12W_PERF_PR",PLabel,0)-1,1,1)/100</f>
        <v>1.8462099999999998E-3</v>
      </c>
      <c r="AN116" s="1603">
        <f ca="1">OFFSET(POrigin,MATCH(Valori[[#This Row],[LUKB_id]],PID,0),MATCH("YTD_PERF_PR",PLabel,0)-1,1,1)/100</f>
        <v>1.9324560596300001E-3</v>
      </c>
      <c r="AO116" s="1591"/>
      <c r="AP116" s="1591"/>
      <c r="AQ116" s="1591"/>
      <c r="AR116" s="1591"/>
      <c r="AS116" s="1890" t="s">
        <v>1177</v>
      </c>
      <c r="AT116" s="1890" t="s">
        <v>1178</v>
      </c>
      <c r="AU116" s="610" t="s">
        <v>1179</v>
      </c>
      <c r="AV116" s="1891" t="s">
        <v>1180</v>
      </c>
      <c r="AW116" s="1604" t="str">
        <f ca="1">"https://boersenundmaerkte.lukb.ch/lukb/details/"&amp;Valori[[#This Row],[LUKB_id]]</f>
        <v>https://boersenundmaerkte.lukb.ch/lukb/details/10012758,16,814</v>
      </c>
      <c r="AX116" s="1605" t="str">
        <f>"https://www.marketscreener.com/mods_a/charts/TV/inc_dyna_graph.php?c="&amp;Valori[[#This Row],[MS_Code]]&amp;"&amp;style=TradingView.CANDLES&amp;interval=(null)&amp;mobile=(null)&amp;showAT=1"</f>
        <v>https://www.marketscreener.com/mods_a/charts/TV/inc_dyna_graph.php?c=5132888&amp;style=TradingView.CANDLES&amp;interval=(null)&amp;mobile=(null)&amp;showAT=1</v>
      </c>
      <c r="AY116" s="142"/>
      <c r="AZ116" s="142"/>
      <c r="BA116" s="142"/>
      <c r="BB116" s="142"/>
    </row>
    <row r="117" spans="1:54" ht="15" customHeight="1" x14ac:dyDescent="0.2">
      <c r="A117" s="142" t="s">
        <v>1181</v>
      </c>
      <c r="B117" s="142" t="str" cm="1">
        <f t="array" aca="1" ref="B117" ca="1">OFFSET(POrigin,MATCH(Valori[[#This Row],[smo_id]],Posizioni[smo_id],0),MATCH("LUKB_id",PIntestazioni,0)-1,1,1)</f>
        <v>3246465,349,333</v>
      </c>
      <c r="C117" s="1668" t="str">
        <f ca="1">HYPERLINK("https://boersenundmaerkte.lukb.ch/lukb/details/"&amp;Valori[[#This Row],[LUKB_id]],"è")</f>
        <v>è</v>
      </c>
      <c r="D117" s="142" t="str" cm="1">
        <f t="array" aca="1" ref="D117" ca="1">OFFSET(POrigin,MATCH(Valori[[#This Row],[LUKB_id]],PID,0),MATCH("SC_GROUPED",PIntestazioni,0)-1,1,1)</f>
        <v>ETF</v>
      </c>
      <c r="E117" s="413" t="str" cm="1">
        <f t="array" aca="1" ref="E117" ca="1">OFFSET(POrigin,MATCH(Valori[[#This Row],[LUKB_id]],PID,0),MATCH("isin",PIntestazioni,0)-1,1,1)</f>
        <v>IE00B1XNHC34</v>
      </c>
      <c r="F117" s="34" t="str" cm="1">
        <f t="array" aca="1" ref="F117" ca="1">OFFSET(POrigin,MATCH(Valori[[#This Row],[LUKB_id]],PID,0),MATCH("NSIN_CH",PLabel,0)-1,1,1)</f>
        <v>3246465</v>
      </c>
      <c r="G117" s="95" t="str" cm="1">
        <f t="array" aca="1" ref="G117" ca="1">IF(OFFSET(POrigin,MATCH(Valori[[#This Row],[LUKB_id]],PID,0),MATCH("INSTRUNIT",PLabel,0)-1,1,1)="Nominal","Pct","Unit")</f>
        <v>Unit</v>
      </c>
      <c r="H117" s="612">
        <f ca="1">MAX(OFFSET(POrigin,MATCH(Valori[[#This Row],[LUKB_id]],PID,0),MATCH("PRICINGAMT",PLabel,0)-1,1,1),1)</f>
        <v>1</v>
      </c>
      <c r="I117" s="615" t="str" cm="1">
        <f t="array" aca="1" ref="I117" ca="1">OFFSET(POrigin,MATCH(Valori[[#This Row],[LUKB_id]],PID,0),MATCH("M_NAME",PLabel,0)-1,1,1)</f>
        <v>iShares II PLC - iShares Global Clean Energy Transition UCITS ETF</v>
      </c>
      <c r="J117" s="142" t="s">
        <v>781</v>
      </c>
      <c r="M117" s="142" t="str" cm="1">
        <f t="array" aca="1" ref="M1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Clean Energy UCITS (USD -Dist)</v>
      </c>
      <c r="N117" s="1563">
        <f ca="1">COUNTIF('CHF M'!smo_id,Valori[[#This Row],[smo_id]])+COUNTIF('CHF MA'!smo_id,Valori[[#This Row],[smo_id]])+COUNTIF('EUR MB'!smo_id,Valori[[#This Row],[smo_id]])+COUNTIF('EUR M'!smo_id,Valori[[#This Row],[smo_id]])+COUNTIF(AGCO!smo_id,Valori[[#This Row],[smo_id]])</f>
        <v>4</v>
      </c>
      <c r="O117" s="1590" cm="1">
        <f t="array" aca="1" ref="O117" ca="1">SUM(IF('CHF M'!smo_id=Valori[[#This Row],[smo_id]],'CHF M'!Posizione))+SUM(IF('CHF MA'!smo_id=Valori[[#This Row],[smo_id]],'CHF MA'!Posizione))+SUM(IF('EUR MB'!smo_id=Valori[[#This Row],[smo_id]],'EUR MB'!Posizione))+SUM(IF('EUR M'!smo_id=Valori[[#This Row],[smo_id]],'EUR M'!Posizione))+SUM(IF(AGCO!smo_id=Valori[[#This Row],[smo_id]],AGCO!Posizione))</f>
        <v>3500</v>
      </c>
      <c r="P117" s="1661" t="str">
        <f ca="1">HYPERLINK(Valori[[#This Row],[P_Source]],"è")</f>
        <v>è</v>
      </c>
      <c r="Q117" s="1663" t="str">
        <f>HYPERLINK(Valori[[#This Row],[Info_W]],"i")</f>
        <v>i</v>
      </c>
      <c r="R117" s="1664" t="str">
        <f>HYPERLINK(Valori[[#This Row],[FN_W]],"")</f>
        <v></v>
      </c>
      <c r="S117" s="1665" t="str">
        <f>HYPERLINK(Valori[[#This Row],[MS_Link]],"")</f>
        <v></v>
      </c>
      <c r="T117" s="1665" t="str">
        <f>HYPERLINK(Valori[[#This Row],[C_source]],"")</f>
        <v></v>
      </c>
      <c r="U117" s="142" t="str" cm="1">
        <f t="array" aca="1" ref="U117" ca="1">OFFSET(POrigin,MATCH(Valori[[#This Row],[LUKB_id]],PID,0),MATCH("M_CUR",PLabel,0)-1,1,1)</f>
        <v>USD</v>
      </c>
      <c r="V117" s="1562">
        <f ca="1">(Valori[[#This Row],[Last]]+Valori[[#This Row],[Acc. Int]])/Valori[[#This Row],[Pr.Amt]]/IF(Valori[[#This Row],[P_Type]]="Pct",100,1)</f>
        <v>10.093999999999999</v>
      </c>
      <c r="W117" s="1591" cm="1">
        <f t="array" aca="1" ref="W117" ca="1">OFFSET(POrigin,MATCH(Valori[[#This Row],[LUKB_id]],PID,0),MATCH("NC2_PR",PLabel,0)-1,1,1)/100</f>
        <v>-3.4066985645933204E-2</v>
      </c>
      <c r="X117" s="1592" cm="1">
        <f t="array" aca="1" ref="X117" ca="1">OFFSET(POrigin,MATCH(Valori[[#This Row],[LUKB_id]],PID,0),MATCH("LVAL",PLabel,0)-1,1,1)</f>
        <v>10.093999999999999</v>
      </c>
      <c r="Y117" s="1593" cm="1">
        <f t="array" aca="1" ref="Y117" ca="1">OFFSET(POrigin,MATCH(Valori[[#This Row],[LUKB_id]],PID,0),MATCH("LVAL:datetime",PLabel,0)-1,1,1)</f>
        <v>46084.73300925926</v>
      </c>
      <c r="Z117" s="1594" cm="1">
        <f t="array" aca="1" ref="Z117" ca="1">OFFSET(POrigin,MATCH(Valori[[#This Row],[LUKB_id]],PID,0),MATCH("BID:volume",PLabel,0)-1,1,1)</f>
        <v>6177</v>
      </c>
      <c r="AA117" s="1595" cm="1">
        <f t="array" aca="1" ref="AA117" ca="1">OFFSET(POrigin,MATCH(Valori[[#This Row],[LUKB_id]],PID,0),MATCH("BID",PLabel,0)-1,1,1)</f>
        <v>10.093999999999999</v>
      </c>
      <c r="AB117" s="1595" cm="1">
        <f t="array" aca="1" ref="AB117" ca="1">OFFSET(POrigin,MATCH(Valori[[#This Row],[LUKB_id]],PID,0),MATCH("ASK",PLabel,0)-1,1,1)</f>
        <v>10.130000000000001</v>
      </c>
      <c r="AC117" s="1594" cm="1">
        <f t="array" aca="1" ref="AC117" ca="1">OFFSET(POrigin,MATCH(Valori[[#This Row],[LUKB_id]],PID,0),MATCH("ASK:volume",PLabel,0)-1,1,1)</f>
        <v>6200</v>
      </c>
      <c r="AD117" s="1596" cm="1">
        <f t="array" aca="1" ref="AD117" ca="1">OFFSET(POrigin,MATCH(Valori[[#This Row],[LUKB_id]],PID,0),MATCH("BID-ASK Spread %",PLabel,0)-1,1,1)</f>
        <v>2.3748268355433316E-3</v>
      </c>
      <c r="AE117" s="1597" t="str" cm="1">
        <f t="array" aca="1" ref="AE117" ca="1">IF(OFFSET(POrigin,MATCH(Valori[[#This Row],[LUKB_id]],PID,0),MATCH("MATURITY",PLabel,0)-1,1,1)&gt;0,OFFSET(POrigin,MATCH(Valori[[#This Row],[LUKB_id]],PID,0),MATCH("MATURITY",PLabel,0)-1,1,1),"")</f>
        <v/>
      </c>
      <c r="AF117" s="1598" cm="1">
        <f t="array" aca="1" ref="AF117" ca="1">OFFSET(POrigin,MATCH(Valori[[#This Row],[LUKB_id]],PID,0),MATCH("ACCINT",PLabel,0)-1,1,1)</f>
        <v>0</v>
      </c>
      <c r="AG117" s="1594" cm="1">
        <f t="array" aca="1" ref="AG117" ca="1">OFFSET(POrigin,MATCH(Valori[[#This Row],[LUKB_id]],PID,0),MATCH("DENOM",PLabel,0)-1,1,1)</f>
        <v>0</v>
      </c>
      <c r="AH117" s="1599" cm="1">
        <f t="array" aca="1" ref="AH117" ca="1">(OFFSET(POrigin,MATCH(Valori[[#This Row],[LUKB_id]],PID,0),MATCH("YIELD",PLabel,0)-1,1,1)+OFFSET(POrigin,MATCH(Valori[[#This Row],[LUKB_id]],PID,0),MATCH("YLDEQ",PLabel,0)-1,1,1))/100</f>
        <v>0</v>
      </c>
      <c r="AI117" s="1600">
        <f ca="1">OFFSET(POrigin,MATCH(Valori[[#This Row],[LUKB_id]],PID,0),MATCH("DIVIDEND",PLabel,0)-1,1,1)</f>
        <v>8.6699999999999999E-2</v>
      </c>
      <c r="AJ117" s="1601">
        <f ca="1">OFFSET(POrigin,MATCH(Valori[[#This Row],[LUKB_id]],PID,0),MATCH("DIVIDEND:datetime",PLabel,0)-1,1,1)</f>
        <v>45974</v>
      </c>
      <c r="AK117" s="1602">
        <f ca="1">OFFSET(POrigin,MATCH(Valori[[#This Row],[LUKB_id]],PID,0),MATCH("INTEREST",PLabel,0)-1,1,1)</f>
        <v>0</v>
      </c>
      <c r="AL117" s="1603">
        <f ca="1">OFFSET(POrigin,MATCH(Valori[[#This Row],[LUKB_id]],PID,0),MATCH("4W_PERF_PR",PLabel,0)-1,1,1)/100</f>
        <v>-6.2592869999999995E-2</v>
      </c>
      <c r="AM117" s="1603">
        <f ca="1">OFFSET(POrigin,MATCH(Valori[[#This Row],[LUKB_id]],PID,0),MATCH("12W_PERF_PR",PLabel,0)-1,1,1)/100</f>
        <v>5.5195479999999991E-2</v>
      </c>
      <c r="AN117" s="1603">
        <f ca="1">OFFSET(POrigin,MATCH(Valori[[#This Row],[LUKB_id]],PID,0),MATCH("YTD_PERF_PR",PLabel,0)-1,1,1)/100</f>
        <v>9.7112860892388589E-2</v>
      </c>
      <c r="AO117" s="1591"/>
      <c r="AP117" s="1591"/>
      <c r="AQ117" s="1591">
        <v>6.4999999999999997E-3</v>
      </c>
      <c r="AR117" s="1591"/>
      <c r="AS117" s="1890" t="s">
        <v>1182</v>
      </c>
      <c r="AT117" s="1890" t="s">
        <v>1183</v>
      </c>
      <c r="AU117" s="610" t="s">
        <v>1184</v>
      </c>
      <c r="AV117" s="1891" t="s">
        <v>1185</v>
      </c>
      <c r="AW117" s="1604" t="str">
        <f ca="1">"https://boersenundmaerkte.lukb.ch/lukb/details/"&amp;Valori[[#This Row],[LUKB_id]]</f>
        <v>https://boersenundmaerkte.lukb.ch/lukb/details/3246465,349,333</v>
      </c>
      <c r="AX117" s="1605" t="str">
        <f>"https://www.zonebourse.com/mods_a/charts/TV/inc_dyna_graph.php?c="&amp;Valori[[#This Row],[MS_Code]]&amp;"&amp;style=TradingView.CANDLES&amp;interval=(null)&amp;mobile=(null)&amp;showAT=1"</f>
        <v>https://www.zonebourse.com/mods_a/charts/TV/inc_dyna_graph.php?c=44657886&amp;style=TradingView.CANDLES&amp;interval=(null)&amp;mobile=(null)&amp;showAT=1</v>
      </c>
      <c r="AY117" s="142"/>
      <c r="AZ117" s="142"/>
      <c r="BA117" s="142"/>
      <c r="BB117" s="142"/>
    </row>
    <row r="118" spans="1:54" ht="15" customHeight="1" x14ac:dyDescent="0.2">
      <c r="A118" s="142" t="s">
        <v>1186</v>
      </c>
      <c r="B118" s="142" t="str" cm="1">
        <f t="array" aca="1" ref="B118" ca="1">OFFSET(POrigin,MATCH(Valori[[#This Row],[smo_id]],Posizioni[smo_id],0),MATCH("LUKB_id",PIntestazioni,0)-1,1,1)</f>
        <v>22134231,4,1</v>
      </c>
      <c r="C118" s="1668" t="str">
        <f ca="1">HYPERLINK("https://boersenundmaerkte.lukb.ch/lukb/details/"&amp;Valori[[#This Row],[LUKB_id]],"è")</f>
        <v>è</v>
      </c>
      <c r="D118" s="142" t="str" cm="1">
        <f t="array" aca="1" ref="D118" ca="1">OFFSET(POrigin,MATCH(Valori[[#This Row],[LUKB_id]],PID,0),MATCH("SC_GROUPED",PIntestazioni,0)-1,1,1)</f>
        <v>ETF</v>
      </c>
      <c r="E118" s="413" t="str" cm="1">
        <f t="array" aca="1" ref="E118" ca="1">OFFSET(POrigin,MATCH(Valori[[#This Row],[LUKB_id]],PID,0),MATCH("isin",PIntestazioni,0)-1,1,1)</f>
        <v>IE00B988C465</v>
      </c>
      <c r="F118" s="34" t="str" cm="1">
        <f t="array" aca="1" ref="F118" ca="1">OFFSET(POrigin,MATCH(Valori[[#This Row],[LUKB_id]],PID,0),MATCH("NSIN_CH",PLabel,0)-1,1,1)</f>
        <v>22134231</v>
      </c>
      <c r="G118" s="95" t="str" cm="1">
        <f t="array" aca="1" ref="G118" ca="1">IF(OFFSET(POrigin,MATCH(Valori[[#This Row],[LUKB_id]],PID,0),MATCH("INSTRUNIT",PLabel,0)-1,1,1)="Nominal","Pct","Unit")</f>
        <v>Unit</v>
      </c>
      <c r="H118" s="612">
        <f ca="1">MAX(OFFSET(POrigin,MATCH(Valori[[#This Row],[LUKB_id]],PID,0),MATCH("PRICINGAMT",PLabel,0)-1,1,1),1)</f>
        <v>1</v>
      </c>
      <c r="I118" s="615" t="str" cm="1">
        <f t="array" aca="1" ref="I118" ca="1">OFFSET(POrigin,MATCH(Valori[[#This Row],[LUKB_id]],PID,0),MATCH("M_NAME",PLabel,0)-1,1,1)</f>
        <v>iShares VI PLC - iShares Global High Yield Corp Bond CHF Hedged UCITS ETF (Dist)</v>
      </c>
      <c r="J118" s="142" t="s">
        <v>750</v>
      </c>
      <c r="M118" s="142" t="str" cm="1">
        <f t="array" aca="1" ref="M1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High Yield Corp Bond CHF Hedged UCITS ETF (Dist)</v>
      </c>
      <c r="N118" s="1563">
        <f ca="1">COUNTIF('CHF M'!smo_id,Valori[[#This Row],[smo_id]])+COUNTIF('CHF MA'!smo_id,Valori[[#This Row],[smo_id]])+COUNTIF('EUR MB'!smo_id,Valori[[#This Row],[smo_id]])+COUNTIF('EUR M'!smo_id,Valori[[#This Row],[smo_id]])+COUNTIF(AGCO!smo_id,Valori[[#This Row],[smo_id]])</f>
        <v>1</v>
      </c>
      <c r="O118" s="1590" cm="1">
        <f t="array" aca="1" ref="O118" ca="1">SUM(IF('CHF M'!smo_id=Valori[[#This Row],[smo_id]],'CHF M'!Posizione))+SUM(IF('CHF MA'!smo_id=Valori[[#This Row],[smo_id]],'CHF MA'!Posizione))+SUM(IF('EUR MB'!smo_id=Valori[[#This Row],[smo_id]],'EUR MB'!Posizione))+SUM(IF('EUR M'!smo_id=Valori[[#This Row],[smo_id]],'EUR M'!Posizione))+SUM(IF(AGCO!smo_id=Valori[[#This Row],[smo_id]],AGCO!Posizione))</f>
        <v>0</v>
      </c>
      <c r="P118" s="1661" t="str">
        <f ca="1">HYPERLINK(Valori[[#This Row],[P_Source]],"è")</f>
        <v>è</v>
      </c>
      <c r="Q118" s="1663" t="str">
        <f>HYPERLINK(Valori[[#This Row],[Info_W]],"i")</f>
        <v>i</v>
      </c>
      <c r="R118" s="1664" t="str">
        <f>HYPERLINK(Valori[[#This Row],[FN_W]],"")</f>
        <v></v>
      </c>
      <c r="S118" s="1665" t="str">
        <f>HYPERLINK(Valori[[#This Row],[MS_Link]],"")</f>
        <v></v>
      </c>
      <c r="T118" s="1665" t="str">
        <f>HYPERLINK(Valori[[#This Row],[C_source]],"")</f>
        <v></v>
      </c>
      <c r="U118" s="142" t="str" cm="1">
        <f t="array" aca="1" ref="U118" ca="1">OFFSET(POrigin,MATCH(Valori[[#This Row],[LUKB_id]],PID,0),MATCH("M_CUR",PLabel,0)-1,1,1)</f>
        <v>CHF</v>
      </c>
      <c r="V118" s="1562">
        <f ca="1">(Valori[[#This Row],[Last]]+Valori[[#This Row],[Acc. Int]])/Valori[[#This Row],[Pr.Amt]]/IF(Valori[[#This Row],[P_Type]]="Pct",100,1)</f>
        <v>69.650000000000006</v>
      </c>
      <c r="W118" s="1591" cm="1">
        <f t="array" aca="1" ref="W118" ca="1">OFFSET(POrigin,MATCH(Valori[[#This Row],[LUKB_id]],PID,0),MATCH("NC2_PR",PLabel,0)-1,1,1)/100</f>
        <v>1.435956346928E-4</v>
      </c>
      <c r="X118" s="1592" cm="1">
        <f t="array" aca="1" ref="X118" ca="1">OFFSET(POrigin,MATCH(Valori[[#This Row],[LUKB_id]],PID,0),MATCH("LVAL",PLabel,0)-1,1,1)</f>
        <v>69.650000000000006</v>
      </c>
      <c r="Y118" s="1593" cm="1">
        <f t="array" aca="1" ref="Y118" ca="1">OFFSET(POrigin,MATCH(Valori[[#This Row],[LUKB_id]],PID,0),MATCH("LVAL:datetime",PLabel,0)-1,1,1)</f>
        <v>46084.73300925926</v>
      </c>
      <c r="Z118" s="1594" cm="1">
        <f t="array" aca="1" ref="Z118" ca="1">OFFSET(POrigin,MATCH(Valori[[#This Row],[LUKB_id]],PID,0),MATCH("BID:volume",PLabel,0)-1,1,1)</f>
        <v>160</v>
      </c>
      <c r="AA118" s="1595" cm="1">
        <f t="array" aca="1" ref="AA118" ca="1">OFFSET(POrigin,MATCH(Valori[[#This Row],[LUKB_id]],PID,0),MATCH("BID",PLabel,0)-1,1,1)</f>
        <v>69.25</v>
      </c>
      <c r="AB118" s="1595" cm="1">
        <f t="array" aca="1" ref="AB118" ca="1">OFFSET(POrigin,MATCH(Valori[[#This Row],[LUKB_id]],PID,0),MATCH("ASK",PLabel,0)-1,1,1)</f>
        <v>71.03</v>
      </c>
      <c r="AC118" s="1594" cm="1">
        <f t="array" aca="1" ref="AC118" ca="1">OFFSET(POrigin,MATCH(Valori[[#This Row],[LUKB_id]],PID,0),MATCH("ASK:volume",PLabel,0)-1,1,1)</f>
        <v>710</v>
      </c>
      <c r="AD118" s="1596" cm="1">
        <f t="array" aca="1" ref="AD118" ca="1">OFFSET(POrigin,MATCH(Valori[[#This Row],[LUKB_id]],PID,0),MATCH("BID-ASK Spread %",PLabel,0)-1,1,1)</f>
        <v>1.6990407101608374E-2</v>
      </c>
      <c r="AE118" s="1597" t="str" cm="1">
        <f t="array" aca="1" ref="AE118" ca="1">IF(OFFSET(POrigin,MATCH(Valori[[#This Row],[LUKB_id]],PID,0),MATCH("MATURITY",PLabel,0)-1,1,1)&gt;0,OFFSET(POrigin,MATCH(Valori[[#This Row],[LUKB_id]],PID,0),MATCH("MATURITY",PLabel,0)-1,1,1),"")</f>
        <v/>
      </c>
      <c r="AF118" s="1598" cm="1">
        <f t="array" aca="1" ref="AF118" ca="1">OFFSET(POrigin,MATCH(Valori[[#This Row],[LUKB_id]],PID,0),MATCH("ACCINT",PLabel,0)-1,1,1)</f>
        <v>0</v>
      </c>
      <c r="AG118" s="1594" cm="1">
        <f t="array" aca="1" ref="AG118" ca="1">OFFSET(POrigin,MATCH(Valori[[#This Row],[LUKB_id]],PID,0),MATCH("DENOM",PLabel,0)-1,1,1)</f>
        <v>0</v>
      </c>
      <c r="AH118" s="1599" cm="1">
        <f t="array" aca="1" ref="AH118" ca="1">(OFFSET(POrigin,MATCH(Valori[[#This Row],[LUKB_id]],PID,0),MATCH("YIELD",PLabel,0)-1,1,1)+OFFSET(POrigin,MATCH(Valori[[#This Row],[LUKB_id]],PID,0),MATCH("YLDEQ",PLabel,0)-1,1,1))/100</f>
        <v>0</v>
      </c>
      <c r="AI118" s="1600">
        <f ca="1">OFFSET(POrigin,MATCH(Valori[[#This Row],[LUKB_id]],PID,0),MATCH("DIVIDEND",PLabel,0)-1,1,1)</f>
        <v>0.93680000000000008</v>
      </c>
      <c r="AJ118" s="1601">
        <f ca="1">OFFSET(POrigin,MATCH(Valori[[#This Row],[LUKB_id]],PID,0),MATCH("DIVIDEND:datetime",PLabel,0)-1,1,1)</f>
        <v>46037</v>
      </c>
      <c r="AK118" s="1602">
        <f ca="1">OFFSET(POrigin,MATCH(Valori[[#This Row],[LUKB_id]],PID,0),MATCH("INTEREST",PLabel,0)-1,1,1)</f>
        <v>0</v>
      </c>
      <c r="AL118" s="1603">
        <f ca="1">OFFSET(POrigin,MATCH(Valori[[#This Row],[LUKB_id]],PID,0),MATCH("4W_PERF_PR",PLabel,0)-1,1,1)/100</f>
        <v>-4.2603099999999998E-3</v>
      </c>
      <c r="AM118" s="1603">
        <f ca="1">OFFSET(POrigin,MATCH(Valori[[#This Row],[LUKB_id]],PID,0),MATCH("12W_PERF_PR",PLabel,0)-1,1,1)/100</f>
        <v>-1.163616E-2</v>
      </c>
      <c r="AN118" s="1603">
        <f ca="1">OFFSET(POrigin,MATCH(Valori[[#This Row],[LUKB_id]],PID,0),MATCH("YTD_PERF_PR",PLabel,0)-1,1,1)/100</f>
        <v>-1.9817588109447198E-2</v>
      </c>
      <c r="AO118" s="1591"/>
      <c r="AP118" s="1591"/>
      <c r="AQ118" s="1591"/>
      <c r="AR118" s="1591"/>
      <c r="AS118" s="1890" t="s">
        <v>1187</v>
      </c>
      <c r="AT118" s="1890" t="s">
        <v>1188</v>
      </c>
      <c r="AU118" s="610" t="s">
        <v>1189</v>
      </c>
      <c r="AV118" s="1891" t="s">
        <v>1190</v>
      </c>
      <c r="AW118" s="1604" t="str">
        <f ca="1">"https://boersenundmaerkte.lukb.ch/lukb/details/"&amp;Valori[[#This Row],[LUKB_id]]</f>
        <v>https://boersenundmaerkte.lukb.ch/lukb/details/22134231,4,1</v>
      </c>
      <c r="AX118" s="1605" t="str">
        <f>"https://www.marketscreener.com/mods_a/charts/TV/inc_dyna_graph.php?c="&amp;Valori[[#This Row],[MS_Code]]&amp;"&amp;style=TradingView.CANDLES&amp;interval=(null)&amp;mobile=(null)&amp;showAT=1"</f>
        <v>https://www.marketscreener.com/mods_a/charts/TV/inc_dyna_graph.php?c=41713635&amp;style=TradingView.CANDLES&amp;interval=(null)&amp;mobile=(null)&amp;showAT=1</v>
      </c>
      <c r="AY118" s="142"/>
      <c r="AZ118" s="142"/>
      <c r="BA118" s="142"/>
      <c r="BB118" s="142"/>
    </row>
    <row r="119" spans="1:54" ht="15" customHeight="1" x14ac:dyDescent="0.2">
      <c r="A119" s="142" t="s">
        <v>1191</v>
      </c>
      <c r="B119" s="142" t="str" cm="1">
        <f t="array" aca="1" ref="B119" ca="1">OFFSET(POrigin,MATCH(Valori[[#This Row],[smo_id]],Posizioni[smo_id],0),MATCH("LUKB_id",PIntestazioni,0)-1,1,1)</f>
        <v>10413623,349,333</v>
      </c>
      <c r="C119" s="1668" t="str">
        <f ca="1">HYPERLINK("https://boersenundmaerkte.lukb.ch/lukb/details/"&amp;Valori[[#This Row],[LUKB_id]],"è")</f>
        <v>è</v>
      </c>
      <c r="D119" s="142" t="str" cm="1">
        <f t="array" aca="1" ref="D119" ca="1">OFFSET(POrigin,MATCH(Valori[[#This Row],[LUKB_id]],PID,0),MATCH("SC_GROUPED",PIntestazioni,0)-1,1,1)</f>
        <v>ETF</v>
      </c>
      <c r="E119" s="413" t="str" cm="1">
        <f t="array" aca="1" ref="E119" ca="1">OFFSET(POrigin,MATCH(Valori[[#This Row],[LUKB_id]],PID,0),MATCH("isin",PIntestazioni,0)-1,1,1)</f>
        <v>CH0104136236</v>
      </c>
      <c r="F119" s="34" t="str" cm="1">
        <f t="array" aca="1" ref="F119" ca="1">OFFSET(POrigin,MATCH(Valori[[#This Row],[LUKB_id]],PID,0),MATCH("NSIN_CH",PLabel,0)-1,1,1)</f>
        <v>10413623</v>
      </c>
      <c r="G119" s="95" t="str" cm="1">
        <f t="array" aca="1" ref="G119" ca="1">IF(OFFSET(POrigin,MATCH(Valori[[#This Row],[LUKB_id]],PID,0),MATCH("INSTRUNIT",PLabel,0)-1,1,1)="Nominal","Pct","Unit")</f>
        <v>Unit</v>
      </c>
      <c r="H119" s="612">
        <f ca="1">MAX(OFFSET(POrigin,MATCH(Valori[[#This Row],[LUKB_id]],PID,0),MATCH("PRICINGAMT",PLabel,0)-1,1,1),1)</f>
        <v>1</v>
      </c>
      <c r="I119" s="615" t="str" cm="1">
        <f t="array" aca="1" ref="I119" ca="1">OFFSET(POrigin,MATCH(Valori[[#This Row],[LUKB_id]],PID,0),MATCH("M_NAME",PLabel,0)-1,1,1)</f>
        <v>iShares ETF II (CH) - iShares Gold ETF (CH)</v>
      </c>
      <c r="J119" s="142" t="s">
        <v>789</v>
      </c>
      <c r="M119" s="142" t="str" cm="1">
        <f t="array" aca="1" ref="M1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Gold ETF (CH) Anteile -A</v>
      </c>
      <c r="N119" s="1563">
        <f ca="1">COUNTIF('CHF M'!smo_id,Valori[[#This Row],[smo_id]])+COUNTIF('CHF MA'!smo_id,Valori[[#This Row],[smo_id]])+COUNTIF('EUR MB'!smo_id,Valori[[#This Row],[smo_id]])+COUNTIF('EUR M'!smo_id,Valori[[#This Row],[smo_id]])+COUNTIF(AGCO!smo_id,Valori[[#This Row],[smo_id]])</f>
        <v>3</v>
      </c>
      <c r="O119" s="1590" cm="1">
        <f t="array" aca="1" ref="O119" ca="1">SUM(IF('CHF M'!smo_id=Valori[[#This Row],[smo_id]],'CHF M'!Posizione))+SUM(IF('CHF MA'!smo_id=Valori[[#This Row],[smo_id]],'CHF MA'!Posizione))+SUM(IF('EUR MB'!smo_id=Valori[[#This Row],[smo_id]],'EUR MB'!Posizione))+SUM(IF('EUR M'!smo_id=Valori[[#This Row],[smo_id]],'EUR M'!Posizione))+SUM(IF(AGCO!smo_id=Valori[[#This Row],[smo_id]],AGCO!Posizione))</f>
        <v>145</v>
      </c>
      <c r="P119" s="1661" t="str">
        <f ca="1">HYPERLINK(Valori[[#This Row],[P_Source]],"è")</f>
        <v>è</v>
      </c>
      <c r="Q119" s="1663" t="str">
        <f>HYPERLINK(Valori[[#This Row],[Info_W]],"i")</f>
        <v>i</v>
      </c>
      <c r="R119" s="1664" t="str">
        <f>HYPERLINK(Valori[[#This Row],[FN_W]],"")</f>
        <v></v>
      </c>
      <c r="S119" s="1665" t="str">
        <f>HYPERLINK(Valori[[#This Row],[MS_Link]],"")</f>
        <v></v>
      </c>
      <c r="T119" s="1665" t="str">
        <f>HYPERLINK(Valori[[#This Row],[C_source]],"")</f>
        <v></v>
      </c>
      <c r="U119" s="142" t="str" cm="1">
        <f t="array" aca="1" ref="U119" ca="1">OFFSET(POrigin,MATCH(Valori[[#This Row],[LUKB_id]],PID,0),MATCH("M_CUR",PLabel,0)-1,1,1)</f>
        <v>USD</v>
      </c>
      <c r="V119" s="1562">
        <f ca="1">(Valori[[#This Row],[Last]]+Valori[[#This Row],[Acc. Int]])/Valori[[#This Row],[Pr.Amt]]/IF(Valori[[#This Row],[P_Type]]="Pct",100,1)</f>
        <v>489.90000000000003</v>
      </c>
      <c r="W119" s="1591" cm="1">
        <f t="array" aca="1" ref="W119" ca="1">OFFSET(POrigin,MATCH(Valori[[#This Row],[LUKB_id]],PID,0),MATCH("NC2_PR",PLabel,0)-1,1,1)/100</f>
        <v>-3.1818181818181801E-2</v>
      </c>
      <c r="X119" s="1592" cm="1">
        <f t="array" aca="1" ref="X119" ca="1">OFFSET(POrigin,MATCH(Valori[[#This Row],[LUKB_id]],PID,0),MATCH("LVAL",PLabel,0)-1,1,1)</f>
        <v>489.90000000000003</v>
      </c>
      <c r="Y119" s="1593" cm="1">
        <f t="array" aca="1" ref="Y119" ca="1">OFFSET(POrigin,MATCH(Valori[[#This Row],[LUKB_id]],PID,0),MATCH("LVAL:datetime",PLabel,0)-1,1,1)</f>
        <v>46084.73300925926</v>
      </c>
      <c r="Z119" s="1594" cm="1">
        <f t="array" aca="1" ref="Z119" ca="1">OFFSET(POrigin,MATCH(Valori[[#This Row],[LUKB_id]],PID,0),MATCH("BID:volume",PLabel,0)-1,1,1)</f>
        <v>36</v>
      </c>
      <c r="AA119" s="1595" cm="1">
        <f t="array" aca="1" ref="AA119" ca="1">OFFSET(POrigin,MATCH(Valori[[#This Row],[LUKB_id]],PID,0),MATCH("BID",PLabel,0)-1,1,1)</f>
        <v>488.8</v>
      </c>
      <c r="AB119" s="1595" cm="1">
        <f t="array" aca="1" ref="AB119" ca="1">OFFSET(POrigin,MATCH(Valori[[#This Row],[LUKB_id]],PID,0),MATCH("ASK",PLabel,0)-1,1,1)</f>
        <v>489.90000000000003</v>
      </c>
      <c r="AC119" s="1594" cm="1">
        <f t="array" aca="1" ref="AC119" ca="1">OFFSET(POrigin,MATCH(Valori[[#This Row],[LUKB_id]],PID,0),MATCH("ASK:volume",PLabel,0)-1,1,1)</f>
        <v>10897</v>
      </c>
      <c r="AD119" s="1596" cm="1">
        <f t="array" aca="1" ref="AD119" ca="1">OFFSET(POrigin,MATCH(Valori[[#This Row],[LUKB_id]],PID,0),MATCH("BID-ASK Spread %",PLabel,0)-1,1,1)</f>
        <v>1.4991482112436426E-3</v>
      </c>
      <c r="AE119" s="1597" t="str" cm="1">
        <f t="array" aca="1" ref="AE119" ca="1">IF(OFFSET(POrigin,MATCH(Valori[[#This Row],[LUKB_id]],PID,0),MATCH("MATURITY",PLabel,0)-1,1,1)&gt;0,OFFSET(POrigin,MATCH(Valori[[#This Row],[LUKB_id]],PID,0),MATCH("MATURITY",PLabel,0)-1,1,1),"")</f>
        <v/>
      </c>
      <c r="AF119" s="1598" cm="1">
        <f t="array" aca="1" ref="AF119" ca="1">OFFSET(POrigin,MATCH(Valori[[#This Row],[LUKB_id]],PID,0),MATCH("ACCINT",PLabel,0)-1,1,1)</f>
        <v>0</v>
      </c>
      <c r="AG119" s="1594" cm="1">
        <f t="array" aca="1" ref="AG119" ca="1">OFFSET(POrigin,MATCH(Valori[[#This Row],[LUKB_id]],PID,0),MATCH("DENOM",PLabel,0)-1,1,1)</f>
        <v>0</v>
      </c>
      <c r="AH119" s="1599" cm="1">
        <f t="array" aca="1" ref="AH119" ca="1">(OFFSET(POrigin,MATCH(Valori[[#This Row],[LUKB_id]],PID,0),MATCH("YIELD",PLabel,0)-1,1,1)+OFFSET(POrigin,MATCH(Valori[[#This Row],[LUKB_id]],PID,0),MATCH("YLDEQ",PLabel,0)-1,1,1))/100</f>
        <v>0</v>
      </c>
      <c r="AI119" s="1600">
        <f ca="1">OFFSET(POrigin,MATCH(Valori[[#This Row],[LUKB_id]],PID,0),MATCH("DIVIDEND",PLabel,0)-1,1,1)</f>
        <v>0</v>
      </c>
      <c r="AJ119" s="1601">
        <f ca="1">OFFSET(POrigin,MATCH(Valori[[#This Row],[LUKB_id]],PID,0),MATCH("DIVIDEND:datetime",PLabel,0)-1,1,1)</f>
        <v>0</v>
      </c>
      <c r="AK119" s="1602">
        <f ca="1">OFFSET(POrigin,MATCH(Valori[[#This Row],[LUKB_id]],PID,0),MATCH("INTEREST",PLabel,0)-1,1,1)</f>
        <v>0</v>
      </c>
      <c r="AL119" s="1603">
        <f ca="1">OFFSET(POrigin,MATCH(Valori[[#This Row],[LUKB_id]],PID,0),MATCH("4W_PERF_PR",PLabel,0)-1,1,1)/100</f>
        <v>2.8985509999999999E-2</v>
      </c>
      <c r="AM119" s="1603">
        <f ca="1">OFFSET(POrigin,MATCH(Valori[[#This Row],[LUKB_id]],PID,0),MATCH("12W_PERF_PR",PLabel,0)-1,1,1)/100</f>
        <v>0.21382556999999999</v>
      </c>
      <c r="AN119" s="1603">
        <f ca="1">OFFSET(POrigin,MATCH(Valori[[#This Row],[LUKB_id]],PID,0),MATCH("YTD_PERF_PR",PLabel,0)-1,1,1)/100</f>
        <v>0.21038153330941303</v>
      </c>
      <c r="AO119" s="1591"/>
      <c r="AP119" s="1591"/>
      <c r="AQ119" s="1591"/>
      <c r="AR119" s="1591"/>
      <c r="AS119" s="1890" t="s">
        <v>1192</v>
      </c>
      <c r="AT119" s="1890" t="s">
        <v>1193</v>
      </c>
      <c r="AU119" s="610" t="s">
        <v>1194</v>
      </c>
      <c r="AV119" s="1891" t="s">
        <v>1195</v>
      </c>
      <c r="AW119" s="1604" t="str">
        <f ca="1">"https://boersenundmaerkte.lukb.ch/lukb/details/"&amp;Valori[[#This Row],[LUKB_id]]</f>
        <v>https://boersenundmaerkte.lukb.ch/lukb/details/10413623,349,333</v>
      </c>
      <c r="AX119" s="1605" t="str">
        <f>"https://www.zonebourse.com/mods_a/charts/TV/inc_dyna_graph.php?c="&amp;Valori[[#This Row],[MS_Code]]&amp;"&amp;style=TradingView.CANDLES&amp;interval=(null)&amp;mobile=(null)&amp;showAT=1"</f>
        <v>https://www.zonebourse.com/mods_a/charts/TV/inc_dyna_graph.php?c=5634102&amp;style=TradingView.CANDLES&amp;interval=(null)&amp;mobile=(null)&amp;showAT=1</v>
      </c>
      <c r="AY119" s="142"/>
      <c r="AZ119" s="142"/>
      <c r="BA119" s="142"/>
      <c r="BB119" s="142"/>
    </row>
    <row r="120" spans="1:54" ht="15" customHeight="1" x14ac:dyDescent="0.2">
      <c r="A120" s="142" t="s">
        <v>1998</v>
      </c>
      <c r="B120" s="142" t="str" cm="1">
        <f t="array" aca="1" ref="B120" ca="1">OFFSET(POrigin,MATCH(Valori[[#This Row],[smo_id]],Posizioni[smo_id],0),MATCH("LUKB_id",PIntestazioni,0)-1,1,1)</f>
        <v>3477137,719,333</v>
      </c>
      <c r="C120" s="1668" t="str">
        <f ca="1">HYPERLINK("https://boersenundmaerkte.lukb.ch/lukb/details/"&amp;Valori[[#This Row],[LUKB_id]],"è")</f>
        <v>è</v>
      </c>
      <c r="D120" s="142" t="str" cm="1">
        <f t="array" aca="1" ref="D120" ca="1">OFFSET(POrigin,MATCH(Valori[[#This Row],[LUKB_id]],PID,0),MATCH("SC_GROUPED",PIntestazioni,0)-1,1,1)</f>
        <v>ETF</v>
      </c>
      <c r="E120" s="413" t="str" cm="1">
        <f t="array" aca="1" ref="E120" ca="1">OFFSET(POrigin,MATCH(Valori[[#This Row],[LUKB_id]],PID,0),MATCH("isin",PIntestazioni,0)-1,1,1)</f>
        <v>IE00B27YCK28</v>
      </c>
      <c r="F120" s="34" t="str" cm="1">
        <f t="array" aca="1" ref="F120" ca="1">OFFSET(POrigin,MATCH(Valori[[#This Row],[LUKB_id]],PID,0),MATCH("NSIN_CH",PLabel,0)-1,1,1)</f>
        <v>3477137</v>
      </c>
      <c r="G120" s="95" t="str" cm="1">
        <f t="array" aca="1" ref="G120" ca="1">IF(OFFSET(POrigin,MATCH(Valori[[#This Row],[LUKB_id]],PID,0),MATCH("INSTRUNIT",PLabel,0)-1,1,1)="Nominal","Pct","Unit")</f>
        <v>Unit</v>
      </c>
      <c r="H120" s="612">
        <f ca="1">MAX(OFFSET(POrigin,MATCH(Valori[[#This Row],[LUKB_id]],PID,0),MATCH("PRICINGAMT",PLabel,0)-1,1,1),1)</f>
        <v>1</v>
      </c>
      <c r="I120" s="615" t="str" cm="1">
        <f t="array" aca="1" ref="I120" ca="1">OFFSET(POrigin,MATCH(Valori[[#This Row],[LUKB_id]],PID,0),MATCH("M_NAME",PLabel,0)-1,1,1)</f>
        <v>iShares II PLC - iShares MSCI EM Latin America UCITS ETF</v>
      </c>
      <c r="J120" s="142" t="s">
        <v>774</v>
      </c>
      <c r="M120" s="142" t="str" cm="1">
        <f t="array" aca="1" ref="M1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 plc - MSCI EM Latin America UCITS ETF</v>
      </c>
      <c r="N120" s="1563">
        <f ca="1">COUNTIF('CHF M'!smo_id,Valori[[#This Row],[smo_id]])+COUNTIF('CHF MA'!smo_id,Valori[[#This Row],[smo_id]])+COUNTIF('EUR MB'!smo_id,Valori[[#This Row],[smo_id]])+COUNTIF('EUR M'!smo_id,Valori[[#This Row],[smo_id]])+COUNTIF(AGCO!smo_id,Valori[[#This Row],[smo_id]])</f>
        <v>5</v>
      </c>
      <c r="O120" s="1590" cm="1">
        <f t="array" aca="1" ref="O120" ca="1">SUM(IF('CHF M'!smo_id=Valori[[#This Row],[smo_id]],'CHF M'!Posizione))+SUM(IF('CHF MA'!smo_id=Valori[[#This Row],[smo_id]],'CHF MA'!Posizione))+SUM(IF('EUR MB'!smo_id=Valori[[#This Row],[smo_id]],'EUR MB'!Posizione))+SUM(IF('EUR M'!smo_id=Valori[[#This Row],[smo_id]],'EUR M'!Posizione))+SUM(IF(AGCO!smo_id=Valori[[#This Row],[smo_id]],AGCO!Posizione))</f>
        <v>0</v>
      </c>
      <c r="P120" s="1661" t="str">
        <f ca="1">HYPERLINK(Valori[[#This Row],[P_Source]],"è")</f>
        <v>è</v>
      </c>
      <c r="Q120" s="1663" t="str">
        <f>HYPERLINK(Valori[[#This Row],[Info_W]],"i")</f>
        <v>i</v>
      </c>
      <c r="R120" s="1664" t="str">
        <f>HYPERLINK(Valori[[#This Row],[FN_W]],"")</f>
        <v></v>
      </c>
      <c r="S120" s="1665" t="str">
        <f>HYPERLINK(Valori[[#This Row],[MS_Link]],"")</f>
        <v></v>
      </c>
      <c r="T120" s="1665" t="str">
        <f>HYPERLINK(Valori[[#This Row],[C_source]],"")</f>
        <v></v>
      </c>
      <c r="U120" s="142" t="str" cm="1">
        <f t="array" aca="1" ref="U120" ca="1">OFFSET(POrigin,MATCH(Valori[[#This Row],[LUKB_id]],PID,0),MATCH("M_CUR",PLabel,0)-1,1,1)</f>
        <v>USD</v>
      </c>
      <c r="V120" s="1562">
        <f ca="1">(Valori[[#This Row],[Last]]+Valori[[#This Row],[Acc. Int]])/Valori[[#This Row],[Pr.Amt]]/IF(Valori[[#This Row],[P_Type]]="Pct",100,1)</f>
        <v>21.02</v>
      </c>
      <c r="W120" s="1591" cm="1">
        <f t="array" aca="1" ref="W120" ca="1">OFFSET(POrigin,MATCH(Valori[[#This Row],[LUKB_id]],PID,0),MATCH("NC2_PR",PLabel,0)-1,1,1)/100</f>
        <v>-4.8007246376811794E-2</v>
      </c>
      <c r="X120" s="1592" cm="1">
        <f t="array" aca="1" ref="X120" ca="1">OFFSET(POrigin,MATCH(Valori[[#This Row],[LUKB_id]],PID,0),MATCH("LVAL",PLabel,0)-1,1,1)</f>
        <v>21.02</v>
      </c>
      <c r="Y120" s="1593" cm="1">
        <f t="array" aca="1" ref="Y120" ca="1">OFFSET(POrigin,MATCH(Valori[[#This Row],[LUKB_id]],PID,0),MATCH("LVAL:datetime",PLabel,0)-1,1,1)</f>
        <v>46084.732719907406</v>
      </c>
      <c r="Z120" s="1594" cm="1">
        <f t="array" aca="1" ref="Z120" ca="1">OFFSET(POrigin,MATCH(Valori[[#This Row],[LUKB_id]],PID,0),MATCH("BID:volume",PLabel,0)-1,1,1)</f>
        <v>3000</v>
      </c>
      <c r="AA120" s="1595" cm="1">
        <f t="array" aca="1" ref="AA120" ca="1">OFFSET(POrigin,MATCH(Valori[[#This Row],[LUKB_id]],PID,0),MATCH("BID",PLabel,0)-1,1,1)</f>
        <v>18.2</v>
      </c>
      <c r="AB120" s="1595" cm="1">
        <f t="array" aca="1" ref="AB120" ca="1">OFFSET(POrigin,MATCH(Valori[[#This Row],[LUKB_id]],PID,0),MATCH("ASK",PLabel,0)-1,1,1)</f>
        <v>22.8</v>
      </c>
      <c r="AC120" s="1594" cm="1">
        <f t="array" aca="1" ref="AC120" ca="1">OFFSET(POrigin,MATCH(Valori[[#This Row],[LUKB_id]],PID,0),MATCH("ASK:volume",PLabel,0)-1,1,1)</f>
        <v>168</v>
      </c>
      <c r="AD120" s="1596" cm="1">
        <f t="array" aca="1" ref="AD120" ca="1">OFFSET(POrigin,MATCH(Valori[[#This Row],[LUKB_id]],PID,0),MATCH("BID-ASK Spread %",PLabel,0)-1,1,1)</f>
        <v>0.15540540540540546</v>
      </c>
      <c r="AE120" s="1597" t="str" cm="1">
        <f t="array" aca="1" ref="AE120" ca="1">IF(OFFSET(POrigin,MATCH(Valori[[#This Row],[LUKB_id]],PID,0),MATCH("MATURITY",PLabel,0)-1,1,1)&gt;0,OFFSET(POrigin,MATCH(Valori[[#This Row],[LUKB_id]],PID,0),MATCH("MATURITY",PLabel,0)-1,1,1),"")</f>
        <v/>
      </c>
      <c r="AF120" s="1598" cm="1">
        <f t="array" aca="1" ref="AF120" ca="1">OFFSET(POrigin,MATCH(Valori[[#This Row],[LUKB_id]],PID,0),MATCH("ACCINT",PLabel,0)-1,1,1)</f>
        <v>0</v>
      </c>
      <c r="AG120" s="1594" cm="1">
        <f t="array" aca="1" ref="AG120" ca="1">OFFSET(POrigin,MATCH(Valori[[#This Row],[LUKB_id]],PID,0),MATCH("DENOM",PLabel,0)-1,1,1)</f>
        <v>0</v>
      </c>
      <c r="AH120" s="1599" cm="1">
        <f t="array" aca="1" ref="AH120" ca="1">(OFFSET(POrigin,MATCH(Valori[[#This Row],[LUKB_id]],PID,0),MATCH("YIELD",PLabel,0)-1,1,1)+OFFSET(POrigin,MATCH(Valori[[#This Row],[LUKB_id]],PID,0),MATCH("YLDEQ",PLabel,0)-1,1,1))/100</f>
        <v>0</v>
      </c>
      <c r="AI120" s="1600">
        <f ca="1">OFFSET(POrigin,MATCH(Valori[[#This Row],[LUKB_id]],PID,0),MATCH("DIVIDEND",PLabel,0)-1,1,1)</f>
        <v>0.28850000000000003</v>
      </c>
      <c r="AJ120" s="1601">
        <f ca="1">OFFSET(POrigin,MATCH(Valori[[#This Row],[LUKB_id]],PID,0),MATCH("DIVIDEND:datetime",PLabel,0)-1,1,1)</f>
        <v>45974</v>
      </c>
      <c r="AK120" s="1602">
        <f ca="1">OFFSET(POrigin,MATCH(Valori[[#This Row],[LUKB_id]],PID,0),MATCH("INTEREST",PLabel,0)-1,1,1)</f>
        <v>0</v>
      </c>
      <c r="AL120" s="1603">
        <f ca="1">OFFSET(POrigin,MATCH(Valori[[#This Row],[LUKB_id]],PID,0),MATCH("4W_PERF_PR",PLabel,0)-1,1,1)/100</f>
        <v>-6.4530489999999996E-2</v>
      </c>
      <c r="AM120" s="1603">
        <f ca="1">OFFSET(POrigin,MATCH(Valori[[#This Row],[LUKB_id]],PID,0),MATCH("12W_PERF_PR",PLabel,0)-1,1,1)/100</f>
        <v>0.14146077000000001</v>
      </c>
      <c r="AN120" s="1603">
        <f ca="1">OFFSET(POrigin,MATCH(Valori[[#This Row],[LUKB_id]],PID,0),MATCH("YTD_PERF_PR",PLabel,0)-1,1,1)/100</f>
        <v>0.17681545636242599</v>
      </c>
      <c r="AO120" s="1591"/>
      <c r="AP120" s="1591"/>
      <c r="AQ120" s="1591"/>
      <c r="AR120" s="1591"/>
      <c r="AS120" s="1890" t="s">
        <v>1999</v>
      </c>
      <c r="AT120" s="1890" t="s">
        <v>2000</v>
      </c>
      <c r="AU120" s="610" t="s">
        <v>2001</v>
      </c>
      <c r="AV120" s="1891" t="s">
        <v>2002</v>
      </c>
      <c r="AW120" s="1604" t="str">
        <f ca="1">"https://boersenundmaerkte.lukb.ch/lukb/details/"&amp;Valori[[#This Row],[LUKB_id]]</f>
        <v>https://boersenundmaerkte.lukb.ch/lukb/details/3477137,719,333</v>
      </c>
      <c r="AX120" s="1605" t="str">
        <f>"https://www.marketscreener.com/mods_a/charts/TV/inc_dyna_graph.php?c="&amp;Valori[[#This Row],[MS_Code]]&amp;"&amp;style=TradingView.CANDLES&amp;interval=(null)&amp;mobile=(null)&amp;showAT=1"</f>
        <v>https://www.marketscreener.com/mods_a/charts/TV/inc_dyna_graph.php?c=8217112&amp;style=TradingView.CANDLES&amp;interval=(null)&amp;mobile=(null)&amp;showAT=1</v>
      </c>
      <c r="AY120" s="142"/>
      <c r="AZ120" s="142"/>
      <c r="BA120" s="142"/>
      <c r="BB120" s="142"/>
    </row>
    <row r="121" spans="1:54" ht="15" customHeight="1" x14ac:dyDescent="0.2">
      <c r="A121" s="142" t="s">
        <v>1196</v>
      </c>
      <c r="B121" s="142" t="str" cm="1">
        <f t="array" aca="1" ref="B121" ca="1">OFFSET(POrigin,MATCH(Valori[[#This Row],[smo_id]],Posizioni[smo_id],0),MATCH("LUKB_id",PIntestazioni,0)-1,1,1)</f>
        <v>10608422,1703,814</v>
      </c>
      <c r="C121" s="1668" t="str">
        <f ca="1">HYPERLINK("https://boersenundmaerkte.lukb.ch/lukb/details/"&amp;Valori[[#This Row],[LUKB_id]],"è")</f>
        <v>è</v>
      </c>
      <c r="D121" s="142" t="str" cm="1">
        <f t="array" aca="1" ref="D121" ca="1">OFFSET(POrigin,MATCH(Valori[[#This Row],[LUKB_id]],PID,0),MATCH("SC_GROUPED",PIntestazioni,0)-1,1,1)</f>
        <v>ETF</v>
      </c>
      <c r="E121" s="413" t="str" cm="1">
        <f t="array" aca="1" ref="E121" ca="1">OFFSET(POrigin,MATCH(Valori[[#This Row],[LUKB_id]],PID,0),MATCH("isin",PIntestazioni,0)-1,1,1)</f>
        <v>IE00B4L5ZG21</v>
      </c>
      <c r="F121" s="34" t="str" cm="1">
        <f t="array" aca="1" ref="F121" ca="1">OFFSET(POrigin,MATCH(Valori[[#This Row],[LUKB_id]],PID,0),MATCH("NSIN_CH",PLabel,0)-1,1,1)</f>
        <v>10608422</v>
      </c>
      <c r="G121" s="95" t="str" cm="1">
        <f t="array" aca="1" ref="G121" ca="1">IF(OFFSET(POrigin,MATCH(Valori[[#This Row],[LUKB_id]],PID,0),MATCH("INSTRUNIT",PLabel,0)-1,1,1)="Nominal","Pct","Unit")</f>
        <v>Unit</v>
      </c>
      <c r="H121" s="612">
        <f ca="1">MAX(OFFSET(POrigin,MATCH(Valori[[#This Row],[LUKB_id]],PID,0),MATCH("PRICINGAMT",PLabel,0)-1,1,1),1)</f>
        <v>1</v>
      </c>
      <c r="I121" s="615" t="str" cm="1">
        <f t="array" aca="1" ref="I121" ca="1">OFFSET(POrigin,MATCH(Valori[[#This Row],[LUKB_id]],PID,0),MATCH("M_NAME",PLabel,0)-1,1,1)</f>
        <v>iShares III PLC - iShares EUR Corp Bond ex-Financials UCITS ETF</v>
      </c>
      <c r="J121" s="142" t="s">
        <v>1197</v>
      </c>
      <c r="M121" s="142" t="str" cm="1">
        <f t="array" aca="1" ref="M1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EUR Corp Bd. ex-Financials UCITS ETF</v>
      </c>
      <c r="N121" s="1563">
        <f ca="1">COUNTIF('CHF M'!smo_id,Valori[[#This Row],[smo_id]])+COUNTIF('CHF MA'!smo_id,Valori[[#This Row],[smo_id]])+COUNTIF('EUR MB'!smo_id,Valori[[#This Row],[smo_id]])+COUNTIF('EUR M'!smo_id,Valori[[#This Row],[smo_id]])+COUNTIF(AGCO!smo_id,Valori[[#This Row],[smo_id]])</f>
        <v>0</v>
      </c>
      <c r="O121" s="1590" cm="1">
        <f t="array" aca="1" ref="O121" ca="1">SUM(IF('CHF M'!smo_id=Valori[[#This Row],[smo_id]],'CHF M'!Posizione))+SUM(IF('CHF MA'!smo_id=Valori[[#This Row],[smo_id]],'CHF MA'!Posizione))+SUM(IF('EUR MB'!smo_id=Valori[[#This Row],[smo_id]],'EUR MB'!Posizione))+SUM(IF('EUR M'!smo_id=Valori[[#This Row],[smo_id]],'EUR M'!Posizione))+SUM(IF(AGCO!smo_id=Valori[[#This Row],[smo_id]],AGCO!Posizione))</f>
        <v>0</v>
      </c>
      <c r="P121" s="1661" t="str">
        <f ca="1">HYPERLINK(Valori[[#This Row],[P_Source]],"è")</f>
        <v>è</v>
      </c>
      <c r="Q121" s="1663" t="str">
        <f>HYPERLINK(Valori[[#This Row],[Info_W]],"i")</f>
        <v>i</v>
      </c>
      <c r="R121" s="1664" t="str">
        <f>HYPERLINK(Valori[[#This Row],[FN_W]],"")</f>
        <v></v>
      </c>
      <c r="S121" s="1665" t="str">
        <f>HYPERLINK(Valori[[#This Row],[MS_Link]],"")</f>
        <v></v>
      </c>
      <c r="T121" s="1665" t="str">
        <f>HYPERLINK(Valori[[#This Row],[C_source]],"")</f>
        <v></v>
      </c>
      <c r="U121" s="142" t="str" cm="1">
        <f t="array" aca="1" ref="U121" ca="1">OFFSET(POrigin,MATCH(Valori[[#This Row],[LUKB_id]],PID,0),MATCH("M_CUR",PLabel,0)-1,1,1)</f>
        <v>EUR</v>
      </c>
      <c r="V121" s="1562">
        <f ca="1">(Valori[[#This Row],[Last]]+Valori[[#This Row],[Acc. Int]])/Valori[[#This Row],[Pr.Amt]]/IF(Valori[[#This Row],[P_Type]]="Pct",100,1)</f>
        <v>109.59</v>
      </c>
      <c r="W121" s="1591" cm="1">
        <f t="array" aca="1" ref="W121" ca="1">OFFSET(POrigin,MATCH(Valori[[#This Row],[LUKB_id]],PID,0),MATCH("NC2_PR",PLabel,0)-1,1,1)/100</f>
        <v>-2.3214529564386001E-3</v>
      </c>
      <c r="X121" s="1592" cm="1">
        <f t="array" aca="1" ref="X121" ca="1">OFFSET(POrigin,MATCH(Valori[[#This Row],[LUKB_id]],PID,0),MATCH("LVAL",PLabel,0)-1,1,1)</f>
        <v>109.59</v>
      </c>
      <c r="Y121" s="1593" cm="1">
        <f t="array" aca="1" ref="Y121" ca="1">OFFSET(POrigin,MATCH(Valori[[#This Row],[LUKB_id]],PID,0),MATCH("LVAL:datetime",PLabel,0)-1,1,1)</f>
        <v>46083.733368055553</v>
      </c>
      <c r="Z121" s="1594" cm="1">
        <f t="array" aca="1" ref="Z121" ca="1">OFFSET(POrigin,MATCH(Valori[[#This Row],[LUKB_id]],PID,0),MATCH("BID:volume",PLabel,0)-1,1,1)</f>
        <v>0</v>
      </c>
      <c r="AA121" s="1595" cm="1">
        <f t="array" aca="1" ref="AA121" ca="1">OFFSET(POrigin,MATCH(Valori[[#This Row],[LUKB_id]],PID,0),MATCH("BID",PLabel,0)-1,1,1)</f>
        <v>0</v>
      </c>
      <c r="AB121" s="1595" cm="1">
        <f t="array" aca="1" ref="AB121" ca="1">OFFSET(POrigin,MATCH(Valori[[#This Row],[LUKB_id]],PID,0),MATCH("ASK",PLabel,0)-1,1,1)</f>
        <v>0</v>
      </c>
      <c r="AC121" s="1594" cm="1">
        <f t="array" aca="1" ref="AC121" ca="1">OFFSET(POrigin,MATCH(Valori[[#This Row],[LUKB_id]],PID,0),MATCH("ASK:volume",PLabel,0)-1,1,1)</f>
        <v>0</v>
      </c>
      <c r="AD121" s="1596" cm="1">
        <f t="array" aca="1" ref="AD121" ca="1">OFFSET(POrigin,MATCH(Valori[[#This Row],[LUKB_id]],PID,0),MATCH("BID-ASK Spread %",PLabel,0)-1,1,1)</f>
        <v>0</v>
      </c>
      <c r="AE121" s="1597" t="str" cm="1">
        <f t="array" aca="1" ref="AE121" ca="1">IF(OFFSET(POrigin,MATCH(Valori[[#This Row],[LUKB_id]],PID,0),MATCH("MATURITY",PLabel,0)-1,1,1)&gt;0,OFFSET(POrigin,MATCH(Valori[[#This Row],[LUKB_id]],PID,0),MATCH("MATURITY",PLabel,0)-1,1,1),"")</f>
        <v/>
      </c>
      <c r="AF121" s="1598" cm="1">
        <f t="array" aca="1" ref="AF121" ca="1">OFFSET(POrigin,MATCH(Valori[[#This Row],[LUKB_id]],PID,0),MATCH("ACCINT",PLabel,0)-1,1,1)</f>
        <v>0</v>
      </c>
      <c r="AG121" s="1594" cm="1">
        <f t="array" aca="1" ref="AG121" ca="1">OFFSET(POrigin,MATCH(Valori[[#This Row],[LUKB_id]],PID,0),MATCH("DENOM",PLabel,0)-1,1,1)</f>
        <v>0</v>
      </c>
      <c r="AH121" s="1599" cm="1">
        <f t="array" aca="1" ref="AH121" ca="1">(OFFSET(POrigin,MATCH(Valori[[#This Row],[LUKB_id]],PID,0),MATCH("YIELD",PLabel,0)-1,1,1)+OFFSET(POrigin,MATCH(Valori[[#This Row],[LUKB_id]],PID,0),MATCH("YLDEQ",PLabel,0)-1,1,1))/100</f>
        <v>0</v>
      </c>
      <c r="AI121" s="1600">
        <f ca="1">OFFSET(POrigin,MATCH(Valori[[#This Row],[LUKB_id]],PID,0),MATCH("DIVIDEND",PLabel,0)-1,1,1)</f>
        <v>1.5984</v>
      </c>
      <c r="AJ121" s="1601">
        <f ca="1">OFFSET(POrigin,MATCH(Valori[[#This Row],[LUKB_id]],PID,0),MATCH("DIVIDEND:datetime",PLabel,0)-1,1,1)</f>
        <v>46037</v>
      </c>
      <c r="AK121" s="1602">
        <f ca="1">OFFSET(POrigin,MATCH(Valori[[#This Row],[LUKB_id]],PID,0),MATCH("INTEREST",PLabel,0)-1,1,1)</f>
        <v>0</v>
      </c>
      <c r="AL121" s="1603">
        <f ca="1">OFFSET(POrigin,MATCH(Valori[[#This Row],[LUKB_id]],PID,0),MATCH("4W_PERF_PR",PLabel,0)-1,1,1)/100</f>
        <v>2.3781212841855401E-3</v>
      </c>
      <c r="AM121" s="1603">
        <f ca="1">OFFSET(POrigin,MATCH(Valori[[#This Row],[LUKB_id]],PID,0),MATCH("12W_PERF_PR",PLabel,0)-1,1,1)/100</f>
        <v>-2.230618655255652E-3</v>
      </c>
      <c r="AN121" s="1603">
        <f ca="1">OFFSET(POrigin,MATCH(Valori[[#This Row],[LUKB_id]],PID,0),MATCH("YTD_PERF_PR",PLabel,0)-1,1,1)/100</f>
        <v>-4.6773534353572004E-3</v>
      </c>
      <c r="AO121" s="1591"/>
      <c r="AP121" s="1591"/>
      <c r="AQ121" s="1591"/>
      <c r="AR121" s="1591"/>
      <c r="AS121" s="1890" t="s">
        <v>1198</v>
      </c>
      <c r="AT121" s="1890" t="s">
        <v>1199</v>
      </c>
      <c r="AU121" s="610" t="s">
        <v>1200</v>
      </c>
      <c r="AV121" s="1891" t="s">
        <v>1201</v>
      </c>
      <c r="AW121" s="1604" t="str">
        <f ca="1">"https://boersenundmaerkte.lukb.ch/lukb/details/"&amp;Valori[[#This Row],[LUKB_id]]</f>
        <v>https://boersenundmaerkte.lukb.ch/lukb/details/10608422,1703,814</v>
      </c>
      <c r="AX121" s="1605" t="str">
        <f>"https://www.marketscreener.com/mods_a/charts/TV/inc_dyna_graph.php?c="&amp;Valori[[#This Row],[MS_Code]]&amp;"&amp;style=TradingView.CANDLES&amp;interval=(null)&amp;mobile=(null)&amp;showAT=1"</f>
        <v>https://www.marketscreener.com/mods_a/charts/TV/inc_dyna_graph.php?c=50425025&amp;style=TradingView.CANDLES&amp;interval=(null)&amp;mobile=(null)&amp;showAT=1</v>
      </c>
      <c r="AY121" s="142"/>
      <c r="AZ121" s="142"/>
      <c r="BA121" s="142"/>
      <c r="BB121" s="142"/>
    </row>
    <row r="122" spans="1:54" ht="15" customHeight="1" x14ac:dyDescent="0.2">
      <c r="A122" s="142" t="s">
        <v>1202</v>
      </c>
      <c r="B122" s="142" t="str" cm="1">
        <f t="array" aca="1" ref="B122" ca="1">OFFSET(POrigin,MATCH(Valori[[#This Row],[smo_id]],Posizioni[smo_id],0),MATCH("LUKB_id",PIntestazioni,0)-1,1,1)</f>
        <v>10608419,361,333</v>
      </c>
      <c r="C122" s="1668" t="str">
        <f ca="1">HYPERLINK("https://boersenundmaerkte.lukb.ch/lukb/details/"&amp;Valori[[#This Row],[LUKB_id]],"è")</f>
        <v>è</v>
      </c>
      <c r="D122" s="142" t="str" cm="1">
        <f t="array" aca="1" ref="D122" ca="1">OFFSET(POrigin,MATCH(Valori[[#This Row],[LUKB_id]],PID,0),MATCH("SC_GROUPED",PIntestazioni,0)-1,1,1)</f>
        <v>ETF</v>
      </c>
      <c r="E122" s="413" t="str" cm="1">
        <f t="array" aca="1" ref="E122" ca="1">OFFSET(POrigin,MATCH(Valori[[#This Row],[LUKB_id]],PID,0),MATCH("isin",PIntestazioni,0)-1,1,1)</f>
        <v>IE00B4L5YX21</v>
      </c>
      <c r="F122" s="34" t="str" cm="1">
        <f t="array" aca="1" ref="F122" ca="1">OFFSET(POrigin,MATCH(Valori[[#This Row],[LUKB_id]],PID,0),MATCH("NSIN_CH",PLabel,0)-1,1,1)</f>
        <v>10608419</v>
      </c>
      <c r="G122" s="95" t="str" cm="1">
        <f t="array" aca="1" ref="G122" ca="1">IF(OFFSET(POrigin,MATCH(Valori[[#This Row],[LUKB_id]],PID,0),MATCH("INSTRUNIT",PLabel,0)-1,1,1)="Nominal","Pct","Unit")</f>
        <v>Unit</v>
      </c>
      <c r="H122" s="612">
        <f ca="1">MAX(OFFSET(POrigin,MATCH(Valori[[#This Row],[LUKB_id]],PID,0),MATCH("PRICINGAMT",PLabel,0)-1,1,1),1)</f>
        <v>1</v>
      </c>
      <c r="I122" s="615" t="str" cm="1">
        <f t="array" aca="1" ref="I122" ca="1">OFFSET(POrigin,MATCH(Valori[[#This Row],[LUKB_id]],PID,0),MATCH("M_NAME",PLabel,0)-1,1,1)</f>
        <v>iShares III PLC - iShares Core MSCI Japan IMI UCITS ETF</v>
      </c>
      <c r="M122" s="142" t="str" cm="1">
        <f t="array" aca="1" ref="M1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Core MSCI Japan IMI UCITS ETF</v>
      </c>
      <c r="N122" s="1563">
        <f ca="1">COUNTIF('CHF M'!smo_id,Valori[[#This Row],[smo_id]])+COUNTIF('CHF MA'!smo_id,Valori[[#This Row],[smo_id]])+COUNTIF('EUR MB'!smo_id,Valori[[#This Row],[smo_id]])+COUNTIF('EUR M'!smo_id,Valori[[#This Row],[smo_id]])+COUNTIF(AGCO!smo_id,Valori[[#This Row],[smo_id]])</f>
        <v>0</v>
      </c>
      <c r="O122" s="1590" cm="1">
        <f t="array" aca="1" ref="O122" ca="1">SUM(IF('CHF M'!smo_id=Valori[[#This Row],[smo_id]],'CHF M'!Posizione))+SUM(IF('CHF MA'!smo_id=Valori[[#This Row],[smo_id]],'CHF MA'!Posizione))+SUM(IF('EUR MB'!smo_id=Valori[[#This Row],[smo_id]],'EUR MB'!Posizione))+SUM(IF('EUR M'!smo_id=Valori[[#This Row],[smo_id]],'EUR M'!Posizione))+SUM(IF(AGCO!smo_id=Valori[[#This Row],[smo_id]],AGCO!Posizione))</f>
        <v>0</v>
      </c>
      <c r="P122" s="1661" t="str">
        <f ca="1">HYPERLINK(Valori[[#This Row],[P_Source]],"è")</f>
        <v>è</v>
      </c>
      <c r="Q122" s="1663" t="str">
        <f>HYPERLINK(Valori[[#This Row],[Info_W]],"i")</f>
        <v>i</v>
      </c>
      <c r="R122" s="1664" t="str">
        <f>HYPERLINK(Valori[[#This Row],[FN_W]],"")</f>
        <v></v>
      </c>
      <c r="S122" s="1665" t="str">
        <f>HYPERLINK(Valori[[#This Row],[MS_Link]],"")</f>
        <v></v>
      </c>
      <c r="T122" s="1665" t="str">
        <f>HYPERLINK(Valori[[#This Row],[C_source]],"")</f>
        <v></v>
      </c>
      <c r="U122" s="142" t="str" cm="1">
        <f t="array" aca="1" ref="U122" ca="1">OFFSET(POrigin,MATCH(Valori[[#This Row],[LUKB_id]],PID,0),MATCH("M_CUR",PLabel,0)-1,1,1)</f>
        <v>USD</v>
      </c>
      <c r="V122" s="1562">
        <f ca="1">(Valori[[#This Row],[Last]]+Valori[[#This Row],[Acc. Int]])/Valori[[#This Row],[Pr.Amt]]/IF(Valori[[#This Row],[P_Type]]="Pct",100,1)</f>
        <v>73.17</v>
      </c>
      <c r="W122" s="1591" cm="1">
        <f t="array" aca="1" ref="W122" ca="1">OFFSET(POrigin,MATCH(Valori[[#This Row],[LUKB_id]],PID,0),MATCH("NC2_PR",PLabel,0)-1,1,1)/100</f>
        <v>-5.2079284881461296E-2</v>
      </c>
      <c r="X122" s="1592" cm="1">
        <f t="array" aca="1" ref="X122" ca="1">OFFSET(POrigin,MATCH(Valori[[#This Row],[LUKB_id]],PID,0),MATCH("LVAL",PLabel,0)-1,1,1)</f>
        <v>73.17</v>
      </c>
      <c r="Y122" s="1593" cm="1">
        <f t="array" aca="1" ref="Y122" ca="1">OFFSET(POrigin,MATCH(Valori[[#This Row],[LUKB_id]],PID,0),MATCH("LVAL:datetime",PLabel,0)-1,1,1)</f>
        <v>46084.732928240737</v>
      </c>
      <c r="Z122" s="1594" cm="1">
        <f t="array" aca="1" ref="Z122" ca="1">OFFSET(POrigin,MATCH(Valori[[#This Row],[LUKB_id]],PID,0),MATCH("BID:volume",PLabel,0)-1,1,1)</f>
        <v>10</v>
      </c>
      <c r="AA122" s="1595" cm="1">
        <f t="array" aca="1" ref="AA122" ca="1">OFFSET(POrigin,MATCH(Valori[[#This Row],[LUKB_id]],PID,0),MATCH("BID",PLabel,0)-1,1,1)</f>
        <v>71.5</v>
      </c>
      <c r="AB122" s="1595" cm="1">
        <f t="array" aca="1" ref="AB122" ca="1">OFFSET(POrigin,MATCH(Valori[[#This Row],[LUKB_id]],PID,0),MATCH("ASK",PLabel,0)-1,1,1)</f>
        <v>77.61</v>
      </c>
      <c r="AC122" s="1594" cm="1">
        <f t="array" aca="1" ref="AC122" ca="1">OFFSET(POrigin,MATCH(Valori[[#This Row],[LUKB_id]],PID,0),MATCH("ASK:volume",PLabel,0)-1,1,1)</f>
        <v>40</v>
      </c>
      <c r="AD122" s="1596" cm="1">
        <f t="array" aca="1" ref="AD122" ca="1">OFFSET(POrigin,MATCH(Valori[[#This Row],[LUKB_id]],PID,0),MATCH("BID-ASK Spread %",PLabel,0)-1,1,1)</f>
        <v>5.5391868002357091E-2</v>
      </c>
      <c r="AE122" s="1597" t="str" cm="1">
        <f t="array" aca="1" ref="AE122" ca="1">IF(OFFSET(POrigin,MATCH(Valori[[#This Row],[LUKB_id]],PID,0),MATCH("MATURITY",PLabel,0)-1,1,1)&gt;0,OFFSET(POrigin,MATCH(Valori[[#This Row],[LUKB_id]],PID,0),MATCH("MATURITY",PLabel,0)-1,1,1),"")</f>
        <v/>
      </c>
      <c r="AF122" s="1598" cm="1">
        <f t="array" aca="1" ref="AF122" ca="1">OFFSET(POrigin,MATCH(Valori[[#This Row],[LUKB_id]],PID,0),MATCH("ACCINT",PLabel,0)-1,1,1)</f>
        <v>0</v>
      </c>
      <c r="AG122" s="1594" cm="1">
        <f t="array" aca="1" ref="AG122" ca="1">OFFSET(POrigin,MATCH(Valori[[#This Row],[LUKB_id]],PID,0),MATCH("DENOM",PLabel,0)-1,1,1)</f>
        <v>0</v>
      </c>
      <c r="AH122" s="1599" cm="1">
        <f t="array" aca="1" ref="AH122" ca="1">(OFFSET(POrigin,MATCH(Valori[[#This Row],[LUKB_id]],PID,0),MATCH("YIELD",PLabel,0)-1,1,1)+OFFSET(POrigin,MATCH(Valori[[#This Row],[LUKB_id]],PID,0),MATCH("YLDEQ",PLabel,0)-1,1,1))/100</f>
        <v>0</v>
      </c>
      <c r="AI122" s="1600">
        <f ca="1">OFFSET(POrigin,MATCH(Valori[[#This Row],[LUKB_id]],PID,0),MATCH("DIVIDEND",PLabel,0)-1,1,1)</f>
        <v>0</v>
      </c>
      <c r="AJ122" s="1601">
        <f ca="1">OFFSET(POrigin,MATCH(Valori[[#This Row],[LUKB_id]],PID,0),MATCH("DIVIDEND:datetime",PLabel,0)-1,1,1)</f>
        <v>0</v>
      </c>
      <c r="AK122" s="1602">
        <f ca="1">OFFSET(POrigin,MATCH(Valori[[#This Row],[LUKB_id]],PID,0),MATCH("INTEREST",PLabel,0)-1,1,1)</f>
        <v>0</v>
      </c>
      <c r="AL122" s="1603">
        <f ca="1">OFFSET(POrigin,MATCH(Valori[[#This Row],[LUKB_id]],PID,0),MATCH("4W_PERF_PR",PLabel,0)-1,1,1)/100</f>
        <v>-8.2678200000000004E-3</v>
      </c>
      <c r="AM122" s="1603">
        <f ca="1">OFFSET(POrigin,MATCH(Valori[[#This Row],[LUKB_id]],PID,0),MATCH("12W_PERF_PR",PLabel,0)-1,1,1)/100</f>
        <v>6.3981389999999999E-2</v>
      </c>
      <c r="AN122" s="1603">
        <f ca="1">OFFSET(POrigin,MATCH(Valori[[#This Row],[LUKB_id]],PID,0),MATCH("YTD_PERF_PR",PLabel,0)-1,1,1)/100</f>
        <v>0.113370835136305</v>
      </c>
      <c r="AO122" s="1591"/>
      <c r="AP122" s="1591"/>
      <c r="AQ122" s="1591"/>
      <c r="AR122" s="1591"/>
      <c r="AS122" s="1890"/>
      <c r="AT122" s="1890"/>
      <c r="AU122" s="610"/>
      <c r="AV122" s="1891"/>
      <c r="AW122" s="1604" t="str">
        <f ca="1">"https://boersenundmaerkte.lukb.ch/lukb/details/"&amp;Valori[[#This Row],[LUKB_id]]</f>
        <v>https://boersenundmaerkte.lukb.ch/lukb/details/10608419,361,333</v>
      </c>
      <c r="AX122" s="1605"/>
      <c r="AY122" s="142"/>
      <c r="AZ122" s="142"/>
      <c r="BA122" s="142"/>
      <c r="BB122" s="142"/>
    </row>
    <row r="123" spans="1:54" ht="15" customHeight="1" x14ac:dyDescent="0.2">
      <c r="A123" s="142" t="s">
        <v>1203</v>
      </c>
      <c r="B123" s="142" t="str" cm="1">
        <f t="array" aca="1" ref="B123" ca="1">OFFSET(POrigin,MATCH(Valori[[#This Row],[smo_id]],Posizioni[smo_id],0),MATCH("LUKB_id",PIntestazioni,0)-1,1,1)</f>
        <v>10608402,361,333</v>
      </c>
      <c r="C123" s="1668" t="str">
        <f ca="1">HYPERLINK("https://boersenundmaerkte.lukb.ch/lukb/details/"&amp;Valori[[#This Row],[LUKB_id]],"è")</f>
        <v>è</v>
      </c>
      <c r="D123" s="142" t="str" cm="1">
        <f t="array" aca="1" ref="D123" ca="1">OFFSET(POrigin,MATCH(Valori[[#This Row],[LUKB_id]],PID,0),MATCH("SC_GROUPED",PIntestazioni,0)-1,1,1)</f>
        <v>ETF</v>
      </c>
      <c r="E123" s="413" t="str" cm="1">
        <f t="array" aca="1" ref="E123" ca="1">OFFSET(POrigin,MATCH(Valori[[#This Row],[LUKB_id]],PID,0),MATCH("isin",PIntestazioni,0)-1,1,1)</f>
        <v>IE00B4L5YC18</v>
      </c>
      <c r="F123" s="34" t="str" cm="1">
        <f t="array" aca="1" ref="F123" ca="1">OFFSET(POrigin,MATCH(Valori[[#This Row],[LUKB_id]],PID,0),MATCH("NSIN_CH",PLabel,0)-1,1,1)</f>
        <v>10608402</v>
      </c>
      <c r="G123" s="95" t="str" cm="1">
        <f t="array" aca="1" ref="G123" ca="1">IF(OFFSET(POrigin,MATCH(Valori[[#This Row],[LUKB_id]],PID,0),MATCH("INSTRUNIT",PLabel,0)-1,1,1)="Nominal","Pct","Unit")</f>
        <v>Unit</v>
      </c>
      <c r="H123" s="612">
        <f ca="1">MAX(OFFSET(POrigin,MATCH(Valori[[#This Row],[LUKB_id]],PID,0),MATCH("PRICINGAMT",PLabel,0)-1,1,1),1)</f>
        <v>1</v>
      </c>
      <c r="I123" s="615" t="str" cm="1">
        <f t="array" aca="1" ref="I123" ca="1">OFFSET(POrigin,MATCH(Valori[[#This Row],[LUKB_id]],PID,0),MATCH("M_NAME",PLabel,0)-1,1,1)</f>
        <v>iShares III PLC - iShares MSCI EM UCITS ETF USD (Acc)</v>
      </c>
      <c r="M123" s="142" t="str" cm="1">
        <f t="array" aca="1" ref="M1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MSCI EM UCITS ETF USD (Acc)</v>
      </c>
      <c r="N123" s="1563">
        <f ca="1">COUNTIF('CHF M'!smo_id,Valori[[#This Row],[smo_id]])+COUNTIF('CHF MA'!smo_id,Valori[[#This Row],[smo_id]])+COUNTIF('EUR MB'!smo_id,Valori[[#This Row],[smo_id]])+COUNTIF('EUR M'!smo_id,Valori[[#This Row],[smo_id]])+COUNTIF(AGCO!smo_id,Valori[[#This Row],[smo_id]])</f>
        <v>1</v>
      </c>
      <c r="O123" s="1590" cm="1">
        <f t="array" aca="1" ref="O123" ca="1">SUM(IF('CHF M'!smo_id=Valori[[#This Row],[smo_id]],'CHF M'!Posizione))+SUM(IF('CHF MA'!smo_id=Valori[[#This Row],[smo_id]],'CHF MA'!Posizione))+SUM(IF('EUR MB'!smo_id=Valori[[#This Row],[smo_id]],'EUR MB'!Posizione))+SUM(IF('EUR M'!smo_id=Valori[[#This Row],[smo_id]],'EUR M'!Posizione))+SUM(IF(AGCO!smo_id=Valori[[#This Row],[smo_id]],AGCO!Posizione))</f>
        <v>0</v>
      </c>
      <c r="P123" s="1661" t="str">
        <f ca="1">HYPERLINK(Valori[[#This Row],[P_Source]],"è")</f>
        <v>è</v>
      </c>
      <c r="Q123" s="1663" t="str">
        <f>HYPERLINK(Valori[[#This Row],[Info_W]],"i")</f>
        <v>i</v>
      </c>
      <c r="R123" s="1664" t="str">
        <f>HYPERLINK(Valori[[#This Row],[FN_W]],"")</f>
        <v></v>
      </c>
      <c r="S123" s="1665" t="str">
        <f>HYPERLINK(Valori[[#This Row],[MS_Link]],"")</f>
        <v></v>
      </c>
      <c r="T123" s="1665" t="str">
        <f>HYPERLINK(Valori[[#This Row],[C_source]],"")</f>
        <v></v>
      </c>
      <c r="U123" s="142" t="str" cm="1">
        <f t="array" aca="1" ref="U123" ca="1">OFFSET(POrigin,MATCH(Valori[[#This Row],[LUKB_id]],PID,0),MATCH("M_CUR",PLabel,0)-1,1,1)</f>
        <v>USD</v>
      </c>
      <c r="V123" s="1562">
        <f ca="1">(Valori[[#This Row],[Last]]+Valori[[#This Row],[Acc. Int]])/Valori[[#This Row],[Pr.Amt]]/IF(Valori[[#This Row],[P_Type]]="Pct",100,1)</f>
        <v>55.17</v>
      </c>
      <c r="W123" s="1591" cm="1">
        <f t="array" aca="1" ref="W123" ca="1">OFFSET(POrigin,MATCH(Valori[[#This Row],[LUKB_id]],PID,0),MATCH("NC2_PR",PLabel,0)-1,1,1)/100</f>
        <v>-5.5469953775038598E-2</v>
      </c>
      <c r="X123" s="1592" cm="1">
        <f t="array" aca="1" ref="X123" ca="1">OFFSET(POrigin,MATCH(Valori[[#This Row],[LUKB_id]],PID,0),MATCH("LVAL",PLabel,0)-1,1,1)</f>
        <v>55.17</v>
      </c>
      <c r="Y123" s="1593" cm="1">
        <f t="array" aca="1" ref="Y123" ca="1">OFFSET(POrigin,MATCH(Valori[[#This Row],[LUKB_id]],PID,0),MATCH("LVAL:datetime",PLabel,0)-1,1,1)</f>
        <v>46084.73265046296</v>
      </c>
      <c r="Z123" s="1594" cm="1">
        <f t="array" aca="1" ref="Z123" ca="1">OFFSET(POrigin,MATCH(Valori[[#This Row],[LUKB_id]],PID,0),MATCH("BID:volume",PLabel,0)-1,1,1)</f>
        <v>200</v>
      </c>
      <c r="AA123" s="1595" cm="1">
        <f t="array" aca="1" ref="AA123" ca="1">OFFSET(POrigin,MATCH(Valori[[#This Row],[LUKB_id]],PID,0),MATCH("BID",PLabel,0)-1,1,1)</f>
        <v>52.13</v>
      </c>
      <c r="AB123" s="1595" cm="1">
        <f t="array" aca="1" ref="AB123" ca="1">OFFSET(POrigin,MATCH(Valori[[#This Row],[LUKB_id]],PID,0),MATCH("ASK",PLabel,0)-1,1,1)</f>
        <v>56.900000000000006</v>
      </c>
      <c r="AC123" s="1594" cm="1">
        <f t="array" aca="1" ref="AC123" ca="1">OFFSET(POrigin,MATCH(Valori[[#This Row],[LUKB_id]],PID,0),MATCH("ASK:volume",PLabel,0)-1,1,1)</f>
        <v>8803</v>
      </c>
      <c r="AD123" s="1596" cm="1">
        <f t="array" aca="1" ref="AD123" ca="1">OFFSET(POrigin,MATCH(Valori[[#This Row],[LUKB_id]],PID,0),MATCH("BID-ASK Spread %",PLabel,0)-1,1,1)</f>
        <v>5.9195830230826536E-2</v>
      </c>
      <c r="AE123" s="1597" t="str" cm="1">
        <f t="array" aca="1" ref="AE123" ca="1">IF(OFFSET(POrigin,MATCH(Valori[[#This Row],[LUKB_id]],PID,0),MATCH("MATURITY",PLabel,0)-1,1,1)&gt;0,OFFSET(POrigin,MATCH(Valori[[#This Row],[LUKB_id]],PID,0),MATCH("MATURITY",PLabel,0)-1,1,1),"")</f>
        <v/>
      </c>
      <c r="AF123" s="1598" cm="1">
        <f t="array" aca="1" ref="AF123" ca="1">OFFSET(POrigin,MATCH(Valori[[#This Row],[LUKB_id]],PID,0),MATCH("ACCINT",PLabel,0)-1,1,1)</f>
        <v>0</v>
      </c>
      <c r="AG123" s="1594" cm="1">
        <f t="array" aca="1" ref="AG123" ca="1">OFFSET(POrigin,MATCH(Valori[[#This Row],[LUKB_id]],PID,0),MATCH("DENOM",PLabel,0)-1,1,1)</f>
        <v>0</v>
      </c>
      <c r="AH123" s="1599" cm="1">
        <f t="array" aca="1" ref="AH123" ca="1">(OFFSET(POrigin,MATCH(Valori[[#This Row],[LUKB_id]],PID,0),MATCH("YIELD",PLabel,0)-1,1,1)+OFFSET(POrigin,MATCH(Valori[[#This Row],[LUKB_id]],PID,0),MATCH("YLDEQ",PLabel,0)-1,1,1))/100</f>
        <v>0</v>
      </c>
      <c r="AI123" s="1600">
        <f ca="1">OFFSET(POrigin,MATCH(Valori[[#This Row],[LUKB_id]],PID,0),MATCH("DIVIDEND",PLabel,0)-1,1,1)</f>
        <v>0</v>
      </c>
      <c r="AJ123" s="1601">
        <f ca="1">OFFSET(POrigin,MATCH(Valori[[#This Row],[LUKB_id]],PID,0),MATCH("DIVIDEND:datetime",PLabel,0)-1,1,1)</f>
        <v>0</v>
      </c>
      <c r="AK123" s="1602">
        <f ca="1">OFFSET(POrigin,MATCH(Valori[[#This Row],[LUKB_id]],PID,0),MATCH("INTEREST",PLabel,0)-1,1,1)</f>
        <v>0</v>
      </c>
      <c r="AL123" s="1603">
        <f ca="1">OFFSET(POrigin,MATCH(Valori[[#This Row],[LUKB_id]],PID,0),MATCH("4W_PERF_PR",PLabel,0)-1,1,1)/100</f>
        <v>-3.3292450000000001E-2</v>
      </c>
      <c r="AM123" s="1603">
        <f ca="1">OFFSET(POrigin,MATCH(Valori[[#This Row],[LUKB_id]],PID,0),MATCH("12W_PERF_PR",PLabel,0)-1,1,1)/100</f>
        <v>7.3973139999999993E-2</v>
      </c>
      <c r="AN123" s="1603">
        <f ca="1">OFFSET(POrigin,MATCH(Valori[[#This Row],[LUKB_id]],PID,0),MATCH("YTD_PERF_PR",PLabel,0)-1,1,1)/100</f>
        <v>0.11341974837971801</v>
      </c>
      <c r="AO123" s="1591"/>
      <c r="AP123" s="1591"/>
      <c r="AQ123" s="1591"/>
      <c r="AR123" s="1591"/>
      <c r="AS123" s="1890"/>
      <c r="AT123" s="1890"/>
      <c r="AU123" s="610"/>
      <c r="AV123" s="1891"/>
      <c r="AW123" s="1604" t="str">
        <f ca="1">"https://boersenundmaerkte.lukb.ch/lukb/details/"&amp;Valori[[#This Row],[LUKB_id]]</f>
        <v>https://boersenundmaerkte.lukb.ch/lukb/details/10608402,361,333</v>
      </c>
      <c r="AX123" s="1605"/>
      <c r="AY123" s="142"/>
      <c r="AZ123" s="142"/>
      <c r="BA123" s="142"/>
      <c r="BB123" s="142"/>
    </row>
    <row r="124" spans="1:54" ht="15" customHeight="1" x14ac:dyDescent="0.2">
      <c r="A124" s="142" t="s">
        <v>1204</v>
      </c>
      <c r="B124" s="142" t="str" cm="1">
        <f t="array" aca="1" ref="B124" ca="1">OFFSET(POrigin,MATCH(Valori[[#This Row],[smo_id]],Posizioni[smo_id],0),MATCH("LUKB_id",PIntestazioni,0)-1,1,1)</f>
        <v>119553349,719,333</v>
      </c>
      <c r="C124" s="1668" t="str">
        <f ca="1">HYPERLINK("https://boersenundmaerkte.lukb.ch/lukb/details/"&amp;Valori[[#This Row],[LUKB_id]],"è")</f>
        <v>è</v>
      </c>
      <c r="D124" s="142" t="str" cm="1">
        <f t="array" aca="1" ref="D124" ca="1">OFFSET(POrigin,MATCH(Valori[[#This Row],[LUKB_id]],PID,0),MATCH("SC_GROUPED",PIntestazioni,0)-1,1,1)</f>
        <v>ETF</v>
      </c>
      <c r="E124" s="413" t="str" cm="1">
        <f t="array" aca="1" ref="E124" ca="1">OFFSET(POrigin,MATCH(Valori[[#This Row],[LUKB_id]],PID,0),MATCH("isin",PIntestazioni,0)-1,1,1)</f>
        <v>IE000MLMNYS0</v>
      </c>
      <c r="F124" s="34" t="str" cm="1">
        <f t="array" aca="1" ref="F124" ca="1">OFFSET(POrigin,MATCH(Valori[[#This Row],[LUKB_id]],PID,0),MATCH("NSIN_CH",PLabel,0)-1,1,1)</f>
        <v>119553349</v>
      </c>
      <c r="G124" s="95" t="str" cm="1">
        <f t="array" aca="1" ref="G124" ca="1">IF(OFFSET(POrigin,MATCH(Valori[[#This Row],[LUKB_id]],PID,0),MATCH("INSTRUNIT",PLabel,0)-1,1,1)="Nominal","Pct","Unit")</f>
        <v>Unit</v>
      </c>
      <c r="H124" s="612">
        <f ca="1">MAX(OFFSET(POrigin,MATCH(Valori[[#This Row],[LUKB_id]],PID,0),MATCH("PRICINGAMT",PLabel,0)-1,1,1),1)</f>
        <v>1</v>
      </c>
      <c r="I124" s="615" t="str" cm="1">
        <f t="array" aca="1" ref="I124" ca="1">OFFSET(POrigin,MATCH(Valori[[#This Row],[LUKB_id]],PID,0),MATCH("M_NAME",PLabel,0)-1,1,1)</f>
        <v>iShares III PLC - iShares S&amp;P 500 Equal Weight UCITS ETF</v>
      </c>
      <c r="M124" s="142" t="str" cm="1">
        <f t="array" aca="1" ref="M1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S&amp;P 500 Equal Weight UCITS ETF</v>
      </c>
      <c r="N124" s="1563">
        <f ca="1">COUNTIF('CHF M'!smo_id,Valori[[#This Row],[smo_id]])+COUNTIF('CHF MA'!smo_id,Valori[[#This Row],[smo_id]])+COUNTIF('EUR MB'!smo_id,Valori[[#This Row],[smo_id]])+COUNTIF('EUR M'!smo_id,Valori[[#This Row],[smo_id]])+COUNTIF(AGCO!smo_id,Valori[[#This Row],[smo_id]])</f>
        <v>3</v>
      </c>
      <c r="O124" s="1590" cm="1">
        <f t="array" aca="1" ref="O124" ca="1">SUM(IF('CHF M'!smo_id=Valori[[#This Row],[smo_id]],'CHF M'!Posizione))+SUM(IF('CHF MA'!smo_id=Valori[[#This Row],[smo_id]],'CHF MA'!Posizione))+SUM(IF('EUR MB'!smo_id=Valori[[#This Row],[smo_id]],'EUR MB'!Posizione))+SUM(IF('EUR M'!smo_id=Valori[[#This Row],[smo_id]],'EUR M'!Posizione))+SUM(IF(AGCO!smo_id=Valori[[#This Row],[smo_id]],AGCO!Posizione))</f>
        <v>3800</v>
      </c>
      <c r="P124" s="1661" t="str">
        <f ca="1">HYPERLINK(Valori[[#This Row],[P_Source]],"è")</f>
        <v>è</v>
      </c>
      <c r="Q124" s="1663" t="str">
        <f>HYPERLINK(Valori[[#This Row],[Info_W]],"i")</f>
        <v>i</v>
      </c>
      <c r="R124" s="1664" t="str">
        <f>HYPERLINK(Valori[[#This Row],[FN_W]],"")</f>
        <v></v>
      </c>
      <c r="S124" s="1665" t="str">
        <f>HYPERLINK(Valori[[#This Row],[MS_Link]],"")</f>
        <v></v>
      </c>
      <c r="T124" s="1665" t="str">
        <f>HYPERLINK(Valori[[#This Row],[C_source]],"")</f>
        <v></v>
      </c>
      <c r="U124" s="142" t="str" cm="1">
        <f t="array" aca="1" ref="U124" ca="1">OFFSET(POrigin,MATCH(Valori[[#This Row],[LUKB_id]],PID,0),MATCH("M_CUR",PLabel,0)-1,1,1)</f>
        <v>USD</v>
      </c>
      <c r="V124" s="1562">
        <f ca="1">(Valori[[#This Row],[Last]]+Valori[[#This Row],[Acc. Int]])/Valori[[#This Row],[Pr.Amt]]/IF(Valori[[#This Row],[P_Type]]="Pct",100,1)</f>
        <v>7.2450000000000001</v>
      </c>
      <c r="W124" s="1591" cm="1">
        <f t="array" aca="1" ref="W124" ca="1">OFFSET(POrigin,MATCH(Valori[[#This Row],[LUKB_id]],PID,0),MATCH("NC2_PR",PLabel,0)-1,1,1)/100</f>
        <v>-1.41592920353982E-2</v>
      </c>
      <c r="X124" s="1592" cm="1">
        <f t="array" aca="1" ref="X124" ca="1">OFFSET(POrigin,MATCH(Valori[[#This Row],[LUKB_id]],PID,0),MATCH("LVAL",PLabel,0)-1,1,1)</f>
        <v>7.2450000000000001</v>
      </c>
      <c r="Y124" s="1593" cm="1">
        <f t="array" aca="1" ref="Y124" ca="1">OFFSET(POrigin,MATCH(Valori[[#This Row],[LUKB_id]],PID,0),MATCH("LVAL:datetime",PLabel,0)-1,1,1)</f>
        <v>46084.732858796298</v>
      </c>
      <c r="Z124" s="1594" cm="1">
        <f t="array" aca="1" ref="Z124" ca="1">OFFSET(POrigin,MATCH(Valori[[#This Row],[LUKB_id]],PID,0),MATCH("BID:volume",PLabel,0)-1,1,1)</f>
        <v>41665</v>
      </c>
      <c r="AA124" s="1595" cm="1">
        <f t="array" aca="1" ref="AA124" ca="1">OFFSET(POrigin,MATCH(Valori[[#This Row],[LUKB_id]],PID,0),MATCH("BID",PLabel,0)-1,1,1)</f>
        <v>6</v>
      </c>
      <c r="AB124" s="1595" cm="1">
        <f t="array" aca="1" ref="AB124" ca="1">OFFSET(POrigin,MATCH(Valori[[#This Row],[LUKB_id]],PID,0),MATCH("ASK",PLabel,0)-1,1,1)</f>
        <v>7.274</v>
      </c>
      <c r="AC124" s="1594" cm="1">
        <f t="array" aca="1" ref="AC124" ca="1">OFFSET(POrigin,MATCH(Valori[[#This Row],[LUKB_id]],PID,0),MATCH("ASK:volume",PLabel,0)-1,1,1)</f>
        <v>7912</v>
      </c>
      <c r="AD124" s="1596" cm="1">
        <f t="array" aca="1" ref="AD124" ca="1">OFFSET(POrigin,MATCH(Valori[[#This Row],[LUKB_id]],PID,0),MATCH("BID-ASK Spread %",PLabel,0)-1,1,1)</f>
        <v>0.13219881705925079</v>
      </c>
      <c r="AE124" s="1597" t="str" cm="1">
        <f t="array" aca="1" ref="AE124" ca="1">IF(OFFSET(POrigin,MATCH(Valori[[#This Row],[LUKB_id]],PID,0),MATCH("MATURITY",PLabel,0)-1,1,1)&gt;0,OFFSET(POrigin,MATCH(Valori[[#This Row],[LUKB_id]],PID,0),MATCH("MATURITY",PLabel,0)-1,1,1),"")</f>
        <v/>
      </c>
      <c r="AF124" s="1598" cm="1">
        <f t="array" aca="1" ref="AF124" ca="1">OFFSET(POrigin,MATCH(Valori[[#This Row],[LUKB_id]],PID,0),MATCH("ACCINT",PLabel,0)-1,1,1)</f>
        <v>0</v>
      </c>
      <c r="AG124" s="1594" cm="1">
        <f t="array" aca="1" ref="AG124" ca="1">OFFSET(POrigin,MATCH(Valori[[#This Row],[LUKB_id]],PID,0),MATCH("DENOM",PLabel,0)-1,1,1)</f>
        <v>0</v>
      </c>
      <c r="AH124" s="1599" cm="1">
        <f t="array" aca="1" ref="AH124" ca="1">(OFFSET(POrigin,MATCH(Valori[[#This Row],[LUKB_id]],PID,0),MATCH("YIELD",PLabel,0)-1,1,1)+OFFSET(POrigin,MATCH(Valori[[#This Row],[LUKB_id]],PID,0),MATCH("YLDEQ",PLabel,0)-1,1,1))/100</f>
        <v>0</v>
      </c>
      <c r="AI124" s="1600">
        <f ca="1">OFFSET(POrigin,MATCH(Valori[[#This Row],[LUKB_id]],PID,0),MATCH("DIVIDEND",PLabel,0)-1,1,1)</f>
        <v>0</v>
      </c>
      <c r="AJ124" s="1601">
        <f ca="1">OFFSET(POrigin,MATCH(Valori[[#This Row],[LUKB_id]],PID,0),MATCH("DIVIDEND:datetime",PLabel,0)-1,1,1)</f>
        <v>0</v>
      </c>
      <c r="AK124" s="1602">
        <f ca="1">OFFSET(POrigin,MATCH(Valori[[#This Row],[LUKB_id]],PID,0),MATCH("INTEREST",PLabel,0)-1,1,1)</f>
        <v>0</v>
      </c>
      <c r="AL124" s="1603">
        <f ca="1">OFFSET(POrigin,MATCH(Valori[[#This Row],[LUKB_id]],PID,0),MATCH("4W_PERF_PR",PLabel,0)-1,1,1)/100</f>
        <v>6.95314E-3</v>
      </c>
      <c r="AM124" s="1603">
        <f ca="1">OFFSET(POrigin,MATCH(Valori[[#This Row],[LUKB_id]],PID,0),MATCH("12W_PERF_PR",PLabel,0)-1,1,1)/100</f>
        <v>5.1401189999999992E-2</v>
      </c>
      <c r="AN124" s="1603">
        <f ca="1">OFFSET(POrigin,MATCH(Valori[[#This Row],[LUKB_id]],PID,0),MATCH("YTD_PERF_PR",PLabel,0)-1,1,1)/100</f>
        <v>5.3348630431665003E-2</v>
      </c>
      <c r="AO124" s="1591"/>
      <c r="AP124" s="1591"/>
      <c r="AQ124" s="1591"/>
      <c r="AR124" s="1591"/>
      <c r="AS124" s="1890" t="s">
        <v>1205</v>
      </c>
      <c r="AT124" s="1890" t="s">
        <v>1206</v>
      </c>
      <c r="AU124" s="610" t="s">
        <v>1207</v>
      </c>
      <c r="AV124" s="1891" t="s">
        <v>1208</v>
      </c>
      <c r="AW124" s="1604" t="str">
        <f ca="1">"https://boersenundmaerkte.lukb.ch/lukb/details/"&amp;Valori[[#This Row],[LUKB_id]]</f>
        <v>https://boersenundmaerkte.lukb.ch/lukb/details/119553349,719,333</v>
      </c>
      <c r="AX124" s="1605" t="str">
        <f>"https://www.marketscreener.com/mods_a/charts/TV/inc_dyna_graph.php?c="&amp;Valori[[#This Row],[MS_Code]]&amp;"&amp;style=TradingView.CANDLES&amp;interval=(null)&amp;mobile=(null)&amp;showAT=1"</f>
        <v>https://www.marketscreener.com/mods_a/charts/TV/inc_dyna_graph.php?c=148203282&amp;style=TradingView.CANDLES&amp;interval=(null)&amp;mobile=(null)&amp;showAT=1</v>
      </c>
      <c r="AY124" s="142"/>
      <c r="AZ124" s="142"/>
      <c r="BA124" s="142"/>
      <c r="BB124" s="142"/>
    </row>
    <row r="125" spans="1:54" ht="15" customHeight="1" x14ac:dyDescent="0.2">
      <c r="A125" s="142" t="s">
        <v>1209</v>
      </c>
      <c r="B125" s="142" t="str" cm="1">
        <f t="array" aca="1" ref="B125" ca="1">OFFSET(POrigin,MATCH(Valori[[#This Row],[smo_id]],Posizioni[smo_id],0),MATCH("LUKB_id",PIntestazioni,0)-1,1,1)</f>
        <v>31609599,719,333</v>
      </c>
      <c r="C125" s="1668" t="str">
        <f ca="1">HYPERLINK("https://boersenundmaerkte.lukb.ch/lukb/details/"&amp;Valori[[#This Row],[LUKB_id]],"è")</f>
        <v>è</v>
      </c>
      <c r="D125" s="142" t="str" cm="1">
        <f t="array" aca="1" ref="D125" ca="1">OFFSET(POrigin,MATCH(Valori[[#This Row],[LUKB_id]],PID,0),MATCH("SC_GROUPED",PIntestazioni,0)-1,1,1)</f>
        <v>ETF</v>
      </c>
      <c r="E125" s="413" t="str" cm="1">
        <f t="array" aca="1" ref="E125" ca="1">OFFSET(POrigin,MATCH(Valori[[#This Row],[LUKB_id]],PID,0),MATCH("isin",PIntestazioni,0)-1,1,1)</f>
        <v>IE00BZCQB185</v>
      </c>
      <c r="F125" s="34" t="str" cm="1">
        <f t="array" aca="1" ref="F125" ca="1">OFFSET(POrigin,MATCH(Valori[[#This Row],[LUKB_id]],PID,0),MATCH("NSIN_CH",PLabel,0)-1,1,1)</f>
        <v>31609599</v>
      </c>
      <c r="G125" s="95" t="str" cm="1">
        <f t="array" aca="1" ref="G125" ca="1">IF(OFFSET(POrigin,MATCH(Valori[[#This Row],[LUKB_id]],PID,0),MATCH("INSTRUNIT",PLabel,0)-1,1,1)="Nominal","Pct","Unit")</f>
        <v>Unit</v>
      </c>
      <c r="H125" s="612">
        <f ca="1">MAX(OFFSET(POrigin,MATCH(Valori[[#This Row],[LUKB_id]],PID,0),MATCH("PRICINGAMT",PLabel,0)-1,1,1),1)</f>
        <v>1</v>
      </c>
      <c r="I125" s="615" t="str" cm="1">
        <f t="array" aca="1" ref="I125" ca="1">OFFSET(POrigin,MATCH(Valori[[#This Row],[LUKB_id]],PID,0),MATCH("M_NAME",PLabel,0)-1,1,1)</f>
        <v>iShares IV PLC - iShares MSCI India UCITS ETF</v>
      </c>
      <c r="M125" s="142" t="str" cm="1">
        <f t="array" aca="1" ref="M1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IV PLC - iShares MSCI India UCITS ETF</v>
      </c>
      <c r="N125" s="1563">
        <f ca="1">COUNTIF('CHF M'!smo_id,Valori[[#This Row],[smo_id]])+COUNTIF('CHF MA'!smo_id,Valori[[#This Row],[smo_id]])+COUNTIF('EUR MB'!smo_id,Valori[[#This Row],[smo_id]])+COUNTIF('EUR M'!smo_id,Valori[[#This Row],[smo_id]])+COUNTIF(AGCO!smo_id,Valori[[#This Row],[smo_id]])</f>
        <v>0</v>
      </c>
      <c r="O125" s="1590" cm="1">
        <f t="array" aca="1" ref="O125" ca="1">SUM(IF('CHF M'!smo_id=Valori[[#This Row],[smo_id]],'CHF M'!Posizione))+SUM(IF('CHF MA'!smo_id=Valori[[#This Row],[smo_id]],'CHF MA'!Posizione))+SUM(IF('EUR MB'!smo_id=Valori[[#This Row],[smo_id]],'EUR MB'!Posizione))+SUM(IF('EUR M'!smo_id=Valori[[#This Row],[smo_id]],'EUR M'!Posizione))+SUM(IF(AGCO!smo_id=Valori[[#This Row],[smo_id]],AGCO!Posizione))</f>
        <v>0</v>
      </c>
      <c r="P125" s="1661" t="str">
        <f ca="1">HYPERLINK(Valori[[#This Row],[P_Source]],"è")</f>
        <v>è</v>
      </c>
      <c r="Q125" s="1663" t="str">
        <f>HYPERLINK(Valori[[#This Row],[Info_W]],"i")</f>
        <v>i</v>
      </c>
      <c r="R125" s="1664" t="str">
        <f>HYPERLINK(Valori[[#This Row],[FN_W]],"")</f>
        <v></v>
      </c>
      <c r="S125" s="1665" t="str">
        <f>HYPERLINK(Valori[[#This Row],[MS_Link]],"")</f>
        <v></v>
      </c>
      <c r="T125" s="1665" t="str">
        <f>HYPERLINK(Valori[[#This Row],[C_source]],"")</f>
        <v></v>
      </c>
      <c r="U125" s="142" t="str" cm="1">
        <f t="array" aca="1" ref="U125" ca="1">OFFSET(POrigin,MATCH(Valori[[#This Row],[LUKB_id]],PID,0),MATCH("M_CUR",PLabel,0)-1,1,1)</f>
        <v>USD</v>
      </c>
      <c r="V125" s="1562">
        <f ca="1">(Valori[[#This Row],[Last]]+Valori[[#This Row],[Acc. Int]])/Valori[[#This Row],[Pr.Amt]]/IF(Valori[[#This Row],[P_Type]]="Pct",100,1)</f>
        <v>8.8680000000000003</v>
      </c>
      <c r="W125" s="1591" cm="1">
        <f t="array" aca="1" ref="W125" ca="1">OFFSET(POrigin,MATCH(Valori[[#This Row],[LUKB_id]],PID,0),MATCH("NC2_PR",PLabel,0)-1,1,1)/100</f>
        <v>-3.2511455378573001E-2</v>
      </c>
      <c r="X125" s="1592" cm="1">
        <f t="array" aca="1" ref="X125" ca="1">OFFSET(POrigin,MATCH(Valori[[#This Row],[LUKB_id]],PID,0),MATCH("LVAL",PLabel,0)-1,1,1)</f>
        <v>8.8680000000000003</v>
      </c>
      <c r="Y125" s="1593" cm="1">
        <f t="array" aca="1" ref="Y125" ca="1">OFFSET(POrigin,MATCH(Valori[[#This Row],[LUKB_id]],PID,0),MATCH("LVAL:datetime",PLabel,0)-1,1,1)</f>
        <v>46084.732766203706</v>
      </c>
      <c r="Z125" s="1594" cm="1">
        <f t="array" aca="1" ref="Z125" ca="1">OFFSET(POrigin,MATCH(Valori[[#This Row],[LUKB_id]],PID,0),MATCH("BID:volume",PLabel,0)-1,1,1)</f>
        <v>7180</v>
      </c>
      <c r="AA125" s="1595" cm="1">
        <f t="array" aca="1" ref="AA125" ca="1">OFFSET(POrigin,MATCH(Valori[[#This Row],[LUKB_id]],PID,0),MATCH("BID",PLabel,0)-1,1,1)</f>
        <v>8.14</v>
      </c>
      <c r="AB125" s="1595" cm="1">
        <f t="array" aca="1" ref="AB125" ca="1">OFFSET(POrigin,MATCH(Valori[[#This Row],[LUKB_id]],PID,0),MATCH("ASK",PLabel,0)-1,1,1)</f>
        <v>9.32</v>
      </c>
      <c r="AC125" s="1594" cm="1">
        <f t="array" aca="1" ref="AC125" ca="1">OFFSET(POrigin,MATCH(Valori[[#This Row],[LUKB_id]],PID,0),MATCH("ASK:volume",PLabel,0)-1,1,1)</f>
        <v>2250</v>
      </c>
      <c r="AD125" s="1596" cm="1">
        <f t="array" aca="1" ref="AD125" ca="1">OFFSET(POrigin,MATCH(Valori[[#This Row],[LUKB_id]],PID,0),MATCH("BID-ASK Spread %",PLabel,0)-1,1,1)</f>
        <v>9.2187499999999978E-2</v>
      </c>
      <c r="AE125" s="1597" t="str" cm="1">
        <f t="array" aca="1" ref="AE125" ca="1">IF(OFFSET(POrigin,MATCH(Valori[[#This Row],[LUKB_id]],PID,0),MATCH("MATURITY",PLabel,0)-1,1,1)&gt;0,OFFSET(POrigin,MATCH(Valori[[#This Row],[LUKB_id]],PID,0),MATCH("MATURITY",PLabel,0)-1,1,1),"")</f>
        <v/>
      </c>
      <c r="AF125" s="1598" cm="1">
        <f t="array" aca="1" ref="AF125" ca="1">OFFSET(POrigin,MATCH(Valori[[#This Row],[LUKB_id]],PID,0),MATCH("ACCINT",PLabel,0)-1,1,1)</f>
        <v>0</v>
      </c>
      <c r="AG125" s="1594" cm="1">
        <f t="array" aca="1" ref="AG125" ca="1">OFFSET(POrigin,MATCH(Valori[[#This Row],[LUKB_id]],PID,0),MATCH("DENOM",PLabel,0)-1,1,1)</f>
        <v>0</v>
      </c>
      <c r="AH125" s="1599" cm="1">
        <f t="array" aca="1" ref="AH125" ca="1">(OFFSET(POrigin,MATCH(Valori[[#This Row],[LUKB_id]],PID,0),MATCH("YIELD",PLabel,0)-1,1,1)+OFFSET(POrigin,MATCH(Valori[[#This Row],[LUKB_id]],PID,0),MATCH("YLDEQ",PLabel,0)-1,1,1))/100</f>
        <v>0</v>
      </c>
      <c r="AI125" s="1600">
        <f ca="1">OFFSET(POrigin,MATCH(Valori[[#This Row],[LUKB_id]],PID,0),MATCH("DIVIDEND",PLabel,0)-1,1,1)</f>
        <v>0</v>
      </c>
      <c r="AJ125" s="1601">
        <f ca="1">OFFSET(POrigin,MATCH(Valori[[#This Row],[LUKB_id]],PID,0),MATCH("DIVIDEND:datetime",PLabel,0)-1,1,1)</f>
        <v>0</v>
      </c>
      <c r="AK125" s="1602">
        <f ca="1">OFFSET(POrigin,MATCH(Valori[[#This Row],[LUKB_id]],PID,0),MATCH("INTEREST",PLabel,0)-1,1,1)</f>
        <v>0</v>
      </c>
      <c r="AL125" s="1603">
        <f ca="1">OFFSET(POrigin,MATCH(Valori[[#This Row],[LUKB_id]],PID,0),MATCH("4W_PERF_PR",PLabel,0)-1,1,1)/100</f>
        <v>-8.0559879999999986E-2</v>
      </c>
      <c r="AM125" s="1603">
        <f ca="1">OFFSET(POrigin,MATCH(Valori[[#This Row],[LUKB_id]],PID,0),MATCH("12W_PERF_PR",PLabel,0)-1,1,1)/100</f>
        <v>-7.9605600000000012E-2</v>
      </c>
      <c r="AN125" s="1603">
        <f ca="1">OFFSET(POrigin,MATCH(Valori[[#This Row],[LUKB_id]],PID,0),MATCH("YTD_PERF_PR",PLabel,0)-1,1,1)/100</f>
        <v>-6.3164349959117003E-2</v>
      </c>
      <c r="AO125" s="1591"/>
      <c r="AP125" s="1591"/>
      <c r="AQ125" s="1591"/>
      <c r="AR125" s="1591"/>
      <c r="AS125" s="1890"/>
      <c r="AT125" s="1890"/>
      <c r="AU125" s="610"/>
      <c r="AV125" s="1891"/>
      <c r="AW125" s="1604" t="str">
        <f ca="1">"https://boersenundmaerkte.lukb.ch/lukb/details/"&amp;Valori[[#This Row],[LUKB_id]]</f>
        <v>https://boersenundmaerkte.lukb.ch/lukb/details/31609599,719,333</v>
      </c>
      <c r="AX12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5" s="142"/>
      <c r="AZ125" s="142"/>
      <c r="BA125" s="142"/>
      <c r="BB125" s="142"/>
    </row>
    <row r="126" spans="1:54" ht="15" customHeight="1" x14ac:dyDescent="0.2">
      <c r="A126" s="142" t="s">
        <v>1210</v>
      </c>
      <c r="B126" s="142" t="str" cm="1">
        <f t="array" aca="1" ref="B126" ca="1">OFFSET(POrigin,MATCH(Valori[[#This Row],[smo_id]],Posizioni[smo_id],0),MATCH("LUKB_id",PIntestazioni,0)-1,1,1)</f>
        <v>3801845,6920,814</v>
      </c>
      <c r="C126" s="1668" t="str">
        <f ca="1">HYPERLINK("https://boersenundmaerkte.lukb.ch/lukb/details/"&amp;Valori[[#This Row],[LUKB_id]],"è")</f>
        <v>è</v>
      </c>
      <c r="D126" s="142" t="str" cm="1">
        <f t="array" aca="1" ref="D126" ca="1">OFFSET(POrigin,MATCH(Valori[[#This Row],[LUKB_id]],PID,0),MATCH("SC_GROUPED",PIntestazioni,0)-1,1,1)</f>
        <v>ETF</v>
      </c>
      <c r="E126" s="413" t="str" cm="1">
        <f t="array" aca="1" ref="E126" ca="1">OFFSET(POrigin,MATCH(Valori[[#This Row],[LUKB_id]],PID,0),MATCH("isin",PIntestazioni,0)-1,1,1)</f>
        <v>IE00B2NPKV68</v>
      </c>
      <c r="F126" s="34" t="str" cm="1">
        <f t="array" aca="1" ref="F126" ca="1">OFFSET(POrigin,MATCH(Valori[[#This Row],[LUKB_id]],PID,0),MATCH("NSIN_CH",PLabel,0)-1,1,1)</f>
        <v>3801845</v>
      </c>
      <c r="G126" s="95" t="str" cm="1">
        <f t="array" aca="1" ref="G126" ca="1">IF(OFFSET(POrigin,MATCH(Valori[[#This Row],[LUKB_id]],PID,0),MATCH("INSTRUNIT",PLabel,0)-1,1,1)="Nominal","Pct","Unit")</f>
        <v>Unit</v>
      </c>
      <c r="H126" s="612">
        <f ca="1">MAX(OFFSET(POrigin,MATCH(Valori[[#This Row],[LUKB_id]],PID,0),MATCH("PRICINGAMT",PLabel,0)-1,1,1),1)</f>
        <v>1</v>
      </c>
      <c r="I126" s="615" t="str" cm="1">
        <f t="array" aca="1" ref="I126" ca="1">OFFSET(POrigin,MATCH(Valori[[#This Row],[LUKB_id]],PID,0),MATCH("M_NAME",PLabel,0)-1,1,1)</f>
        <v>iShares II PLC - iShares J.P. Morgan USD EM Bond UCITS ETF</v>
      </c>
      <c r="J126" s="142" t="s">
        <v>751</v>
      </c>
      <c r="M126" s="142" t="str" cm="1">
        <f t="array" aca="1" ref="M1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J.P. Morgan Emerging Market USD Bond UCITS</v>
      </c>
      <c r="N126" s="1563">
        <f ca="1">COUNTIF('CHF M'!smo_id,Valori[[#This Row],[smo_id]])+COUNTIF('CHF MA'!smo_id,Valori[[#This Row],[smo_id]])+COUNTIF('EUR MB'!smo_id,Valori[[#This Row],[smo_id]])+COUNTIF('EUR M'!smo_id,Valori[[#This Row],[smo_id]])+COUNTIF(AGCO!smo_id,Valori[[#This Row],[smo_id]])</f>
        <v>1</v>
      </c>
      <c r="O126" s="1590" cm="1">
        <f t="array" aca="1" ref="O126" ca="1">SUM(IF('CHF M'!smo_id=Valori[[#This Row],[smo_id]],'CHF M'!Posizione))+SUM(IF('CHF MA'!smo_id=Valori[[#This Row],[smo_id]],'CHF MA'!Posizione))+SUM(IF('EUR MB'!smo_id=Valori[[#This Row],[smo_id]],'EUR MB'!Posizione))+SUM(IF('EUR M'!smo_id=Valori[[#This Row],[smo_id]],'EUR M'!Posizione))+SUM(IF(AGCO!smo_id=Valori[[#This Row],[smo_id]],AGCO!Posizione))</f>
        <v>250</v>
      </c>
      <c r="P126" s="1661" t="str">
        <f ca="1">HYPERLINK(Valori[[#This Row],[P_Source]],"è")</f>
        <v>è</v>
      </c>
      <c r="Q126" s="1663" t="str">
        <f>HYPERLINK(Valori[[#This Row],[Info_W]],"i")</f>
        <v>i</v>
      </c>
      <c r="R126" s="1664" t="str">
        <f>HYPERLINK(Valori[[#This Row],[FN_W]],"")</f>
        <v></v>
      </c>
      <c r="S126" s="1665" t="str">
        <f>HYPERLINK(Valori[[#This Row],[MS_Link]],"")</f>
        <v></v>
      </c>
      <c r="T126" s="1665" t="str">
        <f>HYPERLINK(Valori[[#This Row],[C_source]],"")</f>
        <v></v>
      </c>
      <c r="U126" s="142" t="str" cm="1">
        <f t="array" aca="1" ref="U126" ca="1">OFFSET(POrigin,MATCH(Valori[[#This Row],[LUKB_id]],PID,0),MATCH("M_CUR",PLabel,0)-1,1,1)</f>
        <v>EUR</v>
      </c>
      <c r="V126" s="1562">
        <f ca="1">(Valori[[#This Row],[Last]]+Valori[[#This Row],[Acc. Int]])/Valori[[#This Row],[Pr.Amt]]/IF(Valori[[#This Row],[P_Type]]="Pct",100,1)</f>
        <v>80.239999999999995</v>
      </c>
      <c r="W126" s="1591" cm="1">
        <f t="array" aca="1" ref="W126" ca="1">OFFSET(POrigin,MATCH(Valori[[#This Row],[LUKB_id]],PID,0),MATCH("NC2_PR",PLabel,0)-1,1,1)/100</f>
        <v>6.0180541624873995E-3</v>
      </c>
      <c r="X126" s="1592" cm="1">
        <f t="array" aca="1" ref="X126" ca="1">OFFSET(POrigin,MATCH(Valori[[#This Row],[LUKB_id]],PID,0),MATCH("LVAL",PLabel,0)-1,1,1)</f>
        <v>80.239999999999995</v>
      </c>
      <c r="Y126" s="1593" cm="1">
        <f t="array" aca="1" ref="Y126" ca="1">OFFSET(POrigin,MATCH(Valori[[#This Row],[LUKB_id]],PID,0),MATCH("LVAL:datetime",PLabel,0)-1,1,1)</f>
        <v>46083.746527777781</v>
      </c>
      <c r="Z126" s="1594" cm="1">
        <f t="array" aca="1" ref="Z126" ca="1">OFFSET(POrigin,MATCH(Valori[[#This Row],[LUKB_id]],PID,0),MATCH("BID:volume",PLabel,0)-1,1,1)</f>
        <v>0</v>
      </c>
      <c r="AA126" s="1595" cm="1">
        <f t="array" aca="1" ref="AA126" ca="1">OFFSET(POrigin,MATCH(Valori[[#This Row],[LUKB_id]],PID,0),MATCH("BID",PLabel,0)-1,1,1)</f>
        <v>0</v>
      </c>
      <c r="AB126" s="1595" cm="1">
        <f t="array" aca="1" ref="AB126" ca="1">OFFSET(POrigin,MATCH(Valori[[#This Row],[LUKB_id]],PID,0),MATCH("ASK",PLabel,0)-1,1,1)</f>
        <v>0</v>
      </c>
      <c r="AC126" s="1594" cm="1">
        <f t="array" aca="1" ref="AC126" ca="1">OFFSET(POrigin,MATCH(Valori[[#This Row],[LUKB_id]],PID,0),MATCH("ASK:volume",PLabel,0)-1,1,1)</f>
        <v>0</v>
      </c>
      <c r="AD126" s="1596" cm="1">
        <f t="array" aca="1" ref="AD126" ca="1">OFFSET(POrigin,MATCH(Valori[[#This Row],[LUKB_id]],PID,0),MATCH("BID-ASK Spread %",PLabel,0)-1,1,1)</f>
        <v>0</v>
      </c>
      <c r="AE126" s="1597" t="str" cm="1">
        <f t="array" aca="1" ref="AE126" ca="1">IF(OFFSET(POrigin,MATCH(Valori[[#This Row],[LUKB_id]],PID,0),MATCH("MATURITY",PLabel,0)-1,1,1)&gt;0,OFFSET(POrigin,MATCH(Valori[[#This Row],[LUKB_id]],PID,0),MATCH("MATURITY",PLabel,0)-1,1,1),"")</f>
        <v/>
      </c>
      <c r="AF126" s="1598" cm="1">
        <f t="array" aca="1" ref="AF126" ca="1">OFFSET(POrigin,MATCH(Valori[[#This Row],[LUKB_id]],PID,0),MATCH("ACCINT",PLabel,0)-1,1,1)</f>
        <v>0</v>
      </c>
      <c r="AG126" s="1594" cm="1">
        <f t="array" aca="1" ref="AG126" ca="1">OFFSET(POrigin,MATCH(Valori[[#This Row],[LUKB_id]],PID,0),MATCH("DENOM",PLabel,0)-1,1,1)</f>
        <v>0</v>
      </c>
      <c r="AH126" s="1599" cm="1">
        <f t="array" aca="1" ref="AH126" ca="1">(OFFSET(POrigin,MATCH(Valori[[#This Row],[LUKB_id]],PID,0),MATCH("YIELD",PLabel,0)-1,1,1)+OFFSET(POrigin,MATCH(Valori[[#This Row],[LUKB_id]],PID,0),MATCH("YLDEQ",PLabel,0)-1,1,1))/100</f>
        <v>0</v>
      </c>
      <c r="AI126" s="1600">
        <f ca="1">OFFSET(POrigin,MATCH(Valori[[#This Row],[LUKB_id]],PID,0),MATCH("DIVIDEND",PLabel,0)-1,1,1)</f>
        <v>0.80983399999999994</v>
      </c>
      <c r="AJ126" s="1601">
        <f ca="1">OFFSET(POrigin,MATCH(Valori[[#This Row],[LUKB_id]],PID,0),MATCH("DIVIDEND:datetime",PLabel,0)-1,1,1)</f>
        <v>42502</v>
      </c>
      <c r="AK126" s="1602">
        <f ca="1">OFFSET(POrigin,MATCH(Valori[[#This Row],[LUKB_id]],PID,0),MATCH("INTEREST",PLabel,0)-1,1,1)</f>
        <v>0</v>
      </c>
      <c r="AL126" s="1603">
        <f ca="1">OFFSET(POrigin,MATCH(Valori[[#This Row],[LUKB_id]],PID,0),MATCH("4W_PERF_PR",PLabel,0)-1,1,1)/100</f>
        <v>1.608205647714317E-2</v>
      </c>
      <c r="AM126" s="1603">
        <f ca="1">OFFSET(POrigin,MATCH(Valori[[#This Row],[LUKB_id]],PID,0),MATCH("12W_PERF_PR",PLabel,0)-1,1,1)/100</f>
        <v>1.9980019980019555E-3</v>
      </c>
      <c r="AN126" s="1603">
        <f ca="1">OFFSET(POrigin,MATCH(Valori[[#This Row],[LUKB_id]],PID,0),MATCH("YTD_PERF_PR",PLabel,0)-1,1,1)/100</f>
        <v>7.4074074074073001E-3</v>
      </c>
      <c r="AO126" s="1591"/>
      <c r="AP126" s="1591"/>
      <c r="AQ126" s="1591"/>
      <c r="AR126" s="1591"/>
      <c r="AS126" s="1890" t="s">
        <v>1211</v>
      </c>
      <c r="AT126" s="1890" t="s">
        <v>1212</v>
      </c>
      <c r="AU126" s="610" t="s">
        <v>1213</v>
      </c>
      <c r="AV126" s="1891" t="s">
        <v>1214</v>
      </c>
      <c r="AW126" s="1604" t="str">
        <f ca="1">"https://boersenundmaerkte.lukb.ch/lukb/details/"&amp;Valori[[#This Row],[LUKB_id]]</f>
        <v>https://boersenundmaerkte.lukb.ch/lukb/details/3801845,6920,814</v>
      </c>
      <c r="AX126" s="1605" t="str">
        <f>"https://www.zonebourse.com/mods_a/charts/TV/inc_dyna_graph.php?c="&amp;Valori[[#This Row],[MS_Code]]&amp;"&amp;style=TradingView.CANDLES&amp;interval=(null)&amp;mobile=(null)&amp;showAT=1"</f>
        <v>https://www.zonebourse.com/mods_a/charts/TV/inc_dyna_graph.php?c=6845316&amp;style=TradingView.CANDLES&amp;interval=(null)&amp;mobile=(null)&amp;showAT=1</v>
      </c>
      <c r="AY126" s="142"/>
      <c r="AZ126" s="142"/>
      <c r="BA126" s="142"/>
      <c r="BB126" s="142"/>
    </row>
    <row r="127" spans="1:54" ht="15" customHeight="1" x14ac:dyDescent="0.2">
      <c r="A127" s="142" t="s">
        <v>4246</v>
      </c>
      <c r="B127" s="142" t="str" cm="1">
        <f t="array" aca="1" ref="B127" ca="1">OFFSET(POrigin,MATCH(Valori[[#This Row],[smo_id]],Posizioni[smo_id],0),MATCH("LUKB_id",PIntestazioni,0)-1,1,1)</f>
        <v>1087248,321,333</v>
      </c>
      <c r="C127" s="1668" t="str">
        <f ca="1">HYPERLINK("https://boersenundmaerkte.lukb.ch/lukb/details/"&amp;Valori[[#This Row],[LUKB_id]],"è")</f>
        <v>è</v>
      </c>
      <c r="D127" s="142" t="str" cm="1">
        <f t="array" aca="1" ref="D127" ca="1">OFFSET(POrigin,MATCH(Valori[[#This Row],[LUKB_id]],PID,0),MATCH("SC_GROUPED",PIntestazioni,0)-1,1,1)</f>
        <v>ETF</v>
      </c>
      <c r="E127" s="413" t="str" cm="1">
        <f t="array" aca="1" ref="E127" ca="1">OFFSET(POrigin,MATCH(Valori[[#This Row],[LUKB_id]],PID,0),MATCH("isin",PIntestazioni,0)-1,1,1)</f>
        <v>US4642862027</v>
      </c>
      <c r="F127" s="34" t="str" cm="1">
        <f t="array" aca="1" ref="F127" ca="1">OFFSET(POrigin,MATCH(Valori[[#This Row],[LUKB_id]],PID,0),MATCH("NSIN_CH",PLabel,0)-1,1,1)</f>
        <v>1087248</v>
      </c>
      <c r="G127" s="95" t="str" cm="1">
        <f t="array" aca="1" ref="G127" ca="1">IF(OFFSET(POrigin,MATCH(Valori[[#This Row],[LUKB_id]],PID,0),MATCH("INSTRUNIT",PLabel,0)-1,1,1)="Nominal","Pct","Unit")</f>
        <v>Unit</v>
      </c>
      <c r="H127" s="612">
        <f ca="1">MAX(OFFSET(POrigin,MATCH(Valori[[#This Row],[LUKB_id]],PID,0),MATCH("PRICINGAMT",PLabel,0)-1,1,1),1)</f>
        <v>1</v>
      </c>
      <c r="I127" s="615" t="str" cm="1">
        <f t="array" aca="1" ref="I127" ca="1">OFFSET(POrigin,MATCH(Valori[[#This Row],[LUKB_id]],PID,0),MATCH("M_NAME",PLabel,0)-1,1,1)</f>
        <v>iShares MSCI Austria ETF</v>
      </c>
      <c r="M127" s="142" t="str" cm="1">
        <f t="array" aca="1" ref="M1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Austria ETF</v>
      </c>
      <c r="N127" s="1563">
        <f ca="1">COUNTIF('CHF M'!smo_id,Valori[[#This Row],[smo_id]])+COUNTIF('CHF MA'!smo_id,Valori[[#This Row],[smo_id]])+COUNTIF('EUR MB'!smo_id,Valori[[#This Row],[smo_id]])+COUNTIF('EUR M'!smo_id,Valori[[#This Row],[smo_id]])+COUNTIF(AGCO!smo_id,Valori[[#This Row],[smo_id]])</f>
        <v>0</v>
      </c>
      <c r="O127" s="1590" cm="1">
        <f t="array" aca="1" ref="O127" ca="1">SUM(IF('CHF M'!smo_id=Valori[[#This Row],[smo_id]],'CHF M'!Posizione))+SUM(IF('CHF MA'!smo_id=Valori[[#This Row],[smo_id]],'CHF MA'!Posizione))+SUM(IF('EUR MB'!smo_id=Valori[[#This Row],[smo_id]],'EUR MB'!Posizione))+SUM(IF('EUR M'!smo_id=Valori[[#This Row],[smo_id]],'EUR M'!Posizione))+SUM(IF(AGCO!smo_id=Valori[[#This Row],[smo_id]],AGCO!Posizione))</f>
        <v>0</v>
      </c>
      <c r="P127" s="1661" t="str">
        <f ca="1">HYPERLINK(Valori[[#This Row],[P_Source]],"è")</f>
        <v>è</v>
      </c>
      <c r="Q127" s="1663" t="str">
        <f>HYPERLINK(Valori[[#This Row],[Info_W]],"i")</f>
        <v>i</v>
      </c>
      <c r="R127" s="1664" t="str">
        <f>HYPERLINK(Valori[[#This Row],[FN_W]],"")</f>
        <v></v>
      </c>
      <c r="S127" s="1665" t="str">
        <f>HYPERLINK(Valori[[#This Row],[MS_Link]],"")</f>
        <v></v>
      </c>
      <c r="T127" s="1665" t="str">
        <f>HYPERLINK(Valori[[#This Row],[C_source]],"")</f>
        <v></v>
      </c>
      <c r="U127" s="142" t="str" cm="1">
        <f t="array" aca="1" ref="U127" ca="1">OFFSET(POrigin,MATCH(Valori[[#This Row],[LUKB_id]],PID,0),MATCH("M_CUR",PLabel,0)-1,1,1)</f>
        <v>USD</v>
      </c>
      <c r="V127" s="1562">
        <f ca="1">(Valori[[#This Row],[Last]]+Valori[[#This Row],[Acc. Int]])/Valori[[#This Row],[Pr.Amt]]/IF(Valori[[#This Row],[P_Type]]="Pct",100,1)</f>
        <v>35.725000000000001</v>
      </c>
      <c r="W127" s="1591" cm="1">
        <f t="array" aca="1" ref="W127" ca="1">OFFSET(POrigin,MATCH(Valori[[#This Row],[LUKB_id]],PID,0),MATCH("NC2_PR",PLabel,0)-1,1,1)/100</f>
        <v>-4.0424388933655804E-2</v>
      </c>
      <c r="X127" s="1592" cm="1">
        <f t="array" aca="1" ref="X127" ca="1">OFFSET(POrigin,MATCH(Valori[[#This Row],[LUKB_id]],PID,0),MATCH("LVAL",PLabel,0)-1,1,1)</f>
        <v>35.725000000000001</v>
      </c>
      <c r="Y127" s="1593" cm="1">
        <f t="array" aca="1" ref="Y127" ca="1">OFFSET(POrigin,MATCH(Valori[[#This Row],[LUKB_id]],PID,0),MATCH("LVAL:datetime",PLabel,0)-1,1,1)</f>
        <v>46084.782106481478</v>
      </c>
      <c r="Z127" s="1594" cm="1">
        <f t="array" aca="1" ref="Z127" ca="1">OFFSET(POrigin,MATCH(Valori[[#This Row],[LUKB_id]],PID,0),MATCH("BID:volume",PLabel,0)-1,1,1)</f>
        <v>100</v>
      </c>
      <c r="AA127" s="1595" cm="1">
        <f t="array" aca="1" ref="AA127" ca="1">OFFSET(POrigin,MATCH(Valori[[#This Row],[LUKB_id]],PID,0),MATCH("BID",PLabel,0)-1,1,1)</f>
        <v>35.69</v>
      </c>
      <c r="AB127" s="1595" cm="1">
        <f t="array" aca="1" ref="AB127" ca="1">OFFSET(POrigin,MATCH(Valori[[#This Row],[LUKB_id]],PID,0),MATCH("ASK",PLabel,0)-1,1,1)</f>
        <v>35.78</v>
      </c>
      <c r="AC127" s="1594" cm="1">
        <f t="array" aca="1" ref="AC127" ca="1">OFFSET(POrigin,MATCH(Valori[[#This Row],[LUKB_id]],PID,0),MATCH("ASK:volume",PLabel,0)-1,1,1)</f>
        <v>100</v>
      </c>
      <c r="AD127" s="1596" cm="1">
        <f t="array" aca="1" ref="AD127" ca="1">OFFSET(POrigin,MATCH(Valori[[#This Row],[LUKB_id]],PID,0),MATCH("BID-ASK Spread %",PLabel,0)-1,1,1)</f>
        <v>1.6797312430011835E-3</v>
      </c>
      <c r="AE127" s="1597" t="str" cm="1">
        <f t="array" aca="1" ref="AE127" ca="1">IF(OFFSET(POrigin,MATCH(Valori[[#This Row],[LUKB_id]],PID,0),MATCH("MATURITY",PLabel,0)-1,1,1)&gt;0,OFFSET(POrigin,MATCH(Valori[[#This Row],[LUKB_id]],PID,0),MATCH("MATURITY",PLabel,0)-1,1,1),"")</f>
        <v/>
      </c>
      <c r="AF127" s="1598" cm="1">
        <f t="array" aca="1" ref="AF127" ca="1">OFFSET(POrigin,MATCH(Valori[[#This Row],[LUKB_id]],PID,0),MATCH("ACCINT",PLabel,0)-1,1,1)</f>
        <v>0</v>
      </c>
      <c r="AG127" s="1594" cm="1">
        <f t="array" aca="1" ref="AG127" ca="1">OFFSET(POrigin,MATCH(Valori[[#This Row],[LUKB_id]],PID,0),MATCH("DENOM",PLabel,0)-1,1,1)</f>
        <v>0</v>
      </c>
      <c r="AH127" s="1599" cm="1">
        <f t="array" aca="1" ref="AH127" ca="1">(OFFSET(POrigin,MATCH(Valori[[#This Row],[LUKB_id]],PID,0),MATCH("YIELD",PLabel,0)-1,1,1)+OFFSET(POrigin,MATCH(Valori[[#This Row],[LUKB_id]],PID,0),MATCH("YLDEQ",PLabel,0)-1,1,1))/100</f>
        <v>0</v>
      </c>
      <c r="AI127" s="1600">
        <f ca="1">OFFSET(POrigin,MATCH(Valori[[#This Row],[LUKB_id]],PID,0),MATCH("DIVIDEND",PLabel,0)-1,1,1)</f>
        <v>0.84554099999999999</v>
      </c>
      <c r="AJ127" s="1601">
        <f ca="1">OFFSET(POrigin,MATCH(Valori[[#This Row],[LUKB_id]],PID,0),MATCH("DIVIDEND:datetime",PLabel,0)-1,1,1)</f>
        <v>45824</v>
      </c>
      <c r="AK127" s="1602">
        <f ca="1">OFFSET(POrigin,MATCH(Valori[[#This Row],[LUKB_id]],PID,0),MATCH("INTEREST",PLabel,0)-1,1,1)</f>
        <v>0</v>
      </c>
      <c r="AL127" s="1603">
        <f ca="1">OFFSET(POrigin,MATCH(Valori[[#This Row],[LUKB_id]],PID,0),MATCH("4W_PERF_PR",PLabel,0)-1,1,1)/100</f>
        <v>-7.207791999999999E-2</v>
      </c>
      <c r="AM127" s="1603">
        <f ca="1">OFFSET(POrigin,MATCH(Valori[[#This Row],[LUKB_id]],PID,0),MATCH("12W_PERF_PR",PLabel,0)-1,1,1)/100</f>
        <v>5.6952660000000002E-2</v>
      </c>
      <c r="AN127" s="1603">
        <f ca="1">OFFSET(POrigin,MATCH(Valori[[#This Row],[LUKB_id]],PID,0),MATCH("YTD_PERF_PR",PLabel,0)-1,1,1)/100</f>
        <v>4.9619396673245199E-2</v>
      </c>
      <c r="AO127" s="1591"/>
      <c r="AP127" s="1591"/>
      <c r="AQ127" s="1591"/>
      <c r="AR127" s="1591"/>
      <c r="AS127" s="1890"/>
      <c r="AT127" s="1890"/>
      <c r="AU127" s="610"/>
      <c r="AV127" s="1891"/>
      <c r="AW127" s="1604" t="str">
        <f ca="1">"https://boersenundmaerkte.lukb.ch/lukb/details/"&amp;Valori[[#This Row],[LUKB_id]]</f>
        <v>https://boersenundmaerkte.lukb.ch/lukb/details/1087248,321,333</v>
      </c>
      <c r="AX12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7" s="142"/>
      <c r="AZ127" s="142"/>
      <c r="BA127" s="142"/>
      <c r="BB127" s="142"/>
    </row>
    <row r="128" spans="1:54" ht="15" customHeight="1" x14ac:dyDescent="0.2">
      <c r="A128" s="142" t="s">
        <v>1215</v>
      </c>
      <c r="B128" s="142" t="str" cm="1">
        <f t="array" aca="1" ref="B128" ca="1">OFFSET(POrigin,MATCH(Valori[[#This Row],[smo_id]],Posizioni[smo_id],0),MATCH("LUKB_id",PIntestazioni,0)-1,1,1)</f>
        <v>43398616,1703,333</v>
      </c>
      <c r="C128" s="1668" t="str">
        <f ca="1">HYPERLINK("https://boersenundmaerkte.lukb.ch/lukb/details/"&amp;Valori[[#This Row],[LUKB_id]],"è")</f>
        <v>è</v>
      </c>
      <c r="D128" s="142" t="str" cm="1">
        <f t="array" aca="1" ref="D128" ca="1">OFFSET(POrigin,MATCH(Valori[[#This Row],[LUKB_id]],PID,0),MATCH("SC_GROUPED",PIntestazioni,0)-1,1,1)</f>
        <v>ETF</v>
      </c>
      <c r="E128" s="413" t="str" cm="1">
        <f t="array" aca="1" ref="E128" ca="1">OFFSET(POrigin,MATCH(Valori[[#This Row],[LUKB_id]],PID,0),MATCH("isin",PIntestazioni,0)-1,1,1)</f>
        <v>DE000A0Q4R85</v>
      </c>
      <c r="F128" s="34" t="str" cm="1">
        <f t="array" aca="1" ref="F128" ca="1">OFFSET(POrigin,MATCH(Valori[[#This Row],[LUKB_id]],PID,0),MATCH("NSIN_CH",PLabel,0)-1,1,1)</f>
        <v>43398616</v>
      </c>
      <c r="G128" s="95" t="str" cm="1">
        <f t="array" aca="1" ref="G128" ca="1">IF(OFFSET(POrigin,MATCH(Valori[[#This Row],[LUKB_id]],PID,0),MATCH("INSTRUNIT",PLabel,0)-1,1,1)="Nominal","Pct","Unit")</f>
        <v>Unit</v>
      </c>
      <c r="H128" s="612">
        <f ca="1">MAX(OFFSET(POrigin,MATCH(Valori[[#This Row],[LUKB_id]],PID,0),MATCH("PRICINGAMT",PLabel,0)-1,1,1),1)</f>
        <v>1</v>
      </c>
      <c r="I128" s="615" t="str" cm="1">
        <f t="array" aca="1" ref="I128" ca="1">OFFSET(POrigin,MATCH(Valori[[#This Row],[LUKB_id]],PID,0),MATCH("M_NAME",PLabel,0)-1,1,1)</f>
        <v>iShares MSCI Brazil UCITS ETF (DE)</v>
      </c>
      <c r="J128" s="142" t="s">
        <v>827</v>
      </c>
      <c r="M128" s="142" t="str" cm="1">
        <f t="array" aca="1" ref="M1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Brazil UCITS ETF (acc) - USD</v>
      </c>
      <c r="N128" s="1563">
        <f ca="1">COUNTIF('CHF M'!smo_id,Valori[[#This Row],[smo_id]])+COUNTIF('CHF MA'!smo_id,Valori[[#This Row],[smo_id]])+COUNTIF('EUR MB'!smo_id,Valori[[#This Row],[smo_id]])+COUNTIF('EUR M'!smo_id,Valori[[#This Row],[smo_id]])+COUNTIF(AGCO!smo_id,Valori[[#This Row],[smo_id]])</f>
        <v>4</v>
      </c>
      <c r="O128" s="1590" cm="1">
        <f t="array" aca="1" ref="O128" ca="1">SUM(IF('CHF M'!smo_id=Valori[[#This Row],[smo_id]],'CHF M'!Posizione))+SUM(IF('CHF MA'!smo_id=Valori[[#This Row],[smo_id]],'CHF MA'!Posizione))+SUM(IF('EUR MB'!smo_id=Valori[[#This Row],[smo_id]],'EUR MB'!Posizione))+SUM(IF('EUR M'!smo_id=Valori[[#This Row],[smo_id]],'EUR M'!Posizione))+SUM(IF(AGCO!smo_id=Valori[[#This Row],[smo_id]],AGCO!Posizione))</f>
        <v>0</v>
      </c>
      <c r="P128" s="1661" t="str">
        <f ca="1">HYPERLINK(Valori[[#This Row],[P_Source]],"è")</f>
        <v>è</v>
      </c>
      <c r="Q128" s="1663" t="str">
        <f>HYPERLINK(Valori[[#This Row],[Info_W]],"i")</f>
        <v>i</v>
      </c>
      <c r="R128" s="1664" t="str">
        <f>HYPERLINK(Valori[[#This Row],[FN_W]],"")</f>
        <v></v>
      </c>
      <c r="S128" s="1665" t="str">
        <f>HYPERLINK(Valori[[#This Row],[MS_Link]],"")</f>
        <v></v>
      </c>
      <c r="T128" s="1665" t="str">
        <f>HYPERLINK(Valori[[#This Row],[C_source]],"")</f>
        <v></v>
      </c>
      <c r="U128" s="142" t="str" cm="1">
        <f t="array" aca="1" ref="U128" ca="1">OFFSET(POrigin,MATCH(Valori[[#This Row],[LUKB_id]],PID,0),MATCH("M_CUR",PLabel,0)-1,1,1)</f>
        <v>USD</v>
      </c>
      <c r="V128" s="1562">
        <f ca="1">(Valori[[#This Row],[Last]]+Valori[[#This Row],[Acc. Int]])/Valori[[#This Row],[Pr.Amt]]/IF(Valori[[#This Row],[P_Type]]="Pct",100,1)</f>
        <v>53.44</v>
      </c>
      <c r="W128" s="1591" cm="1">
        <f t="array" aca="1" ref="W128" ca="1">OFFSET(POrigin,MATCH(Valori[[#This Row],[LUKB_id]],PID,0),MATCH("NC2_PR",PLabel,0)-1,1,1)/100</f>
        <v>-1.7827605219628898E-2</v>
      </c>
      <c r="X128" s="1592" cm="1">
        <f t="array" aca="1" ref="X128" ca="1">OFFSET(POrigin,MATCH(Valori[[#This Row],[LUKB_id]],PID,0),MATCH("LVAL",PLabel,0)-1,1,1)</f>
        <v>53.44</v>
      </c>
      <c r="Y128" s="1593" cm="1">
        <f t="array" aca="1" ref="Y128" ca="1">OFFSET(POrigin,MATCH(Valori[[#This Row],[LUKB_id]],PID,0),MATCH("LVAL:datetime",PLabel,0)-1,1,1)</f>
        <v>46083.733495370368</v>
      </c>
      <c r="Z128" s="1594" cm="1">
        <f t="array" aca="1" ref="Z128" ca="1">OFFSET(POrigin,MATCH(Valori[[#This Row],[LUKB_id]],PID,0),MATCH("BID:volume",PLabel,0)-1,1,1)</f>
        <v>0</v>
      </c>
      <c r="AA128" s="1595" cm="1">
        <f t="array" aca="1" ref="AA128" ca="1">OFFSET(POrigin,MATCH(Valori[[#This Row],[LUKB_id]],PID,0),MATCH("BID",PLabel,0)-1,1,1)</f>
        <v>0</v>
      </c>
      <c r="AB128" s="1595" cm="1">
        <f t="array" aca="1" ref="AB128" ca="1">OFFSET(POrigin,MATCH(Valori[[#This Row],[LUKB_id]],PID,0),MATCH("ASK",PLabel,0)-1,1,1)</f>
        <v>0</v>
      </c>
      <c r="AC128" s="1594" cm="1">
        <f t="array" aca="1" ref="AC128" ca="1">OFFSET(POrigin,MATCH(Valori[[#This Row],[LUKB_id]],PID,0),MATCH("ASK:volume",PLabel,0)-1,1,1)</f>
        <v>0</v>
      </c>
      <c r="AD128" s="1596" cm="1">
        <f t="array" aca="1" ref="AD128" ca="1">OFFSET(POrigin,MATCH(Valori[[#This Row],[LUKB_id]],PID,0),MATCH("BID-ASK Spread %",PLabel,0)-1,1,1)</f>
        <v>0</v>
      </c>
      <c r="AE128" s="1597" t="str" cm="1">
        <f t="array" aca="1" ref="AE128" ca="1">IF(OFFSET(POrigin,MATCH(Valori[[#This Row],[LUKB_id]],PID,0),MATCH("MATURITY",PLabel,0)-1,1,1)&gt;0,OFFSET(POrigin,MATCH(Valori[[#This Row],[LUKB_id]],PID,0),MATCH("MATURITY",PLabel,0)-1,1,1),"")</f>
        <v/>
      </c>
      <c r="AF128" s="1598" cm="1">
        <f t="array" aca="1" ref="AF128" ca="1">OFFSET(POrigin,MATCH(Valori[[#This Row],[LUKB_id]],PID,0),MATCH("ACCINT",PLabel,0)-1,1,1)</f>
        <v>0</v>
      </c>
      <c r="AG128" s="1594" cm="1">
        <f t="array" aca="1" ref="AG128" ca="1">OFFSET(POrigin,MATCH(Valori[[#This Row],[LUKB_id]],PID,0),MATCH("DENOM",PLabel,0)-1,1,1)</f>
        <v>0</v>
      </c>
      <c r="AH128" s="1599" cm="1">
        <f t="array" aca="1" ref="AH128" ca="1">(OFFSET(POrigin,MATCH(Valori[[#This Row],[LUKB_id]],PID,0),MATCH("YIELD",PLabel,0)-1,1,1)+OFFSET(POrigin,MATCH(Valori[[#This Row],[LUKB_id]],PID,0),MATCH("YLDEQ",PLabel,0)-1,1,1))/100</f>
        <v>0</v>
      </c>
      <c r="AI128" s="1600">
        <f ca="1">OFFSET(POrigin,MATCH(Valori[[#This Row],[LUKB_id]],PID,0),MATCH("DIVIDEND",PLabel,0)-1,1,1)</f>
        <v>0</v>
      </c>
      <c r="AJ128" s="1601">
        <f ca="1">OFFSET(POrigin,MATCH(Valori[[#This Row],[LUKB_id]],PID,0),MATCH("DIVIDEND:datetime",PLabel,0)-1,1,1)</f>
        <v>0</v>
      </c>
      <c r="AK128" s="1602">
        <f ca="1">OFFSET(POrigin,MATCH(Valori[[#This Row],[LUKB_id]],PID,0),MATCH("INTEREST",PLabel,0)-1,1,1)</f>
        <v>0</v>
      </c>
      <c r="AL128" s="1603">
        <f ca="1">OFFSET(POrigin,MATCH(Valori[[#This Row],[LUKB_id]],PID,0),MATCH("4W_PERF_PR",PLabel,0)-1,1,1)/100</f>
        <v>2.1992732836106303E-2</v>
      </c>
      <c r="AM128" s="1603">
        <f ca="1">OFFSET(POrigin,MATCH(Valori[[#This Row],[LUKB_id]],PID,0),MATCH("12W_PERF_PR",PLabel,0)-1,1,1)/100</f>
        <v>0.20973401245048087</v>
      </c>
      <c r="AN128" s="1603">
        <f ca="1">OFFSET(POrigin,MATCH(Valori[[#This Row],[LUKB_id]],PID,0),MATCH("YTD_PERF_PR",PLabel,0)-1,1,1)/100</f>
        <v>0.19995509150106702</v>
      </c>
      <c r="AO128" s="1591"/>
      <c r="AP128" s="1591"/>
      <c r="AQ128" s="1591"/>
      <c r="AR128" s="1591"/>
      <c r="AS128" s="1890" t="s">
        <v>1216</v>
      </c>
      <c r="AT128" s="1890" t="s">
        <v>1217</v>
      </c>
      <c r="AU128" s="610" t="s">
        <v>1218</v>
      </c>
      <c r="AV128" s="1891" t="s">
        <v>1219</v>
      </c>
      <c r="AW128" s="1604" t="str">
        <f ca="1">"https://boersenundmaerkte.lukb.ch/lukb/details/"&amp;Valori[[#This Row],[LUKB_id]]</f>
        <v>https://boersenundmaerkte.lukb.ch/lukb/details/43398616,1703,333</v>
      </c>
      <c r="AX128" s="1605" t="str">
        <f>"https://www.marketscreener.com/mods_a/charts/TV/inc_dyna_graph.php?c="&amp;Valori[[#This Row],[MS_Code]]&amp;"&amp;style=TradingView.CANDLES&amp;interval=(null)&amp;mobile=(null)&amp;showAT=1"</f>
        <v>https://www.marketscreener.com/mods_a/charts/TV/inc_dyna_graph.php?c=46843322&amp;style=TradingView.CANDLES&amp;interval=(null)&amp;mobile=(null)&amp;showAT=1</v>
      </c>
      <c r="AY128" s="142"/>
      <c r="AZ128" s="142"/>
      <c r="BA128" s="142"/>
      <c r="BB128" s="142"/>
    </row>
    <row r="129" spans="1:54" ht="15" customHeight="1" x14ac:dyDescent="0.2">
      <c r="A129" s="142" t="s">
        <v>4256</v>
      </c>
      <c r="B129" s="142" t="str" cm="1">
        <f t="array" aca="1" ref="B129" ca="1">OFFSET(POrigin,MATCH(Valori[[#This Row],[smo_id]],Posizioni[smo_id],0),MATCH("LUKB_id",PIntestazioni,0)-1,1,1)</f>
        <v>1087201,321,333</v>
      </c>
      <c r="C129" s="1668" t="str">
        <f ca="1">HYPERLINK("https://boersenundmaerkte.lukb.ch/lukb/details/"&amp;Valori[[#This Row],[LUKB_id]],"è")</f>
        <v>è</v>
      </c>
      <c r="D129" s="142" t="str" cm="1">
        <f t="array" aca="1" ref="D129" ca="1">OFFSET(POrigin,MATCH(Valori[[#This Row],[LUKB_id]],PID,0),MATCH("SC_GROUPED",PIntestazioni,0)-1,1,1)</f>
        <v>ETF</v>
      </c>
      <c r="E129" s="413" t="str" cm="1">
        <f t="array" aca="1" ref="E129" ca="1">OFFSET(POrigin,MATCH(Valori[[#This Row],[LUKB_id]],PID,0),MATCH("isin",PIntestazioni,0)-1,1,1)</f>
        <v>US4642865095</v>
      </c>
      <c r="F129" s="34" t="str" cm="1">
        <f t="array" aca="1" ref="F129" ca="1">OFFSET(POrigin,MATCH(Valori[[#This Row],[LUKB_id]],PID,0),MATCH("NSIN_CH",PLabel,0)-1,1,1)</f>
        <v>1087201</v>
      </c>
      <c r="G129" s="95" t="str" cm="1">
        <f t="array" aca="1" ref="G129" ca="1">IF(OFFSET(POrigin,MATCH(Valori[[#This Row],[LUKB_id]],PID,0),MATCH("INSTRUNIT",PLabel,0)-1,1,1)="Nominal","Pct","Unit")</f>
        <v>Unit</v>
      </c>
      <c r="H129" s="612">
        <f ca="1">MAX(OFFSET(POrigin,MATCH(Valori[[#This Row],[LUKB_id]],PID,0),MATCH("PRICINGAMT",PLabel,0)-1,1,1),1)</f>
        <v>1</v>
      </c>
      <c r="I129" s="615" t="str" cm="1">
        <f t="array" aca="1" ref="I129" ca="1">OFFSET(POrigin,MATCH(Valori[[#This Row],[LUKB_id]],PID,0),MATCH("M_NAME",PLabel,0)-1,1,1)</f>
        <v>iShares MSCI Canada ETF</v>
      </c>
      <c r="M129" s="142" t="str" cm="1">
        <f t="array" aca="1" ref="M1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Canada ETF</v>
      </c>
      <c r="N129" s="1563">
        <f ca="1">COUNTIF('CHF M'!smo_id,Valori[[#This Row],[smo_id]])+COUNTIF('CHF MA'!smo_id,Valori[[#This Row],[smo_id]])+COUNTIF('EUR MB'!smo_id,Valori[[#This Row],[smo_id]])+COUNTIF('EUR M'!smo_id,Valori[[#This Row],[smo_id]])+COUNTIF(AGCO!smo_id,Valori[[#This Row],[smo_id]])</f>
        <v>2</v>
      </c>
      <c r="O129" s="1590" cm="1">
        <f t="array" aca="1" ref="O129" ca="1">SUM(IF('CHF M'!smo_id=Valori[[#This Row],[smo_id]],'CHF M'!Posizione))+SUM(IF('CHF MA'!smo_id=Valori[[#This Row],[smo_id]],'CHF MA'!Posizione))+SUM(IF('EUR MB'!smo_id=Valori[[#This Row],[smo_id]],'EUR MB'!Posizione))+SUM(IF('EUR M'!smo_id=Valori[[#This Row],[smo_id]],'EUR M'!Posizione))+SUM(IF(AGCO!smo_id=Valori[[#This Row],[smo_id]],AGCO!Posizione))</f>
        <v>1500</v>
      </c>
      <c r="P129" s="1661" t="str">
        <f ca="1">HYPERLINK(Valori[[#This Row],[P_Source]],"è")</f>
        <v>è</v>
      </c>
      <c r="Q129" s="1663" t="str">
        <f>HYPERLINK(Valori[[#This Row],[Info_W]],"i")</f>
        <v>i</v>
      </c>
      <c r="R129" s="1664" t="str">
        <f>HYPERLINK(Valori[[#This Row],[FN_W]],"")</f>
        <v></v>
      </c>
      <c r="S129" s="1665" t="str">
        <f>HYPERLINK(Valori[[#This Row],[MS_Link]],"")</f>
        <v></v>
      </c>
      <c r="T129" s="1665" t="str">
        <f>HYPERLINK(Valori[[#This Row],[C_source]],"")</f>
        <v></v>
      </c>
      <c r="U129" s="142" t="str" cm="1">
        <f t="array" aca="1" ref="U129" ca="1">OFFSET(POrigin,MATCH(Valori[[#This Row],[LUKB_id]],PID,0),MATCH("M_CUR",PLabel,0)-1,1,1)</f>
        <v>USD</v>
      </c>
      <c r="V129" s="1562">
        <f ca="1">(Valori[[#This Row],[Last]]+Valori[[#This Row],[Acc. Int]])/Valori[[#This Row],[Pr.Amt]]/IF(Valori[[#This Row],[P_Type]]="Pct",100,1)</f>
        <v>56.935000000000002</v>
      </c>
      <c r="W129" s="1591" cm="1">
        <f t="array" aca="1" ref="W129" ca="1">OFFSET(POrigin,MATCH(Valori[[#This Row],[LUKB_id]],PID,0),MATCH("NC2_PR",PLabel,0)-1,1,1)/100</f>
        <v>-2.1062585969738697E-2</v>
      </c>
      <c r="X129" s="1592" cm="1">
        <f t="array" aca="1" ref="X129" ca="1">OFFSET(POrigin,MATCH(Valori[[#This Row],[LUKB_id]],PID,0),MATCH("LVAL",PLabel,0)-1,1,1)</f>
        <v>56.935000000000002</v>
      </c>
      <c r="Y129" s="1593" cm="1">
        <f t="array" aca="1" ref="Y129" ca="1">OFFSET(POrigin,MATCH(Valori[[#This Row],[LUKB_id]],PID,0),MATCH("LVAL:datetime",PLabel,0)-1,1,1)</f>
        <v>46084.785636574074</v>
      </c>
      <c r="Z129" s="1594" cm="1">
        <f t="array" aca="1" ref="Z129" ca="1">OFFSET(POrigin,MATCH(Valori[[#This Row],[LUKB_id]],PID,0),MATCH("BID:volume",PLabel,0)-1,1,1)</f>
        <v>1200</v>
      </c>
      <c r="AA129" s="1595" cm="1">
        <f t="array" aca="1" ref="AA129" ca="1">OFFSET(POrigin,MATCH(Valori[[#This Row],[LUKB_id]],PID,0),MATCH("BID",PLabel,0)-1,1,1)</f>
        <v>56.92</v>
      </c>
      <c r="AB129" s="1595" cm="1">
        <f t="array" aca="1" ref="AB129" ca="1">OFFSET(POrigin,MATCH(Valori[[#This Row],[LUKB_id]],PID,0),MATCH("ASK",PLabel,0)-1,1,1)</f>
        <v>56.93</v>
      </c>
      <c r="AC129" s="1594" cm="1">
        <f t="array" aca="1" ref="AC129" ca="1">OFFSET(POrigin,MATCH(Valori[[#This Row],[LUKB_id]],PID,0),MATCH("ASK:volume",PLabel,0)-1,1,1)</f>
        <v>2200</v>
      </c>
      <c r="AD129" s="1596" cm="1">
        <f t="array" aca="1" ref="AD129" ca="1">OFFSET(POrigin,MATCH(Valori[[#This Row],[LUKB_id]],PID,0),MATCH("BID-ASK Spread %",PLabel,0)-1,1,1)</f>
        <v>1.1711658956488856E-4</v>
      </c>
      <c r="AE129" s="1597" t="str" cm="1">
        <f t="array" aca="1" ref="AE129" ca="1">IF(OFFSET(POrigin,MATCH(Valori[[#This Row],[LUKB_id]],PID,0),MATCH("MATURITY",PLabel,0)-1,1,1)&gt;0,OFFSET(POrigin,MATCH(Valori[[#This Row],[LUKB_id]],PID,0),MATCH("MATURITY",PLabel,0)-1,1,1),"")</f>
        <v/>
      </c>
      <c r="AF129" s="1598" cm="1">
        <f t="array" aca="1" ref="AF129" ca="1">OFFSET(POrigin,MATCH(Valori[[#This Row],[LUKB_id]],PID,0),MATCH("ACCINT",PLabel,0)-1,1,1)</f>
        <v>0</v>
      </c>
      <c r="AG129" s="1594" cm="1">
        <f t="array" aca="1" ref="AG129" ca="1">OFFSET(POrigin,MATCH(Valori[[#This Row],[LUKB_id]],PID,0),MATCH("DENOM",PLabel,0)-1,1,1)</f>
        <v>0</v>
      </c>
      <c r="AH129" s="1599" cm="1">
        <f t="array" aca="1" ref="AH129" ca="1">(OFFSET(POrigin,MATCH(Valori[[#This Row],[LUKB_id]],PID,0),MATCH("YIELD",PLabel,0)-1,1,1)+OFFSET(POrigin,MATCH(Valori[[#This Row],[LUKB_id]],PID,0),MATCH("YLDEQ",PLabel,0)-1,1,1))/100</f>
        <v>0</v>
      </c>
      <c r="AI129" s="1600">
        <f ca="1">OFFSET(POrigin,MATCH(Valori[[#This Row],[LUKB_id]],PID,0),MATCH("DIVIDEND",PLabel,0)-1,1,1)</f>
        <v>0.47491499999999998</v>
      </c>
      <c r="AJ129" s="1601">
        <f ca="1">OFFSET(POrigin,MATCH(Valori[[#This Row],[LUKB_id]],PID,0),MATCH("DIVIDEND:datetime",PLabel,0)-1,1,1)</f>
        <v>46007</v>
      </c>
      <c r="AK129" s="1602">
        <f ca="1">OFFSET(POrigin,MATCH(Valori[[#This Row],[LUKB_id]],PID,0),MATCH("INTEREST",PLabel,0)-1,1,1)</f>
        <v>0</v>
      </c>
      <c r="AL129" s="1603">
        <f ca="1">OFFSET(POrigin,MATCH(Valori[[#This Row],[LUKB_id]],PID,0),MATCH("4W_PERF_PR",PLabel,0)-1,1,1)/100</f>
        <v>3.820204E-2</v>
      </c>
      <c r="AM129" s="1603">
        <f ca="1">OFFSET(POrigin,MATCH(Valori[[#This Row],[LUKB_id]],PID,0),MATCH("12W_PERF_PR",PLabel,0)-1,1,1)/100</f>
        <v>7.2828339999999991E-2</v>
      </c>
      <c r="AN129" s="1603">
        <f ca="1">OFFSET(POrigin,MATCH(Valori[[#This Row],[LUKB_id]],PID,0),MATCH("YTD_PERF_PR",PLabel,0)-1,1,1)/100</f>
        <v>7.8435008344150001E-2</v>
      </c>
      <c r="AO129" s="1591"/>
      <c r="AP129" s="1591"/>
      <c r="AQ129" s="1591"/>
      <c r="AR129" s="1591"/>
      <c r="AS129" s="1890"/>
      <c r="AT129" s="1890"/>
      <c r="AU129" s="610"/>
      <c r="AV129" s="1891"/>
      <c r="AW129" s="1604" t="str">
        <f ca="1">"https://boersenundmaerkte.lukb.ch/lukb/details/"&amp;Valori[[#This Row],[LUKB_id]]</f>
        <v>https://boersenundmaerkte.lukb.ch/lukb/details/1087201,321,333</v>
      </c>
      <c r="AX12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9" s="142"/>
      <c r="AZ129" s="142"/>
      <c r="BA129" s="142"/>
      <c r="BB129" s="142"/>
    </row>
    <row r="130" spans="1:54" ht="15" customHeight="1" x14ac:dyDescent="0.2">
      <c r="A130" s="142" t="s">
        <v>4310</v>
      </c>
      <c r="B130" s="142" t="str" cm="1">
        <f t="array" aca="1" ref="B130" ca="1">OFFSET(POrigin,MATCH(Valori[[#This Row],[smo_id]],Posizioni[smo_id],0),MATCH("LUKB_id",PIntestazioni,0)-1,1,1)</f>
        <v>47256616,349,333</v>
      </c>
      <c r="C130" s="1668" t="str">
        <f ca="1">HYPERLINK("https://boersenundmaerkte.lukb.ch/lukb/details/"&amp;Valori[[#This Row],[LUKB_id]],"è")</f>
        <v>è</v>
      </c>
      <c r="D130" s="142" t="str" cm="1">
        <f t="array" aca="1" ref="D130" ca="1">OFFSET(POrigin,MATCH(Valori[[#This Row],[LUKB_id]],PID,0),MATCH("SC_GROUPED",PIntestazioni,0)-1,1,1)</f>
        <v>ETF</v>
      </c>
      <c r="E130" s="413" t="str" cm="1">
        <f t="array" aca="1" ref="E130" ca="1">OFFSET(POrigin,MATCH(Valori[[#This Row],[LUKB_id]],PID,0),MATCH("isin",PIntestazioni,0)-1,1,1)</f>
        <v>IE00BJ5JPG56</v>
      </c>
      <c r="F130" s="34" t="str" cm="1">
        <f t="array" aca="1" ref="F130" ca="1">OFFSET(POrigin,MATCH(Valori[[#This Row],[LUKB_id]],PID,0),MATCH("NSIN_CH",PLabel,0)-1,1,1)</f>
        <v>47256616</v>
      </c>
      <c r="G130" s="95" t="str" cm="1">
        <f t="array" aca="1" ref="G130" ca="1">IF(OFFSET(POrigin,MATCH(Valori[[#This Row],[LUKB_id]],PID,0),MATCH("INSTRUNIT",PLabel,0)-1,1,1)="Nominal","Pct","Unit")</f>
        <v>Unit</v>
      </c>
      <c r="H130" s="612">
        <f ca="1">MAX(OFFSET(POrigin,MATCH(Valori[[#This Row],[LUKB_id]],PID,0),MATCH("PRICINGAMT",PLabel,0)-1,1,1),1)</f>
        <v>1</v>
      </c>
      <c r="I130" s="615" t="str" cm="1">
        <f t="array" aca="1" ref="I130" ca="1">OFFSET(POrigin,MATCH(Valori[[#This Row],[LUKB_id]],PID,0),MATCH("M_NAME",PLabel,0)-1,1,1)</f>
        <v>iShares IV PLC - iShares MSCI China UCITS ETF</v>
      </c>
      <c r="J130" s="142" t="s">
        <v>850</v>
      </c>
      <c r="M130" s="142" t="str" cm="1">
        <f t="array" aca="1" ref="M1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China UCITS ETF (acc) - USD</v>
      </c>
      <c r="N130" s="1563">
        <f ca="1">COUNTIF('CHF M'!smo_id,Valori[[#This Row],[smo_id]])+COUNTIF('CHF MA'!smo_id,Valori[[#This Row],[smo_id]])+COUNTIF('EUR MB'!smo_id,Valori[[#This Row],[smo_id]])+COUNTIF('EUR M'!smo_id,Valori[[#This Row],[smo_id]])+COUNTIF(AGCO!smo_id,Valori[[#This Row],[smo_id]])</f>
        <v>2</v>
      </c>
      <c r="O130" s="1590" cm="1">
        <f t="array" aca="1" ref="O130" ca="1">SUM(IF('CHF M'!smo_id=Valori[[#This Row],[smo_id]],'CHF M'!Posizione))+SUM(IF('CHF MA'!smo_id=Valori[[#This Row],[smo_id]],'CHF MA'!Posizione))+SUM(IF('EUR MB'!smo_id=Valori[[#This Row],[smo_id]],'EUR MB'!Posizione))+SUM(IF('EUR M'!smo_id=Valori[[#This Row],[smo_id]],'EUR M'!Posizione))+SUM(IF(AGCO!smo_id=Valori[[#This Row],[smo_id]],AGCO!Posizione))</f>
        <v>0</v>
      </c>
      <c r="P130" s="1661" t="str">
        <f ca="1">HYPERLINK(Valori[[#This Row],[P_Source]],"è")</f>
        <v>è</v>
      </c>
      <c r="Q130" s="1663" t="str">
        <f>HYPERLINK(Valori[[#This Row],[Info_W]],"i")</f>
        <v>i</v>
      </c>
      <c r="R130" s="1664" t="str">
        <f>HYPERLINK(Valori[[#This Row],[FN_W]],"")</f>
        <v></v>
      </c>
      <c r="S130" s="1665" t="str">
        <f>HYPERLINK(Valori[[#This Row],[MS_Link]],"")</f>
        <v></v>
      </c>
      <c r="T130" s="1665" t="str">
        <f>HYPERLINK(Valori[[#This Row],[C_source]],"")</f>
        <v></v>
      </c>
      <c r="U130" s="142" t="str" cm="1">
        <f t="array" aca="1" ref="U130" ca="1">OFFSET(POrigin,MATCH(Valori[[#This Row],[LUKB_id]],PID,0),MATCH("M_CUR",PLabel,0)-1,1,1)</f>
        <v>USD</v>
      </c>
      <c r="V130" s="1562">
        <f ca="1">(Valori[[#This Row],[Last]]+Valori[[#This Row],[Acc. Int]])/Valori[[#This Row],[Pr.Amt]]/IF(Valori[[#This Row],[P_Type]]="Pct",100,1)</f>
        <v>5.7910000000000004</v>
      </c>
      <c r="W130" s="1591" cm="1">
        <f t="array" aca="1" ref="W130" ca="1">OFFSET(POrigin,MATCH(Valori[[#This Row],[LUKB_id]],PID,0),MATCH("NC2_PR",PLabel,0)-1,1,1)/100</f>
        <v>-3.0145704237146197E-2</v>
      </c>
      <c r="X130" s="1592" cm="1">
        <f t="array" aca="1" ref="X130" ca="1">OFFSET(POrigin,MATCH(Valori[[#This Row],[LUKB_id]],PID,0),MATCH("LVAL",PLabel,0)-1,1,1)</f>
        <v>5.7910000000000004</v>
      </c>
      <c r="Y130" s="1593" cm="1">
        <f t="array" aca="1" ref="Y130" ca="1">OFFSET(POrigin,MATCH(Valori[[#This Row],[LUKB_id]],PID,0),MATCH("LVAL:datetime",PLabel,0)-1,1,1)</f>
        <v>46084.726840277777</v>
      </c>
      <c r="Z130" s="1594" cm="1">
        <f t="array" aca="1" ref="Z130" ca="1">OFFSET(POrigin,MATCH(Valori[[#This Row],[LUKB_id]],PID,0),MATCH("BID:volume",PLabel,0)-1,1,1)</f>
        <v>1815</v>
      </c>
      <c r="AA130" s="1595" cm="1">
        <f t="array" aca="1" ref="AA130" ca="1">OFFSET(POrigin,MATCH(Valori[[#This Row],[LUKB_id]],PID,0),MATCH("BID",PLabel,0)-1,1,1)</f>
        <v>5.7549999999999999</v>
      </c>
      <c r="AB130" s="1595" cm="1">
        <f t="array" aca="1" ref="AB130" ca="1">OFFSET(POrigin,MATCH(Valori[[#This Row],[LUKB_id]],PID,0),MATCH("ASK",PLabel,0)-1,1,1)</f>
        <v>5.782</v>
      </c>
      <c r="AC130" s="1594" cm="1">
        <f t="array" aca="1" ref="AC130" ca="1">OFFSET(POrigin,MATCH(Valori[[#This Row],[LUKB_id]],PID,0),MATCH("ASK:volume",PLabel,0)-1,1,1)</f>
        <v>1815</v>
      </c>
      <c r="AD130" s="1596" cm="1">
        <f t="array" aca="1" ref="AD130" ca="1">OFFSET(POrigin,MATCH(Valori[[#This Row],[LUKB_id]],PID,0),MATCH("BID-ASK Spread %",PLabel,0)-1,1,1)</f>
        <v>3.1228313671061918E-3</v>
      </c>
      <c r="AE130" s="1597" t="str" cm="1">
        <f t="array" aca="1" ref="AE130" ca="1">IF(OFFSET(POrigin,MATCH(Valori[[#This Row],[LUKB_id]],PID,0),MATCH("MATURITY",PLabel,0)-1,1,1)&gt;0,OFFSET(POrigin,MATCH(Valori[[#This Row],[LUKB_id]],PID,0),MATCH("MATURITY",PLabel,0)-1,1,1),"")</f>
        <v/>
      </c>
      <c r="AF130" s="1598" cm="1">
        <f t="array" aca="1" ref="AF130" ca="1">OFFSET(POrigin,MATCH(Valori[[#This Row],[LUKB_id]],PID,0),MATCH("ACCINT",PLabel,0)-1,1,1)</f>
        <v>0</v>
      </c>
      <c r="AG130" s="1594" cm="1">
        <f t="array" aca="1" ref="AG130" ca="1">OFFSET(POrigin,MATCH(Valori[[#This Row],[LUKB_id]],PID,0),MATCH("DENOM",PLabel,0)-1,1,1)</f>
        <v>0</v>
      </c>
      <c r="AH130" s="1599" cm="1">
        <f t="array" aca="1" ref="AH130" ca="1">(OFFSET(POrigin,MATCH(Valori[[#This Row],[LUKB_id]],PID,0),MATCH("YIELD",PLabel,0)-1,1,1)+OFFSET(POrigin,MATCH(Valori[[#This Row],[LUKB_id]],PID,0),MATCH("YLDEQ",PLabel,0)-1,1,1))/100</f>
        <v>0</v>
      </c>
      <c r="AI130" s="1600">
        <f ca="1">OFFSET(POrigin,MATCH(Valori[[#This Row],[LUKB_id]],PID,0),MATCH("DIVIDEND",PLabel,0)-1,1,1)</f>
        <v>0</v>
      </c>
      <c r="AJ130" s="1601">
        <f ca="1">OFFSET(POrigin,MATCH(Valori[[#This Row],[LUKB_id]],PID,0),MATCH("DIVIDEND:datetime",PLabel,0)-1,1,1)</f>
        <v>0</v>
      </c>
      <c r="AK130" s="1602">
        <f ca="1">OFFSET(POrigin,MATCH(Valori[[#This Row],[LUKB_id]],PID,0),MATCH("INTEREST",PLabel,0)-1,1,1)</f>
        <v>0</v>
      </c>
      <c r="AL130" s="1603">
        <f ca="1">OFFSET(POrigin,MATCH(Valori[[#This Row],[LUKB_id]],PID,0),MATCH("4W_PERF_PR",PLabel,0)-1,1,1)/100</f>
        <v>-7.2698159999999998E-2</v>
      </c>
      <c r="AM130" s="1603">
        <f ca="1">OFFSET(POrigin,MATCH(Valori[[#This Row],[LUKB_id]],PID,0),MATCH("12W_PERF_PR",PLabel,0)-1,1,1)/100</f>
        <v>-6.2641630000000004E-2</v>
      </c>
      <c r="AN130" s="1603">
        <f ca="1">OFFSET(POrigin,MATCH(Valori[[#This Row],[LUKB_id]],PID,0),MATCH("YTD_PERF_PR",PLabel,0)-1,1,1)/100</f>
        <v>-3.4755900420303895E-2</v>
      </c>
      <c r="AO130" s="1591"/>
      <c r="AP130" s="1591"/>
      <c r="AQ130" s="1591"/>
      <c r="AR130" s="1591"/>
      <c r="AS130" s="1890"/>
      <c r="AT130" s="1890"/>
      <c r="AU130" s="610"/>
      <c r="AV130" s="1891"/>
      <c r="AW130" s="1604" t="str">
        <f ca="1">"https://boersenundmaerkte.lukb.ch/lukb/details/"&amp;Valori[[#This Row],[LUKB_id]]</f>
        <v>https://boersenundmaerkte.lukb.ch/lukb/details/47256616,349,333</v>
      </c>
      <c r="AX13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0" s="142"/>
      <c r="AZ130" s="142"/>
      <c r="BA130" s="142"/>
      <c r="BB130" s="142"/>
    </row>
    <row r="131" spans="1:54" ht="15" customHeight="1" x14ac:dyDescent="0.2">
      <c r="A131" s="142" t="s">
        <v>1221</v>
      </c>
      <c r="B131" s="142" t="str" cm="1">
        <f t="array" aca="1" ref="B131" ca="1">OFFSET(POrigin,MATCH(Valori[[#This Row],[smo_id]],Posizioni[smo_id],0),MATCH("LUKB_id",PIntestazioni,0)-1,1,1)</f>
        <v>19328344,4,1</v>
      </c>
      <c r="C131" s="1668" t="str">
        <f ca="1">HYPERLINK("https://boersenundmaerkte.lukb.ch/lukb/details/"&amp;Valori[[#This Row],[LUKB_id]],"è")</f>
        <v>è</v>
      </c>
      <c r="D131" s="142" t="str" cm="1">
        <f t="array" aca="1" ref="D131" ca="1">OFFSET(POrigin,MATCH(Valori[[#This Row],[LUKB_id]],PID,0),MATCH("SC_GROUPED",PIntestazioni,0)-1,1,1)</f>
        <v>ETF</v>
      </c>
      <c r="E131" s="413" t="str" cm="1">
        <f t="array" aca="1" ref="E131" ca="1">OFFSET(POrigin,MATCH(Valori[[#This Row],[LUKB_id]],PID,0),MATCH("isin",PIntestazioni,0)-1,1,1)</f>
        <v>IE00B8J37J31</v>
      </c>
      <c r="F131" s="34" t="str" cm="1">
        <f t="array" aca="1" ref="F131" ca="1">OFFSET(POrigin,MATCH(Valori[[#This Row],[LUKB_id]],PID,0),MATCH("NSIN_CH",PLabel,0)-1,1,1)</f>
        <v>19328344</v>
      </c>
      <c r="G131" s="95" t="str" cm="1">
        <f t="array" aca="1" ref="G131" ca="1">IF(OFFSET(POrigin,MATCH(Valori[[#This Row],[LUKB_id]],PID,0),MATCH("INSTRUNIT",PLabel,0)-1,1,1)="Nominal","Pct","Unit")</f>
        <v>Unit</v>
      </c>
      <c r="H131" s="612">
        <f ca="1">MAX(OFFSET(POrigin,MATCH(Valori[[#This Row],[LUKB_id]],PID,0),MATCH("PRICINGAMT",PLabel,0)-1,1,1),1)</f>
        <v>1</v>
      </c>
      <c r="I131" s="615" t="str" cm="1">
        <f t="array" aca="1" ref="I131" ca="1">OFFSET(POrigin,MATCH(Valori[[#This Row],[LUKB_id]],PID,0),MATCH("M_NAME",PLabel,0)-1,1,1)</f>
        <v>iShares VI PLC - iShares MSCI Japan CHF Hedged UCITS ETF (Acc)</v>
      </c>
      <c r="J131" s="142" t="s">
        <v>772</v>
      </c>
      <c r="M131" s="142" t="str" cm="1">
        <f t="array" aca="1" ref="M1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Japan CHF Hedged UCITS</v>
      </c>
      <c r="N131" s="1563">
        <f ca="1">COUNTIF('CHF M'!smo_id,Valori[[#This Row],[smo_id]])+COUNTIF('CHF MA'!smo_id,Valori[[#This Row],[smo_id]])+COUNTIF('EUR MB'!smo_id,Valori[[#This Row],[smo_id]])+COUNTIF('EUR M'!smo_id,Valori[[#This Row],[smo_id]])+COUNTIF(AGCO!smo_id,Valori[[#This Row],[smo_id]])</f>
        <v>2</v>
      </c>
      <c r="O131" s="1590" cm="1">
        <f t="array" aca="1" ref="O131" ca="1">SUM(IF('CHF M'!smo_id=Valori[[#This Row],[smo_id]],'CHF M'!Posizione))+SUM(IF('CHF MA'!smo_id=Valori[[#This Row],[smo_id]],'CHF MA'!Posizione))+SUM(IF('EUR MB'!smo_id=Valori[[#This Row],[smo_id]],'EUR MB'!Posizione))+SUM(IF('EUR M'!smo_id=Valori[[#This Row],[smo_id]],'EUR M'!Posizione))+SUM(IF(AGCO!smo_id=Valori[[#This Row],[smo_id]],AGCO!Posizione))</f>
        <v>2500</v>
      </c>
      <c r="P131" s="1661" t="str">
        <f ca="1">HYPERLINK(Valori[[#This Row],[P_Source]],"è")</f>
        <v>è</v>
      </c>
      <c r="Q131" s="1663" t="str">
        <f>HYPERLINK(Valori[[#This Row],[Info_W]],"i")</f>
        <v>i</v>
      </c>
      <c r="R131" s="1664" t="str">
        <f>HYPERLINK(Valori[[#This Row],[FN_W]],"")</f>
        <v></v>
      </c>
      <c r="S131" s="1665" t="str">
        <f>HYPERLINK(Valori[[#This Row],[MS_Link]],"")</f>
        <v></v>
      </c>
      <c r="T131" s="1665" t="str">
        <f>HYPERLINK(Valori[[#This Row],[C_source]],"")</f>
        <v></v>
      </c>
      <c r="U131" s="142" t="str" cm="1">
        <f t="array" aca="1" ref="U131" ca="1">OFFSET(POrigin,MATCH(Valori[[#This Row],[LUKB_id]],PID,0),MATCH("M_CUR",PLabel,0)-1,1,1)</f>
        <v>CHF</v>
      </c>
      <c r="V131" s="1562">
        <f ca="1">(Valori[[#This Row],[Last]]+Valori[[#This Row],[Acc. Int]])/Valori[[#This Row],[Pr.Amt]]/IF(Valori[[#This Row],[P_Type]]="Pct",100,1)</f>
        <v>122.76</v>
      </c>
      <c r="W131" s="1591" cm="1">
        <f t="array" aca="1" ref="W131" ca="1">OFFSET(POrigin,MATCH(Valori[[#This Row],[LUKB_id]],PID,0),MATCH("NC2_PR",PLabel,0)-1,1,1)/100</f>
        <v>-5.2046332046332001E-2</v>
      </c>
      <c r="X131" s="1592" cm="1">
        <f t="array" aca="1" ref="X131" ca="1">OFFSET(POrigin,MATCH(Valori[[#This Row],[LUKB_id]],PID,0),MATCH("LVAL",PLabel,0)-1,1,1)</f>
        <v>122.76</v>
      </c>
      <c r="Y131" s="1593" cm="1">
        <f t="array" aca="1" ref="Y131" ca="1">OFFSET(POrigin,MATCH(Valori[[#This Row],[LUKB_id]],PID,0),MATCH("LVAL:datetime",PLabel,0)-1,1,1)</f>
        <v>46084.72755787037</v>
      </c>
      <c r="Z131" s="1594" cm="1">
        <f t="array" aca="1" ref="Z131" ca="1">OFFSET(POrigin,MATCH(Valori[[#This Row],[LUKB_id]],PID,0),MATCH("BID:volume",PLabel,0)-1,1,1)</f>
        <v>20</v>
      </c>
      <c r="AA131" s="1595" cm="1">
        <f t="array" aca="1" ref="AA131" ca="1">OFFSET(POrigin,MATCH(Valori[[#This Row],[LUKB_id]],PID,0),MATCH("BID",PLabel,0)-1,1,1)</f>
        <v>115</v>
      </c>
      <c r="AB131" s="1595" cm="1">
        <f t="array" aca="1" ref="AB131" ca="1">OFFSET(POrigin,MATCH(Valori[[#This Row],[LUKB_id]],PID,0),MATCH("ASK",PLabel,0)-1,1,1)</f>
        <v>124.28</v>
      </c>
      <c r="AC131" s="1594" cm="1">
        <f t="array" aca="1" ref="AC131" ca="1">OFFSET(POrigin,MATCH(Valori[[#This Row],[LUKB_id]],PID,0),MATCH("ASK:volume",PLabel,0)-1,1,1)</f>
        <v>798</v>
      </c>
      <c r="AD131" s="1596" cm="1">
        <f t="array" aca="1" ref="AD131" ca="1">OFFSET(POrigin,MATCH(Valori[[#This Row],[LUKB_id]],PID,0),MATCH("BID-ASK Spread %",PLabel,0)-1,1,1)</f>
        <v>5.2387941740995835E-2</v>
      </c>
      <c r="AE131" s="1597" t="str" cm="1">
        <f t="array" aca="1" ref="AE131" ca="1">IF(OFFSET(POrigin,MATCH(Valori[[#This Row],[LUKB_id]],PID,0),MATCH("MATURITY",PLabel,0)-1,1,1)&gt;0,OFFSET(POrigin,MATCH(Valori[[#This Row],[LUKB_id]],PID,0),MATCH("MATURITY",PLabel,0)-1,1,1),"")</f>
        <v/>
      </c>
      <c r="AF131" s="1598" cm="1">
        <f t="array" aca="1" ref="AF131" ca="1">OFFSET(POrigin,MATCH(Valori[[#This Row],[LUKB_id]],PID,0),MATCH("ACCINT",PLabel,0)-1,1,1)</f>
        <v>0</v>
      </c>
      <c r="AG131" s="1594" cm="1">
        <f t="array" aca="1" ref="AG131" ca="1">OFFSET(POrigin,MATCH(Valori[[#This Row],[LUKB_id]],PID,0),MATCH("DENOM",PLabel,0)-1,1,1)</f>
        <v>0</v>
      </c>
      <c r="AH131" s="1599" cm="1">
        <f t="array" aca="1" ref="AH131" ca="1">(OFFSET(POrigin,MATCH(Valori[[#This Row],[LUKB_id]],PID,0),MATCH("YIELD",PLabel,0)-1,1,1)+OFFSET(POrigin,MATCH(Valori[[#This Row],[LUKB_id]],PID,0),MATCH("YLDEQ",PLabel,0)-1,1,1))/100</f>
        <v>0</v>
      </c>
      <c r="AI131" s="1600">
        <f ca="1">OFFSET(POrigin,MATCH(Valori[[#This Row],[LUKB_id]],PID,0),MATCH("DIVIDEND",PLabel,0)-1,1,1)</f>
        <v>0</v>
      </c>
      <c r="AJ131" s="1601">
        <f ca="1">OFFSET(POrigin,MATCH(Valori[[#This Row],[LUKB_id]],PID,0),MATCH("DIVIDEND:datetime",PLabel,0)-1,1,1)</f>
        <v>0</v>
      </c>
      <c r="AK131" s="1602">
        <f ca="1">OFFSET(POrigin,MATCH(Valori[[#This Row],[LUKB_id]],PID,0),MATCH("INTEREST",PLabel,0)-1,1,1)</f>
        <v>0</v>
      </c>
      <c r="AL131" s="1603">
        <f ca="1">OFFSET(POrigin,MATCH(Valori[[#This Row],[LUKB_id]],PID,0),MATCH("4W_PERF_PR",PLabel,0)-1,1,1)/100</f>
        <v>-2.1134799999999996E-3</v>
      </c>
      <c r="AM131" s="1603">
        <f ca="1">OFFSET(POrigin,MATCH(Valori[[#This Row],[LUKB_id]],PID,0),MATCH("12W_PERF_PR",PLabel,0)-1,1,1)/100</f>
        <v>5.8640910000000004E-2</v>
      </c>
      <c r="AN131" s="1603">
        <f ca="1">OFFSET(POrigin,MATCH(Valori[[#This Row],[LUKB_id]],PID,0),MATCH("YTD_PERF_PR",PLabel,0)-1,1,1)/100</f>
        <v>0.11216076949501901</v>
      </c>
      <c r="AO131" s="1591"/>
      <c r="AP131" s="1591"/>
      <c r="AQ131" s="1591"/>
      <c r="AR131" s="1591"/>
      <c r="AS131" s="1890" t="s">
        <v>1222</v>
      </c>
      <c r="AT131" s="1890" t="s">
        <v>1223</v>
      </c>
      <c r="AU131" s="610" t="s">
        <v>1224</v>
      </c>
      <c r="AV131" s="1891" t="s">
        <v>1225</v>
      </c>
      <c r="AW131" s="1604" t="str">
        <f ca="1">"https://boersenundmaerkte.lukb.ch/lukb/details/"&amp;Valori[[#This Row],[LUKB_id]]</f>
        <v>https://boersenundmaerkte.lukb.ch/lukb/details/19328344,4,1</v>
      </c>
      <c r="AX131" s="1605" t="str">
        <f>"https://www.zonebourse.com/mods_a/charts/TV/inc_dyna_graph.php?c="&amp;Valori[[#This Row],[MS_Code]]&amp;"&amp;style=TradingView.CANDLES&amp;interval=(null)&amp;mobile=(null)&amp;showAT=1"</f>
        <v>https://www.zonebourse.com/mods_a/charts/TV/inc_dyna_graph.php?c=12069013&amp;style=TradingView.CANDLES&amp;interval=(null)&amp;mobile=(null)&amp;showAT=1</v>
      </c>
      <c r="AY131" s="142"/>
      <c r="AZ131" s="142"/>
      <c r="BA131" s="142"/>
      <c r="BB131" s="142"/>
    </row>
    <row r="132" spans="1:54" ht="15" customHeight="1" x14ac:dyDescent="0.2">
      <c r="A132" s="142" t="s">
        <v>2003</v>
      </c>
      <c r="B132" s="142" t="str" cm="1">
        <f t="array" aca="1" ref="B132" ca="1">OFFSET(POrigin,MATCH(Valori[[#This Row],[smo_id]],Posizioni[smo_id],0),MATCH("LUKB_id",PIntestazioni,0)-1,1,1)</f>
        <v>2585425,719,333</v>
      </c>
      <c r="C132" s="1668" t="str">
        <f ca="1">HYPERLINK("https://boersenundmaerkte.lukb.ch/lukb/details/"&amp;Valori[[#This Row],[LUKB_id]],"è")</f>
        <v>è</v>
      </c>
      <c r="D132" s="142" t="str" cm="1">
        <f t="array" aca="1" ref="D132" ca="1">OFFSET(POrigin,MATCH(Valori[[#This Row],[LUKB_id]],PID,0),MATCH("SC_GROUPED",PIntestazioni,0)-1,1,1)</f>
        <v>ETF</v>
      </c>
      <c r="E132" s="413" t="str" cm="1">
        <f t="array" aca="1" ref="E132" ca="1">OFFSET(POrigin,MATCH(Valori[[#This Row],[LUKB_id]],PID,0),MATCH("isin",PIntestazioni,0)-1,1,1)</f>
        <v>IE00B14X4M10</v>
      </c>
      <c r="F132" s="34" t="str" cm="1">
        <f t="array" aca="1" ref="F132" ca="1">OFFSET(POrigin,MATCH(Valori[[#This Row],[LUKB_id]],PID,0),MATCH("NSIN_CH",PLabel,0)-1,1,1)</f>
        <v>2585425</v>
      </c>
      <c r="G132" s="95" t="str" cm="1">
        <f t="array" aca="1" ref="G132" ca="1">IF(OFFSET(POrigin,MATCH(Valori[[#This Row],[LUKB_id]],PID,0),MATCH("INSTRUNIT",PLabel,0)-1,1,1)="Nominal","Pct","Unit")</f>
        <v>Unit</v>
      </c>
      <c r="H132" s="612">
        <f ca="1">MAX(OFFSET(POrigin,MATCH(Valori[[#This Row],[LUKB_id]],PID,0),MATCH("PRICINGAMT",PLabel,0)-1,1,1),1)</f>
        <v>1</v>
      </c>
      <c r="I132" s="615" t="str" cm="1">
        <f t="array" aca="1" ref="I132" ca="1">OFFSET(POrigin,MATCH(Valori[[#This Row],[LUKB_id]],PID,0),MATCH("M_NAME",PLabel,0)-1,1,1)</f>
        <v>iShares PLC - iShares MSCI North America UCITS ETF</v>
      </c>
      <c r="J132" s="142" t="s">
        <v>899</v>
      </c>
      <c r="M132" s="142" t="str" cm="1">
        <f t="array" aca="1" ref="M1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North America UCITS ETF USD (Dist)</v>
      </c>
      <c r="N132" s="1563">
        <f ca="1">COUNTIF('CHF M'!smo_id,Valori[[#This Row],[smo_id]])+COUNTIF('CHF MA'!smo_id,Valori[[#This Row],[smo_id]])+COUNTIF('EUR MB'!smo_id,Valori[[#This Row],[smo_id]])+COUNTIF('EUR M'!smo_id,Valori[[#This Row],[smo_id]])+COUNTIF(AGCO!smo_id,Valori[[#This Row],[smo_id]])</f>
        <v>1</v>
      </c>
      <c r="O132" s="1590" cm="1">
        <f t="array" aca="1" ref="O132" ca="1">SUM(IF('CHF M'!smo_id=Valori[[#This Row],[smo_id]],'CHF M'!Posizione))+SUM(IF('CHF MA'!smo_id=Valori[[#This Row],[smo_id]],'CHF MA'!Posizione))+SUM(IF('EUR MB'!smo_id=Valori[[#This Row],[smo_id]],'EUR MB'!Posizione))+SUM(IF('EUR M'!smo_id=Valori[[#This Row],[smo_id]],'EUR M'!Posizione))+SUM(IF(AGCO!smo_id=Valori[[#This Row],[smo_id]],AGCO!Posizione))</f>
        <v>0</v>
      </c>
      <c r="P132" s="1661" t="str">
        <f ca="1">HYPERLINK(Valori[[#This Row],[P_Source]],"è")</f>
        <v>è</v>
      </c>
      <c r="Q132" s="1663" t="str">
        <f>HYPERLINK(Valori[[#This Row],[Info_W]],"i")</f>
        <v>i</v>
      </c>
      <c r="R132" s="1664" t="str">
        <f>HYPERLINK(Valori[[#This Row],[FN_W]],"")</f>
        <v></v>
      </c>
      <c r="S132" s="1665" t="str">
        <f>HYPERLINK(Valori[[#This Row],[MS_Link]],"")</f>
        <v></v>
      </c>
      <c r="T132" s="1665" t="str">
        <f>HYPERLINK(Valori[[#This Row],[C_source]],"")</f>
        <v></v>
      </c>
      <c r="U132" s="142" t="str" cm="1">
        <f t="array" aca="1" ref="U132" ca="1">OFFSET(POrigin,MATCH(Valori[[#This Row],[LUKB_id]],PID,0),MATCH("M_CUR",PLabel,0)-1,1,1)</f>
        <v>USD</v>
      </c>
      <c r="V132" s="1562">
        <f ca="1">(Valori[[#This Row],[Last]]+Valori[[#This Row],[Acc. Int]])/Valori[[#This Row],[Pr.Amt]]/IF(Valori[[#This Row],[P_Type]]="Pct",100,1)</f>
        <v>125.93</v>
      </c>
      <c r="W132" s="1591" cm="1">
        <f t="array" aca="1" ref="W132" ca="1">OFFSET(POrigin,MATCH(Valori[[#This Row],[LUKB_id]],PID,0),MATCH("NC2_PR",PLabel,0)-1,1,1)/100</f>
        <v>-1.05188790328912E-2</v>
      </c>
      <c r="X132" s="1592" cm="1">
        <f t="array" aca="1" ref="X132" ca="1">OFFSET(POrigin,MATCH(Valori[[#This Row],[LUKB_id]],PID,0),MATCH("LVAL",PLabel,0)-1,1,1)</f>
        <v>125.93</v>
      </c>
      <c r="Y132" s="1593" cm="1">
        <f t="array" aca="1" ref="Y132" ca="1">OFFSET(POrigin,MATCH(Valori[[#This Row],[LUKB_id]],PID,0),MATCH("LVAL:datetime",PLabel,0)-1,1,1)</f>
        <v>46084.73296296296</v>
      </c>
      <c r="Z132" s="1594" cm="1">
        <f t="array" aca="1" ref="Z132" ca="1">OFFSET(POrigin,MATCH(Valori[[#This Row],[LUKB_id]],PID,0),MATCH("BID:volume",PLabel,0)-1,1,1)</f>
        <v>1391</v>
      </c>
      <c r="AA132" s="1595" cm="1">
        <f t="array" aca="1" ref="AA132" ca="1">OFFSET(POrigin,MATCH(Valori[[#This Row],[LUKB_id]],PID,0),MATCH("BID",PLabel,0)-1,1,1)</f>
        <v>125.92</v>
      </c>
      <c r="AB132" s="1595" cm="1">
        <f t="array" aca="1" ref="AB132" ca="1">OFFSET(POrigin,MATCH(Valori[[#This Row],[LUKB_id]],PID,0),MATCH("ASK",PLabel,0)-1,1,1)</f>
        <v>130.85</v>
      </c>
      <c r="AC132" s="1594" cm="1">
        <f t="array" aca="1" ref="AC132" ca="1">OFFSET(POrigin,MATCH(Valori[[#This Row],[LUKB_id]],PID,0),MATCH("ASK:volume",PLabel,0)-1,1,1)</f>
        <v>38</v>
      </c>
      <c r="AD132" s="1596" cm="1">
        <f t="array" aca="1" ref="AD132" ca="1">OFFSET(POrigin,MATCH(Valori[[#This Row],[LUKB_id]],PID,0),MATCH("BID-ASK Spread %",PLabel,0)-1,1,1)</f>
        <v>2.5764979487313454E-2</v>
      </c>
      <c r="AE132" s="1597" t="str" cm="1">
        <f t="array" aca="1" ref="AE132" ca="1">IF(OFFSET(POrigin,MATCH(Valori[[#This Row],[LUKB_id]],PID,0),MATCH("MATURITY",PLabel,0)-1,1,1)&gt;0,OFFSET(POrigin,MATCH(Valori[[#This Row],[LUKB_id]],PID,0),MATCH("MATURITY",PLabel,0)-1,1,1),"")</f>
        <v/>
      </c>
      <c r="AF132" s="1598" cm="1">
        <f t="array" aca="1" ref="AF132" ca="1">OFFSET(POrigin,MATCH(Valori[[#This Row],[LUKB_id]],PID,0),MATCH("ACCINT",PLabel,0)-1,1,1)</f>
        <v>0</v>
      </c>
      <c r="AG132" s="1594" cm="1">
        <f t="array" aca="1" ref="AG132" ca="1">OFFSET(POrigin,MATCH(Valori[[#This Row],[LUKB_id]],PID,0),MATCH("DENOM",PLabel,0)-1,1,1)</f>
        <v>0</v>
      </c>
      <c r="AH132" s="1599" cm="1">
        <f t="array" aca="1" ref="AH132" ca="1">(OFFSET(POrigin,MATCH(Valori[[#This Row],[LUKB_id]],PID,0),MATCH("YIELD",PLabel,0)-1,1,1)+OFFSET(POrigin,MATCH(Valori[[#This Row],[LUKB_id]],PID,0),MATCH("YLDEQ",PLabel,0)-1,1,1))/100</f>
        <v>0</v>
      </c>
      <c r="AI132" s="1600">
        <f ca="1">OFFSET(POrigin,MATCH(Valori[[#This Row],[LUKB_id]],PID,0),MATCH("DIVIDEND",PLabel,0)-1,1,1)</f>
        <v>0.20520000000000002</v>
      </c>
      <c r="AJ132" s="1601">
        <f ca="1">OFFSET(POrigin,MATCH(Valori[[#This Row],[LUKB_id]],PID,0),MATCH("DIVIDEND:datetime",PLabel,0)-1,1,1)</f>
        <v>46002</v>
      </c>
      <c r="AK132" s="1602">
        <f ca="1">OFFSET(POrigin,MATCH(Valori[[#This Row],[LUKB_id]],PID,0),MATCH("INTEREST",PLabel,0)-1,1,1)</f>
        <v>0</v>
      </c>
      <c r="AL132" s="1603">
        <f ca="1">OFFSET(POrigin,MATCH(Valori[[#This Row],[LUKB_id]],PID,0),MATCH("4W_PERF_PR",PLabel,0)-1,1,1)/100</f>
        <v>-1.8913449999999998E-2</v>
      </c>
      <c r="AM132" s="1603">
        <f ca="1">OFFSET(POrigin,MATCH(Valori[[#This Row],[LUKB_id]],PID,0),MATCH("12W_PERF_PR",PLabel,0)-1,1,1)/100</f>
        <v>-1.0363509999999999E-2</v>
      </c>
      <c r="AN132" s="1603">
        <f ca="1">OFFSET(POrigin,MATCH(Valori[[#This Row],[LUKB_id]],PID,0),MATCH("YTD_PERF_PR",PLabel,0)-1,1,1)/100</f>
        <v>-4.1432145090682E-3</v>
      </c>
      <c r="AO132" s="1591"/>
      <c r="AP132" s="1591"/>
      <c r="AQ132" s="1591"/>
      <c r="AR132" s="1591"/>
      <c r="AS132" s="1890" t="s">
        <v>2004</v>
      </c>
      <c r="AT132" s="1890" t="s">
        <v>2005</v>
      </c>
      <c r="AU132" s="610" t="s">
        <v>2006</v>
      </c>
      <c r="AV132" s="1891" t="s">
        <v>2007</v>
      </c>
      <c r="AW132" s="1604" t="str">
        <f ca="1">"https://boersenundmaerkte.lukb.ch/lukb/details/"&amp;Valori[[#This Row],[LUKB_id]]</f>
        <v>https://boersenundmaerkte.lukb.ch/lukb/details/2585425,719,333</v>
      </c>
      <c r="AX132" s="1605" t="str">
        <f>"https://www.marketscreener.com/mods_a/charts/TV/inc_dyna_graph.php?c="&amp;Valori[[#This Row],[MS_Code]]&amp;"&amp;style=TradingView.CANDLES&amp;interval=(null)&amp;mobile=(null)&amp;showAT=1"</f>
        <v>https://www.marketscreener.com/mods_a/charts/TV/inc_dyna_graph.php?c=182141&amp;style=TradingView.CANDLES&amp;interval=(null)&amp;mobile=(null)&amp;showAT=1</v>
      </c>
      <c r="AY132" s="142"/>
      <c r="AZ132" s="142"/>
      <c r="BA132" s="142"/>
      <c r="BB132" s="142"/>
    </row>
    <row r="133" spans="1:54" ht="15" customHeight="1" x14ac:dyDescent="0.2">
      <c r="A133" s="142" t="s">
        <v>1226</v>
      </c>
      <c r="B133" s="142" t="str" cm="1">
        <f t="array" aca="1" ref="B133" ca="1">OFFSET(POrigin,MATCH(Valori[[#This Row],[smo_id]],Posizioni[smo_id],0),MATCH("LUKB_id",PIntestazioni,0)-1,1,1)</f>
        <v>34389247,321,333</v>
      </c>
      <c r="C133" s="1668" t="str">
        <f ca="1">HYPERLINK("https://boersenundmaerkte.lukb.ch/lukb/details/"&amp;Valori[[#This Row],[LUKB_id]],"è")</f>
        <v>è</v>
      </c>
      <c r="D133" s="142" t="str" cm="1">
        <f t="array" aca="1" ref="D133" ca="1">OFFSET(POrigin,MATCH(Valori[[#This Row],[LUKB_id]],PID,0),MATCH("SC_GROUPED",PIntestazioni,0)-1,1,1)</f>
        <v>ETF</v>
      </c>
      <c r="E133" s="413" t="str" cm="1">
        <f t="array" aca="1" ref="E133" ca="1">OFFSET(POrigin,MATCH(Valori[[#This Row],[LUKB_id]],PID,0),MATCH("isin",PIntestazioni,0)-1,1,1)</f>
        <v>US46434G7806</v>
      </c>
      <c r="F133" s="34" t="str" cm="1">
        <f t="array" aca="1" ref="F133" ca="1">OFFSET(POrigin,MATCH(Valori[[#This Row],[LUKB_id]],PID,0),MATCH("NSIN_CH",PLabel,0)-1,1,1)</f>
        <v>34389247</v>
      </c>
      <c r="G133" s="95" t="str" cm="1">
        <f t="array" aca="1" ref="G133" ca="1">IF(OFFSET(POrigin,MATCH(Valori[[#This Row],[LUKB_id]],PID,0),MATCH("INSTRUNIT",PLabel,0)-1,1,1)="Nominal","Pct","Unit")</f>
        <v>Unit</v>
      </c>
      <c r="H133" s="612">
        <f ca="1">MAX(OFFSET(POrigin,MATCH(Valori[[#This Row],[LUKB_id]],PID,0),MATCH("PRICINGAMT",PLabel,0)-1,1,1),1)</f>
        <v>1</v>
      </c>
      <c r="I133" s="615" t="str" cm="1">
        <f t="array" aca="1" ref="I133" ca="1">OFFSET(POrigin,MATCH(Valori[[#This Row],[LUKB_id]],PID,0),MATCH("M_NAME",PLabel,0)-1,1,1)</f>
        <v>iShares MSCI Singapore ETF</v>
      </c>
      <c r="M133" s="142" t="str" cm="1">
        <f t="array" aca="1" ref="M1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Singapore ETF</v>
      </c>
      <c r="N133" s="1563">
        <f ca="1">COUNTIF('CHF M'!smo_id,Valori[[#This Row],[smo_id]])+COUNTIF('CHF MA'!smo_id,Valori[[#This Row],[smo_id]])+COUNTIF('EUR MB'!smo_id,Valori[[#This Row],[smo_id]])+COUNTIF('EUR M'!smo_id,Valori[[#This Row],[smo_id]])+COUNTIF(AGCO!smo_id,Valori[[#This Row],[smo_id]])</f>
        <v>0</v>
      </c>
      <c r="O133" s="1590" cm="1">
        <f t="array" aca="1" ref="O133" ca="1">SUM(IF('CHF M'!smo_id=Valori[[#This Row],[smo_id]],'CHF M'!Posizione))+SUM(IF('CHF MA'!smo_id=Valori[[#This Row],[smo_id]],'CHF MA'!Posizione))+SUM(IF('EUR MB'!smo_id=Valori[[#This Row],[smo_id]],'EUR MB'!Posizione))+SUM(IF('EUR M'!smo_id=Valori[[#This Row],[smo_id]],'EUR M'!Posizione))+SUM(IF(AGCO!smo_id=Valori[[#This Row],[smo_id]],AGCO!Posizione))</f>
        <v>0</v>
      </c>
      <c r="P133" s="1661" t="str">
        <f ca="1">HYPERLINK(Valori[[#This Row],[P_Source]],"è")</f>
        <v>è</v>
      </c>
      <c r="Q133" s="1663" t="str">
        <f>HYPERLINK(Valori[[#This Row],[Info_W]],"i")</f>
        <v>i</v>
      </c>
      <c r="R133" s="1664" t="str">
        <f>HYPERLINK(Valori[[#This Row],[FN_W]],"")</f>
        <v></v>
      </c>
      <c r="S133" s="1665" t="str">
        <f>HYPERLINK(Valori[[#This Row],[MS_Link]],"")</f>
        <v></v>
      </c>
      <c r="T133" s="1665" t="str">
        <f>HYPERLINK(Valori[[#This Row],[C_source]],"")</f>
        <v></v>
      </c>
      <c r="U133" s="142" t="str" cm="1">
        <f t="array" aca="1" ref="U133" ca="1">OFFSET(POrigin,MATCH(Valori[[#This Row],[LUKB_id]],PID,0),MATCH("M_CUR",PLabel,0)-1,1,1)</f>
        <v>USD</v>
      </c>
      <c r="V133" s="1562">
        <f ca="1">(Valori[[#This Row],[Last]]+Valori[[#This Row],[Acc. Int]])/Valori[[#This Row],[Pr.Amt]]/IF(Valori[[#This Row],[P_Type]]="Pct",100,1)</f>
        <v>27.700000000000003</v>
      </c>
      <c r="W133" s="1591" cm="1">
        <f t="array" aca="1" ref="W133" ca="1">OFFSET(POrigin,MATCH(Valori[[#This Row],[LUKB_id]],PID,0),MATCH("NC2_PR",PLabel,0)-1,1,1)/100</f>
        <v>-2.0509193776520499E-2</v>
      </c>
      <c r="X133" s="1592" cm="1">
        <f t="array" aca="1" ref="X133" ca="1">OFFSET(POrigin,MATCH(Valori[[#This Row],[LUKB_id]],PID,0),MATCH("LVAL",PLabel,0)-1,1,1)</f>
        <v>27.700000000000003</v>
      </c>
      <c r="Y133" s="1593" cm="1">
        <f t="array" aca="1" ref="Y133" ca="1">OFFSET(POrigin,MATCH(Valori[[#This Row],[LUKB_id]],PID,0),MATCH("LVAL:datetime",PLabel,0)-1,1,1)</f>
        <v>46084.785486111112</v>
      </c>
      <c r="Z133" s="1594" cm="1">
        <f t="array" aca="1" ref="Z133" ca="1">OFFSET(POrigin,MATCH(Valori[[#This Row],[LUKB_id]],PID,0),MATCH("BID:volume",PLabel,0)-1,1,1)</f>
        <v>700</v>
      </c>
      <c r="AA133" s="1595" cm="1">
        <f t="array" aca="1" ref="AA133" ca="1">OFFSET(POrigin,MATCH(Valori[[#This Row],[LUKB_id]],PID,0),MATCH("BID",PLabel,0)-1,1,1)</f>
        <v>27.700000000000003</v>
      </c>
      <c r="AB133" s="1595" cm="1">
        <f t="array" aca="1" ref="AB133" ca="1">OFFSET(POrigin,MATCH(Valori[[#This Row],[LUKB_id]],PID,0),MATCH("ASK",PLabel,0)-1,1,1)</f>
        <v>27.71</v>
      </c>
      <c r="AC133" s="1594" cm="1">
        <f t="array" aca="1" ref="AC133" ca="1">OFFSET(POrigin,MATCH(Valori[[#This Row],[LUKB_id]],PID,0),MATCH("ASK:volume",PLabel,0)-1,1,1)</f>
        <v>3400</v>
      </c>
      <c r="AD133" s="1596" cm="1">
        <f t="array" aca="1" ref="AD133" ca="1">OFFSET(POrigin,MATCH(Valori[[#This Row],[LUKB_id]],PID,0),MATCH("BID-ASK Spread %",PLabel,0)-1,1,1)</f>
        <v>2.4064492840808588E-4</v>
      </c>
      <c r="AE133" s="1597" t="str" cm="1">
        <f t="array" aca="1" ref="AE133" ca="1">IF(OFFSET(POrigin,MATCH(Valori[[#This Row],[LUKB_id]],PID,0),MATCH("MATURITY",PLabel,0)-1,1,1)&gt;0,OFFSET(POrigin,MATCH(Valori[[#This Row],[LUKB_id]],PID,0),MATCH("MATURITY",PLabel,0)-1,1,1),"")</f>
        <v/>
      </c>
      <c r="AF133" s="1598" cm="1">
        <f t="array" aca="1" ref="AF133" ca="1">OFFSET(POrigin,MATCH(Valori[[#This Row],[LUKB_id]],PID,0),MATCH("ACCINT",PLabel,0)-1,1,1)</f>
        <v>0</v>
      </c>
      <c r="AG133" s="1594" cm="1">
        <f t="array" aca="1" ref="AG133" ca="1">OFFSET(POrigin,MATCH(Valori[[#This Row],[LUKB_id]],PID,0),MATCH("DENOM",PLabel,0)-1,1,1)</f>
        <v>0</v>
      </c>
      <c r="AH133" s="1599" cm="1">
        <f t="array" aca="1" ref="AH133" ca="1">(OFFSET(POrigin,MATCH(Valori[[#This Row],[LUKB_id]],PID,0),MATCH("YIELD",PLabel,0)-1,1,1)+OFFSET(POrigin,MATCH(Valori[[#This Row],[LUKB_id]],PID,0),MATCH("YLDEQ",PLabel,0)-1,1,1))/100</f>
        <v>0</v>
      </c>
      <c r="AI133" s="1600">
        <f ca="1">OFFSET(POrigin,MATCH(Valori[[#This Row],[LUKB_id]],PID,0),MATCH("DIVIDEND",PLabel,0)-1,1,1)</f>
        <v>0.66794799999999999</v>
      </c>
      <c r="AJ133" s="1601">
        <f ca="1">OFFSET(POrigin,MATCH(Valori[[#This Row],[LUKB_id]],PID,0),MATCH("DIVIDEND:datetime",PLabel,0)-1,1,1)</f>
        <v>46007</v>
      </c>
      <c r="AK133" s="1602">
        <f ca="1">OFFSET(POrigin,MATCH(Valori[[#This Row],[LUKB_id]],PID,0),MATCH("INTEREST",PLabel,0)-1,1,1)</f>
        <v>0</v>
      </c>
      <c r="AL133" s="1603">
        <f ca="1">OFFSET(POrigin,MATCH(Valori[[#This Row],[LUKB_id]],PID,0),MATCH("4W_PERF_PR",PLabel,0)-1,1,1)/100</f>
        <v>-1.1067479999999998E-2</v>
      </c>
      <c r="AM133" s="1603">
        <f ca="1">OFFSET(POrigin,MATCH(Valori[[#This Row],[LUKB_id]],PID,0),MATCH("12W_PERF_PR",PLabel,0)-1,1,1)/100</f>
        <v>7.63914E-3</v>
      </c>
      <c r="AN133" s="1603">
        <f ca="1">OFFSET(POrigin,MATCH(Valori[[#This Row],[LUKB_id]],PID,0),MATCH("YTD_PERF_PR",PLabel,0)-1,1,1)/100</f>
        <v>2.7989821882951703E-2</v>
      </c>
      <c r="AO133" s="1591"/>
      <c r="AP133" s="1591"/>
      <c r="AQ133" s="1591"/>
      <c r="AR133" s="1591"/>
      <c r="AS133" s="1890"/>
      <c r="AT133" s="1890"/>
      <c r="AU133" s="610"/>
      <c r="AV133" s="1891"/>
      <c r="AW133" s="1604" t="str">
        <f ca="1">"https://boersenundmaerkte.lukb.ch/lukb/details/"&amp;Valori[[#This Row],[LUKB_id]]</f>
        <v>https://boersenundmaerkte.lukb.ch/lukb/details/34389247,321,333</v>
      </c>
      <c r="AX13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3" s="142"/>
      <c r="AZ133" s="142"/>
      <c r="BA133" s="142"/>
      <c r="BB133" s="142"/>
    </row>
    <row r="134" spans="1:54" ht="15" customHeight="1" x14ac:dyDescent="0.2">
      <c r="A134" s="142" t="s">
        <v>1227</v>
      </c>
      <c r="B134" s="142" t="str" cm="1">
        <f t="array" aca="1" ref="B134" ca="1">OFFSET(POrigin,MATCH(Valori[[#This Row],[smo_id]],Posizioni[smo_id],0),MATCH("LUKB_id",PIntestazioni,0)-1,1,1)</f>
        <v>34389251,321,333</v>
      </c>
      <c r="C134" s="1668" t="str">
        <f ca="1">HYPERLINK("https://boersenundmaerkte.lukb.ch/lukb/details/"&amp;Valori[[#This Row],[LUKB_id]],"è")</f>
        <v>è</v>
      </c>
      <c r="D134" s="142" t="str" cm="1">
        <f t="array" aca="1" ref="D134" ca="1">OFFSET(POrigin,MATCH(Valori[[#This Row],[LUKB_id]],PID,0),MATCH("SC_GROUPED",PIntestazioni,0)-1,1,1)</f>
        <v>ETF</v>
      </c>
      <c r="E134" s="413" t="str" cm="1">
        <f t="array" aca="1" ref="E134" ca="1">OFFSET(POrigin,MATCH(Valori[[#This Row],[LUKB_id]],PID,0),MATCH("isin",PIntestazioni,0)-1,1,1)</f>
        <v>US46435G3341</v>
      </c>
      <c r="F134" s="34" t="str" cm="1">
        <f t="array" aca="1" ref="F134" ca="1">OFFSET(POrigin,MATCH(Valori[[#This Row],[LUKB_id]],PID,0),MATCH("NSIN_CH",PLabel,0)-1,1,1)</f>
        <v>34389251</v>
      </c>
      <c r="G134" s="95" t="str" cm="1">
        <f t="array" aca="1" ref="G134" ca="1">IF(OFFSET(POrigin,MATCH(Valori[[#This Row],[LUKB_id]],PID,0),MATCH("INSTRUNIT",PLabel,0)-1,1,1)="Nominal","Pct","Unit")</f>
        <v>Unit</v>
      </c>
      <c r="H134" s="612">
        <f ca="1">MAX(OFFSET(POrigin,MATCH(Valori[[#This Row],[LUKB_id]],PID,0),MATCH("PRICINGAMT",PLabel,0)-1,1,1),1)</f>
        <v>1</v>
      </c>
      <c r="I134" s="615" t="str" cm="1">
        <f t="array" aca="1" ref="I134" ca="1">OFFSET(POrigin,MATCH(Valori[[#This Row],[LUKB_id]],PID,0),MATCH("M_NAME",PLabel,0)-1,1,1)</f>
        <v>iShares MSCI United Kingdom ETF</v>
      </c>
      <c r="M134" s="142" t="str" cm="1">
        <f t="array" aca="1" ref="M1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United Kingdom ETF</v>
      </c>
      <c r="N134" s="1563">
        <f ca="1">COUNTIF('CHF M'!smo_id,Valori[[#This Row],[smo_id]])+COUNTIF('CHF MA'!smo_id,Valori[[#This Row],[smo_id]])+COUNTIF('EUR MB'!smo_id,Valori[[#This Row],[smo_id]])+COUNTIF('EUR M'!smo_id,Valori[[#This Row],[smo_id]])+COUNTIF(AGCO!smo_id,Valori[[#This Row],[smo_id]])</f>
        <v>1</v>
      </c>
      <c r="O134" s="1590" cm="1">
        <f t="array" aca="1" ref="O134" ca="1">SUM(IF('CHF M'!smo_id=Valori[[#This Row],[smo_id]],'CHF M'!Posizione))+SUM(IF('CHF MA'!smo_id=Valori[[#This Row],[smo_id]],'CHF MA'!Posizione))+SUM(IF('EUR MB'!smo_id=Valori[[#This Row],[smo_id]],'EUR MB'!Posizione))+SUM(IF('EUR M'!smo_id=Valori[[#This Row],[smo_id]],'EUR M'!Posizione))+SUM(IF(AGCO!smo_id=Valori[[#This Row],[smo_id]],AGCO!Posizione))</f>
        <v>0</v>
      </c>
      <c r="P134" s="1661" t="str">
        <f ca="1">HYPERLINK(Valori[[#This Row],[P_Source]],"è")</f>
        <v>è</v>
      </c>
      <c r="Q134" s="1663" t="str">
        <f>HYPERLINK(Valori[[#This Row],[Info_W]],"i")</f>
        <v>i</v>
      </c>
      <c r="R134" s="1664" t="str">
        <f>HYPERLINK(Valori[[#This Row],[FN_W]],"")</f>
        <v></v>
      </c>
      <c r="S134" s="1665" t="str">
        <f>HYPERLINK(Valori[[#This Row],[MS_Link]],"")</f>
        <v></v>
      </c>
      <c r="T134" s="1665" t="str">
        <f>HYPERLINK(Valori[[#This Row],[C_source]],"")</f>
        <v></v>
      </c>
      <c r="U134" s="142" t="str" cm="1">
        <f t="array" aca="1" ref="U134" ca="1">OFFSET(POrigin,MATCH(Valori[[#This Row],[LUKB_id]],PID,0),MATCH("M_CUR",PLabel,0)-1,1,1)</f>
        <v>USD</v>
      </c>
      <c r="V134" s="1562">
        <f ca="1">(Valori[[#This Row],[Last]]+Valori[[#This Row],[Acc. Int]])/Valori[[#This Row],[Pr.Amt]]/IF(Valori[[#This Row],[P_Type]]="Pct",100,1)</f>
        <v>46.615000000000002</v>
      </c>
      <c r="W134" s="1591" cm="1">
        <f t="array" aca="1" ref="W134" ca="1">OFFSET(POrigin,MATCH(Valori[[#This Row],[LUKB_id]],PID,0),MATCH("NC2_PR",PLabel,0)-1,1,1)/100</f>
        <v>-3.1275976724854597E-2</v>
      </c>
      <c r="X134" s="1592" cm="1">
        <f t="array" aca="1" ref="X134" ca="1">OFFSET(POrigin,MATCH(Valori[[#This Row],[LUKB_id]],PID,0),MATCH("LVAL",PLabel,0)-1,1,1)</f>
        <v>46.615000000000002</v>
      </c>
      <c r="Y134" s="1593" cm="1">
        <f t="array" aca="1" ref="Y134" ca="1">OFFSET(POrigin,MATCH(Valori[[#This Row],[LUKB_id]],PID,0),MATCH("LVAL:datetime",PLabel,0)-1,1,1)</f>
        <v>46084.785810185182</v>
      </c>
      <c r="Z134" s="1594" cm="1">
        <f t="array" aca="1" ref="Z134" ca="1">OFFSET(POrigin,MATCH(Valori[[#This Row],[LUKB_id]],PID,0),MATCH("BID:volume",PLabel,0)-1,1,1)</f>
        <v>1900</v>
      </c>
      <c r="AA134" s="1595" cm="1">
        <f t="array" aca="1" ref="AA134" ca="1">OFFSET(POrigin,MATCH(Valori[[#This Row],[LUKB_id]],PID,0),MATCH("BID",PLabel,0)-1,1,1)</f>
        <v>46.61</v>
      </c>
      <c r="AB134" s="1595" cm="1">
        <f t="array" aca="1" ref="AB134" ca="1">OFFSET(POrigin,MATCH(Valori[[#This Row],[LUKB_id]],PID,0),MATCH("ASK",PLabel,0)-1,1,1)</f>
        <v>46.62</v>
      </c>
      <c r="AC134" s="1594" cm="1">
        <f t="array" aca="1" ref="AC134" ca="1">OFFSET(POrigin,MATCH(Valori[[#This Row],[LUKB_id]],PID,0),MATCH("ASK:volume",PLabel,0)-1,1,1)</f>
        <v>3800</v>
      </c>
      <c r="AD134" s="1596" cm="1">
        <f t="array" aca="1" ref="AD134" ca="1">OFFSET(POrigin,MATCH(Valori[[#This Row],[LUKB_id]],PID,0),MATCH("BID-ASK Spread %",PLabel,0)-1,1,1)</f>
        <v>1.430205949656466E-4</v>
      </c>
      <c r="AE134" s="1597" t="str" cm="1">
        <f t="array" aca="1" ref="AE134" ca="1">IF(OFFSET(POrigin,MATCH(Valori[[#This Row],[LUKB_id]],PID,0),MATCH("MATURITY",PLabel,0)-1,1,1)&gt;0,OFFSET(POrigin,MATCH(Valori[[#This Row],[LUKB_id]],PID,0),MATCH("MATURITY",PLabel,0)-1,1,1),"")</f>
        <v/>
      </c>
      <c r="AF134" s="1598" cm="1">
        <f t="array" aca="1" ref="AF134" ca="1">OFFSET(POrigin,MATCH(Valori[[#This Row],[LUKB_id]],PID,0),MATCH("ACCINT",PLabel,0)-1,1,1)</f>
        <v>0</v>
      </c>
      <c r="AG134" s="1594" cm="1">
        <f t="array" aca="1" ref="AG134" ca="1">OFFSET(POrigin,MATCH(Valori[[#This Row],[LUKB_id]],PID,0),MATCH("DENOM",PLabel,0)-1,1,1)</f>
        <v>0</v>
      </c>
      <c r="AH134" s="1599" cm="1">
        <f t="array" aca="1" ref="AH134" ca="1">(OFFSET(POrigin,MATCH(Valori[[#This Row],[LUKB_id]],PID,0),MATCH("YIELD",PLabel,0)-1,1,1)+OFFSET(POrigin,MATCH(Valori[[#This Row],[LUKB_id]],PID,0),MATCH("YLDEQ",PLabel,0)-1,1,1))/100</f>
        <v>0</v>
      </c>
      <c r="AI134" s="1600">
        <f ca="1">OFFSET(POrigin,MATCH(Valori[[#This Row],[LUKB_id]],PID,0),MATCH("DIVIDEND",PLabel,0)-1,1,1)</f>
        <v>0.82911299999999999</v>
      </c>
      <c r="AJ134" s="1601">
        <f ca="1">OFFSET(POrigin,MATCH(Valori[[#This Row],[LUKB_id]],PID,0),MATCH("DIVIDEND:datetime",PLabel,0)-1,1,1)</f>
        <v>46007</v>
      </c>
      <c r="AK134" s="1602">
        <f ca="1">OFFSET(POrigin,MATCH(Valori[[#This Row],[LUKB_id]],PID,0),MATCH("INTEREST",PLabel,0)-1,1,1)</f>
        <v>0</v>
      </c>
      <c r="AL134" s="1603">
        <f ca="1">OFFSET(POrigin,MATCH(Valori[[#This Row],[LUKB_id]],PID,0),MATCH("4W_PERF_PR",PLabel,0)-1,1,1)/100</f>
        <v>3.12029E-3</v>
      </c>
      <c r="AM134" s="1603">
        <f ca="1">OFFSET(POrigin,MATCH(Valori[[#This Row],[LUKB_id]],PID,0),MATCH("12W_PERF_PR",PLabel,0)-1,1,1)/100</f>
        <v>8.7103539999999993E-2</v>
      </c>
      <c r="AN134" s="1603">
        <f ca="1">OFFSET(POrigin,MATCH(Valori[[#This Row],[LUKB_id]],PID,0),MATCH("YTD_PERF_PR",PLabel,0)-1,1,1)/100</f>
        <v>9.4133697135061492E-2</v>
      </c>
      <c r="AO134" s="1591"/>
      <c r="AP134" s="1591"/>
      <c r="AQ134" s="1591"/>
      <c r="AR134" s="1591"/>
      <c r="AS134" s="1890"/>
      <c r="AT134" s="1890"/>
      <c r="AU134" s="610"/>
      <c r="AV134" s="1891"/>
      <c r="AW134" s="1604" t="str">
        <f ca="1">"https://boersenundmaerkte.lukb.ch/lukb/details/"&amp;Valori[[#This Row],[LUKB_id]]</f>
        <v>https://boersenundmaerkte.lukb.ch/lukb/details/34389251,321,333</v>
      </c>
      <c r="AX13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4" s="142"/>
      <c r="AZ134" s="142"/>
      <c r="BA134" s="142"/>
      <c r="BB134" s="142"/>
    </row>
    <row r="135" spans="1:54" ht="15" customHeight="1" x14ac:dyDescent="0.2">
      <c r="A135" s="142" t="s">
        <v>1228</v>
      </c>
      <c r="B135" s="142" t="str" cm="1">
        <f t="array" aca="1" ref="B135" ca="1">OFFSET(POrigin,MATCH(Valori[[#This Row],[smo_id]],Posizioni[smo_id],0),MATCH("LUKB_id",PIntestazioni,0)-1,1,1)</f>
        <v>10737617,361,333</v>
      </c>
      <c r="C135" s="1668" t="str">
        <f ca="1">HYPERLINK("https://boersenundmaerkte.lukb.ch/lukb/details/"&amp;Valori[[#This Row],[LUKB_id]],"è")</f>
        <v>è</v>
      </c>
      <c r="D135" s="142" t="str" cm="1">
        <f t="array" aca="1" ref="D135" ca="1">OFFSET(POrigin,MATCH(Valori[[#This Row],[LUKB_id]],PID,0),MATCH("SC_GROUPED",PIntestazioni,0)-1,1,1)</f>
        <v>ETF</v>
      </c>
      <c r="E135" s="413" t="str" cm="1">
        <f t="array" aca="1" ref="E135" ca="1">OFFSET(POrigin,MATCH(Valori[[#This Row],[LUKB_id]],PID,0),MATCH("isin",PIntestazioni,0)-1,1,1)</f>
        <v>IE00B53SZB19</v>
      </c>
      <c r="F135" s="34" t="str" cm="1">
        <f t="array" aca="1" ref="F135" ca="1">OFFSET(POrigin,MATCH(Valori[[#This Row],[LUKB_id]],PID,0),MATCH("NSIN_CH",PLabel,0)-1,1,1)</f>
        <v>10737617</v>
      </c>
      <c r="G135" s="95" t="str" cm="1">
        <f t="array" aca="1" ref="G135" ca="1">IF(OFFSET(POrigin,MATCH(Valori[[#This Row],[LUKB_id]],PID,0),MATCH("INSTRUNIT",PLabel,0)-1,1,1)="Nominal","Pct","Unit")</f>
        <v>Unit</v>
      </c>
      <c r="H135" s="612">
        <f ca="1">MAX(OFFSET(POrigin,MATCH(Valori[[#This Row],[LUKB_id]],PID,0),MATCH("PRICINGAMT",PLabel,0)-1,1,1),1)</f>
        <v>1</v>
      </c>
      <c r="I135" s="615" t="str" cm="1">
        <f t="array" aca="1" ref="I135" ca="1">OFFSET(POrigin,MATCH(Valori[[#This Row],[LUKB_id]],PID,0),MATCH("M_NAME",PLabel,0)-1,1,1)</f>
        <v>iShares VII PLC - iShares NASDAQ 100 UCITS ETF</v>
      </c>
      <c r="J135" s="142" t="s">
        <v>510</v>
      </c>
      <c r="M135" s="142" t="str" cm="1">
        <f t="array" aca="1" ref="M1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NASDAQ 100 UCITS ETF USD (Acc)</v>
      </c>
      <c r="N135" s="1563">
        <f ca="1">COUNTIF('CHF M'!smo_id,Valori[[#This Row],[smo_id]])+COUNTIF('CHF MA'!smo_id,Valori[[#This Row],[smo_id]])+COUNTIF('EUR MB'!smo_id,Valori[[#This Row],[smo_id]])+COUNTIF('EUR M'!smo_id,Valori[[#This Row],[smo_id]])+COUNTIF(AGCO!smo_id,Valori[[#This Row],[smo_id]])</f>
        <v>3</v>
      </c>
      <c r="O135" s="1590">
        <v>0</v>
      </c>
      <c r="P135" s="1661" t="str">
        <f ca="1">HYPERLINK(Valori[[#This Row],[P_Source]],"è")</f>
        <v>è</v>
      </c>
      <c r="Q135" s="1663" t="str">
        <f>HYPERLINK(Valori[[#This Row],[Info_W]],"i")</f>
        <v>i</v>
      </c>
      <c r="R135" s="1664" t="str">
        <f>HYPERLINK(Valori[[#This Row],[FN_W]],"")</f>
        <v></v>
      </c>
      <c r="S135" s="1665" t="str">
        <f>HYPERLINK(Valori[[#This Row],[MS_Link]],"")</f>
        <v></v>
      </c>
      <c r="T135" s="1665" t="str">
        <f>HYPERLINK(Valori[[#This Row],[C_source]],"")</f>
        <v></v>
      </c>
      <c r="U135" s="142" t="str" cm="1">
        <f t="array" aca="1" ref="U135" ca="1">OFFSET(POrigin,MATCH(Valori[[#This Row],[LUKB_id]],PID,0),MATCH("M_CUR",PLabel,0)-1,1,1)</f>
        <v>USD</v>
      </c>
      <c r="V135" s="1562">
        <f ca="1">(Valori[[#This Row],[Last]]+Valori[[#This Row],[Acc. Int]])/Valori[[#This Row],[Pr.Amt]]/IF(Valori[[#This Row],[P_Type]]="Pct",100,1)</f>
        <v>1410</v>
      </c>
      <c r="W135" s="1591" cm="1">
        <f t="array" aca="1" ref="W135" ca="1">OFFSET(POrigin,MATCH(Valori[[#This Row],[LUKB_id]],PID,0),MATCH("NC2_PR",PLabel,0)-1,1,1)/100</f>
        <v>-1.12201963534362E-2</v>
      </c>
      <c r="X135" s="1592" cm="1">
        <f t="array" aca="1" ref="X135" ca="1">OFFSET(POrigin,MATCH(Valori[[#This Row],[LUKB_id]],PID,0),MATCH("LVAL",PLabel,0)-1,1,1)</f>
        <v>1410</v>
      </c>
      <c r="Y135" s="1593" cm="1">
        <f t="array" aca="1" ref="Y135" ca="1">OFFSET(POrigin,MATCH(Valori[[#This Row],[LUKB_id]],PID,0),MATCH("LVAL:datetime",PLabel,0)-1,1,1)</f>
        <v>46084.732743055552</v>
      </c>
      <c r="Z135" s="1594" cm="1">
        <f t="array" aca="1" ref="Z135" ca="1">OFFSET(POrigin,MATCH(Valori[[#This Row],[LUKB_id]],PID,0),MATCH("BID:volume",PLabel,0)-1,1,1)</f>
        <v>75</v>
      </c>
      <c r="AA135" s="1595" cm="1">
        <f t="array" aca="1" ref="AA135" ca="1">OFFSET(POrigin,MATCH(Valori[[#This Row],[LUKB_id]],PID,0),MATCH("BID",PLabel,0)-1,1,1)</f>
        <v>1383</v>
      </c>
      <c r="AB135" s="1595" cm="1">
        <f t="array" aca="1" ref="AB135" ca="1">OFFSET(POrigin,MATCH(Valori[[#This Row],[LUKB_id]],PID,0),MATCH("ASK",PLabel,0)-1,1,1)</f>
        <v>1500</v>
      </c>
      <c r="AC135" s="1594" cm="1">
        <f t="array" aca="1" ref="AC135" ca="1">OFFSET(POrigin,MATCH(Valori[[#This Row],[LUKB_id]],PID,0),MATCH("ASK:volume",PLabel,0)-1,1,1)</f>
        <v>10</v>
      </c>
      <c r="AD135" s="1596" cm="1">
        <f t="array" aca="1" ref="AD135" ca="1">OFFSET(POrigin,MATCH(Valori[[#This Row],[LUKB_id]],PID,0),MATCH("BID-ASK Spread %",PLabel,0)-1,1,1)</f>
        <v>5.4852320675105488E-2</v>
      </c>
      <c r="AE135" s="1597" t="str" cm="1">
        <f t="array" aca="1" ref="AE135" ca="1">IF(OFFSET(POrigin,MATCH(Valori[[#This Row],[LUKB_id]],PID,0),MATCH("MATURITY",PLabel,0)-1,1,1)&gt;0,OFFSET(POrigin,MATCH(Valori[[#This Row],[LUKB_id]],PID,0),MATCH("MATURITY",PLabel,0)-1,1,1),"")</f>
        <v/>
      </c>
      <c r="AF135" s="1598" cm="1">
        <f t="array" aca="1" ref="AF135" ca="1">OFFSET(POrigin,MATCH(Valori[[#This Row],[LUKB_id]],PID,0),MATCH("ACCINT",PLabel,0)-1,1,1)</f>
        <v>0</v>
      </c>
      <c r="AG135" s="1594" cm="1">
        <f t="array" aca="1" ref="AG135" ca="1">OFFSET(POrigin,MATCH(Valori[[#This Row],[LUKB_id]],PID,0),MATCH("DENOM",PLabel,0)-1,1,1)</f>
        <v>0</v>
      </c>
      <c r="AH135" s="1599" cm="1">
        <f t="array" aca="1" ref="AH135" ca="1">(OFFSET(POrigin,MATCH(Valori[[#This Row],[LUKB_id]],PID,0),MATCH("YIELD",PLabel,0)-1,1,1)+OFFSET(POrigin,MATCH(Valori[[#This Row],[LUKB_id]],PID,0),MATCH("YLDEQ",PLabel,0)-1,1,1))/100</f>
        <v>0</v>
      </c>
      <c r="AI135" s="1600">
        <f ca="1">OFFSET(POrigin,MATCH(Valori[[#This Row],[LUKB_id]],PID,0),MATCH("DIVIDEND",PLabel,0)-1,1,1)</f>
        <v>0</v>
      </c>
      <c r="AJ135" s="1601">
        <f ca="1">OFFSET(POrigin,MATCH(Valori[[#This Row],[LUKB_id]],PID,0),MATCH("DIVIDEND:datetime",PLabel,0)-1,1,1)</f>
        <v>0</v>
      </c>
      <c r="AK135" s="1602">
        <f ca="1">OFFSET(POrigin,MATCH(Valori[[#This Row],[LUKB_id]],PID,0),MATCH("INTEREST",PLabel,0)-1,1,1)</f>
        <v>0</v>
      </c>
      <c r="AL135" s="1603">
        <f ca="1">OFFSET(POrigin,MATCH(Valori[[#This Row],[LUKB_id]],PID,0),MATCH("4W_PERF_PR",PLabel,0)-1,1,1)/100</f>
        <v>-3.2656419999999999E-2</v>
      </c>
      <c r="AM135" s="1603">
        <f ca="1">OFFSET(POrigin,MATCH(Valori[[#This Row],[LUKB_id]],PID,0),MATCH("12W_PERF_PR",PLabel,0)-1,1,1)/100</f>
        <v>-4.2639870000000003E-2</v>
      </c>
      <c r="AN135" s="1603">
        <f ca="1">OFFSET(POrigin,MATCH(Valori[[#This Row],[LUKB_id]],PID,0),MATCH("YTD_PERF_PR",PLabel,0)-1,1,1)/100</f>
        <v>-2.2082018927444901E-2</v>
      </c>
      <c r="AO135" s="1591"/>
      <c r="AP135" s="1591"/>
      <c r="AQ135" s="1591"/>
      <c r="AR135" s="1591"/>
      <c r="AS135" s="1890" t="s">
        <v>1229</v>
      </c>
      <c r="AT135" s="1890" t="s">
        <v>1230</v>
      </c>
      <c r="AU135" s="610" t="s">
        <v>1231</v>
      </c>
      <c r="AV135" s="1891" t="s">
        <v>1232</v>
      </c>
      <c r="AW135" s="1604" t="str">
        <f ca="1">"https://boersenundmaerkte.lukb.ch/lukb/details/"&amp;Valori[[#This Row],[LUKB_id]]</f>
        <v>https://boersenundmaerkte.lukb.ch/lukb/details/10737617,361,333</v>
      </c>
      <c r="AX135" s="1605" t="str">
        <f>"https://www.marketscreener.com/mods_a/charts/TV/inc_dyna_graph.php?c="&amp;Valori[[#This Row],[MS_Code]]&amp;"&amp;style=TradingView.CANDLES&amp;interval=(null)&amp;mobile=(null)&amp;showAT=1"</f>
        <v>https://www.marketscreener.com/mods_a/charts/TV/inc_dyna_graph.php?c=5915785&amp;style=TradingView.CANDLES&amp;interval=(null)&amp;mobile=(null)&amp;showAT=1</v>
      </c>
      <c r="AY135" s="142"/>
      <c r="AZ135" s="142"/>
      <c r="BA135" s="142"/>
      <c r="BB135" s="142"/>
    </row>
    <row r="136" spans="1:54" ht="15" customHeight="1" x14ac:dyDescent="0.2">
      <c r="A136" s="142" t="s">
        <v>2008</v>
      </c>
      <c r="B136" s="142" t="str" cm="1">
        <f t="array" aca="1" ref="B136" ca="1">OFFSET(POrigin,MATCH(Valori[[#This Row],[smo_id]],Posizioni[smo_id],0),MATCH("LUKB_id",PIntestazioni,0)-1,1,1)</f>
        <v>1266340,537,333</v>
      </c>
      <c r="C136" s="1668" t="str">
        <f ca="1">HYPERLINK("https://boersenundmaerkte.lukb.ch/lukb/details/"&amp;Valori[[#This Row],[LUKB_id]],"è")</f>
        <v>è</v>
      </c>
      <c r="D136" s="142" t="str" cm="1">
        <f t="array" aca="1" ref="D136" ca="1">OFFSET(POrigin,MATCH(Valori[[#This Row],[LUKB_id]],PID,0),MATCH("SC_GROUPED",PIntestazioni,0)-1,1,1)</f>
        <v>ETF</v>
      </c>
      <c r="E136" s="413" t="str" cm="1">
        <f t="array" aca="1" ref="E136" ca="1">OFFSET(POrigin,MATCH(Valori[[#This Row],[LUKB_id]],PID,0),MATCH("isin",PIntestazioni,0)-1,1,1)</f>
        <v>US4642875235</v>
      </c>
      <c r="F136" s="34" t="str" cm="1">
        <f t="array" aca="1" ref="F136" ca="1">OFFSET(POrigin,MATCH(Valori[[#This Row],[LUKB_id]],PID,0),MATCH("NSIN_CH",PLabel,0)-1,1,1)</f>
        <v>1266340</v>
      </c>
      <c r="G136" s="95" t="str" cm="1">
        <f t="array" aca="1" ref="G136" ca="1">IF(OFFSET(POrigin,MATCH(Valori[[#This Row],[LUKB_id]],PID,0),MATCH("INSTRUNIT",PLabel,0)-1,1,1)="Nominal","Pct","Unit")</f>
        <v>Unit</v>
      </c>
      <c r="H136" s="612">
        <f ca="1">MAX(OFFSET(POrigin,MATCH(Valori[[#This Row],[LUKB_id]],PID,0),MATCH("PRICINGAMT",PLabel,0)-1,1,1),1)</f>
        <v>1</v>
      </c>
      <c r="I136" s="615" t="str" cm="1">
        <f t="array" aca="1" ref="I136" ca="1">OFFSET(POrigin,MATCH(Valori[[#This Row],[LUKB_id]],PID,0),MATCH("M_NAME",PLabel,0)-1,1,1)</f>
        <v>iShares Semiconductor ETF</v>
      </c>
      <c r="J136" s="142" t="s">
        <v>2009</v>
      </c>
      <c r="M136" s="142" t="str" cm="1">
        <f t="array" aca="1" ref="M1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PHLX Semiconductor</v>
      </c>
      <c r="N136" s="1563">
        <f ca="1">COUNTIF('CHF M'!smo_id,Valori[[#This Row],[smo_id]])+COUNTIF('CHF MA'!smo_id,Valori[[#This Row],[smo_id]])+COUNTIF('EUR MB'!smo_id,Valori[[#This Row],[smo_id]])+COUNTIF('EUR M'!smo_id,Valori[[#This Row],[smo_id]])+COUNTIF(AGCO!smo_id,Valori[[#This Row],[smo_id]])</f>
        <v>0</v>
      </c>
      <c r="O136" s="1590" cm="1">
        <f t="array" aca="1" ref="O136" ca="1">SUM(IF('CHF M'!smo_id=Valori[[#This Row],[smo_id]],'CHF M'!Posizione))+SUM(IF('CHF MA'!smo_id=Valori[[#This Row],[smo_id]],'CHF MA'!Posizione))+SUM(IF('EUR MB'!smo_id=Valori[[#This Row],[smo_id]],'EUR MB'!Posizione))+SUM(IF('EUR M'!smo_id=Valori[[#This Row],[smo_id]],'EUR M'!Posizione))+SUM(IF(AGCO!smo_id=Valori[[#This Row],[smo_id]],AGCO!Posizione))</f>
        <v>0</v>
      </c>
      <c r="P136" s="1661" t="str">
        <f ca="1">HYPERLINK(Valori[[#This Row],[P_Source]],"è")</f>
        <v>è</v>
      </c>
      <c r="Q136" s="1663" t="str">
        <f>HYPERLINK(Valori[[#This Row],[Info_W]],"i")</f>
        <v>i</v>
      </c>
      <c r="R136" s="1664" t="str">
        <f>HYPERLINK(Valori[[#This Row],[FN_W]],"")</f>
        <v></v>
      </c>
      <c r="S136" s="1665" t="str">
        <f>HYPERLINK(Valori[[#This Row],[MS_Link]],"")</f>
        <v></v>
      </c>
      <c r="T136" s="1665" t="str">
        <f>HYPERLINK(Valori[[#This Row],[C_source]],"")</f>
        <v></v>
      </c>
      <c r="U136" s="142" t="str" cm="1">
        <f t="array" aca="1" ref="U136" ca="1">OFFSET(POrigin,MATCH(Valori[[#This Row],[LUKB_id]],PID,0),MATCH("M_CUR",PLabel,0)-1,1,1)</f>
        <v>USD</v>
      </c>
      <c r="V136" s="1562">
        <f ca="1">(Valori[[#This Row],[Last]]+Valori[[#This Row],[Acc. Int]])/Valori[[#This Row],[Pr.Amt]]/IF(Valori[[#This Row],[P_Type]]="Pct",100,1)</f>
        <v>337.37</v>
      </c>
      <c r="W136" s="1591" cm="1">
        <f t="array" aca="1" ref="W136" ca="1">OFFSET(POrigin,MATCH(Valori[[#This Row],[LUKB_id]],PID,0),MATCH("NC2_PR",PLabel,0)-1,1,1)/100</f>
        <v>-4.1727027410879199E-2</v>
      </c>
      <c r="X136" s="1592" cm="1">
        <f t="array" aca="1" ref="X136" ca="1">OFFSET(POrigin,MATCH(Valori[[#This Row],[LUKB_id]],PID,0),MATCH("LVAL",PLabel,0)-1,1,1)</f>
        <v>337.37</v>
      </c>
      <c r="Y136" s="1593" cm="1">
        <f t="array" aca="1" ref="Y136" ca="1">OFFSET(POrigin,MATCH(Valori[[#This Row],[LUKB_id]],PID,0),MATCH("LVAL:datetime",PLabel,0)-1,1,1)</f>
        <v>46084.785937499997</v>
      </c>
      <c r="Z136" s="1594" cm="1">
        <f t="array" aca="1" ref="Z136" ca="1">OFFSET(POrigin,MATCH(Valori[[#This Row],[LUKB_id]],PID,0),MATCH("BID:volume",PLabel,0)-1,1,1)</f>
        <v>320</v>
      </c>
      <c r="AA136" s="1595" cm="1">
        <f t="array" aca="1" ref="AA136" ca="1">OFFSET(POrigin,MATCH(Valori[[#This Row],[LUKB_id]],PID,0),MATCH("BID",PLabel,0)-1,1,1)</f>
        <v>337.36</v>
      </c>
      <c r="AB136" s="1595" cm="1">
        <f t="array" aca="1" ref="AB136" ca="1">OFFSET(POrigin,MATCH(Valori[[#This Row],[LUKB_id]],PID,0),MATCH("ASK",PLabel,0)-1,1,1)</f>
        <v>337.40000000000003</v>
      </c>
      <c r="AC136" s="1594" cm="1">
        <f t="array" aca="1" ref="AC136" ca="1">OFFSET(POrigin,MATCH(Valori[[#This Row],[LUKB_id]],PID,0),MATCH("ASK:volume",PLabel,0)-1,1,1)</f>
        <v>40</v>
      </c>
      <c r="AD136" s="1596" cm="1">
        <f t="array" aca="1" ref="AD136" ca="1">OFFSET(POrigin,MATCH(Valori[[#This Row],[LUKB_id]],PID,0),MATCH("BID-ASK Spread %",PLabel,0)-1,1,1)</f>
        <v>7.9042010828795915E-5</v>
      </c>
      <c r="AE136" s="1597" t="str" cm="1">
        <f t="array" aca="1" ref="AE136" ca="1">IF(OFFSET(POrigin,MATCH(Valori[[#This Row],[LUKB_id]],PID,0),MATCH("MATURITY",PLabel,0)-1,1,1)&gt;0,OFFSET(POrigin,MATCH(Valori[[#This Row],[LUKB_id]],PID,0),MATCH("MATURITY",PLabel,0)-1,1,1),"")</f>
        <v/>
      </c>
      <c r="AF136" s="1598" cm="1">
        <f t="array" aca="1" ref="AF136" ca="1">OFFSET(POrigin,MATCH(Valori[[#This Row],[LUKB_id]],PID,0),MATCH("ACCINT",PLabel,0)-1,1,1)</f>
        <v>0</v>
      </c>
      <c r="AG136" s="1594" cm="1">
        <f t="array" aca="1" ref="AG136" ca="1">OFFSET(POrigin,MATCH(Valori[[#This Row],[LUKB_id]],PID,0),MATCH("DENOM",PLabel,0)-1,1,1)</f>
        <v>0</v>
      </c>
      <c r="AH136" s="1599" cm="1">
        <f t="array" aca="1" ref="AH136" ca="1">(OFFSET(POrigin,MATCH(Valori[[#This Row],[LUKB_id]],PID,0),MATCH("YIELD",PLabel,0)-1,1,1)+OFFSET(POrigin,MATCH(Valori[[#This Row],[LUKB_id]],PID,0),MATCH("YLDEQ",PLabel,0)-1,1,1))/100</f>
        <v>0</v>
      </c>
      <c r="AI136" s="1600">
        <f ca="1">OFFSET(POrigin,MATCH(Valori[[#This Row],[LUKB_id]],PID,0),MATCH("DIVIDEND",PLabel,0)-1,1,1)</f>
        <v>0.43627199999999999</v>
      </c>
      <c r="AJ136" s="1601">
        <f ca="1">OFFSET(POrigin,MATCH(Valori[[#This Row],[LUKB_id]],PID,0),MATCH("DIVIDEND:datetime",PLabel,0)-1,1,1)</f>
        <v>46007</v>
      </c>
      <c r="AK136" s="1602">
        <f ca="1">OFFSET(POrigin,MATCH(Valori[[#This Row],[LUKB_id]],PID,0),MATCH("INTEREST",PLabel,0)-1,1,1)</f>
        <v>0</v>
      </c>
      <c r="AL136" s="1603">
        <f ca="1">OFFSET(POrigin,MATCH(Valori[[#This Row],[LUKB_id]],PID,0),MATCH("4W_PERF_PR",PLabel,0)-1,1,1)/100</f>
        <v>-2.3926629999999997E-2</v>
      </c>
      <c r="AM136" s="1603">
        <f ca="1">OFFSET(POrigin,MATCH(Valori[[#This Row],[LUKB_id]],PID,0),MATCH("12W_PERF_PR",PLabel,0)-1,1,1)/100</f>
        <v>8.0690629999999999E-2</v>
      </c>
      <c r="AN136" s="1603">
        <f ca="1">OFFSET(POrigin,MATCH(Valori[[#This Row],[LUKB_id]],PID,0),MATCH("YTD_PERF_PR",PLabel,0)-1,1,1)/100</f>
        <v>0.16901876141457803</v>
      </c>
      <c r="AO136" s="1591"/>
      <c r="AP136" s="1591"/>
      <c r="AQ136" s="1591"/>
      <c r="AR136" s="1591"/>
      <c r="AS136" s="1890" t="s">
        <v>877</v>
      </c>
      <c r="AT136" s="1890" t="s">
        <v>2010</v>
      </c>
      <c r="AU136" s="610" t="s">
        <v>2011</v>
      </c>
      <c r="AV136" s="1891" t="s">
        <v>2012</v>
      </c>
      <c r="AW136" s="1604" t="str">
        <f ca="1">"https://boersenundmaerkte.lukb.ch/lukb/details/"&amp;Valori[[#This Row],[LUKB_id]]</f>
        <v>https://boersenundmaerkte.lukb.ch/lukb/details/1266340,537,333</v>
      </c>
      <c r="AX136" s="1605" t="str">
        <f>"https://www.marketscreener.com/mods_a/charts/TV/inc_dyna_graph.php?c="&amp;Valori[[#This Row],[MS_Code]]&amp;"&amp;style=TradingView.CANDLES&amp;interval=(null)&amp;mobile=(null)&amp;showAT=1"</f>
        <v>https://www.marketscreener.com/mods_a/charts/TV/inc_dyna_graph.php?c=39119120&amp;style=TradingView.CANDLES&amp;interval=(null)&amp;mobile=(null)&amp;showAT=1</v>
      </c>
      <c r="AY136" s="142"/>
      <c r="AZ136" s="142"/>
      <c r="BA136" s="142"/>
      <c r="BB136" s="142"/>
    </row>
    <row r="137" spans="1:54" ht="15" customHeight="1" x14ac:dyDescent="0.2">
      <c r="A137" s="142" t="s">
        <v>1233</v>
      </c>
      <c r="B137" s="142" t="str" cm="1">
        <f t="array" aca="1" ref="B137" ca="1">OFFSET(POrigin,MATCH(Valori[[#This Row],[smo_id]],Posizioni[smo_id],0),MATCH("LUKB_id",PIntestazioni,0)-1,1,1)</f>
        <v>2308827,1703,814</v>
      </c>
      <c r="C137" s="1668" t="str">
        <f ca="1">HYPERLINK("https://boersenundmaerkte.lukb.ch/lukb/details/"&amp;Valori[[#This Row],[LUKB_id]],"è")</f>
        <v>è</v>
      </c>
      <c r="D137" s="142" t="str" cm="1">
        <f t="array" aca="1" ref="D137" ca="1">OFFSET(POrigin,MATCH(Valori[[#This Row],[LUKB_id]],PID,0),MATCH("SC_GROUPED",PIntestazioni,0)-1,1,1)</f>
        <v>ETF</v>
      </c>
      <c r="E137" s="413" t="str" cm="1">
        <f t="array" aca="1" ref="E137" ca="1">OFFSET(POrigin,MATCH(Valori[[#This Row],[LUKB_id]],PID,0),MATCH("isin",PIntestazioni,0)-1,1,1)</f>
        <v>IE00B0M62X26</v>
      </c>
      <c r="F137" s="34" t="str" cm="1">
        <f t="array" aca="1" ref="F137" ca="1">OFFSET(POrigin,MATCH(Valori[[#This Row],[LUKB_id]],PID,0),MATCH("NSIN_CH",PLabel,0)-1,1,1)</f>
        <v>2308827</v>
      </c>
      <c r="G137" s="95" t="str" cm="1">
        <f t="array" aca="1" ref="G137" ca="1">IF(OFFSET(POrigin,MATCH(Valori[[#This Row],[LUKB_id]],PID,0),MATCH("INSTRUNIT",PLabel,0)-1,1,1)="Nominal","Pct","Unit")</f>
        <v>Unit</v>
      </c>
      <c r="H137" s="612">
        <f ca="1">MAX(OFFSET(POrigin,MATCH(Valori[[#This Row],[LUKB_id]],PID,0),MATCH("PRICINGAMT",PLabel,0)-1,1,1),1)</f>
        <v>1</v>
      </c>
      <c r="I137" s="615" t="str" cm="1">
        <f t="array" aca="1" ref="I137" ca="1">OFFSET(POrigin,MATCH(Valori[[#This Row],[LUKB_id]],PID,0),MATCH("M_NAME",PLabel,0)-1,1,1)</f>
        <v>iShares PLC - iShares EUR Inflation Linked Govt Bond UCITS ETF</v>
      </c>
      <c r="J137" s="142" t="s">
        <v>647</v>
      </c>
      <c r="M137" s="142" t="str" cm="1">
        <f t="array" aca="1" ref="M1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plc - EUR Inflation Link. Govt. Bd. UCITS ETF (acc)</v>
      </c>
      <c r="N137" s="1563">
        <f ca="1">COUNTIF('CHF M'!smo_id,Valori[[#This Row],[smo_id]])+COUNTIF('CHF MA'!smo_id,Valori[[#This Row],[smo_id]])+COUNTIF('EUR MB'!smo_id,Valori[[#This Row],[smo_id]])+COUNTIF('EUR M'!smo_id,Valori[[#This Row],[smo_id]])+COUNTIF(AGCO!smo_id,Valori[[#This Row],[smo_id]])</f>
        <v>2</v>
      </c>
      <c r="O137" s="1590" cm="1">
        <f t="array" aca="1" ref="O137" ca="1">SUM(IF('CHF M'!smo_id=Valori[[#This Row],[smo_id]],'CHF M'!Posizione))+SUM(IF('CHF MA'!smo_id=Valori[[#This Row],[smo_id]],'CHF MA'!Posizione))+SUM(IF('EUR MB'!smo_id=Valori[[#This Row],[smo_id]],'EUR MB'!Posizione))+SUM(IF('EUR M'!smo_id=Valori[[#This Row],[smo_id]],'EUR M'!Posizione))+SUM(IF(AGCO!smo_id=Valori[[#This Row],[smo_id]],AGCO!Posizione))</f>
        <v>780</v>
      </c>
      <c r="P137" s="1661" t="str">
        <f ca="1">HYPERLINK(Valori[[#This Row],[P_Source]],"è")</f>
        <v>è</v>
      </c>
      <c r="Q137" s="1663" t="str">
        <f>HYPERLINK(Valori[[#This Row],[Info_W]],"i")</f>
        <v>i</v>
      </c>
      <c r="R137" s="1664" t="str">
        <f>HYPERLINK(Valori[[#This Row],[FN_W]],"")</f>
        <v></v>
      </c>
      <c r="S137" s="1665" t="str">
        <f>HYPERLINK(Valori[[#This Row],[MS_Link]],"")</f>
        <v></v>
      </c>
      <c r="T137" s="1665" t="str">
        <f>HYPERLINK(Valori[[#This Row],[C_source]],"")</f>
        <v></v>
      </c>
      <c r="U137" s="142" t="str" cm="1">
        <f t="array" aca="1" ref="U137" ca="1">OFFSET(POrigin,MATCH(Valori[[#This Row],[LUKB_id]],PID,0),MATCH("M_CUR",PLabel,0)-1,1,1)</f>
        <v>EUR</v>
      </c>
      <c r="V137" s="1562">
        <f ca="1">(Valori[[#This Row],[Last]]+Valori[[#This Row],[Acc. Int]])/Valori[[#This Row],[Pr.Amt]]/IF(Valori[[#This Row],[P_Type]]="Pct",100,1)</f>
        <v>236.08</v>
      </c>
      <c r="W137" s="1591" cm="1">
        <f t="array" aca="1" ref="W137" ca="1">OFFSET(POrigin,MATCH(Valori[[#This Row],[LUKB_id]],PID,0),MATCH("NC2_PR",PLabel,0)-1,1,1)/100</f>
        <v>-1.9037143582367E-3</v>
      </c>
      <c r="X137" s="1592" cm="1">
        <f t="array" aca="1" ref="X137" ca="1">OFFSET(POrigin,MATCH(Valori[[#This Row],[LUKB_id]],PID,0),MATCH("LVAL",PLabel,0)-1,1,1)</f>
        <v>236.08</v>
      </c>
      <c r="Y137" s="1593" cm="1">
        <f t="array" aca="1" ref="Y137" ca="1">OFFSET(POrigin,MATCH(Valori[[#This Row],[LUKB_id]],PID,0),MATCH("LVAL:datetime",PLabel,0)-1,1,1)</f>
        <v>46083.73332175926</v>
      </c>
      <c r="Z137" s="1594" cm="1">
        <f t="array" aca="1" ref="Z137" ca="1">OFFSET(POrigin,MATCH(Valori[[#This Row],[LUKB_id]],PID,0),MATCH("BID:volume",PLabel,0)-1,1,1)</f>
        <v>0</v>
      </c>
      <c r="AA137" s="1595" cm="1">
        <f t="array" aca="1" ref="AA137" ca="1">OFFSET(POrigin,MATCH(Valori[[#This Row],[LUKB_id]],PID,0),MATCH("BID",PLabel,0)-1,1,1)</f>
        <v>0</v>
      </c>
      <c r="AB137" s="1595" cm="1">
        <f t="array" aca="1" ref="AB137" ca="1">OFFSET(POrigin,MATCH(Valori[[#This Row],[LUKB_id]],PID,0),MATCH("ASK",PLabel,0)-1,1,1)</f>
        <v>0</v>
      </c>
      <c r="AC137" s="1594" cm="1">
        <f t="array" aca="1" ref="AC137" ca="1">OFFSET(POrigin,MATCH(Valori[[#This Row],[LUKB_id]],PID,0),MATCH("ASK:volume",PLabel,0)-1,1,1)</f>
        <v>0</v>
      </c>
      <c r="AD137" s="1596" cm="1">
        <f t="array" aca="1" ref="AD137" ca="1">OFFSET(POrigin,MATCH(Valori[[#This Row],[LUKB_id]],PID,0),MATCH("BID-ASK Spread %",PLabel,0)-1,1,1)</f>
        <v>0</v>
      </c>
      <c r="AE137" s="1597" t="str" cm="1">
        <f t="array" aca="1" ref="AE137" ca="1">IF(OFFSET(POrigin,MATCH(Valori[[#This Row],[LUKB_id]],PID,0),MATCH("MATURITY",PLabel,0)-1,1,1)&gt;0,OFFSET(POrigin,MATCH(Valori[[#This Row],[LUKB_id]],PID,0),MATCH("MATURITY",PLabel,0)-1,1,1),"")</f>
        <v/>
      </c>
      <c r="AF137" s="1598" cm="1">
        <f t="array" aca="1" ref="AF137" ca="1">OFFSET(POrigin,MATCH(Valori[[#This Row],[LUKB_id]],PID,0),MATCH("ACCINT",PLabel,0)-1,1,1)</f>
        <v>0</v>
      </c>
      <c r="AG137" s="1594" cm="1">
        <f t="array" aca="1" ref="AG137" ca="1">OFFSET(POrigin,MATCH(Valori[[#This Row],[LUKB_id]],PID,0),MATCH("DENOM",PLabel,0)-1,1,1)</f>
        <v>0</v>
      </c>
      <c r="AH137" s="1599" cm="1">
        <f t="array" aca="1" ref="AH137" ca="1">(OFFSET(POrigin,MATCH(Valori[[#This Row],[LUKB_id]],PID,0),MATCH("YIELD",PLabel,0)-1,1,1)+OFFSET(POrigin,MATCH(Valori[[#This Row],[LUKB_id]],PID,0),MATCH("YLDEQ",PLabel,0)-1,1,1))/100</f>
        <v>0</v>
      </c>
      <c r="AI137" s="1600">
        <f ca="1">OFFSET(POrigin,MATCH(Valori[[#This Row],[LUKB_id]],PID,0),MATCH("DIVIDEND",PLabel,0)-1,1,1)</f>
        <v>0</v>
      </c>
      <c r="AJ137" s="1601">
        <f ca="1">OFFSET(POrigin,MATCH(Valori[[#This Row],[LUKB_id]],PID,0),MATCH("DIVIDEND:datetime",PLabel,0)-1,1,1)</f>
        <v>0</v>
      </c>
      <c r="AK137" s="1602">
        <f ca="1">OFFSET(POrigin,MATCH(Valori[[#This Row],[LUKB_id]],PID,0),MATCH("INTEREST",PLabel,0)-1,1,1)</f>
        <v>0</v>
      </c>
      <c r="AL137" s="1603">
        <f ca="1">OFFSET(POrigin,MATCH(Valori[[#This Row],[LUKB_id]],PID,0),MATCH("4W_PERF_PR",PLabel,0)-1,1,1)/100</f>
        <v>1.2827663134411639E-2</v>
      </c>
      <c r="AM137" s="1603">
        <f ca="1">OFFSET(POrigin,MATCH(Valori[[#This Row],[LUKB_id]],PID,0),MATCH("12W_PERF_PR",PLabel,0)-1,1,1)/100</f>
        <v>2.4608306931122849E-2</v>
      </c>
      <c r="AN137" s="1603">
        <f ca="1">OFFSET(POrigin,MATCH(Valori[[#This Row],[LUKB_id]],PID,0),MATCH("YTD_PERF_PR",PLabel,0)-1,1,1)/100</f>
        <v>2.4713342599027199E-2</v>
      </c>
      <c r="AO137" s="1591"/>
      <c r="AP137" s="1591"/>
      <c r="AQ137" s="1591"/>
      <c r="AR137" s="1591"/>
      <c r="AS137" s="1890" t="s">
        <v>1234</v>
      </c>
      <c r="AT137" s="1890" t="s">
        <v>1235</v>
      </c>
      <c r="AU137" s="610" t="s">
        <v>1236</v>
      </c>
      <c r="AV137" s="1891" t="s">
        <v>1237</v>
      </c>
      <c r="AW137" s="1604" t="str">
        <f ca="1">"https://boersenundmaerkte.lukb.ch/lukb/details/"&amp;Valori[[#This Row],[LUKB_id]]</f>
        <v>https://boersenundmaerkte.lukb.ch/lukb/details/2308827,1703,814</v>
      </c>
      <c r="AX137" s="1605" t="str">
        <f>"https://www.zonebourse.com/mods_a/charts/TV/inc_dyna_graph.php?c="&amp;Valori[[#This Row],[MS_Code]]&amp;"&amp;style=TradingView.CANDLES&amp;interval=(null)&amp;mobile=(null)&amp;showAT=1"</f>
        <v>https://www.zonebourse.com/mods_a/charts/TV/inc_dyna_graph.php?c=27235&amp;style=TradingView.CANDLES&amp;interval=(null)&amp;mobile=(null)&amp;showAT=1</v>
      </c>
      <c r="AY137" s="142"/>
      <c r="AZ137" s="142"/>
      <c r="BA137" s="142"/>
      <c r="BB137" s="142"/>
    </row>
    <row r="138" spans="1:54" ht="15" customHeight="1" x14ac:dyDescent="0.2">
      <c r="A138" s="142" t="s">
        <v>1238</v>
      </c>
      <c r="B138" s="142" t="str" cm="1">
        <f t="array" aca="1" ref="B138" ca="1">OFFSET(POrigin,MATCH(Valori[[#This Row],[smo_id]],Posizioni[smo_id],0),MATCH("LUKB_id",PIntestazioni,0)-1,1,1)</f>
        <v>19328353,4,1</v>
      </c>
      <c r="C138" s="1668" t="str">
        <f ca="1">HYPERLINK("https://boersenundmaerkte.lukb.ch/lukb/details/"&amp;Valori[[#This Row],[LUKB_id]],"è")</f>
        <v>è</v>
      </c>
      <c r="D138" s="142" t="str" cm="1">
        <f t="array" aca="1" ref="D138" ca="1">OFFSET(POrigin,MATCH(Valori[[#This Row],[LUKB_id]],PID,0),MATCH("SC_GROUPED",PIntestazioni,0)-1,1,1)</f>
        <v>ETF</v>
      </c>
      <c r="E138" s="413" t="str" cm="1">
        <f t="array" aca="1" ref="E138" ca="1">OFFSET(POrigin,MATCH(Valori[[#This Row],[LUKB_id]],PID,0),MATCH("isin",PIntestazioni,0)-1,1,1)</f>
        <v>IE00B88DZ566</v>
      </c>
      <c r="F138" s="34" t="str" cm="1">
        <f t="array" aca="1" ref="F138" ca="1">OFFSET(POrigin,MATCH(Valori[[#This Row],[LUKB_id]],PID,0),MATCH("NSIN_CH",PLabel,0)-1,1,1)</f>
        <v>19328353</v>
      </c>
      <c r="G138" s="95" t="str" cm="1">
        <f t="array" aca="1" ref="G138" ca="1">IF(OFFSET(POrigin,MATCH(Valori[[#This Row],[LUKB_id]],PID,0),MATCH("INSTRUNIT",PLabel,0)-1,1,1)="Nominal","Pct","Unit")</f>
        <v>Unit</v>
      </c>
      <c r="H138" s="612">
        <f ca="1">MAX(OFFSET(POrigin,MATCH(Valori[[#This Row],[LUKB_id]],PID,0),MATCH("PRICINGAMT",PLabel,0)-1,1,1),1)</f>
        <v>1</v>
      </c>
      <c r="I138" s="615" t="str" cm="1">
        <f t="array" aca="1" ref="I138" ca="1">OFFSET(POrigin,MATCH(Valori[[#This Row],[LUKB_id]],PID,0),MATCH("M_NAME",PLabel,0)-1,1,1)</f>
        <v>iShares VI PLC - iShares S&amp;P 500 CHF Hedged UCITS ETF (Acc)</v>
      </c>
      <c r="J138" s="142" t="s">
        <v>826</v>
      </c>
      <c r="M138" s="142" t="str" cm="1">
        <f t="array" aca="1" ref="M1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CHF Hedged UCITS</v>
      </c>
      <c r="N138" s="1563">
        <f ca="1">COUNTIF('CHF M'!smo_id,Valori[[#This Row],[smo_id]])+COUNTIF('CHF MA'!smo_id,Valori[[#This Row],[smo_id]])+COUNTIF('EUR MB'!smo_id,Valori[[#This Row],[smo_id]])+COUNTIF('EUR M'!smo_id,Valori[[#This Row],[smo_id]])+COUNTIF(AGCO!smo_id,Valori[[#This Row],[smo_id]])</f>
        <v>1</v>
      </c>
      <c r="O138" s="1590" cm="1">
        <f t="array" aca="1" ref="O138" ca="1">SUM(IF('CHF M'!smo_id=Valori[[#This Row],[smo_id]],'CHF M'!Posizione))+SUM(IF('CHF MA'!smo_id=Valori[[#This Row],[smo_id]],'CHF MA'!Posizione))+SUM(IF('EUR MB'!smo_id=Valori[[#This Row],[smo_id]],'EUR MB'!Posizione))+SUM(IF('EUR M'!smo_id=Valori[[#This Row],[smo_id]],'EUR M'!Posizione))+SUM(IF(AGCO!smo_id=Valori[[#This Row],[smo_id]],AGCO!Posizione))</f>
        <v>0</v>
      </c>
      <c r="P138" s="1661" t="str">
        <f ca="1">HYPERLINK(Valori[[#This Row],[P_Source]],"è")</f>
        <v>è</v>
      </c>
      <c r="Q138" s="1663" t="str">
        <f>HYPERLINK(Valori[[#This Row],[Info_W]],"i")</f>
        <v>i</v>
      </c>
      <c r="R138" s="1664" t="str">
        <f>HYPERLINK(Valori[[#This Row],[FN_W]],"")</f>
        <v></v>
      </c>
      <c r="S138" s="1665" t="str">
        <f>HYPERLINK(Valori[[#This Row],[MS_Link]],"")</f>
        <v></v>
      </c>
      <c r="T138" s="1665" t="str">
        <f>HYPERLINK(Valori[[#This Row],[C_source]],"")</f>
        <v></v>
      </c>
      <c r="U138" s="142" t="str" cm="1">
        <f t="array" aca="1" ref="U138" ca="1">OFFSET(POrigin,MATCH(Valori[[#This Row],[LUKB_id]],PID,0),MATCH("M_CUR",PLabel,0)-1,1,1)</f>
        <v>CHF</v>
      </c>
      <c r="V138" s="1562">
        <f ca="1">(Valori[[#This Row],[Last]]+Valori[[#This Row],[Acc. Int]])/Valori[[#This Row],[Pr.Amt]]/IF(Valori[[#This Row],[P_Type]]="Pct",100,1)</f>
        <v>100.34</v>
      </c>
      <c r="W138" s="1591" cm="1">
        <f t="array" aca="1" ref="W138" ca="1">OFFSET(POrigin,MATCH(Valori[[#This Row],[LUKB_id]],PID,0),MATCH("NC2_PR",PLabel,0)-1,1,1)/100</f>
        <v>-1.0843848580441599E-2</v>
      </c>
      <c r="X138" s="1592" cm="1">
        <f t="array" aca="1" ref="X138" ca="1">OFFSET(POrigin,MATCH(Valori[[#This Row],[LUKB_id]],PID,0),MATCH("LVAL",PLabel,0)-1,1,1)</f>
        <v>100.34</v>
      </c>
      <c r="Y138" s="1593" cm="1">
        <f t="array" aca="1" ref="Y138" ca="1">OFFSET(POrigin,MATCH(Valori[[#This Row],[LUKB_id]],PID,0),MATCH("LVAL:datetime",PLabel,0)-1,1,1)</f>
        <v>46084.73300925926</v>
      </c>
      <c r="Z138" s="1594" cm="1">
        <f t="array" aca="1" ref="Z138" ca="1">OFFSET(POrigin,MATCH(Valori[[#This Row],[LUKB_id]],PID,0),MATCH("BID:volume",PLabel,0)-1,1,1)</f>
        <v>84</v>
      </c>
      <c r="AA138" s="1595" cm="1">
        <f t="array" aca="1" ref="AA138" ca="1">OFFSET(POrigin,MATCH(Valori[[#This Row],[LUKB_id]],PID,0),MATCH("BID",PLabel,0)-1,1,1)</f>
        <v>100.60000000000001</v>
      </c>
      <c r="AB138" s="1595" cm="1">
        <f t="array" aca="1" ref="AB138" ca="1">OFFSET(POrigin,MATCH(Valori[[#This Row],[LUKB_id]],PID,0),MATCH("ASK",PLabel,0)-1,1,1)</f>
        <v>103</v>
      </c>
      <c r="AC138" s="1594" cm="1">
        <f t="array" aca="1" ref="AC138" ca="1">OFFSET(POrigin,MATCH(Valori[[#This Row],[LUKB_id]],PID,0),MATCH("ASK:volume",PLabel,0)-1,1,1)</f>
        <v>335</v>
      </c>
      <c r="AD138" s="1596" cm="1">
        <f t="array" aca="1" ref="AD138" ca="1">OFFSET(POrigin,MATCH(Valori[[#This Row],[LUKB_id]],PID,0),MATCH("BID-ASK Spread %",PLabel,0)-1,1,1)</f>
        <v>1.5779092702169567E-2</v>
      </c>
      <c r="AE138" s="1597" t="str" cm="1">
        <f t="array" aca="1" ref="AE138" ca="1">IF(OFFSET(POrigin,MATCH(Valori[[#This Row],[LUKB_id]],PID,0),MATCH("MATURITY",PLabel,0)-1,1,1)&gt;0,OFFSET(POrigin,MATCH(Valori[[#This Row],[LUKB_id]],PID,0),MATCH("MATURITY",PLabel,0)-1,1,1),"")</f>
        <v/>
      </c>
      <c r="AF138" s="1598" cm="1">
        <f t="array" aca="1" ref="AF138" ca="1">OFFSET(POrigin,MATCH(Valori[[#This Row],[LUKB_id]],PID,0),MATCH("ACCINT",PLabel,0)-1,1,1)</f>
        <v>0</v>
      </c>
      <c r="AG138" s="1594" cm="1">
        <f t="array" aca="1" ref="AG138" ca="1">OFFSET(POrigin,MATCH(Valori[[#This Row],[LUKB_id]],PID,0),MATCH("DENOM",PLabel,0)-1,1,1)</f>
        <v>0</v>
      </c>
      <c r="AH138" s="1599" cm="1">
        <f t="array" aca="1" ref="AH138" ca="1">(OFFSET(POrigin,MATCH(Valori[[#This Row],[LUKB_id]],PID,0),MATCH("YIELD",PLabel,0)-1,1,1)+OFFSET(POrigin,MATCH(Valori[[#This Row],[LUKB_id]],PID,0),MATCH("YLDEQ",PLabel,0)-1,1,1))/100</f>
        <v>0</v>
      </c>
      <c r="AI138" s="1600">
        <f ca="1">OFFSET(POrigin,MATCH(Valori[[#This Row],[LUKB_id]],PID,0),MATCH("DIVIDEND",PLabel,0)-1,1,1)</f>
        <v>0</v>
      </c>
      <c r="AJ138" s="1601">
        <f ca="1">OFFSET(POrigin,MATCH(Valori[[#This Row],[LUKB_id]],PID,0),MATCH("DIVIDEND:datetime",PLabel,0)-1,1,1)</f>
        <v>0</v>
      </c>
      <c r="AK138" s="1602">
        <f ca="1">OFFSET(POrigin,MATCH(Valori[[#This Row],[LUKB_id]],PID,0),MATCH("INTEREST",PLabel,0)-1,1,1)</f>
        <v>0</v>
      </c>
      <c r="AL138" s="1603">
        <f ca="1">OFFSET(POrigin,MATCH(Valori[[#This Row],[LUKB_id]],PID,0),MATCH("4W_PERF_PR",PLabel,0)-1,1,1)/100</f>
        <v>-2.5257429999999997E-2</v>
      </c>
      <c r="AM138" s="1603">
        <f ca="1">OFFSET(POrigin,MATCH(Valori[[#This Row],[LUKB_id]],PID,0),MATCH("12W_PERF_PR",PLabel,0)-1,1,1)/100</f>
        <v>-2.1073170000000002E-2</v>
      </c>
      <c r="AN138" s="1603">
        <f ca="1">OFFSET(POrigin,MATCH(Valori[[#This Row],[LUKB_id]],PID,0),MATCH("YTD_PERF_PR",PLabel,0)-1,1,1)/100</f>
        <v>-1.4763014763014899E-2</v>
      </c>
      <c r="AO138" s="1591"/>
      <c r="AP138" s="1591"/>
      <c r="AQ138" s="1591"/>
      <c r="AR138" s="1591"/>
      <c r="AS138" s="1890" t="s">
        <v>1239</v>
      </c>
      <c r="AT138" s="1890" t="s">
        <v>1240</v>
      </c>
      <c r="AU138" s="610" t="s">
        <v>1241</v>
      </c>
      <c r="AV138" s="1891" t="s">
        <v>1242</v>
      </c>
      <c r="AW138" s="1604" t="str">
        <f ca="1">"https://boersenundmaerkte.lukb.ch/lukb/details/"&amp;Valori[[#This Row],[LUKB_id]]</f>
        <v>https://boersenundmaerkte.lukb.ch/lukb/details/19328353,4,1</v>
      </c>
      <c r="AX138" s="1605" t="str">
        <f>"https://www.marketscreener.com/mods_a/charts/TV/inc_dyna_graph.php?c="&amp;Valori[[#This Row],[MS_Code]]&amp;"&amp;style=TradingView.CANDLES&amp;interval=(null)&amp;mobile=(null)&amp;showAT=1"</f>
        <v>https://www.marketscreener.com/mods_a/charts/TV/inc_dyna_graph.php?c=12069015&amp;style=TradingView.CANDLES&amp;interval=(null)&amp;mobile=(null)&amp;showAT=1</v>
      </c>
      <c r="AY138" s="142"/>
      <c r="AZ138" s="142"/>
      <c r="BA138" s="142"/>
      <c r="BB138" s="142"/>
    </row>
    <row r="139" spans="1:54" ht="15" customHeight="1" x14ac:dyDescent="0.2">
      <c r="A139" s="142" t="s">
        <v>1243</v>
      </c>
      <c r="B139" s="142" t="str" cm="1">
        <f t="array" aca="1" ref="B139" ca="1">OFFSET(POrigin,MATCH(Valori[[#This Row],[smo_id]],Posizioni[smo_id],0),MATCH("LUKB_id",PIntestazioni,0)-1,1,1)</f>
        <v>35722479,361,333</v>
      </c>
      <c r="C139" s="1668" t="str">
        <f ca="1">HYPERLINK("https://boersenundmaerkte.lukb.ch/lukb/details/"&amp;Valori[[#This Row],[LUKB_id]],"è")</f>
        <v>è</v>
      </c>
      <c r="D139" s="142" t="str" cm="1">
        <f t="array" aca="1" ref="D139" ca="1">OFFSET(POrigin,MATCH(Valori[[#This Row],[LUKB_id]],PID,0),MATCH("SC_GROUPED",PIntestazioni,0)-1,1,1)</f>
        <v>ETF</v>
      </c>
      <c r="E139" s="413" t="str" cm="1">
        <f t="array" aca="1" ref="E139" ca="1">OFFSET(POrigin,MATCH(Valori[[#This Row],[LUKB_id]],PID,0),MATCH("isin",PIntestazioni,0)-1,1,1)</f>
        <v>IE00B40B8R38</v>
      </c>
      <c r="F139" s="34" t="str" cm="1">
        <f t="array" aca="1" ref="F139" ca="1">OFFSET(POrigin,MATCH(Valori[[#This Row],[LUKB_id]],PID,0),MATCH("NSIN_CH",PLabel,0)-1,1,1)</f>
        <v>35722479</v>
      </c>
      <c r="G139" s="95" t="str" cm="1">
        <f t="array" aca="1" ref="G139" ca="1">IF(OFFSET(POrigin,MATCH(Valori[[#This Row],[LUKB_id]],PID,0),MATCH("INSTRUNIT",PLabel,0)-1,1,1)="Nominal","Pct","Unit")</f>
        <v>Unit</v>
      </c>
      <c r="H139" s="612">
        <f ca="1">MAX(OFFSET(POrigin,MATCH(Valori[[#This Row],[LUKB_id]],PID,0),MATCH("PRICINGAMT",PLabel,0)-1,1,1),1)</f>
        <v>1</v>
      </c>
      <c r="I139" s="615" t="str" cm="1">
        <f t="array" aca="1" ref="I139" ca="1">OFFSET(POrigin,MATCH(Valori[[#This Row],[LUKB_id]],PID,0),MATCH("M_NAME",PLabel,0)-1,1,1)</f>
        <v>iShares V PLC - iShares S&amp;P 500 Consumer Staples Sector UCITS ETF</v>
      </c>
      <c r="J139" s="142" t="s">
        <v>531</v>
      </c>
      <c r="M139" s="142" t="str" cm="1">
        <f t="array" aca="1" ref="M1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Consumer Staples Sector (acc)</v>
      </c>
      <c r="N139" s="1563">
        <f ca="1">COUNTIF('CHF M'!smo_id,Valori[[#This Row],[smo_id]])+COUNTIF('CHF MA'!smo_id,Valori[[#This Row],[smo_id]])+COUNTIF('EUR MB'!smo_id,Valori[[#This Row],[smo_id]])+COUNTIF('EUR M'!smo_id,Valori[[#This Row],[smo_id]])+COUNTIF(AGCO!smo_id,Valori[[#This Row],[smo_id]])</f>
        <v>0</v>
      </c>
      <c r="O139" s="1590" cm="1">
        <f t="array" aca="1" ref="O139" ca="1">SUM(IF('CHF M'!smo_id=Valori[[#This Row],[smo_id]],'CHF M'!Posizione))+SUM(IF('CHF MA'!smo_id=Valori[[#This Row],[smo_id]],'CHF MA'!Posizione))+SUM(IF('EUR MB'!smo_id=Valori[[#This Row],[smo_id]],'EUR MB'!Posizione))+SUM(IF('EUR M'!smo_id=Valori[[#This Row],[smo_id]],'EUR M'!Posizione))+SUM(IF(AGCO!smo_id=Valori[[#This Row],[smo_id]],AGCO!Posizione))</f>
        <v>0</v>
      </c>
      <c r="P139" s="1661" t="str">
        <f ca="1">HYPERLINK(Valori[[#This Row],[P_Source]],"è")</f>
        <v>è</v>
      </c>
      <c r="Q139" s="1663" t="str">
        <f>HYPERLINK(Valori[[#This Row],[Info_W]],"i")</f>
        <v>i</v>
      </c>
      <c r="R139" s="1664" t="str">
        <f>HYPERLINK(Valori[[#This Row],[FN_W]],"")</f>
        <v></v>
      </c>
      <c r="S139" s="1665" t="str">
        <f>HYPERLINK(Valori[[#This Row],[MS_Link]],"")</f>
        <v></v>
      </c>
      <c r="T139" s="1665" t="str">
        <f>HYPERLINK(Valori[[#This Row],[C_source]],"")</f>
        <v></v>
      </c>
      <c r="U139" s="142" t="str" cm="1">
        <f t="array" aca="1" ref="U139" ca="1">OFFSET(POrigin,MATCH(Valori[[#This Row],[LUKB_id]],PID,0),MATCH("M_CUR",PLabel,0)-1,1,1)</f>
        <v>USD</v>
      </c>
      <c r="V139" s="1562">
        <f ca="1">(Valori[[#This Row],[Last]]+Valori[[#This Row],[Acc. Int]])/Valori[[#This Row],[Pr.Amt]]/IF(Valori[[#This Row],[P_Type]]="Pct",100,1)</f>
        <v>10.435</v>
      </c>
      <c r="W139" s="1591" cm="1">
        <f t="array" aca="1" ref="W139" ca="1">OFFSET(POrigin,MATCH(Valori[[#This Row],[LUKB_id]],PID,0),MATCH("NC2_PR",PLabel,0)-1,1,1)/100</f>
        <v>-1.9266917293233002E-2</v>
      </c>
      <c r="X139" s="1592" cm="1">
        <f t="array" aca="1" ref="X139" ca="1">OFFSET(POrigin,MATCH(Valori[[#This Row],[LUKB_id]],PID,0),MATCH("LVAL",PLabel,0)-1,1,1)</f>
        <v>10.435</v>
      </c>
      <c r="Y139" s="1593" cm="1">
        <f t="array" aca="1" ref="Y139" ca="1">OFFSET(POrigin,MATCH(Valori[[#This Row],[LUKB_id]],PID,0),MATCH("LVAL:datetime",PLabel,0)-1,1,1)</f>
        <v>46084.732847222222</v>
      </c>
      <c r="Z139" s="1594" cm="1">
        <f t="array" aca="1" ref="Z139" ca="1">OFFSET(POrigin,MATCH(Valori[[#This Row],[LUKB_id]],PID,0),MATCH("BID:volume",PLabel,0)-1,1,1)</f>
        <v>100</v>
      </c>
      <c r="AA139" s="1595" cm="1">
        <f t="array" aca="1" ref="AA139" ca="1">OFFSET(POrigin,MATCH(Valori[[#This Row],[LUKB_id]],PID,0),MATCH("BID",PLabel,0)-1,1,1)</f>
        <v>10</v>
      </c>
      <c r="AB139" s="1595" cm="1">
        <f t="array" aca="1" ref="AB139" ca="1">OFFSET(POrigin,MATCH(Valori[[#This Row],[LUKB_id]],PID,0),MATCH("ASK",PLabel,0)-1,1,1)</f>
        <v>10.61</v>
      </c>
      <c r="AC139" s="1594" cm="1">
        <f t="array" aca="1" ref="AC139" ca="1">OFFSET(POrigin,MATCH(Valori[[#This Row],[LUKB_id]],PID,0),MATCH("ASK:volume",PLabel,0)-1,1,1)</f>
        <v>2250</v>
      </c>
      <c r="AD139" s="1596" cm="1">
        <f t="array" aca="1" ref="AD139" ca="1">OFFSET(POrigin,MATCH(Valori[[#This Row],[LUKB_id]],PID,0),MATCH("BID-ASK Spread %",PLabel,0)-1,1,1)</f>
        <v>3.9856256125449165E-2</v>
      </c>
      <c r="AE139" s="1597" t="str" cm="1">
        <f t="array" aca="1" ref="AE139" ca="1">IF(OFFSET(POrigin,MATCH(Valori[[#This Row],[LUKB_id]],PID,0),MATCH("MATURITY",PLabel,0)-1,1,1)&gt;0,OFFSET(POrigin,MATCH(Valori[[#This Row],[LUKB_id]],PID,0),MATCH("MATURITY",PLabel,0)-1,1,1),"")</f>
        <v/>
      </c>
      <c r="AF139" s="1598" cm="1">
        <f t="array" aca="1" ref="AF139" ca="1">OFFSET(POrigin,MATCH(Valori[[#This Row],[LUKB_id]],PID,0),MATCH("ACCINT",PLabel,0)-1,1,1)</f>
        <v>0</v>
      </c>
      <c r="AG139" s="1594" cm="1">
        <f t="array" aca="1" ref="AG139" ca="1">OFFSET(POrigin,MATCH(Valori[[#This Row],[LUKB_id]],PID,0),MATCH("DENOM",PLabel,0)-1,1,1)</f>
        <v>0</v>
      </c>
      <c r="AH139" s="1599" cm="1">
        <f t="array" aca="1" ref="AH139" ca="1">(OFFSET(POrigin,MATCH(Valori[[#This Row],[LUKB_id]],PID,0),MATCH("YIELD",PLabel,0)-1,1,1)+OFFSET(POrigin,MATCH(Valori[[#This Row],[LUKB_id]],PID,0),MATCH("YLDEQ",PLabel,0)-1,1,1))/100</f>
        <v>0</v>
      </c>
      <c r="AI139" s="1600">
        <f ca="1">OFFSET(POrigin,MATCH(Valori[[#This Row],[LUKB_id]],PID,0),MATCH("DIVIDEND",PLabel,0)-1,1,1)</f>
        <v>0</v>
      </c>
      <c r="AJ139" s="1601">
        <f ca="1">OFFSET(POrigin,MATCH(Valori[[#This Row],[LUKB_id]],PID,0),MATCH("DIVIDEND:datetime",PLabel,0)-1,1,1)</f>
        <v>0</v>
      </c>
      <c r="AK139" s="1602">
        <f ca="1">OFFSET(POrigin,MATCH(Valori[[#This Row],[LUKB_id]],PID,0),MATCH("INTEREST",PLabel,0)-1,1,1)</f>
        <v>0</v>
      </c>
      <c r="AL139" s="1603">
        <f ca="1">OFFSET(POrigin,MATCH(Valori[[#This Row],[LUKB_id]],PID,0),MATCH("4W_PERF_PR",PLabel,0)-1,1,1)/100</f>
        <v>1.1143409999999999E-2</v>
      </c>
      <c r="AM139" s="1603">
        <f ca="1">OFFSET(POrigin,MATCH(Valori[[#This Row],[LUKB_id]],PID,0),MATCH("12W_PERF_PR",PLabel,0)-1,1,1)/100</f>
        <v>0.13147193999999998</v>
      </c>
      <c r="AN139" s="1603">
        <f ca="1">OFFSET(POrigin,MATCH(Valori[[#This Row],[LUKB_id]],PID,0),MATCH("YTD_PERF_PR",PLabel,0)-1,1,1)/100</f>
        <v>0.14255033557047</v>
      </c>
      <c r="AO139" s="1591"/>
      <c r="AP139" s="1591"/>
      <c r="AQ139" s="1591"/>
      <c r="AR139" s="1591"/>
      <c r="AS139" s="1890" t="s">
        <v>1244</v>
      </c>
      <c r="AT139" s="1890" t="s">
        <v>1245</v>
      </c>
      <c r="AU139" s="610" t="s">
        <v>1246</v>
      </c>
      <c r="AV139" s="1891" t="s">
        <v>1242</v>
      </c>
      <c r="AW139" s="1604" t="str">
        <f ca="1">"https://boersenundmaerkte.lukb.ch/lukb/details/"&amp;Valori[[#This Row],[LUKB_id]]</f>
        <v>https://boersenundmaerkte.lukb.ch/lukb/details/35722479,361,333</v>
      </c>
      <c r="AX139" s="1605" t="str">
        <f>"https://www.zonebourse.com/mods_a/charts/TV/inc_dyna_graph.php?c="&amp;Valori[[#This Row],[MS_Code]]&amp;"&amp;style=TradingView.CANDLES&amp;interval=(null)&amp;mobile=(null)&amp;showAT=1"</f>
        <v>https://www.zonebourse.com/mods_a/charts/TV/inc_dyna_graph.php?c=34385006&amp;style=TradingView.CANDLES&amp;interval=(null)&amp;mobile=(null)&amp;showAT=1</v>
      </c>
      <c r="AY139" s="142"/>
      <c r="AZ139" s="142"/>
      <c r="BA139" s="142"/>
      <c r="BB139" s="142"/>
    </row>
    <row r="140" spans="1:54" ht="15" customHeight="1" x14ac:dyDescent="0.2">
      <c r="A140" s="142" t="s">
        <v>1247</v>
      </c>
      <c r="B140" s="142" t="str" cm="1">
        <f t="array" aca="1" ref="B140" ca="1">OFFSET(POrigin,MATCH(Valori[[#This Row],[smo_id]],Posizioni[smo_id],0),MATCH("LUKB_id",PIntestazioni,0)-1,1,1)</f>
        <v>11834662,361,814</v>
      </c>
      <c r="C140" s="1668" t="str">
        <f ca="1">HYPERLINK("https://boersenundmaerkte.lukb.ch/lukb/details/"&amp;Valori[[#This Row],[LUKB_id]],"è")</f>
        <v>è</v>
      </c>
      <c r="D140" s="142" t="str" cm="1">
        <f t="array" aca="1" ref="D140" ca="1">OFFSET(POrigin,MATCH(Valori[[#This Row],[LUKB_id]],PID,0),MATCH("SC_GROUPED",PIntestazioni,0)-1,1,1)</f>
        <v>ETF</v>
      </c>
      <c r="E140" s="413" t="str" cm="1">
        <f t="array" aca="1" ref="E140" ca="1">OFFSET(POrigin,MATCH(Valori[[#This Row],[LUKB_id]],PID,0),MATCH("isin",PIntestazioni,0)-1,1,1)</f>
        <v>IE00B3ZW0K18</v>
      </c>
      <c r="F140" s="34" t="str" cm="1">
        <f t="array" aca="1" ref="F140" ca="1">OFFSET(POrigin,MATCH(Valori[[#This Row],[LUKB_id]],PID,0),MATCH("NSIN_CH",PLabel,0)-1,1,1)</f>
        <v>11834662</v>
      </c>
      <c r="G140" s="95" t="str" cm="1">
        <f t="array" aca="1" ref="G140" ca="1">IF(OFFSET(POrigin,MATCH(Valori[[#This Row],[LUKB_id]],PID,0),MATCH("INSTRUNIT",PLabel,0)-1,1,1)="Nominal","Pct","Unit")</f>
        <v>Unit</v>
      </c>
      <c r="H140" s="612">
        <f ca="1">MAX(OFFSET(POrigin,MATCH(Valori[[#This Row],[LUKB_id]],PID,0),MATCH("PRICINGAMT",PLabel,0)-1,1,1),1)</f>
        <v>1</v>
      </c>
      <c r="I140" s="615" t="str" cm="1">
        <f t="array" aca="1" ref="I140" ca="1">OFFSET(POrigin,MATCH(Valori[[#This Row],[LUKB_id]],PID,0),MATCH("M_NAME",PLabel,0)-1,1,1)</f>
        <v>iShares V PLC - iShares S&amp;P 500 EUR Hedged UCITS ETF (Acc)</v>
      </c>
      <c r="J140" s="142" t="s">
        <v>439</v>
      </c>
      <c r="M140" s="142" t="str" cm="1">
        <f t="array" aca="1" ref="M1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EUR Hedged UCITS</v>
      </c>
      <c r="N140" s="1563">
        <f ca="1">COUNTIF('CHF M'!smo_id,Valori[[#This Row],[smo_id]])+COUNTIF('CHF MA'!smo_id,Valori[[#This Row],[smo_id]])+COUNTIF('EUR MB'!smo_id,Valori[[#This Row],[smo_id]])+COUNTIF('EUR M'!smo_id,Valori[[#This Row],[smo_id]])+COUNTIF(AGCO!smo_id,Valori[[#This Row],[smo_id]])</f>
        <v>3</v>
      </c>
      <c r="O140" s="1590" cm="1">
        <f t="array" aca="1" ref="O140" ca="1">SUM(IF('CHF M'!smo_id=Valori[[#This Row],[smo_id]],'CHF M'!Posizione))+SUM(IF('CHF MA'!smo_id=Valori[[#This Row],[smo_id]],'CHF MA'!Posizione))+SUM(IF('EUR MB'!smo_id=Valori[[#This Row],[smo_id]],'EUR MB'!Posizione))+SUM(IF('EUR M'!smo_id=Valori[[#This Row],[smo_id]],'EUR M'!Posizione))+SUM(IF(AGCO!smo_id=Valori[[#This Row],[smo_id]],AGCO!Posizione))</f>
        <v>55</v>
      </c>
      <c r="P140" s="1661" t="str">
        <f ca="1">HYPERLINK(Valori[[#This Row],[P_Source]],"è")</f>
        <v>è</v>
      </c>
      <c r="Q140" s="1663" t="str">
        <f>HYPERLINK(Valori[[#This Row],[Info_W]],"i")</f>
        <v>i</v>
      </c>
      <c r="R140" s="1664" t="str">
        <f>HYPERLINK(Valori[[#This Row],[FN_W]],"")</f>
        <v></v>
      </c>
      <c r="S140" s="1665" t="str">
        <f>HYPERLINK(Valori[[#This Row],[MS_Link]],"")</f>
        <v></v>
      </c>
      <c r="T140" s="1665" t="str">
        <f>HYPERLINK(Valori[[#This Row],[C_source]],"")</f>
        <v></v>
      </c>
      <c r="U140" s="142" t="str" cm="1">
        <f t="array" aca="1" ref="U140" ca="1">OFFSET(POrigin,MATCH(Valori[[#This Row],[LUKB_id]],PID,0),MATCH("M_CUR",PLabel,0)-1,1,1)</f>
        <v>EUR</v>
      </c>
      <c r="V140" s="1562">
        <f ca="1">(Valori[[#This Row],[Last]]+Valori[[#This Row],[Acc. Int]])/Valori[[#This Row],[Pr.Amt]]/IF(Valori[[#This Row],[P_Type]]="Pct",100,1)</f>
        <v>140.09</v>
      </c>
      <c r="W140" s="1591" cm="1">
        <f t="array" aca="1" ref="W140" ca="1">OFFSET(POrigin,MATCH(Valori[[#This Row],[LUKB_id]],PID,0),MATCH("NC2_PR",PLabel,0)-1,1,1)/100</f>
        <v>-1.1222473178995001E-2</v>
      </c>
      <c r="X140" s="1592" cm="1">
        <f t="array" aca="1" ref="X140" ca="1">OFFSET(POrigin,MATCH(Valori[[#This Row],[LUKB_id]],PID,0),MATCH("LVAL",PLabel,0)-1,1,1)</f>
        <v>140.09</v>
      </c>
      <c r="Y140" s="1593" cm="1">
        <f t="array" aca="1" ref="Y140" ca="1">OFFSET(POrigin,MATCH(Valori[[#This Row],[LUKB_id]],PID,0),MATCH("LVAL:datetime",PLabel,0)-1,1,1)</f>
        <v>46084.73296296296</v>
      </c>
      <c r="Z140" s="1594" cm="1">
        <f t="array" aca="1" ref="Z140" ca="1">OFFSET(POrigin,MATCH(Valori[[#This Row],[LUKB_id]],PID,0),MATCH("BID:volume",PLabel,0)-1,1,1)</f>
        <v>265</v>
      </c>
      <c r="AA140" s="1595" cm="1">
        <f t="array" aca="1" ref="AA140" ca="1">OFFSET(POrigin,MATCH(Valori[[#This Row],[LUKB_id]],PID,0),MATCH("BID",PLabel,0)-1,1,1)</f>
        <v>135</v>
      </c>
      <c r="AB140" s="1595" cm="1">
        <f t="array" aca="1" ref="AB140" ca="1">OFFSET(POrigin,MATCH(Valori[[#This Row],[LUKB_id]],PID,0),MATCH("ASK",PLabel,0)-1,1,1)</f>
        <v>150</v>
      </c>
      <c r="AC140" s="1594" cm="1">
        <f t="array" aca="1" ref="AC140" ca="1">OFFSET(POrigin,MATCH(Valori[[#This Row],[LUKB_id]],PID,0),MATCH("ASK:volume",PLabel,0)-1,1,1)</f>
        <v>2</v>
      </c>
      <c r="AD140" s="1596" cm="1">
        <f t="array" aca="1" ref="AD140" ca="1">OFFSET(POrigin,MATCH(Valori[[#This Row],[LUKB_id]],PID,0),MATCH("BID-ASK Spread %",PLabel,0)-1,1,1)</f>
        <v>7.1428571428571425E-2</v>
      </c>
      <c r="AE140" s="1597" t="str" cm="1">
        <f t="array" aca="1" ref="AE140" ca="1">IF(OFFSET(POrigin,MATCH(Valori[[#This Row],[LUKB_id]],PID,0),MATCH("MATURITY",PLabel,0)-1,1,1)&gt;0,OFFSET(POrigin,MATCH(Valori[[#This Row],[LUKB_id]],PID,0),MATCH("MATURITY",PLabel,0)-1,1,1),"")</f>
        <v/>
      </c>
      <c r="AF140" s="1598" cm="1">
        <f t="array" aca="1" ref="AF140" ca="1">OFFSET(POrigin,MATCH(Valori[[#This Row],[LUKB_id]],PID,0),MATCH("ACCINT",PLabel,0)-1,1,1)</f>
        <v>0</v>
      </c>
      <c r="AG140" s="1594" cm="1">
        <f t="array" aca="1" ref="AG140" ca="1">OFFSET(POrigin,MATCH(Valori[[#This Row],[LUKB_id]],PID,0),MATCH("DENOM",PLabel,0)-1,1,1)</f>
        <v>0</v>
      </c>
      <c r="AH140" s="1599" cm="1">
        <f t="array" aca="1" ref="AH140" ca="1">(OFFSET(POrigin,MATCH(Valori[[#This Row],[LUKB_id]],PID,0),MATCH("YIELD",PLabel,0)-1,1,1)+OFFSET(POrigin,MATCH(Valori[[#This Row],[LUKB_id]],PID,0),MATCH("YLDEQ",PLabel,0)-1,1,1))/100</f>
        <v>0</v>
      </c>
      <c r="AI140" s="1600">
        <f ca="1">OFFSET(POrigin,MATCH(Valori[[#This Row],[LUKB_id]],PID,0),MATCH("DIVIDEND",PLabel,0)-1,1,1)</f>
        <v>0</v>
      </c>
      <c r="AJ140" s="1601">
        <f ca="1">OFFSET(POrigin,MATCH(Valori[[#This Row],[LUKB_id]],PID,0),MATCH("DIVIDEND:datetime",PLabel,0)-1,1,1)</f>
        <v>0</v>
      </c>
      <c r="AK140" s="1602">
        <f ca="1">OFFSET(POrigin,MATCH(Valori[[#This Row],[LUKB_id]],PID,0),MATCH("INTEREST",PLabel,0)-1,1,1)</f>
        <v>0</v>
      </c>
      <c r="AL140" s="1603">
        <f ca="1">OFFSET(POrigin,MATCH(Valori[[#This Row],[LUKB_id]],PID,0),MATCH("4W_PERF_PR",PLabel,0)-1,1,1)/100</f>
        <v>-2.362699E-2</v>
      </c>
      <c r="AM140" s="1603">
        <f ca="1">OFFSET(POrigin,MATCH(Valori[[#This Row],[LUKB_id]],PID,0),MATCH("12W_PERF_PR",PLabel,0)-1,1,1)/100</f>
        <v>-1.6221909999999999E-2</v>
      </c>
      <c r="AN140" s="1603">
        <f ca="1">OFFSET(POrigin,MATCH(Valori[[#This Row],[LUKB_id]],PID,0),MATCH("YTD_PERF_PR",PLabel,0)-1,1,1)/100</f>
        <v>-7.8431372549020006E-3</v>
      </c>
      <c r="AO140" s="1591"/>
      <c r="AP140" s="1591"/>
      <c r="AQ140" s="1591"/>
      <c r="AR140" s="1591"/>
      <c r="AS140" s="1890" t="s">
        <v>1248</v>
      </c>
      <c r="AT140" s="1890" t="s">
        <v>1249</v>
      </c>
      <c r="AU140" s="610" t="s">
        <v>1250</v>
      </c>
      <c r="AV140" s="1891" t="s">
        <v>1251</v>
      </c>
      <c r="AW140" s="1604" t="str">
        <f ca="1">"https://boersenundmaerkte.lukb.ch/lukb/details/"&amp;Valori[[#This Row],[LUKB_id]]</f>
        <v>https://boersenundmaerkte.lukb.ch/lukb/details/11834662,361,814</v>
      </c>
      <c r="AX140" s="1605" t="str">
        <f>"https://www.marketscreener.com/mods_a/charts/TV/inc_dyna_graph.php?c="&amp;Valori[[#This Row],[MS_Code]]&amp;"&amp;style=TradingView.CANDLES&amp;interval=(null)&amp;mobile=(null)&amp;showAT=1"</f>
        <v>https://www.marketscreener.com/mods_a/charts/TV/inc_dyna_graph.php?c=6685460&amp;style=TradingView.CANDLES&amp;interval=(null)&amp;mobile=(null)&amp;showAT=1</v>
      </c>
      <c r="AY140" s="142"/>
      <c r="AZ140" s="142"/>
      <c r="BA140" s="142"/>
      <c r="BB140" s="142"/>
    </row>
    <row r="141" spans="1:54" ht="15" customHeight="1" x14ac:dyDescent="0.2">
      <c r="A141" s="142" t="s">
        <v>1252</v>
      </c>
      <c r="B141" s="142" t="str" cm="1">
        <f t="array" aca="1" ref="B141" ca="1">OFFSET(POrigin,MATCH(Valori[[#This Row],[smo_id]],Posizioni[smo_id],0),MATCH("LUKB_id",PIntestazioni,0)-1,1,1)</f>
        <v>30453019,361,333</v>
      </c>
      <c r="C141" s="1668" t="str">
        <f ca="1">HYPERLINK("https://boersenundmaerkte.lukb.ch/lukb/details/"&amp;Valori[[#This Row],[LUKB_id]],"è")</f>
        <v>è</v>
      </c>
      <c r="D141" s="142" t="str" cm="1">
        <f t="array" aca="1" ref="D141" ca="1">OFFSET(POrigin,MATCH(Valori[[#This Row],[LUKB_id]],PID,0),MATCH("SC_GROUPED",PIntestazioni,0)-1,1,1)</f>
        <v>ETF</v>
      </c>
      <c r="E141" s="413" t="str" cm="1">
        <f t="array" aca="1" ref="E141" ca="1">OFFSET(POrigin,MATCH(Valori[[#This Row],[LUKB_id]],PID,0),MATCH("isin",PIntestazioni,0)-1,1,1)</f>
        <v>IE00B4JNQZ49</v>
      </c>
      <c r="F141" s="34" t="str" cm="1">
        <f t="array" aca="1" ref="F141" ca="1">OFFSET(POrigin,MATCH(Valori[[#This Row],[LUKB_id]],PID,0),MATCH("NSIN_CH",PLabel,0)-1,1,1)</f>
        <v>30453019</v>
      </c>
      <c r="G141" s="95" t="str" cm="1">
        <f t="array" aca="1" ref="G141" ca="1">IF(OFFSET(POrigin,MATCH(Valori[[#This Row],[LUKB_id]],PID,0),MATCH("INSTRUNIT",PLabel,0)-1,1,1)="Nominal","Pct","Unit")</f>
        <v>Unit</v>
      </c>
      <c r="H141" s="612">
        <f ca="1">MAX(OFFSET(POrigin,MATCH(Valori[[#This Row],[LUKB_id]],PID,0),MATCH("PRICINGAMT",PLabel,0)-1,1,1),1)</f>
        <v>1</v>
      </c>
      <c r="I141" s="615" t="str" cm="1">
        <f t="array" aca="1" ref="I141" ca="1">OFFSET(POrigin,MATCH(Valori[[#This Row],[LUKB_id]],PID,0),MATCH("M_NAME",PLabel,0)-1,1,1)</f>
        <v>iShares V PLC - iShares S&amp;P 500 Financials Sector UCITS ETF</v>
      </c>
      <c r="J141" s="142" t="s">
        <v>1253</v>
      </c>
      <c r="M141" s="142" t="str" cm="1">
        <f t="array" aca="1" ref="M1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Financials Sector (acc)</v>
      </c>
      <c r="N141" s="1563">
        <f ca="1">COUNTIF('CHF M'!smo_id,Valori[[#This Row],[smo_id]])+COUNTIF('CHF MA'!smo_id,Valori[[#This Row],[smo_id]])+COUNTIF('EUR MB'!smo_id,Valori[[#This Row],[smo_id]])+COUNTIF('EUR M'!smo_id,Valori[[#This Row],[smo_id]])+COUNTIF(AGCO!smo_id,Valori[[#This Row],[smo_id]])</f>
        <v>0</v>
      </c>
      <c r="O141" s="1590" cm="1">
        <f t="array" aca="1" ref="O141" ca="1">SUM(IF('CHF M'!smo_id=Valori[[#This Row],[smo_id]],'CHF M'!Posizione))+SUM(IF('CHF MA'!smo_id=Valori[[#This Row],[smo_id]],'CHF MA'!Posizione))+SUM(IF('EUR MB'!smo_id=Valori[[#This Row],[smo_id]],'EUR MB'!Posizione))+SUM(IF('EUR M'!smo_id=Valori[[#This Row],[smo_id]],'EUR M'!Posizione))+SUM(IF(AGCO!smo_id=Valori[[#This Row],[smo_id]],AGCO!Posizione))</f>
        <v>0</v>
      </c>
      <c r="P141" s="1661" t="str">
        <f ca="1">HYPERLINK(Valori[[#This Row],[P_Source]],"è")</f>
        <v>è</v>
      </c>
      <c r="Q141" s="1663" t="str">
        <f>HYPERLINK(Valori[[#This Row],[Info_W]],"i")</f>
        <v>i</v>
      </c>
      <c r="R141" s="1664" t="str">
        <f>HYPERLINK(Valori[[#This Row],[FN_W]],"")</f>
        <v></v>
      </c>
      <c r="S141" s="1665" t="str">
        <f>HYPERLINK(Valori[[#This Row],[MS_Link]],"")</f>
        <v></v>
      </c>
      <c r="T141" s="1665" t="str">
        <f>HYPERLINK(Valori[[#This Row],[C_source]],"")</f>
        <v></v>
      </c>
      <c r="U141" s="142" t="str" cm="1">
        <f t="array" aca="1" ref="U141" ca="1">OFFSET(POrigin,MATCH(Valori[[#This Row],[LUKB_id]],PID,0),MATCH("M_CUR",PLabel,0)-1,1,1)</f>
        <v>USD</v>
      </c>
      <c r="V141" s="1562">
        <f ca="1">(Valori[[#This Row],[Last]]+Valori[[#This Row],[Acc. Int]])/Valori[[#This Row],[Pr.Amt]]/IF(Valori[[#This Row],[P_Type]]="Pct",100,1)</f>
        <v>14.905000000000001</v>
      </c>
      <c r="W141" s="1591" cm="1">
        <f t="array" aca="1" ref="W141" ca="1">OFFSET(POrigin,MATCH(Valori[[#This Row],[LUKB_id]],PID,0),MATCH("NC2_PR",PLabel,0)-1,1,1)/100</f>
        <v>-7.6564580559254003E-3</v>
      </c>
      <c r="X141" s="1592" cm="1">
        <f t="array" aca="1" ref="X141" ca="1">OFFSET(POrigin,MATCH(Valori[[#This Row],[LUKB_id]],PID,0),MATCH("LVAL",PLabel,0)-1,1,1)</f>
        <v>14.905000000000001</v>
      </c>
      <c r="Y141" s="1593" cm="1">
        <f t="array" aca="1" ref="Y141" ca="1">OFFSET(POrigin,MATCH(Valori[[#This Row],[LUKB_id]],PID,0),MATCH("LVAL:datetime",PLabel,0)-1,1,1)</f>
        <v>46084.732824074075</v>
      </c>
      <c r="Z141" s="1594" cm="1">
        <f t="array" aca="1" ref="Z141" ca="1">OFFSET(POrigin,MATCH(Valori[[#This Row],[LUKB_id]],PID,0),MATCH("BID:volume",PLabel,0)-1,1,1)</f>
        <v>470</v>
      </c>
      <c r="AA141" s="1595" cm="1">
        <f t="array" aca="1" ref="AA141" ca="1">OFFSET(POrigin,MATCH(Valori[[#This Row],[LUKB_id]],PID,0),MATCH("BID",PLabel,0)-1,1,1)</f>
        <v>14.700000000000001</v>
      </c>
      <c r="AB141" s="1595" cm="1">
        <f t="array" aca="1" ref="AB141" ca="1">OFFSET(POrigin,MATCH(Valori[[#This Row],[LUKB_id]],PID,0),MATCH("ASK",PLabel,0)-1,1,1)</f>
        <v>15.600000000000001</v>
      </c>
      <c r="AC141" s="1594" cm="1">
        <f t="array" aca="1" ref="AC141" ca="1">OFFSET(POrigin,MATCH(Valori[[#This Row],[LUKB_id]],PID,0),MATCH("ASK:volume",PLabel,0)-1,1,1)</f>
        <v>400</v>
      </c>
      <c r="AD141" s="1596" cm="1">
        <f t="array" aca="1" ref="AD141" ca="1">OFFSET(POrigin,MATCH(Valori[[#This Row],[LUKB_id]],PID,0),MATCH("BID-ASK Spread %",PLabel,0)-1,1,1)</f>
        <v>4.0000000000000015E-2</v>
      </c>
      <c r="AE141" s="1597" t="str" cm="1">
        <f t="array" aca="1" ref="AE141" ca="1">IF(OFFSET(POrigin,MATCH(Valori[[#This Row],[LUKB_id]],PID,0),MATCH("MATURITY",PLabel,0)-1,1,1)&gt;0,OFFSET(POrigin,MATCH(Valori[[#This Row],[LUKB_id]],PID,0),MATCH("MATURITY",PLabel,0)-1,1,1),"")</f>
        <v/>
      </c>
      <c r="AF141" s="1598" cm="1">
        <f t="array" aca="1" ref="AF141" ca="1">OFFSET(POrigin,MATCH(Valori[[#This Row],[LUKB_id]],PID,0),MATCH("ACCINT",PLabel,0)-1,1,1)</f>
        <v>0</v>
      </c>
      <c r="AG141" s="1594" cm="1">
        <f t="array" aca="1" ref="AG141" ca="1">OFFSET(POrigin,MATCH(Valori[[#This Row],[LUKB_id]],PID,0),MATCH("DENOM",PLabel,0)-1,1,1)</f>
        <v>0</v>
      </c>
      <c r="AH141" s="1599" cm="1">
        <f t="array" aca="1" ref="AH141" ca="1">(OFFSET(POrigin,MATCH(Valori[[#This Row],[LUKB_id]],PID,0),MATCH("YIELD",PLabel,0)-1,1,1)+OFFSET(POrigin,MATCH(Valori[[#This Row],[LUKB_id]],PID,0),MATCH("YLDEQ",PLabel,0)-1,1,1))/100</f>
        <v>0</v>
      </c>
      <c r="AI141" s="1600">
        <f ca="1">OFFSET(POrigin,MATCH(Valori[[#This Row],[LUKB_id]],PID,0),MATCH("DIVIDEND",PLabel,0)-1,1,1)</f>
        <v>0</v>
      </c>
      <c r="AJ141" s="1601">
        <f ca="1">OFFSET(POrigin,MATCH(Valori[[#This Row],[LUKB_id]],PID,0),MATCH("DIVIDEND:datetime",PLabel,0)-1,1,1)</f>
        <v>0</v>
      </c>
      <c r="AK141" s="1602">
        <f ca="1">OFFSET(POrigin,MATCH(Valori[[#This Row],[LUKB_id]],PID,0),MATCH("INTEREST",PLabel,0)-1,1,1)</f>
        <v>0</v>
      </c>
      <c r="AL141" s="1603">
        <f ca="1">OFFSET(POrigin,MATCH(Valori[[#This Row],[LUKB_id]],PID,0),MATCH("4W_PERF_PR",PLabel,0)-1,1,1)/100</f>
        <v>-5.6048130000000002E-2</v>
      </c>
      <c r="AM141" s="1603">
        <f ca="1">OFFSET(POrigin,MATCH(Valori[[#This Row],[LUKB_id]],PID,0),MATCH("12W_PERF_PR",PLabel,0)-1,1,1)/100</f>
        <v>-5.6944010000000003E-2</v>
      </c>
      <c r="AN141" s="1603">
        <f ca="1">OFFSET(POrigin,MATCH(Valori[[#This Row],[LUKB_id]],PID,0),MATCH("YTD_PERF_PR",PLabel,0)-1,1,1)/100</f>
        <v>-7.3411474398519597E-2</v>
      </c>
      <c r="AO141" s="1591"/>
      <c r="AP141" s="1591"/>
      <c r="AQ141" s="1591"/>
      <c r="AR141" s="1591"/>
      <c r="AS141" s="1890" t="s">
        <v>1254</v>
      </c>
      <c r="AT141" s="1890" t="s">
        <v>1255</v>
      </c>
      <c r="AU141" s="610" t="s">
        <v>1256</v>
      </c>
      <c r="AV141" s="1891"/>
      <c r="AW141" s="1604" t="str">
        <f ca="1">"https://boersenundmaerkte.lukb.ch/lukb/details/"&amp;Valori[[#This Row],[LUKB_id]]</f>
        <v>https://boersenundmaerkte.lukb.ch/lukb/details/30453019,361,333</v>
      </c>
      <c r="AX141" s="1605" t="str">
        <f>"https://www.marketscreener.com/mods_a/charts/TV/inc_dyna_graph.php?c="&amp;Valori[[#This Row],[MS_Code]]&amp;"&amp;style=TradingView.CANDLES&amp;interval=(null)&amp;mobile=(null)&amp;showAT=1"</f>
        <v>https://www.marketscreener.com/mods_a/charts/TV/inc_dyna_graph.php?c=25012628&amp;style=TradingView.CANDLES&amp;interval=(null)&amp;mobile=(null)&amp;showAT=1</v>
      </c>
      <c r="AY141" s="142"/>
      <c r="AZ141" s="142"/>
      <c r="BA141" s="142"/>
      <c r="BB141" s="142"/>
    </row>
    <row r="142" spans="1:54" ht="15" customHeight="1" x14ac:dyDescent="0.2">
      <c r="A142" s="142" t="s">
        <v>1257</v>
      </c>
      <c r="B142" s="142" t="str" cm="1">
        <f t="array" aca="1" ref="B142" ca="1">OFFSET(POrigin,MATCH(Valori[[#This Row],[smo_id]],Posizioni[smo_id],0),MATCH("LUKB_id",PIntestazioni,0)-1,1,1)</f>
        <v>30452906,361,333</v>
      </c>
      <c r="C142" s="1668" t="str">
        <f ca="1">HYPERLINK("https://boersenundmaerkte.lukb.ch/lukb/details/"&amp;Valori[[#This Row],[LUKB_id]],"è")</f>
        <v>è</v>
      </c>
      <c r="D142" s="142" t="str" cm="1">
        <f t="array" aca="1" ref="D142" ca="1">OFFSET(POrigin,MATCH(Valori[[#This Row],[LUKB_id]],PID,0),MATCH("SC_GROUPED",PIntestazioni,0)-1,1,1)</f>
        <v>ETF</v>
      </c>
      <c r="E142" s="413" t="str" cm="1">
        <f t="array" aca="1" ref="E142" ca="1">OFFSET(POrigin,MATCH(Valori[[#This Row],[LUKB_id]],PID,0),MATCH("isin",PIntestazioni,0)-1,1,1)</f>
        <v>IE00B43HR379</v>
      </c>
      <c r="F142" s="34" t="str" cm="1">
        <f t="array" aca="1" ref="F142" ca="1">OFFSET(POrigin,MATCH(Valori[[#This Row],[LUKB_id]],PID,0),MATCH("NSIN_CH",PLabel,0)-1,1,1)</f>
        <v>30452906</v>
      </c>
      <c r="G142" s="95" t="str" cm="1">
        <f t="array" aca="1" ref="G142" ca="1">IF(OFFSET(POrigin,MATCH(Valori[[#This Row],[LUKB_id]],PID,0),MATCH("INSTRUNIT",PLabel,0)-1,1,1)="Nominal","Pct","Unit")</f>
        <v>Unit</v>
      </c>
      <c r="H142" s="612">
        <f ca="1">MAX(OFFSET(POrigin,MATCH(Valori[[#This Row],[LUKB_id]],PID,0),MATCH("PRICINGAMT",PLabel,0)-1,1,1),1)</f>
        <v>1</v>
      </c>
      <c r="I142" s="615" t="str" cm="1">
        <f t="array" aca="1" ref="I142" ca="1">OFFSET(POrigin,MATCH(Valori[[#This Row],[LUKB_id]],PID,0),MATCH("M_NAME",PLabel,0)-1,1,1)</f>
        <v>iShares V PLC - iShares S&amp;P 500 Health Care     Sector UCITS ETF</v>
      </c>
      <c r="J142" s="142" t="s">
        <v>1258</v>
      </c>
      <c r="M142" s="142" t="str" cm="1">
        <f t="array" aca="1" ref="M1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Health Care Sector (acc)</v>
      </c>
      <c r="N142" s="1563">
        <f ca="1">COUNTIF('CHF M'!smo_id,Valori[[#This Row],[smo_id]])+COUNTIF('CHF MA'!smo_id,Valori[[#This Row],[smo_id]])+COUNTIF('EUR MB'!smo_id,Valori[[#This Row],[smo_id]])+COUNTIF('EUR M'!smo_id,Valori[[#This Row],[smo_id]])+COUNTIF(AGCO!smo_id,Valori[[#This Row],[smo_id]])</f>
        <v>0</v>
      </c>
      <c r="O142" s="1590" cm="1">
        <f t="array" aca="1" ref="O142" ca="1">SUM(IF('CHF M'!smo_id=Valori[[#This Row],[smo_id]],'CHF M'!Posizione))+SUM(IF('CHF MA'!smo_id=Valori[[#This Row],[smo_id]],'CHF MA'!Posizione))+SUM(IF('EUR MB'!smo_id=Valori[[#This Row],[smo_id]],'EUR MB'!Posizione))+SUM(IF('EUR M'!smo_id=Valori[[#This Row],[smo_id]],'EUR M'!Posizione))+SUM(IF(AGCO!smo_id=Valori[[#This Row],[smo_id]],AGCO!Posizione))</f>
        <v>0</v>
      </c>
      <c r="P142" s="1661" t="str">
        <f ca="1">HYPERLINK(Valori[[#This Row],[P_Source]],"è")</f>
        <v>è</v>
      </c>
      <c r="Q142" s="1663" t="str">
        <f>HYPERLINK(Valori[[#This Row],[Info_W]],"i")</f>
        <v>i</v>
      </c>
      <c r="R142" s="1664" t="str">
        <f>HYPERLINK(Valori[[#This Row],[FN_W]],"")</f>
        <v></v>
      </c>
      <c r="S142" s="1665" t="str">
        <f>HYPERLINK(Valori[[#This Row],[MS_Link]],"")</f>
        <v></v>
      </c>
      <c r="T142" s="1665" t="str">
        <f>HYPERLINK(Valori[[#This Row],[C_source]],"")</f>
        <v></v>
      </c>
      <c r="U142" s="142" t="str" cm="1">
        <f t="array" aca="1" ref="U142" ca="1">OFFSET(POrigin,MATCH(Valori[[#This Row],[LUKB_id]],PID,0),MATCH("M_CUR",PLabel,0)-1,1,1)</f>
        <v>USD</v>
      </c>
      <c r="V142" s="1562">
        <f ca="1">(Valori[[#This Row],[Last]]+Valori[[#This Row],[Acc. Int]])/Valori[[#This Row],[Pr.Amt]]/IF(Valori[[#This Row],[P_Type]]="Pct",100,1)</f>
        <v>12.46</v>
      </c>
      <c r="W142" s="1591" cm="1">
        <f t="array" aca="1" ref="W142" ca="1">OFFSET(POrigin,MATCH(Valori[[#This Row],[LUKB_id]],PID,0),MATCH("NC2_PR",PLabel,0)-1,1,1)/100</f>
        <v>-1.7737485218762297E-2</v>
      </c>
      <c r="X142" s="1592" cm="1">
        <f t="array" aca="1" ref="X142" ca="1">OFFSET(POrigin,MATCH(Valori[[#This Row],[LUKB_id]],PID,0),MATCH("LVAL",PLabel,0)-1,1,1)</f>
        <v>12.46</v>
      </c>
      <c r="Y142" s="1593" cm="1">
        <f t="array" aca="1" ref="Y142" ca="1">OFFSET(POrigin,MATCH(Valori[[#This Row],[LUKB_id]],PID,0),MATCH("LVAL:datetime",PLabel,0)-1,1,1)</f>
        <v>46084.732766203706</v>
      </c>
      <c r="Z142" s="1594" cm="1">
        <f t="array" aca="1" ref="Z142" ca="1">OFFSET(POrigin,MATCH(Valori[[#This Row],[LUKB_id]],PID,0),MATCH("BID:volume",PLabel,0)-1,1,1)</f>
        <v>440</v>
      </c>
      <c r="AA142" s="1595" cm="1">
        <f t="array" aca="1" ref="AA142" ca="1">OFFSET(POrigin,MATCH(Valori[[#This Row],[LUKB_id]],PID,0),MATCH("BID",PLabel,0)-1,1,1)</f>
        <v>11.600000000000001</v>
      </c>
      <c r="AB142" s="1595" cm="1">
        <f t="array" aca="1" ref="AB142" ca="1">OFFSET(POrigin,MATCH(Valori[[#This Row],[LUKB_id]],PID,0),MATCH("ASK",PLabel,0)-1,1,1)</f>
        <v>13.13</v>
      </c>
      <c r="AC142" s="1594" cm="1">
        <f t="array" aca="1" ref="AC142" ca="1">OFFSET(POrigin,MATCH(Valori[[#This Row],[LUKB_id]],PID,0),MATCH("ASK:volume",PLabel,0)-1,1,1)</f>
        <v>2</v>
      </c>
      <c r="AD142" s="1596" cm="1">
        <f t="array" aca="1" ref="AD142" ca="1">OFFSET(POrigin,MATCH(Valori[[#This Row],[LUKB_id]],PID,0),MATCH("BID-ASK Spread %",PLabel,0)-1,1,1)</f>
        <v>8.4227910817506149E-2</v>
      </c>
      <c r="AE142" s="1597" t="str" cm="1">
        <f t="array" aca="1" ref="AE142" ca="1">IF(OFFSET(POrigin,MATCH(Valori[[#This Row],[LUKB_id]],PID,0),MATCH("MATURITY",PLabel,0)-1,1,1)&gt;0,OFFSET(POrigin,MATCH(Valori[[#This Row],[LUKB_id]],PID,0),MATCH("MATURITY",PLabel,0)-1,1,1),"")</f>
        <v/>
      </c>
      <c r="AF142" s="1598" cm="1">
        <f t="array" aca="1" ref="AF142" ca="1">OFFSET(POrigin,MATCH(Valori[[#This Row],[LUKB_id]],PID,0),MATCH("ACCINT",PLabel,0)-1,1,1)</f>
        <v>0</v>
      </c>
      <c r="AG142" s="1594" cm="1">
        <f t="array" aca="1" ref="AG142" ca="1">OFFSET(POrigin,MATCH(Valori[[#This Row],[LUKB_id]],PID,0),MATCH("DENOM",PLabel,0)-1,1,1)</f>
        <v>0</v>
      </c>
      <c r="AH142" s="1599" cm="1">
        <f t="array" aca="1" ref="AH142" ca="1">(OFFSET(POrigin,MATCH(Valori[[#This Row],[LUKB_id]],PID,0),MATCH("YIELD",PLabel,0)-1,1,1)+OFFSET(POrigin,MATCH(Valori[[#This Row],[LUKB_id]],PID,0),MATCH("YLDEQ",PLabel,0)-1,1,1))/100</f>
        <v>0</v>
      </c>
      <c r="AI142" s="1600">
        <f ca="1">OFFSET(POrigin,MATCH(Valori[[#This Row],[LUKB_id]],PID,0),MATCH("DIVIDEND",PLabel,0)-1,1,1)</f>
        <v>0</v>
      </c>
      <c r="AJ142" s="1601">
        <f ca="1">OFFSET(POrigin,MATCH(Valori[[#This Row],[LUKB_id]],PID,0),MATCH("DIVIDEND:datetime",PLabel,0)-1,1,1)</f>
        <v>0</v>
      </c>
      <c r="AK142" s="1602">
        <f ca="1">OFFSET(POrigin,MATCH(Valori[[#This Row],[LUKB_id]],PID,0),MATCH("INTEREST",PLabel,0)-1,1,1)</f>
        <v>0</v>
      </c>
      <c r="AL142" s="1603">
        <f ca="1">OFFSET(POrigin,MATCH(Valori[[#This Row],[LUKB_id]],PID,0),MATCH("4W_PERF_PR",PLabel,0)-1,1,1)/100</f>
        <v>0</v>
      </c>
      <c r="AM142" s="1603">
        <f ca="1">OFFSET(POrigin,MATCH(Valori[[#This Row],[LUKB_id]],PID,0),MATCH("12W_PERF_PR",PLabel,0)-1,1,1)/100</f>
        <v>3.2739329999999997E-2</v>
      </c>
      <c r="AN142" s="1603">
        <f ca="1">OFFSET(POrigin,MATCH(Valori[[#This Row],[LUKB_id]],PID,0),MATCH("YTD_PERF_PR",PLabel,0)-1,1,1)/100</f>
        <v>1.764941837144E-2</v>
      </c>
      <c r="AO142" s="1591"/>
      <c r="AP142" s="1591"/>
      <c r="AQ142" s="1591"/>
      <c r="AR142" s="1591"/>
      <c r="AS142" s="1890" t="s">
        <v>1259</v>
      </c>
      <c r="AT142" s="1890" t="s">
        <v>1260</v>
      </c>
      <c r="AU142" s="610" t="s">
        <v>1261</v>
      </c>
      <c r="AV142" s="1891"/>
      <c r="AW142" s="1604" t="str">
        <f ca="1">"https://boersenundmaerkte.lukb.ch/lukb/details/"&amp;Valori[[#This Row],[LUKB_id]]</f>
        <v>https://boersenundmaerkte.lukb.ch/lukb/details/30452906,361,333</v>
      </c>
      <c r="AX142" s="1605" t="str">
        <f>"https://www.marketscreener.com/mods_a/charts/TV/inc_dyna_graph.php?c="&amp;Valori[[#This Row],[MS_Code]]&amp;"&amp;style=TradingView.CANDLES&amp;interval=(null)&amp;mobile=(null)&amp;showAT=1"</f>
        <v>https://www.marketscreener.com/mods_a/charts/TV/inc_dyna_graph.php?c=25012629&amp;style=TradingView.CANDLES&amp;interval=(null)&amp;mobile=(null)&amp;showAT=1</v>
      </c>
      <c r="AY142" s="142"/>
      <c r="AZ142" s="142"/>
      <c r="BA142" s="142"/>
      <c r="BB142" s="142"/>
    </row>
    <row r="143" spans="1:54" ht="15" customHeight="1" x14ac:dyDescent="0.2">
      <c r="A143" s="142" t="s">
        <v>1262</v>
      </c>
      <c r="B143" s="142" t="str" cm="1">
        <f t="array" aca="1" ref="B143" ca="1">OFFSET(POrigin,MATCH(Valori[[#This Row],[smo_id]],Posizioni[smo_id],0),MATCH("LUKB_id",PIntestazioni,0)-1,1,1)</f>
        <v>35722327,361,333</v>
      </c>
      <c r="C143" s="1668" t="str">
        <f ca="1">HYPERLINK("https://boersenundmaerkte.lukb.ch/lukb/details/"&amp;Valori[[#This Row],[LUKB_id]],"è")</f>
        <v>è</v>
      </c>
      <c r="D143" s="142" t="str" cm="1">
        <f t="array" aca="1" ref="D143" ca="1">OFFSET(POrigin,MATCH(Valori[[#This Row],[LUKB_id]],PID,0),MATCH("SC_GROUPED",PIntestazioni,0)-1,1,1)</f>
        <v>ETF</v>
      </c>
      <c r="E143" s="413" t="str" cm="1">
        <f t="array" aca="1" ref="E143" ca="1">OFFSET(POrigin,MATCH(Valori[[#This Row],[LUKB_id]],PID,0),MATCH("isin",PIntestazioni,0)-1,1,1)</f>
        <v>IE00B4LN9N13</v>
      </c>
      <c r="F143" s="34" t="str" cm="1">
        <f t="array" aca="1" ref="F143" ca="1">OFFSET(POrigin,MATCH(Valori[[#This Row],[LUKB_id]],PID,0),MATCH("NSIN_CH",PLabel,0)-1,1,1)</f>
        <v>35722327</v>
      </c>
      <c r="G143" s="95" t="str" cm="1">
        <f t="array" aca="1" ref="G143" ca="1">IF(OFFSET(POrigin,MATCH(Valori[[#This Row],[LUKB_id]],PID,0),MATCH("INSTRUNIT",PLabel,0)-1,1,1)="Nominal","Pct","Unit")</f>
        <v>Unit</v>
      </c>
      <c r="H143" s="612">
        <f ca="1">MAX(OFFSET(POrigin,MATCH(Valori[[#This Row],[LUKB_id]],PID,0),MATCH("PRICINGAMT",PLabel,0)-1,1,1),1)</f>
        <v>1</v>
      </c>
      <c r="I143" s="615" t="str" cm="1">
        <f t="array" aca="1" ref="I143" ca="1">OFFSET(POrigin,MATCH(Valori[[#This Row],[LUKB_id]],PID,0),MATCH("M_NAME",PLabel,0)-1,1,1)</f>
        <v>iShares V PLC - iShares S&amp;P 500 Industrials Sector UCITS ETF</v>
      </c>
      <c r="J143" s="142" t="s">
        <v>1263</v>
      </c>
      <c r="M143" s="142" t="str" cm="1">
        <f t="array" aca="1" ref="M1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Industrials Sector (acc)</v>
      </c>
      <c r="N143" s="1563">
        <f ca="1">COUNTIF('CHF M'!smo_id,Valori[[#This Row],[smo_id]])+COUNTIF('CHF MA'!smo_id,Valori[[#This Row],[smo_id]])+COUNTIF('EUR MB'!smo_id,Valori[[#This Row],[smo_id]])+COUNTIF('EUR M'!smo_id,Valori[[#This Row],[smo_id]])+COUNTIF(AGCO!smo_id,Valori[[#This Row],[smo_id]])</f>
        <v>0</v>
      </c>
      <c r="O143" s="1590" cm="1">
        <f t="array" aca="1" ref="O143" ca="1">SUM(IF('CHF M'!smo_id=Valori[[#This Row],[smo_id]],'CHF M'!Posizione))+SUM(IF('CHF MA'!smo_id=Valori[[#This Row],[smo_id]],'CHF MA'!Posizione))+SUM(IF('EUR MB'!smo_id=Valori[[#This Row],[smo_id]],'EUR MB'!Posizione))+SUM(IF('EUR M'!smo_id=Valori[[#This Row],[smo_id]],'EUR M'!Posizione))+SUM(IF(AGCO!smo_id=Valori[[#This Row],[smo_id]],AGCO!Posizione))</f>
        <v>0</v>
      </c>
      <c r="P143" s="1661" t="str">
        <f ca="1">HYPERLINK(Valori[[#This Row],[P_Source]],"è")</f>
        <v>è</v>
      </c>
      <c r="Q143" s="1663" t="str">
        <f>HYPERLINK(Valori[[#This Row],[Info_W]],"i")</f>
        <v>i</v>
      </c>
      <c r="R143" s="1664" t="str">
        <f>HYPERLINK(Valori[[#This Row],[FN_W]],"")</f>
        <v></v>
      </c>
      <c r="S143" s="1665" t="str">
        <f>HYPERLINK(Valori[[#This Row],[MS_Link]],"")</f>
        <v></v>
      </c>
      <c r="T143" s="1665" t="str">
        <f>HYPERLINK(Valori[[#This Row],[C_source]],"")</f>
        <v></v>
      </c>
      <c r="U143" s="142" t="str" cm="1">
        <f t="array" aca="1" ref="U143" ca="1">OFFSET(POrigin,MATCH(Valori[[#This Row],[LUKB_id]],PID,0),MATCH("M_CUR",PLabel,0)-1,1,1)</f>
        <v>USD</v>
      </c>
      <c r="V143" s="1562">
        <f ca="1">(Valori[[#This Row],[Last]]+Valori[[#This Row],[Acc. Int]])/Valori[[#This Row],[Pr.Amt]]/IF(Valori[[#This Row],[P_Type]]="Pct",100,1)</f>
        <v>14.76</v>
      </c>
      <c r="W143" s="1591" cm="1">
        <f t="array" aca="1" ref="W143" ca="1">OFFSET(POrigin,MATCH(Valori[[#This Row],[LUKB_id]],PID,0),MATCH("NC2_PR",PLabel,0)-1,1,1)/100</f>
        <v>-1.3698630136986401E-2</v>
      </c>
      <c r="X143" s="1592" cm="1">
        <f t="array" aca="1" ref="X143" ca="1">OFFSET(POrigin,MATCH(Valori[[#This Row],[LUKB_id]],PID,0),MATCH("LVAL",PLabel,0)-1,1,1)</f>
        <v>14.76</v>
      </c>
      <c r="Y143" s="1593" cm="1">
        <f t="array" aca="1" ref="Y143" ca="1">OFFSET(POrigin,MATCH(Valori[[#This Row],[LUKB_id]],PID,0),MATCH("LVAL:datetime",PLabel,0)-1,1,1)</f>
        <v>46084.732638888891</v>
      </c>
      <c r="Z143" s="1594" cm="1">
        <f t="array" aca="1" ref="Z143" ca="1">OFFSET(POrigin,MATCH(Valori[[#This Row],[LUKB_id]],PID,0),MATCH("BID:volume",PLabel,0)-1,1,1)</f>
        <v>400</v>
      </c>
      <c r="AA143" s="1595" cm="1">
        <f t="array" aca="1" ref="AA143" ca="1">OFFSET(POrigin,MATCH(Valori[[#This Row],[LUKB_id]],PID,0),MATCH("BID",PLabel,0)-1,1,1)</f>
        <v>14.4</v>
      </c>
      <c r="AB143" s="1595" cm="1">
        <f t="array" aca="1" ref="AB143" ca="1">OFFSET(POrigin,MATCH(Valori[[#This Row],[LUKB_id]],PID,0),MATCH("ASK",PLabel,0)-1,1,1)</f>
        <v>15.765000000000001</v>
      </c>
      <c r="AC143" s="1594" cm="1">
        <f t="array" aca="1" ref="AC143" ca="1">OFFSET(POrigin,MATCH(Valori[[#This Row],[LUKB_id]],PID,0),MATCH("ASK:volume",PLabel,0)-1,1,1)</f>
        <v>45</v>
      </c>
      <c r="AD143" s="1596" cm="1">
        <f t="array" aca="1" ref="AD143" ca="1">OFFSET(POrigin,MATCH(Valori[[#This Row],[LUKB_id]],PID,0),MATCH("BID-ASK Spread %",PLabel,0)-1,1,1)</f>
        <v>6.125883540895323E-2</v>
      </c>
      <c r="AE143" s="1597" t="str" cm="1">
        <f t="array" aca="1" ref="AE143" ca="1">IF(OFFSET(POrigin,MATCH(Valori[[#This Row],[LUKB_id]],PID,0),MATCH("MATURITY",PLabel,0)-1,1,1)&gt;0,OFFSET(POrigin,MATCH(Valori[[#This Row],[LUKB_id]],PID,0),MATCH("MATURITY",PLabel,0)-1,1,1),"")</f>
        <v/>
      </c>
      <c r="AF143" s="1598" cm="1">
        <f t="array" aca="1" ref="AF143" ca="1">OFFSET(POrigin,MATCH(Valori[[#This Row],[LUKB_id]],PID,0),MATCH("ACCINT",PLabel,0)-1,1,1)</f>
        <v>0</v>
      </c>
      <c r="AG143" s="1594" cm="1">
        <f t="array" aca="1" ref="AG143" ca="1">OFFSET(POrigin,MATCH(Valori[[#This Row],[LUKB_id]],PID,0),MATCH("DENOM",PLabel,0)-1,1,1)</f>
        <v>0</v>
      </c>
      <c r="AH143" s="1599" cm="1">
        <f t="array" aca="1" ref="AH143" ca="1">(OFFSET(POrigin,MATCH(Valori[[#This Row],[LUKB_id]],PID,0),MATCH("YIELD",PLabel,0)-1,1,1)+OFFSET(POrigin,MATCH(Valori[[#This Row],[LUKB_id]],PID,0),MATCH("YLDEQ",PLabel,0)-1,1,1))/100</f>
        <v>0</v>
      </c>
      <c r="AI143" s="1600">
        <f ca="1">OFFSET(POrigin,MATCH(Valori[[#This Row],[LUKB_id]],PID,0),MATCH("DIVIDEND",PLabel,0)-1,1,1)</f>
        <v>0</v>
      </c>
      <c r="AJ143" s="1601">
        <f ca="1">OFFSET(POrigin,MATCH(Valori[[#This Row],[LUKB_id]],PID,0),MATCH("DIVIDEND:datetime",PLabel,0)-1,1,1)</f>
        <v>0</v>
      </c>
      <c r="AK143" s="1602">
        <f ca="1">OFFSET(POrigin,MATCH(Valori[[#This Row],[LUKB_id]],PID,0),MATCH("INTEREST",PLabel,0)-1,1,1)</f>
        <v>0</v>
      </c>
      <c r="AL143" s="1603">
        <f ca="1">OFFSET(POrigin,MATCH(Valori[[#This Row],[LUKB_id]],PID,0),MATCH("4W_PERF_PR",PLabel,0)-1,1,1)/100</f>
        <v>3.5063109999999995E-2</v>
      </c>
      <c r="AM143" s="1603">
        <f ca="1">OFFSET(POrigin,MATCH(Valori[[#This Row],[LUKB_id]],PID,0),MATCH("12W_PERF_PR",PLabel,0)-1,1,1)/100</f>
        <v>0.13494810000000002</v>
      </c>
      <c r="AN143" s="1603">
        <f ca="1">OFFSET(POrigin,MATCH(Valori[[#This Row],[LUKB_id]],PID,0),MATCH("YTD_PERF_PR",PLabel,0)-1,1,1)/100</f>
        <v>0.13521714394083001</v>
      </c>
      <c r="AO143" s="1591"/>
      <c r="AP143" s="1591"/>
      <c r="AQ143" s="1591"/>
      <c r="AR143" s="1591"/>
      <c r="AS143" s="1890" t="s">
        <v>1264</v>
      </c>
      <c r="AT143" s="1890"/>
      <c r="AU143" s="610" t="s">
        <v>1265</v>
      </c>
      <c r="AV143" s="1891"/>
      <c r="AW143" s="1604" t="str">
        <f ca="1">"https://boersenundmaerkte.lukb.ch/lukb/details/"&amp;Valori[[#This Row],[LUKB_id]]</f>
        <v>https://boersenundmaerkte.lukb.ch/lukb/details/35722327,361,333</v>
      </c>
      <c r="AX143" s="1605" t="str">
        <f>"https://www.marketscreener.com/mods_a/charts/TV/inc_dyna_graph.php?c="&amp;Valori[[#This Row],[MS_Code]]&amp;"&amp;style=TradingView.CANDLES&amp;interval=(null)&amp;mobile=(null)&amp;showAT=1"</f>
        <v>https://www.marketscreener.com/mods_a/charts/TV/inc_dyna_graph.php?c=35867922&amp;style=TradingView.CANDLES&amp;interval=(null)&amp;mobile=(null)&amp;showAT=1</v>
      </c>
      <c r="AY143" s="142"/>
      <c r="AZ143" s="142"/>
      <c r="BA143" s="142"/>
      <c r="BB143" s="142"/>
    </row>
    <row r="144" spans="1:54" ht="15" customHeight="1" x14ac:dyDescent="0.2">
      <c r="A144" s="142" t="s">
        <v>1266</v>
      </c>
      <c r="B144" s="142" t="str" cm="1">
        <f t="array" aca="1" ref="B144" ca="1">OFFSET(POrigin,MATCH(Valori[[#This Row],[smo_id]],Posizioni[smo_id],0),MATCH("LUKB_id",PIntestazioni,0)-1,1,1)</f>
        <v>30453015,361,333</v>
      </c>
      <c r="C144" s="1668" t="str">
        <f ca="1">HYPERLINK("https://boersenundmaerkte.lukb.ch/lukb/details/"&amp;Valori[[#This Row],[LUKB_id]],"è")</f>
        <v>è</v>
      </c>
      <c r="D144" s="142" t="str" cm="1">
        <f t="array" aca="1" ref="D144" ca="1">OFFSET(POrigin,MATCH(Valori[[#This Row],[LUKB_id]],PID,0),MATCH("SC_GROUPED",PIntestazioni,0)-1,1,1)</f>
        <v>ETF</v>
      </c>
      <c r="E144" s="413" t="str" cm="1">
        <f t="array" aca="1" ref="E144" ca="1">OFFSET(POrigin,MATCH(Valori[[#This Row],[LUKB_id]],PID,0),MATCH("isin",PIntestazioni,0)-1,1,1)</f>
        <v>IE00B3WJKG14</v>
      </c>
      <c r="F144" s="34" t="str" cm="1">
        <f t="array" aca="1" ref="F144" ca="1">OFFSET(POrigin,MATCH(Valori[[#This Row],[LUKB_id]],PID,0),MATCH("NSIN_CH",PLabel,0)-1,1,1)</f>
        <v>30453015</v>
      </c>
      <c r="G144" s="95" t="str" cm="1">
        <f t="array" aca="1" ref="G144" ca="1">IF(OFFSET(POrigin,MATCH(Valori[[#This Row],[LUKB_id]],PID,0),MATCH("INSTRUNIT",PLabel,0)-1,1,1)="Nominal","Pct","Unit")</f>
        <v>Unit</v>
      </c>
      <c r="H144" s="612">
        <f ca="1">MAX(OFFSET(POrigin,MATCH(Valori[[#This Row],[LUKB_id]],PID,0),MATCH("PRICINGAMT",PLabel,0)-1,1,1),1)</f>
        <v>1</v>
      </c>
      <c r="I144" s="615" t="str" cm="1">
        <f t="array" aca="1" ref="I144" ca="1">OFFSET(POrigin,MATCH(Valori[[#This Row],[LUKB_id]],PID,0),MATCH("M_NAME",PLabel,0)-1,1,1)</f>
        <v>iShares V PLC - iShares S&amp;P 500 Information     Technology Sector UCITS ETF</v>
      </c>
      <c r="J144" s="142" t="s">
        <v>509</v>
      </c>
      <c r="M144" s="142" t="str" cm="1">
        <f t="array" aca="1" ref="M1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Information Technology Sector UCITS ETF USD (Acc)</v>
      </c>
      <c r="N144" s="1563">
        <f ca="1">COUNTIF('CHF M'!smo_id,Valori[[#This Row],[smo_id]])+COUNTIF('CHF MA'!smo_id,Valori[[#This Row],[smo_id]])+COUNTIF('EUR MB'!smo_id,Valori[[#This Row],[smo_id]])+COUNTIF('EUR M'!smo_id,Valori[[#This Row],[smo_id]])+COUNTIF(AGCO!smo_id,Valori[[#This Row],[smo_id]])</f>
        <v>0</v>
      </c>
      <c r="O144" s="1590" cm="1">
        <f t="array" aca="1" ref="O144" ca="1">SUM(IF('CHF M'!smo_id=Valori[[#This Row],[smo_id]],'CHF M'!Posizione))+SUM(IF('CHF MA'!smo_id=Valori[[#This Row],[smo_id]],'CHF MA'!Posizione))+SUM(IF('EUR MB'!smo_id=Valori[[#This Row],[smo_id]],'EUR MB'!Posizione))+SUM(IF('EUR M'!smo_id=Valori[[#This Row],[smo_id]],'EUR M'!Posizione))+SUM(IF(AGCO!smo_id=Valori[[#This Row],[smo_id]],AGCO!Posizione))</f>
        <v>0</v>
      </c>
      <c r="P144" s="1661" t="str">
        <f ca="1">HYPERLINK(Valori[[#This Row],[P_Source]],"è")</f>
        <v>è</v>
      </c>
      <c r="Q144" s="1663" t="str">
        <f>HYPERLINK(Valori[[#This Row],[Info_W]],"i")</f>
        <v>i</v>
      </c>
      <c r="R144" s="1664" t="str">
        <f>HYPERLINK(Valori[[#This Row],[FN_W]],"")</f>
        <v></v>
      </c>
      <c r="S144" s="1665" t="str">
        <f>HYPERLINK(Valori[[#This Row],[MS_Link]],"")</f>
        <v></v>
      </c>
      <c r="T144" s="1665" t="str">
        <f>HYPERLINK(Valori[[#This Row],[C_source]],"")</f>
        <v></v>
      </c>
      <c r="U144" s="142" t="str" cm="1">
        <f t="array" aca="1" ref="U144" ca="1">OFFSET(POrigin,MATCH(Valori[[#This Row],[LUKB_id]],PID,0),MATCH("M_CUR",PLabel,0)-1,1,1)</f>
        <v>USD</v>
      </c>
      <c r="V144" s="1562">
        <f ca="1">(Valori[[#This Row],[Last]]+Valori[[#This Row],[Acc. Int]])/Valori[[#This Row],[Pr.Amt]]/IF(Valori[[#This Row],[P_Type]]="Pct",100,1)</f>
        <v>39.230000000000004</v>
      </c>
      <c r="W144" s="1591" cm="1">
        <f t="array" aca="1" ref="W144" ca="1">OFFSET(POrigin,MATCH(Valori[[#This Row],[LUKB_id]],PID,0),MATCH("NC2_PR",PLabel,0)-1,1,1)/100</f>
        <v>-8.0910240202275996E-3</v>
      </c>
      <c r="X144" s="1592" cm="1">
        <f t="array" aca="1" ref="X144" ca="1">OFFSET(POrigin,MATCH(Valori[[#This Row],[LUKB_id]],PID,0),MATCH("LVAL",PLabel,0)-1,1,1)</f>
        <v>39.230000000000004</v>
      </c>
      <c r="Y144" s="1593" cm="1">
        <f t="array" aca="1" ref="Y144" ca="1">OFFSET(POrigin,MATCH(Valori[[#This Row],[LUKB_id]],PID,0),MATCH("LVAL:datetime",PLabel,0)-1,1,1)</f>
        <v>46084.732638888891</v>
      </c>
      <c r="Z144" s="1594" cm="1">
        <f t="array" aca="1" ref="Z144" ca="1">OFFSET(POrigin,MATCH(Valori[[#This Row],[LUKB_id]],PID,0),MATCH("BID:volume",PLabel,0)-1,1,1)</f>
        <v>13</v>
      </c>
      <c r="AA144" s="1595" cm="1">
        <f t="array" aca="1" ref="AA144" ca="1">OFFSET(POrigin,MATCH(Valori[[#This Row],[LUKB_id]],PID,0),MATCH("BID",PLabel,0)-1,1,1)</f>
        <v>38.700000000000003</v>
      </c>
      <c r="AB144" s="1595" cm="1">
        <f t="array" aca="1" ref="AB144" ca="1">OFFSET(POrigin,MATCH(Valori[[#This Row],[LUKB_id]],PID,0),MATCH("ASK",PLabel,0)-1,1,1)</f>
        <v>42</v>
      </c>
      <c r="AC144" s="1594" cm="1">
        <f t="array" aca="1" ref="AC144" ca="1">OFFSET(POrigin,MATCH(Valori[[#This Row],[LUKB_id]],PID,0),MATCH("ASK:volume",PLabel,0)-1,1,1)</f>
        <v>450</v>
      </c>
      <c r="AD144" s="1596" cm="1">
        <f t="array" aca="1" ref="AD144" ca="1">OFFSET(POrigin,MATCH(Valori[[#This Row],[LUKB_id]],PID,0),MATCH("BID-ASK Spread %",PLabel,0)-1,1,1)</f>
        <v>5.5276381909547687E-2</v>
      </c>
      <c r="AE144" s="1597" t="str" cm="1">
        <f t="array" aca="1" ref="AE144" ca="1">IF(OFFSET(POrigin,MATCH(Valori[[#This Row],[LUKB_id]],PID,0),MATCH("MATURITY",PLabel,0)-1,1,1)&gt;0,OFFSET(POrigin,MATCH(Valori[[#This Row],[LUKB_id]],PID,0),MATCH("MATURITY",PLabel,0)-1,1,1),"")</f>
        <v/>
      </c>
      <c r="AF144" s="1598" cm="1">
        <f t="array" aca="1" ref="AF144" ca="1">OFFSET(POrigin,MATCH(Valori[[#This Row],[LUKB_id]],PID,0),MATCH("ACCINT",PLabel,0)-1,1,1)</f>
        <v>0</v>
      </c>
      <c r="AG144" s="1594" cm="1">
        <f t="array" aca="1" ref="AG144" ca="1">OFFSET(POrigin,MATCH(Valori[[#This Row],[LUKB_id]],PID,0),MATCH("DENOM",PLabel,0)-1,1,1)</f>
        <v>0</v>
      </c>
      <c r="AH144" s="1599" cm="1">
        <f t="array" aca="1" ref="AH144" ca="1">(OFFSET(POrigin,MATCH(Valori[[#This Row],[LUKB_id]],PID,0),MATCH("YIELD",PLabel,0)-1,1,1)+OFFSET(POrigin,MATCH(Valori[[#This Row],[LUKB_id]],PID,0),MATCH("YLDEQ",PLabel,0)-1,1,1))/100</f>
        <v>0</v>
      </c>
      <c r="AI144" s="1600">
        <f ca="1">OFFSET(POrigin,MATCH(Valori[[#This Row],[LUKB_id]],PID,0),MATCH("DIVIDEND",PLabel,0)-1,1,1)</f>
        <v>0</v>
      </c>
      <c r="AJ144" s="1601">
        <f ca="1">OFFSET(POrigin,MATCH(Valori[[#This Row],[LUKB_id]],PID,0),MATCH("DIVIDEND:datetime",PLabel,0)-1,1,1)</f>
        <v>0</v>
      </c>
      <c r="AK144" s="1602">
        <f ca="1">OFFSET(POrigin,MATCH(Valori[[#This Row],[LUKB_id]],PID,0),MATCH("INTEREST",PLabel,0)-1,1,1)</f>
        <v>0</v>
      </c>
      <c r="AL144" s="1603">
        <f ca="1">OFFSET(POrigin,MATCH(Valori[[#This Row],[LUKB_id]],PID,0),MATCH("4W_PERF_PR",PLabel,0)-1,1,1)/100</f>
        <v>-2.8479449999999996E-2</v>
      </c>
      <c r="AM144" s="1603">
        <f ca="1">OFFSET(POrigin,MATCH(Valori[[#This Row],[LUKB_id]],PID,0),MATCH("12W_PERF_PR",PLabel,0)-1,1,1)/100</f>
        <v>-8.6824949999999998E-2</v>
      </c>
      <c r="AN144" s="1603">
        <f ca="1">OFFSET(POrigin,MATCH(Valori[[#This Row],[LUKB_id]],PID,0),MATCH("YTD_PERF_PR",PLabel,0)-1,1,1)/100</f>
        <v>-6.1461794019933499E-2</v>
      </c>
      <c r="AO144" s="1591"/>
      <c r="AP144" s="1591"/>
      <c r="AQ144" s="1591"/>
      <c r="AR144" s="1591"/>
      <c r="AS144" s="1890" t="s">
        <v>1267</v>
      </c>
      <c r="AT144" s="1890" t="s">
        <v>1268</v>
      </c>
      <c r="AU144" s="610" t="s">
        <v>1269</v>
      </c>
      <c r="AV144" s="1891" t="s">
        <v>1270</v>
      </c>
      <c r="AW144" s="1604" t="str">
        <f ca="1">"https://boersenundmaerkte.lukb.ch/lukb/details/"&amp;Valori[[#This Row],[LUKB_id]]</f>
        <v>https://boersenundmaerkte.lukb.ch/lukb/details/30453015,361,333</v>
      </c>
      <c r="AX144" s="1605" t="str">
        <f>"https://www.zonebourse.com/mods_a/charts/TV/inc_dyna_graph.php?c="&amp;Valori[[#This Row],[MS_Code]]&amp;"&amp;style=TradingView.CANDLES&amp;interval=(null)&amp;mobile=(null)&amp;showAT=1"</f>
        <v>https://www.zonebourse.com/mods_a/charts/TV/inc_dyna_graph.php?c=25012625&amp;style=TradingView.CANDLES&amp;interval=(null)&amp;mobile=(null)&amp;showAT=1</v>
      </c>
      <c r="AY144" s="142"/>
      <c r="AZ144" s="142"/>
      <c r="BA144" s="142"/>
      <c r="BB144" s="142"/>
    </row>
    <row r="145" spans="1:54" ht="15" customHeight="1" x14ac:dyDescent="0.2">
      <c r="A145" s="142" t="s">
        <v>1271</v>
      </c>
      <c r="B145" s="142" t="str" cm="1">
        <f t="array" aca="1" ref="B145" ca="1">OFFSET(POrigin,MATCH(Valori[[#This Row],[smo_id]],Posizioni[smo_id],0),MATCH("LUKB_id",PIntestazioni,0)-1,1,1)</f>
        <v>35722518,361,333</v>
      </c>
      <c r="C145" s="1668" t="str">
        <f ca="1">HYPERLINK("https://boersenundmaerkte.lukb.ch/lukb/details/"&amp;Valori[[#This Row],[LUKB_id]],"è")</f>
        <v>è</v>
      </c>
      <c r="D145" s="142" t="str" cm="1">
        <f t="array" aca="1" ref="D145" ca="1">OFFSET(POrigin,MATCH(Valori[[#This Row],[LUKB_id]],PID,0),MATCH("SC_GROUPED",PIntestazioni,0)-1,1,1)</f>
        <v>ETF</v>
      </c>
      <c r="E145" s="413" t="str" cm="1">
        <f t="array" aca="1" ref="E145" ca="1">OFFSET(POrigin,MATCH(Valori[[#This Row],[LUKB_id]],PID,0),MATCH("isin",PIntestazioni,0)-1,1,1)</f>
        <v>IE00B4MKCJ84</v>
      </c>
      <c r="F145" s="34" t="str" cm="1">
        <f t="array" aca="1" ref="F145" ca="1">OFFSET(POrigin,MATCH(Valori[[#This Row],[LUKB_id]],PID,0),MATCH("NSIN_CH",PLabel,0)-1,1,1)</f>
        <v>35722518</v>
      </c>
      <c r="G145" s="95" t="str" cm="1">
        <f t="array" aca="1" ref="G145" ca="1">IF(OFFSET(POrigin,MATCH(Valori[[#This Row],[LUKB_id]],PID,0),MATCH("INSTRUNIT",PLabel,0)-1,1,1)="Nominal","Pct","Unit")</f>
        <v>Unit</v>
      </c>
      <c r="H145" s="612">
        <f ca="1">MAX(OFFSET(POrigin,MATCH(Valori[[#This Row],[LUKB_id]],PID,0),MATCH("PRICINGAMT",PLabel,0)-1,1,1),1)</f>
        <v>1</v>
      </c>
      <c r="I145" s="615" t="str" cm="1">
        <f t="array" aca="1" ref="I145" ca="1">OFFSET(POrigin,MATCH(Valori[[#This Row],[LUKB_id]],PID,0),MATCH("M_NAME",PLabel,0)-1,1,1)</f>
        <v>iShares V PLC - iShares S&amp;P 500 Materials Sector UCITS ETF</v>
      </c>
      <c r="J145" s="142" t="s">
        <v>1272</v>
      </c>
      <c r="M145" s="142" t="str" cm="1">
        <f t="array" aca="1" ref="M1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iShares S&amp;P 500 Materials Sector UCITS ETF USD (Acc) </v>
      </c>
      <c r="N145" s="1563">
        <f ca="1">COUNTIF('CHF M'!smo_id,Valori[[#This Row],[smo_id]])+COUNTIF('CHF MA'!smo_id,Valori[[#This Row],[smo_id]])+COUNTIF('EUR MB'!smo_id,Valori[[#This Row],[smo_id]])+COUNTIF('EUR M'!smo_id,Valori[[#This Row],[smo_id]])+COUNTIF(AGCO!smo_id,Valori[[#This Row],[smo_id]])</f>
        <v>0</v>
      </c>
      <c r="O145" s="1590" cm="1">
        <f t="array" aca="1" ref="O145" ca="1">SUM(IF('CHF M'!smo_id=Valori[[#This Row],[smo_id]],'CHF M'!Posizione))+SUM(IF('CHF MA'!smo_id=Valori[[#This Row],[smo_id]],'CHF MA'!Posizione))+SUM(IF('EUR MB'!smo_id=Valori[[#This Row],[smo_id]],'EUR MB'!Posizione))+SUM(IF('EUR M'!smo_id=Valori[[#This Row],[smo_id]],'EUR M'!Posizione))+SUM(IF(AGCO!smo_id=Valori[[#This Row],[smo_id]],AGCO!Posizione))</f>
        <v>0</v>
      </c>
      <c r="P145" s="1661" t="str">
        <f ca="1">HYPERLINK(Valori[[#This Row],[P_Source]],"è")</f>
        <v>è</v>
      </c>
      <c r="Q145" s="1663" t="str">
        <f>HYPERLINK(Valori[[#This Row],[Info_W]],"i")</f>
        <v>i</v>
      </c>
      <c r="R145" s="1664" t="str">
        <f>HYPERLINK(Valori[[#This Row],[FN_W]],"")</f>
        <v></v>
      </c>
      <c r="S145" s="1665" t="str">
        <f>HYPERLINK(Valori[[#This Row],[MS_Link]],"")</f>
        <v></v>
      </c>
      <c r="T145" s="1665" t="str">
        <f>HYPERLINK(Valori[[#This Row],[C_source]],"")</f>
        <v></v>
      </c>
      <c r="U145" s="142" t="str" cm="1">
        <f t="array" aca="1" ref="U145" ca="1">OFFSET(POrigin,MATCH(Valori[[#This Row],[LUKB_id]],PID,0),MATCH("M_CUR",PLabel,0)-1,1,1)</f>
        <v>USD</v>
      </c>
      <c r="V145" s="1562">
        <f ca="1">(Valori[[#This Row],[Last]]+Valori[[#This Row],[Acc. Int]])/Valori[[#This Row],[Pr.Amt]]/IF(Valori[[#This Row],[P_Type]]="Pct",100,1)</f>
        <v>11.44</v>
      </c>
      <c r="W145" s="1591" cm="1">
        <f t="array" aca="1" ref="W145" ca="1">OFFSET(POrigin,MATCH(Valori[[#This Row],[LUKB_id]],PID,0),MATCH("NC2_PR",PLabel,0)-1,1,1)/100</f>
        <v>-2.6797107613781498E-2</v>
      </c>
      <c r="X145" s="1592" cm="1">
        <f t="array" aca="1" ref="X145" ca="1">OFFSET(POrigin,MATCH(Valori[[#This Row],[LUKB_id]],PID,0),MATCH("LVAL",PLabel,0)-1,1,1)</f>
        <v>11.44</v>
      </c>
      <c r="Y145" s="1593" cm="1">
        <f t="array" aca="1" ref="Y145" ca="1">OFFSET(POrigin,MATCH(Valori[[#This Row],[LUKB_id]],PID,0),MATCH("LVAL:datetime",PLabel,0)-1,1,1)</f>
        <v>46084.732800925929</v>
      </c>
      <c r="Z145" s="1594" cm="1">
        <f t="array" aca="1" ref="Z145" ca="1">OFFSET(POrigin,MATCH(Valori[[#This Row],[LUKB_id]],PID,0),MATCH("BID:volume",PLabel,0)-1,1,1)</f>
        <v>7990</v>
      </c>
      <c r="AA145" s="1595" cm="1">
        <f t="array" aca="1" ref="AA145" ca="1">OFFSET(POrigin,MATCH(Valori[[#This Row],[LUKB_id]],PID,0),MATCH("BID",PLabel,0)-1,1,1)</f>
        <v>11.22</v>
      </c>
      <c r="AB145" s="1595" cm="1">
        <f t="array" aca="1" ref="AB145" ca="1">OFFSET(POrigin,MATCH(Valori[[#This Row],[LUKB_id]],PID,0),MATCH("ASK",PLabel,0)-1,1,1)</f>
        <v>11.455</v>
      </c>
      <c r="AC145" s="1594" cm="1">
        <f t="array" aca="1" ref="AC145" ca="1">OFFSET(POrigin,MATCH(Valori[[#This Row],[LUKB_id]],PID,0),MATCH("ASK:volume",PLabel,0)-1,1,1)</f>
        <v>207</v>
      </c>
      <c r="AD145" s="1596" cm="1">
        <f t="array" aca="1" ref="AD145" ca="1">OFFSET(POrigin,MATCH(Valori[[#This Row],[LUKB_id]],PID,0),MATCH("BID-ASK Spread %",PLabel,0)-1,1,1)</f>
        <v>1.3866351969316973E-2</v>
      </c>
      <c r="AE145" s="1597" t="str" cm="1">
        <f t="array" aca="1" ref="AE145" ca="1">IF(OFFSET(POrigin,MATCH(Valori[[#This Row],[LUKB_id]],PID,0),MATCH("MATURITY",PLabel,0)-1,1,1)&gt;0,OFFSET(POrigin,MATCH(Valori[[#This Row],[LUKB_id]],PID,0),MATCH("MATURITY",PLabel,0)-1,1,1),"")</f>
        <v/>
      </c>
      <c r="AF145" s="1598" cm="1">
        <f t="array" aca="1" ref="AF145" ca="1">OFFSET(POrigin,MATCH(Valori[[#This Row],[LUKB_id]],PID,0),MATCH("ACCINT",PLabel,0)-1,1,1)</f>
        <v>0</v>
      </c>
      <c r="AG145" s="1594" cm="1">
        <f t="array" aca="1" ref="AG145" ca="1">OFFSET(POrigin,MATCH(Valori[[#This Row],[LUKB_id]],PID,0),MATCH("DENOM",PLabel,0)-1,1,1)</f>
        <v>0</v>
      </c>
      <c r="AH145" s="1599" cm="1">
        <f t="array" aca="1" ref="AH145" ca="1">(OFFSET(POrigin,MATCH(Valori[[#This Row],[LUKB_id]],PID,0),MATCH("YIELD",PLabel,0)-1,1,1)+OFFSET(POrigin,MATCH(Valori[[#This Row],[LUKB_id]],PID,0),MATCH("YLDEQ",PLabel,0)-1,1,1))/100</f>
        <v>0</v>
      </c>
      <c r="AI145" s="1600">
        <f ca="1">OFFSET(POrigin,MATCH(Valori[[#This Row],[LUKB_id]],PID,0),MATCH("DIVIDEND",PLabel,0)-1,1,1)</f>
        <v>0</v>
      </c>
      <c r="AJ145" s="1601">
        <f ca="1">OFFSET(POrigin,MATCH(Valori[[#This Row],[LUKB_id]],PID,0),MATCH("DIVIDEND:datetime",PLabel,0)-1,1,1)</f>
        <v>0</v>
      </c>
      <c r="AK145" s="1602">
        <f ca="1">OFFSET(POrigin,MATCH(Valori[[#This Row],[LUKB_id]],PID,0),MATCH("INTEREST",PLabel,0)-1,1,1)</f>
        <v>0</v>
      </c>
      <c r="AL145" s="1603">
        <f ca="1">OFFSET(POrigin,MATCH(Valori[[#This Row],[LUKB_id]],PID,0),MATCH("4W_PERF_PR",PLabel,0)-1,1,1)/100</f>
        <v>6.1565499999999993E-3</v>
      </c>
      <c r="AM145" s="1603">
        <f ca="1">OFFSET(POrigin,MATCH(Valori[[#This Row],[LUKB_id]],PID,0),MATCH("12W_PERF_PR",PLabel,0)-1,1,1)/100</f>
        <v>0.18395860000000003</v>
      </c>
      <c r="AN145" s="1603">
        <f ca="1">OFFSET(POrigin,MATCH(Valori[[#This Row],[LUKB_id]],PID,0),MATCH("YTD_PERF_PR",PLabel,0)-1,1,1)/100</f>
        <v>0.15670356703567001</v>
      </c>
      <c r="AO145" s="1591"/>
      <c r="AP145" s="1591"/>
      <c r="AQ145" s="1591"/>
      <c r="AR145" s="1591"/>
      <c r="AS145" s="1890" t="s">
        <v>1273</v>
      </c>
      <c r="AT145" s="1890" t="s">
        <v>1274</v>
      </c>
      <c r="AU145" s="610" t="s">
        <v>1275</v>
      </c>
      <c r="AV145" s="1891" t="s">
        <v>1276</v>
      </c>
      <c r="AW145" s="1604" t="str">
        <f ca="1">"https://boersenundmaerkte.lukb.ch/lukb/details/"&amp;Valori[[#This Row],[LUKB_id]]</f>
        <v>https://boersenundmaerkte.lukb.ch/lukb/details/35722518,361,333</v>
      </c>
      <c r="AX145" s="1605" t="str">
        <f>"https://www.marketscreener.com/mods_a/charts/TV/inc_dyna_graph.php?c="&amp;Valori[[#This Row],[MS_Code]]&amp;"&amp;style=TradingView.CANDLES&amp;interval=(null)&amp;mobile=(null)&amp;showAT=1"</f>
        <v>https://www.marketscreener.com/mods_a/charts/TV/inc_dyna_graph.php?c=35867923&amp;style=TradingView.CANDLES&amp;interval=(null)&amp;mobile=(null)&amp;showAT=1</v>
      </c>
      <c r="AY145" s="142"/>
      <c r="AZ145" s="142"/>
      <c r="BA145" s="142"/>
      <c r="BB145" s="142"/>
    </row>
    <row r="146" spans="1:54" ht="15" customHeight="1" x14ac:dyDescent="0.2">
      <c r="A146" s="142" t="s">
        <v>1277</v>
      </c>
      <c r="B146" s="142" t="str" cm="1">
        <f t="array" aca="1" ref="B146" ca="1">OFFSET(POrigin,MATCH(Valori[[#This Row],[smo_id]],Posizioni[smo_id],0),MATCH("LUKB_id",PIntestazioni,0)-1,1,1)</f>
        <v>35722455,361,333</v>
      </c>
      <c r="C146" s="1668" t="str">
        <f ca="1">HYPERLINK("https://boersenundmaerkte.lukb.ch/lukb/details/"&amp;Valori[[#This Row],[LUKB_id]],"è")</f>
        <v>è</v>
      </c>
      <c r="D146" s="142" t="str" cm="1">
        <f t="array" aca="1" ref="D146" ca="1">OFFSET(POrigin,MATCH(Valori[[#This Row],[LUKB_id]],PID,0),MATCH("SC_GROUPED",PIntestazioni,0)-1,1,1)</f>
        <v>ETF</v>
      </c>
      <c r="E146" s="413" t="str" cm="1">
        <f t="array" aca="1" ref="E146" ca="1">OFFSET(POrigin,MATCH(Valori[[#This Row],[LUKB_id]],PID,0),MATCH("isin",PIntestazioni,0)-1,1,1)</f>
        <v>IE00B4KBBD01</v>
      </c>
      <c r="F146" s="34" t="str" cm="1">
        <f t="array" aca="1" ref="F146" ca="1">OFFSET(POrigin,MATCH(Valori[[#This Row],[LUKB_id]],PID,0),MATCH("NSIN_CH",PLabel,0)-1,1,1)</f>
        <v>35722455</v>
      </c>
      <c r="G146" s="95" t="str" cm="1">
        <f t="array" aca="1" ref="G146" ca="1">IF(OFFSET(POrigin,MATCH(Valori[[#This Row],[LUKB_id]],PID,0),MATCH("INSTRUNIT",PLabel,0)-1,1,1)="Nominal","Pct","Unit")</f>
        <v>Unit</v>
      </c>
      <c r="H146" s="612">
        <f ca="1">MAX(OFFSET(POrigin,MATCH(Valori[[#This Row],[LUKB_id]],PID,0),MATCH("PRICINGAMT",PLabel,0)-1,1,1),1)</f>
        <v>1</v>
      </c>
      <c r="I146" s="615" t="str" cm="1">
        <f t="array" aca="1" ref="I146" ca="1">OFFSET(POrigin,MATCH(Valori[[#This Row],[LUKB_id]],PID,0),MATCH("M_NAME",PLabel,0)-1,1,1)</f>
        <v>iShares V PLC - iShares S&amp;P 500 Utilities Sector UCITS ETF</v>
      </c>
      <c r="J146" s="142" t="s">
        <v>1278</v>
      </c>
      <c r="M146" s="142" t="str" cm="1">
        <f t="array" aca="1" ref="M1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Utilities Sector UCITS ETF USD (acc)</v>
      </c>
      <c r="N146" s="1563">
        <f ca="1">COUNTIF('CHF M'!smo_id,Valori[[#This Row],[smo_id]])+COUNTIF('CHF MA'!smo_id,Valori[[#This Row],[smo_id]])+COUNTIF('EUR MB'!smo_id,Valori[[#This Row],[smo_id]])+COUNTIF('EUR M'!smo_id,Valori[[#This Row],[smo_id]])+COUNTIF(AGCO!smo_id,Valori[[#This Row],[smo_id]])</f>
        <v>0</v>
      </c>
      <c r="O146" s="1590" cm="1">
        <f t="array" aca="1" ref="O146" ca="1">SUM(IF('CHF M'!smo_id=Valori[[#This Row],[smo_id]],'CHF M'!Posizione))+SUM(IF('CHF MA'!smo_id=Valori[[#This Row],[smo_id]],'CHF MA'!Posizione))+SUM(IF('EUR MB'!smo_id=Valori[[#This Row],[smo_id]],'EUR MB'!Posizione))+SUM(IF('EUR M'!smo_id=Valori[[#This Row],[smo_id]],'EUR M'!Posizione))+SUM(IF(AGCO!smo_id=Valori[[#This Row],[smo_id]],AGCO!Posizione))</f>
        <v>0</v>
      </c>
      <c r="P146" s="1661" t="str">
        <f ca="1">HYPERLINK(Valori[[#This Row],[P_Source]],"è")</f>
        <v>è</v>
      </c>
      <c r="Q146" s="1663" t="str">
        <f>HYPERLINK(Valori[[#This Row],[Info_W]],"i")</f>
        <v>i</v>
      </c>
      <c r="R146" s="1664" t="str">
        <f>HYPERLINK(Valori[[#This Row],[FN_W]],"")</f>
        <v></v>
      </c>
      <c r="S146" s="1665" t="str">
        <f>HYPERLINK(Valori[[#This Row],[MS_Link]],"")</f>
        <v></v>
      </c>
      <c r="T146" s="1665" t="str">
        <f>HYPERLINK(Valori[[#This Row],[C_source]],"")</f>
        <v></v>
      </c>
      <c r="U146" s="142" t="str" cm="1">
        <f t="array" aca="1" ref="U146" ca="1">OFFSET(POrigin,MATCH(Valori[[#This Row],[LUKB_id]],PID,0),MATCH("M_CUR",PLabel,0)-1,1,1)</f>
        <v>USD</v>
      </c>
      <c r="V146" s="1562">
        <f ca="1">(Valori[[#This Row],[Last]]+Valori[[#This Row],[Acc. Int]])/Valori[[#This Row],[Pr.Amt]]/IF(Valori[[#This Row],[P_Type]]="Pct",100,1)</f>
        <v>11.404999999999999</v>
      </c>
      <c r="W146" s="1591" cm="1">
        <f t="array" aca="1" ref="W146" ca="1">OFFSET(POrigin,MATCH(Valori[[#This Row],[LUKB_id]],PID,0),MATCH("NC2_PR",PLabel,0)-1,1,1)/100</f>
        <v>-2.5630072618539203E-2</v>
      </c>
      <c r="X146" s="1592" cm="1">
        <f t="array" aca="1" ref="X146" ca="1">OFFSET(POrigin,MATCH(Valori[[#This Row],[LUKB_id]],PID,0),MATCH("LVAL",PLabel,0)-1,1,1)</f>
        <v>11.404999999999999</v>
      </c>
      <c r="Y146" s="1593" cm="1">
        <f t="array" aca="1" ref="Y146" ca="1">OFFSET(POrigin,MATCH(Valori[[#This Row],[LUKB_id]],PID,0),MATCH("LVAL:datetime",PLabel,0)-1,1,1)</f>
        <v>46084.732951388891</v>
      </c>
      <c r="Z146" s="1594" cm="1">
        <f t="array" aca="1" ref="Z146" ca="1">OFFSET(POrigin,MATCH(Valori[[#This Row],[LUKB_id]],PID,0),MATCH("BID:volume",PLabel,0)-1,1,1)</f>
        <v>900</v>
      </c>
      <c r="AA146" s="1595" cm="1">
        <f t="array" aca="1" ref="AA146" ca="1">OFFSET(POrigin,MATCH(Valori[[#This Row],[LUKB_id]],PID,0),MATCH("BID",PLabel,0)-1,1,1)</f>
        <v>10.8</v>
      </c>
      <c r="AB146" s="1595" cm="1">
        <f t="array" aca="1" ref="AB146" ca="1">OFFSET(POrigin,MATCH(Valori[[#This Row],[LUKB_id]],PID,0),MATCH("ASK",PLabel,0)-1,1,1)</f>
        <v>11.73</v>
      </c>
      <c r="AC146" s="1594" cm="1">
        <f t="array" aca="1" ref="AC146" ca="1">OFFSET(POrigin,MATCH(Valori[[#This Row],[LUKB_id]],PID,0),MATCH("ASK:volume",PLabel,0)-1,1,1)</f>
        <v>613</v>
      </c>
      <c r="AD146" s="1596" cm="1">
        <f t="array" aca="1" ref="AD146" ca="1">OFFSET(POrigin,MATCH(Valori[[#This Row],[LUKB_id]],PID,0),MATCH("BID-ASK Spread %",PLabel,0)-1,1,1)</f>
        <v>5.580558055805579E-2</v>
      </c>
      <c r="AE146" s="1597" t="str" cm="1">
        <f t="array" aca="1" ref="AE146" ca="1">IF(OFFSET(POrigin,MATCH(Valori[[#This Row],[LUKB_id]],PID,0),MATCH("MATURITY",PLabel,0)-1,1,1)&gt;0,OFFSET(POrigin,MATCH(Valori[[#This Row],[LUKB_id]],PID,0),MATCH("MATURITY",PLabel,0)-1,1,1),"")</f>
        <v/>
      </c>
      <c r="AF146" s="1598" cm="1">
        <f t="array" aca="1" ref="AF146" ca="1">OFFSET(POrigin,MATCH(Valori[[#This Row],[LUKB_id]],PID,0),MATCH("ACCINT",PLabel,0)-1,1,1)</f>
        <v>0</v>
      </c>
      <c r="AG146" s="1594" cm="1">
        <f t="array" aca="1" ref="AG146" ca="1">OFFSET(POrigin,MATCH(Valori[[#This Row],[LUKB_id]],PID,0),MATCH("DENOM",PLabel,0)-1,1,1)</f>
        <v>0</v>
      </c>
      <c r="AH146" s="1599" cm="1">
        <f t="array" aca="1" ref="AH146" ca="1">(OFFSET(POrigin,MATCH(Valori[[#This Row],[LUKB_id]],PID,0),MATCH("YIELD",PLabel,0)-1,1,1)+OFFSET(POrigin,MATCH(Valori[[#This Row],[LUKB_id]],PID,0),MATCH("YLDEQ",PLabel,0)-1,1,1))/100</f>
        <v>0</v>
      </c>
      <c r="AI146" s="1600">
        <f ca="1">OFFSET(POrigin,MATCH(Valori[[#This Row],[LUKB_id]],PID,0),MATCH("DIVIDEND",PLabel,0)-1,1,1)</f>
        <v>0</v>
      </c>
      <c r="AJ146" s="1601">
        <f ca="1">OFFSET(POrigin,MATCH(Valori[[#This Row],[LUKB_id]],PID,0),MATCH("DIVIDEND:datetime",PLabel,0)-1,1,1)</f>
        <v>0</v>
      </c>
      <c r="AK146" s="1602">
        <f ca="1">OFFSET(POrigin,MATCH(Valori[[#This Row],[LUKB_id]],PID,0),MATCH("INTEREST",PLabel,0)-1,1,1)</f>
        <v>0</v>
      </c>
      <c r="AL146" s="1603">
        <f ca="1">OFFSET(POrigin,MATCH(Valori[[#This Row],[LUKB_id]],PID,0),MATCH("4W_PERF_PR",PLabel,0)-1,1,1)/100</f>
        <v>7.1898500000000004E-2</v>
      </c>
      <c r="AM146" s="1603">
        <f ca="1">OFFSET(POrigin,MATCH(Valori[[#This Row],[LUKB_id]],PID,0),MATCH("12W_PERF_PR",PLabel,0)-1,1,1)/100</f>
        <v>8.5156990000000002E-2</v>
      </c>
      <c r="AN146" s="1603">
        <f ca="1">OFFSET(POrigin,MATCH(Valori[[#This Row],[LUKB_id]],PID,0),MATCH("YTD_PERF_PR",PLabel,0)-1,1,1)/100</f>
        <v>0.106855791962175</v>
      </c>
      <c r="AO146" s="1591"/>
      <c r="AP146" s="1591"/>
      <c r="AQ146" s="1591"/>
      <c r="AR146" s="1591"/>
      <c r="AS146" s="1890" t="s">
        <v>1279</v>
      </c>
      <c r="AT146" s="1890" t="s">
        <v>1268</v>
      </c>
      <c r="AU146" s="610" t="s">
        <v>1280</v>
      </c>
      <c r="AV146" s="1891" t="s">
        <v>1281</v>
      </c>
      <c r="AW146" s="1604" t="str">
        <f ca="1">"https://boersenundmaerkte.lukb.ch/lukb/details/"&amp;Valori[[#This Row],[LUKB_id]]</f>
        <v>https://boersenundmaerkte.lukb.ch/lukb/details/35722455,361,333</v>
      </c>
      <c r="AX146" s="1605" t="str">
        <f>"https://www.marketscreener.com/mods_a/charts/TV/inc_dyna_graph.php?c="&amp;Valori[[#This Row],[MS_Code]]&amp;"&amp;style=TradingView.CANDLES&amp;interval=(null)&amp;mobile=(null)&amp;showAT=1"</f>
        <v>https://www.marketscreener.com/mods_a/charts/TV/inc_dyna_graph.php?c=65337836&amp;style=TradingView.CANDLES&amp;interval=(null)&amp;mobile=(null)&amp;showAT=1</v>
      </c>
      <c r="AY146" s="142"/>
      <c r="AZ146" s="142"/>
      <c r="BA146" s="142"/>
      <c r="BB146" s="142"/>
    </row>
    <row r="147" spans="1:54" ht="15" customHeight="1" x14ac:dyDescent="0.2">
      <c r="A147" s="142" t="s">
        <v>4286</v>
      </c>
      <c r="B147" s="142" t="str" cm="1">
        <f t="array" aca="1" ref="B147" ca="1">OFFSET(POrigin,MATCH(Valori[[#This Row],[smo_id]],Posizioni[smo_id],0),MATCH("LUKB_id",PIntestazioni,0)-1,1,1)</f>
        <v>1065255,1703,814</v>
      </c>
      <c r="C147" s="1668" t="str">
        <f ca="1">HYPERLINK("https://boersenundmaerkte.lukb.ch/lukb/details/"&amp;Valori[[#This Row],[LUKB_id]],"è")</f>
        <v>è</v>
      </c>
      <c r="D147" s="142" t="str" cm="1">
        <f t="array" aca="1" ref="D147" ca="1">OFFSET(POrigin,MATCH(Valori[[#This Row],[LUKB_id]],PID,0),MATCH("SC_GROUPED",PIntestazioni,0)-1,1,1)</f>
        <v>ETF</v>
      </c>
      <c r="E147" s="413" t="str" cm="1">
        <f t="array" aca="1" ref="E147" ca="1">OFFSET(POrigin,MATCH(Valori[[#This Row],[LUKB_id]],PID,0),MATCH("isin",PIntestazioni,0)-1,1,1)</f>
        <v>IE0008470928</v>
      </c>
      <c r="F147" s="34" t="str" cm="1">
        <f t="array" aca="1" ref="F147" ca="1">OFFSET(POrigin,MATCH(Valori[[#This Row],[LUKB_id]],PID,0),MATCH("NSIN_CH",PLabel,0)-1,1,1)</f>
        <v>1065255</v>
      </c>
      <c r="G147" s="95" t="str" cm="1">
        <f t="array" aca="1" ref="G147" ca="1">IF(OFFSET(POrigin,MATCH(Valori[[#This Row],[LUKB_id]],PID,0),MATCH("INSTRUNIT",PLabel,0)-1,1,1)="Nominal","Pct","Unit")</f>
        <v>Unit</v>
      </c>
      <c r="H147" s="612">
        <f ca="1">MAX(OFFSET(POrigin,MATCH(Valori[[#This Row],[LUKB_id]],PID,0),MATCH("PRICINGAMT",PLabel,0)-1,1,1),1)</f>
        <v>1</v>
      </c>
      <c r="I147" s="615" t="str" cm="1">
        <f t="array" aca="1" ref="I147" ca="1">OFFSET(POrigin,MATCH(Valori[[#This Row],[LUKB_id]],PID,0),MATCH("M_NAME",PLabel,0)-1,1,1)</f>
        <v>iShares II PLC - iShares STOXX Europe 50 UCITS ETF</v>
      </c>
      <c r="J147" s="142" t="s">
        <v>756</v>
      </c>
      <c r="M147" s="142" t="str" cm="1">
        <f t="array" aca="1" ref="M1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50 UCITS ETF EUR</v>
      </c>
      <c r="N147" s="1563">
        <f ca="1">COUNTIF('CHF M'!smo_id,Valori[[#This Row],[smo_id]])+COUNTIF('CHF MA'!smo_id,Valori[[#This Row],[smo_id]])+COUNTIF('EUR MB'!smo_id,Valori[[#This Row],[smo_id]])+COUNTIF('EUR M'!smo_id,Valori[[#This Row],[smo_id]])+COUNTIF(AGCO!smo_id,Valori[[#This Row],[smo_id]])</f>
        <v>2</v>
      </c>
      <c r="O147" s="1590" cm="1">
        <f t="array" aca="1" ref="O147" ca="1">SUM(IF('CHF M'!smo_id=Valori[[#This Row],[smo_id]],'CHF M'!Posizione))+SUM(IF('CHF MA'!smo_id=Valori[[#This Row],[smo_id]],'CHF MA'!Posizione))+SUM(IF('EUR MB'!smo_id=Valori[[#This Row],[smo_id]],'EUR MB'!Posizione))+SUM(IF('EUR M'!smo_id=Valori[[#This Row],[smo_id]],'EUR M'!Posizione))+SUM(IF(AGCO!smo_id=Valori[[#This Row],[smo_id]],AGCO!Posizione))</f>
        <v>0</v>
      </c>
      <c r="P147" s="1661" t="str">
        <f ca="1">HYPERLINK(Valori[[#This Row],[P_Source]],"è")</f>
        <v>è</v>
      </c>
      <c r="Q147" s="1663" t="str">
        <f>HYPERLINK(Valori[[#This Row],[Info_W]],"i")</f>
        <v>i</v>
      </c>
      <c r="R147" s="1664" t="str">
        <f>HYPERLINK(Valori[[#This Row],[FN_W]],"")</f>
        <v></v>
      </c>
      <c r="S147" s="1665" t="str">
        <f>HYPERLINK(Valori[[#This Row],[MS_Link]],"")</f>
        <v></v>
      </c>
      <c r="T147" s="1665" t="str">
        <f>HYPERLINK(Valori[[#This Row],[C_source]],"")</f>
        <v></v>
      </c>
      <c r="U147" s="142" t="str" cm="1">
        <f t="array" aca="1" ref="U147" ca="1">OFFSET(POrigin,MATCH(Valori[[#This Row],[LUKB_id]],PID,0),MATCH("M_CUR",PLabel,0)-1,1,1)</f>
        <v>EUR</v>
      </c>
      <c r="V147" s="1562">
        <f ca="1">(Valori[[#This Row],[Last]]+Valori[[#This Row],[Acc. Int]])/Valori[[#This Row],[Pr.Amt]]/IF(Valori[[#This Row],[P_Type]]="Pct",100,1)</f>
        <v>52.900000000000006</v>
      </c>
      <c r="W147" s="1591" cm="1">
        <f t="array" aca="1" ref="W147" ca="1">OFFSET(POrigin,MATCH(Valori[[#This Row],[LUKB_id]],PID,0),MATCH("NC2_PR",PLabel,0)-1,1,1)/100</f>
        <v>-1.9825829164350498E-2</v>
      </c>
      <c r="X147" s="1592" cm="1">
        <f t="array" aca="1" ref="X147" ca="1">OFFSET(POrigin,MATCH(Valori[[#This Row],[LUKB_id]],PID,0),MATCH("LVAL",PLabel,0)-1,1,1)</f>
        <v>52.900000000000006</v>
      </c>
      <c r="Y147" s="1593" cm="1">
        <f t="array" aca="1" ref="Y147" ca="1">OFFSET(POrigin,MATCH(Valori[[#This Row],[LUKB_id]],PID,0),MATCH("LVAL:datetime",PLabel,0)-1,1,1)</f>
        <v>46083.733229166668</v>
      </c>
      <c r="Z147" s="1594" cm="1">
        <f t="array" aca="1" ref="Z147" ca="1">OFFSET(POrigin,MATCH(Valori[[#This Row],[LUKB_id]],PID,0),MATCH("BID:volume",PLabel,0)-1,1,1)</f>
        <v>0</v>
      </c>
      <c r="AA147" s="1595" cm="1">
        <f t="array" aca="1" ref="AA147" ca="1">OFFSET(POrigin,MATCH(Valori[[#This Row],[LUKB_id]],PID,0),MATCH("BID",PLabel,0)-1,1,1)</f>
        <v>0</v>
      </c>
      <c r="AB147" s="1595" cm="1">
        <f t="array" aca="1" ref="AB147" ca="1">OFFSET(POrigin,MATCH(Valori[[#This Row],[LUKB_id]],PID,0),MATCH("ASK",PLabel,0)-1,1,1)</f>
        <v>0</v>
      </c>
      <c r="AC147" s="1594" cm="1">
        <f t="array" aca="1" ref="AC147" ca="1">OFFSET(POrigin,MATCH(Valori[[#This Row],[LUKB_id]],PID,0),MATCH("ASK:volume",PLabel,0)-1,1,1)</f>
        <v>0</v>
      </c>
      <c r="AD147" s="1596" cm="1">
        <f t="array" aca="1" ref="AD147" ca="1">OFFSET(POrigin,MATCH(Valori[[#This Row],[LUKB_id]],PID,0),MATCH("BID-ASK Spread %",PLabel,0)-1,1,1)</f>
        <v>0</v>
      </c>
      <c r="AE147" s="1597" t="str" cm="1">
        <f t="array" aca="1" ref="AE147" ca="1">IF(OFFSET(POrigin,MATCH(Valori[[#This Row],[LUKB_id]],PID,0),MATCH("MATURITY",PLabel,0)-1,1,1)&gt;0,OFFSET(POrigin,MATCH(Valori[[#This Row],[LUKB_id]],PID,0),MATCH("MATURITY",PLabel,0)-1,1,1),"")</f>
        <v/>
      </c>
      <c r="AF147" s="1598" cm="1">
        <f t="array" aca="1" ref="AF147" ca="1">OFFSET(POrigin,MATCH(Valori[[#This Row],[LUKB_id]],PID,0),MATCH("ACCINT",PLabel,0)-1,1,1)</f>
        <v>0</v>
      </c>
      <c r="AG147" s="1594" cm="1">
        <f t="array" aca="1" ref="AG147" ca="1">OFFSET(POrigin,MATCH(Valori[[#This Row],[LUKB_id]],PID,0),MATCH("DENOM",PLabel,0)-1,1,1)</f>
        <v>0</v>
      </c>
      <c r="AH147" s="1599" cm="1">
        <f t="array" aca="1" ref="AH147" ca="1">(OFFSET(POrigin,MATCH(Valori[[#This Row],[LUKB_id]],PID,0),MATCH("YIELD",PLabel,0)-1,1,1)+OFFSET(POrigin,MATCH(Valori[[#This Row],[LUKB_id]],PID,0),MATCH("YLDEQ",PLabel,0)-1,1,1))/100</f>
        <v>0</v>
      </c>
      <c r="AI147" s="1600">
        <f ca="1">OFFSET(POrigin,MATCH(Valori[[#This Row],[LUKB_id]],PID,0),MATCH("DIVIDEND",PLabel,0)-1,1,1)</f>
        <v>0.13300000000000001</v>
      </c>
      <c r="AJ147" s="1601">
        <f ca="1">OFFSET(POrigin,MATCH(Valori[[#This Row],[LUKB_id]],PID,0),MATCH("DIVIDEND:datetime",PLabel,0)-1,1,1)</f>
        <v>46072</v>
      </c>
      <c r="AK147" s="1602">
        <f ca="1">OFFSET(POrigin,MATCH(Valori[[#This Row],[LUKB_id]],PID,0),MATCH("INTEREST",PLabel,0)-1,1,1)</f>
        <v>0</v>
      </c>
      <c r="AL147" s="1603">
        <f ca="1">OFFSET(POrigin,MATCH(Valori[[#This Row],[LUKB_id]],PID,0),MATCH("4W_PERF_PR",PLabel,0)-1,1,1)/100</f>
        <v>8.7719298245615557E-3</v>
      </c>
      <c r="AM147" s="1603">
        <f ca="1">OFFSET(POrigin,MATCH(Valori[[#This Row],[LUKB_id]],PID,0),MATCH("12W_PERF_PR",PLabel,0)-1,1,1)/100</f>
        <v>7.8161622337715439E-2</v>
      </c>
      <c r="AN147" s="1603">
        <f ca="1">OFFSET(POrigin,MATCH(Valori[[#This Row],[LUKB_id]],PID,0),MATCH("YTD_PERF_PR",PLabel,0)-1,1,1)/100</f>
        <v>5.4414989037273404E-2</v>
      </c>
      <c r="AO147" s="1591"/>
      <c r="AP147" s="1591"/>
      <c r="AQ147" s="1591"/>
      <c r="AR147" s="1591"/>
      <c r="AS147" s="1890" t="s">
        <v>1283</v>
      </c>
      <c r="AT147" s="1890" t="s">
        <v>1284</v>
      </c>
      <c r="AU147" s="610" t="s">
        <v>1285</v>
      </c>
      <c r="AV147" s="1891" t="s">
        <v>1286</v>
      </c>
      <c r="AW147" s="1604" t="str">
        <f ca="1">"https://boersenundmaerkte.lukb.ch/lukb/details/"&amp;Valori[[#This Row],[LUKB_id]]</f>
        <v>https://boersenundmaerkte.lukb.ch/lukb/details/1065255,1703,814</v>
      </c>
      <c r="AX147" s="1605" t="str">
        <f>"https://www.zonebourse.com/mods_a/charts/TV/inc_dyna_graph.php?c="&amp;Valori[[#This Row],[MS_Code]]&amp;"&amp;style=TradingView.CANDLES&amp;interval=(null)&amp;mobile=(null)&amp;showAT=1"</f>
        <v>https://www.zonebourse.com/mods_a/charts/TV/inc_dyna_graph.php?c=27236&amp;style=TradingView.CANDLES&amp;interval=(null)&amp;mobile=(null)&amp;showAT=1</v>
      </c>
      <c r="AY147" s="142"/>
      <c r="AZ147" s="142"/>
      <c r="BA147" s="142"/>
      <c r="BB147" s="142"/>
    </row>
    <row r="148" spans="1:54" ht="15" customHeight="1" x14ac:dyDescent="0.2">
      <c r="A148" s="142" t="s">
        <v>4329</v>
      </c>
      <c r="B148" s="142" t="str" cm="1">
        <f t="array" aca="1" ref="B148" ca="1">OFFSET(POrigin,MATCH(Valori[[#This Row],[smo_id]],Posizioni[smo_id],0),MATCH("LUKB_id",PIntestazioni,0)-1,1,1)</f>
        <v>12981034,16,814</v>
      </c>
      <c r="C148" s="1668" t="str">
        <f ca="1">HYPERLINK("https://boersenundmaerkte.lukb.ch/lukb/details/"&amp;Valori[[#This Row],[LUKB_id]],"è")</f>
        <v>è</v>
      </c>
      <c r="D148" s="142" t="str" cm="1">
        <f t="array" aca="1" ref="D148" ca="1">OFFSET(POrigin,MATCH(Valori[[#This Row],[LUKB_id]],PID,0),MATCH("SC_GROUPED",PIntestazioni,0)-1,1,1)</f>
        <v>ETF</v>
      </c>
      <c r="E148" s="413" t="str" cm="1">
        <f t="array" aca="1" ref="E148" ca="1">OFFSET(POrigin,MATCH(Valori[[#This Row],[LUKB_id]],PID,0),MATCH("isin",PIntestazioni,0)-1,1,1)</f>
        <v>DE000A0Q4R28</v>
      </c>
      <c r="F148" s="34" t="str" cm="1">
        <f t="array" aca="1" ref="F148" ca="1">OFFSET(POrigin,MATCH(Valori[[#This Row],[LUKB_id]],PID,0),MATCH("NSIN_CH",PLabel,0)-1,1,1)</f>
        <v>12981034</v>
      </c>
      <c r="G148" s="95" t="str" cm="1">
        <f t="array" aca="1" ref="G148" ca="1">IF(OFFSET(POrigin,MATCH(Valori[[#This Row],[LUKB_id]],PID,0),MATCH("INSTRUNIT",PLabel,0)-1,1,1)="Nominal","Pct","Unit")</f>
        <v>Unit</v>
      </c>
      <c r="H148" s="612">
        <f ca="1">MAX(OFFSET(POrigin,MATCH(Valori[[#This Row],[LUKB_id]],PID,0),MATCH("PRICINGAMT",PLabel,0)-1,1,1),1)</f>
        <v>1</v>
      </c>
      <c r="I148" s="615" t="str" cm="1">
        <f t="array" aca="1" ref="I148" ca="1">OFFSET(POrigin,MATCH(Valori[[#This Row],[LUKB_id]],PID,0),MATCH("M_NAME",PLabel,0)-1,1,1)</f>
        <v>iShares STOXX Europe 600 Automobiles &amp; Parts UCITS ETF (DE)</v>
      </c>
      <c r="M148" s="142" t="str" cm="1">
        <f t="array" aca="1" ref="M1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Automobiles &amp; Parts UCITS ETF (DE)</v>
      </c>
      <c r="N148" s="1563">
        <f ca="1">COUNTIF('CHF M'!smo_id,Valori[[#This Row],[smo_id]])+COUNTIF('CHF MA'!smo_id,Valori[[#This Row],[smo_id]])+COUNTIF('EUR MB'!smo_id,Valori[[#This Row],[smo_id]])+COUNTIF('EUR M'!smo_id,Valori[[#This Row],[smo_id]])+COUNTIF(AGCO!smo_id,Valori[[#This Row],[smo_id]])</f>
        <v>0</v>
      </c>
      <c r="O148" s="1590" cm="1">
        <f t="array" aca="1" ref="O148" ca="1">SUM(IF('CHF M'!smo_id=Valori[[#This Row],[smo_id]],'CHF M'!Posizione))+SUM(IF('CHF MA'!smo_id=Valori[[#This Row],[smo_id]],'CHF MA'!Posizione))+SUM(IF('EUR MB'!smo_id=Valori[[#This Row],[smo_id]],'EUR MB'!Posizione))+SUM(IF('EUR M'!smo_id=Valori[[#This Row],[smo_id]],'EUR M'!Posizione))+SUM(IF(AGCO!smo_id=Valori[[#This Row],[smo_id]],AGCO!Posizione))</f>
        <v>0</v>
      </c>
      <c r="P148" s="1661" t="str">
        <f ca="1">HYPERLINK(Valori[[#This Row],[P_Source]],"è")</f>
        <v>è</v>
      </c>
      <c r="Q148" s="1663" t="str">
        <f>HYPERLINK(Valori[[#This Row],[Info_W]],"i")</f>
        <v>i</v>
      </c>
      <c r="R148" s="1664" t="str">
        <f>HYPERLINK(Valori[[#This Row],[FN_W]],"")</f>
        <v></v>
      </c>
      <c r="S148" s="1665" t="str">
        <f>HYPERLINK(Valori[[#This Row],[MS_Link]],"")</f>
        <v></v>
      </c>
      <c r="T148" s="1665" t="str">
        <f>HYPERLINK(Valori[[#This Row],[C_source]],"")</f>
        <v></v>
      </c>
      <c r="U148" s="142" t="str" cm="1">
        <f t="array" aca="1" ref="U148" ca="1">OFFSET(POrigin,MATCH(Valori[[#This Row],[LUKB_id]],PID,0),MATCH("M_CUR",PLabel,0)-1,1,1)</f>
        <v>EUR</v>
      </c>
      <c r="V148" s="1562">
        <f ca="1">(Valori[[#This Row],[Last]]+Valori[[#This Row],[Acc. Int]])/Valori[[#This Row],[Pr.Amt]]/IF(Valori[[#This Row],[P_Type]]="Pct",100,1)</f>
        <v>43.34</v>
      </c>
      <c r="W148" s="1591" cm="1">
        <f t="array" aca="1" ref="W148" ca="1">OFFSET(POrigin,MATCH(Valori[[#This Row],[LUKB_id]],PID,0),MATCH("NC2_PR",PLabel,0)-1,1,1)/100</f>
        <v>-3.2583137386630899E-2</v>
      </c>
      <c r="X148" s="1592" cm="1">
        <f t="array" aca="1" ref="X148" ca="1">OFFSET(POrigin,MATCH(Valori[[#This Row],[LUKB_id]],PID,0),MATCH("LVAL",PLabel,0)-1,1,1)</f>
        <v>43.34</v>
      </c>
      <c r="Y148" s="1593" cm="1">
        <f t="array" aca="1" ref="Y148" ca="1">OFFSET(POrigin,MATCH(Valori[[#This Row],[LUKB_id]],PID,0),MATCH("LVAL:datetime",PLabel,0)-1,1,1)</f>
        <v>46084.781354166669</v>
      </c>
      <c r="Z148" s="1594" cm="1">
        <f t="array" aca="1" ref="Z148" ca="1">OFFSET(POrigin,MATCH(Valori[[#This Row],[LUKB_id]],PID,0),MATCH("BID:volume",PLabel,0)-1,1,1)</f>
        <v>2308</v>
      </c>
      <c r="AA148" s="1595" cm="1">
        <f t="array" aca="1" ref="AA148" ca="1">OFFSET(POrigin,MATCH(Valori[[#This Row],[LUKB_id]],PID,0),MATCH("BID",PLabel,0)-1,1,1)</f>
        <v>43.33</v>
      </c>
      <c r="AB148" s="1595" cm="1">
        <f t="array" aca="1" ref="AB148" ca="1">OFFSET(POrigin,MATCH(Valori[[#This Row],[LUKB_id]],PID,0),MATCH("ASK",PLabel,0)-1,1,1)</f>
        <v>43.45</v>
      </c>
      <c r="AC148" s="1594" cm="1">
        <f t="array" aca="1" ref="AC148" ca="1">OFFSET(POrigin,MATCH(Valori[[#This Row],[LUKB_id]],PID,0),MATCH("ASK:volume",PLabel,0)-1,1,1)</f>
        <v>2302</v>
      </c>
      <c r="AD148" s="1596" cm="1">
        <f t="array" aca="1" ref="AD148" ca="1">OFFSET(POrigin,MATCH(Valori[[#This Row],[LUKB_id]],PID,0),MATCH("BID-ASK Spread %",PLabel,0)-1,1,1)</f>
        <v>1.8445930366613563E-3</v>
      </c>
      <c r="AE148" s="1597" t="str" cm="1">
        <f t="array" aca="1" ref="AE148" ca="1">IF(OFFSET(POrigin,MATCH(Valori[[#This Row],[LUKB_id]],PID,0),MATCH("MATURITY",PLabel,0)-1,1,1)&gt;0,OFFSET(POrigin,MATCH(Valori[[#This Row],[LUKB_id]],PID,0),MATCH("MATURITY",PLabel,0)-1,1,1),"")</f>
        <v/>
      </c>
      <c r="AF148" s="1598" cm="1">
        <f t="array" aca="1" ref="AF148" ca="1">OFFSET(POrigin,MATCH(Valori[[#This Row],[LUKB_id]],PID,0),MATCH("ACCINT",PLabel,0)-1,1,1)</f>
        <v>0</v>
      </c>
      <c r="AG148" s="1594" cm="1">
        <f t="array" aca="1" ref="AG148" ca="1">OFFSET(POrigin,MATCH(Valori[[#This Row],[LUKB_id]],PID,0),MATCH("DENOM",PLabel,0)-1,1,1)</f>
        <v>0</v>
      </c>
      <c r="AH148" s="1599" cm="1">
        <f t="array" aca="1" ref="AH148" ca="1">(OFFSET(POrigin,MATCH(Valori[[#This Row],[LUKB_id]],PID,0),MATCH("YIELD",PLabel,0)-1,1,1)+OFFSET(POrigin,MATCH(Valori[[#This Row],[LUKB_id]],PID,0),MATCH("YLDEQ",PLabel,0)-1,1,1))/100</f>
        <v>0</v>
      </c>
      <c r="AI148" s="1600">
        <f ca="1">OFFSET(POrigin,MATCH(Valori[[#This Row],[LUKB_id]],PID,0),MATCH("DIVIDEND",PLabel,0)-1,1,1)</f>
        <v>0.33426899999999998</v>
      </c>
      <c r="AJ148" s="1601">
        <f ca="1">OFFSET(POrigin,MATCH(Valori[[#This Row],[LUKB_id]],PID,0),MATCH("DIVIDEND:datetime",PLabel,0)-1,1,1)</f>
        <v>45762</v>
      </c>
      <c r="AK148" s="1602">
        <f ca="1">OFFSET(POrigin,MATCH(Valori[[#This Row],[LUKB_id]],PID,0),MATCH("INTEREST",PLabel,0)-1,1,1)</f>
        <v>0</v>
      </c>
      <c r="AL148" s="1603">
        <f ca="1">OFFSET(POrigin,MATCH(Valori[[#This Row],[LUKB_id]],PID,0),MATCH("4W_PERF_PR",PLabel,0)-1,1,1)/100</f>
        <v>-2.7643703378674816E-2</v>
      </c>
      <c r="AM148" s="1603">
        <f ca="1">OFFSET(POrigin,MATCH(Valori[[#This Row],[LUKB_id]],PID,0),MATCH("12W_PERF_PR",PLabel,0)-1,1,1)/100</f>
        <v>-0.10955375000000001</v>
      </c>
      <c r="AN148" s="1603">
        <f ca="1">OFFSET(POrigin,MATCH(Valori[[#This Row],[LUKB_id]],PID,0),MATCH("YTD_PERF_PR",PLabel,0)-1,1,1)/100</f>
        <v>-5.7613168724279802E-2</v>
      </c>
      <c r="AO148" s="1591"/>
      <c r="AP148" s="1591"/>
      <c r="AQ148" s="1591"/>
      <c r="AR148" s="1591"/>
      <c r="AS148" s="1890"/>
      <c r="AT148" s="1890"/>
      <c r="AU148" s="610"/>
      <c r="AV148" s="1891"/>
      <c r="AW148" s="1604" t="str">
        <f ca="1">"https://boersenundmaerkte.lukb.ch/lukb/details/"&amp;Valori[[#This Row],[LUKB_id]]</f>
        <v>https://boersenundmaerkte.lukb.ch/lukb/details/12981034,16,814</v>
      </c>
      <c r="AX14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48" s="142"/>
      <c r="AZ148" s="142"/>
      <c r="BA148" s="142"/>
      <c r="BB148" s="142"/>
    </row>
    <row r="149" spans="1:54" ht="15" customHeight="1" x14ac:dyDescent="0.2">
      <c r="A149" s="142" t="s">
        <v>4331</v>
      </c>
      <c r="B149" s="142" t="str" cm="1">
        <f t="array" aca="1" ref="B149" ca="1">OFFSET(POrigin,MATCH(Valori[[#This Row],[smo_id]],Posizioni[smo_id],0),MATCH("LUKB_id",PIntestazioni,0)-1,1,1)</f>
        <v>12980110,16,814</v>
      </c>
      <c r="C149" s="1668" t="str">
        <f ca="1">HYPERLINK("https://boersenundmaerkte.lukb.ch/lukb/details/"&amp;Valori[[#This Row],[LUKB_id]],"è")</f>
        <v>è</v>
      </c>
      <c r="D149" s="142" t="str" cm="1">
        <f t="array" aca="1" ref="D149" ca="1">OFFSET(POrigin,MATCH(Valori[[#This Row],[LUKB_id]],PID,0),MATCH("SC_GROUPED",PIntestazioni,0)-1,1,1)</f>
        <v>ETF</v>
      </c>
      <c r="E149" s="413" t="str" cm="1">
        <f t="array" aca="1" ref="E149" ca="1">OFFSET(POrigin,MATCH(Valori[[#This Row],[LUKB_id]],PID,0),MATCH("isin",PIntestazioni,0)-1,1,1)</f>
        <v>DE000A0F5UJ7</v>
      </c>
      <c r="F149" s="34" t="str" cm="1">
        <f t="array" aca="1" ref="F149" ca="1">OFFSET(POrigin,MATCH(Valori[[#This Row],[LUKB_id]],PID,0),MATCH("NSIN_CH",PLabel,0)-1,1,1)</f>
        <v>12980110</v>
      </c>
      <c r="G149" s="95" t="str" cm="1">
        <f t="array" aca="1" ref="G149" ca="1">IF(OFFSET(POrigin,MATCH(Valori[[#This Row],[LUKB_id]],PID,0),MATCH("INSTRUNIT",PLabel,0)-1,1,1)="Nominal","Pct","Unit")</f>
        <v>Unit</v>
      </c>
      <c r="H149" s="612">
        <f ca="1">MAX(OFFSET(POrigin,MATCH(Valori[[#This Row],[LUKB_id]],PID,0),MATCH("PRICINGAMT",PLabel,0)-1,1,1),1)</f>
        <v>1</v>
      </c>
      <c r="I149" s="615" t="str" cm="1">
        <f t="array" aca="1" ref="I149" ca="1">OFFSET(POrigin,MATCH(Valori[[#This Row],[LUKB_id]],PID,0),MATCH("M_NAME",PLabel,0)-1,1,1)</f>
        <v>iShares STOXX Europe 600 Banks UCITS ETF (DE)</v>
      </c>
      <c r="M149" s="142" t="str" cm="1">
        <f t="array" aca="1" ref="M1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Banks UCITS ETF (DE)</v>
      </c>
      <c r="N149" s="1563">
        <f ca="1">COUNTIF('CHF M'!smo_id,Valori[[#This Row],[smo_id]])+COUNTIF('CHF MA'!smo_id,Valori[[#This Row],[smo_id]])+COUNTIF('EUR MB'!smo_id,Valori[[#This Row],[smo_id]])+COUNTIF('EUR M'!smo_id,Valori[[#This Row],[smo_id]])+COUNTIF(AGCO!smo_id,Valori[[#This Row],[smo_id]])</f>
        <v>0</v>
      </c>
      <c r="O149" s="1590" cm="1">
        <f t="array" aca="1" ref="O149" ca="1">SUM(IF('CHF M'!smo_id=Valori[[#This Row],[smo_id]],'CHF M'!Posizione))+SUM(IF('CHF MA'!smo_id=Valori[[#This Row],[smo_id]],'CHF MA'!Posizione))+SUM(IF('EUR MB'!smo_id=Valori[[#This Row],[smo_id]],'EUR MB'!Posizione))+SUM(IF('EUR M'!smo_id=Valori[[#This Row],[smo_id]],'EUR M'!Posizione))+SUM(IF(AGCO!smo_id=Valori[[#This Row],[smo_id]],AGCO!Posizione))</f>
        <v>0</v>
      </c>
      <c r="P149" s="1661" t="str">
        <f ca="1">HYPERLINK(Valori[[#This Row],[P_Source]],"è")</f>
        <v>è</v>
      </c>
      <c r="Q149" s="1663" t="str">
        <f>HYPERLINK(Valori[[#This Row],[Info_W]],"i")</f>
        <v>i</v>
      </c>
      <c r="R149" s="1664" t="str">
        <f>HYPERLINK(Valori[[#This Row],[FN_W]],"")</f>
        <v></v>
      </c>
      <c r="S149" s="1665" t="str">
        <f>HYPERLINK(Valori[[#This Row],[MS_Link]],"")</f>
        <v></v>
      </c>
      <c r="T149" s="1665" t="str">
        <f>HYPERLINK(Valori[[#This Row],[C_source]],"")</f>
        <v></v>
      </c>
      <c r="U149" s="142" t="str" cm="1">
        <f t="array" aca="1" ref="U149" ca="1">OFFSET(POrigin,MATCH(Valori[[#This Row],[LUKB_id]],PID,0),MATCH("M_CUR",PLabel,0)-1,1,1)</f>
        <v>EUR</v>
      </c>
      <c r="V149" s="1562">
        <f ca="1">(Valori[[#This Row],[Last]]+Valori[[#This Row],[Acc. Int]])/Valori[[#This Row],[Pr.Amt]]/IF(Valori[[#This Row],[P_Type]]="Pct",100,1)</f>
        <v>33.800000000000004</v>
      </c>
      <c r="W149" s="1591" cm="1">
        <f t="array" aca="1" ref="W149" ca="1">OFFSET(POrigin,MATCH(Valori[[#This Row],[LUKB_id]],PID,0),MATCH("NC2_PR",PLabel,0)-1,1,1)/100</f>
        <v>-5.3378762067007299E-2</v>
      </c>
      <c r="X149" s="1592" cm="1">
        <f t="array" aca="1" ref="X149" ca="1">OFFSET(POrigin,MATCH(Valori[[#This Row],[LUKB_id]],PID,0),MATCH("LVAL",PLabel,0)-1,1,1)</f>
        <v>33.800000000000004</v>
      </c>
      <c r="Y149" s="1593" cm="1">
        <f t="array" aca="1" ref="Y149" ca="1">OFFSET(POrigin,MATCH(Valori[[#This Row],[LUKB_id]],PID,0),MATCH("LVAL:datetime",PLabel,0)-1,1,1)</f>
        <v>46084.781331018516</v>
      </c>
      <c r="Z149" s="1594" cm="1">
        <f t="array" aca="1" ref="Z149" ca="1">OFFSET(POrigin,MATCH(Valori[[#This Row],[LUKB_id]],PID,0),MATCH("BID:volume",PLabel,0)-1,1,1)</f>
        <v>2960</v>
      </c>
      <c r="AA149" s="1595" cm="1">
        <f t="array" aca="1" ref="AA149" ca="1">OFFSET(POrigin,MATCH(Valori[[#This Row],[LUKB_id]],PID,0),MATCH("BID",PLabel,0)-1,1,1)</f>
        <v>33.795000000000002</v>
      </c>
      <c r="AB149" s="1595" cm="1">
        <f t="array" aca="1" ref="AB149" ca="1">OFFSET(POrigin,MATCH(Valori[[#This Row],[LUKB_id]],PID,0),MATCH("ASK",PLabel,0)-1,1,1)</f>
        <v>33.910000000000004</v>
      </c>
      <c r="AC149" s="1594" cm="1">
        <f t="array" aca="1" ref="AC149" ca="1">OFFSET(POrigin,MATCH(Valori[[#This Row],[LUKB_id]],PID,0),MATCH("ASK:volume",PLabel,0)-1,1,1)</f>
        <v>2949</v>
      </c>
      <c r="AD149" s="1596" cm="1">
        <f t="array" aca="1" ref="AD149" ca="1">OFFSET(POrigin,MATCH(Valori[[#This Row],[LUKB_id]],PID,0),MATCH("BID-ASK Spread %",PLabel,0)-1,1,1)</f>
        <v>2.2660098522167878E-3</v>
      </c>
      <c r="AE149" s="1597" t="str" cm="1">
        <f t="array" aca="1" ref="AE149" ca="1">IF(OFFSET(POrigin,MATCH(Valori[[#This Row],[LUKB_id]],PID,0),MATCH("MATURITY",PLabel,0)-1,1,1)&gt;0,OFFSET(POrigin,MATCH(Valori[[#This Row],[LUKB_id]],PID,0),MATCH("MATURITY",PLabel,0)-1,1,1),"")</f>
        <v/>
      </c>
      <c r="AF149" s="1598" cm="1">
        <f t="array" aca="1" ref="AF149" ca="1">OFFSET(POrigin,MATCH(Valori[[#This Row],[LUKB_id]],PID,0),MATCH("ACCINT",PLabel,0)-1,1,1)</f>
        <v>0</v>
      </c>
      <c r="AG149" s="1594" cm="1">
        <f t="array" aca="1" ref="AG149" ca="1">OFFSET(POrigin,MATCH(Valori[[#This Row],[LUKB_id]],PID,0),MATCH("DENOM",PLabel,0)-1,1,1)</f>
        <v>0</v>
      </c>
      <c r="AH149" s="1599" cm="1">
        <f t="array" aca="1" ref="AH149" ca="1">(OFFSET(POrigin,MATCH(Valori[[#This Row],[LUKB_id]],PID,0),MATCH("YIELD",PLabel,0)-1,1,1)+OFFSET(POrigin,MATCH(Valori[[#This Row],[LUKB_id]],PID,0),MATCH("YLDEQ",PLabel,0)-1,1,1))/100</f>
        <v>0</v>
      </c>
      <c r="AI149" s="1600">
        <f ca="1">OFFSET(POrigin,MATCH(Valori[[#This Row],[LUKB_id]],PID,0),MATCH("DIVIDEND",PLabel,0)-1,1,1)</f>
        <v>0.2918</v>
      </c>
      <c r="AJ149" s="1601">
        <f ca="1">OFFSET(POrigin,MATCH(Valori[[#This Row],[LUKB_id]],PID,0),MATCH("DIVIDEND:datetime",PLabel,0)-1,1,1)</f>
        <v>46037</v>
      </c>
      <c r="AK149" s="1602">
        <f ca="1">OFFSET(POrigin,MATCH(Valori[[#This Row],[LUKB_id]],PID,0),MATCH("INTEREST",PLabel,0)-1,1,1)</f>
        <v>0</v>
      </c>
      <c r="AL149" s="1603">
        <f ca="1">OFFSET(POrigin,MATCH(Valori[[#This Row],[LUKB_id]],PID,0),MATCH("4W_PERF_PR",PLabel,0)-1,1,1)/100</f>
        <v>-0.11961974999999998</v>
      </c>
      <c r="AM149" s="1603">
        <f ca="1">OFFSET(POrigin,MATCH(Valori[[#This Row],[LUKB_id]],PID,0),MATCH("12W_PERF_PR",PLabel,0)-1,1,1)/100</f>
        <v>7.7074199999999995E-3</v>
      </c>
      <c r="AN149" s="1603">
        <f ca="1">OFFSET(POrigin,MATCH(Valori[[#This Row],[LUKB_id]],PID,0),MATCH("YTD_PERF_PR",PLabel,0)-1,1,1)/100</f>
        <v>-5.6753688989800001E-4</v>
      </c>
      <c r="AO149" s="1591"/>
      <c r="AP149" s="1591"/>
      <c r="AQ149" s="1591"/>
      <c r="AR149" s="1591"/>
      <c r="AS149" s="1890"/>
      <c r="AT149" s="1890"/>
      <c r="AU149" s="610"/>
      <c r="AV149" s="1891"/>
      <c r="AW149" s="1604" t="str">
        <f ca="1">"https://boersenundmaerkte.lukb.ch/lukb/details/"&amp;Valori[[#This Row],[LUKB_id]]</f>
        <v>https://boersenundmaerkte.lukb.ch/lukb/details/12980110,16,814</v>
      </c>
      <c r="AX14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49" s="142"/>
      <c r="AZ149" s="142"/>
      <c r="BA149" s="142"/>
      <c r="BB149" s="142"/>
    </row>
    <row r="150" spans="1:54" ht="15" customHeight="1" x14ac:dyDescent="0.2">
      <c r="A150" s="142" t="s">
        <v>4332</v>
      </c>
      <c r="B150" s="142" t="str" cm="1">
        <f t="array" aca="1" ref="B150" ca="1">OFFSET(POrigin,MATCH(Valori[[#This Row],[smo_id]],Posizioni[smo_id],0),MATCH("LUKB_id",PIntestazioni,0)-1,1,1)</f>
        <v>12980519,16,814</v>
      </c>
      <c r="C150" s="1668" t="str">
        <f ca="1">HYPERLINK("https://boersenundmaerkte.lukb.ch/lukb/details/"&amp;Valori[[#This Row],[LUKB_id]],"è")</f>
        <v>è</v>
      </c>
      <c r="D150" s="142" t="str" cm="1">
        <f t="array" aca="1" ref="D150" ca="1">OFFSET(POrigin,MATCH(Valori[[#This Row],[LUKB_id]],PID,0),MATCH("SC_GROUPED",PIntestazioni,0)-1,1,1)</f>
        <v>ETF</v>
      </c>
      <c r="E150" s="413" t="str" cm="1">
        <f t="array" aca="1" ref="E150" ca="1">OFFSET(POrigin,MATCH(Valori[[#This Row],[LUKB_id]],PID,0),MATCH("isin",PIntestazioni,0)-1,1,1)</f>
        <v>DE000A0F5UK5</v>
      </c>
      <c r="F150" s="34" t="str" cm="1">
        <f t="array" aca="1" ref="F150" ca="1">OFFSET(POrigin,MATCH(Valori[[#This Row],[LUKB_id]],PID,0),MATCH("NSIN_CH",PLabel,0)-1,1,1)</f>
        <v>12980519</v>
      </c>
      <c r="G150" s="95" t="str" cm="1">
        <f t="array" aca="1" ref="G150" ca="1">IF(OFFSET(POrigin,MATCH(Valori[[#This Row],[LUKB_id]],PID,0),MATCH("INSTRUNIT",PLabel,0)-1,1,1)="Nominal","Pct","Unit")</f>
        <v>Unit</v>
      </c>
      <c r="H150" s="612">
        <f ca="1">MAX(OFFSET(POrigin,MATCH(Valori[[#This Row],[LUKB_id]],PID,0),MATCH("PRICINGAMT",PLabel,0)-1,1,1),1)</f>
        <v>1</v>
      </c>
      <c r="I150" s="615" t="str" cm="1">
        <f t="array" aca="1" ref="I150" ca="1">OFFSET(POrigin,MATCH(Valori[[#This Row],[LUKB_id]],PID,0),MATCH("M_NAME",PLabel,0)-1,1,1)</f>
        <v>iShares STOXX Europe 600 Basic Resources UCITS ETF (DE)</v>
      </c>
      <c r="M150" s="142" t="str" cm="1">
        <f t="array" aca="1" ref="M1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Basic Resources UCITS ETF (DE)</v>
      </c>
      <c r="N150" s="1563">
        <f ca="1">COUNTIF('CHF M'!smo_id,Valori[[#This Row],[smo_id]])+COUNTIF('CHF MA'!smo_id,Valori[[#This Row],[smo_id]])+COUNTIF('EUR MB'!smo_id,Valori[[#This Row],[smo_id]])+COUNTIF('EUR M'!smo_id,Valori[[#This Row],[smo_id]])+COUNTIF(AGCO!smo_id,Valori[[#This Row],[smo_id]])</f>
        <v>0</v>
      </c>
      <c r="O150" s="1590" cm="1">
        <f t="array" aca="1" ref="O150" ca="1">SUM(IF('CHF M'!smo_id=Valori[[#This Row],[smo_id]],'CHF M'!Posizione))+SUM(IF('CHF MA'!smo_id=Valori[[#This Row],[smo_id]],'CHF MA'!Posizione))+SUM(IF('EUR MB'!smo_id=Valori[[#This Row],[smo_id]],'EUR MB'!Posizione))+SUM(IF('EUR M'!smo_id=Valori[[#This Row],[smo_id]],'EUR M'!Posizione))+SUM(IF(AGCO!smo_id=Valori[[#This Row],[smo_id]],AGCO!Posizione))</f>
        <v>0</v>
      </c>
      <c r="P150" s="1661" t="str">
        <f ca="1">HYPERLINK(Valori[[#This Row],[P_Source]],"è")</f>
        <v>è</v>
      </c>
      <c r="Q150" s="1663" t="str">
        <f>HYPERLINK(Valori[[#This Row],[Info_W]],"i")</f>
        <v>i</v>
      </c>
      <c r="R150" s="1664" t="str">
        <f>HYPERLINK(Valori[[#This Row],[FN_W]],"")</f>
        <v></v>
      </c>
      <c r="S150" s="1665" t="str">
        <f>HYPERLINK(Valori[[#This Row],[MS_Link]],"")</f>
        <v></v>
      </c>
      <c r="T150" s="1665" t="str">
        <f>HYPERLINK(Valori[[#This Row],[C_source]],"")</f>
        <v></v>
      </c>
      <c r="U150" s="142" t="str" cm="1">
        <f t="array" aca="1" ref="U150" ca="1">OFFSET(POrigin,MATCH(Valori[[#This Row],[LUKB_id]],PID,0),MATCH("M_CUR",PLabel,0)-1,1,1)</f>
        <v>EUR</v>
      </c>
      <c r="V150" s="1562">
        <f ca="1">(Valori[[#This Row],[Last]]+Valori[[#This Row],[Acc. Int]])/Valori[[#This Row],[Pr.Amt]]/IF(Valori[[#This Row],[P_Type]]="Pct",100,1)</f>
        <v>78.48</v>
      </c>
      <c r="W150" s="1591" cm="1">
        <f t="array" aca="1" ref="W150" ca="1">OFFSET(POrigin,MATCH(Valori[[#This Row],[LUKB_id]],PID,0),MATCH("NC2_PR",PLabel,0)-1,1,1)/100</f>
        <v>-3.8886863531415001E-3</v>
      </c>
      <c r="X150" s="1592" cm="1">
        <f t="array" aca="1" ref="X150" ca="1">OFFSET(POrigin,MATCH(Valori[[#This Row],[LUKB_id]],PID,0),MATCH("LVAL",PLabel,0)-1,1,1)</f>
        <v>78.48</v>
      </c>
      <c r="Y150" s="1593" cm="1">
        <f t="array" aca="1" ref="Y150" ca="1">OFFSET(POrigin,MATCH(Valori[[#This Row],[LUKB_id]],PID,0),MATCH("LVAL:datetime",PLabel,0)-1,1,1)</f>
        <v>46084.781354166669</v>
      </c>
      <c r="Z150" s="1594" cm="1">
        <f t="array" aca="1" ref="Z150" ca="1">OFFSET(POrigin,MATCH(Valori[[#This Row],[LUKB_id]],PID,0),MATCH("BID:volume",PLabel,0)-1,1,1)</f>
        <v>1276</v>
      </c>
      <c r="AA150" s="1595" cm="1">
        <f t="array" aca="1" ref="AA150" ca="1">OFFSET(POrigin,MATCH(Valori[[#This Row],[LUKB_id]],PID,0),MATCH("BID",PLabel,0)-1,1,1)</f>
        <v>78.430000000000007</v>
      </c>
      <c r="AB150" s="1595" cm="1">
        <f t="array" aca="1" ref="AB150" ca="1">OFFSET(POrigin,MATCH(Valori[[#This Row],[LUKB_id]],PID,0),MATCH("ASK",PLabel,0)-1,1,1)</f>
        <v>78.77</v>
      </c>
      <c r="AC150" s="1594" cm="1">
        <f t="array" aca="1" ref="AC150" ca="1">OFFSET(POrigin,MATCH(Valori[[#This Row],[LUKB_id]],PID,0),MATCH("ASK:volume",PLabel,0)-1,1,1)</f>
        <v>1270</v>
      </c>
      <c r="AD150" s="1596" cm="1">
        <f t="array" aca="1" ref="AD150" ca="1">OFFSET(POrigin,MATCH(Valori[[#This Row],[LUKB_id]],PID,0),MATCH("BID-ASK Spread %",PLabel,0)-1,1,1)</f>
        <v>2.8858804057207417E-3</v>
      </c>
      <c r="AE150" s="1597" t="str" cm="1">
        <f t="array" aca="1" ref="AE150" ca="1">IF(OFFSET(POrigin,MATCH(Valori[[#This Row],[LUKB_id]],PID,0),MATCH("MATURITY",PLabel,0)-1,1,1)&gt;0,OFFSET(POrigin,MATCH(Valori[[#This Row],[LUKB_id]],PID,0),MATCH("MATURITY",PLabel,0)-1,1,1),"")</f>
        <v/>
      </c>
      <c r="AF150" s="1598" cm="1">
        <f t="array" aca="1" ref="AF150" ca="1">OFFSET(POrigin,MATCH(Valori[[#This Row],[LUKB_id]],PID,0),MATCH("ACCINT",PLabel,0)-1,1,1)</f>
        <v>0</v>
      </c>
      <c r="AG150" s="1594" cm="1">
        <f t="array" aca="1" ref="AG150" ca="1">OFFSET(POrigin,MATCH(Valori[[#This Row],[LUKB_id]],PID,0),MATCH("DENOM",PLabel,0)-1,1,1)</f>
        <v>0</v>
      </c>
      <c r="AH150" s="1599" cm="1">
        <f t="array" aca="1" ref="AH150" ca="1">(OFFSET(POrigin,MATCH(Valori[[#This Row],[LUKB_id]],PID,0),MATCH("YIELD",PLabel,0)-1,1,1)+OFFSET(POrigin,MATCH(Valori[[#This Row],[LUKB_id]],PID,0),MATCH("YLDEQ",PLabel,0)-1,1,1))/100</f>
        <v>0</v>
      </c>
      <c r="AI150" s="1600">
        <f ca="1">OFFSET(POrigin,MATCH(Valori[[#This Row],[LUKB_id]],PID,0),MATCH("DIVIDEND",PLabel,0)-1,1,1)</f>
        <v>0.13477600000000001</v>
      </c>
      <c r="AJ150" s="1601">
        <f ca="1">OFFSET(POrigin,MATCH(Valori[[#This Row],[LUKB_id]],PID,0),MATCH("DIVIDEND:datetime",PLabel,0)-1,1,1)</f>
        <v>46037</v>
      </c>
      <c r="AK150" s="1602">
        <f ca="1">OFFSET(POrigin,MATCH(Valori[[#This Row],[LUKB_id]],PID,0),MATCH("INTEREST",PLabel,0)-1,1,1)</f>
        <v>0</v>
      </c>
      <c r="AL150" s="1603">
        <f ca="1">OFFSET(POrigin,MATCH(Valori[[#This Row],[LUKB_id]],PID,0),MATCH("4W_PERF_PR",PLabel,0)-1,1,1)/100</f>
        <v>6.9810085134250133E-2</v>
      </c>
      <c r="AM150" s="1603">
        <f ca="1">OFFSET(POrigin,MATCH(Valori[[#This Row],[LUKB_id]],PID,0),MATCH("12W_PERF_PR",PLabel,0)-1,1,1)/100</f>
        <v>0.30354293009894673</v>
      </c>
      <c r="AN150" s="1603">
        <f ca="1">OFFSET(POrigin,MATCH(Valori[[#This Row],[LUKB_id]],PID,0),MATCH("YTD_PERF_PR",PLabel,0)-1,1,1)/100</f>
        <v>0.212215320910974</v>
      </c>
      <c r="AO150" s="1591"/>
      <c r="AP150" s="1591"/>
      <c r="AQ150" s="1591"/>
      <c r="AR150" s="1591"/>
      <c r="AS150" s="1890"/>
      <c r="AT150" s="1890"/>
      <c r="AU150" s="610"/>
      <c r="AV150" s="1891"/>
      <c r="AW150" s="1604" t="str">
        <f ca="1">"https://boersenundmaerkte.lukb.ch/lukb/details/"&amp;Valori[[#This Row],[LUKB_id]]</f>
        <v>https://boersenundmaerkte.lukb.ch/lukb/details/12980519,16,814</v>
      </c>
      <c r="AX15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0" s="142"/>
      <c r="AZ150" s="142"/>
      <c r="BA150" s="142"/>
      <c r="BB150" s="142"/>
    </row>
    <row r="151" spans="1:54" ht="15" customHeight="1" x14ac:dyDescent="0.2">
      <c r="A151" s="142" t="s">
        <v>4333</v>
      </c>
      <c r="B151" s="142" t="str" cm="1">
        <f t="array" aca="1" ref="B151" ca="1">OFFSET(POrigin,MATCH(Valori[[#This Row],[smo_id]],Posizioni[smo_id],0),MATCH("LUKB_id",PIntestazioni,0)-1,1,1)</f>
        <v>12980549,16,814</v>
      </c>
      <c r="C151" s="1668" t="str">
        <f ca="1">HYPERLINK("https://boersenundmaerkte.lukb.ch/lukb/details/"&amp;Valori[[#This Row],[LUKB_id]],"è")</f>
        <v>è</v>
      </c>
      <c r="D151" s="142" t="str" cm="1">
        <f t="array" aca="1" ref="D151" ca="1">OFFSET(POrigin,MATCH(Valori[[#This Row],[LUKB_id]],PID,0),MATCH("SC_GROUPED",PIntestazioni,0)-1,1,1)</f>
        <v>ETF</v>
      </c>
      <c r="E151" s="413" t="str" cm="1">
        <f t="array" aca="1" ref="E151" ca="1">OFFSET(POrigin,MATCH(Valori[[#This Row],[LUKB_id]],PID,0),MATCH("isin",PIntestazioni,0)-1,1,1)</f>
        <v>DE000A0H08E0</v>
      </c>
      <c r="F151" s="34" t="str" cm="1">
        <f t="array" aca="1" ref="F151" ca="1">OFFSET(POrigin,MATCH(Valori[[#This Row],[LUKB_id]],PID,0),MATCH("NSIN_CH",PLabel,0)-1,1,1)</f>
        <v>12980549</v>
      </c>
      <c r="G151" s="95" t="str" cm="1">
        <f t="array" aca="1" ref="G151" ca="1">IF(OFFSET(POrigin,MATCH(Valori[[#This Row],[LUKB_id]],PID,0),MATCH("INSTRUNIT",PLabel,0)-1,1,1)="Nominal","Pct","Unit")</f>
        <v>Unit</v>
      </c>
      <c r="H151" s="612">
        <f ca="1">MAX(OFFSET(POrigin,MATCH(Valori[[#This Row],[LUKB_id]],PID,0),MATCH("PRICINGAMT",PLabel,0)-1,1,1),1)</f>
        <v>1</v>
      </c>
      <c r="I151" s="615" t="str" cm="1">
        <f t="array" aca="1" ref="I151" ca="1">OFFSET(POrigin,MATCH(Valori[[#This Row],[LUKB_id]],PID,0),MATCH("M_NAME",PLabel,0)-1,1,1)</f>
        <v>iShares STOXX Europe 600 Chemicals UCITS ETF (DE)</v>
      </c>
      <c r="M151" s="142" t="str" cm="1">
        <f t="array" aca="1" ref="M1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Chemicals UCITS ETF (DE)</v>
      </c>
      <c r="N151" s="1563">
        <f ca="1">COUNTIF('CHF M'!smo_id,Valori[[#This Row],[smo_id]])+COUNTIF('CHF MA'!smo_id,Valori[[#This Row],[smo_id]])+COUNTIF('EUR MB'!smo_id,Valori[[#This Row],[smo_id]])+COUNTIF('EUR M'!smo_id,Valori[[#This Row],[smo_id]])+COUNTIF(AGCO!smo_id,Valori[[#This Row],[smo_id]])</f>
        <v>0</v>
      </c>
      <c r="O151" s="1590" cm="1">
        <f t="array" aca="1" ref="O151" ca="1">SUM(IF('CHF M'!smo_id=Valori[[#This Row],[smo_id]],'CHF M'!Posizione))+SUM(IF('CHF MA'!smo_id=Valori[[#This Row],[smo_id]],'CHF MA'!Posizione))+SUM(IF('EUR MB'!smo_id=Valori[[#This Row],[smo_id]],'EUR MB'!Posizione))+SUM(IF('EUR M'!smo_id=Valori[[#This Row],[smo_id]],'EUR M'!Posizione))+SUM(IF(AGCO!smo_id=Valori[[#This Row],[smo_id]],AGCO!Posizione))</f>
        <v>0</v>
      </c>
      <c r="P151" s="1661" t="str">
        <f ca="1">HYPERLINK(Valori[[#This Row],[P_Source]],"è")</f>
        <v>è</v>
      </c>
      <c r="Q151" s="1663" t="str">
        <f>HYPERLINK(Valori[[#This Row],[Info_W]],"i")</f>
        <v>i</v>
      </c>
      <c r="R151" s="1664" t="str">
        <f>HYPERLINK(Valori[[#This Row],[FN_W]],"")</f>
        <v></v>
      </c>
      <c r="S151" s="1665" t="str">
        <f>HYPERLINK(Valori[[#This Row],[MS_Link]],"")</f>
        <v></v>
      </c>
      <c r="T151" s="1665" t="str">
        <f>HYPERLINK(Valori[[#This Row],[C_source]],"")</f>
        <v></v>
      </c>
      <c r="U151" s="142" t="str" cm="1">
        <f t="array" aca="1" ref="U151" ca="1">OFFSET(POrigin,MATCH(Valori[[#This Row],[LUKB_id]],PID,0),MATCH("M_CUR",PLabel,0)-1,1,1)</f>
        <v>EUR</v>
      </c>
      <c r="V151" s="1562">
        <f ca="1">(Valori[[#This Row],[Last]]+Valori[[#This Row],[Acc. Int]])/Valori[[#This Row],[Pr.Amt]]/IF(Valori[[#This Row],[P_Type]]="Pct",100,1)</f>
        <v>113.94</v>
      </c>
      <c r="W151" s="1591" cm="1">
        <f t="array" aca="1" ref="W151" ca="1">OFFSET(POrigin,MATCH(Valori[[#This Row],[LUKB_id]],PID,0),MATCH("NC2_PR",PLabel,0)-1,1,1)/100</f>
        <v>-1.88679245283019E-2</v>
      </c>
      <c r="X151" s="1592" cm="1">
        <f t="array" aca="1" ref="X151" ca="1">OFFSET(POrigin,MATCH(Valori[[#This Row],[LUKB_id]],PID,0),MATCH("LVAL",PLabel,0)-1,1,1)</f>
        <v>113.94</v>
      </c>
      <c r="Y151" s="1593" cm="1">
        <f t="array" aca="1" ref="Y151" ca="1">OFFSET(POrigin,MATCH(Valori[[#This Row],[LUKB_id]],PID,0),MATCH("LVAL:datetime",PLabel,0)-1,1,1)</f>
        <v>46084.781354166669</v>
      </c>
      <c r="Z151" s="1594" cm="1">
        <f t="array" aca="1" ref="Z151" ca="1">OFFSET(POrigin,MATCH(Valori[[#This Row],[LUKB_id]],PID,0),MATCH("BID:volume",PLabel,0)-1,1,1)</f>
        <v>878</v>
      </c>
      <c r="AA151" s="1595" cm="1">
        <f t="array" aca="1" ref="AA151" ca="1">OFFSET(POrigin,MATCH(Valori[[#This Row],[LUKB_id]],PID,0),MATCH("BID",PLabel,0)-1,1,1)</f>
        <v>113.92</v>
      </c>
      <c r="AB151" s="1595" cm="1">
        <f t="array" aca="1" ref="AB151" ca="1">OFFSET(POrigin,MATCH(Valori[[#This Row],[LUKB_id]],PID,0),MATCH("ASK",PLabel,0)-1,1,1)</f>
        <v>114.24000000000001</v>
      </c>
      <c r="AC151" s="1594" cm="1">
        <f t="array" aca="1" ref="AC151" ca="1">OFFSET(POrigin,MATCH(Valori[[#This Row],[LUKB_id]],PID,0),MATCH("ASK:volume",PLabel,0)-1,1,1)</f>
        <v>876</v>
      </c>
      <c r="AD151" s="1596" cm="1">
        <f t="array" aca="1" ref="AD151" ca="1">OFFSET(POrigin,MATCH(Valori[[#This Row],[LUKB_id]],PID,0),MATCH("BID-ASK Spread %",PLabel,0)-1,1,1)</f>
        <v>1.8709073900842338E-3</v>
      </c>
      <c r="AE151" s="1597" t="str" cm="1">
        <f t="array" aca="1" ref="AE151" ca="1">IF(OFFSET(POrigin,MATCH(Valori[[#This Row],[LUKB_id]],PID,0),MATCH("MATURITY",PLabel,0)-1,1,1)&gt;0,OFFSET(POrigin,MATCH(Valori[[#This Row],[LUKB_id]],PID,0),MATCH("MATURITY",PLabel,0)-1,1,1),"")</f>
        <v/>
      </c>
      <c r="AF151" s="1598" cm="1">
        <f t="array" aca="1" ref="AF151" ca="1">OFFSET(POrigin,MATCH(Valori[[#This Row],[LUKB_id]],PID,0),MATCH("ACCINT",PLabel,0)-1,1,1)</f>
        <v>0</v>
      </c>
      <c r="AG151" s="1594" cm="1">
        <f t="array" aca="1" ref="AG151" ca="1">OFFSET(POrigin,MATCH(Valori[[#This Row],[LUKB_id]],PID,0),MATCH("DENOM",PLabel,0)-1,1,1)</f>
        <v>0</v>
      </c>
      <c r="AH151" s="1599" cm="1">
        <f t="array" aca="1" ref="AH151" ca="1">(OFFSET(POrigin,MATCH(Valori[[#This Row],[LUKB_id]],PID,0),MATCH("YIELD",PLabel,0)-1,1,1)+OFFSET(POrigin,MATCH(Valori[[#This Row],[LUKB_id]],PID,0),MATCH("YLDEQ",PLabel,0)-1,1,1))/100</f>
        <v>0</v>
      </c>
      <c r="AI151" s="1600">
        <f ca="1">OFFSET(POrigin,MATCH(Valori[[#This Row],[LUKB_id]],PID,0),MATCH("DIVIDEND",PLabel,0)-1,1,1)</f>
        <v>0.11078199999999999</v>
      </c>
      <c r="AJ151" s="1601">
        <f ca="1">OFFSET(POrigin,MATCH(Valori[[#This Row],[LUKB_id]],PID,0),MATCH("DIVIDEND:datetime",PLabel,0)-1,1,1)</f>
        <v>46037</v>
      </c>
      <c r="AK151" s="1602">
        <f ca="1">OFFSET(POrigin,MATCH(Valori[[#This Row],[LUKB_id]],PID,0),MATCH("INTEREST",PLabel,0)-1,1,1)</f>
        <v>0</v>
      </c>
      <c r="AL151" s="1603">
        <f ca="1">OFFSET(POrigin,MATCH(Valori[[#This Row],[LUKB_id]],PID,0),MATCH("4W_PERF_PR",PLabel,0)-1,1,1)/100</f>
        <v>4.799568578105342E-2</v>
      </c>
      <c r="AM151" s="1603">
        <f ca="1">OFFSET(POrigin,MATCH(Valori[[#This Row],[LUKB_id]],PID,0),MATCH("12W_PERF_PR",PLabel,0)-1,1,1)/100</f>
        <v>8.0429948109710964E-2</v>
      </c>
      <c r="AN151" s="1603">
        <f ca="1">OFFSET(POrigin,MATCH(Valori[[#This Row],[LUKB_id]],PID,0),MATCH("YTD_PERF_PR",PLabel,0)-1,1,1)/100</f>
        <v>5.9679767103347998E-2</v>
      </c>
      <c r="AO151" s="1591"/>
      <c r="AP151" s="1591"/>
      <c r="AQ151" s="1591"/>
      <c r="AR151" s="1591"/>
      <c r="AS151" s="1890"/>
      <c r="AT151" s="1890"/>
      <c r="AU151" s="610"/>
      <c r="AV151" s="1891"/>
      <c r="AW151" s="1604" t="str">
        <f ca="1">"https://boersenundmaerkte.lukb.ch/lukb/details/"&amp;Valori[[#This Row],[LUKB_id]]</f>
        <v>https://boersenundmaerkte.lukb.ch/lukb/details/12980549,16,814</v>
      </c>
      <c r="AX15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1" s="142"/>
      <c r="AZ151" s="142"/>
      <c r="BA151" s="142"/>
      <c r="BB151" s="142"/>
    </row>
    <row r="152" spans="1:54" ht="15" customHeight="1" x14ac:dyDescent="0.2">
      <c r="A152" s="142" t="s">
        <v>4334</v>
      </c>
      <c r="B152" s="142" t="str" cm="1">
        <f t="array" aca="1" ref="B152" ca="1">OFFSET(POrigin,MATCH(Valori[[#This Row],[smo_id]],Posizioni[smo_id],0),MATCH("LUKB_id",PIntestazioni,0)-1,1,1)</f>
        <v>12980561,16,814</v>
      </c>
      <c r="C152" s="1668" t="str">
        <f ca="1">HYPERLINK("https://boersenundmaerkte.lukb.ch/lukb/details/"&amp;Valori[[#This Row],[LUKB_id]],"è")</f>
        <v>è</v>
      </c>
      <c r="D152" s="142" t="str" cm="1">
        <f t="array" aca="1" ref="D152" ca="1">OFFSET(POrigin,MATCH(Valori[[#This Row],[LUKB_id]],PID,0),MATCH("SC_GROUPED",PIntestazioni,0)-1,1,1)</f>
        <v>ETF</v>
      </c>
      <c r="E152" s="413" t="str" cm="1">
        <f t="array" aca="1" ref="E152" ca="1">OFFSET(POrigin,MATCH(Valori[[#This Row],[LUKB_id]],PID,0),MATCH("isin",PIntestazioni,0)-1,1,1)</f>
        <v>DE000A0H08F7</v>
      </c>
      <c r="F152" s="34" t="str" cm="1">
        <f t="array" aca="1" ref="F152" ca="1">OFFSET(POrigin,MATCH(Valori[[#This Row],[LUKB_id]],PID,0),MATCH("NSIN_CH",PLabel,0)-1,1,1)</f>
        <v>12980561</v>
      </c>
      <c r="G152" s="95" t="str" cm="1">
        <f t="array" aca="1" ref="G152" ca="1">IF(OFFSET(POrigin,MATCH(Valori[[#This Row],[LUKB_id]],PID,0),MATCH("INSTRUNIT",PLabel,0)-1,1,1)="Nominal","Pct","Unit")</f>
        <v>Unit</v>
      </c>
      <c r="H152" s="612">
        <f ca="1">MAX(OFFSET(POrigin,MATCH(Valori[[#This Row],[LUKB_id]],PID,0),MATCH("PRICINGAMT",PLabel,0)-1,1,1),1)</f>
        <v>1</v>
      </c>
      <c r="I152" s="615" t="str" cm="1">
        <f t="array" aca="1" ref="I152" ca="1">OFFSET(POrigin,MATCH(Valori[[#This Row],[LUKB_id]],PID,0),MATCH("M_NAME",PLabel,0)-1,1,1)</f>
        <v>iShares STOXX Europe 600 Construction &amp; Materials UCITS ETF (DE)</v>
      </c>
      <c r="M152" s="142" t="str" cm="1">
        <f t="array" aca="1" ref="M1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Construction &amp; Materials UCITS ETF (DE)</v>
      </c>
      <c r="N152" s="1563">
        <f ca="1">COUNTIF('CHF M'!smo_id,Valori[[#This Row],[smo_id]])+COUNTIF('CHF MA'!smo_id,Valori[[#This Row],[smo_id]])+COUNTIF('EUR MB'!smo_id,Valori[[#This Row],[smo_id]])+COUNTIF('EUR M'!smo_id,Valori[[#This Row],[smo_id]])+COUNTIF(AGCO!smo_id,Valori[[#This Row],[smo_id]])</f>
        <v>5</v>
      </c>
      <c r="O152" s="1590" cm="1">
        <f t="array" aca="1" ref="O152" ca="1">SUM(IF('CHF M'!smo_id=Valori[[#This Row],[smo_id]],'CHF M'!Posizione))+SUM(IF('CHF MA'!smo_id=Valori[[#This Row],[smo_id]],'CHF MA'!Posizione))+SUM(IF('EUR MB'!smo_id=Valori[[#This Row],[smo_id]],'EUR MB'!Posizione))+SUM(IF('EUR M'!smo_id=Valori[[#This Row],[smo_id]],'EUR M'!Posizione))+SUM(IF(AGCO!smo_id=Valori[[#This Row],[smo_id]],AGCO!Posizione))</f>
        <v>2745</v>
      </c>
      <c r="P152" s="1661" t="str">
        <f ca="1">HYPERLINK(Valori[[#This Row],[P_Source]],"è")</f>
        <v>è</v>
      </c>
      <c r="Q152" s="1663" t="str">
        <f>HYPERLINK(Valori[[#This Row],[Info_W]],"i")</f>
        <v>i</v>
      </c>
      <c r="R152" s="1664" t="str">
        <f>HYPERLINK(Valori[[#This Row],[FN_W]],"")</f>
        <v></v>
      </c>
      <c r="S152" s="1665" t="str">
        <f>HYPERLINK(Valori[[#This Row],[MS_Link]],"")</f>
        <v></v>
      </c>
      <c r="T152" s="1665" t="str">
        <f>HYPERLINK(Valori[[#This Row],[C_source]],"")</f>
        <v></v>
      </c>
      <c r="U152" s="142" t="str" cm="1">
        <f t="array" aca="1" ref="U152" ca="1">OFFSET(POrigin,MATCH(Valori[[#This Row],[LUKB_id]],PID,0),MATCH("M_CUR",PLabel,0)-1,1,1)</f>
        <v>EUR</v>
      </c>
      <c r="V152" s="1562">
        <f ca="1">(Valori[[#This Row],[Last]]+Valori[[#This Row],[Acc. Int]])/Valori[[#This Row],[Pr.Amt]]/IF(Valori[[#This Row],[P_Type]]="Pct",100,1)</f>
        <v>90.18</v>
      </c>
      <c r="W152" s="1591" cm="1">
        <f t="array" aca="1" ref="W152" ca="1">OFFSET(POrigin,MATCH(Valori[[#This Row],[LUKB_id]],PID,0),MATCH("NC2_PR",PLabel,0)-1,1,1)/100</f>
        <v>-3.46203623813632E-2</v>
      </c>
      <c r="X152" s="1592" cm="1">
        <f t="array" aca="1" ref="X152" ca="1">OFFSET(POrigin,MATCH(Valori[[#This Row],[LUKB_id]],PID,0),MATCH("LVAL",PLabel,0)-1,1,1)</f>
        <v>90.18</v>
      </c>
      <c r="Y152" s="1593" cm="1">
        <f t="array" aca="1" ref="Y152" ca="1">OFFSET(POrigin,MATCH(Valori[[#This Row],[LUKB_id]],PID,0),MATCH("LVAL:datetime",PLabel,0)-1,1,1)</f>
        <v>46084.781331018516</v>
      </c>
      <c r="Z152" s="1594" cm="1">
        <f t="array" aca="1" ref="Z152" ca="1">OFFSET(POrigin,MATCH(Valori[[#This Row],[LUKB_id]],PID,0),MATCH("BID:volume",PLabel,0)-1,1,1)</f>
        <v>1110</v>
      </c>
      <c r="AA152" s="1595" cm="1">
        <f t="array" aca="1" ref="AA152" ca="1">OFFSET(POrigin,MATCH(Valori[[#This Row],[LUKB_id]],PID,0),MATCH("BID",PLabel,0)-1,1,1)</f>
        <v>90.16</v>
      </c>
      <c r="AB152" s="1595" cm="1">
        <f t="array" aca="1" ref="AB152" ca="1">OFFSET(POrigin,MATCH(Valori[[#This Row],[LUKB_id]],PID,0),MATCH("ASK",PLabel,0)-1,1,1)</f>
        <v>90.42</v>
      </c>
      <c r="AC152" s="1594" cm="1">
        <f t="array" aca="1" ref="AC152" ca="1">OFFSET(POrigin,MATCH(Valori[[#This Row],[LUKB_id]],PID,0),MATCH("ASK:volume",PLabel,0)-1,1,1)</f>
        <v>1106</v>
      </c>
      <c r="AD152" s="1596" cm="1">
        <f t="array" aca="1" ref="AD152" ca="1">OFFSET(POrigin,MATCH(Valori[[#This Row],[LUKB_id]],PID,0),MATCH("BID-ASK Spread %",PLabel,0)-1,1,1)</f>
        <v>1.9206618896358506E-3</v>
      </c>
      <c r="AE152" s="1597" t="str" cm="1">
        <f t="array" aca="1" ref="AE152" ca="1">IF(OFFSET(POrigin,MATCH(Valori[[#This Row],[LUKB_id]],PID,0),MATCH("MATURITY",PLabel,0)-1,1,1)&gt;0,OFFSET(POrigin,MATCH(Valori[[#This Row],[LUKB_id]],PID,0),MATCH("MATURITY",PLabel,0)-1,1,1),"")</f>
        <v/>
      </c>
      <c r="AF152" s="1598" cm="1">
        <f t="array" aca="1" ref="AF152" ca="1">OFFSET(POrigin,MATCH(Valori[[#This Row],[LUKB_id]],PID,0),MATCH("ACCINT",PLabel,0)-1,1,1)</f>
        <v>0</v>
      </c>
      <c r="AG152" s="1594" cm="1">
        <f t="array" aca="1" ref="AG152" ca="1">OFFSET(POrigin,MATCH(Valori[[#This Row],[LUKB_id]],PID,0),MATCH("DENOM",PLabel,0)-1,1,1)</f>
        <v>0</v>
      </c>
      <c r="AH152" s="1599" cm="1">
        <f t="array" aca="1" ref="AH152" ca="1">(OFFSET(POrigin,MATCH(Valori[[#This Row],[LUKB_id]],PID,0),MATCH("YIELD",PLabel,0)-1,1,1)+OFFSET(POrigin,MATCH(Valori[[#This Row],[LUKB_id]],PID,0),MATCH("YLDEQ",PLabel,0)-1,1,1))/100</f>
        <v>0</v>
      </c>
      <c r="AI152" s="1600">
        <f ca="1">OFFSET(POrigin,MATCH(Valori[[#This Row],[LUKB_id]],PID,0),MATCH("DIVIDEND",PLabel,0)-1,1,1)</f>
        <v>0.23013799999999998</v>
      </c>
      <c r="AJ152" s="1601">
        <f ca="1">OFFSET(POrigin,MATCH(Valori[[#This Row],[LUKB_id]],PID,0),MATCH("DIVIDEND:datetime",PLabel,0)-1,1,1)</f>
        <v>46037</v>
      </c>
      <c r="AK152" s="1602">
        <f ca="1">OFFSET(POrigin,MATCH(Valori[[#This Row],[LUKB_id]],PID,0),MATCH("INTEREST",PLabel,0)-1,1,1)</f>
        <v>0</v>
      </c>
      <c r="AL152" s="1603">
        <f ca="1">OFFSET(POrigin,MATCH(Valori[[#This Row],[LUKB_id]],PID,0),MATCH("4W_PERF_PR",PLabel,0)-1,1,1)/100</f>
        <v>-7.4295899999999989E-3</v>
      </c>
      <c r="AM152" s="1603">
        <f ca="1">OFFSET(POrigin,MATCH(Valori[[#This Row],[LUKB_id]],PID,0),MATCH("12W_PERF_PR",PLabel,0)-1,1,1)/100</f>
        <v>2.6020169999999999E-2</v>
      </c>
      <c r="AN152" s="1603">
        <f ca="1">OFFSET(POrigin,MATCH(Valori[[#This Row],[LUKB_id]],PID,0),MATCH("YTD_PERF_PR",PLabel,0)-1,1,1)/100</f>
        <v>4.3909029497860796E-2</v>
      </c>
      <c r="AO152" s="1591"/>
      <c r="AP152" s="1591"/>
      <c r="AQ152" s="1591"/>
      <c r="AR152" s="1591"/>
      <c r="AS152" s="1890"/>
      <c r="AT152" s="1890"/>
      <c r="AU152" s="610"/>
      <c r="AV152" s="1891"/>
      <c r="AW152" s="1604" t="str">
        <f ca="1">"https://boersenundmaerkte.lukb.ch/lukb/details/"&amp;Valori[[#This Row],[LUKB_id]]</f>
        <v>https://boersenundmaerkte.lukb.ch/lukb/details/12980561,16,814</v>
      </c>
      <c r="AX15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2" s="142"/>
      <c r="AZ152" s="142"/>
      <c r="BA152" s="142"/>
      <c r="BB152" s="142"/>
    </row>
    <row r="153" spans="1:54" ht="15" customHeight="1" x14ac:dyDescent="0.2">
      <c r="A153" s="142" t="s">
        <v>4335</v>
      </c>
      <c r="B153" s="142" t="str" cm="1">
        <f t="array" aca="1" ref="B153" ca="1">OFFSET(POrigin,MATCH(Valori[[#This Row],[smo_id]],Posizioni[smo_id],0),MATCH("LUKB_id",PIntestazioni,0)-1,1,1)</f>
        <v>12980644,16,814</v>
      </c>
      <c r="C153" s="1668" t="str">
        <f ca="1">HYPERLINK("https://boersenundmaerkte.lukb.ch/lukb/details/"&amp;Valori[[#This Row],[LUKB_id]],"è")</f>
        <v>è</v>
      </c>
      <c r="D153" s="142" t="str" cm="1">
        <f t="array" aca="1" ref="D153" ca="1">OFFSET(POrigin,MATCH(Valori[[#This Row],[LUKB_id]],PID,0),MATCH("SC_GROUPED",PIntestazioni,0)-1,1,1)</f>
        <v>ETF</v>
      </c>
      <c r="E153" s="413" t="str" cm="1">
        <f t="array" aca="1" ref="E153" ca="1">OFFSET(POrigin,MATCH(Valori[[#This Row],[LUKB_id]],PID,0),MATCH("isin",PIntestazioni,0)-1,1,1)</f>
        <v>DE000A0H08G5</v>
      </c>
      <c r="F153" s="34" t="str" cm="1">
        <f t="array" aca="1" ref="F153" ca="1">OFFSET(POrigin,MATCH(Valori[[#This Row],[LUKB_id]],PID,0),MATCH("NSIN_CH",PLabel,0)-1,1,1)</f>
        <v>12980644</v>
      </c>
      <c r="G153" s="95" t="str" cm="1">
        <f t="array" aca="1" ref="G153" ca="1">IF(OFFSET(POrigin,MATCH(Valori[[#This Row],[LUKB_id]],PID,0),MATCH("INSTRUNIT",PLabel,0)-1,1,1)="Nominal","Pct","Unit")</f>
        <v>Unit</v>
      </c>
      <c r="H153" s="612">
        <f ca="1">MAX(OFFSET(POrigin,MATCH(Valori[[#This Row],[LUKB_id]],PID,0),MATCH("PRICINGAMT",PLabel,0)-1,1,1),1)</f>
        <v>1</v>
      </c>
      <c r="I153" s="615" t="str" cm="1">
        <f t="array" aca="1" ref="I153" ca="1">OFFSET(POrigin,MATCH(Valori[[#This Row],[LUKB_id]],PID,0),MATCH("M_NAME",PLabel,0)-1,1,1)</f>
        <v>iShares STOXX Europe 600 Financial Services UCITS ETF (DE)</v>
      </c>
      <c r="M153" s="142" t="str" cm="1">
        <f t="array" aca="1" ref="M1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Financial Services UCITS ETF (DE)</v>
      </c>
      <c r="N153" s="1563">
        <f ca="1">COUNTIF('CHF M'!smo_id,Valori[[#This Row],[smo_id]])+COUNTIF('CHF MA'!smo_id,Valori[[#This Row],[smo_id]])+COUNTIF('EUR MB'!smo_id,Valori[[#This Row],[smo_id]])+COUNTIF('EUR M'!smo_id,Valori[[#This Row],[smo_id]])+COUNTIF(AGCO!smo_id,Valori[[#This Row],[smo_id]])</f>
        <v>0</v>
      </c>
      <c r="O153" s="1590" cm="1">
        <f t="array" aca="1" ref="O153" ca="1">SUM(IF('CHF M'!smo_id=Valori[[#This Row],[smo_id]],'CHF M'!Posizione))+SUM(IF('CHF MA'!smo_id=Valori[[#This Row],[smo_id]],'CHF MA'!Posizione))+SUM(IF('EUR MB'!smo_id=Valori[[#This Row],[smo_id]],'EUR MB'!Posizione))+SUM(IF('EUR M'!smo_id=Valori[[#This Row],[smo_id]],'EUR M'!Posizione))+SUM(IF(AGCO!smo_id=Valori[[#This Row],[smo_id]],AGCO!Posizione))</f>
        <v>0</v>
      </c>
      <c r="P153" s="1661" t="str">
        <f ca="1">HYPERLINK(Valori[[#This Row],[P_Source]],"è")</f>
        <v>è</v>
      </c>
      <c r="Q153" s="1663" t="str">
        <f>HYPERLINK(Valori[[#This Row],[Info_W]],"i")</f>
        <v>i</v>
      </c>
      <c r="R153" s="1664" t="str">
        <f>HYPERLINK(Valori[[#This Row],[FN_W]],"")</f>
        <v></v>
      </c>
      <c r="S153" s="1665" t="str">
        <f>HYPERLINK(Valori[[#This Row],[MS_Link]],"")</f>
        <v></v>
      </c>
      <c r="T153" s="1665" t="str">
        <f>HYPERLINK(Valori[[#This Row],[C_source]],"")</f>
        <v></v>
      </c>
      <c r="U153" s="142" t="str" cm="1">
        <f t="array" aca="1" ref="U153" ca="1">OFFSET(POrigin,MATCH(Valori[[#This Row],[LUKB_id]],PID,0),MATCH("M_CUR",PLabel,0)-1,1,1)</f>
        <v>EUR</v>
      </c>
      <c r="V153" s="1562">
        <f ca="1">(Valori[[#This Row],[Last]]+Valori[[#This Row],[Acc. Int]])/Valori[[#This Row],[Pr.Amt]]/IF(Valori[[#This Row],[P_Type]]="Pct",100,1)</f>
        <v>85.38</v>
      </c>
      <c r="W153" s="1591" cm="1">
        <f t="array" aca="1" ref="W153" ca="1">OFFSET(POrigin,MATCH(Valori[[#This Row],[LUKB_id]],PID,0),MATCH("NC2_PR",PLabel,0)-1,1,1)/100</f>
        <v>2.3226106143300001E-4</v>
      </c>
      <c r="X153" s="1592" cm="1">
        <f t="array" aca="1" ref="X153" ca="1">OFFSET(POrigin,MATCH(Valori[[#This Row],[LUKB_id]],PID,0),MATCH("LVAL",PLabel,0)-1,1,1)</f>
        <v>85.38</v>
      </c>
      <c r="Y153" s="1593" cm="1">
        <f t="array" aca="1" ref="Y153" ca="1">OFFSET(POrigin,MATCH(Valori[[#This Row],[LUKB_id]],PID,0),MATCH("LVAL:datetime",PLabel,0)-1,1,1)</f>
        <v>46084.781354166669</v>
      </c>
      <c r="Z153" s="1594" cm="1">
        <f t="array" aca="1" ref="Z153" ca="1">OFFSET(POrigin,MATCH(Valori[[#This Row],[LUKB_id]],PID,0),MATCH("BID:volume",PLabel,0)-1,1,1)</f>
        <v>1172</v>
      </c>
      <c r="AA153" s="1595" cm="1">
        <f t="array" aca="1" ref="AA153" ca="1">OFFSET(POrigin,MATCH(Valori[[#This Row],[LUKB_id]],PID,0),MATCH("BID",PLabel,0)-1,1,1)</f>
        <v>85.38</v>
      </c>
      <c r="AB153" s="1595" cm="1">
        <f t="array" aca="1" ref="AB153" ca="1">OFFSET(POrigin,MATCH(Valori[[#This Row],[LUKB_id]],PID,0),MATCH("ASK",PLabel,0)-1,1,1)</f>
        <v>85.78</v>
      </c>
      <c r="AC153" s="1594" cm="1">
        <f t="array" aca="1" ref="AC153" ca="1">OFFSET(POrigin,MATCH(Valori[[#This Row],[LUKB_id]],PID,0),MATCH("ASK:volume",PLabel,0)-1,1,1)</f>
        <v>1166</v>
      </c>
      <c r="AD153" s="1596" cm="1">
        <f t="array" aca="1" ref="AD153" ca="1">OFFSET(POrigin,MATCH(Valori[[#This Row],[LUKB_id]],PID,0),MATCH("BID-ASK Spread %",PLabel,0)-1,1,1)</f>
        <v>3.1184220784283602E-3</v>
      </c>
      <c r="AE153" s="1597" t="str" cm="1">
        <f t="array" aca="1" ref="AE153" ca="1">IF(OFFSET(POrigin,MATCH(Valori[[#This Row],[LUKB_id]],PID,0),MATCH("MATURITY",PLabel,0)-1,1,1)&gt;0,OFFSET(POrigin,MATCH(Valori[[#This Row],[LUKB_id]],PID,0),MATCH("MATURITY",PLabel,0)-1,1,1),"")</f>
        <v/>
      </c>
      <c r="AF153" s="1598" cm="1">
        <f t="array" aca="1" ref="AF153" ca="1">OFFSET(POrigin,MATCH(Valori[[#This Row],[LUKB_id]],PID,0),MATCH("ACCINT",PLabel,0)-1,1,1)</f>
        <v>0</v>
      </c>
      <c r="AG153" s="1594" cm="1">
        <f t="array" aca="1" ref="AG153" ca="1">OFFSET(POrigin,MATCH(Valori[[#This Row],[LUKB_id]],PID,0),MATCH("DENOM",PLabel,0)-1,1,1)</f>
        <v>0</v>
      </c>
      <c r="AH153" s="1599" cm="1">
        <f t="array" aca="1" ref="AH153" ca="1">(OFFSET(POrigin,MATCH(Valori[[#This Row],[LUKB_id]],PID,0),MATCH("YIELD",PLabel,0)-1,1,1)+OFFSET(POrigin,MATCH(Valori[[#This Row],[LUKB_id]],PID,0),MATCH("YLDEQ",PLabel,0)-1,1,1))/100</f>
        <v>0</v>
      </c>
      <c r="AI153" s="1600">
        <f ca="1">OFFSET(POrigin,MATCH(Valori[[#This Row],[LUKB_id]],PID,0),MATCH("DIVIDEND",PLabel,0)-1,1,1)</f>
        <v>0.28270000000000001</v>
      </c>
      <c r="AJ153" s="1601">
        <f ca="1">OFFSET(POrigin,MATCH(Valori[[#This Row],[LUKB_id]],PID,0),MATCH("DIVIDEND:datetime",PLabel,0)-1,1,1)</f>
        <v>46037</v>
      </c>
      <c r="AK153" s="1602">
        <f ca="1">OFFSET(POrigin,MATCH(Valori[[#This Row],[LUKB_id]],PID,0),MATCH("INTEREST",PLabel,0)-1,1,1)</f>
        <v>0</v>
      </c>
      <c r="AL153" s="1603">
        <f ca="1">OFFSET(POrigin,MATCH(Valori[[#This Row],[LUKB_id]],PID,0),MATCH("4W_PERF_PR",PLabel,0)-1,1,1)/100</f>
        <v>-4.1451346893897699E-2</v>
      </c>
      <c r="AM153" s="1603">
        <f ca="1">OFFSET(POrigin,MATCH(Valori[[#This Row],[LUKB_id]],PID,0),MATCH("12W_PERF_PR",PLabel,0)-1,1,1)/100</f>
        <v>3.4531861872552638E-2</v>
      </c>
      <c r="AN153" s="1603">
        <f ca="1">OFFSET(POrigin,MATCH(Valori[[#This Row],[LUKB_id]],PID,0),MATCH("YTD_PERF_PR",PLabel,0)-1,1,1)/100</f>
        <v>-4.0761777480788706E-2</v>
      </c>
      <c r="AO153" s="1591"/>
      <c r="AP153" s="1591"/>
      <c r="AQ153" s="1591"/>
      <c r="AR153" s="1591"/>
      <c r="AS153" s="1890"/>
      <c r="AT153" s="1890"/>
      <c r="AU153" s="610"/>
      <c r="AV153" s="1891"/>
      <c r="AW153" s="1604" t="str">
        <f ca="1">"https://boersenundmaerkte.lukb.ch/lukb/details/"&amp;Valori[[#This Row],[LUKB_id]]</f>
        <v>https://boersenundmaerkte.lukb.ch/lukb/details/12980644,16,814</v>
      </c>
      <c r="AX15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3" s="142"/>
      <c r="AZ153" s="142"/>
      <c r="BA153" s="142"/>
      <c r="BB153" s="142"/>
    </row>
    <row r="154" spans="1:54" ht="15" customHeight="1" x14ac:dyDescent="0.2">
      <c r="A154" s="142" t="s">
        <v>4336</v>
      </c>
      <c r="B154" s="142" t="str" cm="1">
        <f t="array" aca="1" ref="B154" ca="1">OFFSET(POrigin,MATCH(Valori[[#This Row],[smo_id]],Posizioni[smo_id],0),MATCH("LUKB_id",PIntestazioni,0)-1,1,1)</f>
        <v>12980579,16,814</v>
      </c>
      <c r="C154" s="1668" t="str">
        <f ca="1">HYPERLINK("https://boersenundmaerkte.lukb.ch/lukb/details/"&amp;Valori[[#This Row],[LUKB_id]],"è")</f>
        <v>è</v>
      </c>
      <c r="D154" s="142" t="str" cm="1">
        <f t="array" aca="1" ref="D154" ca="1">OFFSET(POrigin,MATCH(Valori[[#This Row],[LUKB_id]],PID,0),MATCH("SC_GROUPED",PIntestazioni,0)-1,1,1)</f>
        <v>ETF</v>
      </c>
      <c r="E154" s="413" t="str" cm="1">
        <f t="array" aca="1" ref="E154" ca="1">OFFSET(POrigin,MATCH(Valori[[#This Row],[LUKB_id]],PID,0),MATCH("isin",PIntestazioni,0)-1,1,1)</f>
        <v>DE000A0H08H3</v>
      </c>
      <c r="F154" s="34" t="str" cm="1">
        <f t="array" aca="1" ref="F154" ca="1">OFFSET(POrigin,MATCH(Valori[[#This Row],[LUKB_id]],PID,0),MATCH("NSIN_CH",PLabel,0)-1,1,1)</f>
        <v>12980579</v>
      </c>
      <c r="G154" s="95" t="str" cm="1">
        <f t="array" aca="1" ref="G154" ca="1">IF(OFFSET(POrigin,MATCH(Valori[[#This Row],[LUKB_id]],PID,0),MATCH("INSTRUNIT",PLabel,0)-1,1,1)="Nominal","Pct","Unit")</f>
        <v>Unit</v>
      </c>
      <c r="H154" s="612">
        <f ca="1">MAX(OFFSET(POrigin,MATCH(Valori[[#This Row],[LUKB_id]],PID,0),MATCH("PRICINGAMT",PLabel,0)-1,1,1),1)</f>
        <v>1</v>
      </c>
      <c r="I154" s="615" t="str" cm="1">
        <f t="array" aca="1" ref="I154" ca="1">OFFSET(POrigin,MATCH(Valori[[#This Row],[LUKB_id]],PID,0),MATCH("M_NAME",PLabel,0)-1,1,1)</f>
        <v>iShares STOXX Europe 600 Food &amp; Beverage UCITS ETF (DE)</v>
      </c>
      <c r="M154" s="142" t="str" cm="1">
        <f t="array" aca="1" ref="M1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Food &amp; Beverage UCITS ETF (DE)</v>
      </c>
      <c r="N154" s="1563">
        <f ca="1">COUNTIF('CHF M'!smo_id,Valori[[#This Row],[smo_id]])+COUNTIF('CHF MA'!smo_id,Valori[[#This Row],[smo_id]])+COUNTIF('EUR MB'!smo_id,Valori[[#This Row],[smo_id]])+COUNTIF('EUR M'!smo_id,Valori[[#This Row],[smo_id]])+COUNTIF(AGCO!smo_id,Valori[[#This Row],[smo_id]])</f>
        <v>0</v>
      </c>
      <c r="O154" s="1590" cm="1">
        <f t="array" aca="1" ref="O154" ca="1">SUM(IF('CHF M'!smo_id=Valori[[#This Row],[smo_id]],'CHF M'!Posizione))+SUM(IF('CHF MA'!smo_id=Valori[[#This Row],[smo_id]],'CHF MA'!Posizione))+SUM(IF('EUR MB'!smo_id=Valori[[#This Row],[smo_id]],'EUR MB'!Posizione))+SUM(IF('EUR M'!smo_id=Valori[[#This Row],[smo_id]],'EUR M'!Posizione))+SUM(IF(AGCO!smo_id=Valori[[#This Row],[smo_id]],AGCO!Posizione))</f>
        <v>0</v>
      </c>
      <c r="P154" s="1661" t="str">
        <f ca="1">HYPERLINK(Valori[[#This Row],[P_Source]],"è")</f>
        <v>è</v>
      </c>
      <c r="Q154" s="1663" t="str">
        <f>HYPERLINK(Valori[[#This Row],[Info_W]],"i")</f>
        <v>i</v>
      </c>
      <c r="R154" s="1664" t="str">
        <f>HYPERLINK(Valori[[#This Row],[FN_W]],"")</f>
        <v></v>
      </c>
      <c r="S154" s="1665" t="str">
        <f>HYPERLINK(Valori[[#This Row],[MS_Link]],"")</f>
        <v></v>
      </c>
      <c r="T154" s="1665" t="str">
        <f>HYPERLINK(Valori[[#This Row],[C_source]],"")</f>
        <v></v>
      </c>
      <c r="U154" s="142" t="str" cm="1">
        <f t="array" aca="1" ref="U154" ca="1">OFFSET(POrigin,MATCH(Valori[[#This Row],[LUKB_id]],PID,0),MATCH("M_CUR",PLabel,0)-1,1,1)</f>
        <v>EUR</v>
      </c>
      <c r="V154" s="1562">
        <f ca="1">(Valori[[#This Row],[Last]]+Valori[[#This Row],[Acc. Int]])/Valori[[#This Row],[Pr.Amt]]/IF(Valori[[#This Row],[P_Type]]="Pct",100,1)</f>
        <v>64.5</v>
      </c>
      <c r="W154" s="1591" cm="1">
        <f t="array" aca="1" ref="W154" ca="1">OFFSET(POrigin,MATCH(Valori[[#This Row],[LUKB_id]],PID,0),MATCH("NC2_PR",PLabel,0)-1,1,1)/100</f>
        <v>-3.0521726056232202E-2</v>
      </c>
      <c r="X154" s="1592" cm="1">
        <f t="array" aca="1" ref="X154" ca="1">OFFSET(POrigin,MATCH(Valori[[#This Row],[LUKB_id]],PID,0),MATCH("LVAL",PLabel,0)-1,1,1)</f>
        <v>64.5</v>
      </c>
      <c r="Y154" s="1593" cm="1">
        <f t="array" aca="1" ref="Y154" ca="1">OFFSET(POrigin,MATCH(Valori[[#This Row],[LUKB_id]],PID,0),MATCH("LVAL:datetime",PLabel,0)-1,1,1)</f>
        <v>46084.781388888892</v>
      </c>
      <c r="Z154" s="1594" cm="1">
        <f t="array" aca="1" ref="Z154" ca="1">OFFSET(POrigin,MATCH(Valori[[#This Row],[LUKB_id]],PID,0),MATCH("BID:volume",PLabel,0)-1,1,1)</f>
        <v>1551</v>
      </c>
      <c r="AA154" s="1595" cm="1">
        <f t="array" aca="1" ref="AA154" ca="1">OFFSET(POrigin,MATCH(Valori[[#This Row],[LUKB_id]],PID,0),MATCH("BID",PLabel,0)-1,1,1)</f>
        <v>64.489999999999995</v>
      </c>
      <c r="AB154" s="1595" cm="1">
        <f t="array" aca="1" ref="AB154" ca="1">OFFSET(POrigin,MATCH(Valori[[#This Row],[LUKB_id]],PID,0),MATCH("ASK",PLabel,0)-1,1,1)</f>
        <v>64.739999999999995</v>
      </c>
      <c r="AC154" s="1594" cm="1">
        <f t="array" aca="1" ref="AC154" ca="1">OFFSET(POrigin,MATCH(Valori[[#This Row],[LUKB_id]],PID,0),MATCH("ASK:volume",PLabel,0)-1,1,1)</f>
        <v>1545</v>
      </c>
      <c r="AD154" s="1596" cm="1">
        <f t="array" aca="1" ref="AD154" ca="1">OFFSET(POrigin,MATCH(Valori[[#This Row],[LUKB_id]],PID,0),MATCH("BID-ASK Spread %",PLabel,0)-1,1,1)</f>
        <v>2.5810448069378488E-3</v>
      </c>
      <c r="AE154" s="1597" t="str" cm="1">
        <f t="array" aca="1" ref="AE154" ca="1">IF(OFFSET(POrigin,MATCH(Valori[[#This Row],[LUKB_id]],PID,0),MATCH("MATURITY",PLabel,0)-1,1,1)&gt;0,OFFSET(POrigin,MATCH(Valori[[#This Row],[LUKB_id]],PID,0),MATCH("MATURITY",PLabel,0)-1,1,1),"")</f>
        <v/>
      </c>
      <c r="AF154" s="1598" cm="1">
        <f t="array" aca="1" ref="AF154" ca="1">OFFSET(POrigin,MATCH(Valori[[#This Row],[LUKB_id]],PID,0),MATCH("ACCINT",PLabel,0)-1,1,1)</f>
        <v>0</v>
      </c>
      <c r="AG154" s="1594" cm="1">
        <f t="array" aca="1" ref="AG154" ca="1">OFFSET(POrigin,MATCH(Valori[[#This Row],[LUKB_id]],PID,0),MATCH("DENOM",PLabel,0)-1,1,1)</f>
        <v>0</v>
      </c>
      <c r="AH154" s="1599" cm="1">
        <f t="array" aca="1" ref="AH154" ca="1">(OFFSET(POrigin,MATCH(Valori[[#This Row],[LUKB_id]],PID,0),MATCH("YIELD",PLabel,0)-1,1,1)+OFFSET(POrigin,MATCH(Valori[[#This Row],[LUKB_id]],PID,0),MATCH("YLDEQ",PLabel,0)-1,1,1))/100</f>
        <v>0</v>
      </c>
      <c r="AI154" s="1600">
        <f ca="1">OFFSET(POrigin,MATCH(Valori[[#This Row],[LUKB_id]],PID,0),MATCH("DIVIDEND",PLabel,0)-1,1,1)</f>
        <v>0.27436699999999997</v>
      </c>
      <c r="AJ154" s="1601">
        <f ca="1">OFFSET(POrigin,MATCH(Valori[[#This Row],[LUKB_id]],PID,0),MATCH("DIVIDEND:datetime",PLabel,0)-1,1,1)</f>
        <v>46037</v>
      </c>
      <c r="AK154" s="1602">
        <f ca="1">OFFSET(POrigin,MATCH(Valori[[#This Row],[LUKB_id]],PID,0),MATCH("INTEREST",PLabel,0)-1,1,1)</f>
        <v>0</v>
      </c>
      <c r="AL154" s="1603">
        <f ca="1">OFFSET(POrigin,MATCH(Valori[[#This Row],[LUKB_id]],PID,0),MATCH("4W_PERF_PR",PLabel,0)-1,1,1)/100</f>
        <v>0.04</v>
      </c>
      <c r="AM154" s="1603">
        <f ca="1">OFFSET(POrigin,MATCH(Valori[[#This Row],[LUKB_id]],PID,0),MATCH("12W_PERF_PR",PLabel,0)-1,1,1)/100</f>
        <v>6.1399179999999998E-2</v>
      </c>
      <c r="AN154" s="1603">
        <f ca="1">OFFSET(POrigin,MATCH(Valori[[#This Row],[LUKB_id]],PID,0),MATCH("YTD_PERF_PR",PLabel,0)-1,1,1)/100</f>
        <v>7.5865415723067001E-2</v>
      </c>
      <c r="AO154" s="1591"/>
      <c r="AP154" s="1591"/>
      <c r="AQ154" s="1591"/>
      <c r="AR154" s="1591"/>
      <c r="AS154" s="1890"/>
      <c r="AT154" s="1890"/>
      <c r="AU154" s="610"/>
      <c r="AV154" s="1891"/>
      <c r="AW154" s="1604" t="str">
        <f ca="1">"https://boersenundmaerkte.lukb.ch/lukb/details/"&amp;Valori[[#This Row],[LUKB_id]]</f>
        <v>https://boersenundmaerkte.lukb.ch/lukb/details/12980579,16,814</v>
      </c>
      <c r="AX15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4" s="142"/>
      <c r="AZ154" s="142"/>
      <c r="BA154" s="142"/>
      <c r="BB154" s="142"/>
    </row>
    <row r="155" spans="1:54" ht="15" customHeight="1" x14ac:dyDescent="0.2">
      <c r="A155" s="142" t="s">
        <v>4337</v>
      </c>
      <c r="B155" s="142" t="str" cm="1">
        <f t="array" aca="1" ref="B155" ca="1">OFFSET(POrigin,MATCH(Valori[[#This Row],[smo_id]],Posizioni[smo_id],0),MATCH("LUKB_id",PIntestazioni,0)-1,1,1)</f>
        <v>12974725,16,814</v>
      </c>
      <c r="C155" s="1668" t="str">
        <f ca="1">HYPERLINK("https://boersenundmaerkte.lukb.ch/lukb/details/"&amp;Valori[[#This Row],[LUKB_id]],"è")</f>
        <v>è</v>
      </c>
      <c r="D155" s="142" t="str" cm="1">
        <f t="array" aca="1" ref="D155" ca="1">OFFSET(POrigin,MATCH(Valori[[#This Row],[LUKB_id]],PID,0),MATCH("SC_GROUPED",PIntestazioni,0)-1,1,1)</f>
        <v>ETF</v>
      </c>
      <c r="E155" s="413" t="str" cm="1">
        <f t="array" aca="1" ref="E155" ca="1">OFFSET(POrigin,MATCH(Valori[[#This Row],[LUKB_id]],PID,0),MATCH("isin",PIntestazioni,0)-1,1,1)</f>
        <v>DE000A0Q4R36</v>
      </c>
      <c r="F155" s="34" t="str" cm="1">
        <f t="array" aca="1" ref="F155" ca="1">OFFSET(POrigin,MATCH(Valori[[#This Row],[LUKB_id]],PID,0),MATCH("NSIN_CH",PLabel,0)-1,1,1)</f>
        <v>12974725</v>
      </c>
      <c r="G155" s="95" t="str" cm="1">
        <f t="array" aca="1" ref="G155" ca="1">IF(OFFSET(POrigin,MATCH(Valori[[#This Row],[LUKB_id]],PID,0),MATCH("INSTRUNIT",PLabel,0)-1,1,1)="Nominal","Pct","Unit")</f>
        <v>Unit</v>
      </c>
      <c r="H155" s="612">
        <f ca="1">MAX(OFFSET(POrigin,MATCH(Valori[[#This Row],[LUKB_id]],PID,0),MATCH("PRICINGAMT",PLabel,0)-1,1,1),1)</f>
        <v>1</v>
      </c>
      <c r="I155" s="615" t="str" cm="1">
        <f t="array" aca="1" ref="I155" ca="1">OFFSET(POrigin,MATCH(Valori[[#This Row],[LUKB_id]],PID,0),MATCH("M_NAME",PLabel,0)-1,1,1)</f>
        <v>iShares STOXX Europe 600 Health Care UCITS ETF (DE)</v>
      </c>
      <c r="M155" s="142" t="str" cm="1">
        <f t="array" aca="1" ref="M1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Health Care UCITS ETF (DE)</v>
      </c>
      <c r="N155" s="1563">
        <f ca="1">COUNTIF('CHF M'!smo_id,Valori[[#This Row],[smo_id]])+COUNTIF('CHF MA'!smo_id,Valori[[#This Row],[smo_id]])+COUNTIF('EUR MB'!smo_id,Valori[[#This Row],[smo_id]])+COUNTIF('EUR M'!smo_id,Valori[[#This Row],[smo_id]])+COUNTIF(AGCO!smo_id,Valori[[#This Row],[smo_id]])</f>
        <v>0</v>
      </c>
      <c r="O155" s="1590" cm="1">
        <f t="array" aca="1" ref="O155" ca="1">SUM(IF('CHF M'!smo_id=Valori[[#This Row],[smo_id]],'CHF M'!Posizione))+SUM(IF('CHF MA'!smo_id=Valori[[#This Row],[smo_id]],'CHF MA'!Posizione))+SUM(IF('EUR MB'!smo_id=Valori[[#This Row],[smo_id]],'EUR MB'!Posizione))+SUM(IF('EUR M'!smo_id=Valori[[#This Row],[smo_id]],'EUR M'!Posizione))+SUM(IF(AGCO!smo_id=Valori[[#This Row],[smo_id]],AGCO!Posizione))</f>
        <v>0</v>
      </c>
      <c r="P155" s="1661" t="str">
        <f ca="1">HYPERLINK(Valori[[#This Row],[P_Source]],"è")</f>
        <v>è</v>
      </c>
      <c r="Q155" s="1663" t="str">
        <f>HYPERLINK(Valori[[#This Row],[Info_W]],"i")</f>
        <v>i</v>
      </c>
      <c r="R155" s="1664" t="str">
        <f>HYPERLINK(Valori[[#This Row],[FN_W]],"")</f>
        <v></v>
      </c>
      <c r="S155" s="1665" t="str">
        <f>HYPERLINK(Valori[[#This Row],[MS_Link]],"")</f>
        <v></v>
      </c>
      <c r="T155" s="1665" t="str">
        <f>HYPERLINK(Valori[[#This Row],[C_source]],"")</f>
        <v></v>
      </c>
      <c r="U155" s="142" t="str" cm="1">
        <f t="array" aca="1" ref="U155" ca="1">OFFSET(POrigin,MATCH(Valori[[#This Row],[LUKB_id]],PID,0),MATCH("M_CUR",PLabel,0)-1,1,1)</f>
        <v>EUR</v>
      </c>
      <c r="V155" s="1562">
        <f ca="1">(Valori[[#This Row],[Last]]+Valori[[#This Row],[Acc. Int]])/Valori[[#This Row],[Pr.Amt]]/IF(Valori[[#This Row],[P_Type]]="Pct",100,1)</f>
        <v>116.78</v>
      </c>
      <c r="W155" s="1591" cm="1">
        <f t="array" aca="1" ref="W155" ca="1">OFFSET(POrigin,MATCH(Valori[[#This Row],[LUKB_id]],PID,0),MATCH("NC2_PR",PLabel,0)-1,1,1)/100</f>
        <v>-1.5659201885839399E-2</v>
      </c>
      <c r="X155" s="1592" cm="1">
        <f t="array" aca="1" ref="X155" ca="1">OFFSET(POrigin,MATCH(Valori[[#This Row],[LUKB_id]],PID,0),MATCH("LVAL",PLabel,0)-1,1,1)</f>
        <v>116.78</v>
      </c>
      <c r="Y155" s="1593" cm="1">
        <f t="array" aca="1" ref="Y155" ca="1">OFFSET(POrigin,MATCH(Valori[[#This Row],[LUKB_id]],PID,0),MATCH("LVAL:datetime",PLabel,0)-1,1,1)</f>
        <v>46084.781469907408</v>
      </c>
      <c r="Z155" s="1594" cm="1">
        <f t="array" aca="1" ref="Z155" ca="1">OFFSET(POrigin,MATCH(Valori[[#This Row],[LUKB_id]],PID,0),MATCH("BID:volume",PLabel,0)-1,1,1)</f>
        <v>857</v>
      </c>
      <c r="AA155" s="1595" cm="1">
        <f t="array" aca="1" ref="AA155" ca="1">OFFSET(POrigin,MATCH(Valori[[#This Row],[LUKB_id]],PID,0),MATCH("BID",PLabel,0)-1,1,1)</f>
        <v>116.78</v>
      </c>
      <c r="AB155" s="1595" cm="1">
        <f t="array" aca="1" ref="AB155" ca="1">OFFSET(POrigin,MATCH(Valori[[#This Row],[LUKB_id]],PID,0),MATCH("ASK",PLabel,0)-1,1,1)</f>
        <v>117.04</v>
      </c>
      <c r="AC155" s="1594" cm="1">
        <f t="array" aca="1" ref="AC155" ca="1">OFFSET(POrigin,MATCH(Valori[[#This Row],[LUKB_id]],PID,0),MATCH("ASK:volume",PLabel,0)-1,1,1)</f>
        <v>855</v>
      </c>
      <c r="AD155" s="1596" cm="1">
        <f t="array" aca="1" ref="AD155" ca="1">OFFSET(POrigin,MATCH(Valori[[#This Row],[LUKB_id]],PID,0),MATCH("BID-ASK Spread %",PLabel,0)-1,1,1)</f>
        <v>1.4831717056474907E-3</v>
      </c>
      <c r="AE155" s="1597" t="str" cm="1">
        <f t="array" aca="1" ref="AE155" ca="1">IF(OFFSET(POrigin,MATCH(Valori[[#This Row],[LUKB_id]],PID,0),MATCH("MATURITY",PLabel,0)-1,1,1)&gt;0,OFFSET(POrigin,MATCH(Valori[[#This Row],[LUKB_id]],PID,0),MATCH("MATURITY",PLabel,0)-1,1,1),"")</f>
        <v/>
      </c>
      <c r="AF155" s="1598" cm="1">
        <f t="array" aca="1" ref="AF155" ca="1">OFFSET(POrigin,MATCH(Valori[[#This Row],[LUKB_id]],PID,0),MATCH("ACCINT",PLabel,0)-1,1,1)</f>
        <v>0</v>
      </c>
      <c r="AG155" s="1594" cm="1">
        <f t="array" aca="1" ref="AG155" ca="1">OFFSET(POrigin,MATCH(Valori[[#This Row],[LUKB_id]],PID,0),MATCH("DENOM",PLabel,0)-1,1,1)</f>
        <v>0</v>
      </c>
      <c r="AH155" s="1599" cm="1">
        <f t="array" aca="1" ref="AH155" ca="1">(OFFSET(POrigin,MATCH(Valori[[#This Row],[LUKB_id]],PID,0),MATCH("YIELD",PLabel,0)-1,1,1)+OFFSET(POrigin,MATCH(Valori[[#This Row],[LUKB_id]],PID,0),MATCH("YLDEQ",PLabel,0)-1,1,1))/100</f>
        <v>0</v>
      </c>
      <c r="AI155" s="1600">
        <f ca="1">OFFSET(POrigin,MATCH(Valori[[#This Row],[LUKB_id]],PID,0),MATCH("DIVIDEND",PLabel,0)-1,1,1)</f>
        <v>6.8600000000000008E-2</v>
      </c>
      <c r="AJ155" s="1601">
        <f ca="1">OFFSET(POrigin,MATCH(Valori[[#This Row],[LUKB_id]],PID,0),MATCH("DIVIDEND:datetime",PLabel,0)-1,1,1)</f>
        <v>46037</v>
      </c>
      <c r="AK155" s="1602">
        <f ca="1">OFFSET(POrigin,MATCH(Valori[[#This Row],[LUKB_id]],PID,0),MATCH("INTEREST",PLabel,0)-1,1,1)</f>
        <v>0</v>
      </c>
      <c r="AL155" s="1603">
        <f ca="1">OFFSET(POrigin,MATCH(Valori[[#This Row],[LUKB_id]],PID,0),MATCH("4W_PERF_PR",PLabel,0)-1,1,1)/100</f>
        <v>-1.2833500000000003E-2</v>
      </c>
      <c r="AM155" s="1603">
        <f ca="1">OFFSET(POrigin,MATCH(Valori[[#This Row],[LUKB_id]],PID,0),MATCH("12W_PERF_PR",PLabel,0)-1,1,1)/100</f>
        <v>4.5235120000000004E-2</v>
      </c>
      <c r="AN155" s="1603">
        <f ca="1">OFFSET(POrigin,MATCH(Valori[[#This Row],[LUKB_id]],PID,0),MATCH("YTD_PERF_PR",PLabel,0)-1,1,1)/100</f>
        <v>4.1564363381269703E-2</v>
      </c>
      <c r="AO155" s="1591"/>
      <c r="AP155" s="1591"/>
      <c r="AQ155" s="1591"/>
      <c r="AR155" s="1591"/>
      <c r="AS155" s="1890"/>
      <c r="AT155" s="1890"/>
      <c r="AU155" s="610"/>
      <c r="AV155" s="1891"/>
      <c r="AW155" s="1604" t="str">
        <f ca="1">"https://boersenundmaerkte.lukb.ch/lukb/details/"&amp;Valori[[#This Row],[LUKB_id]]</f>
        <v>https://boersenundmaerkte.lukb.ch/lukb/details/12974725,16,814</v>
      </c>
      <c r="AX15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5" s="142"/>
      <c r="AZ155" s="142"/>
      <c r="BA155" s="142"/>
      <c r="BB155" s="142"/>
    </row>
    <row r="156" spans="1:54" ht="15" customHeight="1" x14ac:dyDescent="0.2">
      <c r="A156" s="142" t="s">
        <v>4338</v>
      </c>
      <c r="B156" s="142" t="str" cm="1">
        <f t="array" aca="1" ref="B156" ca="1">OFFSET(POrigin,MATCH(Valori[[#This Row],[smo_id]],Posizioni[smo_id],0),MATCH("LUKB_id",PIntestazioni,0)-1,1,1)</f>
        <v>12980675,16,814</v>
      </c>
      <c r="C156" s="1668" t="str">
        <f ca="1">HYPERLINK("https://boersenundmaerkte.lukb.ch/lukb/details/"&amp;Valori[[#This Row],[LUKB_id]],"è")</f>
        <v>è</v>
      </c>
      <c r="D156" s="142" t="str" cm="1">
        <f t="array" aca="1" ref="D156" ca="1">OFFSET(POrigin,MATCH(Valori[[#This Row],[LUKB_id]],PID,0),MATCH("SC_GROUPED",PIntestazioni,0)-1,1,1)</f>
        <v>ETF</v>
      </c>
      <c r="E156" s="413" t="str" cm="1">
        <f t="array" aca="1" ref="E156" ca="1">OFFSET(POrigin,MATCH(Valori[[#This Row],[LUKB_id]],PID,0),MATCH("isin",PIntestazioni,0)-1,1,1)</f>
        <v>DE000A0H08J9</v>
      </c>
      <c r="F156" s="34" t="str" cm="1">
        <f t="array" aca="1" ref="F156" ca="1">OFFSET(POrigin,MATCH(Valori[[#This Row],[LUKB_id]],PID,0),MATCH("NSIN_CH",PLabel,0)-1,1,1)</f>
        <v>12980675</v>
      </c>
      <c r="G156" s="95" t="str" cm="1">
        <f t="array" aca="1" ref="G156" ca="1">IF(OFFSET(POrigin,MATCH(Valori[[#This Row],[LUKB_id]],PID,0),MATCH("INSTRUNIT",PLabel,0)-1,1,1)="Nominal","Pct","Unit")</f>
        <v>Unit</v>
      </c>
      <c r="H156" s="612">
        <f ca="1">MAX(OFFSET(POrigin,MATCH(Valori[[#This Row],[LUKB_id]],PID,0),MATCH("PRICINGAMT",PLabel,0)-1,1,1),1)</f>
        <v>1</v>
      </c>
      <c r="I156" s="615" t="str" cm="1">
        <f t="array" aca="1" ref="I156" ca="1">OFFSET(POrigin,MATCH(Valori[[#This Row],[LUKB_id]],PID,0),MATCH("M_NAME",PLabel,0)-1,1,1)</f>
        <v>iShares STOXX Europe 600 Industrial Goods &amp; Services UCITS ETF (DE)</v>
      </c>
      <c r="M156" s="142" t="str" cm="1">
        <f t="array" aca="1" ref="M1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Industrial Goods &amp; Services UCITS ETF (DE)</v>
      </c>
      <c r="N156" s="1563">
        <f ca="1">COUNTIF('CHF M'!smo_id,Valori[[#This Row],[smo_id]])+COUNTIF('CHF MA'!smo_id,Valori[[#This Row],[smo_id]])+COUNTIF('EUR MB'!smo_id,Valori[[#This Row],[smo_id]])+COUNTIF('EUR M'!smo_id,Valori[[#This Row],[smo_id]])+COUNTIF(AGCO!smo_id,Valori[[#This Row],[smo_id]])</f>
        <v>5</v>
      </c>
      <c r="O156" s="1590">
        <v>150</v>
      </c>
      <c r="P156" s="1661" t="str">
        <f ca="1">HYPERLINK(Valori[[#This Row],[P_Source]],"è")</f>
        <v>è</v>
      </c>
      <c r="Q156" s="1663" t="str">
        <f>HYPERLINK(Valori[[#This Row],[Info_W]],"i")</f>
        <v>i</v>
      </c>
      <c r="R156" s="1664" t="str">
        <f>HYPERLINK(Valori[[#This Row],[FN_W]],"")</f>
        <v></v>
      </c>
      <c r="S156" s="1665" t="str">
        <f>HYPERLINK(Valori[[#This Row],[MS_Link]],"")</f>
        <v></v>
      </c>
      <c r="T156" s="1665" t="str">
        <f>HYPERLINK(Valori[[#This Row],[C_source]],"")</f>
        <v></v>
      </c>
      <c r="U156" s="142" t="str" cm="1">
        <f t="array" aca="1" ref="U156" ca="1">OFFSET(POrigin,MATCH(Valori[[#This Row],[LUKB_id]],PID,0),MATCH("M_CUR",PLabel,0)-1,1,1)</f>
        <v>EUR</v>
      </c>
      <c r="V156" s="1562">
        <f ca="1">(Valori[[#This Row],[Last]]+Valori[[#This Row],[Acc. Int]])/Valori[[#This Row],[Pr.Amt]]/IF(Valori[[#This Row],[P_Type]]="Pct",100,1)</f>
        <v>112.2</v>
      </c>
      <c r="W156" s="1591" cm="1">
        <f t="array" aca="1" ref="W156" ca="1">OFFSET(POrigin,MATCH(Valori[[#This Row],[LUKB_id]],PID,0),MATCH("NC2_PR",PLabel,0)-1,1,1)/100</f>
        <v>-3.4458993797381196E-2</v>
      </c>
      <c r="X156" s="1592" cm="1">
        <f t="array" aca="1" ref="X156" ca="1">OFFSET(POrigin,MATCH(Valori[[#This Row],[LUKB_id]],PID,0),MATCH("LVAL",PLabel,0)-1,1,1)</f>
        <v>112.2</v>
      </c>
      <c r="Y156" s="1593" cm="1">
        <f t="array" aca="1" ref="Y156" ca="1">OFFSET(POrigin,MATCH(Valori[[#This Row],[LUKB_id]],PID,0),MATCH("LVAL:datetime",PLabel,0)-1,1,1)</f>
        <v>46084.781319444446</v>
      </c>
      <c r="Z156" s="1594" cm="1">
        <f t="array" aca="1" ref="Z156" ca="1">OFFSET(POrigin,MATCH(Valori[[#This Row],[LUKB_id]],PID,0),MATCH("BID:volume",PLabel,0)-1,1,1)</f>
        <v>892</v>
      </c>
      <c r="AA156" s="1595" cm="1">
        <f t="array" aca="1" ref="AA156" ca="1">OFFSET(POrigin,MATCH(Valori[[#This Row],[LUKB_id]],PID,0),MATCH("BID",PLabel,0)-1,1,1)</f>
        <v>112.18</v>
      </c>
      <c r="AB156" s="1595" cm="1">
        <f t="array" aca="1" ref="AB156" ca="1">OFFSET(POrigin,MATCH(Valori[[#This Row],[LUKB_id]],PID,0),MATCH("ASK",PLabel,0)-1,1,1)</f>
        <v>112.46000000000001</v>
      </c>
      <c r="AC156" s="1594" cm="1">
        <f t="array" aca="1" ref="AC156" ca="1">OFFSET(POrigin,MATCH(Valori[[#This Row],[LUKB_id]],PID,0),MATCH("ASK:volume",PLabel,0)-1,1,1)</f>
        <v>890</v>
      </c>
      <c r="AD156" s="1596" cm="1">
        <f t="array" aca="1" ref="AD156" ca="1">OFFSET(POrigin,MATCH(Valori[[#This Row],[LUKB_id]],PID,0),MATCH("BID-ASK Spread %",PLabel,0)-1,1,1)</f>
        <v>1.6626091087227665E-3</v>
      </c>
      <c r="AE156" s="1597" t="str" cm="1">
        <f t="array" aca="1" ref="AE156" ca="1">IF(OFFSET(POrigin,MATCH(Valori[[#This Row],[LUKB_id]],PID,0),MATCH("MATURITY",PLabel,0)-1,1,1)&gt;0,OFFSET(POrigin,MATCH(Valori[[#This Row],[LUKB_id]],PID,0),MATCH("MATURITY",PLabel,0)-1,1,1),"")</f>
        <v/>
      </c>
      <c r="AF156" s="1598" cm="1">
        <f t="array" aca="1" ref="AF156" ca="1">OFFSET(POrigin,MATCH(Valori[[#This Row],[LUKB_id]],PID,0),MATCH("ACCINT",PLabel,0)-1,1,1)</f>
        <v>0</v>
      </c>
      <c r="AG156" s="1594" cm="1">
        <f t="array" aca="1" ref="AG156" ca="1">OFFSET(POrigin,MATCH(Valori[[#This Row],[LUKB_id]],PID,0),MATCH("DENOM",PLabel,0)-1,1,1)</f>
        <v>0</v>
      </c>
      <c r="AH156" s="1599" cm="1">
        <f t="array" aca="1" ref="AH156" ca="1">(OFFSET(POrigin,MATCH(Valori[[#This Row],[LUKB_id]],PID,0),MATCH("YIELD",PLabel,0)-1,1,1)+OFFSET(POrigin,MATCH(Valori[[#This Row],[LUKB_id]],PID,0),MATCH("YLDEQ",PLabel,0)-1,1,1))/100</f>
        <v>0</v>
      </c>
      <c r="AI156" s="1600">
        <f ca="1">OFFSET(POrigin,MATCH(Valori[[#This Row],[LUKB_id]],PID,0),MATCH("DIVIDEND",PLabel,0)-1,1,1)</f>
        <v>0.11717899999999999</v>
      </c>
      <c r="AJ156" s="1601">
        <f ca="1">OFFSET(POrigin,MATCH(Valori[[#This Row],[LUKB_id]],PID,0),MATCH("DIVIDEND:datetime",PLabel,0)-1,1,1)</f>
        <v>46037</v>
      </c>
      <c r="AK156" s="1602">
        <f ca="1">OFFSET(POrigin,MATCH(Valori[[#This Row],[LUKB_id]],PID,0),MATCH("INTEREST",PLabel,0)-1,1,1)</f>
        <v>0</v>
      </c>
      <c r="AL156" s="1603">
        <f ca="1">OFFSET(POrigin,MATCH(Valori[[#This Row],[LUKB_id]],PID,0),MATCH("4W_PERF_PR",PLabel,0)-1,1,1)/100</f>
        <v>-2.0964359999999998E-2</v>
      </c>
      <c r="AM156" s="1603">
        <f ca="1">OFFSET(POrigin,MATCH(Valori[[#This Row],[LUKB_id]],PID,0),MATCH("12W_PERF_PR",PLabel,0)-1,1,1)/100</f>
        <v>0.10092785457299751</v>
      </c>
      <c r="AN156" s="1603">
        <f ca="1">OFFSET(POrigin,MATCH(Valori[[#This Row],[LUKB_id]],PID,0),MATCH("YTD_PERF_PR",PLabel,0)-1,1,1)/100</f>
        <v>8.7094961603296495E-2</v>
      </c>
      <c r="AO156" s="1591"/>
      <c r="AP156" s="1591"/>
      <c r="AQ156" s="1591"/>
      <c r="AR156" s="1591"/>
      <c r="AS156" s="1890"/>
      <c r="AT156" s="1890"/>
      <c r="AU156" s="610"/>
      <c r="AV156" s="1891"/>
      <c r="AW156" s="1604" t="str">
        <f ca="1">"https://boersenundmaerkte.lukb.ch/lukb/details/"&amp;Valori[[#This Row],[LUKB_id]]</f>
        <v>https://boersenundmaerkte.lukb.ch/lukb/details/12980675,16,814</v>
      </c>
      <c r="AX15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6" s="142"/>
      <c r="AZ156" s="142"/>
      <c r="BA156" s="142"/>
      <c r="BB156" s="142"/>
    </row>
    <row r="157" spans="1:54" ht="15" customHeight="1" x14ac:dyDescent="0.2">
      <c r="A157" s="142" t="s">
        <v>4347</v>
      </c>
      <c r="B157" s="142" t="str" cm="1">
        <f t="array" aca="1" ref="B157" ca="1">OFFSET(POrigin,MATCH(Valori[[#This Row],[smo_id]],Posizioni[smo_id],0),MATCH("LUKB_id",PIntestazioni,0)-1,1,1)</f>
        <v>12980686,16,814</v>
      </c>
      <c r="C157" s="1668" t="str">
        <f ca="1">HYPERLINK("https://boersenundmaerkte.lukb.ch/lukb/details/"&amp;Valori[[#This Row],[LUKB_id]],"è")</f>
        <v>è</v>
      </c>
      <c r="D157" s="142" t="str" cm="1">
        <f t="array" aca="1" ref="D157" ca="1">OFFSET(POrigin,MATCH(Valori[[#This Row],[LUKB_id]],PID,0),MATCH("SC_GROUPED",PIntestazioni,0)-1,1,1)</f>
        <v>ETF</v>
      </c>
      <c r="E157" s="413" t="str" cm="1">
        <f t="array" aca="1" ref="E157" ca="1">OFFSET(POrigin,MATCH(Valori[[#This Row],[LUKB_id]],PID,0),MATCH("isin",PIntestazioni,0)-1,1,1)</f>
        <v>DE000A0H08K7</v>
      </c>
      <c r="F157" s="34" t="str" cm="1">
        <f t="array" aca="1" ref="F157" ca="1">OFFSET(POrigin,MATCH(Valori[[#This Row],[LUKB_id]],PID,0),MATCH("NSIN_CH",PLabel,0)-1,1,1)</f>
        <v>12980686</v>
      </c>
      <c r="G157" s="95" t="str" cm="1">
        <f t="array" aca="1" ref="G157" ca="1">IF(OFFSET(POrigin,MATCH(Valori[[#This Row],[LUKB_id]],PID,0),MATCH("INSTRUNIT",PLabel,0)-1,1,1)="Nominal","Pct","Unit")</f>
        <v>Unit</v>
      </c>
      <c r="H157" s="612">
        <f ca="1">MAX(OFFSET(POrigin,MATCH(Valori[[#This Row],[LUKB_id]],PID,0),MATCH("PRICINGAMT",PLabel,0)-1,1,1),1)</f>
        <v>1</v>
      </c>
      <c r="I157" s="615" t="str" cm="1">
        <f t="array" aca="1" ref="I157" ca="1">OFFSET(POrigin,MATCH(Valori[[#This Row],[LUKB_id]],PID,0),MATCH("M_NAME",PLabel,0)-1,1,1)</f>
        <v>iShares STOXX Europe 600 Insurance UCITS ETF (DE)</v>
      </c>
      <c r="M157" s="142" t="str" cm="1">
        <f t="array" aca="1" ref="M1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Insurance UCITS ETF (DE)</v>
      </c>
      <c r="N157" s="1563">
        <f ca="1">COUNTIF('CHF M'!smo_id,Valori[[#This Row],[smo_id]])+COUNTIF('CHF MA'!smo_id,Valori[[#This Row],[smo_id]])+COUNTIF('EUR MB'!smo_id,Valori[[#This Row],[smo_id]])+COUNTIF('EUR M'!smo_id,Valori[[#This Row],[smo_id]])+COUNTIF(AGCO!smo_id,Valori[[#This Row],[smo_id]])</f>
        <v>4</v>
      </c>
      <c r="O157" s="1590" cm="1">
        <f t="array" aca="1" ref="O157" ca="1">SUM(IF('CHF M'!smo_id=Valori[[#This Row],[smo_id]],'CHF M'!Posizione))+SUM(IF('CHF MA'!smo_id=Valori[[#This Row],[smo_id]],'CHF MA'!Posizione))+SUM(IF('EUR MB'!smo_id=Valori[[#This Row],[smo_id]],'EUR MB'!Posizione))+SUM(IF('EUR M'!smo_id=Valori[[#This Row],[smo_id]],'EUR M'!Posizione))+SUM(IF(AGCO!smo_id=Valori[[#This Row],[smo_id]],AGCO!Posizione))</f>
        <v>3075</v>
      </c>
      <c r="P157" s="1661" t="str">
        <f ca="1">HYPERLINK(Valori[[#This Row],[P_Source]],"è")</f>
        <v>è</v>
      </c>
      <c r="Q157" s="1663" t="str">
        <f>HYPERLINK(Valori[[#This Row],[Info_W]],"i")</f>
        <v>i</v>
      </c>
      <c r="R157" s="1664" t="str">
        <f>HYPERLINK(Valori[[#This Row],[FN_W]],"")</f>
        <v></v>
      </c>
      <c r="S157" s="1665" t="str">
        <f>HYPERLINK(Valori[[#This Row],[MS_Link]],"")</f>
        <v></v>
      </c>
      <c r="T157" s="1665" t="str">
        <f>HYPERLINK(Valori[[#This Row],[C_source]],"")</f>
        <v></v>
      </c>
      <c r="U157" s="142" t="str" cm="1">
        <f t="array" aca="1" ref="U157" ca="1">OFFSET(POrigin,MATCH(Valori[[#This Row],[LUKB_id]],PID,0),MATCH("M_CUR",PLabel,0)-1,1,1)</f>
        <v>EUR</v>
      </c>
      <c r="V157" s="1562">
        <f ca="1">(Valori[[#This Row],[Last]]+Valori[[#This Row],[Acc. Int]])/Valori[[#This Row],[Pr.Amt]]/IF(Valori[[#This Row],[P_Type]]="Pct",100,1)</f>
        <v>47.855000000000004</v>
      </c>
      <c r="W157" s="1591" cm="1">
        <f t="array" aca="1" ref="W157" ca="1">OFFSET(POrigin,MATCH(Valori[[#This Row],[LUKB_id]],PID,0),MATCH("NC2_PR",PLabel,0)-1,1,1)/100</f>
        <v>-4.6637309847878304E-2</v>
      </c>
      <c r="X157" s="1592" cm="1">
        <f t="array" aca="1" ref="X157" ca="1">OFFSET(POrigin,MATCH(Valori[[#This Row],[LUKB_id]],PID,0),MATCH("LVAL",PLabel,0)-1,1,1)</f>
        <v>47.855000000000004</v>
      </c>
      <c r="Y157" s="1593" cm="1">
        <f t="array" aca="1" ref="Y157" ca="1">OFFSET(POrigin,MATCH(Valori[[#This Row],[LUKB_id]],PID,0),MATCH("LVAL:datetime",PLabel,0)-1,1,1)</f>
        <v>46084.78193287037</v>
      </c>
      <c r="Z157" s="1594" cm="1">
        <f t="array" aca="1" ref="Z157" ca="1">OFFSET(POrigin,MATCH(Valori[[#This Row],[LUKB_id]],PID,0),MATCH("BID:volume",PLabel,0)-1,1,1)</f>
        <v>2089</v>
      </c>
      <c r="AA157" s="1595" cm="1">
        <f t="array" aca="1" ref="AA157" ca="1">OFFSET(POrigin,MATCH(Valori[[#This Row],[LUKB_id]],PID,0),MATCH("BID",PLabel,0)-1,1,1)</f>
        <v>47.88</v>
      </c>
      <c r="AB157" s="1595" cm="1">
        <f t="array" aca="1" ref="AB157" ca="1">OFFSET(POrigin,MATCH(Valori[[#This Row],[LUKB_id]],PID,0),MATCH("ASK",PLabel,0)-1,1,1)</f>
        <v>48.024999999999999</v>
      </c>
      <c r="AC157" s="1594" cm="1">
        <f t="array" aca="1" ref="AC157" ca="1">OFFSET(POrigin,MATCH(Valori[[#This Row],[LUKB_id]],PID,0),MATCH("ASK:volume",PLabel,0)-1,1,1)</f>
        <v>2083</v>
      </c>
      <c r="AD157" s="1596" cm="1">
        <f t="array" aca="1" ref="AD157" ca="1">OFFSET(POrigin,MATCH(Valori[[#This Row],[LUKB_id]],PID,0),MATCH("BID-ASK Spread %",PLabel,0)-1,1,1)</f>
        <v>2.0169002329866958E-3</v>
      </c>
      <c r="AE157" s="1597" t="str" cm="1">
        <f t="array" aca="1" ref="AE157" ca="1">IF(OFFSET(POrigin,MATCH(Valori[[#This Row],[LUKB_id]],PID,0),MATCH("MATURITY",PLabel,0)-1,1,1)&gt;0,OFFSET(POrigin,MATCH(Valori[[#This Row],[LUKB_id]],PID,0),MATCH("MATURITY",PLabel,0)-1,1,1),"")</f>
        <v/>
      </c>
      <c r="AF157" s="1598" cm="1">
        <f t="array" aca="1" ref="AF157" ca="1">OFFSET(POrigin,MATCH(Valori[[#This Row],[LUKB_id]],PID,0),MATCH("ACCINT",PLabel,0)-1,1,1)</f>
        <v>0</v>
      </c>
      <c r="AG157" s="1594" cm="1">
        <f t="array" aca="1" ref="AG157" ca="1">OFFSET(POrigin,MATCH(Valori[[#This Row],[LUKB_id]],PID,0),MATCH("DENOM",PLabel,0)-1,1,1)</f>
        <v>0</v>
      </c>
      <c r="AH157" s="1599" cm="1">
        <f t="array" aca="1" ref="AH157" ca="1">(OFFSET(POrigin,MATCH(Valori[[#This Row],[LUKB_id]],PID,0),MATCH("YIELD",PLabel,0)-1,1,1)+OFFSET(POrigin,MATCH(Valori[[#This Row],[LUKB_id]],PID,0),MATCH("YLDEQ",PLabel,0)-1,1,1))/100</f>
        <v>0</v>
      </c>
      <c r="AI157" s="1600">
        <f ca="1">OFFSET(POrigin,MATCH(Valori[[#This Row],[LUKB_id]],PID,0),MATCH("DIVIDEND",PLabel,0)-1,1,1)</f>
        <v>0.115854</v>
      </c>
      <c r="AJ157" s="1601">
        <f ca="1">OFFSET(POrigin,MATCH(Valori[[#This Row],[LUKB_id]],PID,0),MATCH("DIVIDEND:datetime",PLabel,0)-1,1,1)</f>
        <v>46037</v>
      </c>
      <c r="AK157" s="1602">
        <f ca="1">OFFSET(POrigin,MATCH(Valori[[#This Row],[LUKB_id]],PID,0),MATCH("INTEREST",PLabel,0)-1,1,1)</f>
        <v>0</v>
      </c>
      <c r="AL157" s="1603">
        <f ca="1">OFFSET(POrigin,MATCH(Valori[[#This Row],[LUKB_id]],PID,0),MATCH("4W_PERF_PR",PLabel,0)-1,1,1)/100</f>
        <v>-3.0629900000000002E-2</v>
      </c>
      <c r="AM157" s="1603">
        <f ca="1">OFFSET(POrigin,MATCH(Valori[[#This Row],[LUKB_id]],PID,0),MATCH("12W_PERF_PR",PLabel,0)-1,1,1)/100</f>
        <v>-2.5273710000000001E-2</v>
      </c>
      <c r="AN157" s="1603">
        <f ca="1">OFFSET(POrigin,MATCH(Valori[[#This Row],[LUKB_id]],PID,0),MATCH("YTD_PERF_PR",PLabel,0)-1,1,1)/100</f>
        <v>-1.75024582104229E-2</v>
      </c>
      <c r="AO157" s="1591"/>
      <c r="AP157" s="1591"/>
      <c r="AQ157" s="1591"/>
      <c r="AR157" s="1591"/>
      <c r="AS157" s="1890"/>
      <c r="AT157" s="1890"/>
      <c r="AU157" s="610"/>
      <c r="AV157" s="1891"/>
      <c r="AW157" s="1604" t="str">
        <f ca="1">"https://boersenundmaerkte.lukb.ch/lukb/details/"&amp;Valori[[#This Row],[LUKB_id]]</f>
        <v>https://boersenundmaerkte.lukb.ch/lukb/details/12980686,16,814</v>
      </c>
      <c r="AX15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7" s="142"/>
      <c r="AZ157" s="142"/>
      <c r="BA157" s="142"/>
      <c r="BB157" s="142"/>
    </row>
    <row r="158" spans="1:54" ht="15" customHeight="1" x14ac:dyDescent="0.2">
      <c r="A158" s="142" t="s">
        <v>4348</v>
      </c>
      <c r="B158" s="142" t="str" cm="1">
        <f t="array" aca="1" ref="B158" ca="1">OFFSET(POrigin,MATCH(Valori[[#This Row],[smo_id]],Posizioni[smo_id],0),MATCH("LUKB_id",PIntestazioni,0)-1,1,1)</f>
        <v>12980803,16,814</v>
      </c>
      <c r="C158" s="1668" t="str">
        <f ca="1">HYPERLINK("https://boersenundmaerkte.lukb.ch/lukb/details/"&amp;Valori[[#This Row],[LUKB_id]],"è")</f>
        <v>è</v>
      </c>
      <c r="D158" s="142" t="str" cm="1">
        <f t="array" aca="1" ref="D158" ca="1">OFFSET(POrigin,MATCH(Valori[[#This Row],[LUKB_id]],PID,0),MATCH("SC_GROUPED",PIntestazioni,0)-1,1,1)</f>
        <v>ETF</v>
      </c>
      <c r="E158" s="413" t="str" cm="1">
        <f t="array" aca="1" ref="E158" ca="1">OFFSET(POrigin,MATCH(Valori[[#This Row],[LUKB_id]],PID,0),MATCH("isin",PIntestazioni,0)-1,1,1)</f>
        <v>DE000A0H08L5</v>
      </c>
      <c r="F158" s="34" t="str" cm="1">
        <f t="array" aca="1" ref="F158" ca="1">OFFSET(POrigin,MATCH(Valori[[#This Row],[LUKB_id]],PID,0),MATCH("NSIN_CH",PLabel,0)-1,1,1)</f>
        <v>12980803</v>
      </c>
      <c r="G158" s="95" t="str" cm="1">
        <f t="array" aca="1" ref="G158" ca="1">IF(OFFSET(POrigin,MATCH(Valori[[#This Row],[LUKB_id]],PID,0),MATCH("INSTRUNIT",PLabel,0)-1,1,1)="Nominal","Pct","Unit")</f>
        <v>Unit</v>
      </c>
      <c r="H158" s="612">
        <f ca="1">MAX(OFFSET(POrigin,MATCH(Valori[[#This Row],[LUKB_id]],PID,0),MATCH("PRICINGAMT",PLabel,0)-1,1,1),1)</f>
        <v>1</v>
      </c>
      <c r="I158" s="615" t="str" cm="1">
        <f t="array" aca="1" ref="I158" ca="1">OFFSET(POrigin,MATCH(Valori[[#This Row],[LUKB_id]],PID,0),MATCH("M_NAME",PLabel,0)-1,1,1)</f>
        <v>iShares STOXX Europe 600 Media UCITS ETF (DE)</v>
      </c>
      <c r="M158" s="142" t="str" cm="1">
        <f t="array" aca="1" ref="M1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Media UCITS ETF (DE)</v>
      </c>
      <c r="N158" s="1563">
        <f ca="1">COUNTIF('CHF M'!smo_id,Valori[[#This Row],[smo_id]])+COUNTIF('CHF MA'!smo_id,Valori[[#This Row],[smo_id]])+COUNTIF('EUR MB'!smo_id,Valori[[#This Row],[smo_id]])+COUNTIF('EUR M'!smo_id,Valori[[#This Row],[smo_id]])+COUNTIF(AGCO!smo_id,Valori[[#This Row],[smo_id]])</f>
        <v>0</v>
      </c>
      <c r="O158" s="1590" cm="1">
        <f t="array" aca="1" ref="O158" ca="1">SUM(IF('CHF M'!smo_id=Valori[[#This Row],[smo_id]],'CHF M'!Posizione))+SUM(IF('CHF MA'!smo_id=Valori[[#This Row],[smo_id]],'CHF MA'!Posizione))+SUM(IF('EUR MB'!smo_id=Valori[[#This Row],[smo_id]],'EUR MB'!Posizione))+SUM(IF('EUR M'!smo_id=Valori[[#This Row],[smo_id]],'EUR M'!Posizione))+SUM(IF(AGCO!smo_id=Valori[[#This Row],[smo_id]],AGCO!Posizione))</f>
        <v>0</v>
      </c>
      <c r="P158" s="1661" t="str">
        <f ca="1">HYPERLINK(Valori[[#This Row],[P_Source]],"è")</f>
        <v>è</v>
      </c>
      <c r="Q158" s="1663" t="str">
        <f>HYPERLINK(Valori[[#This Row],[Info_W]],"i")</f>
        <v>i</v>
      </c>
      <c r="R158" s="1664" t="str">
        <f>HYPERLINK(Valori[[#This Row],[FN_W]],"")</f>
        <v></v>
      </c>
      <c r="S158" s="1665" t="str">
        <f>HYPERLINK(Valori[[#This Row],[MS_Link]],"")</f>
        <v></v>
      </c>
      <c r="T158" s="1665" t="str">
        <f>HYPERLINK(Valori[[#This Row],[C_source]],"")</f>
        <v></v>
      </c>
      <c r="U158" s="142" t="str" cm="1">
        <f t="array" aca="1" ref="U158" ca="1">OFFSET(POrigin,MATCH(Valori[[#This Row],[LUKB_id]],PID,0),MATCH("M_CUR",PLabel,0)-1,1,1)</f>
        <v>EUR</v>
      </c>
      <c r="V158" s="1562">
        <f ca="1">(Valori[[#This Row],[Last]]+Valori[[#This Row],[Acc. Int]])/Valori[[#This Row],[Pr.Amt]]/IF(Valori[[#This Row],[P_Type]]="Pct",100,1)</f>
        <v>29.295000000000002</v>
      </c>
      <c r="W158" s="1591" cm="1">
        <f t="array" aca="1" ref="W158" ca="1">OFFSET(POrigin,MATCH(Valori[[#This Row],[LUKB_id]],PID,0),MATCH("NC2_PR",PLabel,0)-1,1,1)/100</f>
        <v>-6.6247664345168E-3</v>
      </c>
      <c r="X158" s="1592" cm="1">
        <f t="array" aca="1" ref="X158" ca="1">OFFSET(POrigin,MATCH(Valori[[#This Row],[LUKB_id]],PID,0),MATCH("LVAL",PLabel,0)-1,1,1)</f>
        <v>29.295000000000002</v>
      </c>
      <c r="Y158" s="1593" cm="1">
        <f t="array" aca="1" ref="Y158" ca="1">OFFSET(POrigin,MATCH(Valori[[#This Row],[LUKB_id]],PID,0),MATCH("LVAL:datetime",PLabel,0)-1,1,1)</f>
        <v>46084.781388888892</v>
      </c>
      <c r="Z158" s="1594" cm="1">
        <f t="array" aca="1" ref="Z158" ca="1">OFFSET(POrigin,MATCH(Valori[[#This Row],[LUKB_id]],PID,0),MATCH("BID:volume",PLabel,0)-1,1,1)</f>
        <v>3415</v>
      </c>
      <c r="AA158" s="1595" cm="1">
        <f t="array" aca="1" ref="AA158" ca="1">OFFSET(POrigin,MATCH(Valori[[#This Row],[LUKB_id]],PID,0),MATCH("BID",PLabel,0)-1,1,1)</f>
        <v>29.29</v>
      </c>
      <c r="AB158" s="1595" cm="1">
        <f t="array" aca="1" ref="AB158" ca="1">OFFSET(POrigin,MATCH(Valori[[#This Row],[LUKB_id]],PID,0),MATCH("ASK",PLabel,0)-1,1,1)</f>
        <v>29.5</v>
      </c>
      <c r="AC158" s="1594" cm="1">
        <f t="array" aca="1" ref="AC158" ca="1">OFFSET(POrigin,MATCH(Valori[[#This Row],[LUKB_id]],PID,0),MATCH("ASK:volume",PLabel,0)-1,1,1)</f>
        <v>3390</v>
      </c>
      <c r="AD158" s="1596" cm="1">
        <f t="array" aca="1" ref="AD158" ca="1">OFFSET(POrigin,MATCH(Valori[[#This Row],[LUKB_id]],PID,0),MATCH("BID-ASK Spread %",PLabel,0)-1,1,1)</f>
        <v>4.7683923705722263E-3</v>
      </c>
      <c r="AE158" s="1597" t="str" cm="1">
        <f t="array" aca="1" ref="AE158" ca="1">IF(OFFSET(POrigin,MATCH(Valori[[#This Row],[LUKB_id]],PID,0),MATCH("MATURITY",PLabel,0)-1,1,1)&gt;0,OFFSET(POrigin,MATCH(Valori[[#This Row],[LUKB_id]],PID,0),MATCH("MATURITY",PLabel,0)-1,1,1),"")</f>
        <v/>
      </c>
      <c r="AF158" s="1598" cm="1">
        <f t="array" aca="1" ref="AF158" ca="1">OFFSET(POrigin,MATCH(Valori[[#This Row],[LUKB_id]],PID,0),MATCH("ACCINT",PLabel,0)-1,1,1)</f>
        <v>0</v>
      </c>
      <c r="AG158" s="1594" cm="1">
        <f t="array" aca="1" ref="AG158" ca="1">OFFSET(POrigin,MATCH(Valori[[#This Row],[LUKB_id]],PID,0),MATCH("DENOM",PLabel,0)-1,1,1)</f>
        <v>0</v>
      </c>
      <c r="AH158" s="1599" cm="1">
        <f t="array" aca="1" ref="AH158" ca="1">(OFFSET(POrigin,MATCH(Valori[[#This Row],[LUKB_id]],PID,0),MATCH("YIELD",PLabel,0)-1,1,1)+OFFSET(POrigin,MATCH(Valori[[#This Row],[LUKB_id]],PID,0),MATCH("YLDEQ",PLabel,0)-1,1,1))/100</f>
        <v>0</v>
      </c>
      <c r="AI158" s="1600">
        <f ca="1">OFFSET(POrigin,MATCH(Valori[[#This Row],[LUKB_id]],PID,0),MATCH("DIVIDEND",PLabel,0)-1,1,1)</f>
        <v>0.19862099999999999</v>
      </c>
      <c r="AJ158" s="1601">
        <f ca="1">OFFSET(POrigin,MATCH(Valori[[#This Row],[LUKB_id]],PID,0),MATCH("DIVIDEND:datetime",PLabel,0)-1,1,1)</f>
        <v>46037</v>
      </c>
      <c r="AK158" s="1602">
        <f ca="1">OFFSET(POrigin,MATCH(Valori[[#This Row],[LUKB_id]],PID,0),MATCH("INTEREST",PLabel,0)-1,1,1)</f>
        <v>0</v>
      </c>
      <c r="AL158" s="1603">
        <f ca="1">OFFSET(POrigin,MATCH(Valori[[#This Row],[LUKB_id]],PID,0),MATCH("4W_PERF_PR",PLabel,0)-1,1,1)/100</f>
        <v>-8.655616942909751E-2</v>
      </c>
      <c r="AM158" s="1603">
        <f ca="1">OFFSET(POrigin,MATCH(Valori[[#This Row],[LUKB_id]],PID,0),MATCH("12W_PERF_PR",PLabel,0)-1,1,1)/100</f>
        <v>-0.10818100089901098</v>
      </c>
      <c r="AN158" s="1603">
        <f ca="1">OFFSET(POrigin,MATCH(Valori[[#This Row],[LUKB_id]],PID,0),MATCH("YTD_PERF_PR",PLabel,0)-1,1,1)/100</f>
        <v>-0.145653761869979</v>
      </c>
      <c r="AO158" s="1591"/>
      <c r="AP158" s="1591"/>
      <c r="AQ158" s="1591"/>
      <c r="AR158" s="1591"/>
      <c r="AS158" s="1890"/>
      <c r="AT158" s="1890"/>
      <c r="AU158" s="610"/>
      <c r="AV158" s="1891"/>
      <c r="AW158" s="1604" t="str">
        <f ca="1">"https://boersenundmaerkte.lukb.ch/lukb/details/"&amp;Valori[[#This Row],[LUKB_id]]</f>
        <v>https://boersenundmaerkte.lukb.ch/lukb/details/12980803,16,814</v>
      </c>
      <c r="AX15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8" s="142"/>
      <c r="AZ158" s="142"/>
      <c r="BA158" s="142"/>
      <c r="BB158" s="142"/>
    </row>
    <row r="159" spans="1:54" ht="15" customHeight="1" x14ac:dyDescent="0.2">
      <c r="A159" s="142" t="s">
        <v>4349</v>
      </c>
      <c r="B159" s="142" t="str" cm="1">
        <f t="array" aca="1" ref="B159" ca="1">OFFSET(POrigin,MATCH(Valori[[#This Row],[smo_id]],Posizioni[smo_id],0),MATCH("LUKB_id",PIntestazioni,0)-1,1,1)</f>
        <v>12980919,16,814</v>
      </c>
      <c r="C159" s="1668" t="str">
        <f ca="1">HYPERLINK("https://boersenundmaerkte.lukb.ch/lukb/details/"&amp;Valori[[#This Row],[LUKB_id]],"è")</f>
        <v>è</v>
      </c>
      <c r="D159" s="142" t="str" cm="1">
        <f t="array" aca="1" ref="D159" ca="1">OFFSET(POrigin,MATCH(Valori[[#This Row],[LUKB_id]],PID,0),MATCH("SC_GROUPED",PIntestazioni,0)-1,1,1)</f>
        <v>ETF</v>
      </c>
      <c r="E159" s="413" t="str" cm="1">
        <f t="array" aca="1" ref="E159" ca="1">OFFSET(POrigin,MATCH(Valori[[#This Row],[LUKB_id]],PID,0),MATCH("isin",PIntestazioni,0)-1,1,1)</f>
        <v>DE000A0H08M3</v>
      </c>
      <c r="F159" s="34" t="str" cm="1">
        <f t="array" aca="1" ref="F159" ca="1">OFFSET(POrigin,MATCH(Valori[[#This Row],[LUKB_id]],PID,0),MATCH("NSIN_CH",PLabel,0)-1,1,1)</f>
        <v>12980919</v>
      </c>
      <c r="G159" s="95" t="str" cm="1">
        <f t="array" aca="1" ref="G159" ca="1">IF(OFFSET(POrigin,MATCH(Valori[[#This Row],[LUKB_id]],PID,0),MATCH("INSTRUNIT",PLabel,0)-1,1,1)="Nominal","Pct","Unit")</f>
        <v>Unit</v>
      </c>
      <c r="H159" s="612">
        <f ca="1">MAX(OFFSET(POrigin,MATCH(Valori[[#This Row],[LUKB_id]],PID,0),MATCH("PRICINGAMT",PLabel,0)-1,1,1),1)</f>
        <v>1</v>
      </c>
      <c r="I159" s="615" t="str" cm="1">
        <f t="array" aca="1" ref="I159" ca="1">OFFSET(POrigin,MATCH(Valori[[#This Row],[LUKB_id]],PID,0),MATCH("M_NAME",PLabel,0)-1,1,1)</f>
        <v>iShares STOXX Europe 600 Oil &amp; Gas UCITS ETF (DE)</v>
      </c>
      <c r="M159" s="142" t="str" cm="1">
        <f t="array" aca="1" ref="M1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Oil &amp; Gas UCITS ETF (DE)</v>
      </c>
      <c r="N159" s="1563">
        <f ca="1">COUNTIF('CHF M'!smo_id,Valori[[#This Row],[smo_id]])+COUNTIF('CHF MA'!smo_id,Valori[[#This Row],[smo_id]])+COUNTIF('EUR MB'!smo_id,Valori[[#This Row],[smo_id]])+COUNTIF('EUR M'!smo_id,Valori[[#This Row],[smo_id]])+COUNTIF(AGCO!smo_id,Valori[[#This Row],[smo_id]])</f>
        <v>3</v>
      </c>
      <c r="O159" s="1590" cm="1">
        <f t="array" aca="1" ref="O159" ca="1">SUM(IF('CHF M'!smo_id=Valori[[#This Row],[smo_id]],'CHF M'!Posizione))+SUM(IF('CHF MA'!smo_id=Valori[[#This Row],[smo_id]],'CHF MA'!Posizione))+SUM(IF('EUR MB'!smo_id=Valori[[#This Row],[smo_id]],'EUR MB'!Posizione))+SUM(IF('EUR M'!smo_id=Valori[[#This Row],[smo_id]],'EUR M'!Posizione))+SUM(IF(AGCO!smo_id=Valori[[#This Row],[smo_id]],AGCO!Posizione))</f>
        <v>5335</v>
      </c>
      <c r="P159" s="1661" t="str">
        <f ca="1">HYPERLINK(Valori[[#This Row],[P_Source]],"è")</f>
        <v>è</v>
      </c>
      <c r="Q159" s="1663" t="str">
        <f>HYPERLINK(Valori[[#This Row],[Info_W]],"i")</f>
        <v>i</v>
      </c>
      <c r="R159" s="1664" t="str">
        <f>HYPERLINK(Valori[[#This Row],[FN_W]],"")</f>
        <v></v>
      </c>
      <c r="S159" s="1665" t="str">
        <f>HYPERLINK(Valori[[#This Row],[MS_Link]],"")</f>
        <v></v>
      </c>
      <c r="T159" s="1665" t="str">
        <f>HYPERLINK(Valori[[#This Row],[C_source]],"")</f>
        <v></v>
      </c>
      <c r="U159" s="142" t="str" cm="1">
        <f t="array" aca="1" ref="U159" ca="1">OFFSET(POrigin,MATCH(Valori[[#This Row],[LUKB_id]],PID,0),MATCH("M_CUR",PLabel,0)-1,1,1)</f>
        <v>EUR</v>
      </c>
      <c r="V159" s="1562">
        <f ca="1">(Valori[[#This Row],[Last]]+Valori[[#This Row],[Acc. Int]])/Valori[[#This Row],[Pr.Amt]]/IF(Valori[[#This Row],[P_Type]]="Pct",100,1)</f>
        <v>48.79</v>
      </c>
      <c r="W159" s="1591" cm="1">
        <f t="array" aca="1" ref="W159" ca="1">OFFSET(POrigin,MATCH(Valori[[#This Row],[LUKB_id]],PID,0),MATCH("NC2_PR",PLabel,0)-1,1,1)/100</f>
        <v>-3.0002006823198899E-2</v>
      </c>
      <c r="X159" s="1592" cm="1">
        <f t="array" aca="1" ref="X159" ca="1">OFFSET(POrigin,MATCH(Valori[[#This Row],[LUKB_id]],PID,0),MATCH("LVAL",PLabel,0)-1,1,1)</f>
        <v>48.79</v>
      </c>
      <c r="Y159" s="1593" cm="1">
        <f t="array" aca="1" ref="Y159" ca="1">OFFSET(POrigin,MATCH(Valori[[#This Row],[LUKB_id]],PID,0),MATCH("LVAL:datetime",PLabel,0)-1,1,1)</f>
        <v>46084.781354166669</v>
      </c>
      <c r="Z159" s="1594" cm="1">
        <f t="array" aca="1" ref="Z159" ca="1">OFFSET(POrigin,MATCH(Valori[[#This Row],[LUKB_id]],PID,0),MATCH("BID:volume",PLabel,0)-1,1,1)</f>
        <v>2052</v>
      </c>
      <c r="AA159" s="1595" cm="1">
        <f t="array" aca="1" ref="AA159" ca="1">OFFSET(POrigin,MATCH(Valori[[#This Row],[LUKB_id]],PID,0),MATCH("BID",PLabel,0)-1,1,1)</f>
        <v>48.74</v>
      </c>
      <c r="AB159" s="1595" cm="1">
        <f t="array" aca="1" ref="AB159" ca="1">OFFSET(POrigin,MATCH(Valori[[#This Row],[LUKB_id]],PID,0),MATCH("ASK",PLabel,0)-1,1,1)</f>
        <v>48.99</v>
      </c>
      <c r="AC159" s="1594" cm="1">
        <f t="array" aca="1" ref="AC159" ca="1">OFFSET(POrigin,MATCH(Valori[[#This Row],[LUKB_id]],PID,0),MATCH("ASK:volume",PLabel,0)-1,1,1)</f>
        <v>2042</v>
      </c>
      <c r="AD159" s="1596" cm="1">
        <f t="array" aca="1" ref="AD159" ca="1">OFFSET(POrigin,MATCH(Valori[[#This Row],[LUKB_id]],PID,0),MATCH("BID-ASK Spread %",PLabel,0)-1,1,1)</f>
        <v>3.413668327985253E-3</v>
      </c>
      <c r="AE159" s="1597" t="str" cm="1">
        <f t="array" aca="1" ref="AE159" ca="1">IF(OFFSET(POrigin,MATCH(Valori[[#This Row],[LUKB_id]],PID,0),MATCH("MATURITY",PLabel,0)-1,1,1)&gt;0,OFFSET(POrigin,MATCH(Valori[[#This Row],[LUKB_id]],PID,0),MATCH("MATURITY",PLabel,0)-1,1,1),"")</f>
        <v/>
      </c>
      <c r="AF159" s="1598" cm="1">
        <f t="array" aca="1" ref="AF159" ca="1">OFFSET(POrigin,MATCH(Valori[[#This Row],[LUKB_id]],PID,0),MATCH("ACCINT",PLabel,0)-1,1,1)</f>
        <v>0</v>
      </c>
      <c r="AG159" s="1594" cm="1">
        <f t="array" aca="1" ref="AG159" ca="1">OFFSET(POrigin,MATCH(Valori[[#This Row],[LUKB_id]],PID,0),MATCH("DENOM",PLabel,0)-1,1,1)</f>
        <v>0</v>
      </c>
      <c r="AH159" s="1599" cm="1">
        <f t="array" aca="1" ref="AH159" ca="1">(OFFSET(POrigin,MATCH(Valori[[#This Row],[LUKB_id]],PID,0),MATCH("YIELD",PLabel,0)-1,1,1)+OFFSET(POrigin,MATCH(Valori[[#This Row],[LUKB_id]],PID,0),MATCH("YLDEQ",PLabel,0)-1,1,1))/100</f>
        <v>0</v>
      </c>
      <c r="AI159" s="1600">
        <f ca="1">OFFSET(POrigin,MATCH(Valori[[#This Row],[LUKB_id]],PID,0),MATCH("DIVIDEND",PLabel,0)-1,1,1)</f>
        <v>0.397814</v>
      </c>
      <c r="AJ159" s="1601">
        <f ca="1">OFFSET(POrigin,MATCH(Valori[[#This Row],[LUKB_id]],PID,0),MATCH("DIVIDEND:datetime",PLabel,0)-1,1,1)</f>
        <v>46037</v>
      </c>
      <c r="AK159" s="1602">
        <f ca="1">OFFSET(POrigin,MATCH(Valori[[#This Row],[LUKB_id]],PID,0),MATCH("INTEREST",PLabel,0)-1,1,1)</f>
        <v>0</v>
      </c>
      <c r="AL159" s="1603">
        <f ca="1">OFFSET(POrigin,MATCH(Valori[[#This Row],[LUKB_id]],PID,0),MATCH("4W_PERF_PR",PLabel,0)-1,1,1)/100</f>
        <v>0.11622412241224137</v>
      </c>
      <c r="AM159" s="1603">
        <f ca="1">OFFSET(POrigin,MATCH(Valori[[#This Row],[LUKB_id]],PID,0),MATCH("12W_PERF_PR",PLabel,0)-1,1,1)/100</f>
        <v>0.18236300999999996</v>
      </c>
      <c r="AN159" s="1603">
        <f ca="1">OFFSET(POrigin,MATCH(Valori[[#This Row],[LUKB_id]],PID,0),MATCH("YTD_PERF_PR",PLabel,0)-1,1,1)/100</f>
        <v>0.22042615723732603</v>
      </c>
      <c r="AO159" s="1591"/>
      <c r="AP159" s="1591"/>
      <c r="AQ159" s="1591"/>
      <c r="AR159" s="1591"/>
      <c r="AS159" s="1890"/>
      <c r="AT159" s="1890"/>
      <c r="AU159" s="610"/>
      <c r="AV159" s="1891"/>
      <c r="AW159" s="1604" t="str">
        <f ca="1">"https://boersenundmaerkte.lukb.ch/lukb/details/"&amp;Valori[[#This Row],[LUKB_id]]</f>
        <v>https://boersenundmaerkte.lukb.ch/lukb/details/12980919,16,814</v>
      </c>
      <c r="AX15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9" s="142"/>
      <c r="AZ159" s="142"/>
      <c r="BA159" s="142"/>
      <c r="BB159" s="142"/>
    </row>
    <row r="160" spans="1:54" ht="15" customHeight="1" x14ac:dyDescent="0.2">
      <c r="A160" s="142" t="s">
        <v>4350</v>
      </c>
      <c r="B160" s="142" t="str" cm="1">
        <f t="array" aca="1" ref="B160" ca="1">OFFSET(POrigin,MATCH(Valori[[#This Row],[smo_id]],Posizioni[smo_id],0),MATCH("LUKB_id",PIntestazioni,0)-1,1,1)</f>
        <v>12980928,16,814</v>
      </c>
      <c r="C160" s="1668" t="str">
        <f ca="1">HYPERLINK("https://boersenundmaerkte.lukb.ch/lukb/details/"&amp;Valori[[#This Row],[LUKB_id]],"è")</f>
        <v>è</v>
      </c>
      <c r="D160" s="142" t="str" cm="1">
        <f t="array" aca="1" ref="D160" ca="1">OFFSET(POrigin,MATCH(Valori[[#This Row],[LUKB_id]],PID,0),MATCH("SC_GROUPED",PIntestazioni,0)-1,1,1)</f>
        <v>ETF</v>
      </c>
      <c r="E160" s="413" t="str" cm="1">
        <f t="array" aca="1" ref="E160" ca="1">OFFSET(POrigin,MATCH(Valori[[#This Row],[LUKB_id]],PID,0),MATCH("isin",PIntestazioni,0)-1,1,1)</f>
        <v>DE000A0H08N1</v>
      </c>
      <c r="F160" s="34" t="str" cm="1">
        <f t="array" aca="1" ref="F160" ca="1">OFFSET(POrigin,MATCH(Valori[[#This Row],[LUKB_id]],PID,0),MATCH("NSIN_CH",PLabel,0)-1,1,1)</f>
        <v>12980928</v>
      </c>
      <c r="G160" s="95" t="str" cm="1">
        <f t="array" aca="1" ref="G160" ca="1">IF(OFFSET(POrigin,MATCH(Valori[[#This Row],[LUKB_id]],PID,0),MATCH("INSTRUNIT",PLabel,0)-1,1,1)="Nominal","Pct","Unit")</f>
        <v>Unit</v>
      </c>
      <c r="H160" s="612">
        <f ca="1">MAX(OFFSET(POrigin,MATCH(Valori[[#This Row],[LUKB_id]],PID,0),MATCH("PRICINGAMT",PLabel,0)-1,1,1),1)</f>
        <v>1</v>
      </c>
      <c r="I160" s="615" t="str" cm="1">
        <f t="array" aca="1" ref="I160" ca="1">OFFSET(POrigin,MATCH(Valori[[#This Row],[LUKB_id]],PID,0),MATCH("M_NAME",PLabel,0)-1,1,1)</f>
        <v>iShares STOXX Europe 600 Personal &amp; Household Goods UCITS ETF (DE)</v>
      </c>
      <c r="M160" s="142" t="str" cm="1">
        <f t="array" aca="1" ref="M1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Personal &amp; Household Goods UCITS ETF (DE)</v>
      </c>
      <c r="N160" s="1563">
        <f ca="1">COUNTIF('CHF M'!smo_id,Valori[[#This Row],[smo_id]])+COUNTIF('CHF MA'!smo_id,Valori[[#This Row],[smo_id]])+COUNTIF('EUR MB'!smo_id,Valori[[#This Row],[smo_id]])+COUNTIF('EUR M'!smo_id,Valori[[#This Row],[smo_id]])+COUNTIF(AGCO!smo_id,Valori[[#This Row],[smo_id]])</f>
        <v>0</v>
      </c>
      <c r="O160" s="1590" cm="1">
        <f t="array" aca="1" ref="O160" ca="1">SUM(IF('CHF M'!smo_id=Valori[[#This Row],[smo_id]],'CHF M'!Posizione))+SUM(IF('CHF MA'!smo_id=Valori[[#This Row],[smo_id]],'CHF MA'!Posizione))+SUM(IF('EUR MB'!smo_id=Valori[[#This Row],[smo_id]],'EUR MB'!Posizione))+SUM(IF('EUR M'!smo_id=Valori[[#This Row],[smo_id]],'EUR M'!Posizione))+SUM(IF(AGCO!smo_id=Valori[[#This Row],[smo_id]],AGCO!Posizione))</f>
        <v>0</v>
      </c>
      <c r="P160" s="1661" t="str">
        <f ca="1">HYPERLINK(Valori[[#This Row],[P_Source]],"è")</f>
        <v>è</v>
      </c>
      <c r="Q160" s="1663" t="str">
        <f>HYPERLINK(Valori[[#This Row],[Info_W]],"i")</f>
        <v>i</v>
      </c>
      <c r="R160" s="1664" t="str">
        <f>HYPERLINK(Valori[[#This Row],[FN_W]],"")</f>
        <v></v>
      </c>
      <c r="S160" s="1665" t="str">
        <f>HYPERLINK(Valori[[#This Row],[MS_Link]],"")</f>
        <v></v>
      </c>
      <c r="T160" s="1665" t="str">
        <f>HYPERLINK(Valori[[#This Row],[C_source]],"")</f>
        <v></v>
      </c>
      <c r="U160" s="142" t="str" cm="1">
        <f t="array" aca="1" ref="U160" ca="1">OFFSET(POrigin,MATCH(Valori[[#This Row],[LUKB_id]],PID,0),MATCH("M_CUR",PLabel,0)-1,1,1)</f>
        <v>EUR</v>
      </c>
      <c r="V160" s="1562">
        <f ca="1">(Valori[[#This Row],[Last]]+Valori[[#This Row],[Acc. Int]])/Valori[[#This Row],[Pr.Amt]]/IF(Valori[[#This Row],[P_Type]]="Pct",100,1)</f>
        <v>97.22</v>
      </c>
      <c r="W160" s="1591" cm="1">
        <f t="array" aca="1" ref="W160" ca="1">OFFSET(POrigin,MATCH(Valori[[#This Row],[LUKB_id]],PID,0),MATCH("NC2_PR",PLabel,0)-1,1,1)/100</f>
        <v>1.45183441239946E-2</v>
      </c>
      <c r="X160" s="1592" cm="1">
        <f t="array" aca="1" ref="X160" ca="1">OFFSET(POrigin,MATCH(Valori[[#This Row],[LUKB_id]],PID,0),MATCH("LVAL",PLabel,0)-1,1,1)</f>
        <v>97.22</v>
      </c>
      <c r="Y160" s="1593" cm="1">
        <f t="array" aca="1" ref="Y160" ca="1">OFFSET(POrigin,MATCH(Valori[[#This Row],[LUKB_id]],PID,0),MATCH("LVAL:datetime",PLabel,0)-1,1,1)</f>
        <v>46084.781331018516</v>
      </c>
      <c r="Z160" s="1594" cm="1">
        <f t="array" aca="1" ref="Z160" ca="1">OFFSET(POrigin,MATCH(Valori[[#This Row],[LUKB_id]],PID,0),MATCH("BID:volume",PLabel,0)-1,1,1)</f>
        <v>1029</v>
      </c>
      <c r="AA160" s="1595" cm="1">
        <f t="array" aca="1" ref="AA160" ca="1">OFFSET(POrigin,MATCH(Valori[[#This Row],[LUKB_id]],PID,0),MATCH("BID",PLabel,0)-1,1,1)</f>
        <v>97.22</v>
      </c>
      <c r="AB160" s="1595" cm="1">
        <f t="array" aca="1" ref="AB160" ca="1">OFFSET(POrigin,MATCH(Valori[[#This Row],[LUKB_id]],PID,0),MATCH("ASK",PLabel,0)-1,1,1)</f>
        <v>97.63</v>
      </c>
      <c r="AC160" s="1594" cm="1">
        <f t="array" aca="1" ref="AC160" ca="1">OFFSET(POrigin,MATCH(Valori[[#This Row],[LUKB_id]],PID,0),MATCH("ASK:volume",PLabel,0)-1,1,1)</f>
        <v>1025</v>
      </c>
      <c r="AD160" s="1596" cm="1">
        <f t="array" aca="1" ref="AD160" ca="1">OFFSET(POrigin,MATCH(Valori[[#This Row],[LUKB_id]],PID,0),MATCH("BID-ASK Spread %",PLabel,0)-1,1,1)</f>
        <v>2.8075461362002028E-3</v>
      </c>
      <c r="AE160" s="1597" t="str" cm="1">
        <f t="array" aca="1" ref="AE160" ca="1">IF(OFFSET(POrigin,MATCH(Valori[[#This Row],[LUKB_id]],PID,0),MATCH("MATURITY",PLabel,0)-1,1,1)&gt;0,OFFSET(POrigin,MATCH(Valori[[#This Row],[LUKB_id]],PID,0),MATCH("MATURITY",PLabel,0)-1,1,1),"")</f>
        <v/>
      </c>
      <c r="AF160" s="1598" cm="1">
        <f t="array" aca="1" ref="AF160" ca="1">OFFSET(POrigin,MATCH(Valori[[#This Row],[LUKB_id]],PID,0),MATCH("ACCINT",PLabel,0)-1,1,1)</f>
        <v>0</v>
      </c>
      <c r="AG160" s="1594" cm="1">
        <f t="array" aca="1" ref="AG160" ca="1">OFFSET(POrigin,MATCH(Valori[[#This Row],[LUKB_id]],PID,0),MATCH("DENOM",PLabel,0)-1,1,1)</f>
        <v>0</v>
      </c>
      <c r="AH160" s="1599" cm="1">
        <f t="array" aca="1" ref="AH160" ca="1">(OFFSET(POrigin,MATCH(Valori[[#This Row],[LUKB_id]],PID,0),MATCH("YIELD",PLabel,0)-1,1,1)+OFFSET(POrigin,MATCH(Valori[[#This Row],[LUKB_id]],PID,0),MATCH("YLDEQ",PLabel,0)-1,1,1))/100</f>
        <v>0</v>
      </c>
      <c r="AI160" s="1600">
        <f ca="1">OFFSET(POrigin,MATCH(Valori[[#This Row],[LUKB_id]],PID,0),MATCH("DIVIDEND",PLabel,0)-1,1,1)</f>
        <v>0.54339999999999999</v>
      </c>
      <c r="AJ160" s="1601">
        <f ca="1">OFFSET(POrigin,MATCH(Valori[[#This Row],[LUKB_id]],PID,0),MATCH("DIVIDEND:datetime",PLabel,0)-1,1,1)</f>
        <v>46037</v>
      </c>
      <c r="AK160" s="1602">
        <f ca="1">OFFSET(POrigin,MATCH(Valori[[#This Row],[LUKB_id]],PID,0),MATCH("INTEREST",PLabel,0)-1,1,1)</f>
        <v>0</v>
      </c>
      <c r="AL160" s="1603">
        <f ca="1">OFFSET(POrigin,MATCH(Valori[[#This Row],[LUKB_id]],PID,0),MATCH("4W_PERF_PR",PLabel,0)-1,1,1)/100</f>
        <v>8.9062343640548443E-3</v>
      </c>
      <c r="AM160" s="1603">
        <f ca="1">OFFSET(POrigin,MATCH(Valori[[#This Row],[LUKB_id]],PID,0),MATCH("12W_PERF_PR",PLabel,0)-1,1,1)/100</f>
        <v>-1.2343260188087686E-2</v>
      </c>
      <c r="AN160" s="1603">
        <f ca="1">OFFSET(POrigin,MATCH(Valori[[#This Row],[LUKB_id]],PID,0),MATCH("YTD_PERF_PR",PLabel,0)-1,1,1)/100</f>
        <v>-2.5077160493828E-3</v>
      </c>
      <c r="AO160" s="1591"/>
      <c r="AP160" s="1591"/>
      <c r="AQ160" s="1591"/>
      <c r="AR160" s="1591"/>
      <c r="AS160" s="1890"/>
      <c r="AT160" s="1890"/>
      <c r="AU160" s="610"/>
      <c r="AV160" s="1891"/>
      <c r="AW160" s="1604" t="str">
        <f ca="1">"https://boersenundmaerkte.lukb.ch/lukb/details/"&amp;Valori[[#This Row],[LUKB_id]]</f>
        <v>https://boersenundmaerkte.lukb.ch/lukb/details/12980928,16,814</v>
      </c>
      <c r="AX16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0" s="142"/>
      <c r="AZ160" s="142"/>
      <c r="BA160" s="142"/>
      <c r="BB160" s="142"/>
    </row>
    <row r="161" spans="1:54" ht="15" customHeight="1" x14ac:dyDescent="0.2">
      <c r="A161" s="142" t="s">
        <v>4351</v>
      </c>
      <c r="B161" s="142" t="str" cm="1">
        <f t="array" aca="1" ref="B161" ca="1">OFFSET(POrigin,MATCH(Valori[[#This Row],[smo_id]],Posizioni[smo_id],0),MATCH("LUKB_id",PIntestazioni,0)-1,1,1)</f>
        <v>12981044,16,814</v>
      </c>
      <c r="C161" s="1668" t="str">
        <f ca="1">HYPERLINK("https://boersenundmaerkte.lukb.ch/lukb/details/"&amp;Valori[[#This Row],[LUKB_id]],"è")</f>
        <v>è</v>
      </c>
      <c r="D161" s="142" t="str" cm="1">
        <f t="array" aca="1" ref="D161" ca="1">OFFSET(POrigin,MATCH(Valori[[#This Row],[LUKB_id]],PID,0),MATCH("SC_GROUPED",PIntestazioni,0)-1,1,1)</f>
        <v>ETF</v>
      </c>
      <c r="E161" s="413" t="str" cm="1">
        <f t="array" aca="1" ref="E161" ca="1">OFFSET(POrigin,MATCH(Valori[[#This Row],[LUKB_id]],PID,0),MATCH("isin",PIntestazioni,0)-1,1,1)</f>
        <v>DE000A0Q4R44</v>
      </c>
      <c r="F161" s="34" t="str" cm="1">
        <f t="array" aca="1" ref="F161" ca="1">OFFSET(POrigin,MATCH(Valori[[#This Row],[LUKB_id]],PID,0),MATCH("NSIN_CH",PLabel,0)-1,1,1)</f>
        <v>12981044</v>
      </c>
      <c r="G161" s="95" t="str" cm="1">
        <f t="array" aca="1" ref="G161" ca="1">IF(OFFSET(POrigin,MATCH(Valori[[#This Row],[LUKB_id]],PID,0),MATCH("INSTRUNIT",PLabel,0)-1,1,1)="Nominal","Pct","Unit")</f>
        <v>Unit</v>
      </c>
      <c r="H161" s="612">
        <f ca="1">MAX(OFFSET(POrigin,MATCH(Valori[[#This Row],[LUKB_id]],PID,0),MATCH("PRICINGAMT",PLabel,0)-1,1,1),1)</f>
        <v>1</v>
      </c>
      <c r="I161" s="615" t="str" cm="1">
        <f t="array" aca="1" ref="I161" ca="1">OFFSET(POrigin,MATCH(Valori[[#This Row],[LUKB_id]],PID,0),MATCH("M_NAME",PLabel,0)-1,1,1)</f>
        <v>iShares STOXX Europe 600 Real Estate UCITS ETF (DE)</v>
      </c>
      <c r="M161" s="142" t="str" cm="1">
        <f t="array" aca="1" ref="M1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Real Estate UCITS ETF (DE)</v>
      </c>
      <c r="N161" s="1563">
        <f ca="1">COUNTIF('CHF M'!smo_id,Valori[[#This Row],[smo_id]])+COUNTIF('CHF MA'!smo_id,Valori[[#This Row],[smo_id]])+COUNTIF('EUR MB'!smo_id,Valori[[#This Row],[smo_id]])+COUNTIF('EUR M'!smo_id,Valori[[#This Row],[smo_id]])+COUNTIF(AGCO!smo_id,Valori[[#This Row],[smo_id]])</f>
        <v>0</v>
      </c>
      <c r="O161" s="1590" cm="1">
        <f t="array" aca="1" ref="O161" ca="1">SUM(IF('CHF M'!smo_id=Valori[[#This Row],[smo_id]],'CHF M'!Posizione))+SUM(IF('CHF MA'!smo_id=Valori[[#This Row],[smo_id]],'CHF MA'!Posizione))+SUM(IF('EUR MB'!smo_id=Valori[[#This Row],[smo_id]],'EUR MB'!Posizione))+SUM(IF('EUR M'!smo_id=Valori[[#This Row],[smo_id]],'EUR M'!Posizione))+SUM(IF(AGCO!smo_id=Valori[[#This Row],[smo_id]],AGCO!Posizione))</f>
        <v>0</v>
      </c>
      <c r="P161" s="1661" t="str">
        <f ca="1">HYPERLINK(Valori[[#This Row],[P_Source]],"è")</f>
        <v>è</v>
      </c>
      <c r="Q161" s="1663" t="str">
        <f>HYPERLINK(Valori[[#This Row],[Info_W]],"i")</f>
        <v>i</v>
      </c>
      <c r="R161" s="1664" t="str">
        <f>HYPERLINK(Valori[[#This Row],[FN_W]],"")</f>
        <v></v>
      </c>
      <c r="S161" s="1665" t="str">
        <f>HYPERLINK(Valori[[#This Row],[MS_Link]],"")</f>
        <v></v>
      </c>
      <c r="T161" s="1665" t="str">
        <f>HYPERLINK(Valori[[#This Row],[C_source]],"")</f>
        <v></v>
      </c>
      <c r="U161" s="142" t="str" cm="1">
        <f t="array" aca="1" ref="U161" ca="1">OFFSET(POrigin,MATCH(Valori[[#This Row],[LUKB_id]],PID,0),MATCH("M_CUR",PLabel,0)-1,1,1)</f>
        <v>EUR</v>
      </c>
      <c r="V161" s="1562">
        <f ca="1">(Valori[[#This Row],[Last]]+Valori[[#This Row],[Acc. Int]])/Valori[[#This Row],[Pr.Amt]]/IF(Valori[[#This Row],[P_Type]]="Pct",100,1)</f>
        <v>14.614000000000001</v>
      </c>
      <c r="W161" s="1591" cm="1">
        <f t="array" aca="1" ref="W161" ca="1">OFFSET(POrigin,MATCH(Valori[[#This Row],[LUKB_id]],PID,0),MATCH("NC2_PR",PLabel,0)-1,1,1)/100</f>
        <v>1.5434169910079001E-2</v>
      </c>
      <c r="X161" s="1592" cm="1">
        <f t="array" aca="1" ref="X161" ca="1">OFFSET(POrigin,MATCH(Valori[[#This Row],[LUKB_id]],PID,0),MATCH("LVAL",PLabel,0)-1,1,1)</f>
        <v>14.614000000000001</v>
      </c>
      <c r="Y161" s="1593" cm="1">
        <f t="array" aca="1" ref="Y161" ca="1">OFFSET(POrigin,MATCH(Valori[[#This Row],[LUKB_id]],PID,0),MATCH("LVAL:datetime",PLabel,0)-1,1,1)</f>
        <v>46084.782002314816</v>
      </c>
      <c r="Z161" s="1594" cm="1">
        <f t="array" aca="1" ref="Z161" ca="1">OFFSET(POrigin,MATCH(Valori[[#This Row],[LUKB_id]],PID,0),MATCH("BID:volume",PLabel,0)-1,1,1)</f>
        <v>6844</v>
      </c>
      <c r="AA161" s="1595" cm="1">
        <f t="array" aca="1" ref="AA161" ca="1">OFFSET(POrigin,MATCH(Valori[[#This Row],[LUKB_id]],PID,0),MATCH("BID",PLabel,0)-1,1,1)</f>
        <v>14.612</v>
      </c>
      <c r="AB161" s="1595" cm="1">
        <f t="array" aca="1" ref="AB161" ca="1">OFFSET(POrigin,MATCH(Valori[[#This Row],[LUKB_id]],PID,0),MATCH("ASK",PLabel,0)-1,1,1)</f>
        <v>14.686</v>
      </c>
      <c r="AC161" s="1594" cm="1">
        <f t="array" aca="1" ref="AC161" ca="1">OFFSET(POrigin,MATCH(Valori[[#This Row],[LUKB_id]],PID,0),MATCH("ASK:volume",PLabel,0)-1,1,1)</f>
        <v>6810</v>
      </c>
      <c r="AD161" s="1596" cm="1">
        <f t="array" aca="1" ref="AD161" ca="1">OFFSET(POrigin,MATCH(Valori[[#This Row],[LUKB_id]],PID,0),MATCH("BID-ASK Spread %",PLabel,0)-1,1,1)</f>
        <v>3.3705306308357938E-3</v>
      </c>
      <c r="AE161" s="1597" t="str" cm="1">
        <f t="array" aca="1" ref="AE161" ca="1">IF(OFFSET(POrigin,MATCH(Valori[[#This Row],[LUKB_id]],PID,0),MATCH("MATURITY",PLabel,0)-1,1,1)&gt;0,OFFSET(POrigin,MATCH(Valori[[#This Row],[LUKB_id]],PID,0),MATCH("MATURITY",PLabel,0)-1,1,1),"")</f>
        <v/>
      </c>
      <c r="AF161" s="1598" cm="1">
        <f t="array" aca="1" ref="AF161" ca="1">OFFSET(POrigin,MATCH(Valori[[#This Row],[LUKB_id]],PID,0),MATCH("ACCINT",PLabel,0)-1,1,1)</f>
        <v>0</v>
      </c>
      <c r="AG161" s="1594" cm="1">
        <f t="array" aca="1" ref="AG161" ca="1">OFFSET(POrigin,MATCH(Valori[[#This Row],[LUKB_id]],PID,0),MATCH("DENOM",PLabel,0)-1,1,1)</f>
        <v>0</v>
      </c>
      <c r="AH161" s="1599" cm="1">
        <f t="array" aca="1" ref="AH161" ca="1">(OFFSET(POrigin,MATCH(Valori[[#This Row],[LUKB_id]],PID,0),MATCH("YIELD",PLabel,0)-1,1,1)+OFFSET(POrigin,MATCH(Valori[[#This Row],[LUKB_id]],PID,0),MATCH("YLDEQ",PLabel,0)-1,1,1))/100</f>
        <v>0</v>
      </c>
      <c r="AI161" s="1600">
        <f ca="1">OFFSET(POrigin,MATCH(Valori[[#This Row],[LUKB_id]],PID,0),MATCH("DIVIDEND",PLabel,0)-1,1,1)</f>
        <v>4.7615999999999999E-2</v>
      </c>
      <c r="AJ161" s="1601">
        <f ca="1">OFFSET(POrigin,MATCH(Valori[[#This Row],[LUKB_id]],PID,0),MATCH("DIVIDEND:datetime",PLabel,0)-1,1,1)</f>
        <v>46037</v>
      </c>
      <c r="AK161" s="1602">
        <f ca="1">OFFSET(POrigin,MATCH(Valori[[#This Row],[LUKB_id]],PID,0),MATCH("INTEREST",PLabel,0)-1,1,1)</f>
        <v>0</v>
      </c>
      <c r="AL161" s="1603">
        <f ca="1">OFFSET(POrigin,MATCH(Valori[[#This Row],[LUKB_id]],PID,0),MATCH("4W_PERF_PR",PLabel,0)-1,1,1)/100</f>
        <v>5.7903634826711819E-2</v>
      </c>
      <c r="AM161" s="1603">
        <f ca="1">OFFSET(POrigin,MATCH(Valori[[#This Row],[LUKB_id]],PID,0),MATCH("12W_PERF_PR",PLabel,0)-1,1,1)/100</f>
        <v>0.1237653397186471</v>
      </c>
      <c r="AN161" s="1603">
        <f ca="1">OFFSET(POrigin,MATCH(Valori[[#This Row],[LUKB_id]],PID,0),MATCH("YTD_PERF_PR",PLabel,0)-1,1,1)/100</f>
        <v>0.10050909090909001</v>
      </c>
      <c r="AO161" s="1591"/>
      <c r="AP161" s="1591"/>
      <c r="AQ161" s="1591"/>
      <c r="AR161" s="1591"/>
      <c r="AS161" s="1890"/>
      <c r="AT161" s="1890"/>
      <c r="AU161" s="610"/>
      <c r="AV161" s="1891"/>
      <c r="AW161" s="1604" t="str">
        <f ca="1">"https://boersenundmaerkte.lukb.ch/lukb/details/"&amp;Valori[[#This Row],[LUKB_id]]</f>
        <v>https://boersenundmaerkte.lukb.ch/lukb/details/12981044,16,814</v>
      </c>
      <c r="AX16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1" s="142"/>
      <c r="AZ161" s="142"/>
      <c r="BA161" s="142"/>
      <c r="BB161" s="142"/>
    </row>
    <row r="162" spans="1:54" ht="15" customHeight="1" x14ac:dyDescent="0.2">
      <c r="A162" s="142" t="s">
        <v>4352</v>
      </c>
      <c r="B162" s="142" t="str" cm="1">
        <f t="array" aca="1" ref="B162" ca="1">OFFSET(POrigin,MATCH(Valori[[#This Row],[smo_id]],Posizioni[smo_id],0),MATCH("LUKB_id",PIntestazioni,0)-1,1,1)</f>
        <v>12980945,16,814</v>
      </c>
      <c r="C162" s="1668" t="str">
        <f ca="1">HYPERLINK("https://boersenundmaerkte.lukb.ch/lukb/details/"&amp;Valori[[#This Row],[LUKB_id]],"è")</f>
        <v>è</v>
      </c>
      <c r="D162" s="142" t="str" cm="1">
        <f t="array" aca="1" ref="D162" ca="1">OFFSET(POrigin,MATCH(Valori[[#This Row],[LUKB_id]],PID,0),MATCH("SC_GROUPED",PIntestazioni,0)-1,1,1)</f>
        <v>ETF</v>
      </c>
      <c r="E162" s="413" t="str" cm="1">
        <f t="array" aca="1" ref="E162" ca="1">OFFSET(POrigin,MATCH(Valori[[#This Row],[LUKB_id]],PID,0),MATCH("isin",PIntestazioni,0)-1,1,1)</f>
        <v>DE000A0H08Q4</v>
      </c>
      <c r="F162" s="34" t="str" cm="1">
        <f t="array" aca="1" ref="F162" ca="1">OFFSET(POrigin,MATCH(Valori[[#This Row],[LUKB_id]],PID,0),MATCH("NSIN_CH",PLabel,0)-1,1,1)</f>
        <v>12980945</v>
      </c>
      <c r="G162" s="95" t="str" cm="1">
        <f t="array" aca="1" ref="G162" ca="1">IF(OFFSET(POrigin,MATCH(Valori[[#This Row],[LUKB_id]],PID,0),MATCH("INSTRUNIT",PLabel,0)-1,1,1)="Nominal","Pct","Unit")</f>
        <v>Unit</v>
      </c>
      <c r="H162" s="612">
        <f ca="1">MAX(OFFSET(POrigin,MATCH(Valori[[#This Row],[LUKB_id]],PID,0),MATCH("PRICINGAMT",PLabel,0)-1,1,1),1)</f>
        <v>1</v>
      </c>
      <c r="I162" s="615" t="str" cm="1">
        <f t="array" aca="1" ref="I162" ca="1">OFFSET(POrigin,MATCH(Valori[[#This Row],[LUKB_id]],PID,0),MATCH("M_NAME",PLabel,0)-1,1,1)</f>
        <v>iShares STOXX Europe 600 Technology UCITS ETF (DE)</v>
      </c>
      <c r="M162" s="142" t="str" cm="1">
        <f t="array" aca="1" ref="M1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Technology UCITS ETF (DE)</v>
      </c>
      <c r="N162" s="1563">
        <f ca="1">COUNTIF('CHF M'!smo_id,Valori[[#This Row],[smo_id]])+COUNTIF('CHF MA'!smo_id,Valori[[#This Row],[smo_id]])+COUNTIF('EUR MB'!smo_id,Valori[[#This Row],[smo_id]])+COUNTIF('EUR M'!smo_id,Valori[[#This Row],[smo_id]])+COUNTIF(AGCO!smo_id,Valori[[#This Row],[smo_id]])</f>
        <v>0</v>
      </c>
      <c r="O162" s="1590" cm="1">
        <f t="array" aca="1" ref="O162" ca="1">SUM(IF('CHF M'!smo_id=Valori[[#This Row],[smo_id]],'CHF M'!Posizione))+SUM(IF('CHF MA'!smo_id=Valori[[#This Row],[smo_id]],'CHF MA'!Posizione))+SUM(IF('EUR MB'!smo_id=Valori[[#This Row],[smo_id]],'EUR MB'!Posizione))+SUM(IF('EUR M'!smo_id=Valori[[#This Row],[smo_id]],'EUR M'!Posizione))+SUM(IF(AGCO!smo_id=Valori[[#This Row],[smo_id]],AGCO!Posizione))</f>
        <v>0</v>
      </c>
      <c r="P162" s="1661" t="str">
        <f ca="1">HYPERLINK(Valori[[#This Row],[P_Source]],"è")</f>
        <v>è</v>
      </c>
      <c r="Q162" s="1663" t="str">
        <f>HYPERLINK(Valori[[#This Row],[Info_W]],"i")</f>
        <v>i</v>
      </c>
      <c r="R162" s="1664" t="str">
        <f>HYPERLINK(Valori[[#This Row],[FN_W]],"")</f>
        <v></v>
      </c>
      <c r="S162" s="1665" t="str">
        <f>HYPERLINK(Valori[[#This Row],[MS_Link]],"")</f>
        <v></v>
      </c>
      <c r="T162" s="1665" t="str">
        <f>HYPERLINK(Valori[[#This Row],[C_source]],"")</f>
        <v></v>
      </c>
      <c r="U162" s="142" t="str" cm="1">
        <f t="array" aca="1" ref="U162" ca="1">OFFSET(POrigin,MATCH(Valori[[#This Row],[LUKB_id]],PID,0),MATCH("M_CUR",PLabel,0)-1,1,1)</f>
        <v>EUR</v>
      </c>
      <c r="V162" s="1562">
        <f ca="1">(Valori[[#This Row],[Last]]+Valori[[#This Row],[Acc. Int]])/Valori[[#This Row],[Pr.Amt]]/IF(Valori[[#This Row],[P_Type]]="Pct",100,1)</f>
        <v>80.53</v>
      </c>
      <c r="W162" s="1591" cm="1">
        <f t="array" aca="1" ref="W162" ca="1">OFFSET(POrigin,MATCH(Valori[[#This Row],[LUKB_id]],PID,0),MATCH("NC2_PR",PLabel,0)-1,1,1)/100</f>
        <v>-2.0330211927057598E-2</v>
      </c>
      <c r="X162" s="1592" cm="1">
        <f t="array" aca="1" ref="X162" ca="1">OFFSET(POrigin,MATCH(Valori[[#This Row],[LUKB_id]],PID,0),MATCH("LVAL",PLabel,0)-1,1,1)</f>
        <v>80.53</v>
      </c>
      <c r="Y162" s="1593" cm="1">
        <f t="array" aca="1" ref="Y162" ca="1">OFFSET(POrigin,MATCH(Valori[[#This Row],[LUKB_id]],PID,0),MATCH("LVAL:datetime",PLabel,0)-1,1,1)</f>
        <v>46084.781319444446</v>
      </c>
      <c r="Z162" s="1594" cm="1">
        <f t="array" aca="1" ref="Z162" ca="1">OFFSET(POrigin,MATCH(Valori[[#This Row],[LUKB_id]],PID,0),MATCH("BID:volume",PLabel,0)-1,1,1)</f>
        <v>1242</v>
      </c>
      <c r="AA162" s="1595" cm="1">
        <f t="array" aca="1" ref="AA162" ca="1">OFFSET(POrigin,MATCH(Valori[[#This Row],[LUKB_id]],PID,0),MATCH("BID",PLabel,0)-1,1,1)</f>
        <v>80.52</v>
      </c>
      <c r="AB162" s="1595" cm="1">
        <f t="array" aca="1" ref="AB162" ca="1">OFFSET(POrigin,MATCH(Valori[[#This Row],[LUKB_id]],PID,0),MATCH("ASK",PLabel,0)-1,1,1)</f>
        <v>80.69</v>
      </c>
      <c r="AC162" s="1594" cm="1">
        <f t="array" aca="1" ref="AC162" ca="1">OFFSET(POrigin,MATCH(Valori[[#This Row],[LUKB_id]],PID,0),MATCH("ASK:volume",PLabel,0)-1,1,1)</f>
        <v>1240</v>
      </c>
      <c r="AD162" s="1596" cm="1">
        <f t="array" aca="1" ref="AD162" ca="1">OFFSET(POrigin,MATCH(Valori[[#This Row],[LUKB_id]],PID,0),MATCH("BID-ASK Spread %",PLabel,0)-1,1,1)</f>
        <v>1.4065279444007918E-3</v>
      </c>
      <c r="AE162" s="1597" t="str" cm="1">
        <f t="array" aca="1" ref="AE162" ca="1">IF(OFFSET(POrigin,MATCH(Valori[[#This Row],[LUKB_id]],PID,0),MATCH("MATURITY",PLabel,0)-1,1,1)&gt;0,OFFSET(POrigin,MATCH(Valori[[#This Row],[LUKB_id]],PID,0),MATCH("MATURITY",PLabel,0)-1,1,1),"")</f>
        <v/>
      </c>
      <c r="AF162" s="1598" cm="1">
        <f t="array" aca="1" ref="AF162" ca="1">OFFSET(POrigin,MATCH(Valori[[#This Row],[LUKB_id]],PID,0),MATCH("ACCINT",PLabel,0)-1,1,1)</f>
        <v>0</v>
      </c>
      <c r="AG162" s="1594" cm="1">
        <f t="array" aca="1" ref="AG162" ca="1">OFFSET(POrigin,MATCH(Valori[[#This Row],[LUKB_id]],PID,0),MATCH("DENOM",PLabel,0)-1,1,1)</f>
        <v>0</v>
      </c>
      <c r="AH162" s="1599" cm="1">
        <f t="array" aca="1" ref="AH162" ca="1">(OFFSET(POrigin,MATCH(Valori[[#This Row],[LUKB_id]],PID,0),MATCH("YIELD",PLabel,0)-1,1,1)+OFFSET(POrigin,MATCH(Valori[[#This Row],[LUKB_id]],PID,0),MATCH("YLDEQ",PLabel,0)-1,1,1))/100</f>
        <v>0</v>
      </c>
      <c r="AI162" s="1600">
        <f ca="1">OFFSET(POrigin,MATCH(Valori[[#This Row],[LUKB_id]],PID,0),MATCH("DIVIDEND",PLabel,0)-1,1,1)</f>
        <v>6.7979999999999999E-2</v>
      </c>
      <c r="AJ162" s="1601">
        <f ca="1">OFFSET(POrigin,MATCH(Valori[[#This Row],[LUKB_id]],PID,0),MATCH("DIVIDEND:datetime",PLabel,0)-1,1,1)</f>
        <v>46037</v>
      </c>
      <c r="AK162" s="1602">
        <f ca="1">OFFSET(POrigin,MATCH(Valori[[#This Row],[LUKB_id]],PID,0),MATCH("INTEREST",PLabel,0)-1,1,1)</f>
        <v>0</v>
      </c>
      <c r="AL162" s="1603">
        <f ca="1">OFFSET(POrigin,MATCH(Valori[[#This Row],[LUKB_id]],PID,0),MATCH("4W_PERF_PR",PLabel,0)-1,1,1)/100</f>
        <v>-5.52519E-2</v>
      </c>
      <c r="AM162" s="1603">
        <f ca="1">OFFSET(POrigin,MATCH(Valori[[#This Row],[LUKB_id]],PID,0),MATCH("12W_PERF_PR",PLabel,0)-1,1,1)/100</f>
        <v>-1.8758480000000001E-2</v>
      </c>
      <c r="AN162" s="1603">
        <f ca="1">OFFSET(POrigin,MATCH(Valori[[#This Row],[LUKB_id]],PID,0),MATCH("YTD_PERF_PR",PLabel,0)-1,1,1)/100</f>
        <v>1.1213555943184602E-2</v>
      </c>
      <c r="AO162" s="1591"/>
      <c r="AP162" s="1591"/>
      <c r="AQ162" s="1591"/>
      <c r="AR162" s="1591"/>
      <c r="AS162" s="1890"/>
      <c r="AT162" s="1890"/>
      <c r="AU162" s="610"/>
      <c r="AV162" s="1891"/>
      <c r="AW162" s="1604" t="str">
        <f ca="1">"https://boersenundmaerkte.lukb.ch/lukb/details/"&amp;Valori[[#This Row],[LUKB_id]]</f>
        <v>https://boersenundmaerkte.lukb.ch/lukb/details/12980945,16,814</v>
      </c>
      <c r="AX16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2" s="142"/>
      <c r="AZ162" s="142"/>
      <c r="BA162" s="142"/>
      <c r="BB162" s="142"/>
    </row>
    <row r="163" spans="1:54" ht="15" customHeight="1" x14ac:dyDescent="0.2">
      <c r="A163" s="142" t="s">
        <v>4353</v>
      </c>
      <c r="B163" s="142" t="str" cm="1">
        <f t="array" aca="1" ref="B163" ca="1">OFFSET(POrigin,MATCH(Valori[[#This Row],[smo_id]],Posizioni[smo_id],0),MATCH("LUKB_id",PIntestazioni,0)-1,1,1)</f>
        <v>12980951,16,814</v>
      </c>
      <c r="C163" s="1668" t="str">
        <f ca="1">HYPERLINK("https://boersenundmaerkte.lukb.ch/lukb/details/"&amp;Valori[[#This Row],[LUKB_id]],"è")</f>
        <v>è</v>
      </c>
      <c r="D163" s="142" t="str" cm="1">
        <f t="array" aca="1" ref="D163" ca="1">OFFSET(POrigin,MATCH(Valori[[#This Row],[LUKB_id]],PID,0),MATCH("SC_GROUPED",PIntestazioni,0)-1,1,1)</f>
        <v>ETF</v>
      </c>
      <c r="E163" s="413" t="str" cm="1">
        <f t="array" aca="1" ref="E163" ca="1">OFFSET(POrigin,MATCH(Valori[[#This Row],[LUKB_id]],PID,0),MATCH("isin",PIntestazioni,0)-1,1,1)</f>
        <v>DE000A0H08R2</v>
      </c>
      <c r="F163" s="34" t="str" cm="1">
        <f t="array" aca="1" ref="F163" ca="1">OFFSET(POrigin,MATCH(Valori[[#This Row],[LUKB_id]],PID,0),MATCH("NSIN_CH",PLabel,0)-1,1,1)</f>
        <v>12980951</v>
      </c>
      <c r="G163" s="95" t="str" cm="1">
        <f t="array" aca="1" ref="G163" ca="1">IF(OFFSET(POrigin,MATCH(Valori[[#This Row],[LUKB_id]],PID,0),MATCH("INSTRUNIT",PLabel,0)-1,1,1)="Nominal","Pct","Unit")</f>
        <v>Unit</v>
      </c>
      <c r="H163" s="612">
        <f ca="1">MAX(OFFSET(POrigin,MATCH(Valori[[#This Row],[LUKB_id]],PID,0),MATCH("PRICINGAMT",PLabel,0)-1,1,1),1)</f>
        <v>1</v>
      </c>
      <c r="I163" s="615" t="str" cm="1">
        <f t="array" aca="1" ref="I163" ca="1">OFFSET(POrigin,MATCH(Valori[[#This Row],[LUKB_id]],PID,0),MATCH("M_NAME",PLabel,0)-1,1,1)</f>
        <v>iShares STOXX Europe 600 Telecommunications UCITS ETF (DE)</v>
      </c>
      <c r="M163" s="142" t="str" cm="1">
        <f t="array" aca="1" ref="M1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Telecommunications UCITS ETF (DE)</v>
      </c>
      <c r="N163" s="1563">
        <f ca="1">COUNTIF('CHF M'!smo_id,Valori[[#This Row],[smo_id]])+COUNTIF('CHF MA'!smo_id,Valori[[#This Row],[smo_id]])+COUNTIF('EUR MB'!smo_id,Valori[[#This Row],[smo_id]])+COUNTIF('EUR M'!smo_id,Valori[[#This Row],[smo_id]])+COUNTIF(AGCO!smo_id,Valori[[#This Row],[smo_id]])</f>
        <v>2</v>
      </c>
      <c r="O163" s="1590" cm="1">
        <f t="array" aca="1" ref="O163" ca="1">SUM(IF('CHF M'!smo_id=Valori[[#This Row],[smo_id]],'CHF M'!Posizione))+SUM(IF('CHF MA'!smo_id=Valori[[#This Row],[smo_id]],'CHF MA'!Posizione))+SUM(IF('EUR MB'!smo_id=Valori[[#This Row],[smo_id]],'EUR MB'!Posizione))+SUM(IF('EUR M'!smo_id=Valori[[#This Row],[smo_id]],'EUR M'!Posizione))+SUM(IF(AGCO!smo_id=Valori[[#This Row],[smo_id]],AGCO!Posizione))</f>
        <v>2415</v>
      </c>
      <c r="P163" s="1661" t="str">
        <f ca="1">HYPERLINK(Valori[[#This Row],[P_Source]],"è")</f>
        <v>è</v>
      </c>
      <c r="Q163" s="1663" t="str">
        <f>HYPERLINK(Valori[[#This Row],[Info_W]],"i")</f>
        <v>i</v>
      </c>
      <c r="R163" s="1664" t="str">
        <f>HYPERLINK(Valori[[#This Row],[FN_W]],"")</f>
        <v></v>
      </c>
      <c r="S163" s="1665" t="str">
        <f>HYPERLINK(Valori[[#This Row],[MS_Link]],"")</f>
        <v></v>
      </c>
      <c r="T163" s="1665" t="str">
        <f>HYPERLINK(Valori[[#This Row],[C_source]],"")</f>
        <v></v>
      </c>
      <c r="U163" s="142" t="str" cm="1">
        <f t="array" aca="1" ref="U163" ca="1">OFFSET(POrigin,MATCH(Valori[[#This Row],[LUKB_id]],PID,0),MATCH("M_CUR",PLabel,0)-1,1,1)</f>
        <v>EUR</v>
      </c>
      <c r="V163" s="1562">
        <f ca="1">(Valori[[#This Row],[Last]]+Valori[[#This Row],[Acc. Int]])/Valori[[#This Row],[Pr.Amt]]/IF(Valori[[#This Row],[P_Type]]="Pct",100,1)</f>
        <v>28.844999999999999</v>
      </c>
      <c r="W163" s="1591" cm="1">
        <f t="array" aca="1" ref="W163" ca="1">OFFSET(POrigin,MATCH(Valori[[#This Row],[LUKB_id]],PID,0),MATCH("NC2_PR",PLabel,0)-1,1,1)/100</f>
        <v>3.9403803323624998E-3</v>
      </c>
      <c r="X163" s="1592" cm="1">
        <f t="array" aca="1" ref="X163" ca="1">OFFSET(POrigin,MATCH(Valori[[#This Row],[LUKB_id]],PID,0),MATCH("LVAL",PLabel,0)-1,1,1)</f>
        <v>28.844999999999999</v>
      </c>
      <c r="Y163" s="1593" cm="1">
        <f t="array" aca="1" ref="Y163" ca="1">OFFSET(POrigin,MATCH(Valori[[#This Row],[LUKB_id]],PID,0),MATCH("LVAL:datetime",PLabel,0)-1,1,1)</f>
        <v>46084.781388888892</v>
      </c>
      <c r="Z163" s="1594" cm="1">
        <f t="array" aca="1" ref="Z163" ca="1">OFFSET(POrigin,MATCH(Valori[[#This Row],[LUKB_id]],PID,0),MATCH("BID:volume",PLabel,0)-1,1,1)</f>
        <v>3465</v>
      </c>
      <c r="AA163" s="1595" cm="1">
        <f t="array" aca="1" ref="AA163" ca="1">OFFSET(POrigin,MATCH(Valori[[#This Row],[LUKB_id]],PID,0),MATCH("BID",PLabel,0)-1,1,1)</f>
        <v>28.865000000000002</v>
      </c>
      <c r="AB163" s="1595" cm="1">
        <f t="array" aca="1" ref="AB163" ca="1">OFFSET(POrigin,MATCH(Valori[[#This Row],[LUKB_id]],PID,0),MATCH("ASK",PLabel,0)-1,1,1)</f>
        <v>28.935000000000002</v>
      </c>
      <c r="AC163" s="1594" cm="1">
        <f t="array" aca="1" ref="AC163" ca="1">OFFSET(POrigin,MATCH(Valori[[#This Row],[LUKB_id]],PID,0),MATCH("ASK:volume",PLabel,0)-1,1,1)</f>
        <v>3457</v>
      </c>
      <c r="AD163" s="1596" cm="1">
        <f t="array" aca="1" ref="AD163" ca="1">OFFSET(POrigin,MATCH(Valori[[#This Row],[LUKB_id]],PID,0),MATCH("BID-ASK Spread %",PLabel,0)-1,1,1)</f>
        <v>1.6154156810707964E-3</v>
      </c>
      <c r="AE163" s="1597" t="str" cm="1">
        <f t="array" aca="1" ref="AE163" ca="1">IF(OFFSET(POrigin,MATCH(Valori[[#This Row],[LUKB_id]],PID,0),MATCH("MATURITY",PLabel,0)-1,1,1)&gt;0,OFFSET(POrigin,MATCH(Valori[[#This Row],[LUKB_id]],PID,0),MATCH("MATURITY",PLabel,0)-1,1,1),"")</f>
        <v/>
      </c>
      <c r="AF163" s="1598" cm="1">
        <f t="array" aca="1" ref="AF163" ca="1">OFFSET(POrigin,MATCH(Valori[[#This Row],[LUKB_id]],PID,0),MATCH("ACCINT",PLabel,0)-1,1,1)</f>
        <v>0</v>
      </c>
      <c r="AG163" s="1594" cm="1">
        <f t="array" aca="1" ref="AG163" ca="1">OFFSET(POrigin,MATCH(Valori[[#This Row],[LUKB_id]],PID,0),MATCH("DENOM",PLabel,0)-1,1,1)</f>
        <v>0</v>
      </c>
      <c r="AH163" s="1599" cm="1">
        <f t="array" aca="1" ref="AH163" ca="1">(OFFSET(POrigin,MATCH(Valori[[#This Row],[LUKB_id]],PID,0),MATCH("YIELD",PLabel,0)-1,1,1)+OFFSET(POrigin,MATCH(Valori[[#This Row],[LUKB_id]],PID,0),MATCH("YLDEQ",PLabel,0)-1,1,1))/100</f>
        <v>0</v>
      </c>
      <c r="AI163" s="1600">
        <f ca="1">OFFSET(POrigin,MATCH(Valori[[#This Row],[LUKB_id]],PID,0),MATCH("DIVIDEND",PLabel,0)-1,1,1)</f>
        <v>0.131995</v>
      </c>
      <c r="AJ163" s="1601">
        <f ca="1">OFFSET(POrigin,MATCH(Valori[[#This Row],[LUKB_id]],PID,0),MATCH("DIVIDEND:datetime",PLabel,0)-1,1,1)</f>
        <v>46037</v>
      </c>
      <c r="AK163" s="1602">
        <f ca="1">OFFSET(POrigin,MATCH(Valori[[#This Row],[LUKB_id]],PID,0),MATCH("INTEREST",PLabel,0)-1,1,1)</f>
        <v>0</v>
      </c>
      <c r="AL163" s="1603">
        <f ca="1">OFFSET(POrigin,MATCH(Valori[[#This Row],[LUKB_id]],PID,0),MATCH("4W_PERF_PR",PLabel,0)-1,1,1)/100</f>
        <v>0.12802768166089959</v>
      </c>
      <c r="AM163" s="1603">
        <f ca="1">OFFSET(POrigin,MATCH(Valori[[#This Row],[LUKB_id]],PID,0),MATCH("12W_PERF_PR",PLabel,0)-1,1,1)/100</f>
        <v>0.23458868083315798</v>
      </c>
      <c r="AN163" s="1603">
        <f ca="1">OFFSET(POrigin,MATCH(Valori[[#This Row],[LUKB_id]],PID,0),MATCH("YTD_PERF_PR",PLabel,0)-1,1,1)/100</f>
        <v>0.18791810257449901</v>
      </c>
      <c r="AO163" s="1591"/>
      <c r="AP163" s="1591"/>
      <c r="AQ163" s="1591"/>
      <c r="AR163" s="1591"/>
      <c r="AS163" s="1890"/>
      <c r="AT163" s="1890"/>
      <c r="AU163" s="610"/>
      <c r="AV163" s="1891"/>
      <c r="AW163" s="1604" t="str">
        <f ca="1">"https://boersenundmaerkte.lukb.ch/lukb/details/"&amp;Valori[[#This Row],[LUKB_id]]</f>
        <v>https://boersenundmaerkte.lukb.ch/lukb/details/12980951,16,814</v>
      </c>
      <c r="AX16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3" s="142"/>
      <c r="AZ163" s="142"/>
      <c r="BA163" s="142"/>
      <c r="BB163" s="142"/>
    </row>
    <row r="164" spans="1:54" ht="15" customHeight="1" x14ac:dyDescent="0.2">
      <c r="A164" s="142" t="s">
        <v>4354</v>
      </c>
      <c r="B164" s="142" t="str" cm="1">
        <f t="array" aca="1" ref="B164" ca="1">OFFSET(POrigin,MATCH(Valori[[#This Row],[smo_id]],Posizioni[smo_id],0),MATCH("LUKB_id",PIntestazioni,0)-1,1,1)</f>
        <v>12981002,16,814</v>
      </c>
      <c r="C164" s="1668" t="str">
        <f ca="1">HYPERLINK("https://boersenundmaerkte.lukb.ch/lukb/details/"&amp;Valori[[#This Row],[LUKB_id]],"è")</f>
        <v>è</v>
      </c>
      <c r="D164" s="142" t="str" cm="1">
        <f t="array" aca="1" ref="D164" ca="1">OFFSET(POrigin,MATCH(Valori[[#This Row],[LUKB_id]],PID,0),MATCH("SC_GROUPED",PIntestazioni,0)-1,1,1)</f>
        <v>ETF</v>
      </c>
      <c r="E164" s="413" t="str" cm="1">
        <f t="array" aca="1" ref="E164" ca="1">OFFSET(POrigin,MATCH(Valori[[#This Row],[LUKB_id]],PID,0),MATCH("isin",PIntestazioni,0)-1,1,1)</f>
        <v>DE000A0H08S0</v>
      </c>
      <c r="F164" s="34" t="str" cm="1">
        <f t="array" aca="1" ref="F164" ca="1">OFFSET(POrigin,MATCH(Valori[[#This Row],[LUKB_id]],PID,0),MATCH("NSIN_CH",PLabel,0)-1,1,1)</f>
        <v>12981002</v>
      </c>
      <c r="G164" s="95" t="str" cm="1">
        <f t="array" aca="1" ref="G164" ca="1">IF(OFFSET(POrigin,MATCH(Valori[[#This Row],[LUKB_id]],PID,0),MATCH("INSTRUNIT",PLabel,0)-1,1,1)="Nominal","Pct","Unit")</f>
        <v>Unit</v>
      </c>
      <c r="H164" s="612">
        <f ca="1">MAX(OFFSET(POrigin,MATCH(Valori[[#This Row],[LUKB_id]],PID,0),MATCH("PRICINGAMT",PLabel,0)-1,1,1),1)</f>
        <v>1</v>
      </c>
      <c r="I164" s="615" t="str" cm="1">
        <f t="array" aca="1" ref="I164" ca="1">OFFSET(POrigin,MATCH(Valori[[#This Row],[LUKB_id]],PID,0),MATCH("M_NAME",PLabel,0)-1,1,1)</f>
        <v>iShares STOXX Europe 600 Travel &amp; Leisure UCITS ETF (DE)</v>
      </c>
      <c r="M164" s="142" t="str" cm="1">
        <f t="array" aca="1" ref="M1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Travel &amp; Leisure UCITS ETF (DE)</v>
      </c>
      <c r="N164" s="1563">
        <f ca="1">COUNTIF('CHF M'!smo_id,Valori[[#This Row],[smo_id]])+COUNTIF('CHF MA'!smo_id,Valori[[#This Row],[smo_id]])+COUNTIF('EUR MB'!smo_id,Valori[[#This Row],[smo_id]])+COUNTIF('EUR M'!smo_id,Valori[[#This Row],[smo_id]])+COUNTIF(AGCO!smo_id,Valori[[#This Row],[smo_id]])</f>
        <v>0</v>
      </c>
      <c r="O164" s="1590" cm="1">
        <f t="array" aca="1" ref="O164" ca="1">SUM(IF('CHF M'!smo_id=Valori[[#This Row],[smo_id]],'CHF M'!Posizione))+SUM(IF('CHF MA'!smo_id=Valori[[#This Row],[smo_id]],'CHF MA'!Posizione))+SUM(IF('EUR MB'!smo_id=Valori[[#This Row],[smo_id]],'EUR MB'!Posizione))+SUM(IF('EUR M'!smo_id=Valori[[#This Row],[smo_id]],'EUR M'!Posizione))+SUM(IF(AGCO!smo_id=Valori[[#This Row],[smo_id]],AGCO!Posizione))</f>
        <v>0</v>
      </c>
      <c r="P164" s="1661" t="str">
        <f ca="1">HYPERLINK(Valori[[#This Row],[P_Source]],"è")</f>
        <v>è</v>
      </c>
      <c r="Q164" s="1663" t="str">
        <f>HYPERLINK(Valori[[#This Row],[Info_W]],"i")</f>
        <v>i</v>
      </c>
      <c r="R164" s="1664" t="str">
        <f>HYPERLINK(Valori[[#This Row],[FN_W]],"")</f>
        <v></v>
      </c>
      <c r="S164" s="1665" t="str">
        <f>HYPERLINK(Valori[[#This Row],[MS_Link]],"")</f>
        <v></v>
      </c>
      <c r="T164" s="1665" t="str">
        <f>HYPERLINK(Valori[[#This Row],[C_source]],"")</f>
        <v></v>
      </c>
      <c r="U164" s="142" t="str" cm="1">
        <f t="array" aca="1" ref="U164" ca="1">OFFSET(POrigin,MATCH(Valori[[#This Row],[LUKB_id]],PID,0),MATCH("M_CUR",PLabel,0)-1,1,1)</f>
        <v>EUR</v>
      </c>
      <c r="V164" s="1562">
        <f ca="1">(Valori[[#This Row],[Last]]+Valori[[#This Row],[Acc. Int]])/Valori[[#This Row],[Pr.Amt]]/IF(Valori[[#This Row],[P_Type]]="Pct",100,1)</f>
        <v>22.945</v>
      </c>
      <c r="W164" s="1591" cm="1">
        <f t="array" aca="1" ref="W164" ca="1">OFFSET(POrigin,MATCH(Valori[[#This Row],[LUKB_id]],PID,0),MATCH("NC2_PR",PLabel,0)-1,1,1)/100</f>
        <v>-2.3896663078579201E-2</v>
      </c>
      <c r="X164" s="1592" cm="1">
        <f t="array" aca="1" ref="X164" ca="1">OFFSET(POrigin,MATCH(Valori[[#This Row],[LUKB_id]],PID,0),MATCH("LVAL",PLabel,0)-1,1,1)</f>
        <v>22.945</v>
      </c>
      <c r="Y164" s="1593" cm="1">
        <f t="array" aca="1" ref="Y164" ca="1">OFFSET(POrigin,MATCH(Valori[[#This Row],[LUKB_id]],PID,0),MATCH("LVAL:datetime",PLabel,0)-1,1,1)</f>
        <v>46084.781331018516</v>
      </c>
      <c r="Z164" s="1594" cm="1">
        <f t="array" aca="1" ref="Z164" ca="1">OFFSET(POrigin,MATCH(Valori[[#This Row],[LUKB_id]],PID,0),MATCH("BID:volume",PLabel,0)-1,1,1)</f>
        <v>4360</v>
      </c>
      <c r="AA164" s="1595" cm="1">
        <f t="array" aca="1" ref="AA164" ca="1">OFFSET(POrigin,MATCH(Valori[[#This Row],[LUKB_id]],PID,0),MATCH("BID",PLabel,0)-1,1,1)</f>
        <v>22.94</v>
      </c>
      <c r="AB164" s="1595" cm="1">
        <f t="array" aca="1" ref="AB164" ca="1">OFFSET(POrigin,MATCH(Valori[[#This Row],[LUKB_id]],PID,0),MATCH("ASK",PLabel,0)-1,1,1)</f>
        <v>23.04</v>
      </c>
      <c r="AC164" s="1594" cm="1">
        <f t="array" aca="1" ref="AC164" ca="1">OFFSET(POrigin,MATCH(Valori[[#This Row],[LUKB_id]],PID,0),MATCH("ASK:volume",PLabel,0)-1,1,1)</f>
        <v>4341</v>
      </c>
      <c r="AD164" s="1596" cm="1">
        <f t="array" aca="1" ref="AD164" ca="1">OFFSET(POrigin,MATCH(Valori[[#This Row],[LUKB_id]],PID,0),MATCH("BID-ASK Spread %",PLabel,0)-1,1,1)</f>
        <v>2.901915264074227E-3</v>
      </c>
      <c r="AE164" s="1597" t="str" cm="1">
        <f t="array" aca="1" ref="AE164" ca="1">IF(OFFSET(POrigin,MATCH(Valori[[#This Row],[LUKB_id]],PID,0),MATCH("MATURITY",PLabel,0)-1,1,1)&gt;0,OFFSET(POrigin,MATCH(Valori[[#This Row],[LUKB_id]],PID,0),MATCH("MATURITY",PLabel,0)-1,1,1),"")</f>
        <v/>
      </c>
      <c r="AF164" s="1598" cm="1">
        <f t="array" aca="1" ref="AF164" ca="1">OFFSET(POrigin,MATCH(Valori[[#This Row],[LUKB_id]],PID,0),MATCH("ACCINT",PLabel,0)-1,1,1)</f>
        <v>0</v>
      </c>
      <c r="AG164" s="1594" cm="1">
        <f t="array" aca="1" ref="AG164" ca="1">OFFSET(POrigin,MATCH(Valori[[#This Row],[LUKB_id]],PID,0),MATCH("DENOM",PLabel,0)-1,1,1)</f>
        <v>0</v>
      </c>
      <c r="AH164" s="1599" cm="1">
        <f t="array" aca="1" ref="AH164" ca="1">(OFFSET(POrigin,MATCH(Valori[[#This Row],[LUKB_id]],PID,0),MATCH("YIELD",PLabel,0)-1,1,1)+OFFSET(POrigin,MATCH(Valori[[#This Row],[LUKB_id]],PID,0),MATCH("YLDEQ",PLabel,0)-1,1,1))/100</f>
        <v>0</v>
      </c>
      <c r="AI164" s="1600">
        <f ca="1">OFFSET(POrigin,MATCH(Valori[[#This Row],[LUKB_id]],PID,0),MATCH("DIVIDEND",PLabel,0)-1,1,1)</f>
        <v>3.73E-2</v>
      </c>
      <c r="AJ164" s="1601">
        <f ca="1">OFFSET(POrigin,MATCH(Valori[[#This Row],[LUKB_id]],PID,0),MATCH("DIVIDEND:datetime",PLabel,0)-1,1,1)</f>
        <v>46037</v>
      </c>
      <c r="AK164" s="1602">
        <f ca="1">OFFSET(POrigin,MATCH(Valori[[#This Row],[LUKB_id]],PID,0),MATCH("INTEREST",PLabel,0)-1,1,1)</f>
        <v>0</v>
      </c>
      <c r="AL164" s="1603">
        <f ca="1">OFFSET(POrigin,MATCH(Valori[[#This Row],[LUKB_id]],PID,0),MATCH("4W_PERF_PR",PLabel,0)-1,1,1)/100</f>
        <v>-5.3884964682139283E-2</v>
      </c>
      <c r="AM164" s="1603">
        <f ca="1">OFFSET(POrigin,MATCH(Valori[[#This Row],[LUKB_id]],PID,0),MATCH("12W_PERF_PR",PLabel,0)-1,1,1)/100</f>
        <v>-4.0016939999999994E-2</v>
      </c>
      <c r="AN164" s="1603">
        <f ca="1">OFFSET(POrigin,MATCH(Valori[[#This Row],[LUKB_id]],PID,0),MATCH("YTD_PERF_PR",PLabel,0)-1,1,1)/100</f>
        <v>-7.0442265359215495E-2</v>
      </c>
      <c r="AO164" s="1591"/>
      <c r="AP164" s="1591"/>
      <c r="AQ164" s="1591"/>
      <c r="AR164" s="1591"/>
      <c r="AS164" s="1890"/>
      <c r="AT164" s="1890"/>
      <c r="AU164" s="610"/>
      <c r="AV164" s="1891"/>
      <c r="AW164" s="1604" t="str">
        <f ca="1">"https://boersenundmaerkte.lukb.ch/lukb/details/"&amp;Valori[[#This Row],[LUKB_id]]</f>
        <v>https://boersenundmaerkte.lukb.ch/lukb/details/12981002,16,814</v>
      </c>
      <c r="AX16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4" s="142"/>
      <c r="AZ164" s="142"/>
      <c r="BA164" s="142"/>
      <c r="BB164" s="142"/>
    </row>
    <row r="165" spans="1:54" ht="15" customHeight="1" x14ac:dyDescent="0.2">
      <c r="A165" s="142" t="s">
        <v>4355</v>
      </c>
      <c r="B165" s="142" t="str" cm="1">
        <f t="array" aca="1" ref="B165" ca="1">OFFSET(POrigin,MATCH(Valori[[#This Row],[smo_id]],Posizioni[smo_id],0),MATCH("LUKB_id",PIntestazioni,0)-1,1,1)</f>
        <v>12981018,16,814</v>
      </c>
      <c r="C165" s="1668" t="str">
        <f ca="1">HYPERLINK("https://boersenundmaerkte.lukb.ch/lukb/details/"&amp;Valori[[#This Row],[LUKB_id]],"è")</f>
        <v>è</v>
      </c>
      <c r="D165" s="142" t="str" cm="1">
        <f t="array" aca="1" ref="D165" ca="1">OFFSET(POrigin,MATCH(Valori[[#This Row],[LUKB_id]],PID,0),MATCH("SC_GROUPED",PIntestazioni,0)-1,1,1)</f>
        <v>ETF</v>
      </c>
      <c r="E165" s="413" t="str" cm="1">
        <f t="array" aca="1" ref="E165" ca="1">OFFSET(POrigin,MATCH(Valori[[#This Row],[LUKB_id]],PID,0),MATCH("isin",PIntestazioni,0)-1,1,1)</f>
        <v>DE000A0Q4R02</v>
      </c>
      <c r="F165" s="34" t="str" cm="1">
        <f t="array" aca="1" ref="F165" ca="1">OFFSET(POrigin,MATCH(Valori[[#This Row],[LUKB_id]],PID,0),MATCH("NSIN_CH",PLabel,0)-1,1,1)</f>
        <v>12981018</v>
      </c>
      <c r="G165" s="95" t="str" cm="1">
        <f t="array" aca="1" ref="G165" ca="1">IF(OFFSET(POrigin,MATCH(Valori[[#This Row],[LUKB_id]],PID,0),MATCH("INSTRUNIT",PLabel,0)-1,1,1)="Nominal","Pct","Unit")</f>
        <v>Unit</v>
      </c>
      <c r="H165" s="612">
        <f ca="1">MAX(OFFSET(POrigin,MATCH(Valori[[#This Row],[LUKB_id]],PID,0),MATCH("PRICINGAMT",PLabel,0)-1,1,1),1)</f>
        <v>1</v>
      </c>
      <c r="I165" s="615" t="str" cm="1">
        <f t="array" aca="1" ref="I165" ca="1">OFFSET(POrigin,MATCH(Valori[[#This Row],[LUKB_id]],PID,0),MATCH("M_NAME",PLabel,0)-1,1,1)</f>
        <v>iShares STOXX Europe 600 Utilities UCITS ETF (DE)</v>
      </c>
      <c r="M165" s="142" t="str" cm="1">
        <f t="array" aca="1" ref="M1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Utilities UCITS ETF (DE)</v>
      </c>
      <c r="N165" s="1563">
        <f ca="1">COUNTIF('CHF M'!smo_id,Valori[[#This Row],[smo_id]])+COUNTIF('CHF MA'!smo_id,Valori[[#This Row],[smo_id]])+COUNTIF('EUR MB'!smo_id,Valori[[#This Row],[smo_id]])+COUNTIF('EUR M'!smo_id,Valori[[#This Row],[smo_id]])+COUNTIF(AGCO!smo_id,Valori[[#This Row],[smo_id]])</f>
        <v>4</v>
      </c>
      <c r="O165" s="1590" cm="1">
        <f t="array" aca="1" ref="O165" ca="1">SUM(IF('CHF M'!smo_id=Valori[[#This Row],[smo_id]],'CHF M'!Posizione))+SUM(IF('CHF MA'!smo_id=Valori[[#This Row],[smo_id]],'CHF MA'!Posizione))+SUM(IF('EUR MB'!smo_id=Valori[[#This Row],[smo_id]],'EUR MB'!Posizione))+SUM(IF('EUR M'!smo_id=Valori[[#This Row],[smo_id]],'EUR M'!Posizione))+SUM(IF(AGCO!smo_id=Valori[[#This Row],[smo_id]],AGCO!Posizione))</f>
        <v>3765</v>
      </c>
      <c r="P165" s="1661" t="str">
        <f ca="1">HYPERLINK(Valori[[#This Row],[P_Source]],"è")</f>
        <v>è</v>
      </c>
      <c r="Q165" s="1663" t="str">
        <f>HYPERLINK(Valori[[#This Row],[Info_W]],"i")</f>
        <v>i</v>
      </c>
      <c r="R165" s="1664" t="str">
        <f>HYPERLINK(Valori[[#This Row],[FN_W]],"")</f>
        <v></v>
      </c>
      <c r="S165" s="1665" t="str">
        <f>HYPERLINK(Valori[[#This Row],[MS_Link]],"")</f>
        <v></v>
      </c>
      <c r="T165" s="1665" t="str">
        <f>HYPERLINK(Valori[[#This Row],[C_source]],"")</f>
        <v></v>
      </c>
      <c r="U165" s="142" t="str" cm="1">
        <f t="array" aca="1" ref="U165" ca="1">OFFSET(POrigin,MATCH(Valori[[#This Row],[LUKB_id]],PID,0),MATCH("M_CUR",PLabel,0)-1,1,1)</f>
        <v>EUR</v>
      </c>
      <c r="V165" s="1562">
        <f ca="1">(Valori[[#This Row],[Last]]+Valori[[#This Row],[Acc. Int]])/Valori[[#This Row],[Pr.Amt]]/IF(Valori[[#This Row],[P_Type]]="Pct",100,1)</f>
        <v>56.29</v>
      </c>
      <c r="W165" s="1591" cm="1">
        <f t="array" aca="1" ref="W165" ca="1">OFFSET(POrigin,MATCH(Valori[[#This Row],[LUKB_id]],PID,0),MATCH("NC2_PR",PLabel,0)-1,1,1)/100</f>
        <v>-4.0300546448087504E-2</v>
      </c>
      <c r="X165" s="1592" cm="1">
        <f t="array" aca="1" ref="X165" ca="1">OFFSET(POrigin,MATCH(Valori[[#This Row],[LUKB_id]],PID,0),MATCH("LVAL",PLabel,0)-1,1,1)</f>
        <v>56.29</v>
      </c>
      <c r="Y165" s="1593" cm="1">
        <f t="array" aca="1" ref="Y165" ca="1">OFFSET(POrigin,MATCH(Valori[[#This Row],[LUKB_id]],PID,0),MATCH("LVAL:datetime",PLabel,0)-1,1,1)</f>
        <v>46084.781504629631</v>
      </c>
      <c r="Z165" s="1594" cm="1">
        <f t="array" aca="1" ref="Z165" ca="1">OFFSET(POrigin,MATCH(Valori[[#This Row],[LUKB_id]],PID,0),MATCH("BID:volume",PLabel,0)-1,1,1)</f>
        <v>1778</v>
      </c>
      <c r="AA165" s="1595" cm="1">
        <f t="array" aca="1" ref="AA165" ca="1">OFFSET(POrigin,MATCH(Valori[[#This Row],[LUKB_id]],PID,0),MATCH("BID",PLabel,0)-1,1,1)</f>
        <v>56.25</v>
      </c>
      <c r="AB165" s="1595" cm="1">
        <f t="array" aca="1" ref="AB165" ca="1">OFFSET(POrigin,MATCH(Valori[[#This Row],[LUKB_id]],PID,0),MATCH("ASK",PLabel,0)-1,1,1)</f>
        <v>56.42</v>
      </c>
      <c r="AC165" s="1594" cm="1">
        <f t="array" aca="1" ref="AC165" ca="1">OFFSET(POrigin,MATCH(Valori[[#This Row],[LUKB_id]],PID,0),MATCH("ASK:volume",PLabel,0)-1,1,1)</f>
        <v>1773</v>
      </c>
      <c r="AD165" s="1596" cm="1">
        <f t="array" aca="1" ref="AD165" ca="1">OFFSET(POrigin,MATCH(Valori[[#This Row],[LUKB_id]],PID,0),MATCH("BID-ASK Spread %",PLabel,0)-1,1,1)</f>
        <v>2.0127871181624636E-3</v>
      </c>
      <c r="AE165" s="1597" t="str" cm="1">
        <f t="array" aca="1" ref="AE165" ca="1">IF(OFFSET(POrigin,MATCH(Valori[[#This Row],[LUKB_id]],PID,0),MATCH("MATURITY",PLabel,0)-1,1,1)&gt;0,OFFSET(POrigin,MATCH(Valori[[#This Row],[LUKB_id]],PID,0),MATCH("MATURITY",PLabel,0)-1,1,1),"")</f>
        <v/>
      </c>
      <c r="AF165" s="1598" cm="1">
        <f t="array" aca="1" ref="AF165" ca="1">OFFSET(POrigin,MATCH(Valori[[#This Row],[LUKB_id]],PID,0),MATCH("ACCINT",PLabel,0)-1,1,1)</f>
        <v>0</v>
      </c>
      <c r="AG165" s="1594" cm="1">
        <f t="array" aca="1" ref="AG165" ca="1">OFFSET(POrigin,MATCH(Valori[[#This Row],[LUKB_id]],PID,0),MATCH("DENOM",PLabel,0)-1,1,1)</f>
        <v>0</v>
      </c>
      <c r="AH165" s="1599" cm="1">
        <f t="array" aca="1" ref="AH165" ca="1">(OFFSET(POrigin,MATCH(Valori[[#This Row],[LUKB_id]],PID,0),MATCH("YIELD",PLabel,0)-1,1,1)+OFFSET(POrigin,MATCH(Valori[[#This Row],[LUKB_id]],PID,0),MATCH("YLDEQ",PLabel,0)-1,1,1))/100</f>
        <v>0</v>
      </c>
      <c r="AI165" s="1600">
        <f ca="1">OFFSET(POrigin,MATCH(Valori[[#This Row],[LUKB_id]],PID,0),MATCH("DIVIDEND",PLabel,0)-1,1,1)</f>
        <v>0.14164599999999999</v>
      </c>
      <c r="AJ165" s="1601">
        <f ca="1">OFFSET(POrigin,MATCH(Valori[[#This Row],[LUKB_id]],PID,0),MATCH("DIVIDEND:datetime",PLabel,0)-1,1,1)</f>
        <v>46037</v>
      </c>
      <c r="AK165" s="1602">
        <f ca="1">OFFSET(POrigin,MATCH(Valori[[#This Row],[LUKB_id]],PID,0),MATCH("INTEREST",PLabel,0)-1,1,1)</f>
        <v>0</v>
      </c>
      <c r="AL165" s="1603">
        <f ca="1">OFFSET(POrigin,MATCH(Valori[[#This Row],[LUKB_id]],PID,0),MATCH("4W_PERF_PR",PLabel,0)-1,1,1)/100</f>
        <v>2.7046779999999999E-2</v>
      </c>
      <c r="AM165" s="1603">
        <f ca="1">OFFSET(POrigin,MATCH(Valori[[#This Row],[LUKB_id]],PID,0),MATCH("12W_PERF_PR",PLabel,0)-1,1,1)/100</f>
        <v>0.13719142000000001</v>
      </c>
      <c r="AN165" s="1603">
        <f ca="1">OFFSET(POrigin,MATCH(Valori[[#This Row],[LUKB_id]],PID,0),MATCH("YTD_PERF_PR",PLabel,0)-1,1,1)/100</f>
        <v>0.16236601826121499</v>
      </c>
      <c r="AO165" s="1591"/>
      <c r="AP165" s="1591"/>
      <c r="AQ165" s="1591"/>
      <c r="AR165" s="1591"/>
      <c r="AS165" s="1890"/>
      <c r="AT165" s="1890"/>
      <c r="AU165" s="610"/>
      <c r="AV165" s="1891"/>
      <c r="AW165" s="1604" t="str">
        <f ca="1">"https://boersenundmaerkte.lukb.ch/lukb/details/"&amp;Valori[[#This Row],[LUKB_id]]</f>
        <v>https://boersenundmaerkte.lukb.ch/lukb/details/12981018,16,814</v>
      </c>
      <c r="AX16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5" s="142"/>
      <c r="AZ165" s="142"/>
      <c r="BA165" s="142"/>
      <c r="BB165" s="142"/>
    </row>
    <row r="166" spans="1:54" ht="15" customHeight="1" x14ac:dyDescent="0.2">
      <c r="A166" s="142" t="s">
        <v>1287</v>
      </c>
      <c r="B166" s="142" t="str" cm="1">
        <f t="array" aca="1" ref="B166" ca="1">OFFSET(POrigin,MATCH(Valori[[#This Row],[smo_id]],Posizioni[smo_id],0),MATCH("LUKB_id",PIntestazioni,0)-1,1,1)</f>
        <v>2552726,321,333</v>
      </c>
      <c r="C166" s="1668" t="str">
        <f ca="1">HYPERLINK("https://boersenundmaerkte.lukb.ch/lukb/details/"&amp;Valori[[#This Row],[LUKB_id]],"è")</f>
        <v>è</v>
      </c>
      <c r="D166" s="142" t="str" cm="1">
        <f t="array" aca="1" ref="D166" ca="1">OFFSET(POrigin,MATCH(Valori[[#This Row],[LUKB_id]],PID,0),MATCH("SC_GROUPED",PIntestazioni,0)-1,1,1)</f>
        <v>ETF</v>
      </c>
      <c r="E166" s="413" t="str" cm="1">
        <f t="array" aca="1" ref="E166" ca="1">OFFSET(POrigin,MATCH(Valori[[#This Row],[LUKB_id]],PID,0),MATCH("isin",PIntestazioni,0)-1,1,1)</f>
        <v>US4642887602</v>
      </c>
      <c r="F166" s="34" t="str" cm="1">
        <f t="array" aca="1" ref="F166" ca="1">OFFSET(POrigin,MATCH(Valori[[#This Row],[LUKB_id]],PID,0),MATCH("NSIN_CH",PLabel,0)-1,1,1)</f>
        <v>2552726</v>
      </c>
      <c r="G166" s="95" t="str" cm="1">
        <f t="array" aca="1" ref="G166" ca="1">IF(OFFSET(POrigin,MATCH(Valori[[#This Row],[LUKB_id]],PID,0),MATCH("INSTRUNIT",PLabel,0)-1,1,1)="Nominal","Pct","Unit")</f>
        <v>Unit</v>
      </c>
      <c r="H166" s="612">
        <f ca="1">MAX(OFFSET(POrigin,MATCH(Valori[[#This Row],[LUKB_id]],PID,0),MATCH("PRICINGAMT",PLabel,0)-1,1,1),1)</f>
        <v>1</v>
      </c>
      <c r="I166" s="615" t="str" cm="1">
        <f t="array" aca="1" ref="I166" ca="1">OFFSET(POrigin,MATCH(Valori[[#This Row],[LUKB_id]],PID,0),MATCH("M_NAME",PLabel,0)-1,1,1)</f>
        <v>iShares U.S. Aerospace &amp; Defense ETF</v>
      </c>
      <c r="M166" s="142" t="str" cm="1">
        <f t="array" aca="1" ref="M1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Aerospace &amp; Defense ETF</v>
      </c>
      <c r="N166" s="1563">
        <f ca="1">COUNTIF('CHF M'!smo_id,Valori[[#This Row],[smo_id]])+COUNTIF('CHF MA'!smo_id,Valori[[#This Row],[smo_id]])+COUNTIF('EUR MB'!smo_id,Valori[[#This Row],[smo_id]])+COUNTIF('EUR M'!smo_id,Valori[[#This Row],[smo_id]])+COUNTIF(AGCO!smo_id,Valori[[#This Row],[smo_id]])</f>
        <v>0</v>
      </c>
      <c r="O166" s="1590">
        <v>350</v>
      </c>
      <c r="P166" s="1661" t="str">
        <f ca="1">HYPERLINK(Valori[[#This Row],[P_Source]],"è")</f>
        <v>è</v>
      </c>
      <c r="Q166" s="1663" t="str">
        <f>HYPERLINK(Valori[[#This Row],[Info_W]],"i")</f>
        <v>i</v>
      </c>
      <c r="R166" s="1664" t="str">
        <f>HYPERLINK(Valori[[#This Row],[FN_W]],"")</f>
        <v></v>
      </c>
      <c r="S166" s="1665" t="str">
        <f>HYPERLINK(Valori[[#This Row],[MS_Link]],"")</f>
        <v></v>
      </c>
      <c r="T166" s="1665" t="str">
        <f>HYPERLINK(Valori[[#This Row],[C_source]],"")</f>
        <v></v>
      </c>
      <c r="U166" s="142" t="str" cm="1">
        <f t="array" aca="1" ref="U166" ca="1">OFFSET(POrigin,MATCH(Valori[[#This Row],[LUKB_id]],PID,0),MATCH("M_CUR",PLabel,0)-1,1,1)</f>
        <v>USD</v>
      </c>
      <c r="V166" s="1562">
        <f ca="1">(Valori[[#This Row],[Last]]+Valori[[#This Row],[Acc. Int]])/Valori[[#This Row],[Pr.Amt]]/IF(Valori[[#This Row],[P_Type]]="Pct",100,1)</f>
        <v>245.69</v>
      </c>
      <c r="W166" s="1591" cm="1">
        <f t="array" aca="1" ref="W166" ca="1">OFFSET(POrigin,MATCH(Valori[[#This Row],[LUKB_id]],PID,0),MATCH("NC2_PR",PLabel,0)-1,1,1)/100</f>
        <v>-1.9514725836060402E-2</v>
      </c>
      <c r="X166" s="1592" cm="1">
        <f t="array" aca="1" ref="X166" ca="1">OFFSET(POrigin,MATCH(Valori[[#This Row],[LUKB_id]],PID,0),MATCH("LVAL",PLabel,0)-1,1,1)</f>
        <v>245.69</v>
      </c>
      <c r="Y166" s="1593" cm="1">
        <f t="array" aca="1" ref="Y166" ca="1">OFFSET(POrigin,MATCH(Valori[[#This Row],[LUKB_id]],PID,0),MATCH("LVAL:datetime",PLabel,0)-1,1,1)</f>
        <v>46084.78564814815</v>
      </c>
      <c r="Z166" s="1594" cm="1">
        <f t="array" aca="1" ref="Z166" ca="1">OFFSET(POrigin,MATCH(Valori[[#This Row],[LUKB_id]],PID,0),MATCH("BID:volume",PLabel,0)-1,1,1)</f>
        <v>100</v>
      </c>
      <c r="AA166" s="1595" cm="1">
        <f t="array" aca="1" ref="AA166" ca="1">OFFSET(POrigin,MATCH(Valori[[#This Row],[LUKB_id]],PID,0),MATCH("BID",PLabel,0)-1,1,1)</f>
        <v>245.63</v>
      </c>
      <c r="AB166" s="1595" cm="1">
        <f t="array" aca="1" ref="AB166" ca="1">OFFSET(POrigin,MATCH(Valori[[#This Row],[LUKB_id]],PID,0),MATCH("ASK",PLabel,0)-1,1,1)</f>
        <v>245.8</v>
      </c>
      <c r="AC166" s="1594" cm="1">
        <f t="array" aca="1" ref="AC166" ca="1">OFFSET(POrigin,MATCH(Valori[[#This Row],[LUKB_id]],PID,0),MATCH("ASK:volume",PLabel,0)-1,1,1)</f>
        <v>100</v>
      </c>
      <c r="AD166" s="1596" cm="1">
        <f t="array" aca="1" ref="AD166" ca="1">OFFSET(POrigin,MATCH(Valori[[#This Row],[LUKB_id]],PID,0),MATCH("BID-ASK Spread %",PLabel,0)-1,1,1)</f>
        <v>4.6129216074679383E-4</v>
      </c>
      <c r="AE166" s="1597" t="str" cm="1">
        <f t="array" aca="1" ref="AE166" ca="1">IF(OFFSET(POrigin,MATCH(Valori[[#This Row],[LUKB_id]],PID,0),MATCH("MATURITY",PLabel,0)-1,1,1)&gt;0,OFFSET(POrigin,MATCH(Valori[[#This Row],[LUKB_id]],PID,0),MATCH("MATURITY",PLabel,0)-1,1,1),"")</f>
        <v/>
      </c>
      <c r="AF166" s="1598" cm="1">
        <f t="array" aca="1" ref="AF166" ca="1">OFFSET(POrigin,MATCH(Valori[[#This Row],[LUKB_id]],PID,0),MATCH("ACCINT",PLabel,0)-1,1,1)</f>
        <v>0</v>
      </c>
      <c r="AG166" s="1594" cm="1">
        <f t="array" aca="1" ref="AG166" ca="1">OFFSET(POrigin,MATCH(Valori[[#This Row],[LUKB_id]],PID,0),MATCH("DENOM",PLabel,0)-1,1,1)</f>
        <v>0</v>
      </c>
      <c r="AH166" s="1599" cm="1">
        <f t="array" aca="1" ref="AH166" ca="1">(OFFSET(POrigin,MATCH(Valori[[#This Row],[LUKB_id]],PID,0),MATCH("YIELD",PLabel,0)-1,1,1)+OFFSET(POrigin,MATCH(Valori[[#This Row],[LUKB_id]],PID,0),MATCH("YLDEQ",PLabel,0)-1,1,1))/100</f>
        <v>0</v>
      </c>
      <c r="AI166" s="1600">
        <f ca="1">OFFSET(POrigin,MATCH(Valori[[#This Row],[LUKB_id]],PID,0),MATCH("DIVIDEND",PLabel,0)-1,1,1)</f>
        <v>0.749915</v>
      </c>
      <c r="AJ166" s="1601">
        <f ca="1">OFFSET(POrigin,MATCH(Valori[[#This Row],[LUKB_id]],PID,0),MATCH("DIVIDEND:datetime",PLabel,0)-1,1,1)</f>
        <v>45916</v>
      </c>
      <c r="AK166" s="1602">
        <f ca="1">OFFSET(POrigin,MATCH(Valori[[#This Row],[LUKB_id]],PID,0),MATCH("INTEREST",PLabel,0)-1,1,1)</f>
        <v>0</v>
      </c>
      <c r="AL166" s="1603">
        <f ca="1">OFFSET(POrigin,MATCH(Valori[[#This Row],[LUKB_id]],PID,0),MATCH("4W_PERF_PR",PLabel,0)-1,1,1)/100</f>
        <v>4.7763229999999997E-2</v>
      </c>
      <c r="AM166" s="1603">
        <f ca="1">OFFSET(POrigin,MATCH(Valori[[#This Row],[LUKB_id]],PID,0),MATCH("12W_PERF_PR",PLabel,0)-1,1,1)/100</f>
        <v>0.21250554999999999</v>
      </c>
      <c r="AN166" s="1603">
        <f ca="1">OFFSET(POrigin,MATCH(Valori[[#This Row],[LUKB_id]],PID,0),MATCH("YTD_PERF_PR",PLabel,0)-1,1,1)/100</f>
        <v>0.16717127020355002</v>
      </c>
      <c r="AO166" s="1591"/>
      <c r="AP166" s="1591"/>
      <c r="AQ166" s="1591"/>
      <c r="AR166" s="1591"/>
      <c r="AS166" s="1890"/>
      <c r="AT166" s="1890"/>
      <c r="AU166" s="610"/>
      <c r="AV166" s="1891"/>
      <c r="AW166" s="1604" t="str">
        <f ca="1">"https://boersenundmaerkte.lukb.ch/lukb/details/"&amp;Valori[[#This Row],[LUKB_id]]</f>
        <v>https://boersenundmaerkte.lukb.ch/lukb/details/2552726,321,333</v>
      </c>
      <c r="AX16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6" s="142"/>
      <c r="AZ166" s="142"/>
      <c r="BA166" s="142"/>
      <c r="BB166" s="142"/>
    </row>
    <row r="167" spans="1:54" ht="15" customHeight="1" x14ac:dyDescent="0.2">
      <c r="A167" s="142" t="s">
        <v>1288</v>
      </c>
      <c r="B167" s="142" t="str" cm="1">
        <f t="array" aca="1" ref="B167" ca="1">OFFSET(POrigin,MATCH(Valori[[#This Row],[smo_id]],Posizioni[smo_id],0),MATCH("LUKB_id",PIntestazioni,0)-1,1,1)</f>
        <v>1266335,321,333</v>
      </c>
      <c r="C167" s="1668" t="str">
        <f ca="1">HYPERLINK("https://boersenundmaerkte.lukb.ch/lukb/details/"&amp;Valori[[#This Row],[LUKB_id]],"è")</f>
        <v>è</v>
      </c>
      <c r="D167" s="142" t="str" cm="1">
        <f t="array" aca="1" ref="D167" ca="1">OFFSET(POrigin,MATCH(Valori[[#This Row],[LUKB_id]],PID,0),MATCH("SC_GROUPED",PIntestazioni,0)-1,1,1)</f>
        <v>ETF</v>
      </c>
      <c r="E167" s="413" t="str" cm="1">
        <f t="array" aca="1" ref="E167" ca="1">OFFSET(POrigin,MATCH(Valori[[#This Row],[LUKB_id]],PID,0),MATCH("isin",PIntestazioni,0)-1,1,1)</f>
        <v>US4642875318</v>
      </c>
      <c r="F167" s="34" t="str" cm="1">
        <f t="array" aca="1" ref="F167" ca="1">OFFSET(POrigin,MATCH(Valori[[#This Row],[LUKB_id]],PID,0),MATCH("NSIN_CH",PLabel,0)-1,1,1)</f>
        <v>1266335</v>
      </c>
      <c r="G167" s="95" t="str" cm="1">
        <f t="array" aca="1" ref="G167" ca="1">IF(OFFSET(POrigin,MATCH(Valori[[#This Row],[LUKB_id]],PID,0),MATCH("INSTRUNIT",PLabel,0)-1,1,1)="Nominal","Pct","Unit")</f>
        <v>Unit</v>
      </c>
      <c r="H167" s="612">
        <f ca="1">MAX(OFFSET(POrigin,MATCH(Valori[[#This Row],[LUKB_id]],PID,0),MATCH("PRICINGAMT",PLabel,0)-1,1,1),1)</f>
        <v>1</v>
      </c>
      <c r="I167" s="615" t="str" cm="1">
        <f t="array" aca="1" ref="I167" ca="1">OFFSET(POrigin,MATCH(Valori[[#This Row],[LUKB_id]],PID,0),MATCH("M_NAME",PLabel,0)-1,1,1)</f>
        <v>iShares U.S. Digital Infrastructure and Real Estate ETF</v>
      </c>
      <c r="M167" s="142" t="str" cm="1">
        <f t="array" aca="1" ref="M1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Digital Infrastructure and Real Estate ETF</v>
      </c>
      <c r="N167" s="1563">
        <f ca="1">COUNTIF('CHF M'!smo_id,Valori[[#This Row],[smo_id]])+COUNTIF('CHF MA'!smo_id,Valori[[#This Row],[smo_id]])+COUNTIF('EUR MB'!smo_id,Valori[[#This Row],[smo_id]])+COUNTIF('EUR M'!smo_id,Valori[[#This Row],[smo_id]])+COUNTIF(AGCO!smo_id,Valori[[#This Row],[smo_id]])</f>
        <v>0</v>
      </c>
      <c r="O167" s="1590" cm="1">
        <f t="array" aca="1" ref="O167" ca="1">SUM(IF('CHF M'!smo_id=Valori[[#This Row],[smo_id]],'CHF M'!Posizione))+SUM(IF('CHF MA'!smo_id=Valori[[#This Row],[smo_id]],'CHF MA'!Posizione))+SUM(IF('EUR MB'!smo_id=Valori[[#This Row],[smo_id]],'EUR MB'!Posizione))+SUM(IF('EUR M'!smo_id=Valori[[#This Row],[smo_id]],'EUR M'!Posizione))+SUM(IF(AGCO!smo_id=Valori[[#This Row],[smo_id]],AGCO!Posizione))</f>
        <v>0</v>
      </c>
      <c r="P167" s="1661" t="str">
        <f ca="1">HYPERLINK(Valori[[#This Row],[P_Source]],"è")</f>
        <v>è</v>
      </c>
      <c r="Q167" s="1663" t="str">
        <f>HYPERLINK(Valori[[#This Row],[Info_W]],"i")</f>
        <v>i</v>
      </c>
      <c r="R167" s="1664" t="str">
        <f>HYPERLINK(Valori[[#This Row],[FN_W]],"")</f>
        <v></v>
      </c>
      <c r="S167" s="1665" t="str">
        <f>HYPERLINK(Valori[[#This Row],[MS_Link]],"")</f>
        <v></v>
      </c>
      <c r="T167" s="1665" t="str">
        <f>HYPERLINK(Valori[[#This Row],[C_source]],"")</f>
        <v></v>
      </c>
      <c r="U167" s="142" t="str" cm="1">
        <f t="array" aca="1" ref="U167" ca="1">OFFSET(POrigin,MATCH(Valori[[#This Row],[LUKB_id]],PID,0),MATCH("M_CUR",PLabel,0)-1,1,1)</f>
        <v>USD</v>
      </c>
      <c r="V167" s="1562">
        <f ca="1">(Valori[[#This Row],[Last]]+Valori[[#This Row],[Acc. Int]])/Valori[[#This Row],[Pr.Amt]]/IF(Valori[[#This Row],[P_Type]]="Pct",100,1)</f>
        <v>96.11</v>
      </c>
      <c r="W167" s="1591" cm="1">
        <f t="array" aca="1" ref="W167" ca="1">OFFSET(POrigin,MATCH(Valori[[#This Row],[LUKB_id]],PID,0),MATCH("NC2_PR",PLabel,0)-1,1,1)/100</f>
        <v>-2.40876016173482E-2</v>
      </c>
      <c r="X167" s="1592" cm="1">
        <f t="array" aca="1" ref="X167" ca="1">OFFSET(POrigin,MATCH(Valori[[#This Row],[LUKB_id]],PID,0),MATCH("LVAL",PLabel,0)-1,1,1)</f>
        <v>96.11</v>
      </c>
      <c r="Y167" s="1593" cm="1">
        <f t="array" aca="1" ref="Y167" ca="1">OFFSET(POrigin,MATCH(Valori[[#This Row],[LUKB_id]],PID,0),MATCH("LVAL:datetime",PLabel,0)-1,1,1)</f>
        <v>46084.766064814816</v>
      </c>
      <c r="Z167" s="1594" cm="1">
        <f t="array" aca="1" ref="Z167" ca="1">OFFSET(POrigin,MATCH(Valori[[#This Row],[LUKB_id]],PID,0),MATCH("BID:volume",PLabel,0)-1,1,1)</f>
        <v>100</v>
      </c>
      <c r="AA167" s="1595" cm="1">
        <f t="array" aca="1" ref="AA167" ca="1">OFFSET(POrigin,MATCH(Valori[[#This Row],[LUKB_id]],PID,0),MATCH("BID",PLabel,0)-1,1,1)</f>
        <v>96.38</v>
      </c>
      <c r="AB167" s="1595" cm="1">
        <f t="array" aca="1" ref="AB167" ca="1">OFFSET(POrigin,MATCH(Valori[[#This Row],[LUKB_id]],PID,0),MATCH("ASK",PLabel,0)-1,1,1)</f>
        <v>96.47</v>
      </c>
      <c r="AC167" s="1594" cm="1">
        <f t="array" aca="1" ref="AC167" ca="1">OFFSET(POrigin,MATCH(Valori[[#This Row],[LUKB_id]],PID,0),MATCH("ASK:volume",PLabel,0)-1,1,1)</f>
        <v>200</v>
      </c>
      <c r="AD167" s="1596" cm="1">
        <f t="array" aca="1" ref="AD167" ca="1">OFFSET(POrigin,MATCH(Valori[[#This Row],[LUKB_id]],PID,0),MATCH("BID-ASK Spread %",PLabel,0)-1,1,1)</f>
        <v>6.2234208069704671E-4</v>
      </c>
      <c r="AE167" s="1597" t="str" cm="1">
        <f t="array" aca="1" ref="AE167" ca="1">IF(OFFSET(POrigin,MATCH(Valori[[#This Row],[LUKB_id]],PID,0),MATCH("MATURITY",PLabel,0)-1,1,1)&gt;0,OFFSET(POrigin,MATCH(Valori[[#This Row],[LUKB_id]],PID,0),MATCH("MATURITY",PLabel,0)-1,1,1),"")</f>
        <v/>
      </c>
      <c r="AF167" s="1598" cm="1">
        <f t="array" aca="1" ref="AF167" ca="1">OFFSET(POrigin,MATCH(Valori[[#This Row],[LUKB_id]],PID,0),MATCH("ACCINT",PLabel,0)-1,1,1)</f>
        <v>0</v>
      </c>
      <c r="AG167" s="1594" cm="1">
        <f t="array" aca="1" ref="AG167" ca="1">OFFSET(POrigin,MATCH(Valori[[#This Row],[LUKB_id]],PID,0),MATCH("DENOM",PLabel,0)-1,1,1)</f>
        <v>0</v>
      </c>
      <c r="AH167" s="1599" cm="1">
        <f t="array" aca="1" ref="AH167" ca="1">(OFFSET(POrigin,MATCH(Valori[[#This Row],[LUKB_id]],PID,0),MATCH("YIELD",PLabel,0)-1,1,1)+OFFSET(POrigin,MATCH(Valori[[#This Row],[LUKB_id]],PID,0),MATCH("YLDEQ",PLabel,0)-1,1,1))/100</f>
        <v>0</v>
      </c>
      <c r="AI167" s="1600">
        <f ca="1">OFFSET(POrigin,MATCH(Valori[[#This Row],[LUKB_id]],PID,0),MATCH("DIVIDEND",PLabel,0)-1,1,1)</f>
        <v>0.39866000000000001</v>
      </c>
      <c r="AJ167" s="1601">
        <f ca="1">OFFSET(POrigin,MATCH(Valori[[#This Row],[LUKB_id]],PID,0),MATCH("DIVIDEND:datetime",PLabel,0)-1,1,1)</f>
        <v>46007</v>
      </c>
      <c r="AK167" s="1602">
        <f ca="1">OFFSET(POrigin,MATCH(Valori[[#This Row],[LUKB_id]],PID,0),MATCH("INTEREST",PLabel,0)-1,1,1)</f>
        <v>0</v>
      </c>
      <c r="AL167" s="1603">
        <f ca="1">OFFSET(POrigin,MATCH(Valori[[#This Row],[LUKB_id]],PID,0),MATCH("4W_PERF_PR",PLabel,0)-1,1,1)/100</f>
        <v>0.10306438999999999</v>
      </c>
      <c r="AM167" s="1603">
        <f ca="1">OFFSET(POrigin,MATCH(Valori[[#This Row],[LUKB_id]],PID,0),MATCH("12W_PERF_PR",PLabel,0)-1,1,1)/100</f>
        <v>9.4977409999999998E-2</v>
      </c>
      <c r="AN167" s="1603">
        <f ca="1">OFFSET(POrigin,MATCH(Valori[[#This Row],[LUKB_id]],PID,0),MATCH("YTD_PERF_PR",PLabel,0)-1,1,1)/100</f>
        <v>0.15861411764705902</v>
      </c>
      <c r="AO167" s="1591"/>
      <c r="AP167" s="1591"/>
      <c r="AQ167" s="1591"/>
      <c r="AR167" s="1591"/>
      <c r="AS167" s="1890"/>
      <c r="AT167" s="1890"/>
      <c r="AU167" s="610"/>
      <c r="AV167" s="1891"/>
      <c r="AW167" s="1604" t="str">
        <f ca="1">"https://boersenundmaerkte.lukb.ch/lukb/details/"&amp;Valori[[#This Row],[LUKB_id]]</f>
        <v>https://boersenundmaerkte.lukb.ch/lukb/details/1266335,321,333</v>
      </c>
      <c r="AX16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7" s="142"/>
      <c r="AZ167" s="142"/>
      <c r="BA167" s="142"/>
      <c r="BB167" s="142"/>
    </row>
    <row r="168" spans="1:54" ht="15" customHeight="1" x14ac:dyDescent="0.2">
      <c r="A168" s="142" t="s">
        <v>2013</v>
      </c>
      <c r="B168" s="142" t="str" cm="1">
        <f t="array" aca="1" ref="B168" ca="1">OFFSET(POrigin,MATCH(Valori[[#This Row],[smo_id]],Posizioni[smo_id],0),MATCH("LUKB_id",PIntestazioni,0)-1,1,1)</f>
        <v>2778490,719,333</v>
      </c>
      <c r="C168" s="1668" t="str">
        <f ca="1">HYPERLINK("https://boersenundmaerkte.lukb.ch/lukb/details/"&amp;Valori[[#This Row],[LUKB_id]],"è")</f>
        <v>è</v>
      </c>
      <c r="D168" s="142" t="str" cm="1">
        <f t="array" aca="1" ref="D168" ca="1">OFFSET(POrigin,MATCH(Valori[[#This Row],[LUKB_id]],PID,0),MATCH("SC_GROUPED",PIntestazioni,0)-1,1,1)</f>
        <v>ETF</v>
      </c>
      <c r="E168" s="413" t="str" cm="1">
        <f t="array" aca="1" ref="E168" ca="1">OFFSET(POrigin,MATCH(Valori[[#This Row],[LUKB_id]],PID,0),MATCH("isin",PIntestazioni,0)-1,1,1)</f>
        <v>IE00B1FZSF77</v>
      </c>
      <c r="F168" s="34" t="str" cm="1">
        <f t="array" aca="1" ref="F168" ca="1">OFFSET(POrigin,MATCH(Valori[[#This Row],[LUKB_id]],PID,0),MATCH("NSIN_CH",PLabel,0)-1,1,1)</f>
        <v>2778490</v>
      </c>
      <c r="G168" s="95" t="str" cm="1">
        <f t="array" aca="1" ref="G168" ca="1">IF(OFFSET(POrigin,MATCH(Valori[[#This Row],[LUKB_id]],PID,0),MATCH("INSTRUNIT",PLabel,0)-1,1,1)="Nominal","Pct","Unit")</f>
        <v>Unit</v>
      </c>
      <c r="H168" s="612">
        <f ca="1">MAX(OFFSET(POrigin,MATCH(Valori[[#This Row],[LUKB_id]],PID,0),MATCH("PRICINGAMT",PLabel,0)-1,1,1),1)</f>
        <v>1</v>
      </c>
      <c r="I168" s="615" t="str" cm="1">
        <f t="array" aca="1" ref="I168" ca="1">OFFSET(POrigin,MATCH(Valori[[#This Row],[LUKB_id]],PID,0),MATCH("M_NAME",PLabel,0)-1,1,1)</f>
        <v>iShares II PLC - iShares US Property Yield UCITS ETF</v>
      </c>
      <c r="J168" s="142" t="s">
        <v>489</v>
      </c>
      <c r="M168" s="142" t="str" cm="1">
        <f t="array" aca="1" ref="M1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Property Yield UCITS ETF USD (dist)</v>
      </c>
      <c r="N168" s="1563">
        <f ca="1">COUNTIF('CHF M'!smo_id,Valori[[#This Row],[smo_id]])+COUNTIF('CHF MA'!smo_id,Valori[[#This Row],[smo_id]])+COUNTIF('EUR MB'!smo_id,Valori[[#This Row],[smo_id]])+COUNTIF('EUR M'!smo_id,Valori[[#This Row],[smo_id]])+COUNTIF(AGCO!smo_id,Valori[[#This Row],[smo_id]])</f>
        <v>0</v>
      </c>
      <c r="O168" s="1590" cm="1">
        <f t="array" aca="1" ref="O168" ca="1">SUM(IF('CHF M'!smo_id=Valori[[#This Row],[smo_id]],'CHF M'!Posizione))+SUM(IF('CHF MA'!smo_id=Valori[[#This Row],[smo_id]],'CHF MA'!Posizione))+SUM(IF('EUR MB'!smo_id=Valori[[#This Row],[smo_id]],'EUR MB'!Posizione))+SUM(IF('EUR M'!smo_id=Valori[[#This Row],[smo_id]],'EUR M'!Posizione))+SUM(IF(AGCO!smo_id=Valori[[#This Row],[smo_id]],AGCO!Posizione))</f>
        <v>0</v>
      </c>
      <c r="P168" s="1661" t="str">
        <f ca="1">HYPERLINK(Valori[[#This Row],[P_Source]],"è")</f>
        <v>è</v>
      </c>
      <c r="Q168" s="1663" t="str">
        <f>HYPERLINK(Valori[[#This Row],[Info_W]],"i")</f>
        <v>i</v>
      </c>
      <c r="R168" s="1664" t="str">
        <f>HYPERLINK(Valori[[#This Row],[FN_W]],"")</f>
        <v></v>
      </c>
      <c r="S168" s="1665" t="str">
        <f>HYPERLINK(Valori[[#This Row],[MS_Link]],"")</f>
        <v></v>
      </c>
      <c r="T168" s="1665" t="str">
        <f>HYPERLINK(Valori[[#This Row],[C_source]],"")</f>
        <v></v>
      </c>
      <c r="U168" s="142" t="str" cm="1">
        <f t="array" aca="1" ref="U168" ca="1">OFFSET(POrigin,MATCH(Valori[[#This Row],[LUKB_id]],PID,0),MATCH("M_CUR",PLabel,0)-1,1,1)</f>
        <v>USD</v>
      </c>
      <c r="V168" s="1562">
        <f ca="1">(Valori[[#This Row],[Last]]+Valori[[#This Row],[Acc. Int]])/Valori[[#This Row],[Pr.Amt]]/IF(Valori[[#This Row],[P_Type]]="Pct",100,1)</f>
        <v>31.55</v>
      </c>
      <c r="W168" s="1591" cm="1">
        <f t="array" aca="1" ref="W168" ca="1">OFFSET(POrigin,MATCH(Valori[[#This Row],[LUKB_id]],PID,0),MATCH("NC2_PR",PLabel,0)-1,1,1)/100</f>
        <v>-1.0351317440401499E-2</v>
      </c>
      <c r="X168" s="1592" cm="1">
        <f t="array" aca="1" ref="X168" ca="1">OFFSET(POrigin,MATCH(Valori[[#This Row],[LUKB_id]],PID,0),MATCH("LVAL",PLabel,0)-1,1,1)</f>
        <v>31.55</v>
      </c>
      <c r="Y168" s="1593" cm="1">
        <f t="array" aca="1" ref="Y168" ca="1">OFFSET(POrigin,MATCH(Valori[[#This Row],[LUKB_id]],PID,0),MATCH("LVAL:datetime",PLabel,0)-1,1,1)</f>
        <v>46084.732893518521</v>
      </c>
      <c r="Z168" s="1594" cm="1">
        <f t="array" aca="1" ref="Z168" ca="1">OFFSET(POrigin,MATCH(Valori[[#This Row],[LUKB_id]],PID,0),MATCH("BID:volume",PLabel,0)-1,1,1)</f>
        <v>1</v>
      </c>
      <c r="AA168" s="1595" cm="1">
        <f t="array" aca="1" ref="AA168" ca="1">OFFSET(POrigin,MATCH(Valori[[#This Row],[LUKB_id]],PID,0),MATCH("BID",PLabel,0)-1,1,1)</f>
        <v>30.78</v>
      </c>
      <c r="AB168" s="1595" cm="1">
        <f t="array" aca="1" ref="AB168" ca="1">OFFSET(POrigin,MATCH(Valori[[#This Row],[LUKB_id]],PID,0),MATCH("ASK",PLabel,0)-1,1,1)</f>
        <v>31.57</v>
      </c>
      <c r="AC168" s="1594" cm="1">
        <f t="array" aca="1" ref="AC168" ca="1">OFFSET(POrigin,MATCH(Valori[[#This Row],[LUKB_id]],PID,0),MATCH("ASK:volume",PLabel,0)-1,1,1)</f>
        <v>75</v>
      </c>
      <c r="AD168" s="1596" cm="1">
        <f t="array" aca="1" ref="AD168" ca="1">OFFSET(POrigin,MATCH(Valori[[#This Row],[LUKB_id]],PID,0),MATCH("BID-ASK Spread %",PLabel,0)-1,1,1)</f>
        <v>1.6965532051970347E-2</v>
      </c>
      <c r="AE168" s="1597" t="str" cm="1">
        <f t="array" aca="1" ref="AE168" ca="1">IF(OFFSET(POrigin,MATCH(Valori[[#This Row],[LUKB_id]],PID,0),MATCH("MATURITY",PLabel,0)-1,1,1)&gt;0,OFFSET(POrigin,MATCH(Valori[[#This Row],[LUKB_id]],PID,0),MATCH("MATURITY",PLabel,0)-1,1,1),"")</f>
        <v/>
      </c>
      <c r="AF168" s="1598" cm="1">
        <f t="array" aca="1" ref="AF168" ca="1">OFFSET(POrigin,MATCH(Valori[[#This Row],[LUKB_id]],PID,0),MATCH("ACCINT",PLabel,0)-1,1,1)</f>
        <v>0</v>
      </c>
      <c r="AG168" s="1594" cm="1">
        <f t="array" aca="1" ref="AG168" ca="1">OFFSET(POrigin,MATCH(Valori[[#This Row],[LUKB_id]],PID,0),MATCH("DENOM",PLabel,0)-1,1,1)</f>
        <v>0</v>
      </c>
      <c r="AH168" s="1599" cm="1">
        <f t="array" aca="1" ref="AH168" ca="1">(OFFSET(POrigin,MATCH(Valori[[#This Row],[LUKB_id]],PID,0),MATCH("YIELD",PLabel,0)-1,1,1)+OFFSET(POrigin,MATCH(Valori[[#This Row],[LUKB_id]],PID,0),MATCH("YLDEQ",PLabel,0)-1,1,1))/100</f>
        <v>0</v>
      </c>
      <c r="AI168" s="1600">
        <f ca="1">OFFSET(POrigin,MATCH(Valori[[#This Row],[LUKB_id]],PID,0),MATCH("DIVIDEND",PLabel,0)-1,1,1)</f>
        <v>0.24110000000000001</v>
      </c>
      <c r="AJ168" s="1601">
        <f ca="1">OFFSET(POrigin,MATCH(Valori[[#This Row],[LUKB_id]],PID,0),MATCH("DIVIDEND:datetime",PLabel,0)-1,1,1)</f>
        <v>46072</v>
      </c>
      <c r="AK168" s="1602">
        <f ca="1">OFFSET(POrigin,MATCH(Valori[[#This Row],[LUKB_id]],PID,0),MATCH("INTEREST",PLabel,0)-1,1,1)</f>
        <v>0</v>
      </c>
      <c r="AL168" s="1603">
        <f ca="1">OFFSET(POrigin,MATCH(Valori[[#This Row],[LUKB_id]],PID,0),MATCH("4W_PERF_PR",PLabel,0)-1,1,1)/100</f>
        <v>6.3363669999999997E-2</v>
      </c>
      <c r="AM168" s="1603">
        <f ca="1">OFFSET(POrigin,MATCH(Valori[[#This Row],[LUKB_id]],PID,0),MATCH("12W_PERF_PR",PLabel,0)-1,1,1)/100</f>
        <v>9.6628429999999987E-2</v>
      </c>
      <c r="AN168" s="1603">
        <f ca="1">OFFSET(POrigin,MATCH(Valori[[#This Row],[LUKB_id]],PID,0),MATCH("YTD_PERF_PR",PLabel,0)-1,1,1)/100</f>
        <v>8.8611917363838E-2</v>
      </c>
      <c r="AO168" s="1591"/>
      <c r="AP168" s="1591"/>
      <c r="AQ168" s="1591"/>
      <c r="AR168" s="1591"/>
      <c r="AS168" s="1890" t="s">
        <v>2014</v>
      </c>
      <c r="AT168" s="1890" t="s">
        <v>2015</v>
      </c>
      <c r="AU168" s="610" t="s">
        <v>2016</v>
      </c>
      <c r="AV168" s="1891" t="s">
        <v>2017</v>
      </c>
      <c r="AW168" s="1604" t="str">
        <f ca="1">"https://boersenundmaerkte.lukb.ch/lukb/details/"&amp;Valori[[#This Row],[LUKB_id]]</f>
        <v>https://boersenundmaerkte.lukb.ch/lukb/details/2778490,719,333</v>
      </c>
      <c r="AX168" s="1605" t="str">
        <f>"https://www.marketscreener.com/mods_a/charts/TV/inc_dyna_graph.php?c="&amp;Valori[[#This Row],[MS_Code]]&amp;"&amp;style=TradingView.CANDLES&amp;interval=(null)&amp;mobile=(null)&amp;showAT=1"</f>
        <v>https://www.marketscreener.com/mods_a/charts/TV/inc_dyna_graph.php?c=50424633&amp;style=TradingView.CANDLES&amp;interval=(null)&amp;mobile=(null)&amp;showAT=1</v>
      </c>
      <c r="AY168" s="142"/>
      <c r="AZ168" s="142"/>
      <c r="BA168" s="142"/>
      <c r="BB168" s="142"/>
    </row>
    <row r="169" spans="1:54" ht="15" customHeight="1" x14ac:dyDescent="0.2">
      <c r="A169" s="142" t="s">
        <v>1289</v>
      </c>
      <c r="B169" s="142" t="str" cm="1">
        <f t="array" aca="1" ref="B169" ca="1">OFFSET(POrigin,MATCH(Valori[[#This Row],[smo_id]],Posizioni[smo_id],0),MATCH("LUKB_id",PIntestazioni,0)-1,1,1)</f>
        <v>48369993,4,1</v>
      </c>
      <c r="C169" s="1668" t="str">
        <f ca="1">HYPERLINK("https://boersenundmaerkte.lukb.ch/lukb/details/"&amp;Valori[[#This Row],[LUKB_id]],"è")</f>
        <v>è</v>
      </c>
      <c r="D169" s="142" t="str" cm="1">
        <f t="array" aca="1" ref="D169" ca="1">OFFSET(POrigin,MATCH(Valori[[#This Row],[LUKB_id]],PID,0),MATCH("SC_GROUPED",PIntestazioni,0)-1,1,1)</f>
        <v>ETF</v>
      </c>
      <c r="E169" s="413" t="str" cm="1">
        <f t="array" aca="1" ref="E169" ca="1">OFFSET(POrigin,MATCH(Valori[[#This Row],[LUKB_id]],PID,0),MATCH("isin",PIntestazioni,0)-1,1,1)</f>
        <v>IE00BK7XZ629</v>
      </c>
      <c r="F169" s="34" t="str" cm="1">
        <f t="array" aca="1" ref="F169" ca="1">OFFSET(POrigin,MATCH(Valori[[#This Row],[LUKB_id]],PID,0),MATCH("NSIN_CH",PLabel,0)-1,1,1)</f>
        <v>48369993</v>
      </c>
      <c r="G169" s="95" t="str" cm="1">
        <f t="array" aca="1" ref="G169" ca="1">IF(OFFSET(POrigin,MATCH(Valori[[#This Row],[LUKB_id]],PID,0),MATCH("INSTRUNIT",PLabel,0)-1,1,1)="Nominal","Pct","Unit")</f>
        <v>Unit</v>
      </c>
      <c r="H169" s="612">
        <f ca="1">MAX(OFFSET(POrigin,MATCH(Valori[[#This Row],[LUKB_id]],PID,0),MATCH("PRICINGAMT",PLabel,0)-1,1,1),1)</f>
        <v>1</v>
      </c>
      <c r="I169" s="615" t="str" cm="1">
        <f t="array" aca="1" ref="I169" ca="1">OFFSET(POrigin,MATCH(Valori[[#This Row],[LUKB_id]],PID,0),MATCH("M_NAME",PLabel,0)-1,1,1)</f>
        <v>iShares PLC - iShares USD Treasury Bond 1-3yr UCITS ETF</v>
      </c>
      <c r="J169" s="142" t="s">
        <v>1290</v>
      </c>
      <c r="M169" s="142" t="str" cm="1">
        <f t="array" aca="1" ref="M1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1-3yr UCITS ETF CHF Hedged (Acc)</v>
      </c>
      <c r="N169" s="1563">
        <f ca="1">COUNTIF('CHF M'!smo_id,Valori[[#This Row],[smo_id]])+COUNTIF('CHF MA'!smo_id,Valori[[#This Row],[smo_id]])+COUNTIF('EUR MB'!smo_id,Valori[[#This Row],[smo_id]])+COUNTIF('EUR M'!smo_id,Valori[[#This Row],[smo_id]])+COUNTIF(AGCO!smo_id,Valori[[#This Row],[smo_id]])</f>
        <v>0</v>
      </c>
      <c r="O169" s="1590" cm="1">
        <f t="array" aca="1" ref="O169" ca="1">SUM(IF('CHF M'!smo_id=Valori[[#This Row],[smo_id]],'CHF M'!Posizione))+SUM(IF('CHF MA'!smo_id=Valori[[#This Row],[smo_id]],'CHF MA'!Posizione))+SUM(IF('EUR MB'!smo_id=Valori[[#This Row],[smo_id]],'EUR MB'!Posizione))+SUM(IF('EUR M'!smo_id=Valori[[#This Row],[smo_id]],'EUR M'!Posizione))+SUM(IF(AGCO!smo_id=Valori[[#This Row],[smo_id]],AGCO!Posizione))</f>
        <v>0</v>
      </c>
      <c r="P169" s="1661" t="str">
        <f ca="1">HYPERLINK(Valori[[#This Row],[P_Source]],"è")</f>
        <v>è</v>
      </c>
      <c r="Q169" s="1663" t="str">
        <f>HYPERLINK(Valori[[#This Row],[Info_W]],"i")</f>
        <v>i</v>
      </c>
      <c r="R169" s="1664" t="str">
        <f>HYPERLINK(Valori[[#This Row],[FN_W]],"")</f>
        <v></v>
      </c>
      <c r="S169" s="1665" t="str">
        <f>HYPERLINK(Valori[[#This Row],[MS_Link]],"")</f>
        <v></v>
      </c>
      <c r="T169" s="1665" t="str">
        <f>HYPERLINK(Valori[[#This Row],[C_source]],"")</f>
        <v></v>
      </c>
      <c r="U169" s="142" t="str" cm="1">
        <f t="array" aca="1" ref="U169" ca="1">OFFSET(POrigin,MATCH(Valori[[#This Row],[LUKB_id]],PID,0),MATCH("M_CUR",PLabel,0)-1,1,1)</f>
        <v>CHF</v>
      </c>
      <c r="V169" s="1562">
        <f ca="1">(Valori[[#This Row],[Last]]+Valori[[#This Row],[Acc. Int]])/Valori[[#This Row],[Pr.Amt]]/IF(Valori[[#This Row],[P_Type]]="Pct",100,1)</f>
        <v>4.6543000000000001</v>
      </c>
      <c r="W169" s="1591" cm="1">
        <f t="array" aca="1" ref="W169" ca="1">OFFSET(POrigin,MATCH(Valori[[#This Row],[LUKB_id]],PID,0),MATCH("NC2_PR",PLabel,0)-1,1,1)/100</f>
        <v>-1.6516516516516999E-3</v>
      </c>
      <c r="X169" s="1592" cm="1">
        <f t="array" aca="1" ref="X169" ca="1">OFFSET(POrigin,MATCH(Valori[[#This Row],[LUKB_id]],PID,0),MATCH("LVAL",PLabel,0)-1,1,1)</f>
        <v>4.6543000000000001</v>
      </c>
      <c r="Y169" s="1593" cm="1">
        <f t="array" aca="1" ref="Y169" ca="1">OFFSET(POrigin,MATCH(Valori[[#This Row],[LUKB_id]],PID,0),MATCH("LVAL:datetime",PLabel,0)-1,1,1)</f>
        <v>46084.718078703707</v>
      </c>
      <c r="Z169" s="1594" cm="1">
        <f t="array" aca="1" ref="Z169" ca="1">OFFSET(POrigin,MATCH(Valori[[#This Row],[LUKB_id]],PID,0),MATCH("BID:volume",PLabel,0)-1,1,1)</f>
        <v>20544</v>
      </c>
      <c r="AA169" s="1595" cm="1">
        <f t="array" aca="1" ref="AA169" ca="1">OFFSET(POrigin,MATCH(Valori[[#This Row],[LUKB_id]],PID,0),MATCH("BID",PLabel,0)-1,1,1)</f>
        <v>4.6471</v>
      </c>
      <c r="AB169" s="1595" cm="1">
        <f t="array" aca="1" ref="AB169" ca="1">OFFSET(POrigin,MATCH(Valori[[#This Row],[LUKB_id]],PID,0),MATCH("ASK",PLabel,0)-1,1,1)</f>
        <v>4.74</v>
      </c>
      <c r="AC169" s="1594" cm="1">
        <f t="array" aca="1" ref="AC169" ca="1">OFFSET(POrigin,MATCH(Valori[[#This Row],[LUKB_id]],PID,0),MATCH("ASK:volume",PLabel,0)-1,1,1)</f>
        <v>6350</v>
      </c>
      <c r="AD169" s="1596" cm="1">
        <f t="array" aca="1" ref="AD169" ca="1">OFFSET(POrigin,MATCH(Valori[[#This Row],[LUKB_id]],PID,0),MATCH("BID-ASK Spread %",PLabel,0)-1,1,1)</f>
        <v>1.3239087372276326E-2</v>
      </c>
      <c r="AE169" s="1597" t="str" cm="1">
        <f t="array" aca="1" ref="AE169" ca="1">IF(OFFSET(POrigin,MATCH(Valori[[#This Row],[LUKB_id]],PID,0),MATCH("MATURITY",PLabel,0)-1,1,1)&gt;0,OFFSET(POrigin,MATCH(Valori[[#This Row],[LUKB_id]],PID,0),MATCH("MATURITY",PLabel,0)-1,1,1),"")</f>
        <v/>
      </c>
      <c r="AF169" s="1598" cm="1">
        <f t="array" aca="1" ref="AF169" ca="1">OFFSET(POrigin,MATCH(Valori[[#This Row],[LUKB_id]],PID,0),MATCH("ACCINT",PLabel,0)-1,1,1)</f>
        <v>0</v>
      </c>
      <c r="AG169" s="1594" cm="1">
        <f t="array" aca="1" ref="AG169" ca="1">OFFSET(POrigin,MATCH(Valori[[#This Row],[LUKB_id]],PID,0),MATCH("DENOM",PLabel,0)-1,1,1)</f>
        <v>0</v>
      </c>
      <c r="AH169" s="1599" cm="1">
        <f t="array" aca="1" ref="AH169" ca="1">(OFFSET(POrigin,MATCH(Valori[[#This Row],[LUKB_id]],PID,0),MATCH("YIELD",PLabel,0)-1,1,1)+OFFSET(POrigin,MATCH(Valori[[#This Row],[LUKB_id]],PID,0),MATCH("YLDEQ",PLabel,0)-1,1,1))/100</f>
        <v>0</v>
      </c>
      <c r="AI169" s="1600">
        <f ca="1">OFFSET(POrigin,MATCH(Valori[[#This Row],[LUKB_id]],PID,0),MATCH("DIVIDEND",PLabel,0)-1,1,1)</f>
        <v>0</v>
      </c>
      <c r="AJ169" s="1601">
        <f ca="1">OFFSET(POrigin,MATCH(Valori[[#This Row],[LUKB_id]],PID,0),MATCH("DIVIDEND:datetime",PLabel,0)-1,1,1)</f>
        <v>0</v>
      </c>
      <c r="AK169" s="1602">
        <f ca="1">OFFSET(POrigin,MATCH(Valori[[#This Row],[LUKB_id]],PID,0),MATCH("INTEREST",PLabel,0)-1,1,1)</f>
        <v>0</v>
      </c>
      <c r="AL169" s="1603">
        <f ca="1">OFFSET(POrigin,MATCH(Valori[[#This Row],[LUKB_id]],PID,0),MATCH("4W_PERF_PR",PLabel,0)-1,1,1)/100</f>
        <v>0</v>
      </c>
      <c r="AM169" s="1603">
        <f ca="1">OFFSET(POrigin,MATCH(Valori[[#This Row],[LUKB_id]],PID,0),MATCH("12W_PERF_PR",PLabel,0)-1,1,1)/100</f>
        <v>-6.4415000000000002E-4</v>
      </c>
      <c r="AN169" s="1603">
        <f ca="1">OFFSET(POrigin,MATCH(Valori[[#This Row],[LUKB_id]],PID,0),MATCH("YTD_PERF_PR",PLabel,0)-1,1,1)/100</f>
        <v>-3.216468317788E-4</v>
      </c>
      <c r="AO169" s="1591"/>
      <c r="AP169" s="1591"/>
      <c r="AQ169" s="1591"/>
      <c r="AR169" s="1591"/>
      <c r="AS169" s="1890" t="s">
        <v>877</v>
      </c>
      <c r="AT169" s="1890" t="s">
        <v>1291</v>
      </c>
      <c r="AU169" s="610" t="s">
        <v>1292</v>
      </c>
      <c r="AV169" s="1891" t="s">
        <v>1293</v>
      </c>
      <c r="AW169" s="1604" t="str">
        <f ca="1">"https://boersenundmaerkte.lukb.ch/lukb/details/"&amp;Valori[[#This Row],[LUKB_id]]</f>
        <v>https://boersenundmaerkte.lukb.ch/lukb/details/48369993,4,1</v>
      </c>
      <c r="AX169" s="1605" t="str">
        <f>"https://www.marketscreener.com/mods_a/charts/TV/inc_dyna_graph.php?c="&amp;Valori[[#This Row],[MS_Code]]&amp;"&amp;style=TradingView.CANDLES&amp;interval=(null)&amp;mobile=(null)&amp;showAT=1"</f>
        <v>https://www.marketscreener.com/mods_a/charts/TV/inc_dyna_graph.php?c=61838265&amp;style=TradingView.CANDLES&amp;interval=(null)&amp;mobile=(null)&amp;showAT=1</v>
      </c>
      <c r="AY169" s="142"/>
      <c r="AZ169" s="142"/>
      <c r="BA169" s="142"/>
      <c r="BB169" s="142"/>
    </row>
    <row r="170" spans="1:54" ht="15" customHeight="1" x14ac:dyDescent="0.2">
      <c r="A170" s="142" t="s">
        <v>1294</v>
      </c>
      <c r="B170" s="142" t="str" cm="1">
        <f t="array" aca="1" ref="B170" ca="1">OFFSET(POrigin,MATCH(Valori[[#This Row],[smo_id]],Posizioni[smo_id],0),MATCH("LUKB_id",PIntestazioni,0)-1,1,1)</f>
        <v>10200795,361,333</v>
      </c>
      <c r="C170" s="1668" t="str">
        <f ca="1">HYPERLINK("https://boersenundmaerkte.lukb.ch/lukb/details/"&amp;Valori[[#This Row],[LUKB_id]],"è")</f>
        <v>è</v>
      </c>
      <c r="D170" s="142" t="str" cm="1">
        <f t="array" aca="1" ref="D170" ca="1">OFFSET(POrigin,MATCH(Valori[[#This Row],[LUKB_id]],PID,0),MATCH("SC_GROUPED",PIntestazioni,0)-1,1,1)</f>
        <v>ETF</v>
      </c>
      <c r="E170" s="413" t="str" cm="1">
        <f t="array" aca="1" ref="E170" ca="1">OFFSET(POrigin,MATCH(Valori[[#This Row],[LUKB_id]],PID,0),MATCH("isin",PIntestazioni,0)-1,1,1)</f>
        <v>IE00B3VWN393</v>
      </c>
      <c r="F170" s="34" t="str" cm="1">
        <f t="array" aca="1" ref="F170" ca="1">OFFSET(POrigin,MATCH(Valori[[#This Row],[LUKB_id]],PID,0),MATCH("NSIN_CH",PLabel,0)-1,1,1)</f>
        <v>10200795</v>
      </c>
      <c r="G170" s="95" t="str" cm="1">
        <f t="array" aca="1" ref="G170" ca="1">IF(OFFSET(POrigin,MATCH(Valori[[#This Row],[LUKB_id]],PID,0),MATCH("INSTRUNIT",PLabel,0)-1,1,1)="Nominal","Pct","Unit")</f>
        <v>Unit</v>
      </c>
      <c r="H170" s="612">
        <f ca="1">MAX(OFFSET(POrigin,MATCH(Valori[[#This Row],[LUKB_id]],PID,0),MATCH("PRICINGAMT",PLabel,0)-1,1,1),1)</f>
        <v>1</v>
      </c>
      <c r="I170" s="615" t="str" cm="1">
        <f t="array" aca="1" ref="I170" ca="1">OFFSET(POrigin,MATCH(Valori[[#This Row],[LUKB_id]],PID,0),MATCH("M_NAME",PLabel,0)-1,1,1)</f>
        <v>iShares VII PLC - iShares USD Treasury Bond 3-7yr UCITS ETF</v>
      </c>
      <c r="J170" s="142" t="s">
        <v>1295</v>
      </c>
      <c r="M170" s="142" t="str" cm="1">
        <f t="array" aca="1" ref="M1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3-7yr UCITS ETF USD (Acc)</v>
      </c>
      <c r="N170" s="1563">
        <f ca="1">COUNTIF('CHF M'!smo_id,Valori[[#This Row],[smo_id]])+COUNTIF('CHF MA'!smo_id,Valori[[#This Row],[smo_id]])+COUNTIF('EUR MB'!smo_id,Valori[[#This Row],[smo_id]])+COUNTIF('EUR M'!smo_id,Valori[[#This Row],[smo_id]])+COUNTIF(AGCO!smo_id,Valori[[#This Row],[smo_id]])</f>
        <v>0</v>
      </c>
      <c r="O170" s="1590" cm="1">
        <f t="array" aca="1" ref="O170" ca="1">SUM(IF('CHF M'!smo_id=Valori[[#This Row],[smo_id]],'CHF M'!Posizione))+SUM(IF('CHF MA'!smo_id=Valori[[#This Row],[smo_id]],'CHF MA'!Posizione))+SUM(IF('EUR MB'!smo_id=Valori[[#This Row],[smo_id]],'EUR MB'!Posizione))+SUM(IF('EUR M'!smo_id=Valori[[#This Row],[smo_id]],'EUR M'!Posizione))+SUM(IF(AGCO!smo_id=Valori[[#This Row],[smo_id]],AGCO!Posizione))</f>
        <v>0</v>
      </c>
      <c r="P170" s="1661" t="str">
        <f ca="1">HYPERLINK(Valori[[#This Row],[P_Source]],"è")</f>
        <v>è</v>
      </c>
      <c r="Q170" s="1663" t="str">
        <f>HYPERLINK(Valori[[#This Row],[Info_W]],"i")</f>
        <v>i</v>
      </c>
      <c r="R170" s="1664" t="str">
        <f>HYPERLINK(Valori[[#This Row],[FN_W]],"")</f>
        <v></v>
      </c>
      <c r="S170" s="1665" t="str">
        <f>HYPERLINK(Valori[[#This Row],[MS_Link]],"")</f>
        <v></v>
      </c>
      <c r="T170" s="1665" t="str">
        <f>HYPERLINK(Valori[[#This Row],[C_source]],"")</f>
        <v></v>
      </c>
      <c r="U170" s="142" t="str" cm="1">
        <f t="array" aca="1" ref="U170" ca="1">OFFSET(POrigin,MATCH(Valori[[#This Row],[LUKB_id]],PID,0),MATCH("M_CUR",PLabel,0)-1,1,1)</f>
        <v>USD</v>
      </c>
      <c r="V170" s="1562">
        <f ca="1">(Valori[[#This Row],[Last]]+Valori[[#This Row],[Acc. Int]])/Valori[[#This Row],[Pr.Amt]]/IF(Valori[[#This Row],[P_Type]]="Pct",100,1)</f>
        <v>144.52000000000001</v>
      </c>
      <c r="W170" s="1591" cm="1">
        <f t="array" aca="1" ref="W170" ca="1">OFFSET(POrigin,MATCH(Valori[[#This Row],[LUKB_id]],PID,0),MATCH("NC2_PR",PLabel,0)-1,1,1)/100</f>
        <v>-1.4509776825813001E-3</v>
      </c>
      <c r="X170" s="1592" cm="1">
        <f t="array" aca="1" ref="X170" ca="1">OFFSET(POrigin,MATCH(Valori[[#This Row],[LUKB_id]],PID,0),MATCH("LVAL",PLabel,0)-1,1,1)</f>
        <v>144.52000000000001</v>
      </c>
      <c r="Y170" s="1593" cm="1">
        <f t="array" aca="1" ref="Y170" ca="1">OFFSET(POrigin,MATCH(Valori[[#This Row],[LUKB_id]],PID,0),MATCH("LVAL:datetime",PLabel,0)-1,1,1)</f>
        <v>46084.732731481483</v>
      </c>
      <c r="Z170" s="1594" cm="1">
        <f t="array" aca="1" ref="Z170" ca="1">OFFSET(POrigin,MATCH(Valori[[#This Row],[LUKB_id]],PID,0),MATCH("BID:volume",PLabel,0)-1,1,1)</f>
        <v>39</v>
      </c>
      <c r="AA170" s="1595" cm="1">
        <f t="array" aca="1" ref="AA170" ca="1">OFFSET(POrigin,MATCH(Valori[[#This Row],[LUKB_id]],PID,0),MATCH("BID",PLabel,0)-1,1,1)</f>
        <v>144.25</v>
      </c>
      <c r="AB170" s="1595" cm="1">
        <f t="array" aca="1" ref="AB170" ca="1">OFFSET(POrigin,MATCH(Valori[[#This Row],[LUKB_id]],PID,0),MATCH("ASK",PLabel,0)-1,1,1)</f>
        <v>145.27000000000001</v>
      </c>
      <c r="AC170" s="1594" cm="1">
        <f t="array" aca="1" ref="AC170" ca="1">OFFSET(POrigin,MATCH(Valori[[#This Row],[LUKB_id]],PID,0),MATCH("ASK:volume",PLabel,0)-1,1,1)</f>
        <v>2049</v>
      </c>
      <c r="AD170" s="1596" cm="1">
        <f t="array" aca="1" ref="AD170" ca="1">OFFSET(POrigin,MATCH(Valori[[#This Row],[LUKB_id]],PID,0),MATCH("BID-ASK Spread %",PLabel,0)-1,1,1)</f>
        <v>4.7029531779514966E-3</v>
      </c>
      <c r="AE170" s="1597" t="str" cm="1">
        <f t="array" aca="1" ref="AE170" ca="1">IF(OFFSET(POrigin,MATCH(Valori[[#This Row],[LUKB_id]],PID,0),MATCH("MATURITY",PLabel,0)-1,1,1)&gt;0,OFFSET(POrigin,MATCH(Valori[[#This Row],[LUKB_id]],PID,0),MATCH("MATURITY",PLabel,0)-1,1,1),"")</f>
        <v/>
      </c>
      <c r="AF170" s="1598" cm="1">
        <f t="array" aca="1" ref="AF170" ca="1">OFFSET(POrigin,MATCH(Valori[[#This Row],[LUKB_id]],PID,0),MATCH("ACCINT",PLabel,0)-1,1,1)</f>
        <v>0</v>
      </c>
      <c r="AG170" s="1594" cm="1">
        <f t="array" aca="1" ref="AG170" ca="1">OFFSET(POrigin,MATCH(Valori[[#This Row],[LUKB_id]],PID,0),MATCH("DENOM",PLabel,0)-1,1,1)</f>
        <v>0</v>
      </c>
      <c r="AH170" s="1599" cm="1">
        <f t="array" aca="1" ref="AH170" ca="1">(OFFSET(POrigin,MATCH(Valori[[#This Row],[LUKB_id]],PID,0),MATCH("YIELD",PLabel,0)-1,1,1)+OFFSET(POrigin,MATCH(Valori[[#This Row],[LUKB_id]],PID,0),MATCH("YLDEQ",PLabel,0)-1,1,1))/100</f>
        <v>0</v>
      </c>
      <c r="AI170" s="1600">
        <f ca="1">OFFSET(POrigin,MATCH(Valori[[#This Row],[LUKB_id]],PID,0),MATCH("DIVIDEND",PLabel,0)-1,1,1)</f>
        <v>0</v>
      </c>
      <c r="AJ170" s="1601">
        <f ca="1">OFFSET(POrigin,MATCH(Valori[[#This Row],[LUKB_id]],PID,0),MATCH("DIVIDEND:datetime",PLabel,0)-1,1,1)</f>
        <v>0</v>
      </c>
      <c r="AK170" s="1602">
        <f ca="1">OFFSET(POrigin,MATCH(Valori[[#This Row],[LUKB_id]],PID,0),MATCH("INTEREST",PLabel,0)-1,1,1)</f>
        <v>0</v>
      </c>
      <c r="AL170" s="1603">
        <f ca="1">OFFSET(POrigin,MATCH(Valori[[#This Row],[LUKB_id]],PID,0),MATCH("4W_PERF_PR",PLabel,0)-1,1,1)/100</f>
        <v>1.0841440000000001E-2</v>
      </c>
      <c r="AM170" s="1603">
        <f ca="1">OFFSET(POrigin,MATCH(Valori[[#This Row],[LUKB_id]],PID,0),MATCH("12W_PERF_PR",PLabel,0)-1,1,1)/100</f>
        <v>1.4104269999999999E-2</v>
      </c>
      <c r="AN170" s="1603">
        <f ca="1">OFFSET(POrigin,MATCH(Valori[[#This Row],[LUKB_id]],PID,0),MATCH("YTD_PERF_PR",PLabel,0)-1,1,1)/100</f>
        <v>7.7287285893329009E-3</v>
      </c>
      <c r="AO170" s="1591"/>
      <c r="AP170" s="1591"/>
      <c r="AQ170" s="1591"/>
      <c r="AR170" s="1591"/>
      <c r="AS170" s="1890" t="s">
        <v>1296</v>
      </c>
      <c r="AT170" s="1890" t="s">
        <v>1297</v>
      </c>
      <c r="AU170" s="610" t="s">
        <v>1298</v>
      </c>
      <c r="AV170" s="1891" t="s">
        <v>1299</v>
      </c>
      <c r="AW170" s="1604" t="str">
        <f ca="1">"https://boersenundmaerkte.lukb.ch/lukb/details/"&amp;Valori[[#This Row],[LUKB_id]]</f>
        <v>https://boersenundmaerkte.lukb.ch/lukb/details/10200795,361,333</v>
      </c>
      <c r="AX170" s="1605" t="str">
        <f>"https://www.marketscreener.com/mods_a/charts/TV/inc_dyna_graph.php?c="&amp;Valori[[#This Row],[MS_Code]]&amp;"&amp;style=TradingView.CANDLES&amp;interval=(null)&amp;mobile=(null)&amp;showAT=1"</f>
        <v>https://www.marketscreener.com/mods_a/charts/TV/inc_dyna_graph.php?c=18126456&amp;style=TradingView.CANDLES&amp;interval=(null)&amp;mobile=(null)&amp;showAT=1</v>
      </c>
      <c r="AY170" s="142"/>
      <c r="AZ170" s="142"/>
      <c r="BA170" s="142"/>
      <c r="BB170" s="142"/>
    </row>
    <row r="171" spans="1:54" ht="15" customHeight="1" x14ac:dyDescent="0.2">
      <c r="A171" s="142" t="s">
        <v>1300</v>
      </c>
      <c r="B171" s="142" t="str" cm="1">
        <f t="array" aca="1" ref="B171" ca="1">OFFSET(POrigin,MATCH(Valori[[#This Row],[smo_id]],Posizioni[smo_id],0),MATCH("LUKB_id",PIntestazioni,0)-1,1,1)</f>
        <v>48370001,4,1</v>
      </c>
      <c r="C171" s="1668" t="str">
        <f ca="1">HYPERLINK("https://boersenundmaerkte.lukb.ch/lukb/details/"&amp;Valori[[#This Row],[LUKB_id]],"è")</f>
        <v>è</v>
      </c>
      <c r="D171" s="142" t="str" cm="1">
        <f t="array" aca="1" ref="D171" ca="1">OFFSET(POrigin,MATCH(Valori[[#This Row],[LUKB_id]],PID,0),MATCH("SC_GROUPED",PIntestazioni,0)-1,1,1)</f>
        <v>ETF</v>
      </c>
      <c r="E171" s="413" t="str" cm="1">
        <f t="array" aca="1" ref="E171" ca="1">OFFSET(POrigin,MATCH(Valori[[#This Row],[LUKB_id]],PID,0),MATCH("isin",PIntestazioni,0)-1,1,1)</f>
        <v>IE00BK7Y2R57</v>
      </c>
      <c r="F171" s="34" t="str" cm="1">
        <f t="array" aca="1" ref="F171" ca="1">OFFSET(POrigin,MATCH(Valori[[#This Row],[LUKB_id]],PID,0),MATCH("NSIN_CH",PLabel,0)-1,1,1)</f>
        <v>48370001</v>
      </c>
      <c r="G171" s="95" t="str" cm="1">
        <f t="array" aca="1" ref="G171" ca="1">IF(OFFSET(POrigin,MATCH(Valori[[#This Row],[LUKB_id]],PID,0),MATCH("INSTRUNIT",PLabel,0)-1,1,1)="Nominal","Pct","Unit")</f>
        <v>Unit</v>
      </c>
      <c r="H171" s="612">
        <f ca="1">MAX(OFFSET(POrigin,MATCH(Valori[[#This Row],[LUKB_id]],PID,0),MATCH("PRICINGAMT",PLabel,0)-1,1,1),1)</f>
        <v>1</v>
      </c>
      <c r="I171" s="615" t="str" cm="1">
        <f t="array" aca="1" ref="I171" ca="1">OFFSET(POrigin,MATCH(Valori[[#This Row],[LUKB_id]],PID,0),MATCH("M_NAME",PLabel,0)-1,1,1)</f>
        <v>iShares II PLC - iShares USD Treasury Bond 7-10yr UCITS ETF</v>
      </c>
      <c r="J171" s="142" t="s">
        <v>746</v>
      </c>
      <c r="M171" s="142" t="str" cm="1">
        <f t="array" aca="1" ref="M1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7-10yr UCITS ETF CHF Hedged (Acc)</v>
      </c>
      <c r="N171" s="1563">
        <f ca="1">COUNTIF('CHF M'!smo_id,Valori[[#This Row],[smo_id]])+COUNTIF('CHF MA'!smo_id,Valori[[#This Row],[smo_id]])+COUNTIF('EUR MB'!smo_id,Valori[[#This Row],[smo_id]])+COUNTIF('EUR M'!smo_id,Valori[[#This Row],[smo_id]])+COUNTIF(AGCO!smo_id,Valori[[#This Row],[smo_id]])</f>
        <v>1</v>
      </c>
      <c r="O171" s="1590" cm="1">
        <f t="array" aca="1" ref="O171" ca="1">SUM(IF('CHF M'!smo_id=Valori[[#This Row],[smo_id]],'CHF M'!Posizione))+SUM(IF('CHF MA'!smo_id=Valori[[#This Row],[smo_id]],'CHF MA'!Posizione))+SUM(IF('EUR MB'!smo_id=Valori[[#This Row],[smo_id]],'EUR MB'!Posizione))+SUM(IF('EUR M'!smo_id=Valori[[#This Row],[smo_id]],'EUR M'!Posizione))+SUM(IF(AGCO!smo_id=Valori[[#This Row],[smo_id]],AGCO!Posizione))</f>
        <v>0</v>
      </c>
      <c r="P171" s="1661" t="str">
        <f ca="1">HYPERLINK(Valori[[#This Row],[P_Source]],"è")</f>
        <v>è</v>
      </c>
      <c r="Q171" s="1663" t="str">
        <f>HYPERLINK(Valori[[#This Row],[Info_W]],"i")</f>
        <v>i</v>
      </c>
      <c r="R171" s="1664" t="str">
        <f>HYPERLINK(Valori[[#This Row],[FN_W]],"")</f>
        <v></v>
      </c>
      <c r="S171" s="1665" t="str">
        <f>HYPERLINK(Valori[[#This Row],[MS_Link]],"")</f>
        <v></v>
      </c>
      <c r="T171" s="1665" t="str">
        <f>HYPERLINK(Valori[[#This Row],[C_source]],"")</f>
        <v></v>
      </c>
      <c r="U171" s="142" t="str" cm="1">
        <f t="array" aca="1" ref="U171" ca="1">OFFSET(POrigin,MATCH(Valori[[#This Row],[LUKB_id]],PID,0),MATCH("M_CUR",PLabel,0)-1,1,1)</f>
        <v>CHF</v>
      </c>
      <c r="V171" s="1562">
        <f ca="1">(Valori[[#This Row],[Last]]+Valori[[#This Row],[Acc. Int]])/Valori[[#This Row],[Pr.Amt]]/IF(Valori[[#This Row],[P_Type]]="Pct",100,1)</f>
        <v>4.1833999999999998</v>
      </c>
      <c r="W171" s="1591" cm="1">
        <f t="array" aca="1" ref="W171" ca="1">OFFSET(POrigin,MATCH(Valori[[#This Row],[LUKB_id]],PID,0),MATCH("NC2_PR",PLabel,0)-1,1,1)/100</f>
        <v>-2.5274201239867001E-3</v>
      </c>
      <c r="X171" s="1592" cm="1">
        <f t="array" aca="1" ref="X171" ca="1">OFFSET(POrigin,MATCH(Valori[[#This Row],[LUKB_id]],PID,0),MATCH("LVAL",PLabel,0)-1,1,1)</f>
        <v>4.1833999999999998</v>
      </c>
      <c r="Y171" s="1593" cm="1">
        <f t="array" aca="1" ref="Y171" ca="1">OFFSET(POrigin,MATCH(Valori[[#This Row],[LUKB_id]],PID,0),MATCH("LVAL:datetime",PLabel,0)-1,1,1)</f>
        <v>46084.73300925926</v>
      </c>
      <c r="Z171" s="1594" cm="1">
        <f t="array" aca="1" ref="Z171" ca="1">OFFSET(POrigin,MATCH(Valori[[#This Row],[LUKB_id]],PID,0),MATCH("BID:volume",PLabel,0)-1,1,1)</f>
        <v>22848</v>
      </c>
      <c r="AA171" s="1595" cm="1">
        <f t="array" aca="1" ref="AA171" ca="1">OFFSET(POrigin,MATCH(Valori[[#This Row],[LUKB_id]],PID,0),MATCH("BID",PLabel,0)-1,1,1)</f>
        <v>4.1684000000000001</v>
      </c>
      <c r="AB171" s="1595" cm="1">
        <f t="array" aca="1" ref="AB171" ca="1">OFFSET(POrigin,MATCH(Valori[[#This Row],[LUKB_id]],PID,0),MATCH("ASK",PLabel,0)-1,1,1)</f>
        <v>4.2083000000000004</v>
      </c>
      <c r="AC171" s="1594" cm="1">
        <f t="array" aca="1" ref="AC171" ca="1">OFFSET(POrigin,MATCH(Valori[[#This Row],[LUKB_id]],PID,0),MATCH("ASK:volume",PLabel,0)-1,1,1)</f>
        <v>22848</v>
      </c>
      <c r="AD171" s="1596" cm="1">
        <f t="array" aca="1" ref="AD171" ca="1">OFFSET(POrigin,MATCH(Valori[[#This Row],[LUKB_id]],PID,0),MATCH("BID-ASK Spread %",PLabel,0)-1,1,1)</f>
        <v>6.3610493340029595E-3</v>
      </c>
      <c r="AE171" s="1597" t="str" cm="1">
        <f t="array" aca="1" ref="AE171" ca="1">IF(OFFSET(POrigin,MATCH(Valori[[#This Row],[LUKB_id]],PID,0),MATCH("MATURITY",PLabel,0)-1,1,1)&gt;0,OFFSET(POrigin,MATCH(Valori[[#This Row],[LUKB_id]],PID,0),MATCH("MATURITY",PLabel,0)-1,1,1),"")</f>
        <v/>
      </c>
      <c r="AF171" s="1598" cm="1">
        <f t="array" aca="1" ref="AF171" ca="1">OFFSET(POrigin,MATCH(Valori[[#This Row],[LUKB_id]],PID,0),MATCH("ACCINT",PLabel,0)-1,1,1)</f>
        <v>0</v>
      </c>
      <c r="AG171" s="1594" cm="1">
        <f t="array" aca="1" ref="AG171" ca="1">OFFSET(POrigin,MATCH(Valori[[#This Row],[LUKB_id]],PID,0),MATCH("DENOM",PLabel,0)-1,1,1)</f>
        <v>0</v>
      </c>
      <c r="AH171" s="1599" cm="1">
        <f t="array" aca="1" ref="AH171" ca="1">(OFFSET(POrigin,MATCH(Valori[[#This Row],[LUKB_id]],PID,0),MATCH("YIELD",PLabel,0)-1,1,1)+OFFSET(POrigin,MATCH(Valori[[#This Row],[LUKB_id]],PID,0),MATCH("YLDEQ",PLabel,0)-1,1,1))/100</f>
        <v>0</v>
      </c>
      <c r="AI171" s="1600">
        <f ca="1">OFFSET(POrigin,MATCH(Valori[[#This Row],[LUKB_id]],PID,0),MATCH("DIVIDEND",PLabel,0)-1,1,1)</f>
        <v>0</v>
      </c>
      <c r="AJ171" s="1601">
        <f ca="1">OFFSET(POrigin,MATCH(Valori[[#This Row],[LUKB_id]],PID,0),MATCH("DIVIDEND:datetime",PLabel,0)-1,1,1)</f>
        <v>0</v>
      </c>
      <c r="AK171" s="1602">
        <f ca="1">OFFSET(POrigin,MATCH(Valori[[#This Row],[LUKB_id]],PID,0),MATCH("INTEREST",PLabel,0)-1,1,1)</f>
        <v>0</v>
      </c>
      <c r="AL171" s="1603">
        <f ca="1">OFFSET(POrigin,MATCH(Valori[[#This Row],[LUKB_id]],PID,0),MATCH("4W_PERF_PR",PLabel,0)-1,1,1)/100</f>
        <v>1.627636E-2</v>
      </c>
      <c r="AM171" s="1603">
        <f ca="1">OFFSET(POrigin,MATCH(Valori[[#This Row],[LUKB_id]],PID,0),MATCH("12W_PERF_PR",PLabel,0)-1,1,1)/100</f>
        <v>8.6315000000000003E-3</v>
      </c>
      <c r="AN171" s="1603">
        <f ca="1">OFFSET(POrigin,MATCH(Valori[[#This Row],[LUKB_id]],PID,0),MATCH("YTD_PERF_PR",PLabel,0)-1,1,1)/100</f>
        <v>7.4465529666106001E-3</v>
      </c>
      <c r="AO171" s="1591"/>
      <c r="AP171" s="1591"/>
      <c r="AQ171" s="1591"/>
      <c r="AR171" s="1591"/>
      <c r="AS171" s="1890" t="s">
        <v>877</v>
      </c>
      <c r="AT171" s="1890" t="s">
        <v>1301</v>
      </c>
      <c r="AU171" s="610" t="s">
        <v>1302</v>
      </c>
      <c r="AV171" s="1891" t="s">
        <v>1303</v>
      </c>
      <c r="AW171" s="1604" t="str">
        <f ca="1">"https://boersenundmaerkte.lukb.ch/lukb/details/"&amp;Valori[[#This Row],[LUKB_id]]</f>
        <v>https://boersenundmaerkte.lukb.ch/lukb/details/48370001,4,1</v>
      </c>
      <c r="AX171" s="1605" t="str">
        <f>"https://www.marketscreener.com/mods_a/charts/TV/inc_dyna_graph.php?c="&amp;Valori[[#This Row],[MS_Code]]&amp;"&amp;style=TradingView.CANDLES&amp;interval=(null)&amp;mobile=(null)&amp;showAT=1"</f>
        <v>https://www.marketscreener.com/mods_a/charts/TV/inc_dyna_graph.php?c=61838267&amp;style=TradingView.CANDLES&amp;interval=(null)&amp;mobile=(null)&amp;showAT=1</v>
      </c>
      <c r="AY171" s="142"/>
      <c r="AZ171" s="142"/>
      <c r="BA171" s="142"/>
      <c r="BB171" s="142"/>
    </row>
    <row r="172" spans="1:54" ht="15" customHeight="1" x14ac:dyDescent="0.2">
      <c r="A172" s="142" t="s">
        <v>1304</v>
      </c>
      <c r="B172" s="142" t="str" cm="1">
        <f t="array" aca="1" ref="B172" ca="1">OFFSET(POrigin,MATCH(Valori[[#This Row],[smo_id]],Posizioni[smo_id],0),MATCH("LUKB_id",PIntestazioni,0)-1,1,1)</f>
        <v>11476346,349,333</v>
      </c>
      <c r="C172" s="1668" t="str">
        <f ca="1">HYPERLINK("https://boersenundmaerkte.lukb.ch/lukb/details/"&amp;Valori[[#This Row],[LUKB_id]],"è")</f>
        <v>è</v>
      </c>
      <c r="D172" s="142" t="str" cm="1">
        <f t="array" aca="1" ref="D172" ca="1">OFFSET(POrigin,MATCH(Valori[[#This Row],[LUKB_id]],PID,0),MATCH("SC_GROUPED",PIntestazioni,0)-1,1,1)</f>
        <v>ETF</v>
      </c>
      <c r="E172" s="413" t="str" cm="1">
        <f t="array" aca="1" ref="E172" ca="1">OFFSET(POrigin,MATCH(Valori[[#This Row],[LUKB_id]],PID,0),MATCH("isin",PIntestazioni,0)-1,1,1)</f>
        <v>IE00B5L8K969</v>
      </c>
      <c r="F172" s="34" t="str" cm="1">
        <f t="array" aca="1" ref="F172" ca="1">OFFSET(POrigin,MATCH(Valori[[#This Row],[LUKB_id]],PID,0),MATCH("NSIN_CH",PLabel,0)-1,1,1)</f>
        <v>11476346</v>
      </c>
      <c r="G172" s="95" t="str" cm="1">
        <f t="array" aca="1" ref="G172" ca="1">IF(OFFSET(POrigin,MATCH(Valori[[#This Row],[LUKB_id]],PID,0),MATCH("INSTRUNIT",PLabel,0)-1,1,1)="Nominal","Pct","Unit")</f>
        <v>Unit</v>
      </c>
      <c r="H172" s="612">
        <f ca="1">MAX(OFFSET(POrigin,MATCH(Valori[[#This Row],[LUKB_id]],PID,0),MATCH("PRICINGAMT",PLabel,0)-1,1,1),1)</f>
        <v>1</v>
      </c>
      <c r="I172" s="615" t="str" cm="1">
        <f t="array" aca="1" ref="I172" ca="1">OFFSET(POrigin,MATCH(Valori[[#This Row],[LUKB_id]],PID,0),MATCH("M_NAME",PLabel,0)-1,1,1)</f>
        <v>iShares VII PLC - iShares MSCI EM Asia UCITS ETF</v>
      </c>
      <c r="M172" s="142" t="str" cm="1">
        <f t="array" aca="1" ref="M1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iShares MSCI EM Asia UCITS ETF</v>
      </c>
      <c r="N172" s="1563">
        <f ca="1">COUNTIF('CHF M'!smo_id,Valori[[#This Row],[smo_id]])+COUNTIF('CHF MA'!smo_id,Valori[[#This Row],[smo_id]])+COUNTIF('EUR MB'!smo_id,Valori[[#This Row],[smo_id]])+COUNTIF('EUR M'!smo_id,Valori[[#This Row],[smo_id]])+COUNTIF(AGCO!smo_id,Valori[[#This Row],[smo_id]])</f>
        <v>0</v>
      </c>
      <c r="O172" s="1590" cm="1">
        <f t="array" aca="1" ref="O172" ca="1">SUM(IF('CHF M'!smo_id=Valori[[#This Row],[smo_id]],'CHF M'!Posizione))+SUM(IF('CHF MA'!smo_id=Valori[[#This Row],[smo_id]],'CHF MA'!Posizione))+SUM(IF('EUR MB'!smo_id=Valori[[#This Row],[smo_id]],'EUR MB'!Posizione))+SUM(IF('EUR M'!smo_id=Valori[[#This Row],[smo_id]],'EUR M'!Posizione))+SUM(IF(AGCO!smo_id=Valori[[#This Row],[smo_id]],AGCO!Posizione))</f>
        <v>0</v>
      </c>
      <c r="P172" s="1661" t="str">
        <f ca="1">HYPERLINK(Valori[[#This Row],[P_Source]],"è")</f>
        <v>è</v>
      </c>
      <c r="Q172" s="1663" t="str">
        <f>HYPERLINK(Valori[[#This Row],[Info_W]],"i")</f>
        <v>i</v>
      </c>
      <c r="R172" s="1664" t="str">
        <f>HYPERLINK(Valori[[#This Row],[FN_W]],"")</f>
        <v></v>
      </c>
      <c r="S172" s="1665" t="str">
        <f>HYPERLINK(Valori[[#This Row],[MS_Link]],"")</f>
        <v></v>
      </c>
      <c r="T172" s="1665" t="str">
        <f>HYPERLINK(Valori[[#This Row],[C_source]],"")</f>
        <v></v>
      </c>
      <c r="U172" s="142" t="str" cm="1">
        <f t="array" aca="1" ref="U172" ca="1">OFFSET(POrigin,MATCH(Valori[[#This Row],[LUKB_id]],PID,0),MATCH("M_CUR",PLabel,0)-1,1,1)</f>
        <v>USD</v>
      </c>
      <c r="V172" s="1562">
        <f ca="1">(Valori[[#This Row],[Last]]+Valori[[#This Row],[Acc. Int]])/Valori[[#This Row],[Pr.Amt]]/IF(Valori[[#This Row],[P_Type]]="Pct",100,1)</f>
        <v>251.55</v>
      </c>
      <c r="W172" s="1591" cm="1">
        <f t="array" aca="1" ref="W172" ca="1">OFFSET(POrigin,MATCH(Valori[[#This Row],[LUKB_id]],PID,0),MATCH("NC2_PR",PLabel,0)-1,1,1)/100</f>
        <v>-5.3967657013914996E-2</v>
      </c>
      <c r="X172" s="1592" cm="1">
        <f t="array" aca="1" ref="X172" ca="1">OFFSET(POrigin,MATCH(Valori[[#This Row],[LUKB_id]],PID,0),MATCH("LVAL",PLabel,0)-1,1,1)</f>
        <v>251.55</v>
      </c>
      <c r="Y172" s="1593" cm="1">
        <f t="array" aca="1" ref="Y172" ca="1">OFFSET(POrigin,MATCH(Valori[[#This Row],[LUKB_id]],PID,0),MATCH("LVAL:datetime",PLabel,0)-1,1,1)</f>
        <v>46084.73300925926</v>
      </c>
      <c r="Z172" s="1594" cm="1">
        <f t="array" aca="1" ref="Z172" ca="1">OFFSET(POrigin,MATCH(Valori[[#This Row],[LUKB_id]],PID,0),MATCH("BID:volume",PLabel,0)-1,1,1)</f>
        <v>41</v>
      </c>
      <c r="AA172" s="1595" cm="1">
        <f t="array" aca="1" ref="AA172" ca="1">OFFSET(POrigin,MATCH(Valori[[#This Row],[LUKB_id]],PID,0),MATCH("BID",PLabel,0)-1,1,1)</f>
        <v>250.60000000000002</v>
      </c>
      <c r="AB172" s="1595" cm="1">
        <f t="array" aca="1" ref="AB172" ca="1">OFFSET(POrigin,MATCH(Valori[[#This Row],[LUKB_id]],PID,0),MATCH("ASK",PLabel,0)-1,1,1)</f>
        <v>251.65</v>
      </c>
      <c r="AC172" s="1594" cm="1">
        <f t="array" aca="1" ref="AC172" ca="1">OFFSET(POrigin,MATCH(Valori[[#This Row],[LUKB_id]],PID,0),MATCH("ASK:volume",PLabel,0)-1,1,1)</f>
        <v>1</v>
      </c>
      <c r="AD172" s="1596" cm="1">
        <f t="array" aca="1" ref="AD172" ca="1">OFFSET(POrigin,MATCH(Valori[[#This Row],[LUKB_id]],PID,0),MATCH("BID-ASK Spread %",PLabel,0)-1,1,1)</f>
        <v>2.7894002789399827E-3</v>
      </c>
      <c r="AE172" s="1597" t="str" cm="1">
        <f t="array" aca="1" ref="AE172" ca="1">IF(OFFSET(POrigin,MATCH(Valori[[#This Row],[LUKB_id]],PID,0),MATCH("MATURITY",PLabel,0)-1,1,1)&gt;0,OFFSET(POrigin,MATCH(Valori[[#This Row],[LUKB_id]],PID,0),MATCH("MATURITY",PLabel,0)-1,1,1),"")</f>
        <v/>
      </c>
      <c r="AF172" s="1598" cm="1">
        <f t="array" aca="1" ref="AF172" ca="1">OFFSET(POrigin,MATCH(Valori[[#This Row],[LUKB_id]],PID,0),MATCH("ACCINT",PLabel,0)-1,1,1)</f>
        <v>0</v>
      </c>
      <c r="AG172" s="1594" cm="1">
        <f t="array" aca="1" ref="AG172" ca="1">OFFSET(POrigin,MATCH(Valori[[#This Row],[LUKB_id]],PID,0),MATCH("DENOM",PLabel,0)-1,1,1)</f>
        <v>0</v>
      </c>
      <c r="AH172" s="1599" cm="1">
        <f t="array" aca="1" ref="AH172" ca="1">(OFFSET(POrigin,MATCH(Valori[[#This Row],[LUKB_id]],PID,0),MATCH("YIELD",PLabel,0)-1,1,1)+OFFSET(POrigin,MATCH(Valori[[#This Row],[LUKB_id]],PID,0),MATCH("YLDEQ",PLabel,0)-1,1,1))/100</f>
        <v>0</v>
      </c>
      <c r="AI172" s="1600">
        <f ca="1">OFFSET(POrigin,MATCH(Valori[[#This Row],[LUKB_id]],PID,0),MATCH("DIVIDEND",PLabel,0)-1,1,1)</f>
        <v>0</v>
      </c>
      <c r="AJ172" s="1601">
        <f ca="1">OFFSET(POrigin,MATCH(Valori[[#This Row],[LUKB_id]],PID,0),MATCH("DIVIDEND:datetime",PLabel,0)-1,1,1)</f>
        <v>0</v>
      </c>
      <c r="AK172" s="1602">
        <f ca="1">OFFSET(POrigin,MATCH(Valori[[#This Row],[LUKB_id]],PID,0),MATCH("INTEREST",PLabel,0)-1,1,1)</f>
        <v>0</v>
      </c>
      <c r="AL172" s="1603">
        <f ca="1">OFFSET(POrigin,MATCH(Valori[[#This Row],[LUKB_id]],PID,0),MATCH("4W_PERF_PR",PLabel,0)-1,1,1)/100</f>
        <v>-2.0825219999999998E-2</v>
      </c>
      <c r="AM172" s="1603">
        <f ca="1">OFFSET(POrigin,MATCH(Valori[[#This Row],[LUKB_id]],PID,0),MATCH("12W_PERF_PR",PLabel,0)-1,1,1)/100</f>
        <v>7.4540789999999996E-2</v>
      </c>
      <c r="AN172" s="1603">
        <f ca="1">OFFSET(POrigin,MATCH(Valori[[#This Row],[LUKB_id]],PID,0),MATCH("YTD_PERF_PR",PLabel,0)-1,1,1)/100</f>
        <v>0.113950565563469</v>
      </c>
      <c r="AO172" s="1591"/>
      <c r="AP172" s="1591"/>
      <c r="AQ172" s="1591"/>
      <c r="AR172" s="1591"/>
      <c r="AS172" s="1890"/>
      <c r="AT172" s="1890"/>
      <c r="AU172" s="610"/>
      <c r="AV172" s="1891"/>
      <c r="AW172" s="1604" t="str">
        <f ca="1">"https://boersenundmaerkte.lukb.ch/lukb/details/"&amp;Valori[[#This Row],[LUKB_id]]</f>
        <v>https://boersenundmaerkte.lukb.ch/lukb/details/11476346,349,333</v>
      </c>
      <c r="AX172" s="1605"/>
      <c r="AY172" s="142"/>
      <c r="AZ172" s="142"/>
      <c r="BA172" s="142"/>
      <c r="BB172" s="142"/>
    </row>
    <row r="173" spans="1:54" ht="15" customHeight="1" x14ac:dyDescent="0.2">
      <c r="A173" s="142" t="s">
        <v>1305</v>
      </c>
      <c r="B173" s="142" t="str" cm="1">
        <f t="array" aca="1" ref="B173" ca="1">OFFSET(POrigin,MATCH(Valori[[#This Row],[smo_id]],Posizioni[smo_id],0),MATCH("LUKB_id",PIntestazioni,0)-1,1,1)</f>
        <v>27741453,4,1</v>
      </c>
      <c r="C173" s="1668" t="str">
        <f ca="1">HYPERLINK("https://boersenundmaerkte.lukb.ch/lukb/details/"&amp;Valori[[#This Row],[LUKB_id]],"è")</f>
        <v>è</v>
      </c>
      <c r="D173" s="142" t="str" cm="1">
        <f t="array" aca="1" ref="D173" ca="1">OFFSET(POrigin,MATCH(Valori[[#This Row],[LUKB_id]],PID,0),MATCH("SC_GROUPED",PIntestazioni,0)-1,1,1)</f>
        <v>ETF</v>
      </c>
      <c r="E173" s="413" t="str" cm="1">
        <f t="array" aca="1" ref="E173" ca="1">OFFSET(POrigin,MATCH(Valori[[#This Row],[LUKB_id]],PID,0),MATCH("isin",PIntestazioni,0)-1,1,1)</f>
        <v>IE00BWK1SP74</v>
      </c>
      <c r="F173" s="34" t="str" cm="1">
        <f t="array" aca="1" ref="F173" ca="1">OFFSET(POrigin,MATCH(Valori[[#This Row],[LUKB_id]],PID,0),MATCH("NSIN_CH",PLabel,0)-1,1,1)</f>
        <v>27741453</v>
      </c>
      <c r="G173" s="95" t="str" cm="1">
        <f t="array" aca="1" ref="G173" ca="1">IF(OFFSET(POrigin,MATCH(Valori[[#This Row],[LUKB_id]],PID,0),MATCH("INSTRUNIT",PLabel,0)-1,1,1)="Nominal","Pct","Unit")</f>
        <v>Unit</v>
      </c>
      <c r="H173" s="612">
        <f ca="1">MAX(OFFSET(POrigin,MATCH(Valori[[#This Row],[LUKB_id]],PID,0),MATCH("PRICINGAMT",PLabel,0)-1,1,1),1)</f>
        <v>1</v>
      </c>
      <c r="I173" s="615" t="str" cm="1">
        <f t="array" aca="1" ref="I173" ca="1">OFFSET(POrigin,MATCH(Valori[[#This Row],[LUKB_id]],PID,0),MATCH("M_NAME",PLabel,0)-1,1,1)</f>
        <v>iShares VII PLC - iShares MSCI EMU CHF Hedged UCITS ETF (Acc)</v>
      </c>
      <c r="J173" s="142" t="s">
        <v>757</v>
      </c>
      <c r="M173" s="142" t="str" cm="1">
        <f t="array" aca="1" ref="M1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MSCI EMU CHF Hdg. UCITS ETF (Acc)</v>
      </c>
      <c r="N173" s="1563">
        <f ca="1">COUNTIF('CHF M'!smo_id,Valori[[#This Row],[smo_id]])+COUNTIF('CHF MA'!smo_id,Valori[[#This Row],[smo_id]])+COUNTIF('EUR MB'!smo_id,Valori[[#This Row],[smo_id]])+COUNTIF('EUR M'!smo_id,Valori[[#This Row],[smo_id]])+COUNTIF(AGCO!smo_id,Valori[[#This Row],[smo_id]])</f>
        <v>3</v>
      </c>
      <c r="O173" s="1590" cm="1">
        <f t="array" aca="1" ref="O173" ca="1">SUM(IF('CHF M'!smo_id=Valori[[#This Row],[smo_id]],'CHF M'!Posizione))+SUM(IF('CHF MA'!smo_id=Valori[[#This Row],[smo_id]],'CHF MA'!Posizione))+SUM(IF('EUR MB'!smo_id=Valori[[#This Row],[smo_id]],'EUR MB'!Posizione))+SUM(IF('EUR M'!smo_id=Valori[[#This Row],[smo_id]],'EUR M'!Posizione))+SUM(IF(AGCO!smo_id=Valori[[#This Row],[smo_id]],AGCO!Posizione))</f>
        <v>10000</v>
      </c>
      <c r="P173" s="1661" t="str">
        <f ca="1">HYPERLINK(Valori[[#This Row],[P_Source]],"è")</f>
        <v>è</v>
      </c>
      <c r="Q173" s="1663" t="str">
        <f>HYPERLINK(Valori[[#This Row],[Info_W]],"i")</f>
        <v>i</v>
      </c>
      <c r="R173" s="1664" t="str">
        <f>HYPERLINK(Valori[[#This Row],[FN_W]],"")</f>
        <v></v>
      </c>
      <c r="S173" s="1665" t="str">
        <f>HYPERLINK(Valori[[#This Row],[MS_Link]],"")</f>
        <v></v>
      </c>
      <c r="T173" s="1665" t="str">
        <f>HYPERLINK(Valori[[#This Row],[C_source]],"")</f>
        <v></v>
      </c>
      <c r="U173" s="142" t="str" cm="1">
        <f t="array" aca="1" ref="U173" ca="1">OFFSET(POrigin,MATCH(Valori[[#This Row],[LUKB_id]],PID,0),MATCH("M_CUR",PLabel,0)-1,1,1)</f>
        <v>CHF</v>
      </c>
      <c r="V173" s="1562">
        <f ca="1">(Valori[[#This Row],[Last]]+Valori[[#This Row],[Acc. Int]])/Valori[[#This Row],[Pr.Amt]]/IF(Valori[[#This Row],[P_Type]]="Pct",100,1)</f>
        <v>9.35</v>
      </c>
      <c r="W173" s="1591" cm="1">
        <f t="array" aca="1" ref="W173" ca="1">OFFSET(POrigin,MATCH(Valori[[#This Row],[LUKB_id]],PID,0),MATCH("NC2_PR",PLabel,0)-1,1,1)/100</f>
        <v>-3.3192017371523004E-2</v>
      </c>
      <c r="X173" s="1592" cm="1">
        <f t="array" aca="1" ref="X173" ca="1">OFFSET(POrigin,MATCH(Valori[[#This Row],[LUKB_id]],PID,0),MATCH("LVAL",PLabel,0)-1,1,1)</f>
        <v>9.35</v>
      </c>
      <c r="Y173" s="1593" cm="1">
        <f t="array" aca="1" ref="Y173" ca="1">OFFSET(POrigin,MATCH(Valori[[#This Row],[LUKB_id]],PID,0),MATCH("LVAL:datetime",PLabel,0)-1,1,1)</f>
        <v>46084.73300925926</v>
      </c>
      <c r="Z173" s="1594" cm="1">
        <f t="array" aca="1" ref="Z173" ca="1">OFFSET(POrigin,MATCH(Valori[[#This Row],[LUKB_id]],PID,0),MATCH("BID:volume",PLabel,0)-1,1,1)</f>
        <v>906</v>
      </c>
      <c r="AA173" s="1595" cm="1">
        <f t="array" aca="1" ref="AA173" ca="1">OFFSET(POrigin,MATCH(Valori[[#This Row],[LUKB_id]],PID,0),MATCH("BID",PLabel,0)-1,1,1)</f>
        <v>9.3740000000000006</v>
      </c>
      <c r="AB173" s="1595" cm="1">
        <f t="array" aca="1" ref="AB173" ca="1">OFFSET(POrigin,MATCH(Valori[[#This Row],[LUKB_id]],PID,0),MATCH("ASK",PLabel,0)-1,1,1)</f>
        <v>9.3849999999999998</v>
      </c>
      <c r="AC173" s="1594" cm="1">
        <f t="array" aca="1" ref="AC173" ca="1">OFFSET(POrigin,MATCH(Valori[[#This Row],[LUKB_id]],PID,0),MATCH("ASK:volume",PLabel,0)-1,1,1)</f>
        <v>10906</v>
      </c>
      <c r="AD173" s="1596" cm="1">
        <f t="array" aca="1" ref="AD173" ca="1">OFFSET(POrigin,MATCH(Valori[[#This Row],[LUKB_id]],PID,0),MATCH("BID-ASK Spread %",PLabel,0)-1,1,1)</f>
        <v>7.8199978672727623E-4</v>
      </c>
      <c r="AE173" s="1597" t="str" cm="1">
        <f t="array" aca="1" ref="AE173" ca="1">IF(OFFSET(POrigin,MATCH(Valori[[#This Row],[LUKB_id]],PID,0),MATCH("MATURITY",PLabel,0)-1,1,1)&gt;0,OFFSET(POrigin,MATCH(Valori[[#This Row],[LUKB_id]],PID,0),MATCH("MATURITY",PLabel,0)-1,1,1),"")</f>
        <v/>
      </c>
      <c r="AF173" s="1598" cm="1">
        <f t="array" aca="1" ref="AF173" ca="1">OFFSET(POrigin,MATCH(Valori[[#This Row],[LUKB_id]],PID,0),MATCH("ACCINT",PLabel,0)-1,1,1)</f>
        <v>0</v>
      </c>
      <c r="AG173" s="1594" cm="1">
        <f t="array" aca="1" ref="AG173" ca="1">OFFSET(POrigin,MATCH(Valori[[#This Row],[LUKB_id]],PID,0),MATCH("DENOM",PLabel,0)-1,1,1)</f>
        <v>0</v>
      </c>
      <c r="AH173" s="1599" cm="1">
        <f t="array" aca="1" ref="AH173" ca="1">(OFFSET(POrigin,MATCH(Valori[[#This Row],[LUKB_id]],PID,0),MATCH("YIELD",PLabel,0)-1,1,1)+OFFSET(POrigin,MATCH(Valori[[#This Row],[LUKB_id]],PID,0),MATCH("YLDEQ",PLabel,0)-1,1,1))/100</f>
        <v>0</v>
      </c>
      <c r="AI173" s="1600">
        <f ca="1">OFFSET(POrigin,MATCH(Valori[[#This Row],[LUKB_id]],PID,0),MATCH("DIVIDEND",PLabel,0)-1,1,1)</f>
        <v>0</v>
      </c>
      <c r="AJ173" s="1601">
        <f ca="1">OFFSET(POrigin,MATCH(Valori[[#This Row],[LUKB_id]],PID,0),MATCH("DIVIDEND:datetime",PLabel,0)-1,1,1)</f>
        <v>0</v>
      </c>
      <c r="AK173" s="1602">
        <f ca="1">OFFSET(POrigin,MATCH(Valori[[#This Row],[LUKB_id]],PID,0),MATCH("INTEREST",PLabel,0)-1,1,1)</f>
        <v>0</v>
      </c>
      <c r="AL173" s="1603">
        <f ca="1">OFFSET(POrigin,MATCH(Valori[[#This Row],[LUKB_id]],PID,0),MATCH("4W_PERF_PR",PLabel,0)-1,1,1)/100</f>
        <v>-2.937818E-2</v>
      </c>
      <c r="AM173" s="1603">
        <f ca="1">OFFSET(POrigin,MATCH(Valori[[#This Row],[LUKB_id]],PID,0),MATCH("12W_PERF_PR",PLabel,0)-1,1,1)/100</f>
        <v>1.7631689999999998E-2</v>
      </c>
      <c r="AN173" s="1603">
        <f ca="1">OFFSET(POrigin,MATCH(Valori[[#This Row],[LUKB_id]],PID,0),MATCH("YTD_PERF_PR",PLabel,0)-1,1,1)/100</f>
        <v>3.3999786164866902E-2</v>
      </c>
      <c r="AO173" s="1591"/>
      <c r="AP173" s="1591"/>
      <c r="AQ173" s="1591"/>
      <c r="AR173" s="1591"/>
      <c r="AS173" s="1890" t="s">
        <v>1159</v>
      </c>
      <c r="AT173" s="1890" t="s">
        <v>1306</v>
      </c>
      <c r="AU173" s="610" t="s">
        <v>1307</v>
      </c>
      <c r="AV173" s="1891" t="s">
        <v>1308</v>
      </c>
      <c r="AW173" s="1604" t="str">
        <f ca="1">"https://boersenundmaerkte.lukb.ch/lukb/details/"&amp;Valori[[#This Row],[LUKB_id]]</f>
        <v>https://boersenundmaerkte.lukb.ch/lukb/details/27741453,4,1</v>
      </c>
      <c r="AX173" s="1605" t="str">
        <f>"https://www.marketscreener.com/mods_a/charts/TV/inc_dyna_graph.php?c="&amp;Valori[[#This Row],[MS_Code]]&amp;"&amp;style=TradingView.CANDLES&amp;interval=(null)&amp;mobile=(null)&amp;showAT=1"</f>
        <v>https://www.marketscreener.com/mods_a/charts/TV/inc_dyna_graph.php?c=23332189&amp;style=TradingView.CANDLES&amp;interval=(null)&amp;mobile=(null)&amp;showAT=1</v>
      </c>
      <c r="AY173" s="142"/>
      <c r="AZ173" s="142"/>
      <c r="BA173" s="142"/>
      <c r="BB173" s="142"/>
    </row>
    <row r="174" spans="1:54" ht="15" customHeight="1" x14ac:dyDescent="0.2">
      <c r="A174" s="142" t="s">
        <v>1309</v>
      </c>
      <c r="B174" s="142" t="str" cm="1">
        <f t="array" aca="1" ref="B174" ca="1">OFFSET(POrigin,MATCH(Valori[[#This Row],[smo_id]],Posizioni[smo_id],0),MATCH("LUKB_id",PIntestazioni,0)-1,1,1)</f>
        <v>55988416,321,333</v>
      </c>
      <c r="C174" s="1668" t="str">
        <f ca="1">HYPERLINK("https://boersenundmaerkte.lukb.ch/lukb/details/"&amp;Valori[[#This Row],[LUKB_id]],"è")</f>
        <v>è</v>
      </c>
      <c r="D174" s="142" t="str" cm="1">
        <f t="array" aca="1" ref="D174" ca="1">OFFSET(POrigin,MATCH(Valori[[#This Row],[LUKB_id]],PID,0),MATCH("SC_GROUPED",PIntestazioni,0)-1,1,1)</f>
        <v>ETF</v>
      </c>
      <c r="E174" s="413" t="str" cm="1">
        <f t="array" aca="1" ref="E174" ca="1">OFFSET(POrigin,MATCH(Valori[[#This Row],[LUKB_id]],PID,0),MATCH("isin",PIntestazioni,0)-1,1,1)</f>
        <v>US5007676787</v>
      </c>
      <c r="F174" s="34" t="str" cm="1">
        <f t="array" aca="1" ref="F174" ca="1">OFFSET(POrigin,MATCH(Valori[[#This Row],[LUKB_id]],PID,0),MATCH("NSIN_CH",PLabel,0)-1,1,1)</f>
        <v>55988416</v>
      </c>
      <c r="G174" s="95" t="str" cm="1">
        <f t="array" aca="1" ref="G174" ca="1">IF(OFFSET(POrigin,MATCH(Valori[[#This Row],[LUKB_id]],PID,0),MATCH("INSTRUNIT",PLabel,0)-1,1,1)="Nominal","Pct","Unit")</f>
        <v>Unit</v>
      </c>
      <c r="H174" s="612">
        <f ca="1">MAX(OFFSET(POrigin,MATCH(Valori[[#This Row],[LUKB_id]],PID,0),MATCH("PRICINGAMT",PLabel,0)-1,1,1),1)</f>
        <v>1</v>
      </c>
      <c r="I174" s="615" t="str" cm="1">
        <f t="array" aca="1" ref="I174" ca="1">OFFSET(POrigin,MATCH(Valori[[#This Row],[LUKB_id]],PID,0),MATCH("M_NAME",PLabel,0)-1,1,1)</f>
        <v>KraneShares Global Carbon Strategy ETF</v>
      </c>
      <c r="J174" s="142" t="s">
        <v>482</v>
      </c>
      <c r="M174" s="142" t="str" cm="1">
        <f t="array" aca="1" ref="M1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KFA Global Carbon ETF</v>
      </c>
      <c r="N174" s="1563">
        <f ca="1">COUNTIF('CHF M'!smo_id,Valori[[#This Row],[smo_id]])+COUNTIF('CHF MA'!smo_id,Valori[[#This Row],[smo_id]])+COUNTIF('EUR MB'!smo_id,Valori[[#This Row],[smo_id]])+COUNTIF('EUR M'!smo_id,Valori[[#This Row],[smo_id]])+COUNTIF(AGCO!smo_id,Valori[[#This Row],[smo_id]])</f>
        <v>4</v>
      </c>
      <c r="O174" s="1590" cm="1">
        <f t="array" aca="1" ref="O174" ca="1">SUM(IF('CHF M'!smo_id=Valori[[#This Row],[smo_id]],'CHF M'!Posizione))+SUM(IF('CHF MA'!smo_id=Valori[[#This Row],[smo_id]],'CHF MA'!Posizione))+SUM(IF('EUR MB'!smo_id=Valori[[#This Row],[smo_id]],'EUR MB'!Posizione))+SUM(IF('EUR M'!smo_id=Valori[[#This Row],[smo_id]],'EUR M'!Posizione))+SUM(IF(AGCO!smo_id=Valori[[#This Row],[smo_id]],AGCO!Posizione))</f>
        <v>760</v>
      </c>
      <c r="P174" s="1661" t="str">
        <f ca="1">HYPERLINK(Valori[[#This Row],[P_Source]],"è")</f>
        <v>è</v>
      </c>
      <c r="Q174" s="1663" t="str">
        <f>HYPERLINK(Valori[[#This Row],[Info_W]],"i")</f>
        <v>i</v>
      </c>
      <c r="R174" s="1664" t="str">
        <f>HYPERLINK(Valori[[#This Row],[FN_W]],"")</f>
        <v></v>
      </c>
      <c r="S174" s="1665" t="str">
        <f>HYPERLINK(Valori[[#This Row],[MS_Link]],"")</f>
        <v></v>
      </c>
      <c r="T174" s="1665" t="str">
        <f>HYPERLINK(Valori[[#This Row],[C_source]],"")</f>
        <v></v>
      </c>
      <c r="U174" s="142" t="str" cm="1">
        <f t="array" aca="1" ref="U174" ca="1">OFFSET(POrigin,MATCH(Valori[[#This Row],[LUKB_id]],PID,0),MATCH("M_CUR",PLabel,0)-1,1,1)</f>
        <v>USD</v>
      </c>
      <c r="V174" s="1562">
        <f ca="1">(Valori[[#This Row],[Last]]+Valori[[#This Row],[Acc. Int]])/Valori[[#This Row],[Pr.Amt]]/IF(Valori[[#This Row],[P_Type]]="Pct",100,1)</f>
        <v>29.860100000000003</v>
      </c>
      <c r="W174" s="1591" cm="1">
        <f t="array" aca="1" ref="W174" ca="1">OFFSET(POrigin,MATCH(Valori[[#This Row],[LUKB_id]],PID,0),MATCH("NC2_PR",PLabel,0)-1,1,1)/100</f>
        <v>1.6687095675859801E-2</v>
      </c>
      <c r="X174" s="1592" cm="1">
        <f t="array" aca="1" ref="X174" ca="1">OFFSET(POrigin,MATCH(Valori[[#This Row],[LUKB_id]],PID,0),MATCH("LVAL",PLabel,0)-1,1,1)</f>
        <v>29.860100000000003</v>
      </c>
      <c r="Y174" s="1593" cm="1">
        <f t="array" aca="1" ref="Y174" ca="1">OFFSET(POrigin,MATCH(Valori[[#This Row],[LUKB_id]],PID,0),MATCH("LVAL:datetime",PLabel,0)-1,1,1)</f>
        <v>46084.779699074075</v>
      </c>
      <c r="Z174" s="1594" cm="1">
        <f t="array" aca="1" ref="Z174" ca="1">OFFSET(POrigin,MATCH(Valori[[#This Row],[LUKB_id]],PID,0),MATCH("BID:volume",PLabel,0)-1,1,1)</f>
        <v>100</v>
      </c>
      <c r="AA174" s="1595" cm="1">
        <f t="array" aca="1" ref="AA174" ca="1">OFFSET(POrigin,MATCH(Valori[[#This Row],[LUKB_id]],PID,0),MATCH("BID",PLabel,0)-1,1,1)</f>
        <v>29.87</v>
      </c>
      <c r="AB174" s="1595" cm="1">
        <f t="array" aca="1" ref="AB174" ca="1">OFFSET(POrigin,MATCH(Valori[[#This Row],[LUKB_id]],PID,0),MATCH("ASK",PLabel,0)-1,1,1)</f>
        <v>30.12</v>
      </c>
      <c r="AC174" s="1594" cm="1">
        <f t="array" aca="1" ref="AC174" ca="1">OFFSET(POrigin,MATCH(Valori[[#This Row],[LUKB_id]],PID,0),MATCH("ASK:volume",PLabel,0)-1,1,1)</f>
        <v>200</v>
      </c>
      <c r="AD174" s="1596" cm="1">
        <f t="array" aca="1" ref="AD174" ca="1">OFFSET(POrigin,MATCH(Valori[[#This Row],[LUKB_id]],PID,0),MATCH("BID-ASK Spread %",PLabel,0)-1,1,1)</f>
        <v>5.5642109948809259E-3</v>
      </c>
      <c r="AE174" s="1597" t="str" cm="1">
        <f t="array" aca="1" ref="AE174" ca="1">IF(OFFSET(POrigin,MATCH(Valori[[#This Row],[LUKB_id]],PID,0),MATCH("MATURITY",PLabel,0)-1,1,1)&gt;0,OFFSET(POrigin,MATCH(Valori[[#This Row],[LUKB_id]],PID,0),MATCH("MATURITY",PLabel,0)-1,1,1),"")</f>
        <v/>
      </c>
      <c r="AF174" s="1598" cm="1">
        <f t="array" aca="1" ref="AF174" ca="1">OFFSET(POrigin,MATCH(Valori[[#This Row],[LUKB_id]],PID,0),MATCH("ACCINT",PLabel,0)-1,1,1)</f>
        <v>0</v>
      </c>
      <c r="AG174" s="1594" cm="1">
        <f t="array" aca="1" ref="AG174" ca="1">OFFSET(POrigin,MATCH(Valori[[#This Row],[LUKB_id]],PID,0),MATCH("DENOM",PLabel,0)-1,1,1)</f>
        <v>0</v>
      </c>
      <c r="AH174" s="1599" cm="1">
        <f t="array" aca="1" ref="AH174" ca="1">(OFFSET(POrigin,MATCH(Valori[[#This Row],[LUKB_id]],PID,0),MATCH("YIELD",PLabel,0)-1,1,1)+OFFSET(POrigin,MATCH(Valori[[#This Row],[LUKB_id]],PID,0),MATCH("YLDEQ",PLabel,0)-1,1,1))/100</f>
        <v>0</v>
      </c>
      <c r="AI174" s="1600">
        <f ca="1">OFFSET(POrigin,MATCH(Valori[[#This Row],[LUKB_id]],PID,0),MATCH("DIVIDEND",PLabel,0)-1,1,1)</f>
        <v>0.673203</v>
      </c>
      <c r="AJ174" s="1601">
        <f ca="1">OFFSET(POrigin,MATCH(Valori[[#This Row],[LUKB_id]],PID,0),MATCH("DIVIDEND:datetime",PLabel,0)-1,1,1)</f>
        <v>46013</v>
      </c>
      <c r="AK174" s="1602">
        <f ca="1">OFFSET(POrigin,MATCH(Valori[[#This Row],[LUKB_id]],PID,0),MATCH("INTEREST",PLabel,0)-1,1,1)</f>
        <v>0</v>
      </c>
      <c r="AL174" s="1603">
        <f ca="1">OFFSET(POrigin,MATCH(Valori[[#This Row],[LUKB_id]],PID,0),MATCH("4W_PERF_PR",PLabel,0)-1,1,1)/100</f>
        <v>-9.2122229999999999E-2</v>
      </c>
      <c r="AM174" s="1603">
        <f ca="1">OFFSET(POrigin,MATCH(Valori[[#This Row],[LUKB_id]],PID,0),MATCH("12W_PERF_PR",PLabel,0)-1,1,1)/100</f>
        <v>-0.13549217999999999</v>
      </c>
      <c r="AN174" s="1603">
        <f ca="1">OFFSET(POrigin,MATCH(Valori[[#This Row],[LUKB_id]],PID,0),MATCH("YTD_PERF_PR",PLabel,0)-1,1,1)/100</f>
        <v>-0.17033898305084802</v>
      </c>
      <c r="AO174" s="1591"/>
      <c r="AP174" s="1591"/>
      <c r="AQ174" s="1591"/>
      <c r="AR174" s="1591"/>
      <c r="AS174" s="1890" t="s">
        <v>877</v>
      </c>
      <c r="AT174" s="1890" t="s">
        <v>1310</v>
      </c>
      <c r="AU174" s="610" t="s">
        <v>1311</v>
      </c>
      <c r="AV174" s="1891" t="s">
        <v>1312</v>
      </c>
      <c r="AW174" s="1604" t="str">
        <f ca="1">"https://boersenundmaerkte.lukb.ch/lukb/details/"&amp;Valori[[#This Row],[LUKB_id]]</f>
        <v>https://boersenundmaerkte.lukb.ch/lukb/details/55988416,321,333</v>
      </c>
      <c r="AX174" s="1605" t="str">
        <f>"https://www.zonebourse.com/mods_a/charts/TV/inc_dyna_graph.php?c="&amp;Valori[[#This Row],[MS_Code]]&amp;"&amp;style=TradingView.CANDLES&amp;interval=(null)&amp;mobile=(null)&amp;showAT=1"</f>
        <v>https://www.zonebourse.com/mods_a/charts/TV/inc_dyna_graph.php?c=110325209&amp;style=TradingView.CANDLES&amp;interval=(null)&amp;mobile=(null)&amp;showAT=1</v>
      </c>
      <c r="AY174" s="142"/>
      <c r="AZ174" s="142"/>
      <c r="BA174" s="142"/>
      <c r="BB174" s="142"/>
    </row>
    <row r="175" spans="1:54" ht="15" customHeight="1" x14ac:dyDescent="0.2">
      <c r="A175" s="142" t="s">
        <v>1313</v>
      </c>
      <c r="B175" s="142" t="str" cm="1">
        <f t="array" aca="1" ref="B175" ca="1">OFFSET(POrigin,MATCH(Valori[[#This Row],[smo_id]],Posizioni[smo_id],0),MATCH("LUKB_id",PIntestazioni,0)-1,1,1)</f>
        <v>22031846,321,333</v>
      </c>
      <c r="C175" s="1668" t="str">
        <f ca="1">HYPERLINK("https://boersenundmaerkte.lukb.ch/lukb/details/"&amp;Valori[[#This Row],[LUKB_id]],"è")</f>
        <v>è</v>
      </c>
      <c r="D175" s="142" t="str" cm="1">
        <f t="array" aca="1" ref="D175" ca="1">OFFSET(POrigin,MATCH(Valori[[#This Row],[LUKB_id]],PID,0),MATCH("SC_GROUPED",PIntestazioni,0)-1,1,1)</f>
        <v>ETF</v>
      </c>
      <c r="E175" s="413" t="str" cm="1">
        <f t="array" aca="1" ref="E175" ca="1">OFFSET(POrigin,MATCH(Valori[[#This Row],[LUKB_id]],PID,0),MATCH("isin",PIntestazioni,0)-1,1,1)</f>
        <v>US5007673065</v>
      </c>
      <c r="F175" s="34" t="str" cm="1">
        <f t="array" aca="1" ref="F175" ca="1">OFFSET(POrigin,MATCH(Valori[[#This Row],[LUKB_id]],PID,0),MATCH("NSIN_CH",PLabel,0)-1,1,1)</f>
        <v>22031846</v>
      </c>
      <c r="G175" s="95" t="str" cm="1">
        <f t="array" aca="1" ref="G175" ca="1">IF(OFFSET(POrigin,MATCH(Valori[[#This Row],[LUKB_id]],PID,0),MATCH("INSTRUNIT",PLabel,0)-1,1,1)="Nominal","Pct","Unit")</f>
        <v>Unit</v>
      </c>
      <c r="H175" s="612">
        <f ca="1">MAX(OFFSET(POrigin,MATCH(Valori[[#This Row],[LUKB_id]],PID,0),MATCH("PRICINGAMT",PLabel,0)-1,1,1),1)</f>
        <v>1</v>
      </c>
      <c r="I175" s="615" t="str" cm="1">
        <f t="array" aca="1" ref="I175" ca="1">OFFSET(POrigin,MATCH(Valori[[#This Row],[LUKB_id]],PID,0),MATCH("M_NAME",PLabel,0)-1,1,1)</f>
        <v>KraneShares CSI China Internet ETF</v>
      </c>
      <c r="M175" s="142" t="str" cm="1">
        <f t="array" aca="1" ref="M1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CSI China Internet ETF</v>
      </c>
      <c r="N175" s="1563">
        <f ca="1">COUNTIF('CHF M'!smo_id,Valori[[#This Row],[smo_id]])+COUNTIF('CHF MA'!smo_id,Valori[[#This Row],[smo_id]])+COUNTIF('EUR MB'!smo_id,Valori[[#This Row],[smo_id]])+COUNTIF('EUR M'!smo_id,Valori[[#This Row],[smo_id]])+COUNTIF(AGCO!smo_id,Valori[[#This Row],[smo_id]])</f>
        <v>0</v>
      </c>
      <c r="O175" s="1590" cm="1">
        <f t="array" aca="1" ref="O175" ca="1">SUM(IF('CHF M'!smo_id=Valori[[#This Row],[smo_id]],'CHF M'!Posizione))+SUM(IF('CHF MA'!smo_id=Valori[[#This Row],[smo_id]],'CHF MA'!Posizione))+SUM(IF('EUR MB'!smo_id=Valori[[#This Row],[smo_id]],'EUR MB'!Posizione))+SUM(IF('EUR M'!smo_id=Valori[[#This Row],[smo_id]],'EUR M'!Posizione))+SUM(IF(AGCO!smo_id=Valori[[#This Row],[smo_id]],AGCO!Posizione))</f>
        <v>0</v>
      </c>
      <c r="P175" s="1661" t="str">
        <f ca="1">HYPERLINK(Valori[[#This Row],[P_Source]],"è")</f>
        <v>è</v>
      </c>
      <c r="Q175" s="1663" t="str">
        <f>HYPERLINK(Valori[[#This Row],[Info_W]],"i")</f>
        <v>i</v>
      </c>
      <c r="R175" s="1664" t="str">
        <f>HYPERLINK(Valori[[#This Row],[FN_W]],"")</f>
        <v></v>
      </c>
      <c r="S175" s="1665" t="str">
        <f>HYPERLINK(Valori[[#This Row],[MS_Link]],"")</f>
        <v></v>
      </c>
      <c r="T175" s="1665" t="str">
        <f>HYPERLINK(Valori[[#This Row],[C_source]],"")</f>
        <v></v>
      </c>
      <c r="U175" s="142" t="str" cm="1">
        <f t="array" aca="1" ref="U175" ca="1">OFFSET(POrigin,MATCH(Valori[[#This Row],[LUKB_id]],PID,0),MATCH("M_CUR",PLabel,0)-1,1,1)</f>
        <v>USD</v>
      </c>
      <c r="V175" s="1562">
        <f ca="1">(Valori[[#This Row],[Last]]+Valori[[#This Row],[Acc. Int]])/Valori[[#This Row],[Pr.Amt]]/IF(Valori[[#This Row],[P_Type]]="Pct",100,1)</f>
        <v>29.574999999999999</v>
      </c>
      <c r="W175" s="1591" cm="1">
        <f t="array" aca="1" ref="W175" ca="1">OFFSET(POrigin,MATCH(Valori[[#This Row],[LUKB_id]],PID,0),MATCH("NC2_PR",PLabel,0)-1,1,1)/100</f>
        <v>-3.5073409461663999E-2</v>
      </c>
      <c r="X175" s="1592" cm="1">
        <f t="array" aca="1" ref="X175" ca="1">OFFSET(POrigin,MATCH(Valori[[#This Row],[LUKB_id]],PID,0),MATCH("LVAL",PLabel,0)-1,1,1)</f>
        <v>29.574999999999999</v>
      </c>
      <c r="Y175" s="1593" cm="1">
        <f t="array" aca="1" ref="Y175" ca="1">OFFSET(POrigin,MATCH(Valori[[#This Row],[LUKB_id]],PID,0),MATCH("LVAL:datetime",PLabel,0)-1,1,1)</f>
        <v>46084.785914351851</v>
      </c>
      <c r="Z175" s="1594" cm="1">
        <f t="array" aca="1" ref="Z175" ca="1">OFFSET(POrigin,MATCH(Valori[[#This Row],[LUKB_id]],PID,0),MATCH("BID:volume",PLabel,0)-1,1,1)</f>
        <v>7700</v>
      </c>
      <c r="AA175" s="1595" cm="1">
        <f t="array" aca="1" ref="AA175" ca="1">OFFSET(POrigin,MATCH(Valori[[#This Row],[LUKB_id]],PID,0),MATCH("BID",PLabel,0)-1,1,1)</f>
        <v>29.57</v>
      </c>
      <c r="AB175" s="1595" cm="1">
        <f t="array" aca="1" ref="AB175" ca="1">OFFSET(POrigin,MATCH(Valori[[#This Row],[LUKB_id]],PID,0),MATCH("ASK",PLabel,0)-1,1,1)</f>
        <v>29.580000000000002</v>
      </c>
      <c r="AC175" s="1594" cm="1">
        <f t="array" aca="1" ref="AC175" ca="1">OFFSET(POrigin,MATCH(Valori[[#This Row],[LUKB_id]],PID,0),MATCH("ASK:volume",PLabel,0)-1,1,1)</f>
        <v>16600</v>
      </c>
      <c r="AD175" s="1596" cm="1">
        <f t="array" aca="1" ref="AD175" ca="1">OFFSET(POrigin,MATCH(Valori[[#This Row],[LUKB_id]],PID,0),MATCH("BID-ASK Spread %",PLabel,0)-1,1,1)</f>
        <v>2.2542831379624806E-4</v>
      </c>
      <c r="AE175" s="1597" t="str" cm="1">
        <f t="array" aca="1" ref="AE175" ca="1">IF(OFFSET(POrigin,MATCH(Valori[[#This Row],[LUKB_id]],PID,0),MATCH("MATURITY",PLabel,0)-1,1,1)&gt;0,OFFSET(POrigin,MATCH(Valori[[#This Row],[LUKB_id]],PID,0),MATCH("MATURITY",PLabel,0)-1,1,1),"")</f>
        <v/>
      </c>
      <c r="AF175" s="1598" cm="1">
        <f t="array" aca="1" ref="AF175" ca="1">OFFSET(POrigin,MATCH(Valori[[#This Row],[LUKB_id]],PID,0),MATCH("ACCINT",PLabel,0)-1,1,1)</f>
        <v>0</v>
      </c>
      <c r="AG175" s="1594" cm="1">
        <f t="array" aca="1" ref="AG175" ca="1">OFFSET(POrigin,MATCH(Valori[[#This Row],[LUKB_id]],PID,0),MATCH("DENOM",PLabel,0)-1,1,1)</f>
        <v>0</v>
      </c>
      <c r="AH175" s="1599" cm="1">
        <f t="array" aca="1" ref="AH175" ca="1">(OFFSET(POrigin,MATCH(Valori[[#This Row],[LUKB_id]],PID,0),MATCH("YIELD",PLabel,0)-1,1,1)+OFFSET(POrigin,MATCH(Valori[[#This Row],[LUKB_id]],PID,0),MATCH("YLDEQ",PLabel,0)-1,1,1))/100</f>
        <v>0</v>
      </c>
      <c r="AI175" s="1600">
        <f ca="1">OFFSET(POrigin,MATCH(Valori[[#This Row],[LUKB_id]],PID,0),MATCH("DIVIDEND",PLabel,0)-1,1,1)</f>
        <v>2.096231</v>
      </c>
      <c r="AJ175" s="1601">
        <f ca="1">OFFSET(POrigin,MATCH(Valori[[#This Row],[LUKB_id]],PID,0),MATCH("DIVIDEND:datetime",PLabel,0)-1,1,1)</f>
        <v>46013</v>
      </c>
      <c r="AK175" s="1602">
        <f ca="1">OFFSET(POrigin,MATCH(Valori[[#This Row],[LUKB_id]],PID,0),MATCH("INTEREST",PLabel,0)-1,1,1)</f>
        <v>0</v>
      </c>
      <c r="AL175" s="1603">
        <f ca="1">OFFSET(POrigin,MATCH(Valori[[#This Row],[LUKB_id]],PID,0),MATCH("4W_PERF_PR",PLabel,0)-1,1,1)/100</f>
        <v>-0.14076118999999998</v>
      </c>
      <c r="AM175" s="1603">
        <f ca="1">OFFSET(POrigin,MATCH(Valori[[#This Row],[LUKB_id]],PID,0),MATCH("12W_PERF_PR",PLabel,0)-1,1,1)/100</f>
        <v>-0.20196977999999999</v>
      </c>
      <c r="AN175" s="1603">
        <f ca="1">OFFSET(POrigin,MATCH(Valori[[#This Row],[LUKB_id]],PID,0),MATCH("YTD_PERF_PR",PLabel,0)-1,1,1)/100</f>
        <v>-9.9853157121879491E-2</v>
      </c>
      <c r="AO175" s="1591"/>
      <c r="AP175" s="1591"/>
      <c r="AQ175" s="1591"/>
      <c r="AR175" s="1591"/>
      <c r="AS175" s="1890"/>
      <c r="AT175" s="1890"/>
      <c r="AU175" s="610"/>
      <c r="AV175" s="1891"/>
      <c r="AW175" s="1604" t="str">
        <f ca="1">"https://boersenundmaerkte.lukb.ch/lukb/details/"&amp;Valori[[#This Row],[LUKB_id]]</f>
        <v>https://boersenundmaerkte.lukb.ch/lukb/details/22031846,321,333</v>
      </c>
      <c r="AX17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5" s="142"/>
      <c r="AZ175" s="142"/>
      <c r="BA175" s="142"/>
      <c r="BB175" s="142"/>
    </row>
    <row r="176" spans="1:54" ht="15" customHeight="1" x14ac:dyDescent="0.2">
      <c r="A176" s="142" t="s">
        <v>1314</v>
      </c>
      <c r="B176" s="142" t="str" cm="1">
        <f t="array" aca="1" ref="B176" ca="1">OFFSET(POrigin,MATCH(Valori[[#This Row],[smo_id]],Posizioni[smo_id],0),MATCH("LUKB_id",PIntestazioni,0)-1,1,1)</f>
        <v>44978533,361,333</v>
      </c>
      <c r="C176" s="1668" t="str">
        <f ca="1">HYPERLINK("https://boersenundmaerkte.lukb.ch/lukb/details/"&amp;Valori[[#This Row],[LUKB_id]],"è")</f>
        <v>è</v>
      </c>
      <c r="D176" s="142" t="str" cm="1">
        <f t="array" aca="1" ref="D176" ca="1">OFFSET(POrigin,MATCH(Valori[[#This Row],[LUKB_id]],PID,0),MATCH("SC_GROUPED",PIntestazioni,0)-1,1,1)</f>
        <v>ETF</v>
      </c>
      <c r="E176" s="413" t="str" cm="1">
        <f t="array" aca="1" ref="E176" ca="1">OFFSET(POrigin,MATCH(Valori[[#This Row],[LUKB_id]],PID,0),MATCH("isin",PIntestazioni,0)-1,1,1)</f>
        <v>IE00BFXR7892</v>
      </c>
      <c r="F176" s="34" t="str" cm="1">
        <f t="array" aca="1" ref="F176" ca="1">OFFSET(POrigin,MATCH(Valori[[#This Row],[LUKB_id]],PID,0),MATCH("NSIN_CH",PLabel,0)-1,1,1)</f>
        <v>44978533</v>
      </c>
      <c r="G176" s="95" t="str" cm="1">
        <f t="array" aca="1" ref="G176" ca="1">IF(OFFSET(POrigin,MATCH(Valori[[#This Row],[LUKB_id]],PID,0),MATCH("INSTRUNIT",PLabel,0)-1,1,1)="Nominal","Pct","Unit")</f>
        <v>Unit</v>
      </c>
      <c r="H176" s="612">
        <f ca="1">MAX(OFFSET(POrigin,MATCH(Valori[[#This Row],[LUKB_id]],PID,0),MATCH("PRICINGAMT",PLabel,0)-1,1,1),1)</f>
        <v>1</v>
      </c>
      <c r="I176" s="615" t="str" cm="1">
        <f t="array" aca="1" ref="I176" ca="1">OFFSET(POrigin,MATCH(Valori[[#This Row],[LUKB_id]],PID,0),MATCH("M_NAME",PLabel,0)-1,1,1)</f>
        <v>KraneShares ICAV - KraneShares CSI China Internet UCITS ETF</v>
      </c>
      <c r="M176" s="142" t="str" cm="1">
        <f t="array" aca="1" ref="M1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ICAV - KraneShares CSI China Internet UCITS ETF</v>
      </c>
      <c r="N176" s="1563">
        <f ca="1">COUNTIF('CHF M'!smo_id,Valori[[#This Row],[smo_id]])+COUNTIF('CHF MA'!smo_id,Valori[[#This Row],[smo_id]])+COUNTIF('EUR MB'!smo_id,Valori[[#This Row],[smo_id]])+COUNTIF('EUR M'!smo_id,Valori[[#This Row],[smo_id]])+COUNTIF(AGCO!smo_id,Valori[[#This Row],[smo_id]])</f>
        <v>0</v>
      </c>
      <c r="O176" s="1590" cm="1">
        <f t="array" aca="1" ref="O176" ca="1">SUM(IF('CHF M'!smo_id=Valori[[#This Row],[smo_id]],'CHF M'!Posizione))+SUM(IF('CHF MA'!smo_id=Valori[[#This Row],[smo_id]],'CHF MA'!Posizione))+SUM(IF('EUR MB'!smo_id=Valori[[#This Row],[smo_id]],'EUR MB'!Posizione))+SUM(IF('EUR M'!smo_id=Valori[[#This Row],[smo_id]],'EUR M'!Posizione))+SUM(IF(AGCO!smo_id=Valori[[#This Row],[smo_id]],AGCO!Posizione))</f>
        <v>0</v>
      </c>
      <c r="P176" s="1661" t="str">
        <f ca="1">HYPERLINK(Valori[[#This Row],[P_Source]],"è")</f>
        <v>è</v>
      </c>
      <c r="Q176" s="1663" t="str">
        <f>HYPERLINK(Valori[[#This Row],[Info_W]],"i")</f>
        <v>i</v>
      </c>
      <c r="R176" s="1664" t="str">
        <f>HYPERLINK(Valori[[#This Row],[FN_W]],"")</f>
        <v></v>
      </c>
      <c r="S176" s="1665" t="str">
        <f>HYPERLINK(Valori[[#This Row],[MS_Link]],"")</f>
        <v></v>
      </c>
      <c r="T176" s="1665" t="str">
        <f>HYPERLINK(Valori[[#This Row],[C_source]],"")</f>
        <v></v>
      </c>
      <c r="U176" s="142" t="str" cm="1">
        <f t="array" aca="1" ref="U176" ca="1">OFFSET(POrigin,MATCH(Valori[[#This Row],[LUKB_id]],PID,0),MATCH("M_CUR",PLabel,0)-1,1,1)</f>
        <v>USD</v>
      </c>
      <c r="V176" s="1562">
        <f ca="1">(Valori[[#This Row],[Last]]+Valori[[#This Row],[Acc. Int]])/Valori[[#This Row],[Pr.Amt]]/IF(Valori[[#This Row],[P_Type]]="Pct",100,1)</f>
        <v>22.28</v>
      </c>
      <c r="W176" s="1591" cm="1">
        <f t="array" aca="1" ref="W176" ca="1">OFFSET(POrigin,MATCH(Valori[[#This Row],[LUKB_id]],PID,0),MATCH("NC2_PR",PLabel,0)-1,1,1)/100</f>
        <v>-2.6861760209652797E-2</v>
      </c>
      <c r="X176" s="1592" cm="1">
        <f t="array" aca="1" ref="X176" ca="1">OFFSET(POrigin,MATCH(Valori[[#This Row],[LUKB_id]],PID,0),MATCH("LVAL",PLabel,0)-1,1,1)</f>
        <v>22.28</v>
      </c>
      <c r="Y176" s="1593" cm="1">
        <f t="array" aca="1" ref="Y176" ca="1">OFFSET(POrigin,MATCH(Valori[[#This Row],[LUKB_id]],PID,0),MATCH("LVAL:datetime",PLabel,0)-1,1,1)</f>
        <v>46084.732893518521</v>
      </c>
      <c r="Z176" s="1594" cm="1">
        <f t="array" aca="1" ref="Z176" ca="1">OFFSET(POrigin,MATCH(Valori[[#This Row],[LUKB_id]],PID,0),MATCH("BID:volume",PLabel,0)-1,1,1)</f>
        <v>15</v>
      </c>
      <c r="AA176" s="1595" cm="1">
        <f t="array" aca="1" ref="AA176" ca="1">OFFSET(POrigin,MATCH(Valori[[#This Row],[LUKB_id]],PID,0),MATCH("BID",PLabel,0)-1,1,1)</f>
        <v>21</v>
      </c>
      <c r="AB176" s="1595" cm="1">
        <f t="array" aca="1" ref="AB176" ca="1">OFFSET(POrigin,MATCH(Valori[[#This Row],[LUKB_id]],PID,0),MATCH("ASK",PLabel,0)-1,1,1)</f>
        <v>24.5</v>
      </c>
      <c r="AC176" s="1594" cm="1">
        <f t="array" aca="1" ref="AC176" ca="1">OFFSET(POrigin,MATCH(Valori[[#This Row],[LUKB_id]],PID,0),MATCH("ASK:volume",PLabel,0)-1,1,1)</f>
        <v>100</v>
      </c>
      <c r="AD176" s="1596" cm="1">
        <f t="array" aca="1" ref="AD176" ca="1">OFFSET(POrigin,MATCH(Valori[[#This Row],[LUKB_id]],PID,0),MATCH("BID-ASK Spread %",PLabel,0)-1,1,1)</f>
        <v>0.10526315789473684</v>
      </c>
      <c r="AE176" s="1597" t="str" cm="1">
        <f t="array" aca="1" ref="AE176" ca="1">IF(OFFSET(POrigin,MATCH(Valori[[#This Row],[LUKB_id]],PID,0),MATCH("MATURITY",PLabel,0)-1,1,1)&gt;0,OFFSET(POrigin,MATCH(Valori[[#This Row],[LUKB_id]],PID,0),MATCH("MATURITY",PLabel,0)-1,1,1),"")</f>
        <v/>
      </c>
      <c r="AF176" s="1598" cm="1">
        <f t="array" aca="1" ref="AF176" ca="1">OFFSET(POrigin,MATCH(Valori[[#This Row],[LUKB_id]],PID,0),MATCH("ACCINT",PLabel,0)-1,1,1)</f>
        <v>0</v>
      </c>
      <c r="AG176" s="1594" cm="1">
        <f t="array" aca="1" ref="AG176" ca="1">OFFSET(POrigin,MATCH(Valori[[#This Row],[LUKB_id]],PID,0),MATCH("DENOM",PLabel,0)-1,1,1)</f>
        <v>0</v>
      </c>
      <c r="AH176" s="1599" cm="1">
        <f t="array" aca="1" ref="AH176" ca="1">(OFFSET(POrigin,MATCH(Valori[[#This Row],[LUKB_id]],PID,0),MATCH("YIELD",PLabel,0)-1,1,1)+OFFSET(POrigin,MATCH(Valori[[#This Row],[LUKB_id]],PID,0),MATCH("YLDEQ",PLabel,0)-1,1,1))/100</f>
        <v>0</v>
      </c>
      <c r="AI176" s="1600">
        <f ca="1">OFFSET(POrigin,MATCH(Valori[[#This Row],[LUKB_id]],PID,0),MATCH("DIVIDEND",PLabel,0)-1,1,1)</f>
        <v>0</v>
      </c>
      <c r="AJ176" s="1601">
        <f ca="1">OFFSET(POrigin,MATCH(Valori[[#This Row],[LUKB_id]],PID,0),MATCH("DIVIDEND:datetime",PLabel,0)-1,1,1)</f>
        <v>0</v>
      </c>
      <c r="AK176" s="1602">
        <f ca="1">OFFSET(POrigin,MATCH(Valori[[#This Row],[LUKB_id]],PID,0),MATCH("INTEREST",PLabel,0)-1,1,1)</f>
        <v>0</v>
      </c>
      <c r="AL176" s="1603">
        <f ca="1">OFFSET(POrigin,MATCH(Valori[[#This Row],[LUKB_id]],PID,0),MATCH("4W_PERF_PR",PLabel,0)-1,1,1)/100</f>
        <v>-0.14340638</v>
      </c>
      <c r="AM176" s="1603">
        <f ca="1">OFFSET(POrigin,MATCH(Valori[[#This Row],[LUKB_id]],PID,0),MATCH("12W_PERF_PR",PLabel,0)-1,1,1)/100</f>
        <v>-0.15156130999999998</v>
      </c>
      <c r="AN176" s="1603">
        <f ca="1">OFFSET(POrigin,MATCH(Valori[[#This Row],[LUKB_id]],PID,0),MATCH("YTD_PERF_PR",PLabel,0)-1,1,1)/100</f>
        <v>-0.11670524691358</v>
      </c>
      <c r="AO176" s="1591"/>
      <c r="AP176" s="1591"/>
      <c r="AQ176" s="1591"/>
      <c r="AR176" s="1591"/>
      <c r="AS176" s="1890"/>
      <c r="AT176" s="1890"/>
      <c r="AU176" s="610"/>
      <c r="AV176" s="1891"/>
      <c r="AW176" s="1604" t="str">
        <f ca="1">"https://boersenundmaerkte.lukb.ch/lukb/details/"&amp;Valori[[#This Row],[LUKB_id]]</f>
        <v>https://boersenundmaerkte.lukb.ch/lukb/details/44978533,361,333</v>
      </c>
      <c r="AX17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6" s="142"/>
      <c r="AZ176" s="142"/>
      <c r="BA176" s="142"/>
      <c r="BB176" s="142"/>
    </row>
    <row r="177" spans="1:54" ht="15" customHeight="1" x14ac:dyDescent="0.2">
      <c r="A177" s="142" t="s">
        <v>1315</v>
      </c>
      <c r="B177" s="142" t="str" cm="1">
        <f t="array" aca="1" ref="B177" ca="1">OFFSET(POrigin,MATCH(Valori[[#This Row],[smo_id]],Posizioni[smo_id],0),MATCH("LUKB_id",PIntestazioni,0)-1,1,1)</f>
        <v>11167373,361,333</v>
      </c>
      <c r="C177" s="1668" t="str">
        <f ca="1">HYPERLINK("https://boersenundmaerkte.lukb.ch/lukb/details/"&amp;Valori[[#This Row],[LUKB_id]],"è")</f>
        <v>è</v>
      </c>
      <c r="D177" s="142" t="str" cm="1">
        <f t="array" aca="1" ref="D177" ca="1">OFFSET(POrigin,MATCH(Valori[[#This Row],[LUKB_id]],PID,0),MATCH("SC_GROUPED",PIntestazioni,0)-1,1,1)</f>
        <v>ETF</v>
      </c>
      <c r="E177" s="413" t="str" cm="1">
        <f t="array" aca="1" ref="E177" ca="1">OFFSET(POrigin,MATCH(Valori[[#This Row],[LUKB_id]],PID,0),MATCH("isin",PIntestazioni,0)-1,1,1)</f>
        <v>IE00B4WPHX27</v>
      </c>
      <c r="F177" s="34" t="str" cm="1">
        <f t="array" aca="1" ref="F177" ca="1">OFFSET(POrigin,MATCH(Valori[[#This Row],[LUKB_id]],PID,0),MATCH("NSIN_CH",PLabel,0)-1,1,1)</f>
        <v>11167373</v>
      </c>
      <c r="G177" s="95" t="str" cm="1">
        <f t="array" aca="1" ref="G177" ca="1">IF(OFFSET(POrigin,MATCH(Valori[[#This Row],[LUKB_id]],PID,0),MATCH("INSTRUNIT",PLabel,0)-1,1,1)="Nominal","Pct","Unit")</f>
        <v>Unit</v>
      </c>
      <c r="H177" s="612">
        <f ca="1">MAX(OFFSET(POrigin,MATCH(Valori[[#This Row],[LUKB_id]],PID,0),MATCH("PRICINGAMT",PLabel,0)-1,1,1),1)</f>
        <v>1</v>
      </c>
      <c r="I177" s="615" t="str" cm="1">
        <f t="array" aca="1" ref="I177" ca="1">OFFSET(POrigin,MATCH(Valori[[#This Row],[LUKB_id]],PID,0),MATCH("M_NAME",PLabel,0)-1,1,1)</f>
        <v>Legal &amp; General UCITS ETF Plc - L&amp;G Longer Dated All Commodities UCITS ETF</v>
      </c>
      <c r="J177" s="142" t="s">
        <v>1316</v>
      </c>
      <c r="K177" s="142" t="s">
        <v>784</v>
      </c>
      <c r="M177" s="142" t="str" cm="1">
        <f t="array" aca="1" ref="M1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Longer Dated All Commodities UCITS ETF (COMF)</v>
      </c>
      <c r="N177" s="1563">
        <f ca="1">COUNTIF('CHF M'!smo_id,Valori[[#This Row],[smo_id]])+COUNTIF('CHF MA'!smo_id,Valori[[#This Row],[smo_id]])+COUNTIF('EUR MB'!smo_id,Valori[[#This Row],[smo_id]])+COUNTIF('EUR M'!smo_id,Valori[[#This Row],[smo_id]])+COUNTIF(AGCO!smo_id,Valori[[#This Row],[smo_id]])</f>
        <v>0</v>
      </c>
      <c r="O177" s="1590" cm="1">
        <f t="array" aca="1" ref="O177" ca="1">SUM(IF('CHF M'!smo_id=Valori[[#This Row],[smo_id]],'CHF M'!Posizione))+SUM(IF('CHF MA'!smo_id=Valori[[#This Row],[smo_id]],'CHF MA'!Posizione))+SUM(IF('EUR MB'!smo_id=Valori[[#This Row],[smo_id]],'EUR MB'!Posizione))+SUM(IF('EUR M'!smo_id=Valori[[#This Row],[smo_id]],'EUR M'!Posizione))+SUM(IF(AGCO!smo_id=Valori[[#This Row],[smo_id]],AGCO!Posizione))</f>
        <v>0</v>
      </c>
      <c r="P177" s="1661" t="str">
        <f ca="1">HYPERLINK(Valori[[#This Row],[P_Source]],"è")</f>
        <v>è</v>
      </c>
      <c r="Q177" s="1663" t="str">
        <f>HYPERLINK(Valori[[#This Row],[Info_W]],"i")</f>
        <v>i</v>
      </c>
      <c r="R177" s="1664" t="str">
        <f>HYPERLINK(Valori[[#This Row],[FN_W]],"")</f>
        <v></v>
      </c>
      <c r="S177" s="1665" t="str">
        <f>HYPERLINK(Valori[[#This Row],[MS_Link]],"")</f>
        <v></v>
      </c>
      <c r="T177" s="1665" t="str">
        <f>HYPERLINK(Valori[[#This Row],[C_source]],"")</f>
        <v></v>
      </c>
      <c r="U177" s="142" t="str" cm="1">
        <f t="array" aca="1" ref="U177" ca="1">OFFSET(POrigin,MATCH(Valori[[#This Row],[LUKB_id]],PID,0),MATCH("M_CUR",PLabel,0)-1,1,1)</f>
        <v>USD</v>
      </c>
      <c r="V177" s="1562">
        <f ca="1">(Valori[[#This Row],[Last]]+Valori[[#This Row],[Acc. Int]])/Valori[[#This Row],[Pr.Amt]]/IF(Valori[[#This Row],[P_Type]]="Pct",100,1)</f>
        <v>29.52</v>
      </c>
      <c r="W177" s="1591" cm="1">
        <f t="array" aca="1" ref="W177" ca="1">OFFSET(POrigin,MATCH(Valori[[#This Row],[LUKB_id]],PID,0),MATCH("NC2_PR",PLabel,0)-1,1,1)/100</f>
        <v>3.3990482664853997E-3</v>
      </c>
      <c r="X177" s="1592" cm="1">
        <f t="array" aca="1" ref="X177" ca="1">OFFSET(POrigin,MATCH(Valori[[#This Row],[LUKB_id]],PID,0),MATCH("LVAL",PLabel,0)-1,1,1)</f>
        <v>29.52</v>
      </c>
      <c r="Y177" s="1593" cm="1">
        <f t="array" aca="1" ref="Y177" ca="1">OFFSET(POrigin,MATCH(Valori[[#This Row],[LUKB_id]],PID,0),MATCH("LVAL:datetime",PLabel,0)-1,1,1)</f>
        <v>46084.732893518521</v>
      </c>
      <c r="Z177" s="1594" cm="1">
        <f t="array" aca="1" ref="Z177" ca="1">OFFSET(POrigin,MATCH(Valori[[#This Row],[LUKB_id]],PID,0),MATCH("BID:volume",PLabel,0)-1,1,1)</f>
        <v>529</v>
      </c>
      <c r="AA177" s="1595" cm="1">
        <f t="array" aca="1" ref="AA177" ca="1">OFFSET(POrigin,MATCH(Valori[[#This Row],[LUKB_id]],PID,0),MATCH("BID",PLabel,0)-1,1,1)</f>
        <v>25.25</v>
      </c>
      <c r="AB177" s="1595" cm="1">
        <f t="array" aca="1" ref="AB177" ca="1">OFFSET(POrigin,MATCH(Valori[[#This Row],[LUKB_id]],PID,0),MATCH("ASK",PLabel,0)-1,1,1)</f>
        <v>29.67</v>
      </c>
      <c r="AC177" s="1594" cm="1">
        <f t="array" aca="1" ref="AC177" ca="1">OFFSET(POrigin,MATCH(Valori[[#This Row],[LUKB_id]],PID,0),MATCH("ASK:volume",PLabel,0)-1,1,1)</f>
        <v>22303</v>
      </c>
      <c r="AD177" s="1596" cm="1">
        <f t="array" aca="1" ref="AD177" ca="1">OFFSET(POrigin,MATCH(Valori[[#This Row],[LUKB_id]],PID,0),MATCH("BID-ASK Spread %",PLabel,0)-1,1,1)</f>
        <v>0.11026568541848576</v>
      </c>
      <c r="AE177" s="1597" t="str" cm="1">
        <f t="array" aca="1" ref="AE177" ca="1">IF(OFFSET(POrigin,MATCH(Valori[[#This Row],[LUKB_id]],PID,0),MATCH("MATURITY",PLabel,0)-1,1,1)&gt;0,OFFSET(POrigin,MATCH(Valori[[#This Row],[LUKB_id]],PID,0),MATCH("MATURITY",PLabel,0)-1,1,1),"")</f>
        <v/>
      </c>
      <c r="AF177" s="1598" cm="1">
        <f t="array" aca="1" ref="AF177" ca="1">OFFSET(POrigin,MATCH(Valori[[#This Row],[LUKB_id]],PID,0),MATCH("ACCINT",PLabel,0)-1,1,1)</f>
        <v>0</v>
      </c>
      <c r="AG177" s="1594" cm="1">
        <f t="array" aca="1" ref="AG177" ca="1">OFFSET(POrigin,MATCH(Valori[[#This Row],[LUKB_id]],PID,0),MATCH("DENOM",PLabel,0)-1,1,1)</f>
        <v>0</v>
      </c>
      <c r="AH177" s="1599" cm="1">
        <f t="array" aca="1" ref="AH177" ca="1">(OFFSET(POrigin,MATCH(Valori[[#This Row],[LUKB_id]],PID,0),MATCH("YIELD",PLabel,0)-1,1,1)+OFFSET(POrigin,MATCH(Valori[[#This Row],[LUKB_id]],PID,0),MATCH("YLDEQ",PLabel,0)-1,1,1))/100</f>
        <v>0</v>
      </c>
      <c r="AI177" s="1600">
        <f ca="1">OFFSET(POrigin,MATCH(Valori[[#This Row],[LUKB_id]],PID,0),MATCH("DIVIDEND",PLabel,0)-1,1,1)</f>
        <v>0</v>
      </c>
      <c r="AJ177" s="1601">
        <f ca="1">OFFSET(POrigin,MATCH(Valori[[#This Row],[LUKB_id]],PID,0),MATCH("DIVIDEND:datetime",PLabel,0)-1,1,1)</f>
        <v>0</v>
      </c>
      <c r="AK177" s="1602">
        <f ca="1">OFFSET(POrigin,MATCH(Valori[[#This Row],[LUKB_id]],PID,0),MATCH("INTEREST",PLabel,0)-1,1,1)</f>
        <v>0</v>
      </c>
      <c r="AL177" s="1603">
        <f ca="1">OFFSET(POrigin,MATCH(Valori[[#This Row],[LUKB_id]],PID,0),MATCH("4W_PERF_PR",PLabel,0)-1,1,1)/100</f>
        <v>4.9040510000000002E-2</v>
      </c>
      <c r="AM177" s="1603">
        <f ca="1">OFFSET(POrigin,MATCH(Valori[[#This Row],[LUKB_id]],PID,0),MATCH("12W_PERF_PR",PLabel,0)-1,1,1)/100</f>
        <v>0.12671756000000001</v>
      </c>
      <c r="AN177" s="1603">
        <f ca="1">OFFSET(POrigin,MATCH(Valori[[#This Row],[LUKB_id]],PID,0),MATCH("YTD_PERF_PR",PLabel,0)-1,1,1)/100</f>
        <v>0.110398188337423</v>
      </c>
      <c r="AO177" s="1591"/>
      <c r="AP177" s="1591"/>
      <c r="AQ177" s="1591"/>
      <c r="AR177" s="1591"/>
      <c r="AS177" s="1890" t="s">
        <v>1317</v>
      </c>
      <c r="AT177" s="1890" t="s">
        <v>1318</v>
      </c>
      <c r="AU177" s="610" t="s">
        <v>1319</v>
      </c>
      <c r="AV177" s="1891" t="s">
        <v>1320</v>
      </c>
      <c r="AW177" s="1604" t="str">
        <f ca="1">"https://boersenundmaerkte.lukb.ch/lukb/details/"&amp;Valori[[#This Row],[LUKB_id]]</f>
        <v>https://boersenundmaerkte.lukb.ch/lukb/details/11167373,361,333</v>
      </c>
      <c r="AX177" s="1605" t="str">
        <f>"https://www.marketscreener.com/mods_a/charts/TV/inc_dyna_graph.php?c="&amp;Valori[[#This Row],[MS_Code]]&amp;"&amp;style=TradingView.CANDLES&amp;interval=(null)&amp;mobile=(null)&amp;showAT=1"</f>
        <v>https://www.marketscreener.com/mods_a/charts/TV/inc_dyna_graph.php?c=27367197&amp;style=TradingView.CANDLES&amp;interval=(null)&amp;mobile=(null)&amp;showAT=1</v>
      </c>
      <c r="AY177" s="142"/>
      <c r="AZ177" s="142"/>
      <c r="BA177" s="142"/>
      <c r="BB177" s="142"/>
    </row>
    <row r="178" spans="1:54" ht="15" customHeight="1" x14ac:dyDescent="0.2">
      <c r="A178" s="142" t="s">
        <v>1321</v>
      </c>
      <c r="B178" s="142" t="str" cm="1">
        <f t="array" aca="1" ref="B178" ca="1">OFFSET(POrigin,MATCH(Valori[[#This Row],[smo_id]],Posizioni[smo_id],0),MATCH("LUKB_id",PIntestazioni,0)-1,1,1)</f>
        <v>112547249,361,333</v>
      </c>
      <c r="C178" s="1668" t="str">
        <f ca="1">HYPERLINK("https://boersenundmaerkte.lukb.ch/lukb/details/"&amp;Valori[[#This Row],[LUKB_id]],"è")</f>
        <v>è</v>
      </c>
      <c r="D178" s="142" t="str" cm="1">
        <f t="array" aca="1" ref="D178" ca="1">OFFSET(POrigin,MATCH(Valori[[#This Row],[LUKB_id]],PID,0),MATCH("SC_GROUPED",PIntestazioni,0)-1,1,1)</f>
        <v>ETF</v>
      </c>
      <c r="E178" s="413" t="str" cm="1">
        <f t="array" aca="1" ref="E178" ca="1">OFFSET(POrigin,MATCH(Valori[[#This Row],[LUKB_id]],PID,0),MATCH("isin",PIntestazioni,0)-1,1,1)</f>
        <v>IE00BFXR6159</v>
      </c>
      <c r="F178" s="34" t="str" cm="1">
        <f t="array" aca="1" ref="F178" ca="1">OFFSET(POrigin,MATCH(Valori[[#This Row],[LUKB_id]],PID,0),MATCH("NSIN_CH",PLabel,0)-1,1,1)</f>
        <v>112547249</v>
      </c>
      <c r="G178" s="95" t="str" cm="1">
        <f t="array" aca="1" ref="G178" ca="1">IF(OFFSET(POrigin,MATCH(Valori[[#This Row],[LUKB_id]],PID,0),MATCH("INSTRUNIT",PLabel,0)-1,1,1)="Nominal","Pct","Unit")</f>
        <v>Unit</v>
      </c>
      <c r="H178" s="612">
        <f ca="1">MAX(OFFSET(POrigin,MATCH(Valori[[#This Row],[LUKB_id]],PID,0),MATCH("PRICINGAMT",PLabel,0)-1,1,1),1)</f>
        <v>1</v>
      </c>
      <c r="I178" s="615" t="str" cm="1">
        <f t="array" aca="1" ref="I178" ca="1">OFFSET(POrigin,MATCH(Valori[[#This Row],[LUKB_id]],PID,0),MATCH("M_NAME",PLabel,0)-1,1,1)</f>
        <v>Legal &amp; General UCITS ETF PLC - L&amp;G Multi-Strategy Enhanced Commodities UCITS ETF</v>
      </c>
      <c r="J178" s="142" t="s">
        <v>787</v>
      </c>
      <c r="K178" s="142" t="s">
        <v>784</v>
      </c>
      <c r="M178" s="142" t="str" cm="1">
        <f t="array" aca="1" ref="M1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Multi-Strategy Enhanced Commodities UCITS ETF (ENCO)</v>
      </c>
      <c r="N178" s="1563">
        <f ca="1">COUNTIF('CHF M'!smo_id,Valori[[#This Row],[smo_id]])+COUNTIF('CHF MA'!smo_id,Valori[[#This Row],[smo_id]])+COUNTIF('EUR MB'!smo_id,Valori[[#This Row],[smo_id]])+COUNTIF('EUR M'!smo_id,Valori[[#This Row],[smo_id]])+COUNTIF(AGCO!smo_id,Valori[[#This Row],[smo_id]])</f>
        <v>5</v>
      </c>
      <c r="O178" s="1590" cm="1">
        <f t="array" aca="1" ref="O178" ca="1">SUM(IF('CHF M'!smo_id=Valori[[#This Row],[smo_id]],'CHF M'!Posizione))+SUM(IF('CHF MA'!smo_id=Valori[[#This Row],[smo_id]],'CHF MA'!Posizione))+SUM(IF('EUR MB'!smo_id=Valori[[#This Row],[smo_id]],'EUR MB'!Posizione))+SUM(IF('EUR M'!smo_id=Valori[[#This Row],[smo_id]],'EUR M'!Posizione))+SUM(IF(AGCO!smo_id=Valori[[#This Row],[smo_id]],AGCO!Posizione))</f>
        <v>0</v>
      </c>
      <c r="P178" s="1661" t="str">
        <f ca="1">HYPERLINK(Valori[[#This Row],[P_Source]],"è")</f>
        <v>è</v>
      </c>
      <c r="Q178" s="1663" t="str">
        <f>HYPERLINK(Valori[[#This Row],[Info_W]],"i")</f>
        <v>i</v>
      </c>
      <c r="R178" s="1664" t="str">
        <f>HYPERLINK(Valori[[#This Row],[FN_W]],"")</f>
        <v></v>
      </c>
      <c r="S178" s="1665" t="str">
        <f>HYPERLINK(Valori[[#This Row],[MS_Link]],"")</f>
        <v></v>
      </c>
      <c r="T178" s="1665" t="str">
        <f>HYPERLINK(Valori[[#This Row],[C_source]],"")</f>
        <v></v>
      </c>
      <c r="U178" s="142" t="str" cm="1">
        <f t="array" aca="1" ref="U178" ca="1">OFFSET(POrigin,MATCH(Valori[[#This Row],[LUKB_id]],PID,0),MATCH("M_CUR",PLabel,0)-1,1,1)</f>
        <v>USD</v>
      </c>
      <c r="V178" s="1562">
        <f ca="1">(Valori[[#This Row],[Last]]+Valori[[#This Row],[Acc. Int]])/Valori[[#This Row],[Pr.Amt]]/IF(Valori[[#This Row],[P_Type]]="Pct",100,1)</f>
        <v>16.881</v>
      </c>
      <c r="W178" s="1591" cm="1">
        <f t="array" aca="1" ref="W178" ca="1">OFFSET(POrigin,MATCH(Valori[[#This Row],[LUKB_id]],PID,0),MATCH("NC2_PR",PLabel,0)-1,1,1)/100</f>
        <v>9.7828680505846997E-3</v>
      </c>
      <c r="X178" s="1592" cm="1">
        <f t="array" aca="1" ref="X178" ca="1">OFFSET(POrigin,MATCH(Valori[[#This Row],[LUKB_id]],PID,0),MATCH("LVAL",PLabel,0)-1,1,1)</f>
        <v>16.881</v>
      </c>
      <c r="Y178" s="1593" cm="1">
        <f t="array" aca="1" ref="Y178" ca="1">OFFSET(POrigin,MATCH(Valori[[#This Row],[LUKB_id]],PID,0),MATCH("LVAL:datetime",PLabel,0)-1,1,1)</f>
        <v>46084.73296296296</v>
      </c>
      <c r="Z178" s="1594" cm="1">
        <f t="array" aca="1" ref="Z178" ca="1">OFFSET(POrigin,MATCH(Valori[[#This Row],[LUKB_id]],PID,0),MATCH("BID:volume",PLabel,0)-1,1,1)</f>
        <v>430</v>
      </c>
      <c r="AA178" s="1595" cm="1">
        <f t="array" aca="1" ref="AA178" ca="1">OFFSET(POrigin,MATCH(Valori[[#This Row],[LUKB_id]],PID,0),MATCH("BID",PLabel,0)-1,1,1)</f>
        <v>15.4</v>
      </c>
      <c r="AB178" s="1595" cm="1">
        <f t="array" aca="1" ref="AB178" ca="1">OFFSET(POrigin,MATCH(Valori[[#This Row],[LUKB_id]],PID,0),MATCH("ASK",PLabel,0)-1,1,1)</f>
        <v>16.891999999999999</v>
      </c>
      <c r="AC178" s="1594" cm="1">
        <f t="array" aca="1" ref="AC178" ca="1">OFFSET(POrigin,MATCH(Valori[[#This Row],[LUKB_id]],PID,0),MATCH("ASK:volume",PLabel,0)-1,1,1)</f>
        <v>3641</v>
      </c>
      <c r="AD178" s="1596" cm="1">
        <f t="array" aca="1" ref="AD178" ca="1">OFFSET(POrigin,MATCH(Valori[[#This Row],[LUKB_id]],PID,0),MATCH("BID-ASK Spread %",PLabel,0)-1,1,1)</f>
        <v>6.2568145600939318E-2</v>
      </c>
      <c r="AE178" s="1597" t="str" cm="1">
        <f t="array" aca="1" ref="AE178" ca="1">IF(OFFSET(POrigin,MATCH(Valori[[#This Row],[LUKB_id]],PID,0),MATCH("MATURITY",PLabel,0)-1,1,1)&gt;0,OFFSET(POrigin,MATCH(Valori[[#This Row],[LUKB_id]],PID,0),MATCH("MATURITY",PLabel,0)-1,1,1),"")</f>
        <v/>
      </c>
      <c r="AF178" s="1598" cm="1">
        <f t="array" aca="1" ref="AF178" ca="1">OFFSET(POrigin,MATCH(Valori[[#This Row],[LUKB_id]],PID,0),MATCH("ACCINT",PLabel,0)-1,1,1)</f>
        <v>0</v>
      </c>
      <c r="AG178" s="1594" cm="1">
        <f t="array" aca="1" ref="AG178" ca="1">OFFSET(POrigin,MATCH(Valori[[#This Row],[LUKB_id]],PID,0),MATCH("DENOM",PLabel,0)-1,1,1)</f>
        <v>0</v>
      </c>
      <c r="AH178" s="1599" cm="1">
        <f t="array" aca="1" ref="AH178" ca="1">(OFFSET(POrigin,MATCH(Valori[[#This Row],[LUKB_id]],PID,0),MATCH("YIELD",PLabel,0)-1,1,1)+OFFSET(POrigin,MATCH(Valori[[#This Row],[LUKB_id]],PID,0),MATCH("YLDEQ",PLabel,0)-1,1,1))/100</f>
        <v>0</v>
      </c>
      <c r="AI178" s="1600">
        <f ca="1">OFFSET(POrigin,MATCH(Valori[[#This Row],[LUKB_id]],PID,0),MATCH("DIVIDEND",PLabel,0)-1,1,1)</f>
        <v>0</v>
      </c>
      <c r="AJ178" s="1601">
        <f ca="1">OFFSET(POrigin,MATCH(Valori[[#This Row],[LUKB_id]],PID,0),MATCH("DIVIDEND:datetime",PLabel,0)-1,1,1)</f>
        <v>0</v>
      </c>
      <c r="AK178" s="1602">
        <f ca="1">OFFSET(POrigin,MATCH(Valori[[#This Row],[LUKB_id]],PID,0),MATCH("INTEREST",PLabel,0)-1,1,1)</f>
        <v>0</v>
      </c>
      <c r="AL178" s="1603">
        <f ca="1">OFFSET(POrigin,MATCH(Valori[[#This Row],[LUKB_id]],PID,0),MATCH("4W_PERF_PR",PLabel,0)-1,1,1)/100</f>
        <v>7.0443909999999998E-2</v>
      </c>
      <c r="AM178" s="1603">
        <f ca="1">OFFSET(POrigin,MATCH(Valori[[#This Row],[LUKB_id]],PID,0),MATCH("12W_PERF_PR",PLabel,0)-1,1,1)/100</f>
        <v>0.12853333</v>
      </c>
      <c r="AN178" s="1603">
        <f ca="1">OFFSET(POrigin,MATCH(Valori[[#This Row],[LUKB_id]],PID,0),MATCH("YTD_PERF_PR",PLabel,0)-1,1,1)/100</f>
        <v>0.11670663469224701</v>
      </c>
      <c r="AO178" s="1591"/>
      <c r="AP178" s="1591"/>
      <c r="AQ178" s="1591"/>
      <c r="AR178" s="1591"/>
      <c r="AS178" s="1890" t="s">
        <v>1322</v>
      </c>
      <c r="AT178" s="1890" t="s">
        <v>1323</v>
      </c>
      <c r="AU178" s="610" t="s">
        <v>1324</v>
      </c>
      <c r="AV178" s="1891" t="s">
        <v>1325</v>
      </c>
      <c r="AW178" s="1604" t="str">
        <f ca="1">"https://boersenundmaerkte.lukb.ch/lukb/details/"&amp;Valori[[#This Row],[LUKB_id]]</f>
        <v>https://boersenundmaerkte.lukb.ch/lukb/details/112547249,361,333</v>
      </c>
      <c r="AX178" s="1605" t="str">
        <f>"https://www.marketscreener.com/mods_a/charts/TV/inc_dyna_graph.php?c="&amp;Valori[[#This Row],[MS_Code]]&amp;"&amp;style=TradingView.CANDLES&amp;interval=(null)&amp;mobile=(null)&amp;showAT=1"</f>
        <v>https://www.marketscreener.com/mods_a/charts/TV/inc_dyna_graph.php?c=124628839&amp;style=TradingView.CANDLES&amp;interval=(null)&amp;mobile=(null)&amp;showAT=1</v>
      </c>
      <c r="AY178" s="142"/>
      <c r="AZ178" s="142"/>
      <c r="BA178" s="142"/>
      <c r="BB178" s="142"/>
    </row>
    <row r="179" spans="1:54" ht="15" customHeight="1" x14ac:dyDescent="0.2">
      <c r="A179" s="142" t="s">
        <v>1326</v>
      </c>
      <c r="B179" s="142" t="str" cm="1">
        <f t="array" aca="1" ref="B179" ca="1">OFFSET(POrigin,MATCH(Valori[[#This Row],[smo_id]],Posizioni[smo_id],0),MATCH("LUKB_id",PIntestazioni,0)-1,1,1)</f>
        <v>2914124,719,333</v>
      </c>
      <c r="C179" s="1668" t="str">
        <f ca="1">HYPERLINK("https://boersenundmaerkte.lukb.ch/lukb/details/"&amp;Valori[[#This Row],[LUKB_id]],"è")</f>
        <v>è</v>
      </c>
      <c r="D179" s="142" t="str" cm="1">
        <f t="array" aca="1" ref="D179" ca="1">OFFSET(POrigin,MATCH(Valori[[#This Row],[LUKB_id]],PID,0),MATCH("SC_GROUPED",PIntestazioni,0)-1,1,1)</f>
        <v>ETF</v>
      </c>
      <c r="E179" s="413" t="str" cm="1">
        <f t="array" aca="1" ref="E179" ca="1">OFFSET(POrigin,MATCH(Valori[[#This Row],[LUKB_id]],PID,0),MATCH("isin",PIntestazioni,0)-1,1,1)</f>
        <v>FR0010435297</v>
      </c>
      <c r="F179" s="34" t="str" cm="1">
        <f t="array" aca="1" ref="F179" ca="1">OFFSET(POrigin,MATCH(Valori[[#This Row],[LUKB_id]],PID,0),MATCH("NSIN_CH",PLabel,0)-1,1,1)</f>
        <v>2914124</v>
      </c>
      <c r="G179" s="95" t="str" cm="1">
        <f t="array" aca="1" ref="G179" ca="1">IF(OFFSET(POrigin,MATCH(Valori[[#This Row],[LUKB_id]],PID,0),MATCH("INSTRUNIT",PLabel,0)-1,1,1)="Nominal","Pct","Unit")</f>
        <v>Unit</v>
      </c>
      <c r="H179" s="612">
        <f ca="1">MAX(OFFSET(POrigin,MATCH(Valori[[#This Row],[LUKB_id]],PID,0),MATCH("PRICINGAMT",PLabel,0)-1,1,1),1)</f>
        <v>1</v>
      </c>
      <c r="I179" s="615" t="str" cm="1">
        <f t="array" aca="1" ref="I179" ca="1">OFFSET(POrigin,MATCH(Valori[[#This Row],[LUKB_id]],PID,0),MATCH("M_NAME",PLabel,0)-1,1,1)</f>
        <v>Multi Units France Sicav - Amundi MSCI Emerging Markets Swap II UCITS ETF</v>
      </c>
      <c r="J179" s="142" t="s">
        <v>591</v>
      </c>
      <c r="M179" s="142" t="str" cm="1">
        <f t="array" aca="1" ref="M1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MSCI Emerging Markets UCITS ETF C-USD</v>
      </c>
      <c r="N179" s="1563">
        <f ca="1">COUNTIF('CHF M'!smo_id,Valori[[#This Row],[smo_id]])+COUNTIF('CHF MA'!smo_id,Valori[[#This Row],[smo_id]])+COUNTIF('EUR MB'!smo_id,Valori[[#This Row],[smo_id]])+COUNTIF('EUR M'!smo_id,Valori[[#This Row],[smo_id]])+COUNTIF(AGCO!smo_id,Valori[[#This Row],[smo_id]])</f>
        <v>1</v>
      </c>
      <c r="O179" s="1590" cm="1">
        <f t="array" aca="1" ref="O179" ca="1">SUM(IF('CHF M'!smo_id=Valori[[#This Row],[smo_id]],'CHF M'!Posizione))+SUM(IF('CHF MA'!smo_id=Valori[[#This Row],[smo_id]],'CHF MA'!Posizione))+SUM(IF('EUR MB'!smo_id=Valori[[#This Row],[smo_id]],'EUR MB'!Posizione))+SUM(IF('EUR M'!smo_id=Valori[[#This Row],[smo_id]],'EUR M'!Posizione))+SUM(IF(AGCO!smo_id=Valori[[#This Row],[smo_id]],AGCO!Posizione))</f>
        <v>0</v>
      </c>
      <c r="P179" s="1661" t="str">
        <f ca="1">HYPERLINK(Valori[[#This Row],[P_Source]],"è")</f>
        <v>è</v>
      </c>
      <c r="Q179" s="1663" t="str">
        <f>HYPERLINK(Valori[[#This Row],[Info_W]],"i")</f>
        <v>i</v>
      </c>
      <c r="R179" s="1664" t="str">
        <f>HYPERLINK(Valori[[#This Row],[FN_W]],"")</f>
        <v></v>
      </c>
      <c r="S179" s="1665" t="str">
        <f>HYPERLINK(Valori[[#This Row],[MS_Link]],"")</f>
        <v></v>
      </c>
      <c r="T179" s="1665" t="str">
        <f>HYPERLINK(Valori[[#This Row],[C_source]],"")</f>
        <v></v>
      </c>
      <c r="U179" s="142" t="str" cm="1">
        <f t="array" aca="1" ref="U179" ca="1">OFFSET(POrigin,MATCH(Valori[[#This Row],[LUKB_id]],PID,0),MATCH("M_CUR",PLabel,0)-1,1,1)</f>
        <v>USD</v>
      </c>
      <c r="V179" s="1562">
        <f ca="1">(Valori[[#This Row],[Last]]+Valori[[#This Row],[Acc. Int]])/Valori[[#This Row],[Pr.Amt]]/IF(Valori[[#This Row],[P_Type]]="Pct",100,1)</f>
        <v>18.7925</v>
      </c>
      <c r="W179" s="1591" cm="1">
        <f t="array" aca="1" ref="W179" ca="1">OFFSET(POrigin,MATCH(Valori[[#This Row],[LUKB_id]],PID,0),MATCH("NC2_PR",PLabel,0)-1,1,1)/100</f>
        <v>-5.9594305153080597E-2</v>
      </c>
      <c r="X179" s="1592" cm="1">
        <f t="array" aca="1" ref="X179" ca="1">OFFSET(POrigin,MATCH(Valori[[#This Row],[LUKB_id]],PID,0),MATCH("LVAL",PLabel,0)-1,1,1)</f>
        <v>18.7925</v>
      </c>
      <c r="Y179" s="1593" cm="1">
        <f t="array" aca="1" ref="Y179" ca="1">OFFSET(POrigin,MATCH(Valori[[#This Row],[LUKB_id]],PID,0),MATCH("LVAL:datetime",PLabel,0)-1,1,1)</f>
        <v>46084.732858796298</v>
      </c>
      <c r="Z179" s="1594" cm="1">
        <f t="array" aca="1" ref="Z179" ca="1">OFFSET(POrigin,MATCH(Valori[[#This Row],[LUKB_id]],PID,0),MATCH("BID:volume",PLabel,0)-1,1,1)</f>
        <v>26103</v>
      </c>
      <c r="AA179" s="1595" cm="1">
        <f t="array" aca="1" ref="AA179" ca="1">OFFSET(POrigin,MATCH(Valori[[#This Row],[LUKB_id]],PID,0),MATCH("BID",PLabel,0)-1,1,1)</f>
        <v>18.28</v>
      </c>
      <c r="AB179" s="1595" cm="1">
        <f t="array" aca="1" ref="AB179" ca="1">OFFSET(POrigin,MATCH(Valori[[#This Row],[LUKB_id]],PID,0),MATCH("ASK",PLabel,0)-1,1,1)</f>
        <v>19.302500000000002</v>
      </c>
      <c r="AC179" s="1594" cm="1">
        <f t="array" aca="1" ref="AC179" ca="1">OFFSET(POrigin,MATCH(Valori[[#This Row],[LUKB_id]],PID,0),MATCH("ASK:volume",PLabel,0)-1,1,1)</f>
        <v>26103</v>
      </c>
      <c r="AD179" s="1596" cm="1">
        <f t="array" aca="1" ref="AD179" ca="1">OFFSET(POrigin,MATCH(Valori[[#This Row],[LUKB_id]],PID,0),MATCH("BID-ASK Spread %",PLabel,0)-1,1,1)</f>
        <v>3.6607742224211259E-2</v>
      </c>
      <c r="AE179" s="1597" t="str" cm="1">
        <f t="array" aca="1" ref="AE179" ca="1">IF(OFFSET(POrigin,MATCH(Valori[[#This Row],[LUKB_id]],PID,0),MATCH("MATURITY",PLabel,0)-1,1,1)&gt;0,OFFSET(POrigin,MATCH(Valori[[#This Row],[LUKB_id]],PID,0),MATCH("MATURITY",PLabel,0)-1,1,1),"")</f>
        <v/>
      </c>
      <c r="AF179" s="1598" cm="1">
        <f t="array" aca="1" ref="AF179" ca="1">OFFSET(POrigin,MATCH(Valori[[#This Row],[LUKB_id]],PID,0),MATCH("ACCINT",PLabel,0)-1,1,1)</f>
        <v>0</v>
      </c>
      <c r="AG179" s="1594" cm="1">
        <f t="array" aca="1" ref="AG179" ca="1">OFFSET(POrigin,MATCH(Valori[[#This Row],[LUKB_id]],PID,0),MATCH("DENOM",PLabel,0)-1,1,1)</f>
        <v>0</v>
      </c>
      <c r="AH179" s="1599" cm="1">
        <f t="array" aca="1" ref="AH179" ca="1">(OFFSET(POrigin,MATCH(Valori[[#This Row],[LUKB_id]],PID,0),MATCH("YIELD",PLabel,0)-1,1,1)+OFFSET(POrigin,MATCH(Valori[[#This Row],[LUKB_id]],PID,0),MATCH("YLDEQ",PLabel,0)-1,1,1))/100</f>
        <v>0</v>
      </c>
      <c r="AI179" s="1600">
        <f ca="1">OFFSET(POrigin,MATCH(Valori[[#This Row],[LUKB_id]],PID,0),MATCH("DIVIDEND",PLabel,0)-1,1,1)</f>
        <v>0</v>
      </c>
      <c r="AJ179" s="1601">
        <f ca="1">OFFSET(POrigin,MATCH(Valori[[#This Row],[LUKB_id]],PID,0),MATCH("DIVIDEND:datetime",PLabel,0)-1,1,1)</f>
        <v>0</v>
      </c>
      <c r="AK179" s="1602">
        <f ca="1">OFFSET(POrigin,MATCH(Valori[[#This Row],[LUKB_id]],PID,0),MATCH("INTEREST",PLabel,0)-1,1,1)</f>
        <v>0</v>
      </c>
      <c r="AL179" s="1603">
        <f ca="1">OFFSET(POrigin,MATCH(Valori[[#This Row],[LUKB_id]],PID,0),MATCH("4W_PERF_PR",PLabel,0)-1,1,1)/100</f>
        <v>-3.7648269999999998E-2</v>
      </c>
      <c r="AM179" s="1603">
        <f ca="1">OFFSET(POrigin,MATCH(Valori[[#This Row],[LUKB_id]],PID,0),MATCH("12W_PERF_PR",PLabel,0)-1,1,1)/100</f>
        <v>7.4420609999999998E-2</v>
      </c>
      <c r="AN179" s="1603">
        <f ca="1">OFFSET(POrigin,MATCH(Valori[[#This Row],[LUKB_id]],PID,0),MATCH("YTD_PERF_PR",PLabel,0)-1,1,1)/100</f>
        <v>0.118044795041556</v>
      </c>
      <c r="AO179" s="1591">
        <v>0</v>
      </c>
      <c r="AP179" s="1591">
        <v>0</v>
      </c>
      <c r="AQ179" s="1591">
        <v>5.4999999999999997E-3</v>
      </c>
      <c r="AR179" s="1591">
        <v>0</v>
      </c>
      <c r="AS179" s="1890" t="s">
        <v>1327</v>
      </c>
      <c r="AT179" s="1890" t="s">
        <v>1328</v>
      </c>
      <c r="AU179" s="610" t="s">
        <v>1329</v>
      </c>
      <c r="AV179" s="1891" t="s">
        <v>1330</v>
      </c>
      <c r="AW179" s="1604" t="str">
        <f ca="1">"https://boersenundmaerkte.lukb.ch/lukb/details/"&amp;Valori[[#This Row],[LUKB_id]]</f>
        <v>https://boersenundmaerkte.lukb.ch/lukb/details/2914124,719,333</v>
      </c>
      <c r="AX179" s="1605" t="str">
        <f>"https://www.zonebourse.com/mods_a/charts/TV/inc_dyna_graph.php?c="&amp;Valori[[#This Row],[MS_Code]]&amp;"&amp;style=TradingView.CANDLES&amp;interval=(null)&amp;mobile=(null)&amp;showAT=1"</f>
        <v>https://www.zonebourse.com/mods_a/charts/TV/inc_dyna_graph.php?c=11931710&amp;style=TradingView.CANDLES&amp;interval=(null)&amp;mobile=(null)&amp;showAT=1</v>
      </c>
      <c r="AY179" s="142"/>
      <c r="AZ179" s="142"/>
      <c r="BA179" s="142"/>
      <c r="BB179" s="142"/>
    </row>
    <row r="180" spans="1:54" ht="15" customHeight="1" x14ac:dyDescent="0.2">
      <c r="A180" s="142" t="s">
        <v>1331</v>
      </c>
      <c r="B180" s="142" t="str" cm="1">
        <f t="array" aca="1" ref="B180" ca="1">OFFSET(POrigin,MATCH(Valori[[#This Row],[smo_id]],Posizioni[smo_id],0),MATCH("LUKB_id",PIntestazioni,0)-1,1,1)</f>
        <v>45203768,1703,814</v>
      </c>
      <c r="C180" s="1668" t="str">
        <f ca="1">HYPERLINK("https://boersenundmaerkte.lukb.ch/lukb/details/"&amp;Valori[[#This Row],[LUKB_id]],"è")</f>
        <v>è</v>
      </c>
      <c r="D180" s="142" t="str" cm="1">
        <f t="array" aca="1" ref="D180" ca="1">OFFSET(POrigin,MATCH(Valori[[#This Row],[LUKB_id]],PID,0),MATCH("SC_GROUPED",PIntestazioni,0)-1,1,1)</f>
        <v>ETF</v>
      </c>
      <c r="E180" s="413" t="str" cm="1">
        <f t="array" aca="1" ref="E180" ca="1">OFFSET(POrigin,MATCH(Valori[[#This Row],[LUKB_id]],PID,0),MATCH("isin",PIntestazioni,0)-1,1,1)</f>
        <v>LU1900068328</v>
      </c>
      <c r="F180" s="34" t="str" cm="1">
        <f t="array" aca="1" ref="F180" ca="1">OFFSET(POrigin,MATCH(Valori[[#This Row],[LUKB_id]],PID,0),MATCH("NSIN_CH",PLabel,0)-1,1,1)</f>
        <v>45203768</v>
      </c>
      <c r="G180" s="95" t="str" cm="1">
        <f t="array" aca="1" ref="G180" ca="1">IF(OFFSET(POrigin,MATCH(Valori[[#This Row],[LUKB_id]],PID,0),MATCH("INSTRUNIT",PLabel,0)-1,1,1)="Nominal","Pct","Unit")</f>
        <v>Unit</v>
      </c>
      <c r="H180" s="612">
        <f ca="1">MAX(OFFSET(POrigin,MATCH(Valori[[#This Row],[LUKB_id]],PID,0),MATCH("PRICINGAMT",PLabel,0)-1,1,1),1)</f>
        <v>1</v>
      </c>
      <c r="I180" s="615" t="str" cm="1">
        <f t="array" aca="1" ref="I180" ca="1">OFFSET(POrigin,MATCH(Valori[[#This Row],[LUKB_id]],PID,0),MATCH("M_NAME",PLabel,0)-1,1,1)</f>
        <v>Multi Units Luxembourg SICAV - Amundi MSCI AC Asia Pacific Ex Japan</v>
      </c>
      <c r="J180" s="142" t="s">
        <v>846</v>
      </c>
      <c r="M180" s="142" t="str" cm="1">
        <f t="array" aca="1" ref="M1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UCITS MSCI AC Asia-Pacific Ex Japan C-EUR</v>
      </c>
      <c r="N180" s="1563">
        <f ca="1">COUNTIF('CHF M'!smo_id,Valori[[#This Row],[smo_id]])+COUNTIF('CHF MA'!smo_id,Valori[[#This Row],[smo_id]])+COUNTIF('EUR MB'!smo_id,Valori[[#This Row],[smo_id]])+COUNTIF('EUR M'!smo_id,Valori[[#This Row],[smo_id]])+COUNTIF(AGCO!smo_id,Valori[[#This Row],[smo_id]])</f>
        <v>1</v>
      </c>
      <c r="O180" s="1590" cm="1">
        <f t="array" aca="1" ref="O180" ca="1">SUM(IF('CHF M'!smo_id=Valori[[#This Row],[smo_id]],'CHF M'!Posizione))+SUM(IF('CHF MA'!smo_id=Valori[[#This Row],[smo_id]],'CHF MA'!Posizione))+SUM(IF('EUR MB'!smo_id=Valori[[#This Row],[smo_id]],'EUR MB'!Posizione))+SUM(IF('EUR M'!smo_id=Valori[[#This Row],[smo_id]],'EUR M'!Posizione))+SUM(IF(AGCO!smo_id=Valori[[#This Row],[smo_id]],AGCO!Posizione))</f>
        <v>0</v>
      </c>
      <c r="P180" s="1661" t="str">
        <f ca="1">HYPERLINK(Valori[[#This Row],[P_Source]],"è")</f>
        <v>è</v>
      </c>
      <c r="Q180" s="1663" t="str">
        <f>HYPERLINK(Valori[[#This Row],[Info_W]],"i")</f>
        <v>i</v>
      </c>
      <c r="R180" s="1664" t="str">
        <f>HYPERLINK(Valori[[#This Row],[FN_W]],"")</f>
        <v></v>
      </c>
      <c r="S180" s="1665" t="str">
        <f>HYPERLINK(Valori[[#This Row],[MS_Link]],"")</f>
        <v></v>
      </c>
      <c r="T180" s="1665" t="str">
        <f>HYPERLINK(Valori[[#This Row],[C_source]],"")</f>
        <v></v>
      </c>
      <c r="U180" s="142" t="str" cm="1">
        <f t="array" aca="1" ref="U180" ca="1">OFFSET(POrigin,MATCH(Valori[[#This Row],[LUKB_id]],PID,0),MATCH("M_CUR",PLabel,0)-1,1,1)</f>
        <v>EUR</v>
      </c>
      <c r="V180" s="1562">
        <f ca="1">(Valori[[#This Row],[Last]]+Valori[[#This Row],[Acc. Int]])/Valori[[#This Row],[Pr.Amt]]/IF(Valori[[#This Row],[P_Type]]="Pct",100,1)</f>
        <v>89.09</v>
      </c>
      <c r="W180" s="1591" cm="1">
        <f t="array" aca="1" ref="W180" ca="1">OFFSET(POrigin,MATCH(Valori[[#This Row],[LUKB_id]],PID,0),MATCH("NC2_PR",PLabel,0)-1,1,1)/100</f>
        <v>-1.40548915449314E-2</v>
      </c>
      <c r="X180" s="1592" cm="1">
        <f t="array" aca="1" ref="X180" ca="1">OFFSET(POrigin,MATCH(Valori[[#This Row],[LUKB_id]],PID,0),MATCH("LVAL",PLabel,0)-1,1,1)</f>
        <v>89.09</v>
      </c>
      <c r="Y180" s="1593" cm="1">
        <f t="array" aca="1" ref="Y180" ca="1">OFFSET(POrigin,MATCH(Valori[[#This Row],[LUKB_id]],PID,0),MATCH("LVAL:datetime",PLabel,0)-1,1,1)</f>
        <v>46083.733287037037</v>
      </c>
      <c r="Z180" s="1594" cm="1">
        <f t="array" aca="1" ref="Z180" ca="1">OFFSET(POrigin,MATCH(Valori[[#This Row],[LUKB_id]],PID,0),MATCH("BID:volume",PLabel,0)-1,1,1)</f>
        <v>0</v>
      </c>
      <c r="AA180" s="1595" cm="1">
        <f t="array" aca="1" ref="AA180" ca="1">OFFSET(POrigin,MATCH(Valori[[#This Row],[LUKB_id]],PID,0),MATCH("BID",PLabel,0)-1,1,1)</f>
        <v>0</v>
      </c>
      <c r="AB180" s="1595" cm="1">
        <f t="array" aca="1" ref="AB180" ca="1">OFFSET(POrigin,MATCH(Valori[[#This Row],[LUKB_id]],PID,0),MATCH("ASK",PLabel,0)-1,1,1)</f>
        <v>0</v>
      </c>
      <c r="AC180" s="1594" cm="1">
        <f t="array" aca="1" ref="AC180" ca="1">OFFSET(POrigin,MATCH(Valori[[#This Row],[LUKB_id]],PID,0),MATCH("ASK:volume",PLabel,0)-1,1,1)</f>
        <v>0</v>
      </c>
      <c r="AD180" s="1596" cm="1">
        <f t="array" aca="1" ref="AD180" ca="1">OFFSET(POrigin,MATCH(Valori[[#This Row],[LUKB_id]],PID,0),MATCH("BID-ASK Spread %",PLabel,0)-1,1,1)</f>
        <v>0</v>
      </c>
      <c r="AE180" s="1597" t="str" cm="1">
        <f t="array" aca="1" ref="AE180" ca="1">IF(OFFSET(POrigin,MATCH(Valori[[#This Row],[LUKB_id]],PID,0),MATCH("MATURITY",PLabel,0)-1,1,1)&gt;0,OFFSET(POrigin,MATCH(Valori[[#This Row],[LUKB_id]],PID,0),MATCH("MATURITY",PLabel,0)-1,1,1),"")</f>
        <v/>
      </c>
      <c r="AF180" s="1598" cm="1">
        <f t="array" aca="1" ref="AF180" ca="1">OFFSET(POrigin,MATCH(Valori[[#This Row],[LUKB_id]],PID,0),MATCH("ACCINT",PLabel,0)-1,1,1)</f>
        <v>0</v>
      </c>
      <c r="AG180" s="1594" cm="1">
        <f t="array" aca="1" ref="AG180" ca="1">OFFSET(POrigin,MATCH(Valori[[#This Row],[LUKB_id]],PID,0),MATCH("DENOM",PLabel,0)-1,1,1)</f>
        <v>0</v>
      </c>
      <c r="AH180" s="1599" cm="1">
        <f t="array" aca="1" ref="AH180" ca="1">(OFFSET(POrigin,MATCH(Valori[[#This Row],[LUKB_id]],PID,0),MATCH("YIELD",PLabel,0)-1,1,1)+OFFSET(POrigin,MATCH(Valori[[#This Row],[LUKB_id]],PID,0),MATCH("YLDEQ",PLabel,0)-1,1,1))/100</f>
        <v>0</v>
      </c>
      <c r="AI180" s="1600">
        <f ca="1">OFFSET(POrigin,MATCH(Valori[[#This Row],[LUKB_id]],PID,0),MATCH("DIVIDEND",PLabel,0)-1,1,1)</f>
        <v>0</v>
      </c>
      <c r="AJ180" s="1601">
        <f ca="1">OFFSET(POrigin,MATCH(Valori[[#This Row],[LUKB_id]],PID,0),MATCH("DIVIDEND:datetime",PLabel,0)-1,1,1)</f>
        <v>0</v>
      </c>
      <c r="AK180" s="1602">
        <f ca="1">OFFSET(POrigin,MATCH(Valori[[#This Row],[LUKB_id]],PID,0),MATCH("INTEREST",PLabel,0)-1,1,1)</f>
        <v>0</v>
      </c>
      <c r="AL180" s="1603">
        <f ca="1">OFFSET(POrigin,MATCH(Valori[[#This Row],[LUKB_id]],PID,0),MATCH("4W_PERF_PR",PLabel,0)-1,1,1)/100</f>
        <v>4.4431418522860394E-2</v>
      </c>
      <c r="AM180" s="1603">
        <f ca="1">OFFSET(POrigin,MATCH(Valori[[#This Row],[LUKB_id]],PID,0),MATCH("12W_PERF_PR",PLabel,0)-1,1,1)/100</f>
        <v>0.1254421424962103</v>
      </c>
      <c r="AN180" s="1603">
        <f ca="1">OFFSET(POrigin,MATCH(Valori[[#This Row],[LUKB_id]],PID,0),MATCH("YTD_PERF_PR",PLabel,0)-1,1,1)/100</f>
        <v>0.117115987460816</v>
      </c>
      <c r="AO180" s="1591"/>
      <c r="AP180" s="1591"/>
      <c r="AQ180" s="1591"/>
      <c r="AR180" s="1591"/>
      <c r="AS180" s="1890" t="s">
        <v>1332</v>
      </c>
      <c r="AT180" s="1890" t="s">
        <v>1333</v>
      </c>
      <c r="AU180" s="610" t="s">
        <v>1334</v>
      </c>
      <c r="AV180" s="1891" t="s">
        <v>1335</v>
      </c>
      <c r="AW180" s="1604" t="str">
        <f ca="1">"https://boersenundmaerkte.lukb.ch/lukb/details/"&amp;Valori[[#This Row],[LUKB_id]]</f>
        <v>https://boersenundmaerkte.lukb.ch/lukb/details/45203768,1703,814</v>
      </c>
      <c r="AX180" s="1605" t="str">
        <f>"https://www.marketscreener.com/mods_a/charts/TV/inc_dyna_graph.php?c="&amp;Valori[[#This Row],[MS_Code]]&amp;"&amp;style=TradingView.CANDLES&amp;interval=(null)&amp;mobile=(null)&amp;showAT=1"</f>
        <v>https://www.marketscreener.com/mods_a/charts/TV/inc_dyna_graph.php?c=55177931&amp;style=TradingView.CANDLES&amp;interval=(null)&amp;mobile=(null)&amp;showAT=1</v>
      </c>
      <c r="AY180" s="142"/>
      <c r="AZ180" s="142"/>
      <c r="BA180" s="142"/>
      <c r="BB180" s="142"/>
    </row>
    <row r="181" spans="1:54" ht="15" customHeight="1" x14ac:dyDescent="0.2">
      <c r="A181" s="142" t="s">
        <v>1336</v>
      </c>
      <c r="B181" s="142" t="str" cm="1">
        <f t="array" aca="1" ref="B181" ca="1">OFFSET(POrigin,MATCH(Valori[[#This Row],[smo_id]],Posizioni[smo_id],0),MATCH("LUKB_id",PIntestazioni,0)-1,1,1)</f>
        <v>13403486,4,1</v>
      </c>
      <c r="C181" s="1668" t="str">
        <f ca="1">HYPERLINK("https://boersenundmaerkte.lukb.ch/lukb/details/"&amp;Valori[[#This Row],[LUKB_id]],"è")</f>
        <v>è</v>
      </c>
      <c r="D181" s="142" t="str" cm="1">
        <f t="array" aca="1" ref="D181" ca="1">OFFSET(POrigin,MATCH(Valori[[#This Row],[LUKB_id]],PID,0),MATCH("SC_GROUPED",PIntestazioni,0)-1,1,1)</f>
        <v>ETF</v>
      </c>
      <c r="E181" s="413" t="str" cm="1">
        <f t="array" aca="1" ref="E181" ca="1">OFFSET(POrigin,MATCH(Valori[[#This Row],[LUKB_id]],PID,0),MATCH("isin",PIntestazioni,0)-1,1,1)</f>
        <v>CH0134034864</v>
      </c>
      <c r="F181" s="34" t="str" cm="1">
        <f t="array" aca="1" ref="F181" ca="1">OFFSET(POrigin,MATCH(Valori[[#This Row],[LUKB_id]],PID,0),MATCH("NSIN_CH",PLabel,0)-1,1,1)</f>
        <v>13403486</v>
      </c>
      <c r="G181" s="95" t="str" cm="1">
        <f t="array" aca="1" ref="G181" ca="1">IF(OFFSET(POrigin,MATCH(Valori[[#This Row],[LUKB_id]],PID,0),MATCH("INSTRUNIT",PLabel,0)-1,1,1)="Nominal","Pct","Unit")</f>
        <v>Unit</v>
      </c>
      <c r="H181" s="612">
        <f ca="1">MAX(OFFSET(POrigin,MATCH(Valori[[#This Row],[LUKB_id]],PID,0),MATCH("PRICINGAMT",PLabel,0)-1,1,1),1)</f>
        <v>1</v>
      </c>
      <c r="I181" s="615" t="str" cm="1">
        <f t="array" aca="1" ref="I181" ca="1">OFFSET(POrigin,MATCH(Valori[[#This Row],[LUKB_id]],PID,0),MATCH("M_NAME",PLabel,0)-1,1,1)</f>
        <v>Raiffeisen ETF - Solid Gold Ounces</v>
      </c>
      <c r="J181" s="142" t="s">
        <v>788</v>
      </c>
      <c r="M181" s="142" t="str" cm="1">
        <f t="array" aca="1" ref="M1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Raiffeisen Solid Gold Ounces CHF Hedged</v>
      </c>
      <c r="N181" s="1563">
        <f ca="1">COUNTIF('CHF M'!smo_id,Valori[[#This Row],[smo_id]])+COUNTIF('CHF MA'!smo_id,Valori[[#This Row],[smo_id]])+COUNTIF('EUR MB'!smo_id,Valori[[#This Row],[smo_id]])+COUNTIF('EUR M'!smo_id,Valori[[#This Row],[smo_id]])+COUNTIF(AGCO!smo_id,Valori[[#This Row],[smo_id]])</f>
        <v>1</v>
      </c>
      <c r="O181" s="1590" cm="1">
        <f t="array" aca="1" ref="O181" ca="1">SUM(IF('CHF M'!smo_id=Valori[[#This Row],[smo_id]],'CHF M'!Posizione))+SUM(IF('CHF MA'!smo_id=Valori[[#This Row],[smo_id]],'CHF MA'!Posizione))+SUM(IF('EUR MB'!smo_id=Valori[[#This Row],[smo_id]],'EUR MB'!Posizione))+SUM(IF('EUR M'!smo_id=Valori[[#This Row],[smo_id]],'EUR M'!Posizione))+SUM(IF(AGCO!smo_id=Valori[[#This Row],[smo_id]],AGCO!Posizione))</f>
        <v>34</v>
      </c>
      <c r="P181" s="1661" t="str">
        <f ca="1">HYPERLINK(Valori[[#This Row],[P_Source]],"è")</f>
        <v>è</v>
      </c>
      <c r="Q181" s="1663" t="str">
        <f>HYPERLINK(Valori[[#This Row],[Info_W]],"i")</f>
        <v>i</v>
      </c>
      <c r="R181" s="1664" t="str">
        <f>HYPERLINK(Valori[[#This Row],[FN_W]],"")</f>
        <v></v>
      </c>
      <c r="S181" s="1665" t="str">
        <f>HYPERLINK(Valori[[#This Row],[MS_Link]],"")</f>
        <v></v>
      </c>
      <c r="T181" s="1665" t="str">
        <f>HYPERLINK(Valori[[#This Row],[C_source]],"")</f>
        <v></v>
      </c>
      <c r="U181" s="142" t="str" cm="1">
        <f t="array" aca="1" ref="U181" ca="1">OFFSET(POrigin,MATCH(Valori[[#This Row],[LUKB_id]],PID,0),MATCH("M_CUR",PLabel,0)-1,1,1)</f>
        <v>CHF</v>
      </c>
      <c r="V181" s="1562">
        <f ca="1">(Valori[[#This Row],[Last]]+Valori[[#This Row],[Acc. Int]])/Valori[[#This Row],[Pr.Amt]]/IF(Valori[[#This Row],[P_Type]]="Pct",100,1)</f>
        <v>2965</v>
      </c>
      <c r="W181" s="1591" cm="1">
        <f t="array" aca="1" ref="W181" ca="1">OFFSET(POrigin,MATCH(Valori[[#This Row],[LUKB_id]],PID,0),MATCH("NC2_PR",PLabel,0)-1,1,1)/100</f>
        <v>-4.4165054803352699E-2</v>
      </c>
      <c r="X181" s="1592" cm="1">
        <f t="array" aca="1" ref="X181" ca="1">OFFSET(POrigin,MATCH(Valori[[#This Row],[LUKB_id]],PID,0),MATCH("LVAL",PLabel,0)-1,1,1)</f>
        <v>2965</v>
      </c>
      <c r="Y181" s="1593" cm="1">
        <f t="array" aca="1" ref="Y181" ca="1">OFFSET(POrigin,MATCH(Valori[[#This Row],[LUKB_id]],PID,0),MATCH("LVAL:datetime",PLabel,0)-1,1,1)</f>
        <v>46084.698599537034</v>
      </c>
      <c r="Z181" s="1594" cm="1">
        <f t="array" aca="1" ref="Z181" ca="1">OFFSET(POrigin,MATCH(Valori[[#This Row],[LUKB_id]],PID,0),MATCH("BID:volume",PLabel,0)-1,1,1)</f>
        <v>20</v>
      </c>
      <c r="AA181" s="1595" cm="1">
        <f t="array" aca="1" ref="AA181" ca="1">OFFSET(POrigin,MATCH(Valori[[#This Row],[LUKB_id]],PID,0),MATCH("BID",PLabel,0)-1,1,1)</f>
        <v>2968.5</v>
      </c>
      <c r="AB181" s="1595" cm="1">
        <f t="array" aca="1" ref="AB181" ca="1">OFFSET(POrigin,MATCH(Valori[[#This Row],[LUKB_id]],PID,0),MATCH("ASK",PLabel,0)-1,1,1)</f>
        <v>2976</v>
      </c>
      <c r="AC181" s="1594" cm="1">
        <f t="array" aca="1" ref="AC181" ca="1">OFFSET(POrigin,MATCH(Valori[[#This Row],[LUKB_id]],PID,0),MATCH("ASK:volume",PLabel,0)-1,1,1)</f>
        <v>20</v>
      </c>
      <c r="AD181" s="1596" cm="1">
        <f t="array" aca="1" ref="AD181" ca="1">OFFSET(POrigin,MATCH(Valori[[#This Row],[LUKB_id]],PID,0),MATCH("BID-ASK Spread %",PLabel,0)-1,1,1)</f>
        <v>1.6829350387075059E-3</v>
      </c>
      <c r="AE181" s="1597" t="str" cm="1">
        <f t="array" aca="1" ref="AE181" ca="1">IF(OFFSET(POrigin,MATCH(Valori[[#This Row],[LUKB_id]],PID,0),MATCH("MATURITY",PLabel,0)-1,1,1)&gt;0,OFFSET(POrigin,MATCH(Valori[[#This Row],[LUKB_id]],PID,0),MATCH("MATURITY",PLabel,0)-1,1,1),"")</f>
        <v/>
      </c>
      <c r="AF181" s="1598" cm="1">
        <f t="array" aca="1" ref="AF181" ca="1">OFFSET(POrigin,MATCH(Valori[[#This Row],[LUKB_id]],PID,0),MATCH("ACCINT",PLabel,0)-1,1,1)</f>
        <v>0</v>
      </c>
      <c r="AG181" s="1594" cm="1">
        <f t="array" aca="1" ref="AG181" ca="1">OFFSET(POrigin,MATCH(Valori[[#This Row],[LUKB_id]],PID,0),MATCH("DENOM",PLabel,0)-1,1,1)</f>
        <v>0</v>
      </c>
      <c r="AH181" s="1599" cm="1">
        <f t="array" aca="1" ref="AH181" ca="1">(OFFSET(POrigin,MATCH(Valori[[#This Row],[LUKB_id]],PID,0),MATCH("YIELD",PLabel,0)-1,1,1)+OFFSET(POrigin,MATCH(Valori[[#This Row],[LUKB_id]],PID,0),MATCH("YLDEQ",PLabel,0)-1,1,1))/100</f>
        <v>0</v>
      </c>
      <c r="AI181" s="1600">
        <f ca="1">OFFSET(POrigin,MATCH(Valori[[#This Row],[LUKB_id]],PID,0),MATCH("DIVIDEND",PLabel,0)-1,1,1)</f>
        <v>0</v>
      </c>
      <c r="AJ181" s="1601">
        <f ca="1">OFFSET(POrigin,MATCH(Valori[[#This Row],[LUKB_id]],PID,0),MATCH("DIVIDEND:datetime",PLabel,0)-1,1,1)</f>
        <v>0</v>
      </c>
      <c r="AK181" s="1602">
        <f ca="1">OFFSET(POrigin,MATCH(Valori[[#This Row],[LUKB_id]],PID,0),MATCH("INTEREST",PLabel,0)-1,1,1)</f>
        <v>0</v>
      </c>
      <c r="AL181" s="1603">
        <f ca="1">OFFSET(POrigin,MATCH(Valori[[#This Row],[LUKB_id]],PID,0),MATCH("4W_PERF_PR",PLabel,0)-1,1,1)/100</f>
        <v>2.3119389999999997E-2</v>
      </c>
      <c r="AM181" s="1603">
        <f ca="1">OFFSET(POrigin,MATCH(Valori[[#This Row],[LUKB_id]],PID,0),MATCH("12W_PERF_PR",PLabel,0)-1,1,1)/100</f>
        <v>0.18718719</v>
      </c>
      <c r="AN181" s="1603">
        <f ca="1">OFFSET(POrigin,MATCH(Valori[[#This Row],[LUKB_id]],PID,0),MATCH("YTD_PERF_PR",PLabel,0)-1,1,1)/100</f>
        <v>0.20092915214866502</v>
      </c>
      <c r="AO181" s="1591"/>
      <c r="AP181" s="1591"/>
      <c r="AQ181" s="1591"/>
      <c r="AR181" s="1591"/>
      <c r="AS181" s="1890" t="s">
        <v>1337</v>
      </c>
      <c r="AT181" s="1890" t="s">
        <v>1338</v>
      </c>
      <c r="AU181" s="610" t="s">
        <v>1339</v>
      </c>
      <c r="AV181" s="1891" t="s">
        <v>1340</v>
      </c>
      <c r="AW181" s="1604" t="str">
        <f ca="1">"https://boersenundmaerkte.lukb.ch/lukb/details/"&amp;Valori[[#This Row],[LUKB_id]]</f>
        <v>https://boersenundmaerkte.lukb.ch/lukb/details/13403486,4,1</v>
      </c>
      <c r="AX181" s="1605" t="str">
        <f>"https://www.zonebourse.com/mods_a/charts/TV/inc_dyna_graph.php?c="&amp;Valori[[#This Row],[MS_Code]]&amp;"&amp;style=TradingView.CANDLES&amp;interval=(null)&amp;mobile=(null)&amp;showAT=1"</f>
        <v>https://www.zonebourse.com/mods_a/charts/TV/inc_dyna_graph.php?c=44658214&amp;style=TradingView.CANDLES&amp;interval=(null)&amp;mobile=(null)&amp;showAT=1</v>
      </c>
      <c r="AY181" s="142"/>
      <c r="AZ181" s="142"/>
      <c r="BA181" s="142"/>
      <c r="BB181" s="142"/>
    </row>
    <row r="182" spans="1:54" ht="15" customHeight="1" x14ac:dyDescent="0.2">
      <c r="A182" s="142" t="s">
        <v>1341</v>
      </c>
      <c r="B182" s="142" t="str" cm="1">
        <f t="array" aca="1" ref="B182" ca="1">OFFSET(POrigin,MATCH(Valori[[#This Row],[smo_id]],Posizioni[smo_id],0),MATCH("LUKB_id",PIntestazioni,0)-1,1,1)</f>
        <v>10128187,1703,814</v>
      </c>
      <c r="C182" s="1668" t="str">
        <f ca="1">HYPERLINK("https://boersenundmaerkte.lukb.ch/lukb/details/"&amp;Valori[[#This Row],[LUKB_id]],"è")</f>
        <v>è</v>
      </c>
      <c r="D182" s="142" t="str" cm="1">
        <f t="array" aca="1" ref="D182" ca="1">OFFSET(POrigin,MATCH(Valori[[#This Row],[LUKB_id]],PID,0),MATCH("SC_GROUPED",PIntestazioni,0)-1,1,1)</f>
        <v>ETF</v>
      </c>
      <c r="E182" s="413" t="str" cm="1">
        <f t="array" aca="1" ref="E182" ca="1">OFFSET(POrigin,MATCH(Valori[[#This Row],[LUKB_id]],PID,0),MATCH("isin",PIntestazioni,0)-1,1,1)</f>
        <v>IE00B60SWY32</v>
      </c>
      <c r="F182" s="34" t="str" cm="1">
        <f t="array" aca="1" ref="F182" ca="1">OFFSET(POrigin,MATCH(Valori[[#This Row],[LUKB_id]],PID,0),MATCH("NSIN_CH",PLabel,0)-1,1,1)</f>
        <v>10128187</v>
      </c>
      <c r="G182" s="95" t="str" cm="1">
        <f t="array" aca="1" ref="G182" ca="1">IF(OFFSET(POrigin,MATCH(Valori[[#This Row],[LUKB_id]],PID,0),MATCH("INSTRUNIT",PLabel,0)-1,1,1)="Nominal","Pct","Unit")</f>
        <v>Unit</v>
      </c>
      <c r="H182" s="612">
        <f ca="1">MAX(OFFSET(POrigin,MATCH(Valori[[#This Row],[LUKB_id]],PID,0),MATCH("PRICINGAMT",PLabel,0)-1,1,1),1)</f>
        <v>1</v>
      </c>
      <c r="I182" s="615" t="str" cm="1">
        <f t="array" aca="1" ref="I182" ca="1">OFFSET(POrigin,MATCH(Valori[[#This Row],[LUKB_id]],PID,0),MATCH("M_NAME",PLabel,0)-1,1,1)</f>
        <v>Invesco Markets PLC - Invesco MSCI Europe UCITS ETF</v>
      </c>
      <c r="J182" s="142" t="s">
        <v>842</v>
      </c>
      <c r="M182" s="142" t="str" cm="1">
        <f t="array" aca="1" ref="M1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Source plc - MSCI Europe UCITS ETF - A</v>
      </c>
      <c r="N182" s="1563">
        <f ca="1">COUNTIF('CHF M'!smo_id,Valori[[#This Row],[smo_id]])+COUNTIF('CHF MA'!smo_id,Valori[[#This Row],[smo_id]])+COUNTIF('EUR MB'!smo_id,Valori[[#This Row],[smo_id]])+COUNTIF('EUR M'!smo_id,Valori[[#This Row],[smo_id]])+COUNTIF(AGCO!smo_id,Valori[[#This Row],[smo_id]])</f>
        <v>2</v>
      </c>
      <c r="O182" s="1590" cm="1">
        <f t="array" aca="1" ref="O182" ca="1">SUM(IF('CHF M'!smo_id=Valori[[#This Row],[smo_id]],'CHF M'!Posizione))+SUM(IF('CHF MA'!smo_id=Valori[[#This Row],[smo_id]],'CHF MA'!Posizione))+SUM(IF('EUR MB'!smo_id=Valori[[#This Row],[smo_id]],'EUR MB'!Posizione))+SUM(IF('EUR M'!smo_id=Valori[[#This Row],[smo_id]],'EUR M'!Posizione))+SUM(IF(AGCO!smo_id=Valori[[#This Row],[smo_id]],AGCO!Posizione))</f>
        <v>0</v>
      </c>
      <c r="P182" s="1661" t="str">
        <f ca="1">HYPERLINK(Valori[[#This Row],[P_Source]],"è")</f>
        <v>è</v>
      </c>
      <c r="Q182" s="1663" t="str">
        <f>HYPERLINK(Valori[[#This Row],[Info_W]],"i")</f>
        <v>i</v>
      </c>
      <c r="R182" s="1664" t="str">
        <f>HYPERLINK(Valori[[#This Row],[FN_W]],"")</f>
        <v></v>
      </c>
      <c r="S182" s="1665" t="str">
        <f>HYPERLINK(Valori[[#This Row],[MS_Link]],"")</f>
        <v></v>
      </c>
      <c r="T182" s="1665" t="str">
        <f>HYPERLINK(Valori[[#This Row],[C_source]],"")</f>
        <v></v>
      </c>
      <c r="U182" s="142" t="str" cm="1">
        <f t="array" aca="1" ref="U182" ca="1">OFFSET(POrigin,MATCH(Valori[[#This Row],[LUKB_id]],PID,0),MATCH("M_CUR",PLabel,0)-1,1,1)</f>
        <v>EUR</v>
      </c>
      <c r="V182" s="1562">
        <f ca="1">(Valori[[#This Row],[Last]]+Valori[[#This Row],[Acc. Int]])/Valori[[#This Row],[Pr.Amt]]/IF(Valori[[#This Row],[P_Type]]="Pct",100,1)</f>
        <v>423</v>
      </c>
      <c r="W182" s="1591" cm="1">
        <f t="array" aca="1" ref="W182" ca="1">OFFSET(POrigin,MATCH(Valori[[#This Row],[LUKB_id]],PID,0),MATCH("NC2_PR",PLabel,0)-1,1,1)/100</f>
        <v>-1.6958996399117E-2</v>
      </c>
      <c r="X182" s="1592" cm="1">
        <f t="array" aca="1" ref="X182" ca="1">OFFSET(POrigin,MATCH(Valori[[#This Row],[LUKB_id]],PID,0),MATCH("LVAL",PLabel,0)-1,1,1)</f>
        <v>423</v>
      </c>
      <c r="Y182" s="1593" cm="1">
        <f t="array" aca="1" ref="Y182" ca="1">OFFSET(POrigin,MATCH(Valori[[#This Row],[LUKB_id]],PID,0),MATCH("LVAL:datetime",PLabel,0)-1,1,1)</f>
        <v>46083.733391203707</v>
      </c>
      <c r="Z182" s="1594" cm="1">
        <f t="array" aca="1" ref="Z182" ca="1">OFFSET(POrigin,MATCH(Valori[[#This Row],[LUKB_id]],PID,0),MATCH("BID:volume",PLabel,0)-1,1,1)</f>
        <v>0</v>
      </c>
      <c r="AA182" s="1595" cm="1">
        <f t="array" aca="1" ref="AA182" ca="1">OFFSET(POrigin,MATCH(Valori[[#This Row],[LUKB_id]],PID,0),MATCH("BID",PLabel,0)-1,1,1)</f>
        <v>0</v>
      </c>
      <c r="AB182" s="1595" cm="1">
        <f t="array" aca="1" ref="AB182" ca="1">OFFSET(POrigin,MATCH(Valori[[#This Row],[LUKB_id]],PID,0),MATCH("ASK",PLabel,0)-1,1,1)</f>
        <v>0</v>
      </c>
      <c r="AC182" s="1594" cm="1">
        <f t="array" aca="1" ref="AC182" ca="1">OFFSET(POrigin,MATCH(Valori[[#This Row],[LUKB_id]],PID,0),MATCH("ASK:volume",PLabel,0)-1,1,1)</f>
        <v>0</v>
      </c>
      <c r="AD182" s="1596" cm="1">
        <f t="array" aca="1" ref="AD182" ca="1">OFFSET(POrigin,MATCH(Valori[[#This Row],[LUKB_id]],PID,0),MATCH("BID-ASK Spread %",PLabel,0)-1,1,1)</f>
        <v>0</v>
      </c>
      <c r="AE182" s="1597" t="str" cm="1">
        <f t="array" aca="1" ref="AE182" ca="1">IF(OFFSET(POrigin,MATCH(Valori[[#This Row],[LUKB_id]],PID,0),MATCH("MATURITY",PLabel,0)-1,1,1)&gt;0,OFFSET(POrigin,MATCH(Valori[[#This Row],[LUKB_id]],PID,0),MATCH("MATURITY",PLabel,0)-1,1,1),"")</f>
        <v/>
      </c>
      <c r="AF182" s="1598" cm="1">
        <f t="array" aca="1" ref="AF182" ca="1">OFFSET(POrigin,MATCH(Valori[[#This Row],[LUKB_id]],PID,0),MATCH("ACCINT",PLabel,0)-1,1,1)</f>
        <v>0</v>
      </c>
      <c r="AG182" s="1594" cm="1">
        <f t="array" aca="1" ref="AG182" ca="1">OFFSET(POrigin,MATCH(Valori[[#This Row],[LUKB_id]],PID,0),MATCH("DENOM",PLabel,0)-1,1,1)</f>
        <v>0</v>
      </c>
      <c r="AH182" s="1599" cm="1">
        <f t="array" aca="1" ref="AH182" ca="1">(OFFSET(POrigin,MATCH(Valori[[#This Row],[LUKB_id]],PID,0),MATCH("YIELD",PLabel,0)-1,1,1)+OFFSET(POrigin,MATCH(Valori[[#This Row],[LUKB_id]],PID,0),MATCH("YLDEQ",PLabel,0)-1,1,1))/100</f>
        <v>0</v>
      </c>
      <c r="AI182" s="1600">
        <f ca="1">OFFSET(POrigin,MATCH(Valori[[#This Row],[LUKB_id]],PID,0),MATCH("DIVIDEND",PLabel,0)-1,1,1)</f>
        <v>0</v>
      </c>
      <c r="AJ182" s="1601">
        <f ca="1">OFFSET(POrigin,MATCH(Valori[[#This Row],[LUKB_id]],PID,0),MATCH("DIVIDEND:datetime",PLabel,0)-1,1,1)</f>
        <v>0</v>
      </c>
      <c r="AK182" s="1602">
        <f ca="1">OFFSET(POrigin,MATCH(Valori[[#This Row],[LUKB_id]],PID,0),MATCH("INTEREST",PLabel,0)-1,1,1)</f>
        <v>0</v>
      </c>
      <c r="AL182" s="1603">
        <f ca="1">OFFSET(POrigin,MATCH(Valori[[#This Row],[LUKB_id]],PID,0),MATCH("4W_PERF_PR",PLabel,0)-1,1,1)/100</f>
        <v>1.1961722488038277E-2</v>
      </c>
      <c r="AM182" s="1603">
        <f ca="1">OFFSET(POrigin,MATCH(Valori[[#This Row],[LUKB_id]],PID,0),MATCH("12W_PERF_PR",PLabel,0)-1,1,1)/100</f>
        <v>7.8531361550229356E-2</v>
      </c>
      <c r="AN182" s="1603">
        <f ca="1">OFFSET(POrigin,MATCH(Valori[[#This Row],[LUKB_id]],PID,0),MATCH("YTD_PERF_PR",PLabel,0)-1,1,1)/100</f>
        <v>5.4579439252336596E-2</v>
      </c>
      <c r="AO182" s="1591"/>
      <c r="AP182" s="1591"/>
      <c r="AQ182" s="1591"/>
      <c r="AR182" s="1591"/>
      <c r="AS182" s="1890" t="s">
        <v>1342</v>
      </c>
      <c r="AT182" s="1890" t="s">
        <v>1343</v>
      </c>
      <c r="AU182" s="610" t="s">
        <v>1344</v>
      </c>
      <c r="AV182" s="1891" t="s">
        <v>1345</v>
      </c>
      <c r="AW182" s="1604" t="str">
        <f ca="1">"https://boersenundmaerkte.lukb.ch/lukb/details/"&amp;Valori[[#This Row],[LUKB_id]]</f>
        <v>https://boersenundmaerkte.lukb.ch/lukb/details/10128187,1703,814</v>
      </c>
      <c r="AX182" s="1605" t="str">
        <f>"https://www.marketscreener.com/mods_a/charts/TV/inc_dyna_graph.php?c="&amp;Valori[[#This Row],[MS_Code]]&amp;"&amp;style=TradingView.CANDLES&amp;interval=(null)&amp;mobile=(null)&amp;showAT=1"</f>
        <v>https://www.marketscreener.com/mods_a/charts/TV/inc_dyna_graph.php?c=16816537&amp;style=TradingView.CANDLES&amp;interval=(null)&amp;mobile=(null)&amp;showAT=1</v>
      </c>
      <c r="AY182" s="142"/>
      <c r="AZ182" s="142"/>
      <c r="BA182" s="142"/>
      <c r="BB182" s="142"/>
    </row>
    <row r="183" spans="1:54" ht="15" customHeight="1" x14ac:dyDescent="0.2">
      <c r="A183" s="142" t="s">
        <v>1346</v>
      </c>
      <c r="B183" s="142" t="str" cm="1">
        <f t="array" aca="1" ref="B183" ca="1">OFFSET(POrigin,MATCH(Valori[[#This Row],[smo_id]],Posizioni[smo_id],0),MATCH("LUKB_id",PIntestazioni,0)-1,1,1)</f>
        <v>13975758,16,814</v>
      </c>
      <c r="C183" s="1668" t="str">
        <f ca="1">HYPERLINK("https://boersenundmaerkte.lukb.ch/lukb/details/"&amp;Valori[[#This Row],[LUKB_id]],"è")</f>
        <v>è</v>
      </c>
      <c r="D183" s="142" t="str" cm="1">
        <f t="array" aca="1" ref="D183" ca="1">OFFSET(POrigin,MATCH(Valori[[#This Row],[LUKB_id]],PID,0),MATCH("SC_GROUPED",PIntestazioni,0)-1,1,1)</f>
        <v>ETF</v>
      </c>
      <c r="E183" s="413" t="str" cm="1">
        <f t="array" aca="1" ref="E183" ca="1">OFFSET(POrigin,MATCH(Valori[[#This Row],[LUKB_id]],PID,0),MATCH("isin",PIntestazioni,0)-1,1,1)</f>
        <v>IE00B6YX5M31</v>
      </c>
      <c r="F183" s="34" t="str" cm="1">
        <f t="array" aca="1" ref="F183" ca="1">OFFSET(POrigin,MATCH(Valori[[#This Row],[LUKB_id]],PID,0),MATCH("NSIN_CH",PLabel,0)-1,1,1)</f>
        <v>13975758</v>
      </c>
      <c r="G183" s="95" t="str" cm="1">
        <f t="array" aca="1" ref="G183" ca="1">IF(OFFSET(POrigin,MATCH(Valori[[#This Row],[LUKB_id]],PID,0),MATCH("INSTRUNIT",PLabel,0)-1,1,1)="Nominal","Pct","Unit")</f>
        <v>Unit</v>
      </c>
      <c r="H183" s="612">
        <f ca="1">MAX(OFFSET(POrigin,MATCH(Valori[[#This Row],[LUKB_id]],PID,0),MATCH("PRICINGAMT",PLabel,0)-1,1,1),1)</f>
        <v>1</v>
      </c>
      <c r="I183" s="615" t="str" cm="1">
        <f t="array" aca="1" ref="I183" ca="1">OFFSET(POrigin,MATCH(Valori[[#This Row],[LUKB_id]],PID,0),MATCH("M_NAME",PLabel,0)-1,1,1)</f>
        <v>SSGA SPDR ETFs Europe I PLC - State Street SPDR Bloomberg Euro High Yield Bond UCITS ETF</v>
      </c>
      <c r="J183" s="142" t="s">
        <v>818</v>
      </c>
      <c r="M183" s="142" t="str" cm="1">
        <f t="array" aca="1" ref="M1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Barclays Euro High Yield Bond UCITS ETF</v>
      </c>
      <c r="N183" s="1563">
        <f ca="1">COUNTIF('CHF M'!smo_id,Valori[[#This Row],[smo_id]])+COUNTIF('CHF MA'!smo_id,Valori[[#This Row],[smo_id]])+COUNTIF('EUR MB'!smo_id,Valori[[#This Row],[smo_id]])+COUNTIF('EUR M'!smo_id,Valori[[#This Row],[smo_id]])+COUNTIF(AGCO!smo_id,Valori[[#This Row],[smo_id]])</f>
        <v>2</v>
      </c>
      <c r="O183" s="1590" cm="1">
        <f t="array" aca="1" ref="O183" ca="1">SUM(IF('CHF M'!smo_id=Valori[[#This Row],[smo_id]],'CHF M'!Posizione))+SUM(IF('CHF MA'!smo_id=Valori[[#This Row],[smo_id]],'CHF MA'!Posizione))+SUM(IF('EUR MB'!smo_id=Valori[[#This Row],[smo_id]],'EUR MB'!Posizione))+SUM(IF('EUR M'!smo_id=Valori[[#This Row],[smo_id]],'EUR M'!Posizione))+SUM(IF(AGCO!smo_id=Valori[[#This Row],[smo_id]],AGCO!Posizione))</f>
        <v>0</v>
      </c>
      <c r="P183" s="1661" t="str">
        <f ca="1">HYPERLINK(Valori[[#This Row],[P_Source]],"è")</f>
        <v>è</v>
      </c>
      <c r="Q183" s="1663" t="str">
        <f>HYPERLINK(Valori[[#This Row],[Info_W]],"i")</f>
        <v>i</v>
      </c>
      <c r="R183" s="1664" t="str">
        <f>HYPERLINK(Valori[[#This Row],[FN_W]],"")</f>
        <v></v>
      </c>
      <c r="S183" s="1665" t="str">
        <f>HYPERLINK(Valori[[#This Row],[MS_Link]],"")</f>
        <v></v>
      </c>
      <c r="T183" s="1665" t="str">
        <f>HYPERLINK(Valori[[#This Row],[C_source]],"")</f>
        <v></v>
      </c>
      <c r="U183" s="142" t="str" cm="1">
        <f t="array" aca="1" ref="U183" ca="1">OFFSET(POrigin,MATCH(Valori[[#This Row],[LUKB_id]],PID,0),MATCH("M_CUR",PLabel,0)-1,1,1)</f>
        <v>EUR</v>
      </c>
      <c r="V183" s="1562">
        <f ca="1">(Valori[[#This Row],[Last]]+Valori[[#This Row],[Acc. Int]])/Valori[[#This Row],[Pr.Amt]]/IF(Valori[[#This Row],[P_Type]]="Pct",100,1)</f>
        <v>50.606000000000002</v>
      </c>
      <c r="W183" s="1591" cm="1">
        <f t="array" aca="1" ref="W183" ca="1">OFFSET(POrigin,MATCH(Valori[[#This Row],[LUKB_id]],PID,0),MATCH("NC2_PR",PLabel,0)-1,1,1)/100</f>
        <v>-1.2037397740553299E-2</v>
      </c>
      <c r="X183" s="1592" cm="1">
        <f t="array" aca="1" ref="X183" ca="1">OFFSET(POrigin,MATCH(Valori[[#This Row],[LUKB_id]],PID,0),MATCH("LVAL",PLabel,0)-1,1,1)</f>
        <v>50.606000000000002</v>
      </c>
      <c r="Y183" s="1593" cm="1">
        <f t="array" aca="1" ref="Y183" ca="1">OFFSET(POrigin,MATCH(Valori[[#This Row],[LUKB_id]],PID,0),MATCH("LVAL:datetime",PLabel,0)-1,1,1)</f>
        <v>46084.781701388885</v>
      </c>
      <c r="Z183" s="1594" cm="1">
        <f t="array" aca="1" ref="Z183" ca="1">OFFSET(POrigin,MATCH(Valori[[#This Row],[LUKB_id]],PID,0),MATCH("BID:volume",PLabel,0)-1,1,1)</f>
        <v>2965</v>
      </c>
      <c r="AA183" s="1595" cm="1">
        <f t="array" aca="1" ref="AA183" ca="1">OFFSET(POrigin,MATCH(Valori[[#This Row],[LUKB_id]],PID,0),MATCH("BID",PLabel,0)-1,1,1)</f>
        <v>50.606000000000002</v>
      </c>
      <c r="AB183" s="1595" cm="1">
        <f t="array" aca="1" ref="AB183" ca="1">OFFSET(POrigin,MATCH(Valori[[#This Row],[LUKB_id]],PID,0),MATCH("ASK",PLabel,0)-1,1,1)</f>
        <v>50.826000000000001</v>
      </c>
      <c r="AC183" s="1594" cm="1">
        <f t="array" aca="1" ref="AC183" ca="1">OFFSET(POrigin,MATCH(Valori[[#This Row],[LUKB_id]],PID,0),MATCH("ASK:volume",PLabel,0)-1,1,1)</f>
        <v>2952</v>
      </c>
      <c r="AD183" s="1596" cm="1">
        <f t="array" aca="1" ref="AD183" ca="1">OFFSET(POrigin,MATCH(Valori[[#This Row],[LUKB_id]],PID,0),MATCH("BID-ASK Spread %",PLabel,0)-1,1,1)</f>
        <v>2.8940133387705554E-3</v>
      </c>
      <c r="AE183" s="1597" t="str" cm="1">
        <f t="array" aca="1" ref="AE183" ca="1">IF(OFFSET(POrigin,MATCH(Valori[[#This Row],[LUKB_id]],PID,0),MATCH("MATURITY",PLabel,0)-1,1,1)&gt;0,OFFSET(POrigin,MATCH(Valori[[#This Row],[LUKB_id]],PID,0),MATCH("MATURITY",PLabel,0)-1,1,1),"")</f>
        <v/>
      </c>
      <c r="AF183" s="1598" cm="1">
        <f t="array" aca="1" ref="AF183" ca="1">OFFSET(POrigin,MATCH(Valori[[#This Row],[LUKB_id]],PID,0),MATCH("ACCINT",PLabel,0)-1,1,1)</f>
        <v>0</v>
      </c>
      <c r="AG183" s="1594" cm="1">
        <f t="array" aca="1" ref="AG183" ca="1">OFFSET(POrigin,MATCH(Valori[[#This Row],[LUKB_id]],PID,0),MATCH("DENOM",PLabel,0)-1,1,1)</f>
        <v>0</v>
      </c>
      <c r="AH183" s="1599" cm="1">
        <f t="array" aca="1" ref="AH183" ca="1">(OFFSET(POrigin,MATCH(Valori[[#This Row],[LUKB_id]],PID,0),MATCH("YIELD",PLabel,0)-1,1,1)+OFFSET(POrigin,MATCH(Valori[[#This Row],[LUKB_id]],PID,0),MATCH("YLDEQ",PLabel,0)-1,1,1))/100</f>
        <v>0</v>
      </c>
      <c r="AI183" s="1600">
        <f ca="1">OFFSET(POrigin,MATCH(Valori[[#This Row],[LUKB_id]],PID,0),MATCH("DIVIDEND",PLabel,0)-1,1,1)</f>
        <v>1.3448</v>
      </c>
      <c r="AJ183" s="1601">
        <f ca="1">OFFSET(POrigin,MATCH(Valori[[#This Row],[LUKB_id]],PID,0),MATCH("DIVIDEND:datetime",PLabel,0)-1,1,1)</f>
        <v>46055</v>
      </c>
      <c r="AK183" s="1602">
        <f ca="1">OFFSET(POrigin,MATCH(Valori[[#This Row],[LUKB_id]],PID,0),MATCH("INTEREST",PLabel,0)-1,1,1)</f>
        <v>0</v>
      </c>
      <c r="AL183" s="1603">
        <f ca="1">OFFSET(POrigin,MATCH(Valori[[#This Row],[LUKB_id]],PID,0),MATCH("4W_PERF_PR",PLabel,0)-1,1,1)/100</f>
        <v>-1.0147930000000001E-2</v>
      </c>
      <c r="AM183" s="1603">
        <f ca="1">OFFSET(POrigin,MATCH(Valori[[#This Row],[LUKB_id]],PID,0),MATCH("12W_PERF_PR",PLabel,0)-1,1,1)/100</f>
        <v>-1.9495280292814495E-2</v>
      </c>
      <c r="AN183" s="1603">
        <f ca="1">OFFSET(POrigin,MATCH(Valori[[#This Row],[LUKB_id]],PID,0),MATCH("YTD_PERF_PR",PLabel,0)-1,1,1)/100</f>
        <v>-1.9480519480519501E-2</v>
      </c>
      <c r="AO183" s="1591"/>
      <c r="AP183" s="1591"/>
      <c r="AQ183" s="1591"/>
      <c r="AR183" s="1591"/>
      <c r="AS183" s="1890" t="s">
        <v>1347</v>
      </c>
      <c r="AT183" s="1890" t="s">
        <v>1348</v>
      </c>
      <c r="AU183" s="610" t="s">
        <v>1349</v>
      </c>
      <c r="AV183" s="1891" t="s">
        <v>1350</v>
      </c>
      <c r="AW183" s="1604" t="str">
        <f ca="1">"https://boersenundmaerkte.lukb.ch/lukb/details/"&amp;Valori[[#This Row],[LUKB_id]]</f>
        <v>https://boersenundmaerkte.lukb.ch/lukb/details/13975758,16,814</v>
      </c>
      <c r="AX183" s="1605" t="str">
        <f>"https://www.marketscreener.com/mods_a/charts/TV/inc_dyna_graph.php?c="&amp;Valori[[#This Row],[MS_Code]]&amp;"&amp;style=TradingView.CANDLES&amp;interval=(null)&amp;mobile=(null)&amp;showAT=1"</f>
        <v>https://www.marketscreener.com/mods_a/charts/TV/inc_dyna_graph.php?c=18750060&amp;style=TradingView.CANDLES&amp;interval=(null)&amp;mobile=(null)&amp;showAT=1</v>
      </c>
      <c r="AY183" s="142"/>
      <c r="AZ183" s="142"/>
      <c r="BA183" s="142"/>
      <c r="BB183" s="142"/>
    </row>
    <row r="184" spans="1:54" ht="15" customHeight="1" x14ac:dyDescent="0.2">
      <c r="A184" s="142" t="s">
        <v>1351</v>
      </c>
      <c r="B184" s="142" t="str" cm="1">
        <f t="array" aca="1" ref="B184" ca="1">OFFSET(POrigin,MATCH(Valori[[#This Row],[smo_id]],Posizioni[smo_id],0),MATCH("LUKB_id",PIntestazioni,0)-1,1,1)</f>
        <v>29091268,1703,814</v>
      </c>
      <c r="C184" s="1668" t="str">
        <f ca="1">HYPERLINK("https://boersenundmaerkte.lukb.ch/lukb/details/"&amp;Valori[[#This Row],[LUKB_id]],"è")</f>
        <v>è</v>
      </c>
      <c r="D184" s="142" t="str" cm="1">
        <f t="array" aca="1" ref="D184" ca="1">OFFSET(POrigin,MATCH(Valori[[#This Row],[LUKB_id]],PID,0),MATCH("SC_GROUPED",PIntestazioni,0)-1,1,1)</f>
        <v>ETF</v>
      </c>
      <c r="E184" s="413" t="str" cm="1">
        <f t="array" aca="1" ref="E184" ca="1">OFFSET(POrigin,MATCH(Valori[[#This Row],[LUKB_id]],PID,0),MATCH("isin",PIntestazioni,0)-1,1,1)</f>
        <v>IE00BSJCQV56</v>
      </c>
      <c r="F184" s="34" t="str" cm="1">
        <f t="array" aca="1" ref="F184" ca="1">OFFSET(POrigin,MATCH(Valori[[#This Row],[LUKB_id]],PID,0),MATCH("NSIN_CH",PLabel,0)-1,1,1)</f>
        <v>29091268</v>
      </c>
      <c r="G184" s="95" t="str" cm="1">
        <f t="array" aca="1" ref="G184" ca="1">IF(OFFSET(POrigin,MATCH(Valori[[#This Row],[LUKB_id]],PID,0),MATCH("INSTRUNIT",PLabel,0)-1,1,1)="Nominal","Pct","Unit")</f>
        <v>Unit</v>
      </c>
      <c r="H184" s="612">
        <f ca="1">MAX(OFFSET(POrigin,MATCH(Valori[[#This Row],[LUKB_id]],PID,0),MATCH("PRICINGAMT",PLabel,0)-1,1,1),1)</f>
        <v>1</v>
      </c>
      <c r="I184" s="615" t="str" cm="1">
        <f t="array" aca="1" ref="I184" ca="1">OFFSET(POrigin,MATCH(Valori[[#This Row],[LUKB_id]],PID,0),MATCH("M_NAME",PLabel,0)-1,1,1)</f>
        <v>SSGA SPDR ETFs Europe I PLC - State Street FTSE EPRA Nareit Developed Europe ex UK Index UCITS ETF.</v>
      </c>
      <c r="J184" s="142" t="s">
        <v>783</v>
      </c>
      <c r="M184" s="142" t="str" cm="1">
        <f t="array" aca="1" ref="M1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FTSE EPRA Europe ex UK Real Estate UCITS</v>
      </c>
      <c r="N184" s="1563">
        <f ca="1">COUNTIF('CHF M'!smo_id,Valori[[#This Row],[smo_id]])+COUNTIF('CHF MA'!smo_id,Valori[[#This Row],[smo_id]])+COUNTIF('EUR MB'!smo_id,Valori[[#This Row],[smo_id]])+COUNTIF('EUR M'!smo_id,Valori[[#This Row],[smo_id]])+COUNTIF(AGCO!smo_id,Valori[[#This Row],[smo_id]])</f>
        <v>5</v>
      </c>
      <c r="O184" s="1590" cm="1">
        <f t="array" aca="1" ref="O184" ca="1">SUM(IF('CHF M'!smo_id=Valori[[#This Row],[smo_id]],'CHF M'!Posizione))+SUM(IF('CHF MA'!smo_id=Valori[[#This Row],[smo_id]],'CHF MA'!Posizione))+SUM(IF('EUR MB'!smo_id=Valori[[#This Row],[smo_id]],'EUR MB'!Posizione))+SUM(IF('EUR M'!smo_id=Valori[[#This Row],[smo_id]],'EUR M'!Posizione))+SUM(IF(AGCO!smo_id=Valori[[#This Row],[smo_id]],AGCO!Posizione))</f>
        <v>230</v>
      </c>
      <c r="P184" s="1661" t="str">
        <f ca="1">HYPERLINK(Valori[[#This Row],[P_Source]],"è")</f>
        <v>è</v>
      </c>
      <c r="Q184" s="1663" t="str">
        <f>HYPERLINK(Valori[[#This Row],[Info_W]],"i")</f>
        <v>i</v>
      </c>
      <c r="R184" s="1664" t="str">
        <f>HYPERLINK(Valori[[#This Row],[FN_W]],"")</f>
        <v></v>
      </c>
      <c r="S184" s="1665" t="str">
        <f>HYPERLINK(Valori[[#This Row],[MS_Link]],"")</f>
        <v></v>
      </c>
      <c r="T184" s="1665" t="str">
        <f>HYPERLINK(Valori[[#This Row],[C_source]],"")</f>
        <v></v>
      </c>
      <c r="U184" s="142" t="str" cm="1">
        <f t="array" aca="1" ref="U184" ca="1">OFFSET(POrigin,MATCH(Valori[[#This Row],[LUKB_id]],PID,0),MATCH("M_CUR",PLabel,0)-1,1,1)</f>
        <v>EUR</v>
      </c>
      <c r="V184" s="1562">
        <f ca="1">(Valori[[#This Row],[Last]]+Valori[[#This Row],[Acc. Int]])/Valori[[#This Row],[Pr.Amt]]/IF(Valori[[#This Row],[P_Type]]="Pct",100,1)</f>
        <v>31.88</v>
      </c>
      <c r="W184" s="1591" cm="1">
        <f t="array" aca="1" ref="W184" ca="1">OFFSET(POrigin,MATCH(Valori[[#This Row],[LUKB_id]],PID,0),MATCH("NC2_PR",PLabel,0)-1,1,1)/100</f>
        <v>-2.50917992656059E-2</v>
      </c>
      <c r="X184" s="1592" cm="1">
        <f t="array" aca="1" ref="X184" ca="1">OFFSET(POrigin,MATCH(Valori[[#This Row],[LUKB_id]],PID,0),MATCH("LVAL",PLabel,0)-1,1,1)</f>
        <v>31.88</v>
      </c>
      <c r="Y184" s="1593" cm="1">
        <f t="array" aca="1" ref="Y184" ca="1">OFFSET(POrigin,MATCH(Valori[[#This Row],[LUKB_id]],PID,0),MATCH("LVAL:datetime",PLabel,0)-1,1,1)</f>
        <v>46083.733275462961</v>
      </c>
      <c r="Z184" s="1594" cm="1">
        <f t="array" aca="1" ref="Z184" ca="1">OFFSET(POrigin,MATCH(Valori[[#This Row],[LUKB_id]],PID,0),MATCH("BID:volume",PLabel,0)-1,1,1)</f>
        <v>0</v>
      </c>
      <c r="AA184" s="1595" cm="1">
        <f t="array" aca="1" ref="AA184" ca="1">OFFSET(POrigin,MATCH(Valori[[#This Row],[LUKB_id]],PID,0),MATCH("BID",PLabel,0)-1,1,1)</f>
        <v>0</v>
      </c>
      <c r="AB184" s="1595" cm="1">
        <f t="array" aca="1" ref="AB184" ca="1">OFFSET(POrigin,MATCH(Valori[[#This Row],[LUKB_id]],PID,0),MATCH("ASK",PLabel,0)-1,1,1)</f>
        <v>0</v>
      </c>
      <c r="AC184" s="1594" cm="1">
        <f t="array" aca="1" ref="AC184" ca="1">OFFSET(POrigin,MATCH(Valori[[#This Row],[LUKB_id]],PID,0),MATCH("ASK:volume",PLabel,0)-1,1,1)</f>
        <v>0</v>
      </c>
      <c r="AD184" s="1596" cm="1">
        <f t="array" aca="1" ref="AD184" ca="1">OFFSET(POrigin,MATCH(Valori[[#This Row],[LUKB_id]],PID,0),MATCH("BID-ASK Spread %",PLabel,0)-1,1,1)</f>
        <v>0</v>
      </c>
      <c r="AE184" s="1597" t="str" cm="1">
        <f t="array" aca="1" ref="AE184" ca="1">IF(OFFSET(POrigin,MATCH(Valori[[#This Row],[LUKB_id]],PID,0),MATCH("MATURITY",PLabel,0)-1,1,1)&gt;0,OFFSET(POrigin,MATCH(Valori[[#This Row],[LUKB_id]],PID,0),MATCH("MATURITY",PLabel,0)-1,1,1),"")</f>
        <v/>
      </c>
      <c r="AF184" s="1598" cm="1">
        <f t="array" aca="1" ref="AF184" ca="1">OFFSET(POrigin,MATCH(Valori[[#This Row],[LUKB_id]],PID,0),MATCH("ACCINT",PLabel,0)-1,1,1)</f>
        <v>0</v>
      </c>
      <c r="AG184" s="1594" cm="1">
        <f t="array" aca="1" ref="AG184" ca="1">OFFSET(POrigin,MATCH(Valori[[#This Row],[LUKB_id]],PID,0),MATCH("DENOM",PLabel,0)-1,1,1)</f>
        <v>0</v>
      </c>
      <c r="AH184" s="1599" cm="1">
        <f t="array" aca="1" ref="AH184" ca="1">(OFFSET(POrigin,MATCH(Valori[[#This Row],[LUKB_id]],PID,0),MATCH("YIELD",PLabel,0)-1,1,1)+OFFSET(POrigin,MATCH(Valori[[#This Row],[LUKB_id]],PID,0),MATCH("YLDEQ",PLabel,0)-1,1,1))/100</f>
        <v>0</v>
      </c>
      <c r="AI184" s="1600">
        <f ca="1">OFFSET(POrigin,MATCH(Valori[[#This Row],[LUKB_id]],PID,0),MATCH("DIVIDEND",PLabel,0)-1,1,1)</f>
        <v>0</v>
      </c>
      <c r="AJ184" s="1601">
        <f ca="1">OFFSET(POrigin,MATCH(Valori[[#This Row],[LUKB_id]],PID,0),MATCH("DIVIDEND:datetime",PLabel,0)-1,1,1)</f>
        <v>0</v>
      </c>
      <c r="AK184" s="1602">
        <f ca="1">OFFSET(POrigin,MATCH(Valori[[#This Row],[LUKB_id]],PID,0),MATCH("INTEREST",PLabel,0)-1,1,1)</f>
        <v>0</v>
      </c>
      <c r="AL184" s="1603">
        <f ca="1">OFFSET(POrigin,MATCH(Valori[[#This Row],[LUKB_id]],PID,0),MATCH("4W_PERF_PR",PLabel,0)-1,1,1)/100</f>
        <v>7.1236559139784855E-2</v>
      </c>
      <c r="AM184" s="1603">
        <f ca="1">OFFSET(POrigin,MATCH(Valori[[#This Row],[LUKB_id]],PID,0),MATCH("12W_PERF_PR",PLabel,0)-1,1,1)/100</f>
        <v>0.12670083053543019</v>
      </c>
      <c r="AN184" s="1603">
        <f ca="1">OFFSET(POrigin,MATCH(Valori[[#This Row],[LUKB_id]],PID,0),MATCH("YTD_PERF_PR",PLabel,0)-1,1,1)/100</f>
        <v>9.6729776247848592E-2</v>
      </c>
      <c r="AO184" s="1591"/>
      <c r="AP184" s="1591"/>
      <c r="AQ184" s="1591"/>
      <c r="AR184" s="1591"/>
      <c r="AS184" s="1890" t="s">
        <v>1352</v>
      </c>
      <c r="AT184" s="1890" t="s">
        <v>1353</v>
      </c>
      <c r="AU184" s="610" t="s">
        <v>1354</v>
      </c>
      <c r="AV184" s="1891" t="s">
        <v>1355</v>
      </c>
      <c r="AW184" s="1604" t="str">
        <f ca="1">"https://boersenundmaerkte.lukb.ch/lukb/details/"&amp;Valori[[#This Row],[LUKB_id]]</f>
        <v>https://boersenundmaerkte.lukb.ch/lukb/details/29091268,1703,814</v>
      </c>
      <c r="AX184" s="1605" t="str">
        <f>"https://www.marketscreener.com/mods_a/charts/TV/inc_dyna_graph.php?c="&amp;Valori[[#This Row],[MS_Code]]&amp;"&amp;style=TradingView.CANDLES&amp;interval=(null)&amp;mobile=(null)&amp;showAT=1"</f>
        <v>https://www.marketscreener.com/mods_a/charts/TV/inc_dyna_graph.php?c=23332188&amp;style=TradingView.CANDLES&amp;interval=(null)&amp;mobile=(null)&amp;showAT=1</v>
      </c>
      <c r="AY184" s="142"/>
      <c r="AZ184" s="142"/>
      <c r="BA184" s="142"/>
      <c r="BB184" s="142"/>
    </row>
    <row r="185" spans="1:54" ht="15" customHeight="1" x14ac:dyDescent="0.2">
      <c r="A185" s="142" t="s">
        <v>1356</v>
      </c>
      <c r="B185" s="142" t="str" cm="1">
        <f t="array" aca="1" ref="B185" ca="1">OFFSET(POrigin,MATCH(Valori[[#This Row],[smo_id]],Posizioni[smo_id],0),MATCH("LUKB_id",PIntestazioni,0)-1,1,1)</f>
        <v>4258191,321,333</v>
      </c>
      <c r="C185" s="1668" t="str">
        <f ca="1">HYPERLINK("https://boersenundmaerkte.lukb.ch/lukb/details/"&amp;Valori[[#This Row],[LUKB_id]],"è")</f>
        <v>è</v>
      </c>
      <c r="D185" s="142" t="str" cm="1">
        <f t="array" aca="1" ref="D185" ca="1">OFFSET(POrigin,MATCH(Valori[[#This Row],[LUKB_id]],PID,0),MATCH("SC_GROUPED",PIntestazioni,0)-1,1,1)</f>
        <v>ETF</v>
      </c>
      <c r="E185" s="413" t="str" cm="1">
        <f t="array" aca="1" ref="E185" ca="1">OFFSET(POrigin,MATCH(Valori[[#This Row],[LUKB_id]],PID,0),MATCH("isin",PIntestazioni,0)-1,1,1)</f>
        <v>US78463V1070</v>
      </c>
      <c r="F185" s="34" t="str" cm="1">
        <f t="array" aca="1" ref="F185" ca="1">OFFSET(POrigin,MATCH(Valori[[#This Row],[LUKB_id]],PID,0),MATCH("NSIN_CH",PLabel,0)-1,1,1)</f>
        <v>4258191</v>
      </c>
      <c r="G185" s="95" t="str" cm="1">
        <f t="array" aca="1" ref="G185" ca="1">IF(OFFSET(POrigin,MATCH(Valori[[#This Row],[LUKB_id]],PID,0),MATCH("INSTRUNIT",PLabel,0)-1,1,1)="Nominal","Pct","Unit")</f>
        <v>Unit</v>
      </c>
      <c r="H185" s="612">
        <f ca="1">MAX(OFFSET(POrigin,MATCH(Valori[[#This Row],[LUKB_id]],PID,0),MATCH("PRICINGAMT",PLabel,0)-1,1,1),1)</f>
        <v>1</v>
      </c>
      <c r="I185" s="615" t="str" cm="1">
        <f t="array" aca="1" ref="I185" ca="1">OFFSET(POrigin,MATCH(Valori[[#This Row],[LUKB_id]],PID,0),MATCH("M_NAME",PLabel,0)-1,1,1)</f>
        <v>SPDR Gold Trust</v>
      </c>
      <c r="M185" s="142" t="str" cm="1">
        <f t="array" aca="1" ref="M1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Gold Trust</v>
      </c>
      <c r="N185" s="1563">
        <f ca="1">COUNTIF('CHF M'!smo_id,Valori[[#This Row],[smo_id]])+COUNTIF('CHF MA'!smo_id,Valori[[#This Row],[smo_id]])+COUNTIF('EUR MB'!smo_id,Valori[[#This Row],[smo_id]])+COUNTIF('EUR M'!smo_id,Valori[[#This Row],[smo_id]])+COUNTIF(AGCO!smo_id,Valori[[#This Row],[smo_id]])</f>
        <v>1</v>
      </c>
      <c r="O185" s="1590" cm="1">
        <f t="array" aca="1" ref="O185" ca="1">SUM(IF('CHF M'!smo_id=Valori[[#This Row],[smo_id]],'CHF M'!Posizione))+SUM(IF('CHF MA'!smo_id=Valori[[#This Row],[smo_id]],'CHF MA'!Posizione))+SUM(IF('EUR MB'!smo_id=Valori[[#This Row],[smo_id]],'EUR MB'!Posizione))+SUM(IF('EUR M'!smo_id=Valori[[#This Row],[smo_id]],'EUR M'!Posizione))+SUM(IF(AGCO!smo_id=Valori[[#This Row],[smo_id]],AGCO!Posizione))</f>
        <v>110</v>
      </c>
      <c r="P185" s="1661" t="str">
        <f ca="1">HYPERLINK(Valori[[#This Row],[P_Source]],"è")</f>
        <v>è</v>
      </c>
      <c r="Q185" s="1663" t="str">
        <f>HYPERLINK(Valori[[#This Row],[Info_W]],"i")</f>
        <v>i</v>
      </c>
      <c r="R185" s="1664" t="str">
        <f>HYPERLINK(Valori[[#This Row],[FN_W]],"")</f>
        <v></v>
      </c>
      <c r="S185" s="1665" t="str">
        <f>HYPERLINK(Valori[[#This Row],[MS_Link]],"")</f>
        <v></v>
      </c>
      <c r="T185" s="1665" t="str">
        <f>HYPERLINK(Valori[[#This Row],[C_source]],"")</f>
        <v></v>
      </c>
      <c r="U185" s="142" t="str" cm="1">
        <f t="array" aca="1" ref="U185" ca="1">OFFSET(POrigin,MATCH(Valori[[#This Row],[LUKB_id]],PID,0),MATCH("M_CUR",PLabel,0)-1,1,1)</f>
        <v>USD</v>
      </c>
      <c r="V185" s="1562">
        <f ca="1">(Valori[[#This Row],[Last]]+Valori[[#This Row],[Acc. Int]])/Valori[[#This Row],[Pr.Amt]]/IF(Valori[[#This Row],[P_Type]]="Pct",100,1)</f>
        <v>466.45</v>
      </c>
      <c r="W185" s="1591" cm="1">
        <f t="array" aca="1" ref="W185" ca="1">OFFSET(POrigin,MATCH(Valori[[#This Row],[LUKB_id]],PID,0),MATCH("NC2_PR",PLabel,0)-1,1,1)/100</f>
        <v>-4.8061224489796002E-2</v>
      </c>
      <c r="X185" s="1592" cm="1">
        <f t="array" aca="1" ref="X185" ca="1">OFFSET(POrigin,MATCH(Valori[[#This Row],[LUKB_id]],PID,0),MATCH("LVAL",PLabel,0)-1,1,1)</f>
        <v>466.45</v>
      </c>
      <c r="Y185" s="1593" cm="1">
        <f t="array" aca="1" ref="Y185" ca="1">OFFSET(POrigin,MATCH(Valori[[#This Row],[LUKB_id]],PID,0),MATCH("LVAL:datetime",PLabel,0)-1,1,1)</f>
        <v>46084.785879629628</v>
      </c>
      <c r="Z185" s="1594" cm="1">
        <f t="array" aca="1" ref="Z185" ca="1">OFFSET(POrigin,MATCH(Valori[[#This Row],[LUKB_id]],PID,0),MATCH("BID:volume",PLabel,0)-1,1,1)</f>
        <v>160</v>
      </c>
      <c r="AA185" s="1595" cm="1">
        <f t="array" aca="1" ref="AA185" ca="1">OFFSET(POrigin,MATCH(Valori[[#This Row],[LUKB_id]],PID,0),MATCH("BID",PLabel,0)-1,1,1)</f>
        <v>466.38</v>
      </c>
      <c r="AB185" s="1595" cm="1">
        <f t="array" aca="1" ref="AB185" ca="1">OFFSET(POrigin,MATCH(Valori[[#This Row],[LUKB_id]],PID,0),MATCH("ASK",PLabel,0)-1,1,1)</f>
        <v>466.45</v>
      </c>
      <c r="AC185" s="1594" cm="1">
        <f t="array" aca="1" ref="AC185" ca="1">OFFSET(POrigin,MATCH(Valori[[#This Row],[LUKB_id]],PID,0),MATCH("ASK:volume",PLabel,0)-1,1,1)</f>
        <v>5000</v>
      </c>
      <c r="AD185" s="1596" cm="1">
        <f t="array" aca="1" ref="AD185" ca="1">OFFSET(POrigin,MATCH(Valori[[#This Row],[LUKB_id]],PID,0),MATCH("BID-ASK Spread %",PLabel,0)-1,1,1)</f>
        <v>1.0005646043123359E-4</v>
      </c>
      <c r="AE185" s="1597" t="str" cm="1">
        <f t="array" aca="1" ref="AE185" ca="1">IF(OFFSET(POrigin,MATCH(Valori[[#This Row],[LUKB_id]],PID,0),MATCH("MATURITY",PLabel,0)-1,1,1)&gt;0,OFFSET(POrigin,MATCH(Valori[[#This Row],[LUKB_id]],PID,0),MATCH("MATURITY",PLabel,0)-1,1,1),"")</f>
        <v/>
      </c>
      <c r="AF185" s="1598" cm="1">
        <f t="array" aca="1" ref="AF185" ca="1">OFFSET(POrigin,MATCH(Valori[[#This Row],[LUKB_id]],PID,0),MATCH("ACCINT",PLabel,0)-1,1,1)</f>
        <v>0</v>
      </c>
      <c r="AG185" s="1594" cm="1">
        <f t="array" aca="1" ref="AG185" ca="1">OFFSET(POrigin,MATCH(Valori[[#This Row],[LUKB_id]],PID,0),MATCH("DENOM",PLabel,0)-1,1,1)</f>
        <v>0</v>
      </c>
      <c r="AH185" s="1599" cm="1">
        <f t="array" aca="1" ref="AH185" ca="1">(OFFSET(POrigin,MATCH(Valori[[#This Row],[LUKB_id]],PID,0),MATCH("YIELD",PLabel,0)-1,1,1)+OFFSET(POrigin,MATCH(Valori[[#This Row],[LUKB_id]],PID,0),MATCH("YLDEQ",PLabel,0)-1,1,1))/100</f>
        <v>0</v>
      </c>
      <c r="AI185" s="1600">
        <f ca="1">OFFSET(POrigin,MATCH(Valori[[#This Row],[LUKB_id]],PID,0),MATCH("DIVIDEND",PLabel,0)-1,1,1)</f>
        <v>0</v>
      </c>
      <c r="AJ185" s="1601">
        <f ca="1">OFFSET(POrigin,MATCH(Valori[[#This Row],[LUKB_id]],PID,0),MATCH("DIVIDEND:datetime",PLabel,0)-1,1,1)</f>
        <v>0</v>
      </c>
      <c r="AK185" s="1602">
        <f ca="1">OFFSET(POrigin,MATCH(Valori[[#This Row],[LUKB_id]],PID,0),MATCH("INTEREST",PLabel,0)-1,1,1)</f>
        <v>0</v>
      </c>
      <c r="AL185" s="1603">
        <f ca="1">OFFSET(POrigin,MATCH(Valori[[#This Row],[LUKB_id]],PID,0),MATCH("4W_PERF_PR",PLabel,0)-1,1,1)/100</f>
        <v>2.6767039999999999E-2</v>
      </c>
      <c r="AM185" s="1603">
        <f ca="1">OFFSET(POrigin,MATCH(Valori[[#This Row],[LUKB_id]],PID,0),MATCH("12W_PERF_PR",PLabel,0)-1,1,1)/100</f>
        <v>0.20405265999999997</v>
      </c>
      <c r="AN185" s="1603">
        <f ca="1">OFFSET(POrigin,MATCH(Valori[[#This Row],[LUKB_id]],PID,0),MATCH("YTD_PERF_PR",PLabel,0)-1,1,1)/100</f>
        <v>0.23640584391007</v>
      </c>
      <c r="AO185" s="1591"/>
      <c r="AP185" s="1591"/>
      <c r="AQ185" s="1591"/>
      <c r="AR185" s="1591"/>
      <c r="AS185" s="1890"/>
      <c r="AT185" s="1890"/>
      <c r="AU185" s="610"/>
      <c r="AV185" s="1891"/>
      <c r="AW185" s="1604" t="str">
        <f ca="1">"https://boersenundmaerkte.lukb.ch/lukb/details/"&amp;Valori[[#This Row],[LUKB_id]]</f>
        <v>https://boersenundmaerkte.lukb.ch/lukb/details/4258191,321,333</v>
      </c>
      <c r="AX18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5" s="142"/>
      <c r="AZ185" s="142"/>
      <c r="BA185" s="142"/>
      <c r="BB185" s="142"/>
    </row>
    <row r="186" spans="1:54" ht="15" customHeight="1" x14ac:dyDescent="0.2">
      <c r="A186" s="142" t="s">
        <v>1363</v>
      </c>
      <c r="B186" s="142" t="str" cm="1">
        <f t="array" aca="1" ref="B186" ca="1">OFFSET(POrigin,MATCH(Valori[[#This Row],[smo_id]],Posizioni[smo_id],0),MATCH("LUKB_id",PIntestazioni,0)-1,1,1)</f>
        <v>24767054,361,814</v>
      </c>
      <c r="C186" s="1668" t="str">
        <f ca="1">HYPERLINK("https://boersenundmaerkte.lukb.ch/lukb/details/"&amp;Valori[[#This Row],[LUKB_id]],"è")</f>
        <v>è</v>
      </c>
      <c r="D186" s="142" t="str" cm="1">
        <f t="array" aca="1" ref="D186" ca="1">OFFSET(POrigin,MATCH(Valori[[#This Row],[LUKB_id]],PID,0),MATCH("SC_GROUPED",PIntestazioni,0)-1,1,1)</f>
        <v>ETF</v>
      </c>
      <c r="E186" s="413" t="str" cm="1">
        <f t="array" aca="1" ref="E186" ca="1">OFFSET(POrigin,MATCH(Valori[[#This Row],[LUKB_id]],PID,0),MATCH("isin",PIntestazioni,0)-1,1,1)</f>
        <v>IE00BKWQ0C77</v>
      </c>
      <c r="F186" s="34" t="str" cm="1">
        <f t="array" aca="1" ref="F186" ca="1">OFFSET(POrigin,MATCH(Valori[[#This Row],[LUKB_id]],PID,0),MATCH("NSIN_CH",PLabel,0)-1,1,1)</f>
        <v>24767054</v>
      </c>
      <c r="G186" s="95" t="str" cm="1">
        <f t="array" aca="1" ref="G186" ca="1">IF(OFFSET(POrigin,MATCH(Valori[[#This Row],[LUKB_id]],PID,0),MATCH("INSTRUNIT",PLabel,0)-1,1,1)="Nominal","Pct","Unit")</f>
        <v>Unit</v>
      </c>
      <c r="H186" s="612">
        <f ca="1">MAX(OFFSET(POrigin,MATCH(Valori[[#This Row],[LUKB_id]],PID,0),MATCH("PRICINGAMT",PLabel,0)-1,1,1),1)</f>
        <v>1</v>
      </c>
      <c r="I186" s="615" t="str" cm="1">
        <f t="array" aca="1" ref="I186" ca="1">OFFSET(POrigin,MATCH(Valori[[#This Row],[LUKB_id]],PID,0),MATCH("M_NAME",PLabel,0)-1,1,1)</f>
        <v>SSgA SPDR ETFs EUROPE II PLC - State Street SPDR MSCI Europe Consumer Discretionary UCITS ETF</v>
      </c>
      <c r="J186" s="142" t="s">
        <v>1364</v>
      </c>
      <c r="M186" s="142" t="str" cm="1">
        <f t="array" aca="1" ref="M1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Discretionary UCITS ETF (Acc)</v>
      </c>
      <c r="N186" s="1563">
        <f ca="1">COUNTIF('CHF M'!smo_id,Valori[[#This Row],[smo_id]])+COUNTIF('CHF MA'!smo_id,Valori[[#This Row],[smo_id]])+COUNTIF('EUR MB'!smo_id,Valori[[#This Row],[smo_id]])+COUNTIF('EUR M'!smo_id,Valori[[#This Row],[smo_id]])+COUNTIF(AGCO!smo_id,Valori[[#This Row],[smo_id]])</f>
        <v>0</v>
      </c>
      <c r="O186" s="1590" cm="1">
        <f t="array" aca="1" ref="O186" ca="1">SUM(IF('CHF M'!smo_id=Valori[[#This Row],[smo_id]],'CHF M'!Posizione))+SUM(IF('CHF MA'!smo_id=Valori[[#This Row],[smo_id]],'CHF MA'!Posizione))+SUM(IF('EUR MB'!smo_id=Valori[[#This Row],[smo_id]],'EUR MB'!Posizione))+SUM(IF('EUR M'!smo_id=Valori[[#This Row],[smo_id]],'EUR M'!Posizione))+SUM(IF(AGCO!smo_id=Valori[[#This Row],[smo_id]],AGCO!Posizione))</f>
        <v>0</v>
      </c>
      <c r="P186" s="1661" t="str">
        <f ca="1">HYPERLINK(Valori[[#This Row],[P_Source]],"è")</f>
        <v>è</v>
      </c>
      <c r="Q186" s="1663" t="str">
        <f>HYPERLINK(Valori[[#This Row],[Info_W]],"i")</f>
        <v>i</v>
      </c>
      <c r="R186" s="1664" t="str">
        <f>HYPERLINK(Valori[[#This Row],[FN_W]],"")</f>
        <v></v>
      </c>
      <c r="S186" s="1665" t="str">
        <f>HYPERLINK(Valori[[#This Row],[MS_Link]],"")</f>
        <v></v>
      </c>
      <c r="T186" s="1665" t="str">
        <f>HYPERLINK(Valori[[#This Row],[C_source]],"")</f>
        <v></v>
      </c>
      <c r="U186" s="142" t="str" cm="1">
        <f t="array" aca="1" ref="U186" ca="1">OFFSET(POrigin,MATCH(Valori[[#This Row],[LUKB_id]],PID,0),MATCH("M_CUR",PLabel,0)-1,1,1)</f>
        <v>EUR</v>
      </c>
      <c r="V186" s="1562">
        <f ca="1">(Valori[[#This Row],[Last]]+Valori[[#This Row],[Acc. Int]])/Valori[[#This Row],[Pr.Amt]]/IF(Valori[[#This Row],[P_Type]]="Pct",100,1)</f>
        <v>152.96</v>
      </c>
      <c r="W186" s="1591" cm="1">
        <f t="array" aca="1" ref="W186" ca="1">OFFSET(POrigin,MATCH(Valori[[#This Row],[LUKB_id]],PID,0),MATCH("NC2_PR",PLabel,0)-1,1,1)/100</f>
        <v>-3.1285623812539604E-2</v>
      </c>
      <c r="X186" s="1592" cm="1">
        <f t="array" aca="1" ref="X186" ca="1">OFFSET(POrigin,MATCH(Valori[[#This Row],[LUKB_id]],PID,0),MATCH("LVAL",PLabel,0)-1,1,1)</f>
        <v>152.96</v>
      </c>
      <c r="Y186" s="1593" cm="1">
        <f t="array" aca="1" ref="Y186" ca="1">OFFSET(POrigin,MATCH(Valori[[#This Row],[LUKB_id]],PID,0),MATCH("LVAL:datetime",PLabel,0)-1,1,1)</f>
        <v>46084.732812499999</v>
      </c>
      <c r="Z186" s="1594" cm="1">
        <f t="array" aca="1" ref="Z186" ca="1">OFFSET(POrigin,MATCH(Valori[[#This Row],[LUKB_id]],PID,0),MATCH("BID:volume",PLabel,0)-1,1,1)</f>
        <v>28</v>
      </c>
      <c r="AA186" s="1595" cm="1">
        <f t="array" aca="1" ref="AA186" ca="1">OFFSET(POrigin,MATCH(Valori[[#This Row],[LUKB_id]],PID,0),MATCH("BID",PLabel,0)-1,1,1)</f>
        <v>152.5</v>
      </c>
      <c r="AB186" s="1595" cm="1">
        <f t="array" aca="1" ref="AB186" ca="1">OFFSET(POrigin,MATCH(Valori[[#This Row],[LUKB_id]],PID,0),MATCH("ASK",PLabel,0)-1,1,1)</f>
        <v>153.20000000000002</v>
      </c>
      <c r="AC186" s="1594" cm="1">
        <f t="array" aca="1" ref="AC186" ca="1">OFFSET(POrigin,MATCH(Valori[[#This Row],[LUKB_id]],PID,0),MATCH("ASK:volume",PLabel,0)-1,1,1)</f>
        <v>28</v>
      </c>
      <c r="AD186" s="1596" cm="1">
        <f t="array" aca="1" ref="AD186" ca="1">OFFSET(POrigin,MATCH(Valori[[#This Row],[LUKB_id]],PID,0),MATCH("BID-ASK Spread %",PLabel,0)-1,1,1)</f>
        <v>3.0554343081624488E-3</v>
      </c>
      <c r="AE186" s="1597" t="str" cm="1">
        <f t="array" aca="1" ref="AE186" ca="1">IF(OFFSET(POrigin,MATCH(Valori[[#This Row],[LUKB_id]],PID,0),MATCH("MATURITY",PLabel,0)-1,1,1)&gt;0,OFFSET(POrigin,MATCH(Valori[[#This Row],[LUKB_id]],PID,0),MATCH("MATURITY",PLabel,0)-1,1,1),"")</f>
        <v/>
      </c>
      <c r="AF186" s="1598" cm="1">
        <f t="array" aca="1" ref="AF186" ca="1">OFFSET(POrigin,MATCH(Valori[[#This Row],[LUKB_id]],PID,0),MATCH("ACCINT",PLabel,0)-1,1,1)</f>
        <v>0</v>
      </c>
      <c r="AG186" s="1594" cm="1">
        <f t="array" aca="1" ref="AG186" ca="1">OFFSET(POrigin,MATCH(Valori[[#This Row],[LUKB_id]],PID,0),MATCH("DENOM",PLabel,0)-1,1,1)</f>
        <v>0</v>
      </c>
      <c r="AH186" s="1599" cm="1">
        <f t="array" aca="1" ref="AH186" ca="1">(OFFSET(POrigin,MATCH(Valori[[#This Row],[LUKB_id]],PID,0),MATCH("YIELD",PLabel,0)-1,1,1)+OFFSET(POrigin,MATCH(Valori[[#This Row],[LUKB_id]],PID,0),MATCH("YLDEQ",PLabel,0)-1,1,1))/100</f>
        <v>0</v>
      </c>
      <c r="AI186" s="1600">
        <f ca="1">OFFSET(POrigin,MATCH(Valori[[#This Row],[LUKB_id]],PID,0),MATCH("DIVIDEND",PLabel,0)-1,1,1)</f>
        <v>0</v>
      </c>
      <c r="AJ186" s="1601">
        <f ca="1">OFFSET(POrigin,MATCH(Valori[[#This Row],[LUKB_id]],PID,0),MATCH("DIVIDEND:datetime",PLabel,0)-1,1,1)</f>
        <v>0</v>
      </c>
      <c r="AK186" s="1602">
        <f ca="1">OFFSET(POrigin,MATCH(Valori[[#This Row],[LUKB_id]],PID,0),MATCH("INTEREST",PLabel,0)-1,1,1)</f>
        <v>0</v>
      </c>
      <c r="AL186" s="1603">
        <f ca="1">OFFSET(POrigin,MATCH(Valori[[#This Row],[LUKB_id]],PID,0),MATCH("4W_PERF_PR",PLabel,0)-1,1,1)/100</f>
        <v>-4.911103E-2</v>
      </c>
      <c r="AM186" s="1603">
        <f ca="1">OFFSET(POrigin,MATCH(Valori[[#This Row],[LUKB_id]],PID,0),MATCH("12W_PERF_PR",PLabel,0)-1,1,1)/100</f>
        <v>-0.11747057</v>
      </c>
      <c r="AN186" s="1603">
        <f ca="1">OFFSET(POrigin,MATCH(Valori[[#This Row],[LUKB_id]],PID,0),MATCH("YTD_PERF_PR",PLabel,0)-1,1,1)/100</f>
        <v>-0.10176915637977201</v>
      </c>
      <c r="AO186" s="1591"/>
      <c r="AP186" s="1591"/>
      <c r="AQ186" s="1591"/>
      <c r="AR186" s="1591"/>
      <c r="AS186" s="1890" t="s">
        <v>1365</v>
      </c>
      <c r="AT186" s="1890" t="s">
        <v>1366</v>
      </c>
      <c r="AU186" s="610" t="s">
        <v>1367</v>
      </c>
      <c r="AV186" s="1891" t="s">
        <v>1368</v>
      </c>
      <c r="AW186" s="1604" t="str">
        <f ca="1">"https://boersenundmaerkte.lukb.ch/lukb/details/"&amp;Valori[[#This Row],[LUKB_id]]</f>
        <v>https://boersenundmaerkte.lukb.ch/lukb/details/24767054,361,814</v>
      </c>
      <c r="AX186" s="1605" t="str">
        <f>"https://www.marketscreener.com/mods_a/charts/TV/inc_dyna_graph.php?c="&amp;Valori[[#This Row],[MS_Code]]&amp;"&amp;style=TradingView.CANDLES&amp;interval=(null)&amp;mobile=(null)&amp;showAT=1"</f>
        <v>https://www.marketscreener.com/mods_a/charts/TV/inc_dyna_graph.php?c=19116468&amp;style=TradingView.CANDLES&amp;interval=(null)&amp;mobile=(null)&amp;showAT=1</v>
      </c>
      <c r="AY186" s="142"/>
      <c r="AZ186" s="142"/>
      <c r="BA186" s="142"/>
      <c r="BB186" s="142"/>
    </row>
    <row r="187" spans="1:54" ht="15" customHeight="1" x14ac:dyDescent="0.2">
      <c r="A187" s="142" t="s">
        <v>1369</v>
      </c>
      <c r="B187" s="142" t="str" cm="1">
        <f t="array" aca="1" ref="B187" ca="1">OFFSET(POrigin,MATCH(Valori[[#This Row],[smo_id]],Posizioni[smo_id],0),MATCH("LUKB_id",PIntestazioni,0)-1,1,1)</f>
        <v>24767099,6920,814</v>
      </c>
      <c r="C187" s="1668" t="str">
        <f ca="1">HYPERLINK("https://boersenundmaerkte.lukb.ch/lukb/details/"&amp;Valori[[#This Row],[LUKB_id]],"è")</f>
        <v>è</v>
      </c>
      <c r="D187" s="142" t="str" cm="1">
        <f t="array" aca="1" ref="D187" ca="1">OFFSET(POrigin,MATCH(Valori[[#This Row],[LUKB_id]],PID,0),MATCH("SC_GROUPED",PIntestazioni,0)-1,1,1)</f>
        <v>ETF</v>
      </c>
      <c r="E187" s="413" t="str" cm="1">
        <f t="array" aca="1" ref="E187" ca="1">OFFSET(POrigin,MATCH(Valori[[#This Row],[LUKB_id]],PID,0),MATCH("isin",PIntestazioni,0)-1,1,1)</f>
        <v>IE00BKWQ0D84</v>
      </c>
      <c r="F187" s="34" t="str" cm="1">
        <f t="array" aca="1" ref="F187" ca="1">OFFSET(POrigin,MATCH(Valori[[#This Row],[LUKB_id]],PID,0),MATCH("NSIN_CH",PLabel,0)-1,1,1)</f>
        <v>24767099</v>
      </c>
      <c r="G187" s="95" t="str" cm="1">
        <f t="array" aca="1" ref="G187" ca="1">IF(OFFSET(POrigin,MATCH(Valori[[#This Row],[LUKB_id]],PID,0),MATCH("INSTRUNIT",PLabel,0)-1,1,1)="Nominal","Pct","Unit")</f>
        <v>Unit</v>
      </c>
      <c r="H187" s="612">
        <f ca="1">MAX(OFFSET(POrigin,MATCH(Valori[[#This Row],[LUKB_id]],PID,0),MATCH("PRICINGAMT",PLabel,0)-1,1,1),1)</f>
        <v>1</v>
      </c>
      <c r="I187" s="615" t="str" cm="1">
        <f t="array" aca="1" ref="I187" ca="1">OFFSET(POrigin,MATCH(Valori[[#This Row],[LUKB_id]],PID,0),MATCH("M_NAME",PLabel,0)-1,1,1)</f>
        <v>SSgA SPDR ETFs EUROPE II PLC - State Street SPDR MSCI Europe Consumer Staples UCITS ETF</v>
      </c>
      <c r="J187" s="142" t="s">
        <v>1370</v>
      </c>
      <c r="M187" s="142" t="str" cm="1">
        <f t="array" aca="1" ref="M1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Staples UCITS ETF (Acc)</v>
      </c>
      <c r="N187" s="1563">
        <f ca="1">COUNTIF('CHF M'!smo_id,Valori[[#This Row],[smo_id]])+COUNTIF('CHF MA'!smo_id,Valori[[#This Row],[smo_id]])+COUNTIF('EUR MB'!smo_id,Valori[[#This Row],[smo_id]])+COUNTIF('EUR M'!smo_id,Valori[[#This Row],[smo_id]])+COUNTIF(AGCO!smo_id,Valori[[#This Row],[smo_id]])</f>
        <v>0</v>
      </c>
      <c r="O187" s="1590" cm="1">
        <f t="array" aca="1" ref="O187" ca="1">SUM(IF('CHF M'!smo_id=Valori[[#This Row],[smo_id]],'CHF M'!Posizione))+SUM(IF('CHF MA'!smo_id=Valori[[#This Row],[smo_id]],'CHF MA'!Posizione))+SUM(IF('EUR MB'!smo_id=Valori[[#This Row],[smo_id]],'EUR MB'!Posizione))+SUM(IF('EUR M'!smo_id=Valori[[#This Row],[smo_id]],'EUR M'!Posizione))+SUM(IF(AGCO!smo_id=Valori[[#This Row],[smo_id]],AGCO!Posizione))</f>
        <v>0</v>
      </c>
      <c r="P187" s="1661" t="str">
        <f ca="1">HYPERLINK(Valori[[#This Row],[P_Source]],"è")</f>
        <v>è</v>
      </c>
      <c r="Q187" s="1663" t="str">
        <f>HYPERLINK(Valori[[#This Row],[Info_W]],"i")</f>
        <v>i</v>
      </c>
      <c r="R187" s="1664" t="str">
        <f>HYPERLINK(Valori[[#This Row],[FN_W]],"")</f>
        <v></v>
      </c>
      <c r="S187" s="1665" t="str">
        <f>HYPERLINK(Valori[[#This Row],[MS_Link]],"")</f>
        <v></v>
      </c>
      <c r="T187" s="1665" t="str">
        <f>HYPERLINK(Valori[[#This Row],[C_source]],"")</f>
        <v></v>
      </c>
      <c r="U187" s="142" t="str" cm="1">
        <f t="array" aca="1" ref="U187" ca="1">OFFSET(POrigin,MATCH(Valori[[#This Row],[LUKB_id]],PID,0),MATCH("M_CUR",PLabel,0)-1,1,1)</f>
        <v>EUR</v>
      </c>
      <c r="V187" s="1562">
        <f ca="1">(Valori[[#This Row],[Last]]+Valori[[#This Row],[Acc. Int]])/Valori[[#This Row],[Pr.Amt]]/IF(Valori[[#This Row],[P_Type]]="Pct",100,1)</f>
        <v>246.65</v>
      </c>
      <c r="W187" s="1591" cm="1">
        <f t="array" aca="1" ref="W187" ca="1">OFFSET(POrigin,MATCH(Valori[[#This Row],[LUKB_id]],PID,0),MATCH("NC2_PR",PLabel,0)-1,1,1)/100</f>
        <v>-1.1959338249950199E-2</v>
      </c>
      <c r="X187" s="1592" cm="1">
        <f t="array" aca="1" ref="X187" ca="1">OFFSET(POrigin,MATCH(Valori[[#This Row],[LUKB_id]],PID,0),MATCH("LVAL",PLabel,0)-1,1,1)</f>
        <v>246.65</v>
      </c>
      <c r="Y187" s="1593" cm="1">
        <f t="array" aca="1" ref="Y187" ca="1">OFFSET(POrigin,MATCH(Valori[[#This Row],[LUKB_id]],PID,0),MATCH("LVAL:datetime",PLabel,0)-1,1,1)</f>
        <v>46083.746527777781</v>
      </c>
      <c r="Z187" s="1594" cm="1">
        <f t="array" aca="1" ref="Z187" ca="1">OFFSET(POrigin,MATCH(Valori[[#This Row],[LUKB_id]],PID,0),MATCH("BID:volume",PLabel,0)-1,1,1)</f>
        <v>0</v>
      </c>
      <c r="AA187" s="1595" cm="1">
        <f t="array" aca="1" ref="AA187" ca="1">OFFSET(POrigin,MATCH(Valori[[#This Row],[LUKB_id]],PID,0),MATCH("BID",PLabel,0)-1,1,1)</f>
        <v>0</v>
      </c>
      <c r="AB187" s="1595" cm="1">
        <f t="array" aca="1" ref="AB187" ca="1">OFFSET(POrigin,MATCH(Valori[[#This Row],[LUKB_id]],PID,0),MATCH("ASK",PLabel,0)-1,1,1)</f>
        <v>0</v>
      </c>
      <c r="AC187" s="1594" cm="1">
        <f t="array" aca="1" ref="AC187" ca="1">OFFSET(POrigin,MATCH(Valori[[#This Row],[LUKB_id]],PID,0),MATCH("ASK:volume",PLabel,0)-1,1,1)</f>
        <v>0</v>
      </c>
      <c r="AD187" s="1596" cm="1">
        <f t="array" aca="1" ref="AD187" ca="1">OFFSET(POrigin,MATCH(Valori[[#This Row],[LUKB_id]],PID,0),MATCH("BID-ASK Spread %",PLabel,0)-1,1,1)</f>
        <v>0</v>
      </c>
      <c r="AE187" s="1597" t="str" cm="1">
        <f t="array" aca="1" ref="AE187" ca="1">IF(OFFSET(POrigin,MATCH(Valori[[#This Row],[LUKB_id]],PID,0),MATCH("MATURITY",PLabel,0)-1,1,1)&gt;0,OFFSET(POrigin,MATCH(Valori[[#This Row],[LUKB_id]],PID,0),MATCH("MATURITY",PLabel,0)-1,1,1),"")</f>
        <v/>
      </c>
      <c r="AF187" s="1598" cm="1">
        <f t="array" aca="1" ref="AF187" ca="1">OFFSET(POrigin,MATCH(Valori[[#This Row],[LUKB_id]],PID,0),MATCH("ACCINT",PLabel,0)-1,1,1)</f>
        <v>0</v>
      </c>
      <c r="AG187" s="1594" cm="1">
        <f t="array" aca="1" ref="AG187" ca="1">OFFSET(POrigin,MATCH(Valori[[#This Row],[LUKB_id]],PID,0),MATCH("DENOM",PLabel,0)-1,1,1)</f>
        <v>0</v>
      </c>
      <c r="AH187" s="1599" cm="1">
        <f t="array" aca="1" ref="AH187" ca="1">(OFFSET(POrigin,MATCH(Valori[[#This Row],[LUKB_id]],PID,0),MATCH("YIELD",PLabel,0)-1,1,1)+OFFSET(POrigin,MATCH(Valori[[#This Row],[LUKB_id]],PID,0),MATCH("YLDEQ",PLabel,0)-1,1,1))/100</f>
        <v>0</v>
      </c>
      <c r="AI187" s="1600">
        <f ca="1">OFFSET(POrigin,MATCH(Valori[[#This Row],[LUKB_id]],PID,0),MATCH("DIVIDEND",PLabel,0)-1,1,1)</f>
        <v>0</v>
      </c>
      <c r="AJ187" s="1601">
        <f ca="1">OFFSET(POrigin,MATCH(Valori[[#This Row],[LUKB_id]],PID,0),MATCH("DIVIDEND:datetime",PLabel,0)-1,1,1)</f>
        <v>0</v>
      </c>
      <c r="AK187" s="1602">
        <f ca="1">OFFSET(POrigin,MATCH(Valori[[#This Row],[LUKB_id]],PID,0),MATCH("INTEREST",PLabel,0)-1,1,1)</f>
        <v>0</v>
      </c>
      <c r="AL187" s="1603">
        <f ca="1">OFFSET(POrigin,MATCH(Valori[[#This Row],[LUKB_id]],PID,0),MATCH("4W_PERF_PR",PLabel,0)-1,1,1)/100</f>
        <v>6.4752859917979716E-2</v>
      </c>
      <c r="AM187" s="1603">
        <f ca="1">OFFSET(POrigin,MATCH(Valori[[#This Row],[LUKB_id]],PID,0),MATCH("12W_PERF_PR",PLabel,0)-1,1,1)/100</f>
        <v>9.8908442860325185E-2</v>
      </c>
      <c r="AN187" s="1603">
        <f ca="1">OFFSET(POrigin,MATCH(Valori[[#This Row],[LUKB_id]],PID,0),MATCH("YTD_PERF_PR",PLabel,0)-1,1,1)/100</f>
        <v>8.5870755750273892E-2</v>
      </c>
      <c r="AO187" s="1591"/>
      <c r="AP187" s="1591"/>
      <c r="AQ187" s="1591"/>
      <c r="AR187" s="1591"/>
      <c r="AS187" s="1890" t="s">
        <v>1371</v>
      </c>
      <c r="AT187" s="1890" t="s">
        <v>1372</v>
      </c>
      <c r="AU187" s="610" t="s">
        <v>1373</v>
      </c>
      <c r="AV187" s="1891" t="s">
        <v>1374</v>
      </c>
      <c r="AW187" s="1604" t="str">
        <f ca="1">"https://boersenundmaerkte.lukb.ch/lukb/details/"&amp;Valori[[#This Row],[LUKB_id]]</f>
        <v>https://boersenundmaerkte.lukb.ch/lukb/details/24767099,6920,814</v>
      </c>
      <c r="AX187" s="1605" t="str">
        <f>"https://www.marketscreener.com/mods_a/charts/TV/inc_dyna_graph.php?c="&amp;Valori[[#This Row],[MS_Code]]&amp;"&amp;style=TradingView.CANDLES&amp;interval=(null)&amp;mobile=(null)&amp;showAT=1"</f>
        <v>https://www.marketscreener.com/mods_a/charts/TV/inc_dyna_graph.php?c=19116469&amp;style=TradingView.CANDLES&amp;interval=(null)&amp;mobile=(null)&amp;showAT=1</v>
      </c>
      <c r="AY187" s="142"/>
      <c r="AZ187" s="142"/>
      <c r="BA187" s="142"/>
      <c r="BB187" s="142"/>
    </row>
    <row r="188" spans="1:54" ht="15" customHeight="1" x14ac:dyDescent="0.2">
      <c r="A188" s="142" t="s">
        <v>1375</v>
      </c>
      <c r="B188" s="142" t="str" cm="1">
        <f t="array" aca="1" ref="B188" ca="1">OFFSET(POrigin,MATCH(Valori[[#This Row],[smo_id]],Posizioni[smo_id],0),MATCH("LUKB_id",PIntestazioni,0)-1,1,1)</f>
        <v>24767119,361,814</v>
      </c>
      <c r="C188" s="1668" t="str">
        <f ca="1">HYPERLINK("https://boersenundmaerkte.lukb.ch/lukb/details/"&amp;Valori[[#This Row],[LUKB_id]],"è")</f>
        <v>è</v>
      </c>
      <c r="D188" s="142" t="str" cm="1">
        <f t="array" aca="1" ref="D188" ca="1">OFFSET(POrigin,MATCH(Valori[[#This Row],[LUKB_id]],PID,0),MATCH("SC_GROUPED",PIntestazioni,0)-1,1,1)</f>
        <v>ETF</v>
      </c>
      <c r="E188" s="413" t="str" cm="1">
        <f t="array" aca="1" ref="E188" ca="1">OFFSET(POrigin,MATCH(Valori[[#This Row],[LUKB_id]],PID,0),MATCH("isin",PIntestazioni,0)-1,1,1)</f>
        <v>IE00BKWQ0F09</v>
      </c>
      <c r="F188" s="34" t="str" cm="1">
        <f t="array" aca="1" ref="F188" ca="1">OFFSET(POrigin,MATCH(Valori[[#This Row],[LUKB_id]],PID,0),MATCH("NSIN_CH",PLabel,0)-1,1,1)</f>
        <v>24767119</v>
      </c>
      <c r="G188" s="95" t="str" cm="1">
        <f t="array" aca="1" ref="G188" ca="1">IF(OFFSET(POrigin,MATCH(Valori[[#This Row],[LUKB_id]],PID,0),MATCH("INSTRUNIT",PLabel,0)-1,1,1)="Nominal","Pct","Unit")</f>
        <v>Unit</v>
      </c>
      <c r="H188" s="612">
        <f ca="1">MAX(OFFSET(POrigin,MATCH(Valori[[#This Row],[LUKB_id]],PID,0),MATCH("PRICINGAMT",PLabel,0)-1,1,1),1)</f>
        <v>1</v>
      </c>
      <c r="I188" s="615" t="str" cm="1">
        <f t="array" aca="1" ref="I188" ca="1">OFFSET(POrigin,MATCH(Valori[[#This Row],[LUKB_id]],PID,0),MATCH("M_NAME",PLabel,0)-1,1,1)</f>
        <v>SSgA SPDR ETFs EUROPE II PLC - State Street SPDR MSCI Europe Energy UCITS ETF</v>
      </c>
      <c r="J188" s="142" t="s">
        <v>507</v>
      </c>
      <c r="M188" s="142" t="str" cm="1">
        <f t="array" aca="1" ref="M1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Energy UCITS ETF (Acc)</v>
      </c>
      <c r="N188" s="1563">
        <f ca="1">COUNTIF('CHF M'!smo_id,Valori[[#This Row],[smo_id]])+COUNTIF('CHF MA'!smo_id,Valori[[#This Row],[smo_id]])+COUNTIF('EUR MB'!smo_id,Valori[[#This Row],[smo_id]])+COUNTIF('EUR M'!smo_id,Valori[[#This Row],[smo_id]])+COUNTIF(AGCO!smo_id,Valori[[#This Row],[smo_id]])</f>
        <v>0</v>
      </c>
      <c r="O188" s="1590" cm="1">
        <f t="array" aca="1" ref="O188" ca="1">SUM(IF('CHF M'!smo_id=Valori[[#This Row],[smo_id]],'CHF M'!Posizione))+SUM(IF('CHF MA'!smo_id=Valori[[#This Row],[smo_id]],'CHF MA'!Posizione))+SUM(IF('EUR MB'!smo_id=Valori[[#This Row],[smo_id]],'EUR MB'!Posizione))+SUM(IF('EUR M'!smo_id=Valori[[#This Row],[smo_id]],'EUR M'!Posizione))+SUM(IF(AGCO!smo_id=Valori[[#This Row],[smo_id]],AGCO!Posizione))</f>
        <v>0</v>
      </c>
      <c r="P188" s="1661" t="str">
        <f ca="1">HYPERLINK(Valori[[#This Row],[P_Source]],"è")</f>
        <v>è</v>
      </c>
      <c r="Q188" s="1663" t="str">
        <f>HYPERLINK(Valori[[#This Row],[Info_W]],"i")</f>
        <v>i</v>
      </c>
      <c r="R188" s="1664" t="str">
        <f>HYPERLINK(Valori[[#This Row],[FN_W]],"")</f>
        <v></v>
      </c>
      <c r="S188" s="1665" t="str">
        <f>HYPERLINK(Valori[[#This Row],[MS_Link]],"")</f>
        <v></v>
      </c>
      <c r="T188" s="1665" t="str">
        <f>HYPERLINK(Valori[[#This Row],[C_source]],"")</f>
        <v></v>
      </c>
      <c r="U188" s="142" t="str" cm="1">
        <f t="array" aca="1" ref="U188" ca="1">OFFSET(POrigin,MATCH(Valori[[#This Row],[LUKB_id]],PID,0),MATCH("M_CUR",PLabel,0)-1,1,1)</f>
        <v>EUR</v>
      </c>
      <c r="V188" s="1562">
        <f ca="1">(Valori[[#This Row],[Last]]+Valori[[#This Row],[Acc. Int]])/Valori[[#This Row],[Pr.Amt]]/IF(Valori[[#This Row],[P_Type]]="Pct",100,1)</f>
        <v>256.92500000000001</v>
      </c>
      <c r="W188" s="1591" cm="1">
        <f t="array" aca="1" ref="W188" ca="1">OFFSET(POrigin,MATCH(Valori[[#This Row],[LUKB_id]],PID,0),MATCH("NC2_PR",PLabel,0)-1,1,1)/100</f>
        <v>-2.5218234723569E-3</v>
      </c>
      <c r="X188" s="1592" cm="1">
        <f t="array" aca="1" ref="X188" ca="1">OFFSET(POrigin,MATCH(Valori[[#This Row],[LUKB_id]],PID,0),MATCH("LVAL",PLabel,0)-1,1,1)</f>
        <v>256.92500000000001</v>
      </c>
      <c r="Y188" s="1593" cm="1">
        <f t="array" aca="1" ref="Y188" ca="1">OFFSET(POrigin,MATCH(Valori[[#This Row],[LUKB_id]],PID,0),MATCH("LVAL:datetime",PLabel,0)-1,1,1)</f>
        <v>46084.732789351852</v>
      </c>
      <c r="Z188" s="1594" cm="1">
        <f t="array" aca="1" ref="Z188" ca="1">OFFSET(POrigin,MATCH(Valori[[#This Row],[LUKB_id]],PID,0),MATCH("BID:volume",PLabel,0)-1,1,1)</f>
        <v>3269</v>
      </c>
      <c r="AA188" s="1595" cm="1">
        <f t="array" aca="1" ref="AA188" ca="1">OFFSET(POrigin,MATCH(Valori[[#This Row],[LUKB_id]],PID,0),MATCH("BID",PLabel,0)-1,1,1)</f>
        <v>255.60000000000002</v>
      </c>
      <c r="AB188" s="1595" cm="1">
        <f t="array" aca="1" ref="AB188" ca="1">OFFSET(POrigin,MATCH(Valori[[#This Row],[LUKB_id]],PID,0),MATCH("ASK",PLabel,0)-1,1,1)</f>
        <v>258.5</v>
      </c>
      <c r="AC188" s="1594" cm="1">
        <f t="array" aca="1" ref="AC188" ca="1">OFFSET(POrigin,MATCH(Valori[[#This Row],[LUKB_id]],PID,0),MATCH("ASK:volume",PLabel,0)-1,1,1)</f>
        <v>3269</v>
      </c>
      <c r="AD188" s="1596" cm="1">
        <f t="array" aca="1" ref="AD188" ca="1">OFFSET(POrigin,MATCH(Valori[[#This Row],[LUKB_id]],PID,0),MATCH("BID-ASK Spread %",PLabel,0)-1,1,1)</f>
        <v>7.5354034039235469E-3</v>
      </c>
      <c r="AE188" s="1597" t="str" cm="1">
        <f t="array" aca="1" ref="AE188" ca="1">IF(OFFSET(POrigin,MATCH(Valori[[#This Row],[LUKB_id]],PID,0),MATCH("MATURITY",PLabel,0)-1,1,1)&gt;0,OFFSET(POrigin,MATCH(Valori[[#This Row],[LUKB_id]],PID,0),MATCH("MATURITY",PLabel,0)-1,1,1),"")</f>
        <v/>
      </c>
      <c r="AF188" s="1598" cm="1">
        <f t="array" aca="1" ref="AF188" ca="1">OFFSET(POrigin,MATCH(Valori[[#This Row],[LUKB_id]],PID,0),MATCH("ACCINT",PLabel,0)-1,1,1)</f>
        <v>0</v>
      </c>
      <c r="AG188" s="1594" cm="1">
        <f t="array" aca="1" ref="AG188" ca="1">OFFSET(POrigin,MATCH(Valori[[#This Row],[LUKB_id]],PID,0),MATCH("DENOM",PLabel,0)-1,1,1)</f>
        <v>0</v>
      </c>
      <c r="AH188" s="1599" cm="1">
        <f t="array" aca="1" ref="AH188" ca="1">(OFFSET(POrigin,MATCH(Valori[[#This Row],[LUKB_id]],PID,0),MATCH("YIELD",PLabel,0)-1,1,1)+OFFSET(POrigin,MATCH(Valori[[#This Row],[LUKB_id]],PID,0),MATCH("YLDEQ",PLabel,0)-1,1,1))/100</f>
        <v>0</v>
      </c>
      <c r="AI188" s="1600">
        <f ca="1">OFFSET(POrigin,MATCH(Valori[[#This Row],[LUKB_id]],PID,0),MATCH("DIVIDEND",PLabel,0)-1,1,1)</f>
        <v>0</v>
      </c>
      <c r="AJ188" s="1601">
        <f ca="1">OFFSET(POrigin,MATCH(Valori[[#This Row],[LUKB_id]],PID,0),MATCH("DIVIDEND:datetime",PLabel,0)-1,1,1)</f>
        <v>0</v>
      </c>
      <c r="AK188" s="1602">
        <f ca="1">OFFSET(POrigin,MATCH(Valori[[#This Row],[LUKB_id]],PID,0),MATCH("INTEREST",PLabel,0)-1,1,1)</f>
        <v>0</v>
      </c>
      <c r="AL188" s="1603">
        <f ca="1">OFFSET(POrigin,MATCH(Valori[[#This Row],[LUKB_id]],PID,0),MATCH("4W_PERF_PR",PLabel,0)-1,1,1)/100</f>
        <v>0.14198654999999999</v>
      </c>
      <c r="AM188" s="1603">
        <f ca="1">OFFSET(POrigin,MATCH(Valori[[#This Row],[LUKB_id]],PID,0),MATCH("12W_PERF_PR",PLabel,0)-1,1,1)/100</f>
        <v>0.197560975609756</v>
      </c>
      <c r="AN188" s="1603">
        <f ca="1">OFFSET(POrigin,MATCH(Valori[[#This Row],[LUKB_id]],PID,0),MATCH("YTD_PERF_PR",PLabel,0)-1,1,1)/100</f>
        <v>0.21123120300751899</v>
      </c>
      <c r="AO188" s="1591"/>
      <c r="AP188" s="1591"/>
      <c r="AQ188" s="1591"/>
      <c r="AR188" s="1591"/>
      <c r="AS188" s="1890" t="s">
        <v>1376</v>
      </c>
      <c r="AT188" s="1890" t="s">
        <v>1377</v>
      </c>
      <c r="AU188" s="610" t="s">
        <v>1378</v>
      </c>
      <c r="AV188" s="1891" t="s">
        <v>1379</v>
      </c>
      <c r="AW188" s="1604" t="str">
        <f ca="1">"https://boersenundmaerkte.lukb.ch/lukb/details/"&amp;Valori[[#This Row],[LUKB_id]]</f>
        <v>https://boersenundmaerkte.lukb.ch/lukb/details/24767119,361,814</v>
      </c>
      <c r="AX188" s="1605" t="str">
        <f>"https://www.marketscreener.com/mods_a/charts/TV/inc_dyna_graph.php?c="&amp;Valori[[#This Row],[MS_Code]]&amp;"&amp;style=TradingView.CANDLES&amp;interval=(null)&amp;mobile=(null)&amp;showAT=1"</f>
        <v>https://www.marketscreener.com/mods_a/charts/TV/inc_dyna_graph.php?c=19116470&amp;style=TradingView.CANDLES&amp;interval=(null)&amp;mobile=(null)&amp;showAT=1</v>
      </c>
      <c r="AY188" s="142"/>
      <c r="AZ188" s="142"/>
      <c r="BA188" s="142"/>
      <c r="BB188" s="142"/>
    </row>
    <row r="189" spans="1:54" ht="15" customHeight="1" x14ac:dyDescent="0.2">
      <c r="A189" s="142" t="s">
        <v>4312</v>
      </c>
      <c r="B189" s="142" t="str" cm="1">
        <f t="array" aca="1" ref="B189" ca="1">OFFSET(POrigin,MATCH(Valori[[#This Row],[smo_id]],Posizioni[smo_id],0),MATCH("LUKB_id",PIntestazioni,0)-1,1,1)</f>
        <v>24767127,1807,814</v>
      </c>
      <c r="C189" s="1668" t="str">
        <f ca="1">HYPERLINK("https://boersenundmaerkte.lukb.ch/lukb/details/"&amp;Valori[[#This Row],[LUKB_id]],"è")</f>
        <v>è</v>
      </c>
      <c r="D189" s="142" t="str" cm="1">
        <f t="array" aca="1" ref="D189" ca="1">OFFSET(POrigin,MATCH(Valori[[#This Row],[LUKB_id]],PID,0),MATCH("SC_GROUPED",PIntestazioni,0)-1,1,1)</f>
        <v>ETF</v>
      </c>
      <c r="E189" s="413" t="str" cm="1">
        <f t="array" aca="1" ref="E189" ca="1">OFFSET(POrigin,MATCH(Valori[[#This Row],[LUKB_id]],PID,0),MATCH("isin",PIntestazioni,0)-1,1,1)</f>
        <v>IE00BKWQ0G16</v>
      </c>
      <c r="F189" s="34" t="str" cm="1">
        <f t="array" aca="1" ref="F189" ca="1">OFFSET(POrigin,MATCH(Valori[[#This Row],[LUKB_id]],PID,0),MATCH("NSIN_CH",PLabel,0)-1,1,1)</f>
        <v>24767127</v>
      </c>
      <c r="G189" s="95" t="str" cm="1">
        <f t="array" aca="1" ref="G189" ca="1">IF(OFFSET(POrigin,MATCH(Valori[[#This Row],[LUKB_id]],PID,0),MATCH("INSTRUNIT",PLabel,0)-1,1,1)="Nominal","Pct","Unit")</f>
        <v>Unit</v>
      </c>
      <c r="H189" s="612">
        <f ca="1">MAX(OFFSET(POrigin,MATCH(Valori[[#This Row],[LUKB_id]],PID,0),MATCH("PRICINGAMT",PLabel,0)-1,1,1),1)</f>
        <v>1</v>
      </c>
      <c r="I189" s="615" t="str" cm="1">
        <f t="array" aca="1" ref="I189" ca="1">OFFSET(POrigin,MATCH(Valori[[#This Row],[LUKB_id]],PID,0),MATCH("M_NAME",PLabel,0)-1,1,1)</f>
        <v>SSgA SPDR ETFs EUROPE II PLC - State Street SPDR MSCI Europe Financials UCITS ETF</v>
      </c>
      <c r="J189" s="142" t="s">
        <v>433</v>
      </c>
      <c r="M189" s="142" t="str" cm="1">
        <f t="array" aca="1" ref="M1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Financials UCITS ETF (Acc)</v>
      </c>
      <c r="N189" s="1563">
        <f ca="1">COUNTIF('CHF M'!smo_id,Valori[[#This Row],[smo_id]])+COUNTIF('CHF MA'!smo_id,Valori[[#This Row],[smo_id]])+COUNTIF('EUR MB'!smo_id,Valori[[#This Row],[smo_id]])+COUNTIF('EUR M'!smo_id,Valori[[#This Row],[smo_id]])+COUNTIF(AGCO!smo_id,Valori[[#This Row],[smo_id]])</f>
        <v>2</v>
      </c>
      <c r="O189" s="1590" cm="1">
        <f t="array" aca="1" ref="O189" ca="1">SUM(IF('CHF M'!smo_id=Valori[[#This Row],[smo_id]],'CHF M'!Posizione))+SUM(IF('CHF MA'!smo_id=Valori[[#This Row],[smo_id]],'CHF MA'!Posizione))+SUM(IF('EUR MB'!smo_id=Valori[[#This Row],[smo_id]],'EUR MB'!Posizione))+SUM(IF('EUR M'!smo_id=Valori[[#This Row],[smo_id]],'EUR M'!Posizione))+SUM(IF(AGCO!smo_id=Valori[[#This Row],[smo_id]],AGCO!Posizione))</f>
        <v>2150</v>
      </c>
      <c r="P189" s="1661" t="str">
        <f ca="1">HYPERLINK(Valori[[#This Row],[P_Source]],"è")</f>
        <v>è</v>
      </c>
      <c r="Q189" s="1663" t="str">
        <f>HYPERLINK(Valori[[#This Row],[Info_W]],"i")</f>
        <v>i</v>
      </c>
      <c r="R189" s="1664" t="str">
        <f>HYPERLINK(Valori[[#This Row],[FN_W]],"")</f>
        <v></v>
      </c>
      <c r="S189" s="1665" t="str">
        <f>HYPERLINK(Valori[[#This Row],[MS_Link]],"")</f>
        <v></v>
      </c>
      <c r="T189" s="1665" t="str">
        <f>HYPERLINK(Valori[[#This Row],[C_source]],"")</f>
        <v></v>
      </c>
      <c r="U189" s="142" t="str" cm="1">
        <f t="array" aca="1" ref="U189" ca="1">OFFSET(POrigin,MATCH(Valori[[#This Row],[LUKB_id]],PID,0),MATCH("M_CUR",PLabel,0)-1,1,1)</f>
        <v>EUR</v>
      </c>
      <c r="V189" s="1562">
        <f ca="1">(Valori[[#This Row],[Last]]+Valori[[#This Row],[Acc. Int]])/Valori[[#This Row],[Pr.Amt]]/IF(Valori[[#This Row],[P_Type]]="Pct",100,1)</f>
        <v>135.26</v>
      </c>
      <c r="W189" s="1591" cm="1">
        <f t="array" aca="1" ref="W189" ca="1">OFFSET(POrigin,MATCH(Valori[[#This Row],[LUKB_id]],PID,0),MATCH("NC2_PR",PLabel,0)-1,1,1)/100</f>
        <v>-2.4661090279781001E-2</v>
      </c>
      <c r="X189" s="1592" cm="1">
        <f t="array" aca="1" ref="X189" ca="1">OFFSET(POrigin,MATCH(Valori[[#This Row],[LUKB_id]],PID,0),MATCH("LVAL",PLabel,0)-1,1,1)</f>
        <v>135.26</v>
      </c>
      <c r="Y189" s="1593" cm="1">
        <f t="array" aca="1" ref="Y189" ca="1">OFFSET(POrigin,MATCH(Valori[[#This Row],[LUKB_id]],PID,0),MATCH("LVAL:datetime",PLabel,0)-1,1,1)</f>
        <v>46083.746527777781</v>
      </c>
      <c r="Z189" s="1594" cm="1">
        <f t="array" aca="1" ref="Z189" ca="1">OFFSET(POrigin,MATCH(Valori[[#This Row],[LUKB_id]],PID,0),MATCH("BID:volume",PLabel,0)-1,1,1)</f>
        <v>0</v>
      </c>
      <c r="AA189" s="1595" cm="1">
        <f t="array" aca="1" ref="AA189" ca="1">OFFSET(POrigin,MATCH(Valori[[#This Row],[LUKB_id]],PID,0),MATCH("BID",PLabel,0)-1,1,1)</f>
        <v>0</v>
      </c>
      <c r="AB189" s="1595" cm="1">
        <f t="array" aca="1" ref="AB189" ca="1">OFFSET(POrigin,MATCH(Valori[[#This Row],[LUKB_id]],PID,0),MATCH("ASK",PLabel,0)-1,1,1)</f>
        <v>0</v>
      </c>
      <c r="AC189" s="1594" cm="1">
        <f t="array" aca="1" ref="AC189" ca="1">OFFSET(POrigin,MATCH(Valori[[#This Row],[LUKB_id]],PID,0),MATCH("ASK:volume",PLabel,0)-1,1,1)</f>
        <v>0</v>
      </c>
      <c r="AD189" s="1596" cm="1">
        <f t="array" aca="1" ref="AD189" ca="1">OFFSET(POrigin,MATCH(Valori[[#This Row],[LUKB_id]],PID,0),MATCH("BID-ASK Spread %",PLabel,0)-1,1,1)</f>
        <v>0</v>
      </c>
      <c r="AE189" s="1597" t="str" cm="1">
        <f t="array" aca="1" ref="AE189" ca="1">IF(OFFSET(POrigin,MATCH(Valori[[#This Row],[LUKB_id]],PID,0),MATCH("MATURITY",PLabel,0)-1,1,1)&gt;0,OFFSET(POrigin,MATCH(Valori[[#This Row],[LUKB_id]],PID,0),MATCH("MATURITY",PLabel,0)-1,1,1),"")</f>
        <v/>
      </c>
      <c r="AF189" s="1598" cm="1">
        <f t="array" aca="1" ref="AF189" ca="1">OFFSET(POrigin,MATCH(Valori[[#This Row],[LUKB_id]],PID,0),MATCH("ACCINT",PLabel,0)-1,1,1)</f>
        <v>0</v>
      </c>
      <c r="AG189" s="1594" cm="1">
        <f t="array" aca="1" ref="AG189" ca="1">OFFSET(POrigin,MATCH(Valori[[#This Row],[LUKB_id]],PID,0),MATCH("DENOM",PLabel,0)-1,1,1)</f>
        <v>0</v>
      </c>
      <c r="AH189" s="1599" cm="1">
        <f t="array" aca="1" ref="AH189" ca="1">(OFFSET(POrigin,MATCH(Valori[[#This Row],[LUKB_id]],PID,0),MATCH("YIELD",PLabel,0)-1,1,1)+OFFSET(POrigin,MATCH(Valori[[#This Row],[LUKB_id]],PID,0),MATCH("YLDEQ",PLabel,0)-1,1,1))/100</f>
        <v>0</v>
      </c>
      <c r="AI189" s="1600">
        <f ca="1">OFFSET(POrigin,MATCH(Valori[[#This Row],[LUKB_id]],PID,0),MATCH("DIVIDEND",PLabel,0)-1,1,1)</f>
        <v>0</v>
      </c>
      <c r="AJ189" s="1601">
        <f ca="1">OFFSET(POrigin,MATCH(Valori[[#This Row],[LUKB_id]],PID,0),MATCH("DIVIDEND:datetime",PLabel,0)-1,1,1)</f>
        <v>0</v>
      </c>
      <c r="AK189" s="1602">
        <f ca="1">OFFSET(POrigin,MATCH(Valori[[#This Row],[LUKB_id]],PID,0),MATCH("INTEREST",PLabel,0)-1,1,1)</f>
        <v>0</v>
      </c>
      <c r="AL189" s="1603">
        <f ca="1">OFFSET(POrigin,MATCH(Valori[[#This Row],[LUKB_id]],PID,0),MATCH("4W_PERF_PR",PLabel,0)-1,1,1)/100</f>
        <v>-4.3422913719943529E-2</v>
      </c>
      <c r="AM189" s="1603">
        <f ca="1">OFFSET(POrigin,MATCH(Valori[[#This Row],[LUKB_id]],PID,0),MATCH("12W_PERF_PR",PLabel,0)-1,1,1)/100</f>
        <v>4.9666304516529383E-2</v>
      </c>
      <c r="AN189" s="1603">
        <f ca="1">OFFSET(POrigin,MATCH(Valori[[#This Row],[LUKB_id]],PID,0),MATCH("YTD_PERF_PR",PLabel,0)-1,1,1)/100</f>
        <v>-7.9213730379934007E-3</v>
      </c>
      <c r="AO189" s="1591"/>
      <c r="AP189" s="1591"/>
      <c r="AQ189" s="1591"/>
      <c r="AR189" s="1591"/>
      <c r="AS189" s="1890" t="s">
        <v>1381</v>
      </c>
      <c r="AT189" s="1890" t="s">
        <v>1382</v>
      </c>
      <c r="AU189" s="610" t="s">
        <v>1383</v>
      </c>
      <c r="AV189" s="1891" t="s">
        <v>1384</v>
      </c>
      <c r="AW189" s="1604" t="str">
        <f ca="1">"https://boersenundmaerkte.lukb.ch/lukb/details/"&amp;Valori[[#This Row],[LUKB_id]]</f>
        <v>https://boersenundmaerkte.lukb.ch/lukb/details/24767127,1807,814</v>
      </c>
      <c r="AX189" s="1605" t="str">
        <f>"https://www.marketscreener.com/mods_a/charts/TV/inc_dyna_graph.php?c="&amp;Valori[[#This Row],[MS_Code]]&amp;"&amp;style=TradingView.CANDLES&amp;interval=(null)&amp;mobile=(null)&amp;showAT=1"</f>
        <v>https://www.marketscreener.com/mods_a/charts/TV/inc_dyna_graph.php?c=19116471&amp;style=TradingView.CANDLES&amp;interval=(null)&amp;mobile=(null)&amp;showAT=1</v>
      </c>
      <c r="AY189" s="142"/>
      <c r="AZ189" s="142"/>
      <c r="BA189" s="142"/>
      <c r="BB189" s="142"/>
    </row>
    <row r="190" spans="1:54" ht="15" customHeight="1" x14ac:dyDescent="0.2">
      <c r="A190" s="142" t="s">
        <v>1385</v>
      </c>
      <c r="B190" s="142" t="str" cm="1">
        <f t="array" aca="1" ref="B190" ca="1">OFFSET(POrigin,MATCH(Valori[[#This Row],[smo_id]],Posizioni[smo_id],0),MATCH("LUKB_id",PIntestazioni,0)-1,1,1)</f>
        <v>24767202,361,814</v>
      </c>
      <c r="C190" s="1668" t="str">
        <f ca="1">HYPERLINK("https://boersenundmaerkte.lukb.ch/lukb/details/"&amp;Valori[[#This Row],[LUKB_id]],"è")</f>
        <v>è</v>
      </c>
      <c r="D190" s="142" t="str" cm="1">
        <f t="array" aca="1" ref="D190" ca="1">OFFSET(POrigin,MATCH(Valori[[#This Row],[LUKB_id]],PID,0),MATCH("SC_GROUPED",PIntestazioni,0)-1,1,1)</f>
        <v>ETF</v>
      </c>
      <c r="E190" s="413" t="str" cm="1">
        <f t="array" aca="1" ref="E190" ca="1">OFFSET(POrigin,MATCH(Valori[[#This Row],[LUKB_id]],PID,0),MATCH("isin",PIntestazioni,0)-1,1,1)</f>
        <v>IE00BKWQ0H23</v>
      </c>
      <c r="F190" s="34" t="str" cm="1">
        <f t="array" aca="1" ref="F190" ca="1">OFFSET(POrigin,MATCH(Valori[[#This Row],[LUKB_id]],PID,0),MATCH("NSIN_CH",PLabel,0)-1,1,1)</f>
        <v>24767202</v>
      </c>
      <c r="G190" s="95" t="str" cm="1">
        <f t="array" aca="1" ref="G190" ca="1">IF(OFFSET(POrigin,MATCH(Valori[[#This Row],[LUKB_id]],PID,0),MATCH("INSTRUNIT",PLabel,0)-1,1,1)="Nominal","Pct","Unit")</f>
        <v>Unit</v>
      </c>
      <c r="H190" s="612">
        <f ca="1">MAX(OFFSET(POrigin,MATCH(Valori[[#This Row],[LUKB_id]],PID,0),MATCH("PRICINGAMT",PLabel,0)-1,1,1),1)</f>
        <v>1</v>
      </c>
      <c r="I190" s="615" t="str" cm="1">
        <f t="array" aca="1" ref="I190" ca="1">OFFSET(POrigin,MATCH(Valori[[#This Row],[LUKB_id]],PID,0),MATCH("M_NAME",PLabel,0)-1,1,1)</f>
        <v>SSgA SPDR ETFs EUROPE II PLC - State Street SPDR MSCI Europe Health Care UCITS ETF</v>
      </c>
      <c r="J190" s="142" t="s">
        <v>1386</v>
      </c>
      <c r="M190" s="142" t="str" cm="1">
        <f t="array" aca="1" ref="M1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Health Care UCITS ETF (Acc)</v>
      </c>
      <c r="N190" s="1563">
        <f ca="1">COUNTIF('CHF M'!smo_id,Valori[[#This Row],[smo_id]])+COUNTIF('CHF MA'!smo_id,Valori[[#This Row],[smo_id]])+COUNTIF('EUR MB'!smo_id,Valori[[#This Row],[smo_id]])+COUNTIF('EUR M'!smo_id,Valori[[#This Row],[smo_id]])+COUNTIF(AGCO!smo_id,Valori[[#This Row],[smo_id]])</f>
        <v>0</v>
      </c>
      <c r="O190" s="1590" cm="1">
        <f t="array" aca="1" ref="O190" ca="1">SUM(IF('CHF M'!smo_id=Valori[[#This Row],[smo_id]],'CHF M'!Posizione))+SUM(IF('CHF MA'!smo_id=Valori[[#This Row],[smo_id]],'CHF MA'!Posizione))+SUM(IF('EUR MB'!smo_id=Valori[[#This Row],[smo_id]],'EUR MB'!Posizione))+SUM(IF('EUR M'!smo_id=Valori[[#This Row],[smo_id]],'EUR M'!Posizione))+SUM(IF(AGCO!smo_id=Valori[[#This Row],[smo_id]],AGCO!Posizione))</f>
        <v>0</v>
      </c>
      <c r="P190" s="1661" t="str">
        <f ca="1">HYPERLINK(Valori[[#This Row],[P_Source]],"è")</f>
        <v>è</v>
      </c>
      <c r="Q190" s="1663" t="str">
        <f>HYPERLINK(Valori[[#This Row],[Info_W]],"i")</f>
        <v>i</v>
      </c>
      <c r="R190" s="1664" t="str">
        <f>HYPERLINK(Valori[[#This Row],[FN_W]],"")</f>
        <v></v>
      </c>
      <c r="S190" s="1665" t="str">
        <f>HYPERLINK(Valori[[#This Row],[MS_Link]],"")</f>
        <v></v>
      </c>
      <c r="T190" s="1665" t="str">
        <f>HYPERLINK(Valori[[#This Row],[C_source]],"")</f>
        <v></v>
      </c>
      <c r="U190" s="142" t="str" cm="1">
        <f t="array" aca="1" ref="U190" ca="1">OFFSET(POrigin,MATCH(Valori[[#This Row],[LUKB_id]],PID,0),MATCH("M_CUR",PLabel,0)-1,1,1)</f>
        <v>EUR</v>
      </c>
      <c r="V190" s="1562">
        <f ca="1">(Valori[[#This Row],[Last]]+Valori[[#This Row],[Acc. Int]])/Valori[[#This Row],[Pr.Amt]]/IF(Valori[[#This Row],[P_Type]]="Pct",100,1)</f>
        <v>231.20000000000002</v>
      </c>
      <c r="W190" s="1591" cm="1">
        <f t="array" aca="1" ref="W190" ca="1">OFFSET(POrigin,MATCH(Valori[[#This Row],[LUKB_id]],PID,0),MATCH("NC2_PR",PLabel,0)-1,1,1)/100</f>
        <v>-1.9911035797500601E-2</v>
      </c>
      <c r="X190" s="1592" cm="1">
        <f t="array" aca="1" ref="X190" ca="1">OFFSET(POrigin,MATCH(Valori[[#This Row],[LUKB_id]],PID,0),MATCH("LVAL",PLabel,0)-1,1,1)</f>
        <v>231.20000000000002</v>
      </c>
      <c r="Y190" s="1593" cm="1">
        <f t="array" aca="1" ref="Y190" ca="1">OFFSET(POrigin,MATCH(Valori[[#This Row],[LUKB_id]],PID,0),MATCH("LVAL:datetime",PLabel,0)-1,1,1)</f>
        <v>46084.732719907406</v>
      </c>
      <c r="Z190" s="1594" cm="1">
        <f t="array" aca="1" ref="Z190" ca="1">OFFSET(POrigin,MATCH(Valori[[#This Row],[LUKB_id]],PID,0),MATCH("BID:volume",PLabel,0)-1,1,1)</f>
        <v>100</v>
      </c>
      <c r="AA190" s="1595" cm="1">
        <f t="array" aca="1" ref="AA190" ca="1">OFFSET(POrigin,MATCH(Valori[[#This Row],[LUKB_id]],PID,0),MATCH("BID",PLabel,0)-1,1,1)</f>
        <v>231.45000000000002</v>
      </c>
      <c r="AB190" s="1595" cm="1">
        <f t="array" aca="1" ref="AB190" ca="1">OFFSET(POrigin,MATCH(Valori[[#This Row],[LUKB_id]],PID,0),MATCH("ASK",PLabel,0)-1,1,1)</f>
        <v>231.9</v>
      </c>
      <c r="AC190" s="1594" cm="1">
        <f t="array" aca="1" ref="AC190" ca="1">OFFSET(POrigin,MATCH(Valori[[#This Row],[LUKB_id]],PID,0),MATCH("ASK:volume",PLabel,0)-1,1,1)</f>
        <v>100</v>
      </c>
      <c r="AD190" s="1596" cm="1">
        <f t="array" aca="1" ref="AD190" ca="1">OFFSET(POrigin,MATCH(Valori[[#This Row],[LUKB_id]],PID,0),MATCH("BID-ASK Spread %",PLabel,0)-1,1,1)</f>
        <v>1.2953367875647339E-3</v>
      </c>
      <c r="AE190" s="1597" t="str" cm="1">
        <f t="array" aca="1" ref="AE190" ca="1">IF(OFFSET(POrigin,MATCH(Valori[[#This Row],[LUKB_id]],PID,0),MATCH("MATURITY",PLabel,0)-1,1,1)&gt;0,OFFSET(POrigin,MATCH(Valori[[#This Row],[LUKB_id]],PID,0),MATCH("MATURITY",PLabel,0)-1,1,1),"")</f>
        <v/>
      </c>
      <c r="AF190" s="1598" cm="1">
        <f t="array" aca="1" ref="AF190" ca="1">OFFSET(POrigin,MATCH(Valori[[#This Row],[LUKB_id]],PID,0),MATCH("ACCINT",PLabel,0)-1,1,1)</f>
        <v>0</v>
      </c>
      <c r="AG190" s="1594" cm="1">
        <f t="array" aca="1" ref="AG190" ca="1">OFFSET(POrigin,MATCH(Valori[[#This Row],[LUKB_id]],PID,0),MATCH("DENOM",PLabel,0)-1,1,1)</f>
        <v>0</v>
      </c>
      <c r="AH190" s="1599" cm="1">
        <f t="array" aca="1" ref="AH190" ca="1">(OFFSET(POrigin,MATCH(Valori[[#This Row],[LUKB_id]],PID,0),MATCH("YIELD",PLabel,0)-1,1,1)+OFFSET(POrigin,MATCH(Valori[[#This Row],[LUKB_id]],PID,0),MATCH("YLDEQ",PLabel,0)-1,1,1))/100</f>
        <v>0</v>
      </c>
      <c r="AI190" s="1600">
        <f ca="1">OFFSET(POrigin,MATCH(Valori[[#This Row],[LUKB_id]],PID,0),MATCH("DIVIDEND",PLabel,0)-1,1,1)</f>
        <v>0</v>
      </c>
      <c r="AJ190" s="1601">
        <f ca="1">OFFSET(POrigin,MATCH(Valori[[#This Row],[LUKB_id]],PID,0),MATCH("DIVIDEND:datetime",PLabel,0)-1,1,1)</f>
        <v>0</v>
      </c>
      <c r="AK190" s="1602">
        <f ca="1">OFFSET(POrigin,MATCH(Valori[[#This Row],[LUKB_id]],PID,0),MATCH("INTEREST",PLabel,0)-1,1,1)</f>
        <v>0</v>
      </c>
      <c r="AL190" s="1603">
        <f ca="1">OFFSET(POrigin,MATCH(Valori[[#This Row],[LUKB_id]],PID,0),MATCH("4W_PERF_PR",PLabel,0)-1,1,1)/100</f>
        <v>-1.9495659999999998E-2</v>
      </c>
      <c r="AM190" s="1603">
        <f ca="1">OFFSET(POrigin,MATCH(Valori[[#This Row],[LUKB_id]],PID,0),MATCH("12W_PERF_PR",PLabel,0)-1,1,1)/100</f>
        <v>4.8968489999999996E-2</v>
      </c>
      <c r="AN190" s="1603">
        <f ca="1">OFFSET(POrigin,MATCH(Valori[[#This Row],[LUKB_id]],PID,0),MATCH("YTD_PERF_PR",PLabel,0)-1,1,1)/100</f>
        <v>5.3089449029667703E-2</v>
      </c>
      <c r="AO190" s="1591"/>
      <c r="AP190" s="1591"/>
      <c r="AQ190" s="1591"/>
      <c r="AR190" s="1591"/>
      <c r="AS190" s="1890" t="s">
        <v>1387</v>
      </c>
      <c r="AT190" s="1890" t="s">
        <v>1388</v>
      </c>
      <c r="AU190" s="610" t="s">
        <v>1389</v>
      </c>
      <c r="AV190" s="1891" t="s">
        <v>1390</v>
      </c>
      <c r="AW190" s="1604" t="str">
        <f ca="1">"https://boersenundmaerkte.lukb.ch/lukb/details/"&amp;Valori[[#This Row],[LUKB_id]]</f>
        <v>https://boersenundmaerkte.lukb.ch/lukb/details/24767202,361,814</v>
      </c>
      <c r="AX190" s="1605" t="str">
        <f>"https://www.marketscreener.com/mods_a/charts/TV/inc_dyna_graph.php?c="&amp;Valori[[#This Row],[MS_Code]]&amp;"&amp;style=TradingView.CANDLES&amp;interval=(null)&amp;mobile=(null)&amp;showAT=1"</f>
        <v>https://www.marketscreener.com/mods_a/charts/TV/inc_dyna_graph.php?c=19116472&amp;style=TradingView.CANDLES&amp;interval=(null)&amp;mobile=(null)&amp;showAT=1</v>
      </c>
      <c r="AY190" s="142"/>
      <c r="AZ190" s="142"/>
      <c r="BA190" s="142"/>
      <c r="BB190" s="142"/>
    </row>
    <row r="191" spans="1:54" ht="15" customHeight="1" x14ac:dyDescent="0.2">
      <c r="A191" s="142" t="s">
        <v>1391</v>
      </c>
      <c r="B191" s="142" t="str" cm="1">
        <f t="array" aca="1" ref="B191" ca="1">OFFSET(POrigin,MATCH(Valori[[#This Row],[smo_id]],Posizioni[smo_id],0),MATCH("LUKB_id",PIntestazioni,0)-1,1,1)</f>
        <v>24767393,1703,814</v>
      </c>
      <c r="C191" s="1668" t="str">
        <f ca="1">HYPERLINK("https://boersenundmaerkte.lukb.ch/lukb/details/"&amp;Valori[[#This Row],[LUKB_id]],"è")</f>
        <v>è</v>
      </c>
      <c r="D191" s="142" t="str" cm="1">
        <f t="array" aca="1" ref="D191" ca="1">OFFSET(POrigin,MATCH(Valori[[#This Row],[LUKB_id]],PID,0),MATCH("SC_GROUPED",PIntestazioni,0)-1,1,1)</f>
        <v>ETF</v>
      </c>
      <c r="E191" s="413" t="str" cm="1">
        <f t="array" aca="1" ref="E191" ca="1">OFFSET(POrigin,MATCH(Valori[[#This Row],[LUKB_id]],PID,0),MATCH("isin",PIntestazioni,0)-1,1,1)</f>
        <v>IE00BKWQ0J47</v>
      </c>
      <c r="F191" s="34" t="str" cm="1">
        <f t="array" aca="1" ref="F191" ca="1">OFFSET(POrigin,MATCH(Valori[[#This Row],[LUKB_id]],PID,0),MATCH("NSIN_CH",PLabel,0)-1,1,1)</f>
        <v>24767393</v>
      </c>
      <c r="G191" s="95" t="str" cm="1">
        <f t="array" aca="1" ref="G191" ca="1">IF(OFFSET(POrigin,MATCH(Valori[[#This Row],[LUKB_id]],PID,0),MATCH("INSTRUNIT",PLabel,0)-1,1,1)="Nominal","Pct","Unit")</f>
        <v>Unit</v>
      </c>
      <c r="H191" s="612">
        <f ca="1">MAX(OFFSET(POrigin,MATCH(Valori[[#This Row],[LUKB_id]],PID,0),MATCH("PRICINGAMT",PLabel,0)-1,1,1),1)</f>
        <v>1</v>
      </c>
      <c r="I191" s="615" t="str" cm="1">
        <f t="array" aca="1" ref="I191" ca="1">OFFSET(POrigin,MATCH(Valori[[#This Row],[LUKB_id]],PID,0),MATCH("M_NAME",PLabel,0)-1,1,1)</f>
        <v>SSgA SPDR ETFs EUROPE II PLC - State Street SPDR MSCI Europe Industrials UCITS ETF</v>
      </c>
      <c r="J191" s="142" t="s">
        <v>1392</v>
      </c>
      <c r="M191" s="142" t="str" cm="1">
        <f t="array" aca="1" ref="M1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Industrials UCITS ETF (Acc)</v>
      </c>
      <c r="N191" s="1563">
        <f ca="1">COUNTIF('CHF M'!smo_id,Valori[[#This Row],[smo_id]])+COUNTIF('CHF MA'!smo_id,Valori[[#This Row],[smo_id]])+COUNTIF('EUR MB'!smo_id,Valori[[#This Row],[smo_id]])+COUNTIF('EUR M'!smo_id,Valori[[#This Row],[smo_id]])+COUNTIF(AGCO!smo_id,Valori[[#This Row],[smo_id]])</f>
        <v>0</v>
      </c>
      <c r="O191" s="1590" cm="1">
        <f t="array" aca="1" ref="O191" ca="1">SUM(IF('CHF M'!smo_id=Valori[[#This Row],[smo_id]],'CHF M'!Posizione))+SUM(IF('CHF MA'!smo_id=Valori[[#This Row],[smo_id]],'CHF MA'!Posizione))+SUM(IF('EUR MB'!smo_id=Valori[[#This Row],[smo_id]],'EUR MB'!Posizione))+SUM(IF('EUR M'!smo_id=Valori[[#This Row],[smo_id]],'EUR M'!Posizione))+SUM(IF(AGCO!smo_id=Valori[[#This Row],[smo_id]],AGCO!Posizione))</f>
        <v>0</v>
      </c>
      <c r="P191" s="1661" t="str">
        <f ca="1">HYPERLINK(Valori[[#This Row],[P_Source]],"è")</f>
        <v>è</v>
      </c>
      <c r="Q191" s="1663" t="str">
        <f>HYPERLINK(Valori[[#This Row],[Info_W]],"i")</f>
        <v>i</v>
      </c>
      <c r="R191" s="1664" t="str">
        <f>HYPERLINK(Valori[[#This Row],[FN_W]],"")</f>
        <v></v>
      </c>
      <c r="S191" s="1665" t="str">
        <f>HYPERLINK(Valori[[#This Row],[MS_Link]],"")</f>
        <v></v>
      </c>
      <c r="T191" s="1665" t="str">
        <f>HYPERLINK(Valori[[#This Row],[C_source]],"")</f>
        <v></v>
      </c>
      <c r="U191" s="142" t="str" cm="1">
        <f t="array" aca="1" ref="U191" ca="1">OFFSET(POrigin,MATCH(Valori[[#This Row],[LUKB_id]],PID,0),MATCH("M_CUR",PLabel,0)-1,1,1)</f>
        <v>EUR</v>
      </c>
      <c r="V191" s="1562">
        <f ca="1">(Valori[[#This Row],[Last]]+Valori[[#This Row],[Acc. Int]])/Valori[[#This Row],[Pr.Amt]]/IF(Valori[[#This Row],[P_Type]]="Pct",100,1)</f>
        <v>440.75</v>
      </c>
      <c r="W191" s="1591" cm="1">
        <f t="array" aca="1" ref="W191" ca="1">OFFSET(POrigin,MATCH(Valori[[#This Row],[LUKB_id]],PID,0),MATCH("NC2_PR",PLabel,0)-1,1,1)/100</f>
        <v>-1.50837988826816E-2</v>
      </c>
      <c r="X191" s="1592" cm="1">
        <f t="array" aca="1" ref="X191" ca="1">OFFSET(POrigin,MATCH(Valori[[#This Row],[LUKB_id]],PID,0),MATCH("LVAL",PLabel,0)-1,1,1)</f>
        <v>440.75</v>
      </c>
      <c r="Y191" s="1593" cm="1">
        <f t="array" aca="1" ref="Y191" ca="1">OFFSET(POrigin,MATCH(Valori[[#This Row],[LUKB_id]],PID,0),MATCH("LVAL:datetime",PLabel,0)-1,1,1)</f>
        <v>46083.733159722222</v>
      </c>
      <c r="Z191" s="1594" cm="1">
        <f t="array" aca="1" ref="Z191" ca="1">OFFSET(POrigin,MATCH(Valori[[#This Row],[LUKB_id]],PID,0),MATCH("BID:volume",PLabel,0)-1,1,1)</f>
        <v>0</v>
      </c>
      <c r="AA191" s="1595" cm="1">
        <f t="array" aca="1" ref="AA191" ca="1">OFFSET(POrigin,MATCH(Valori[[#This Row],[LUKB_id]],PID,0),MATCH("BID",PLabel,0)-1,1,1)</f>
        <v>0</v>
      </c>
      <c r="AB191" s="1595" cm="1">
        <f t="array" aca="1" ref="AB191" ca="1">OFFSET(POrigin,MATCH(Valori[[#This Row],[LUKB_id]],PID,0),MATCH("ASK",PLabel,0)-1,1,1)</f>
        <v>0</v>
      </c>
      <c r="AC191" s="1594" cm="1">
        <f t="array" aca="1" ref="AC191" ca="1">OFFSET(POrigin,MATCH(Valori[[#This Row],[LUKB_id]],PID,0),MATCH("ASK:volume",PLabel,0)-1,1,1)</f>
        <v>0</v>
      </c>
      <c r="AD191" s="1596" cm="1">
        <f t="array" aca="1" ref="AD191" ca="1">OFFSET(POrigin,MATCH(Valori[[#This Row],[LUKB_id]],PID,0),MATCH("BID-ASK Spread %",PLabel,0)-1,1,1)</f>
        <v>0</v>
      </c>
      <c r="AE191" s="1597" t="str" cm="1">
        <f t="array" aca="1" ref="AE191" ca="1">IF(OFFSET(POrigin,MATCH(Valori[[#This Row],[LUKB_id]],PID,0),MATCH("MATURITY",PLabel,0)-1,1,1)&gt;0,OFFSET(POrigin,MATCH(Valori[[#This Row],[LUKB_id]],PID,0),MATCH("MATURITY",PLabel,0)-1,1,1),"")</f>
        <v/>
      </c>
      <c r="AF191" s="1598" cm="1">
        <f t="array" aca="1" ref="AF191" ca="1">OFFSET(POrigin,MATCH(Valori[[#This Row],[LUKB_id]],PID,0),MATCH("ACCINT",PLabel,0)-1,1,1)</f>
        <v>0</v>
      </c>
      <c r="AG191" s="1594" cm="1">
        <f t="array" aca="1" ref="AG191" ca="1">OFFSET(POrigin,MATCH(Valori[[#This Row],[LUKB_id]],PID,0),MATCH("DENOM",PLabel,0)-1,1,1)</f>
        <v>0</v>
      </c>
      <c r="AH191" s="1599" cm="1">
        <f t="array" aca="1" ref="AH191" ca="1">(OFFSET(POrigin,MATCH(Valori[[#This Row],[LUKB_id]],PID,0),MATCH("YIELD",PLabel,0)-1,1,1)+OFFSET(POrigin,MATCH(Valori[[#This Row],[LUKB_id]],PID,0),MATCH("YLDEQ",PLabel,0)-1,1,1))/100</f>
        <v>0</v>
      </c>
      <c r="AI191" s="1600">
        <f ca="1">OFFSET(POrigin,MATCH(Valori[[#This Row],[LUKB_id]],PID,0),MATCH("DIVIDEND",PLabel,0)-1,1,1)</f>
        <v>0</v>
      </c>
      <c r="AJ191" s="1601">
        <f ca="1">OFFSET(POrigin,MATCH(Valori[[#This Row],[LUKB_id]],PID,0),MATCH("DIVIDEND:datetime",PLabel,0)-1,1,1)</f>
        <v>0</v>
      </c>
      <c r="AK191" s="1602">
        <f ca="1">OFFSET(POrigin,MATCH(Valori[[#This Row],[LUKB_id]],PID,0),MATCH("INTEREST",PLabel,0)-1,1,1)</f>
        <v>0</v>
      </c>
      <c r="AL191" s="1603">
        <f ca="1">OFFSET(POrigin,MATCH(Valori[[#This Row],[LUKB_id]],PID,0),MATCH("4W_PERF_PR",PLabel,0)-1,1,1)/100</f>
        <v>2.6671325413463752E-2</v>
      </c>
      <c r="AM191" s="1603">
        <f ca="1">OFFSET(POrigin,MATCH(Valori[[#This Row],[LUKB_id]],PID,0),MATCH("12W_PERF_PR",PLabel,0)-1,1,1)/100</f>
        <v>0.11216250315417611</v>
      </c>
      <c r="AN191" s="1603">
        <f ca="1">OFFSET(POrigin,MATCH(Valori[[#This Row],[LUKB_id]],PID,0),MATCH("YTD_PERF_PR",PLabel,0)-1,1,1)/100</f>
        <v>9.6938775510203995E-2</v>
      </c>
      <c r="AO191" s="1591"/>
      <c r="AP191" s="1591"/>
      <c r="AQ191" s="1591"/>
      <c r="AR191" s="1591"/>
      <c r="AS191" s="1890" t="s">
        <v>1393</v>
      </c>
      <c r="AT191" s="1890" t="s">
        <v>1394</v>
      </c>
      <c r="AU191" s="610" t="s">
        <v>1395</v>
      </c>
      <c r="AV191" s="1891" t="s">
        <v>1396</v>
      </c>
      <c r="AW191" s="1604" t="str">
        <f ca="1">"https://boersenundmaerkte.lukb.ch/lukb/details/"&amp;Valori[[#This Row],[LUKB_id]]</f>
        <v>https://boersenundmaerkte.lukb.ch/lukb/details/24767393,1703,814</v>
      </c>
      <c r="AX191" s="1605" t="str">
        <f>"https://www.marketscreener.com/mods_a/charts/TV/inc_dyna_graph.php?c="&amp;Valori[[#This Row],[MS_Code]]&amp;"&amp;style=TradingView.CANDLES&amp;interval=(null)&amp;mobile=(null)&amp;showAT=1"</f>
        <v>https://www.marketscreener.com/mods_a/charts/TV/inc_dyna_graph.php?c=19116473&amp;style=TradingView.CANDLES&amp;interval=(null)&amp;mobile=(null)&amp;showAT=1</v>
      </c>
      <c r="AY191" s="142"/>
      <c r="AZ191" s="142"/>
      <c r="BA191" s="142"/>
      <c r="BB191" s="142"/>
    </row>
    <row r="192" spans="1:54" ht="15" customHeight="1" x14ac:dyDescent="0.2">
      <c r="A192" s="142" t="s">
        <v>1397</v>
      </c>
      <c r="B192" s="142" t="str" cm="1">
        <f t="array" aca="1" ref="B192" ca="1">OFFSET(POrigin,MATCH(Valori[[#This Row],[smo_id]],Posizioni[smo_id],0),MATCH("LUKB_id",PIntestazioni,0)-1,1,1)</f>
        <v>24767874,6920,814</v>
      </c>
      <c r="C192" s="1668" t="str">
        <f ca="1">HYPERLINK("https://boersenundmaerkte.lukb.ch/lukb/details/"&amp;Valori[[#This Row],[LUKB_id]],"è")</f>
        <v>è</v>
      </c>
      <c r="D192" s="142" t="str" cm="1">
        <f t="array" aca="1" ref="D192" ca="1">OFFSET(POrigin,MATCH(Valori[[#This Row],[LUKB_id]],PID,0),MATCH("SC_GROUPED",PIntestazioni,0)-1,1,1)</f>
        <v>ETF</v>
      </c>
      <c r="E192" s="413" t="str" cm="1">
        <f t="array" aca="1" ref="E192" ca="1">OFFSET(POrigin,MATCH(Valori[[#This Row],[LUKB_id]],PID,0),MATCH("isin",PIntestazioni,0)-1,1,1)</f>
        <v>IE00BKWQ0L68</v>
      </c>
      <c r="F192" s="34" t="str" cm="1">
        <f t="array" aca="1" ref="F192" ca="1">OFFSET(POrigin,MATCH(Valori[[#This Row],[LUKB_id]],PID,0),MATCH("NSIN_CH",PLabel,0)-1,1,1)</f>
        <v>24767874</v>
      </c>
      <c r="G192" s="95" t="str" cm="1">
        <f t="array" aca="1" ref="G192" ca="1">IF(OFFSET(POrigin,MATCH(Valori[[#This Row],[LUKB_id]],PID,0),MATCH("INSTRUNIT",PLabel,0)-1,1,1)="Nominal","Pct","Unit")</f>
        <v>Unit</v>
      </c>
      <c r="H192" s="612">
        <f ca="1">MAX(OFFSET(POrigin,MATCH(Valori[[#This Row],[LUKB_id]],PID,0),MATCH("PRICINGAMT",PLabel,0)-1,1,1),1)</f>
        <v>1</v>
      </c>
      <c r="I192" s="615" t="str" cm="1">
        <f t="array" aca="1" ref="I192" ca="1">OFFSET(POrigin,MATCH(Valori[[#This Row],[LUKB_id]],PID,0),MATCH("M_NAME",PLabel,0)-1,1,1)</f>
        <v>SSgA SPDR ETFs EUROPE II PLC - State Street SPDR MSCI Europe Materials UCITS ETF</v>
      </c>
      <c r="J192" s="142" t="s">
        <v>1398</v>
      </c>
      <c r="M192" s="142" t="str" cm="1">
        <f t="array" aca="1" ref="M1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Materials UCITS ETF (Acc)</v>
      </c>
      <c r="N192" s="1563">
        <f ca="1">COUNTIF('CHF M'!smo_id,Valori[[#This Row],[smo_id]])+COUNTIF('CHF MA'!smo_id,Valori[[#This Row],[smo_id]])+COUNTIF('EUR MB'!smo_id,Valori[[#This Row],[smo_id]])+COUNTIF('EUR M'!smo_id,Valori[[#This Row],[smo_id]])+COUNTIF(AGCO!smo_id,Valori[[#This Row],[smo_id]])</f>
        <v>0</v>
      </c>
      <c r="O192" s="1590" cm="1">
        <f t="array" aca="1" ref="O192" ca="1">SUM(IF('CHF M'!smo_id=Valori[[#This Row],[smo_id]],'CHF M'!Posizione))+SUM(IF('CHF MA'!smo_id=Valori[[#This Row],[smo_id]],'CHF MA'!Posizione))+SUM(IF('EUR MB'!smo_id=Valori[[#This Row],[smo_id]],'EUR MB'!Posizione))+SUM(IF('EUR M'!smo_id=Valori[[#This Row],[smo_id]],'EUR M'!Posizione))+SUM(IF(AGCO!smo_id=Valori[[#This Row],[smo_id]],AGCO!Posizione))</f>
        <v>0</v>
      </c>
      <c r="P192" s="1661" t="str">
        <f ca="1">HYPERLINK(Valori[[#This Row],[P_Source]],"è")</f>
        <v>è</v>
      </c>
      <c r="Q192" s="1663" t="str">
        <f>HYPERLINK(Valori[[#This Row],[Info_W]],"i")</f>
        <v>i</v>
      </c>
      <c r="R192" s="1664" t="str">
        <f>HYPERLINK(Valori[[#This Row],[FN_W]],"")</f>
        <v></v>
      </c>
      <c r="S192" s="1665" t="str">
        <f>HYPERLINK(Valori[[#This Row],[MS_Link]],"")</f>
        <v></v>
      </c>
      <c r="T192" s="1665" t="str">
        <f>HYPERLINK(Valori[[#This Row],[C_source]],"")</f>
        <v></v>
      </c>
      <c r="U192" s="142" t="str" cm="1">
        <f t="array" aca="1" ref="U192" ca="1">OFFSET(POrigin,MATCH(Valori[[#This Row],[LUKB_id]],PID,0),MATCH("M_CUR",PLabel,0)-1,1,1)</f>
        <v>EUR</v>
      </c>
      <c r="V192" s="1562">
        <f ca="1">(Valori[[#This Row],[Last]]+Valori[[#This Row],[Acc. Int]])/Valori[[#This Row],[Pr.Amt]]/IF(Valori[[#This Row],[P_Type]]="Pct",100,1)</f>
        <v>359</v>
      </c>
      <c r="W192" s="1591" cm="1">
        <f t="array" aca="1" ref="W192" ca="1">OFFSET(POrigin,MATCH(Valori[[#This Row],[LUKB_id]],PID,0),MATCH("NC2_PR",PLabel,0)-1,1,1)/100</f>
        <v>-1.8054985638079699E-2</v>
      </c>
      <c r="X192" s="1592" cm="1">
        <f t="array" aca="1" ref="X192" ca="1">OFFSET(POrigin,MATCH(Valori[[#This Row],[LUKB_id]],PID,0),MATCH("LVAL",PLabel,0)-1,1,1)</f>
        <v>359</v>
      </c>
      <c r="Y192" s="1593" cm="1">
        <f t="array" aca="1" ref="Y192" ca="1">OFFSET(POrigin,MATCH(Valori[[#This Row],[LUKB_id]],PID,0),MATCH("LVAL:datetime",PLabel,0)-1,1,1)</f>
        <v>46083.746527777781</v>
      </c>
      <c r="Z192" s="1594" cm="1">
        <f t="array" aca="1" ref="Z192" ca="1">OFFSET(POrigin,MATCH(Valori[[#This Row],[LUKB_id]],PID,0),MATCH("BID:volume",PLabel,0)-1,1,1)</f>
        <v>0</v>
      </c>
      <c r="AA192" s="1595" cm="1">
        <f t="array" aca="1" ref="AA192" ca="1">OFFSET(POrigin,MATCH(Valori[[#This Row],[LUKB_id]],PID,0),MATCH("BID",PLabel,0)-1,1,1)</f>
        <v>0</v>
      </c>
      <c r="AB192" s="1595" cm="1">
        <f t="array" aca="1" ref="AB192" ca="1">OFFSET(POrigin,MATCH(Valori[[#This Row],[LUKB_id]],PID,0),MATCH("ASK",PLabel,0)-1,1,1)</f>
        <v>0</v>
      </c>
      <c r="AC192" s="1594" cm="1">
        <f t="array" aca="1" ref="AC192" ca="1">OFFSET(POrigin,MATCH(Valori[[#This Row],[LUKB_id]],PID,0),MATCH("ASK:volume",PLabel,0)-1,1,1)</f>
        <v>0</v>
      </c>
      <c r="AD192" s="1596" cm="1">
        <f t="array" aca="1" ref="AD192" ca="1">OFFSET(POrigin,MATCH(Valori[[#This Row],[LUKB_id]],PID,0),MATCH("BID-ASK Spread %",PLabel,0)-1,1,1)</f>
        <v>0</v>
      </c>
      <c r="AE192" s="1597" t="str" cm="1">
        <f t="array" aca="1" ref="AE192" ca="1">IF(OFFSET(POrigin,MATCH(Valori[[#This Row],[LUKB_id]],PID,0),MATCH("MATURITY",PLabel,0)-1,1,1)&gt;0,OFFSET(POrigin,MATCH(Valori[[#This Row],[LUKB_id]],PID,0),MATCH("MATURITY",PLabel,0)-1,1,1),"")</f>
        <v/>
      </c>
      <c r="AF192" s="1598" cm="1">
        <f t="array" aca="1" ref="AF192" ca="1">OFFSET(POrigin,MATCH(Valori[[#This Row],[LUKB_id]],PID,0),MATCH("ACCINT",PLabel,0)-1,1,1)</f>
        <v>0</v>
      </c>
      <c r="AG192" s="1594" cm="1">
        <f t="array" aca="1" ref="AG192" ca="1">OFFSET(POrigin,MATCH(Valori[[#This Row],[LUKB_id]],PID,0),MATCH("DENOM",PLabel,0)-1,1,1)</f>
        <v>0</v>
      </c>
      <c r="AH192" s="1599" cm="1">
        <f t="array" aca="1" ref="AH192" ca="1">(OFFSET(POrigin,MATCH(Valori[[#This Row],[LUKB_id]],PID,0),MATCH("YIELD",PLabel,0)-1,1,1)+OFFSET(POrigin,MATCH(Valori[[#This Row],[LUKB_id]],PID,0),MATCH("YLDEQ",PLabel,0)-1,1,1))/100</f>
        <v>0</v>
      </c>
      <c r="AI192" s="1600">
        <f ca="1">OFFSET(POrigin,MATCH(Valori[[#This Row],[LUKB_id]],PID,0),MATCH("DIVIDEND",PLabel,0)-1,1,1)</f>
        <v>0</v>
      </c>
      <c r="AJ192" s="1601">
        <f ca="1">OFFSET(POrigin,MATCH(Valori[[#This Row],[LUKB_id]],PID,0),MATCH("DIVIDEND:datetime",PLabel,0)-1,1,1)</f>
        <v>0</v>
      </c>
      <c r="AK192" s="1602">
        <f ca="1">OFFSET(POrigin,MATCH(Valori[[#This Row],[LUKB_id]],PID,0),MATCH("INTEREST",PLabel,0)-1,1,1)</f>
        <v>0</v>
      </c>
      <c r="AL192" s="1603">
        <f ca="1">OFFSET(POrigin,MATCH(Valori[[#This Row],[LUKB_id]],PID,0),MATCH("4W_PERF_PR",PLabel,0)-1,1,1)/100</f>
        <v>3.4135100100820867E-2</v>
      </c>
      <c r="AM192" s="1603">
        <f ca="1">OFFSET(POrigin,MATCH(Valori[[#This Row],[LUKB_id]],PID,0),MATCH("12W_PERF_PR",PLabel,0)-1,1,1)/100</f>
        <v>0.14696485623003194</v>
      </c>
      <c r="AN192" s="1603">
        <f ca="1">OFFSET(POrigin,MATCH(Valori[[#This Row],[LUKB_id]],PID,0),MATCH("YTD_PERF_PR",PLabel,0)-1,1,1)/100</f>
        <v>9.9724264705882304E-2</v>
      </c>
      <c r="AO192" s="1591"/>
      <c r="AP192" s="1591"/>
      <c r="AQ192" s="1591"/>
      <c r="AR192" s="1591"/>
      <c r="AS192" s="1890" t="s">
        <v>1399</v>
      </c>
      <c r="AT192" s="1890" t="s">
        <v>1400</v>
      </c>
      <c r="AU192" s="610" t="s">
        <v>1401</v>
      </c>
      <c r="AV192" s="1891" t="s">
        <v>1402</v>
      </c>
      <c r="AW192" s="1604" t="str">
        <f ca="1">"https://boersenundmaerkte.lukb.ch/lukb/details/"&amp;Valori[[#This Row],[LUKB_id]]</f>
        <v>https://boersenundmaerkte.lukb.ch/lukb/details/24767874,6920,814</v>
      </c>
      <c r="AX192" s="1605" t="str">
        <f>"https://www.marketscreener.com/mods_a/charts/TV/inc_dyna_graph.php?c="&amp;Valori[[#This Row],[MS_Code]]&amp;"&amp;style=TradingView.CANDLES&amp;interval=(null)&amp;mobile=(null)&amp;showAT=1"</f>
        <v>https://www.marketscreener.com/mods_a/charts/TV/inc_dyna_graph.php?c=19116475&amp;style=TradingView.CANDLES&amp;interval=(null)&amp;mobile=(null)&amp;showAT=1</v>
      </c>
      <c r="AY192" s="142"/>
      <c r="AZ192" s="142"/>
      <c r="BA192" s="142"/>
      <c r="BB192" s="142"/>
    </row>
    <row r="193" spans="1:54" ht="15" customHeight="1" x14ac:dyDescent="0.2">
      <c r="A193" s="142" t="s">
        <v>1403</v>
      </c>
      <c r="B193" s="142" t="str" cm="1">
        <f t="array" aca="1" ref="B193" ca="1">OFFSET(POrigin,MATCH(Valori[[#This Row],[smo_id]],Posizioni[smo_id],0),MATCH("LUKB_id",PIntestazioni,0)-1,1,1)</f>
        <v>24767694,1703,814</v>
      </c>
      <c r="C193" s="1668" t="str">
        <f ca="1">HYPERLINK("https://boersenundmaerkte.lukb.ch/lukb/details/"&amp;Valori[[#This Row],[LUKB_id]],"è")</f>
        <v>è</v>
      </c>
      <c r="D193" s="142" t="str" cm="1">
        <f t="array" aca="1" ref="D193" ca="1">OFFSET(POrigin,MATCH(Valori[[#This Row],[LUKB_id]],PID,0),MATCH("SC_GROUPED",PIntestazioni,0)-1,1,1)</f>
        <v>ETF</v>
      </c>
      <c r="E193" s="413" t="str" cm="1">
        <f t="array" aca="1" ref="E193" ca="1">OFFSET(POrigin,MATCH(Valori[[#This Row],[LUKB_id]],PID,0),MATCH("isin",PIntestazioni,0)-1,1,1)</f>
        <v>IE00BKWQ0K51</v>
      </c>
      <c r="F193" s="34" t="str" cm="1">
        <f t="array" aca="1" ref="F193" ca="1">OFFSET(POrigin,MATCH(Valori[[#This Row],[LUKB_id]],PID,0),MATCH("NSIN_CH",PLabel,0)-1,1,1)</f>
        <v>24767694</v>
      </c>
      <c r="G193" s="95" t="str" cm="1">
        <f t="array" aca="1" ref="G193" ca="1">IF(OFFSET(POrigin,MATCH(Valori[[#This Row],[LUKB_id]],PID,0),MATCH("INSTRUNIT",PLabel,0)-1,1,1)="Nominal","Pct","Unit")</f>
        <v>Unit</v>
      </c>
      <c r="H193" s="612">
        <f ca="1">MAX(OFFSET(POrigin,MATCH(Valori[[#This Row],[LUKB_id]],PID,0),MATCH("PRICINGAMT",PLabel,0)-1,1,1),1)</f>
        <v>1</v>
      </c>
      <c r="I193" s="615" t="str" cm="1">
        <f t="array" aca="1" ref="I193" ca="1">OFFSET(POrigin,MATCH(Valori[[#This Row],[LUKB_id]],PID,0),MATCH("M_NAME",PLabel,0)-1,1,1)</f>
        <v>SSgA SPDR ETFs EUROPE II PLC - State Street SPDR MSCI Europe Technology UCITS ETF</v>
      </c>
      <c r="J193" s="142" t="s">
        <v>1404</v>
      </c>
      <c r="M193" s="142" t="str" cm="1">
        <f t="array" aca="1" ref="M1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Technology UCITS ETF (Acc)</v>
      </c>
      <c r="N193" s="1563">
        <f ca="1">COUNTIF('CHF M'!smo_id,Valori[[#This Row],[smo_id]])+COUNTIF('CHF MA'!smo_id,Valori[[#This Row],[smo_id]])+COUNTIF('EUR MB'!smo_id,Valori[[#This Row],[smo_id]])+COUNTIF('EUR M'!smo_id,Valori[[#This Row],[smo_id]])+COUNTIF(AGCO!smo_id,Valori[[#This Row],[smo_id]])</f>
        <v>0</v>
      </c>
      <c r="O193" s="1590" cm="1">
        <f t="array" aca="1" ref="O193" ca="1">SUM(IF('CHF M'!smo_id=Valori[[#This Row],[smo_id]],'CHF M'!Posizione))+SUM(IF('CHF MA'!smo_id=Valori[[#This Row],[smo_id]],'CHF MA'!Posizione))+SUM(IF('EUR MB'!smo_id=Valori[[#This Row],[smo_id]],'EUR MB'!Posizione))+SUM(IF('EUR M'!smo_id=Valori[[#This Row],[smo_id]],'EUR M'!Posizione))+SUM(IF(AGCO!smo_id=Valori[[#This Row],[smo_id]],AGCO!Posizione))</f>
        <v>0</v>
      </c>
      <c r="P193" s="1661" t="str">
        <f ca="1">HYPERLINK(Valori[[#This Row],[P_Source]],"è")</f>
        <v>è</v>
      </c>
      <c r="Q193" s="1663" t="str">
        <f>HYPERLINK(Valori[[#This Row],[Info_W]],"i")</f>
        <v>i</v>
      </c>
      <c r="R193" s="1664" t="str">
        <f>HYPERLINK(Valori[[#This Row],[FN_W]],"")</f>
        <v></v>
      </c>
      <c r="S193" s="1665" t="str">
        <f>HYPERLINK(Valori[[#This Row],[MS_Link]],"")</f>
        <v></v>
      </c>
      <c r="T193" s="1665" t="str">
        <f>HYPERLINK(Valori[[#This Row],[C_source]],"")</f>
        <v></v>
      </c>
      <c r="U193" s="142" t="str" cm="1">
        <f t="array" aca="1" ref="U193" ca="1">OFFSET(POrigin,MATCH(Valori[[#This Row],[LUKB_id]],PID,0),MATCH("M_CUR",PLabel,0)-1,1,1)</f>
        <v>EUR</v>
      </c>
      <c r="V193" s="1562">
        <f ca="1">(Valori[[#This Row],[Last]]+Valori[[#This Row],[Acc. Int]])/Valori[[#This Row],[Pr.Amt]]/IF(Valori[[#This Row],[P_Type]]="Pct",100,1)</f>
        <v>162.60000000000002</v>
      </c>
      <c r="W193" s="1591" cm="1">
        <f t="array" aca="1" ref="W193" ca="1">OFFSET(POrigin,MATCH(Valori[[#This Row],[LUKB_id]],PID,0),MATCH("NC2_PR",PLabel,0)-1,1,1)/100</f>
        <v>-1.2249848392965499E-2</v>
      </c>
      <c r="X193" s="1592" cm="1">
        <f t="array" aca="1" ref="X193" ca="1">OFFSET(POrigin,MATCH(Valori[[#This Row],[LUKB_id]],PID,0),MATCH("LVAL",PLabel,0)-1,1,1)</f>
        <v>162.60000000000002</v>
      </c>
      <c r="Y193" s="1593" cm="1">
        <f t="array" aca="1" ref="Y193" ca="1">OFFSET(POrigin,MATCH(Valori[[#This Row],[LUKB_id]],PID,0),MATCH("LVAL:datetime",PLabel,0)-1,1,1)</f>
        <v>46083.733425925922</v>
      </c>
      <c r="Z193" s="1594" cm="1">
        <f t="array" aca="1" ref="Z193" ca="1">OFFSET(POrigin,MATCH(Valori[[#This Row],[LUKB_id]],PID,0),MATCH("BID:volume",PLabel,0)-1,1,1)</f>
        <v>0</v>
      </c>
      <c r="AA193" s="1595" cm="1">
        <f t="array" aca="1" ref="AA193" ca="1">OFFSET(POrigin,MATCH(Valori[[#This Row],[LUKB_id]],PID,0),MATCH("BID",PLabel,0)-1,1,1)</f>
        <v>0</v>
      </c>
      <c r="AB193" s="1595" cm="1">
        <f t="array" aca="1" ref="AB193" ca="1">OFFSET(POrigin,MATCH(Valori[[#This Row],[LUKB_id]],PID,0),MATCH("ASK",PLabel,0)-1,1,1)</f>
        <v>0</v>
      </c>
      <c r="AC193" s="1594" cm="1">
        <f t="array" aca="1" ref="AC193" ca="1">OFFSET(POrigin,MATCH(Valori[[#This Row],[LUKB_id]],PID,0),MATCH("ASK:volume",PLabel,0)-1,1,1)</f>
        <v>0</v>
      </c>
      <c r="AD193" s="1596" cm="1">
        <f t="array" aca="1" ref="AD193" ca="1">OFFSET(POrigin,MATCH(Valori[[#This Row],[LUKB_id]],PID,0),MATCH("BID-ASK Spread %",PLabel,0)-1,1,1)</f>
        <v>0</v>
      </c>
      <c r="AE193" s="1597" t="str" cm="1">
        <f t="array" aca="1" ref="AE193" ca="1">IF(OFFSET(POrigin,MATCH(Valori[[#This Row],[LUKB_id]],PID,0),MATCH("MATURITY",PLabel,0)-1,1,1)&gt;0,OFFSET(POrigin,MATCH(Valori[[#This Row],[LUKB_id]],PID,0),MATCH("MATURITY",PLabel,0)-1,1,1),"")</f>
        <v/>
      </c>
      <c r="AF193" s="1598" cm="1">
        <f t="array" aca="1" ref="AF193" ca="1">OFFSET(POrigin,MATCH(Valori[[#This Row],[LUKB_id]],PID,0),MATCH("ACCINT",PLabel,0)-1,1,1)</f>
        <v>0</v>
      </c>
      <c r="AG193" s="1594" cm="1">
        <f t="array" aca="1" ref="AG193" ca="1">OFFSET(POrigin,MATCH(Valori[[#This Row],[LUKB_id]],PID,0),MATCH("DENOM",PLabel,0)-1,1,1)</f>
        <v>0</v>
      </c>
      <c r="AH193" s="1599" cm="1">
        <f t="array" aca="1" ref="AH193" ca="1">(OFFSET(POrigin,MATCH(Valori[[#This Row],[LUKB_id]],PID,0),MATCH("YIELD",PLabel,0)-1,1,1)+OFFSET(POrigin,MATCH(Valori[[#This Row],[LUKB_id]],PID,0),MATCH("YLDEQ",PLabel,0)-1,1,1))/100</f>
        <v>0</v>
      </c>
      <c r="AI193" s="1600">
        <f ca="1">OFFSET(POrigin,MATCH(Valori[[#This Row],[LUKB_id]],PID,0),MATCH("DIVIDEND",PLabel,0)-1,1,1)</f>
        <v>0</v>
      </c>
      <c r="AJ193" s="1601">
        <f ca="1">OFFSET(POrigin,MATCH(Valori[[#This Row],[LUKB_id]],PID,0),MATCH("DIVIDEND:datetime",PLabel,0)-1,1,1)</f>
        <v>0</v>
      </c>
      <c r="AK193" s="1602">
        <f ca="1">OFFSET(POrigin,MATCH(Valori[[#This Row],[LUKB_id]],PID,0),MATCH("INTEREST",PLabel,0)-1,1,1)</f>
        <v>0</v>
      </c>
      <c r="AL193" s="1603">
        <f ca="1">OFFSET(POrigin,MATCH(Valori[[#This Row],[LUKB_id]],PID,0),MATCH("4W_PERF_PR",PLabel,0)-1,1,1)/100</f>
        <v>4.3236565781347566E-3</v>
      </c>
      <c r="AM193" s="1603">
        <f ca="1">OFFSET(POrigin,MATCH(Valori[[#This Row],[LUKB_id]],PID,0),MATCH("12W_PERF_PR",PLabel,0)-1,1,1)/100</f>
        <v>7.3550772481183246E-2</v>
      </c>
      <c r="AN193" s="1603">
        <f ca="1">OFFSET(POrigin,MATCH(Valori[[#This Row],[LUKB_id]],PID,0),MATCH("YTD_PERF_PR",PLabel,0)-1,1,1)/100</f>
        <v>0.1014335948066</v>
      </c>
      <c r="AO193" s="1591"/>
      <c r="AP193" s="1591"/>
      <c r="AQ193" s="1591"/>
      <c r="AR193" s="1591"/>
      <c r="AS193" s="1890" t="s">
        <v>1405</v>
      </c>
      <c r="AT193" s="1890" t="s">
        <v>1406</v>
      </c>
      <c r="AU193" s="610" t="s">
        <v>1407</v>
      </c>
      <c r="AV193" s="1891" t="s">
        <v>1408</v>
      </c>
      <c r="AW193" s="1604" t="str">
        <f ca="1">"https://boersenundmaerkte.lukb.ch/lukb/details/"&amp;Valori[[#This Row],[LUKB_id]]</f>
        <v>https://boersenundmaerkte.lukb.ch/lukb/details/24767694,1703,814</v>
      </c>
      <c r="AX193" s="1605" t="str">
        <f>"https://www.marketscreener.com/mods_a/charts/TV/inc_dyna_graph.php?c="&amp;Valori[[#This Row],[MS_Code]]&amp;"&amp;style=TradingView.CANDLES&amp;interval=(null)&amp;mobile=(null)&amp;showAT=1"</f>
        <v>https://www.marketscreener.com/mods_a/charts/TV/inc_dyna_graph.php?c=19116474&amp;style=TradingView.CANDLES&amp;interval=(null)&amp;mobile=(null)&amp;showAT=1</v>
      </c>
      <c r="AY193" s="142"/>
      <c r="AZ193" s="142"/>
      <c r="BA193" s="142"/>
      <c r="BB193" s="142"/>
    </row>
    <row r="194" spans="1:54" ht="15" customHeight="1" x14ac:dyDescent="0.2">
      <c r="A194" s="142" t="s">
        <v>1409</v>
      </c>
      <c r="B194" s="142" t="str" cm="1">
        <f t="array" aca="1" ref="B194" ca="1">OFFSET(POrigin,MATCH(Valori[[#This Row],[smo_id]],Posizioni[smo_id],0),MATCH("LUKB_id",PIntestazioni,0)-1,1,1)</f>
        <v>24770468,361,814</v>
      </c>
      <c r="C194" s="1668" t="str">
        <f ca="1">HYPERLINK("https://boersenundmaerkte.lukb.ch/lukb/details/"&amp;Valori[[#This Row],[LUKB_id]],"è")</f>
        <v>è</v>
      </c>
      <c r="D194" s="142" t="str" cm="1">
        <f t="array" aca="1" ref="D194" ca="1">OFFSET(POrigin,MATCH(Valori[[#This Row],[LUKB_id]],PID,0),MATCH("SC_GROUPED",PIntestazioni,0)-1,1,1)</f>
        <v>ETF</v>
      </c>
      <c r="E194" s="413" t="str" cm="1">
        <f t="array" aca="1" ref="E194" ca="1">OFFSET(POrigin,MATCH(Valori[[#This Row],[LUKB_id]],PID,0),MATCH("isin",PIntestazioni,0)-1,1,1)</f>
        <v>IE00BKWQ0P07</v>
      </c>
      <c r="F194" s="34" t="str" cm="1">
        <f t="array" aca="1" ref="F194" ca="1">OFFSET(POrigin,MATCH(Valori[[#This Row],[LUKB_id]],PID,0),MATCH("NSIN_CH",PLabel,0)-1,1,1)</f>
        <v>24770468</v>
      </c>
      <c r="G194" s="95" t="str" cm="1">
        <f t="array" aca="1" ref="G194" ca="1">IF(OFFSET(POrigin,MATCH(Valori[[#This Row],[LUKB_id]],PID,0),MATCH("INSTRUNIT",PLabel,0)-1,1,1)="Nominal","Pct","Unit")</f>
        <v>Unit</v>
      </c>
      <c r="H194" s="612">
        <f ca="1">MAX(OFFSET(POrigin,MATCH(Valori[[#This Row],[LUKB_id]],PID,0),MATCH("PRICINGAMT",PLabel,0)-1,1,1),1)</f>
        <v>1</v>
      </c>
      <c r="I194" s="615" t="str" cm="1">
        <f t="array" aca="1" ref="I194" ca="1">OFFSET(POrigin,MATCH(Valori[[#This Row],[LUKB_id]],PID,0),MATCH("M_NAME",PLabel,0)-1,1,1)</f>
        <v>SSgA SPDR ETFs EUROPE II PLC - State Street SPDR MSCI Europe Utilities UCITS ETF</v>
      </c>
      <c r="J194" s="142" t="s">
        <v>506</v>
      </c>
      <c r="M194" s="142" t="str" cm="1">
        <f t="array" aca="1" ref="M1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Utilities UCITS ETF (Acc)</v>
      </c>
      <c r="N194" s="1563">
        <f ca="1">COUNTIF('CHF M'!smo_id,Valori[[#This Row],[smo_id]])+COUNTIF('CHF MA'!smo_id,Valori[[#This Row],[smo_id]])+COUNTIF('EUR MB'!smo_id,Valori[[#This Row],[smo_id]])+COUNTIF('EUR M'!smo_id,Valori[[#This Row],[smo_id]])+COUNTIF(AGCO!smo_id,Valori[[#This Row],[smo_id]])</f>
        <v>1</v>
      </c>
      <c r="O194" s="1590" cm="1">
        <f t="array" aca="1" ref="O194" ca="1">SUM(IF('CHF M'!smo_id=Valori[[#This Row],[smo_id]],'CHF M'!Posizione))+SUM(IF('CHF MA'!smo_id=Valori[[#This Row],[smo_id]],'CHF MA'!Posizione))+SUM(IF('EUR MB'!smo_id=Valori[[#This Row],[smo_id]],'EUR MB'!Posizione))+SUM(IF('EUR M'!smo_id=Valori[[#This Row],[smo_id]],'EUR M'!Posizione))+SUM(IF(AGCO!smo_id=Valori[[#This Row],[smo_id]],AGCO!Posizione))</f>
        <v>425</v>
      </c>
      <c r="P194" s="1661" t="str">
        <f ca="1">HYPERLINK(Valori[[#This Row],[P_Source]],"è")</f>
        <v>è</v>
      </c>
      <c r="Q194" s="1663" t="str">
        <f>HYPERLINK(Valori[[#This Row],[Info_W]],"i")</f>
        <v>i</v>
      </c>
      <c r="R194" s="1664" t="str">
        <f>HYPERLINK(Valori[[#This Row],[FN_W]],"")</f>
        <v></v>
      </c>
      <c r="S194" s="1665" t="str">
        <f>HYPERLINK(Valori[[#This Row],[MS_Link]],"")</f>
        <v></v>
      </c>
      <c r="T194" s="1665" t="str">
        <f>HYPERLINK(Valori[[#This Row],[C_source]],"")</f>
        <v></v>
      </c>
      <c r="U194" s="142" t="str" cm="1">
        <f t="array" aca="1" ref="U194" ca="1">OFFSET(POrigin,MATCH(Valori[[#This Row],[LUKB_id]],PID,0),MATCH("M_CUR",PLabel,0)-1,1,1)</f>
        <v>EUR</v>
      </c>
      <c r="V194" s="1562">
        <f ca="1">(Valori[[#This Row],[Last]]+Valori[[#This Row],[Acc. Int]])/Valori[[#This Row],[Pr.Amt]]/IF(Valori[[#This Row],[P_Type]]="Pct",100,1)</f>
        <v>250.75</v>
      </c>
      <c r="W194" s="1591" cm="1">
        <f t="array" aca="1" ref="W194" ca="1">OFFSET(POrigin,MATCH(Valori[[#This Row],[LUKB_id]],PID,0),MATCH("NC2_PR",PLabel,0)-1,1,1)/100</f>
        <v>-4.1626885621539003E-2</v>
      </c>
      <c r="X194" s="1592" cm="1">
        <f t="array" aca="1" ref="X194" ca="1">OFFSET(POrigin,MATCH(Valori[[#This Row],[LUKB_id]],PID,0),MATCH("LVAL",PLabel,0)-1,1,1)</f>
        <v>250.75</v>
      </c>
      <c r="Y194" s="1593" cm="1">
        <f t="array" aca="1" ref="Y194" ca="1">OFFSET(POrigin,MATCH(Valori[[#This Row],[LUKB_id]],PID,0),MATCH("LVAL:datetime",PLabel,0)-1,1,1)</f>
        <v>46084.732719907406</v>
      </c>
      <c r="Z194" s="1594" cm="1">
        <f t="array" aca="1" ref="Z194" ca="1">OFFSET(POrigin,MATCH(Valori[[#This Row],[LUKB_id]],PID,0),MATCH("BID:volume",PLabel,0)-1,1,1)</f>
        <v>602</v>
      </c>
      <c r="AA194" s="1595" cm="1">
        <f t="array" aca="1" ref="AA194" ca="1">OFFSET(POrigin,MATCH(Valori[[#This Row],[LUKB_id]],PID,0),MATCH("BID",PLabel,0)-1,1,1)</f>
        <v>250.10000000000002</v>
      </c>
      <c r="AB194" s="1595" cm="1">
        <f t="array" aca="1" ref="AB194" ca="1">OFFSET(POrigin,MATCH(Valori[[#This Row],[LUKB_id]],PID,0),MATCH("ASK",PLabel,0)-1,1,1)</f>
        <v>252.20000000000002</v>
      </c>
      <c r="AC194" s="1594" cm="1">
        <f t="array" aca="1" ref="AC194" ca="1">OFFSET(POrigin,MATCH(Valori[[#This Row],[LUKB_id]],PID,0),MATCH("ASK:volume",PLabel,0)-1,1,1)</f>
        <v>602</v>
      </c>
      <c r="AD194" s="1596" cm="1">
        <f t="array" aca="1" ref="AD194" ca="1">OFFSET(POrigin,MATCH(Valori[[#This Row],[LUKB_id]],PID,0),MATCH("BID-ASK Spread %",PLabel,0)-1,1,1)</f>
        <v>5.5821371610845138E-3</v>
      </c>
      <c r="AE194" s="1597" t="str" cm="1">
        <f t="array" aca="1" ref="AE194" ca="1">IF(OFFSET(POrigin,MATCH(Valori[[#This Row],[LUKB_id]],PID,0),MATCH("MATURITY",PLabel,0)-1,1,1)&gt;0,OFFSET(POrigin,MATCH(Valori[[#This Row],[LUKB_id]],PID,0),MATCH("MATURITY",PLabel,0)-1,1,1),"")</f>
        <v/>
      </c>
      <c r="AF194" s="1598" cm="1">
        <f t="array" aca="1" ref="AF194" ca="1">OFFSET(POrigin,MATCH(Valori[[#This Row],[LUKB_id]],PID,0),MATCH("ACCINT",PLabel,0)-1,1,1)</f>
        <v>0</v>
      </c>
      <c r="AG194" s="1594" cm="1">
        <f t="array" aca="1" ref="AG194" ca="1">OFFSET(POrigin,MATCH(Valori[[#This Row],[LUKB_id]],PID,0),MATCH("DENOM",PLabel,0)-1,1,1)</f>
        <v>0</v>
      </c>
      <c r="AH194" s="1599" cm="1">
        <f t="array" aca="1" ref="AH194" ca="1">(OFFSET(POrigin,MATCH(Valori[[#This Row],[LUKB_id]],PID,0),MATCH("YIELD",PLabel,0)-1,1,1)+OFFSET(POrigin,MATCH(Valori[[#This Row],[LUKB_id]],PID,0),MATCH("YLDEQ",PLabel,0)-1,1,1))/100</f>
        <v>0</v>
      </c>
      <c r="AI194" s="1600">
        <f ca="1">OFFSET(POrigin,MATCH(Valori[[#This Row],[LUKB_id]],PID,0),MATCH("DIVIDEND",PLabel,0)-1,1,1)</f>
        <v>0</v>
      </c>
      <c r="AJ194" s="1601">
        <f ca="1">OFFSET(POrigin,MATCH(Valori[[#This Row],[LUKB_id]],PID,0),MATCH("DIVIDEND:datetime",PLabel,0)-1,1,1)</f>
        <v>0</v>
      </c>
      <c r="AK194" s="1602">
        <f ca="1">OFFSET(POrigin,MATCH(Valori[[#This Row],[LUKB_id]],PID,0),MATCH("INTEREST",PLabel,0)-1,1,1)</f>
        <v>0</v>
      </c>
      <c r="AL194" s="1603">
        <f ca="1">OFFSET(POrigin,MATCH(Valori[[#This Row],[LUKB_id]],PID,0),MATCH("4W_PERF_PR",PLabel,0)-1,1,1)/100</f>
        <v>2.6800329999999997E-2</v>
      </c>
      <c r="AM194" s="1603">
        <f ca="1">OFFSET(POrigin,MATCH(Valori[[#This Row],[LUKB_id]],PID,0),MATCH("12W_PERF_PR",PLabel,0)-1,1,1)/100</f>
        <v>0.13912846000000001</v>
      </c>
      <c r="AN194" s="1603">
        <f ca="1">OFFSET(POrigin,MATCH(Valori[[#This Row],[LUKB_id]],PID,0),MATCH("YTD_PERF_PR",PLabel,0)-1,1,1)/100</f>
        <v>0.16793041926850999</v>
      </c>
      <c r="AO194" s="1591"/>
      <c r="AP194" s="1591"/>
      <c r="AQ194" s="1591"/>
      <c r="AR194" s="1591"/>
      <c r="AS194" s="1890" t="s">
        <v>1410</v>
      </c>
      <c r="AT194" s="1890" t="s">
        <v>1411</v>
      </c>
      <c r="AU194" s="610" t="s">
        <v>1412</v>
      </c>
      <c r="AV194" s="1891" t="s">
        <v>1413</v>
      </c>
      <c r="AW194" s="1604" t="str">
        <f ca="1">"https://boersenundmaerkte.lukb.ch/lukb/details/"&amp;Valori[[#This Row],[LUKB_id]]</f>
        <v>https://boersenundmaerkte.lukb.ch/lukb/details/24770468,361,814</v>
      </c>
      <c r="AX194" s="1605" t="str">
        <f>"https://www.marketscreener.com/mods_a/charts/TV/inc_dyna_graph.php?c="&amp;Valori[[#This Row],[MS_Code]]&amp;"&amp;style=TradingView.CANDLES&amp;interval=(null)&amp;mobile=(null)&amp;showAT=1"</f>
        <v>https://www.marketscreener.com/mods_a/charts/TV/inc_dyna_graph.php?c=19116478&amp;style=TradingView.CANDLES&amp;interval=(null)&amp;mobile=(null)&amp;showAT=1</v>
      </c>
      <c r="AY194" s="142"/>
      <c r="AZ194" s="142"/>
      <c r="BA194" s="142"/>
      <c r="BB194" s="142"/>
    </row>
    <row r="195" spans="1:54" ht="15" customHeight="1" x14ac:dyDescent="0.2">
      <c r="A195" s="142" t="s">
        <v>1414</v>
      </c>
      <c r="B195" s="142" t="str" cm="1">
        <f t="array" aca="1" ref="B195" ca="1">OFFSET(POrigin,MATCH(Valori[[#This Row],[smo_id]],Posizioni[smo_id],0),MATCH("LUKB_id",PIntestazioni,0)-1,1,1)</f>
        <v>45088,321,333</v>
      </c>
      <c r="C195" s="1668" t="str">
        <f ca="1">HYPERLINK("https://boersenundmaerkte.lukb.ch/lukb/details/"&amp;Valori[[#This Row],[LUKB_id]],"è")</f>
        <v>è</v>
      </c>
      <c r="D195" s="142" t="str" cm="1">
        <f t="array" aca="1" ref="D195" ca="1">OFFSET(POrigin,MATCH(Valori[[#This Row],[LUKB_id]],PID,0),MATCH("SC_GROUPED",PIntestazioni,0)-1,1,1)</f>
        <v>ETF</v>
      </c>
      <c r="E195" s="413" t="str" cm="1">
        <f t="array" aca="1" ref="E195" ca="1">OFFSET(POrigin,MATCH(Valori[[#This Row],[LUKB_id]],PID,0),MATCH("isin",PIntestazioni,0)-1,1,1)</f>
        <v>US78462F1030</v>
      </c>
      <c r="F195" s="34" t="str" cm="1">
        <f t="array" aca="1" ref="F195" ca="1">OFFSET(POrigin,MATCH(Valori[[#This Row],[LUKB_id]],PID,0),MATCH("NSIN_CH",PLabel,0)-1,1,1)</f>
        <v>45088</v>
      </c>
      <c r="G195" s="95" t="str" cm="1">
        <f t="array" aca="1" ref="G195" ca="1">IF(OFFSET(POrigin,MATCH(Valori[[#This Row],[LUKB_id]],PID,0),MATCH("INSTRUNIT",PLabel,0)-1,1,1)="Nominal","Pct","Unit")</f>
        <v>Unit</v>
      </c>
      <c r="H195" s="612">
        <f ca="1">MAX(OFFSET(POrigin,MATCH(Valori[[#This Row],[LUKB_id]],PID,0),MATCH("PRICINGAMT",PLabel,0)-1,1,1),1)</f>
        <v>1</v>
      </c>
      <c r="I195" s="615" t="str" cm="1">
        <f t="array" aca="1" ref="I195" ca="1">OFFSET(POrigin,MATCH(Valori[[#This Row],[LUKB_id]],PID,0),MATCH("M_NAME",PLabel,0)-1,1,1)</f>
        <v>SPDR S&amp;P 500 ETF Trust</v>
      </c>
      <c r="J195" s="142" t="s">
        <v>1415</v>
      </c>
      <c r="M195" s="142" t="str" cm="1">
        <f t="array" aca="1" ref="M1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500 (SPY)</v>
      </c>
      <c r="N195" s="1563">
        <f ca="1">COUNTIF('CHF M'!smo_id,Valori[[#This Row],[smo_id]])+COUNTIF('CHF MA'!smo_id,Valori[[#This Row],[smo_id]])+COUNTIF('EUR MB'!smo_id,Valori[[#This Row],[smo_id]])+COUNTIF('EUR M'!smo_id,Valori[[#This Row],[smo_id]])+COUNTIF(AGCO!smo_id,Valori[[#This Row],[smo_id]])</f>
        <v>0</v>
      </c>
      <c r="O195" s="1590" cm="1">
        <f t="array" aca="1" ref="O195" ca="1">SUM(IF('CHF M'!smo_id=Valori[[#This Row],[smo_id]],'CHF M'!Posizione))+SUM(IF('CHF MA'!smo_id=Valori[[#This Row],[smo_id]],'CHF MA'!Posizione))+SUM(IF('EUR MB'!smo_id=Valori[[#This Row],[smo_id]],'EUR MB'!Posizione))+SUM(IF('EUR M'!smo_id=Valori[[#This Row],[smo_id]],'EUR M'!Posizione))+SUM(IF(AGCO!smo_id=Valori[[#This Row],[smo_id]],AGCO!Posizione))</f>
        <v>0</v>
      </c>
      <c r="P195" s="1661" t="str">
        <f ca="1">HYPERLINK(Valori[[#This Row],[P_Source]],"è")</f>
        <v>è</v>
      </c>
      <c r="Q195" s="1663" t="str">
        <f>HYPERLINK(Valori[[#This Row],[Info_W]],"i")</f>
        <v>i</v>
      </c>
      <c r="R195" s="1664" t="str">
        <f>HYPERLINK(Valori[[#This Row],[FN_W]],"")</f>
        <v></v>
      </c>
      <c r="S195" s="1665" t="str">
        <f>HYPERLINK(Valori[[#This Row],[MS_Link]],"")</f>
        <v></v>
      </c>
      <c r="T195" s="1665" t="str">
        <f>HYPERLINK(Valori[[#This Row],[C_source]],"")</f>
        <v></v>
      </c>
      <c r="U195" s="142" t="str" cm="1">
        <f t="array" aca="1" ref="U195" ca="1">OFFSET(POrigin,MATCH(Valori[[#This Row],[LUKB_id]],PID,0),MATCH("M_CUR",PLabel,0)-1,1,1)</f>
        <v>USD</v>
      </c>
      <c r="V195" s="1562">
        <f ca="1">(Valori[[#This Row],[Last]]+Valori[[#This Row],[Acc. Int]])/Valori[[#This Row],[Pr.Amt]]/IF(Valori[[#This Row],[P_Type]]="Pct",100,1)</f>
        <v>678.05010000000004</v>
      </c>
      <c r="W195" s="1591" cm="1">
        <f t="array" aca="1" ref="W195" ca="1">OFFSET(POrigin,MATCH(Valori[[#This Row],[LUKB_id]],PID,0),MATCH("NC2_PR",PLabel,0)-1,1,1)/100</f>
        <v>-1.2135988810862799E-2</v>
      </c>
      <c r="X195" s="1592" cm="1">
        <f t="array" aca="1" ref="X195" ca="1">OFFSET(POrigin,MATCH(Valori[[#This Row],[LUKB_id]],PID,0),MATCH("LVAL",PLabel,0)-1,1,1)</f>
        <v>678.05010000000004</v>
      </c>
      <c r="Y195" s="1593" cm="1">
        <f t="array" aca="1" ref="Y195" ca="1">OFFSET(POrigin,MATCH(Valori[[#This Row],[LUKB_id]],PID,0),MATCH("LVAL:datetime",PLabel,0)-1,1,1)</f>
        <v>46084.785914351851</v>
      </c>
      <c r="Z195" s="1594" cm="1">
        <f t="array" aca="1" ref="Z195" ca="1">OFFSET(POrigin,MATCH(Valori[[#This Row],[LUKB_id]],PID,0),MATCH("BID:volume",PLabel,0)-1,1,1)</f>
        <v>160</v>
      </c>
      <c r="AA195" s="1595" cm="1">
        <f t="array" aca="1" ref="AA195" ca="1">OFFSET(POrigin,MATCH(Valori[[#This Row],[LUKB_id]],PID,0),MATCH("BID",PLabel,0)-1,1,1)</f>
        <v>678.05000000000007</v>
      </c>
      <c r="AB195" s="1595" cm="1">
        <f t="array" aca="1" ref="AB195" ca="1">OFFSET(POrigin,MATCH(Valori[[#This Row],[LUKB_id]],PID,0),MATCH("ASK",PLabel,0)-1,1,1)</f>
        <v>678.06000000000006</v>
      </c>
      <c r="AC195" s="1594" cm="1">
        <f t="array" aca="1" ref="AC195" ca="1">OFFSET(POrigin,MATCH(Valori[[#This Row],[LUKB_id]],PID,0),MATCH("ASK:volume",PLabel,0)-1,1,1)</f>
        <v>280</v>
      </c>
      <c r="AD195" s="1596" cm="1">
        <f t="array" aca="1" ref="AD195" ca="1">OFFSET(POrigin,MATCH(Valori[[#This Row],[LUKB_id]],PID,0),MATCH("BID-ASK Spread %",PLabel,0)-1,1,1)</f>
        <v>9.8320682738731494E-6</v>
      </c>
      <c r="AE195" s="1597" t="str" cm="1">
        <f t="array" aca="1" ref="AE195" ca="1">IF(OFFSET(POrigin,MATCH(Valori[[#This Row],[LUKB_id]],PID,0),MATCH("MATURITY",PLabel,0)-1,1,1)&gt;0,OFFSET(POrigin,MATCH(Valori[[#This Row],[LUKB_id]],PID,0),MATCH("MATURITY",PLabel,0)-1,1,1),"")</f>
        <v/>
      </c>
      <c r="AF195" s="1598" cm="1">
        <f t="array" aca="1" ref="AF195" ca="1">OFFSET(POrigin,MATCH(Valori[[#This Row],[LUKB_id]],PID,0),MATCH("ACCINT",PLabel,0)-1,1,1)</f>
        <v>0</v>
      </c>
      <c r="AG195" s="1594" cm="1">
        <f t="array" aca="1" ref="AG195" ca="1">OFFSET(POrigin,MATCH(Valori[[#This Row],[LUKB_id]],PID,0),MATCH("DENOM",PLabel,0)-1,1,1)</f>
        <v>0</v>
      </c>
      <c r="AH195" s="1599" cm="1">
        <f t="array" aca="1" ref="AH195" ca="1">(OFFSET(POrigin,MATCH(Valori[[#This Row],[LUKB_id]],PID,0),MATCH("YIELD",PLabel,0)-1,1,1)+OFFSET(POrigin,MATCH(Valori[[#This Row],[LUKB_id]],PID,0),MATCH("YLDEQ",PLabel,0)-1,1,1))/100</f>
        <v>0</v>
      </c>
      <c r="AI195" s="1600">
        <f ca="1">OFFSET(POrigin,MATCH(Valori[[#This Row],[LUKB_id]],PID,0),MATCH("DIVIDEND",PLabel,0)-1,1,1)</f>
        <v>1.9933679999999998</v>
      </c>
      <c r="AJ195" s="1601">
        <f ca="1">OFFSET(POrigin,MATCH(Valori[[#This Row],[LUKB_id]],PID,0),MATCH("DIVIDEND:datetime",PLabel,0)-1,1,1)</f>
        <v>46010</v>
      </c>
      <c r="AK195" s="1602">
        <f ca="1">OFFSET(POrigin,MATCH(Valori[[#This Row],[LUKB_id]],PID,0),MATCH("INTEREST",PLabel,0)-1,1,1)</f>
        <v>0</v>
      </c>
      <c r="AL195" s="1603">
        <f ca="1">OFFSET(POrigin,MATCH(Valori[[#This Row],[LUKB_id]],PID,0),MATCH("4W_PERF_PR",PLabel,0)-1,1,1)/100</f>
        <v>-1.6648879999999998E-2</v>
      </c>
      <c r="AM195" s="1603">
        <f ca="1">OFFSET(POrigin,MATCH(Valori[[#This Row],[LUKB_id]],PID,0),MATCH("12W_PERF_PR",PLabel,0)-1,1,1)/100</f>
        <v>-7.305429999999999E-3</v>
      </c>
      <c r="AN195" s="1603">
        <f ca="1">OFFSET(POrigin,MATCH(Valori[[#This Row],[LUKB_id]],PID,0),MATCH("YTD_PERF_PR",PLabel,0)-1,1,1)/100</f>
        <v>6.5403566400752001E-3</v>
      </c>
      <c r="AO195" s="1591"/>
      <c r="AP195" s="1591"/>
      <c r="AQ195" s="1591"/>
      <c r="AR195" s="1591"/>
      <c r="AS195" s="1890" t="s">
        <v>1416</v>
      </c>
      <c r="AT195" s="1890" t="s">
        <v>1417</v>
      </c>
      <c r="AU195" s="610" t="s">
        <v>1418</v>
      </c>
      <c r="AV195" s="1891" t="s">
        <v>1419</v>
      </c>
      <c r="AW195" s="1604" t="str">
        <f ca="1">"https://boersenundmaerkte.lukb.ch/lukb/details/"&amp;Valori[[#This Row],[LUKB_id]]</f>
        <v>https://boersenundmaerkte.lukb.ch/lukb/details/45088,321,333</v>
      </c>
      <c r="AX195" s="1605" t="str">
        <f>"https://www.marketscreener.com/mods_a/charts/TV/inc_dyna_graph.php?c="&amp;Valori[[#This Row],[MS_Code]]&amp;"&amp;style=TradingView.CANDLES&amp;interval=(null)&amp;mobile=(null)&amp;showAT=1"</f>
        <v>https://www.marketscreener.com/mods_a/charts/TV/inc_dyna_graph.php?c=29424441&amp;style=TradingView.CANDLES&amp;interval=(null)&amp;mobile=(null)&amp;showAT=1</v>
      </c>
      <c r="AY195" s="142"/>
      <c r="AZ195" s="142"/>
      <c r="BA195" s="142"/>
      <c r="BB195" s="142"/>
    </row>
    <row r="196" spans="1:54" ht="15" customHeight="1" x14ac:dyDescent="0.2">
      <c r="A196" s="142" t="s">
        <v>1420</v>
      </c>
      <c r="B196" s="142" t="str" cm="1">
        <f t="array" aca="1" ref="B196" ca="1">OFFSET(POrigin,MATCH(Valori[[#This Row],[smo_id]],Posizioni[smo_id],0),MATCH("LUKB_id",PIntestazioni,0)-1,1,1)</f>
        <v>42480705,361,333</v>
      </c>
      <c r="C196" s="1668" t="str">
        <f ca="1">HYPERLINK("https://boersenundmaerkte.lukb.ch/lukb/details/"&amp;Valori[[#This Row],[LUKB_id]],"è")</f>
        <v>è</v>
      </c>
      <c r="D196" s="142" t="str" cm="1">
        <f t="array" aca="1" ref="D196" ca="1">OFFSET(POrigin,MATCH(Valori[[#This Row],[LUKB_id]],PID,0),MATCH("SC_GROUPED",PIntestazioni,0)-1,1,1)</f>
        <v>ETF</v>
      </c>
      <c r="E196" s="413" t="str" cm="1">
        <f t="array" aca="1" ref="E196" ca="1">OFFSET(POrigin,MATCH(Valori[[#This Row],[LUKB_id]],PID,0),MATCH("isin",PIntestazioni,0)-1,1,1)</f>
        <v>IE00BFWFPX50</v>
      </c>
      <c r="F196" s="34" t="str" cm="1">
        <f t="array" aca="1" ref="F196" ca="1">OFFSET(POrigin,MATCH(Valori[[#This Row],[LUKB_id]],PID,0),MATCH("NSIN_CH",PLabel,0)-1,1,1)</f>
        <v>42480705</v>
      </c>
      <c r="G196" s="95" t="str" cm="1">
        <f t="array" aca="1" ref="G196" ca="1">IF(OFFSET(POrigin,MATCH(Valori[[#This Row],[LUKB_id]],PID,0),MATCH("INSTRUNIT",PLabel,0)-1,1,1)="Nominal","Pct","Unit")</f>
        <v>Unit</v>
      </c>
      <c r="H196" s="612">
        <f ca="1">MAX(OFFSET(POrigin,MATCH(Valori[[#This Row],[LUKB_id]],PID,0),MATCH("PRICINGAMT",PLabel,0)-1,1,1),1)</f>
        <v>1</v>
      </c>
      <c r="I196" s="615" t="str" cm="1">
        <f t="array" aca="1" ref="I196" ca="1">OFFSET(POrigin,MATCH(Valori[[#This Row],[LUKB_id]],PID,0),MATCH("M_NAME",PLabel,0)-1,1,1)</f>
        <v>SSgA SPDR ETFs Europe II PLC - State Street SPDR S&amp;P U.S. Communication Services Select Sector UCITS ETF</v>
      </c>
      <c r="J196" s="142" t="s">
        <v>462</v>
      </c>
      <c r="M196" s="142" t="str" cm="1">
        <f t="array" aca="1" ref="M1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Communication Services UCITS ETF (Acc)</v>
      </c>
      <c r="N196" s="1563">
        <f ca="1">COUNTIF('CHF M'!smo_id,Valori[[#This Row],[smo_id]])+COUNTIF('CHF MA'!smo_id,Valori[[#This Row],[smo_id]])+COUNTIF('EUR MB'!smo_id,Valori[[#This Row],[smo_id]])+COUNTIF('EUR M'!smo_id,Valori[[#This Row],[smo_id]])+COUNTIF(AGCO!smo_id,Valori[[#This Row],[smo_id]])</f>
        <v>4</v>
      </c>
      <c r="O196" s="1590" cm="1">
        <f t="array" aca="1" ref="O196" ca="1">SUM(IF('CHF M'!smo_id=Valori[[#This Row],[smo_id]],'CHF M'!Posizione))+SUM(IF('CHF MA'!smo_id=Valori[[#This Row],[smo_id]],'CHF MA'!Posizione))+SUM(IF('EUR MB'!smo_id=Valori[[#This Row],[smo_id]],'EUR MB'!Posizione))+SUM(IF('EUR M'!smo_id=Valori[[#This Row],[smo_id]],'EUR M'!Posizione))+SUM(IF(AGCO!smo_id=Valori[[#This Row],[smo_id]],AGCO!Posizione))</f>
        <v>3005</v>
      </c>
      <c r="P196" s="1661" t="str">
        <f ca="1">HYPERLINK(Valori[[#This Row],[P_Source]],"è")</f>
        <v>è</v>
      </c>
      <c r="Q196" s="1663" t="str">
        <f>HYPERLINK(Valori[[#This Row],[Info_W]],"i")</f>
        <v>i</v>
      </c>
      <c r="R196" s="1664" t="str">
        <f>HYPERLINK(Valori[[#This Row],[FN_W]],"")</f>
        <v></v>
      </c>
      <c r="S196" s="1665" t="str">
        <f>HYPERLINK(Valori[[#This Row],[MS_Link]],"")</f>
        <v></v>
      </c>
      <c r="T196" s="1665" t="str">
        <f>HYPERLINK(Valori[[#This Row],[C_source]],"")</f>
        <v></v>
      </c>
      <c r="U196" s="142" t="str" cm="1">
        <f t="array" aca="1" ref="U196" ca="1">OFFSET(POrigin,MATCH(Valori[[#This Row],[LUKB_id]],PID,0),MATCH("M_CUR",PLabel,0)-1,1,1)</f>
        <v>USD</v>
      </c>
      <c r="V196" s="1562">
        <f ca="1">(Valori[[#This Row],[Last]]+Valori[[#This Row],[Acc. Int]])/Valori[[#This Row],[Pr.Amt]]/IF(Valori[[#This Row],[P_Type]]="Pct",100,1)</f>
        <v>53.88</v>
      </c>
      <c r="W196" s="1591" cm="1">
        <f t="array" aca="1" ref="W196" ca="1">OFFSET(POrigin,MATCH(Valori[[#This Row],[LUKB_id]],PID,0),MATCH("NC2_PR",PLabel,0)-1,1,1)/100</f>
        <v>-1.4825796886583E-3</v>
      </c>
      <c r="X196" s="1592" cm="1">
        <f t="array" aca="1" ref="X196" ca="1">OFFSET(POrigin,MATCH(Valori[[#This Row],[LUKB_id]],PID,0),MATCH("LVAL",PLabel,0)-1,1,1)</f>
        <v>53.88</v>
      </c>
      <c r="Y196" s="1593" cm="1">
        <f t="array" aca="1" ref="Y196" ca="1">OFFSET(POrigin,MATCH(Valori[[#This Row],[LUKB_id]],PID,0),MATCH("LVAL:datetime",PLabel,0)-1,1,1)</f>
        <v>46084.732789351852</v>
      </c>
      <c r="Z196" s="1594" cm="1">
        <f t="array" aca="1" ref="Z196" ca="1">OFFSET(POrigin,MATCH(Valori[[#This Row],[LUKB_id]],PID,0),MATCH("BID:volume",PLabel,0)-1,1,1)</f>
        <v>80</v>
      </c>
      <c r="AA196" s="1595" cm="1">
        <f t="array" aca="1" ref="AA196" ca="1">OFFSET(POrigin,MATCH(Valori[[#This Row],[LUKB_id]],PID,0),MATCH("BID",PLabel,0)-1,1,1)</f>
        <v>49.72</v>
      </c>
      <c r="AB196" s="1595" cm="1">
        <f t="array" aca="1" ref="AB196" ca="1">OFFSET(POrigin,MATCH(Valori[[#This Row],[LUKB_id]],PID,0),MATCH("ASK",PLabel,0)-1,1,1)</f>
        <v>54.050000000000004</v>
      </c>
      <c r="AC196" s="1594" cm="1">
        <f t="array" aca="1" ref="AC196" ca="1">OFFSET(POrigin,MATCH(Valori[[#This Row],[LUKB_id]],PID,0),MATCH("ASK:volume",PLabel,0)-1,1,1)</f>
        <v>1292</v>
      </c>
      <c r="AD196" s="1596" cm="1">
        <f t="array" aca="1" ref="AD196" ca="1">OFFSET(POrigin,MATCH(Valori[[#This Row],[LUKB_id]],PID,0),MATCH("BID-ASK Spread %",PLabel,0)-1,1,1)</f>
        <v>5.6420613720763638E-2</v>
      </c>
      <c r="AE196" s="1597" t="str" cm="1">
        <f t="array" aca="1" ref="AE196" ca="1">IF(OFFSET(POrigin,MATCH(Valori[[#This Row],[LUKB_id]],PID,0),MATCH("MATURITY",PLabel,0)-1,1,1)&gt;0,OFFSET(POrigin,MATCH(Valori[[#This Row],[LUKB_id]],PID,0),MATCH("MATURITY",PLabel,0)-1,1,1),"")</f>
        <v/>
      </c>
      <c r="AF196" s="1598" cm="1">
        <f t="array" aca="1" ref="AF196" ca="1">OFFSET(POrigin,MATCH(Valori[[#This Row],[LUKB_id]],PID,0),MATCH("ACCINT",PLabel,0)-1,1,1)</f>
        <v>0</v>
      </c>
      <c r="AG196" s="1594" cm="1">
        <f t="array" aca="1" ref="AG196" ca="1">OFFSET(POrigin,MATCH(Valori[[#This Row],[LUKB_id]],PID,0),MATCH("DENOM",PLabel,0)-1,1,1)</f>
        <v>0</v>
      </c>
      <c r="AH196" s="1599" cm="1">
        <f t="array" aca="1" ref="AH196" ca="1">(OFFSET(POrigin,MATCH(Valori[[#This Row],[LUKB_id]],PID,0),MATCH("YIELD",PLabel,0)-1,1,1)+OFFSET(POrigin,MATCH(Valori[[#This Row],[LUKB_id]],PID,0),MATCH("YLDEQ",PLabel,0)-1,1,1))/100</f>
        <v>0</v>
      </c>
      <c r="AI196" s="1600">
        <f ca="1">OFFSET(POrigin,MATCH(Valori[[#This Row],[LUKB_id]],PID,0),MATCH("DIVIDEND",PLabel,0)-1,1,1)</f>
        <v>0</v>
      </c>
      <c r="AJ196" s="1601">
        <f ca="1">OFFSET(POrigin,MATCH(Valori[[#This Row],[LUKB_id]],PID,0),MATCH("DIVIDEND:datetime",PLabel,0)-1,1,1)</f>
        <v>0</v>
      </c>
      <c r="AK196" s="1602">
        <f ca="1">OFFSET(POrigin,MATCH(Valori[[#This Row],[LUKB_id]],PID,0),MATCH("INTEREST",PLabel,0)-1,1,1)</f>
        <v>0</v>
      </c>
      <c r="AL196" s="1603">
        <f ca="1">OFFSET(POrigin,MATCH(Valori[[#This Row],[LUKB_id]],PID,0),MATCH("4W_PERF_PR",PLabel,0)-1,1,1)/100</f>
        <v>-1.6788319999999999E-2</v>
      </c>
      <c r="AM196" s="1603">
        <f ca="1">OFFSET(POrigin,MATCH(Valori[[#This Row],[LUKB_id]],PID,0),MATCH("12W_PERF_PR",PLabel,0)-1,1,1)/100</f>
        <v>1.8140589999999998E-2</v>
      </c>
      <c r="AN196" s="1603">
        <f ca="1">OFFSET(POrigin,MATCH(Valori[[#This Row],[LUKB_id]],PID,0),MATCH("YTD_PERF_PR",PLabel,0)-1,1,1)/100</f>
        <v>9.7305389221558E-3</v>
      </c>
      <c r="AO196" s="1591"/>
      <c r="AP196" s="1591"/>
      <c r="AQ196" s="1591"/>
      <c r="AR196" s="1591"/>
      <c r="AS196" s="1890" t="s">
        <v>1421</v>
      </c>
      <c r="AT196" s="1890" t="s">
        <v>1422</v>
      </c>
      <c r="AU196" s="610" t="s">
        <v>1423</v>
      </c>
      <c r="AV196" s="1891" t="s">
        <v>1424</v>
      </c>
      <c r="AW196" s="1604" t="str">
        <f ca="1">"https://boersenundmaerkte.lukb.ch/lukb/details/"&amp;Valori[[#This Row],[LUKB_id]]</f>
        <v>https://boersenundmaerkte.lukb.ch/lukb/details/42480705,361,333</v>
      </c>
      <c r="AX196" s="1605"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196" s="142"/>
      <c r="AZ196" s="142"/>
      <c r="BA196" s="142"/>
      <c r="BB196" s="142"/>
    </row>
    <row r="197" spans="1:54" ht="15" customHeight="1" x14ac:dyDescent="0.2">
      <c r="A197" s="142" t="s">
        <v>1425</v>
      </c>
      <c r="B197" s="142" t="str" cm="1">
        <f t="array" aca="1" ref="B197" ca="1">OFFSET(POrigin,MATCH(Valori[[#This Row],[smo_id]],Posizioni[smo_id],0),MATCH("LUKB_id",PIntestazioni,0)-1,1,1)</f>
        <v>28805616,361,333</v>
      </c>
      <c r="C197" s="1668" t="str">
        <f ca="1">HYPERLINK("https://boersenundmaerkte.lukb.ch/lukb/details/"&amp;Valori[[#This Row],[LUKB_id]],"è")</f>
        <v>è</v>
      </c>
      <c r="D197" s="142" t="str" cm="1">
        <f t="array" aca="1" ref="D197" ca="1">OFFSET(POrigin,MATCH(Valori[[#This Row],[LUKB_id]],PID,0),MATCH("SC_GROUPED",PIntestazioni,0)-1,1,1)</f>
        <v>ETF</v>
      </c>
      <c r="E197" s="413" t="str" cm="1">
        <f t="array" aca="1" ref="E197" ca="1">OFFSET(POrigin,MATCH(Valori[[#This Row],[LUKB_id]],PID,0),MATCH("isin",PIntestazioni,0)-1,1,1)</f>
        <v>IE00BWBXM278</v>
      </c>
      <c r="F197" s="34" t="str" cm="1">
        <f t="array" aca="1" ref="F197" ca="1">OFFSET(POrigin,MATCH(Valori[[#This Row],[LUKB_id]],PID,0),MATCH("NSIN_CH",PLabel,0)-1,1,1)</f>
        <v>28805616</v>
      </c>
      <c r="G197" s="95" t="str" cm="1">
        <f t="array" aca="1" ref="G197" ca="1">IF(OFFSET(POrigin,MATCH(Valori[[#This Row],[LUKB_id]],PID,0),MATCH("INSTRUNIT",PLabel,0)-1,1,1)="Nominal","Pct","Unit")</f>
        <v>Unit</v>
      </c>
      <c r="H197" s="612">
        <f ca="1">MAX(OFFSET(POrigin,MATCH(Valori[[#This Row],[LUKB_id]],PID,0),MATCH("PRICINGAMT",PLabel,0)-1,1,1),1)</f>
        <v>1</v>
      </c>
      <c r="I197" s="615" t="str" cm="1">
        <f t="array" aca="1" ref="I197" ca="1">OFFSET(POrigin,MATCH(Valori[[#This Row],[LUKB_id]],PID,0),MATCH("M_NAME",PLabel,0)-1,1,1)</f>
        <v>SSgA SPDR ETFs Europe II PLC - State Street SPDR S&amp;P U.S. Consumer Discretionary Select Sector UCITS ETF</v>
      </c>
      <c r="J197" s="142" t="s">
        <v>459</v>
      </c>
      <c r="M197" s="142" t="str" cm="1">
        <f t="array" aca="1" ref="M1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Discretionary UCITS ETF (Acc)</v>
      </c>
      <c r="N197" s="1563">
        <f ca="1">COUNTIF('CHF M'!smo_id,Valori[[#This Row],[smo_id]])+COUNTIF('CHF MA'!smo_id,Valori[[#This Row],[smo_id]])+COUNTIF('EUR MB'!smo_id,Valori[[#This Row],[smo_id]])+COUNTIF('EUR M'!smo_id,Valori[[#This Row],[smo_id]])+COUNTIF(AGCO!smo_id,Valori[[#This Row],[smo_id]])</f>
        <v>0</v>
      </c>
      <c r="O197" s="1590" cm="1">
        <f t="array" aca="1" ref="O197" ca="1">SUM(IF('CHF M'!smo_id=Valori[[#This Row],[smo_id]],'CHF M'!Posizione))+SUM(IF('CHF MA'!smo_id=Valori[[#This Row],[smo_id]],'CHF MA'!Posizione))+SUM(IF('EUR MB'!smo_id=Valori[[#This Row],[smo_id]],'EUR MB'!Posizione))+SUM(IF('EUR M'!smo_id=Valori[[#This Row],[smo_id]],'EUR M'!Posizione))+SUM(IF(AGCO!smo_id=Valori[[#This Row],[smo_id]],AGCO!Posizione))</f>
        <v>0</v>
      </c>
      <c r="P197" s="1661" t="str">
        <f ca="1">HYPERLINK(Valori[[#This Row],[P_Source]],"è")</f>
        <v>è</v>
      </c>
      <c r="Q197" s="1663" t="str">
        <f>HYPERLINK(Valori[[#This Row],[Info_W]],"i")</f>
        <v>i</v>
      </c>
      <c r="R197" s="1664" t="str">
        <f>HYPERLINK(Valori[[#This Row],[FN_W]],"")</f>
        <v></v>
      </c>
      <c r="S197" s="1665" t="str">
        <f>HYPERLINK(Valori[[#This Row],[MS_Link]],"")</f>
        <v></v>
      </c>
      <c r="T197" s="1665" t="str">
        <f>HYPERLINK(Valori[[#This Row],[C_source]],"")</f>
        <v></v>
      </c>
      <c r="U197" s="142" t="str" cm="1">
        <f t="array" aca="1" ref="U197" ca="1">OFFSET(POrigin,MATCH(Valori[[#This Row],[LUKB_id]],PID,0),MATCH("M_CUR",PLabel,0)-1,1,1)</f>
        <v>USD</v>
      </c>
      <c r="V197" s="1562">
        <f ca="1">(Valori[[#This Row],[Last]]+Valori[[#This Row],[Acc. Int]])/Valori[[#This Row],[Pr.Amt]]/IF(Valori[[#This Row],[P_Type]]="Pct",100,1)</f>
        <v>68.510000000000005</v>
      </c>
      <c r="W197" s="1591" cm="1">
        <f t="array" aca="1" ref="W197" ca="1">OFFSET(POrigin,MATCH(Valori[[#This Row],[LUKB_id]],PID,0),MATCH("NC2_PR",PLabel,0)-1,1,1)/100</f>
        <v>-1.5590200445434299E-2</v>
      </c>
      <c r="X197" s="1592" cm="1">
        <f t="array" aca="1" ref="X197" ca="1">OFFSET(POrigin,MATCH(Valori[[#This Row],[LUKB_id]],PID,0),MATCH("LVAL",PLabel,0)-1,1,1)</f>
        <v>68.510000000000005</v>
      </c>
      <c r="Y197" s="1593" cm="1">
        <f t="array" aca="1" ref="Y197" ca="1">OFFSET(POrigin,MATCH(Valori[[#This Row],[LUKB_id]],PID,0),MATCH("LVAL:datetime",PLabel,0)-1,1,1)</f>
        <v>46084.732974537037</v>
      </c>
      <c r="Z197" s="1594" cm="1">
        <f t="array" aca="1" ref="Z197" ca="1">OFFSET(POrigin,MATCH(Valori[[#This Row],[LUKB_id]],PID,0),MATCH("BID:volume",PLabel,0)-1,1,1)</f>
        <v>8944</v>
      </c>
      <c r="AA197" s="1595" cm="1">
        <f t="array" aca="1" ref="AA197" ca="1">OFFSET(POrigin,MATCH(Valori[[#This Row],[LUKB_id]],PID,0),MATCH("BID",PLabel,0)-1,1,1)</f>
        <v>67.827500000000001</v>
      </c>
      <c r="AB197" s="1595" cm="1">
        <f t="array" aca="1" ref="AB197" ca="1">OFFSET(POrigin,MATCH(Valori[[#This Row],[LUKB_id]],PID,0),MATCH("ASK",PLabel,0)-1,1,1)</f>
        <v>68.975000000000009</v>
      </c>
      <c r="AC197" s="1594" cm="1">
        <f t="array" aca="1" ref="AC197" ca="1">OFFSET(POrigin,MATCH(Valori[[#This Row],[LUKB_id]],PID,0),MATCH("ASK:volume",PLabel,0)-1,1,1)</f>
        <v>8944</v>
      </c>
      <c r="AD197" s="1596" cm="1">
        <f t="array" aca="1" ref="AD197" ca="1">OFFSET(POrigin,MATCH(Valori[[#This Row],[LUKB_id]],PID,0),MATCH("BID-ASK Spread %",PLabel,0)-1,1,1)</f>
        <v>1.1215364316082764E-2</v>
      </c>
      <c r="AE197" s="1597" t="str" cm="1">
        <f t="array" aca="1" ref="AE197" ca="1">IF(OFFSET(POrigin,MATCH(Valori[[#This Row],[LUKB_id]],PID,0),MATCH("MATURITY",PLabel,0)-1,1,1)&gt;0,OFFSET(POrigin,MATCH(Valori[[#This Row],[LUKB_id]],PID,0),MATCH("MATURITY",PLabel,0)-1,1,1),"")</f>
        <v/>
      </c>
      <c r="AF197" s="1598" cm="1">
        <f t="array" aca="1" ref="AF197" ca="1">OFFSET(POrigin,MATCH(Valori[[#This Row],[LUKB_id]],PID,0),MATCH("ACCINT",PLabel,0)-1,1,1)</f>
        <v>0</v>
      </c>
      <c r="AG197" s="1594" cm="1">
        <f t="array" aca="1" ref="AG197" ca="1">OFFSET(POrigin,MATCH(Valori[[#This Row],[LUKB_id]],PID,0),MATCH("DENOM",PLabel,0)-1,1,1)</f>
        <v>0</v>
      </c>
      <c r="AH197" s="1599" cm="1">
        <f t="array" aca="1" ref="AH197" ca="1">(OFFSET(POrigin,MATCH(Valori[[#This Row],[LUKB_id]],PID,0),MATCH("YIELD",PLabel,0)-1,1,1)+OFFSET(POrigin,MATCH(Valori[[#This Row],[LUKB_id]],PID,0),MATCH("YLDEQ",PLabel,0)-1,1,1))/100</f>
        <v>0</v>
      </c>
      <c r="AI197" s="1600">
        <f ca="1">OFFSET(POrigin,MATCH(Valori[[#This Row],[LUKB_id]],PID,0),MATCH("DIVIDEND",PLabel,0)-1,1,1)</f>
        <v>0</v>
      </c>
      <c r="AJ197" s="1601">
        <f ca="1">OFFSET(POrigin,MATCH(Valori[[#This Row],[LUKB_id]],PID,0),MATCH("DIVIDEND:datetime",PLabel,0)-1,1,1)</f>
        <v>0</v>
      </c>
      <c r="AK197" s="1602">
        <f ca="1">OFFSET(POrigin,MATCH(Valori[[#This Row],[LUKB_id]],PID,0),MATCH("INTEREST",PLabel,0)-1,1,1)</f>
        <v>0</v>
      </c>
      <c r="AL197" s="1603">
        <f ca="1">OFFSET(POrigin,MATCH(Valori[[#This Row],[LUKB_id]],PID,0),MATCH("4W_PERF_PR",PLabel,0)-1,1,1)/100</f>
        <v>-8.6320140000000004E-2</v>
      </c>
      <c r="AM197" s="1603">
        <f ca="1">OFFSET(POrigin,MATCH(Valori[[#This Row],[LUKB_id]],PID,0),MATCH("12W_PERF_PR",PLabel,0)-1,1,1)/100</f>
        <v>-4.3623929999999998E-2</v>
      </c>
      <c r="AN197" s="1603">
        <f ca="1">OFFSET(POrigin,MATCH(Valori[[#This Row],[LUKB_id]],PID,0),MATCH("YTD_PERF_PR",PLabel,0)-1,1,1)/100</f>
        <v>-5.0772325843079898E-2</v>
      </c>
      <c r="AO197" s="1591"/>
      <c r="AP197" s="1591"/>
      <c r="AQ197" s="1591"/>
      <c r="AR197" s="1591"/>
      <c r="AS197" s="1890" t="s">
        <v>1426</v>
      </c>
      <c r="AT197" s="1890" t="s">
        <v>1427</v>
      </c>
      <c r="AU197" s="610" t="s">
        <v>1428</v>
      </c>
      <c r="AV197" s="1891" t="s">
        <v>1429</v>
      </c>
      <c r="AW197" s="1604" t="str">
        <f ca="1">"https://boersenundmaerkte.lukb.ch/lukb/details/"&amp;Valori[[#This Row],[LUKB_id]]</f>
        <v>https://boersenundmaerkte.lukb.ch/lukb/details/28805616,361,333</v>
      </c>
      <c r="AX197" s="1605" t="str">
        <f>"https://www.marketscreener.com/mods_a/charts/TV/inc_dyna_graph.php?c="&amp;Valori[[#This Row],[MS_Code]]&amp;"&amp;style=TradingView.CANDLES&amp;interval=(null)&amp;mobile=(null)&amp;showAT=1"</f>
        <v>https://www.marketscreener.com/mods_a/charts/TV/inc_dyna_graph.php?c=29424452&amp;style=TradingView.CANDLES&amp;interval=(null)&amp;mobile=(null)&amp;showAT=1</v>
      </c>
      <c r="AY197" s="142"/>
      <c r="AZ197" s="142"/>
      <c r="BA197" s="142"/>
      <c r="BB197" s="142"/>
    </row>
    <row r="198" spans="1:54" ht="15" customHeight="1" x14ac:dyDescent="0.2">
      <c r="A198" s="142" t="s">
        <v>1430</v>
      </c>
      <c r="B198" s="142" t="str" cm="1">
        <f t="array" aca="1" ref="B198" ca="1">OFFSET(POrigin,MATCH(Valori[[#This Row],[smo_id]],Posizioni[smo_id],0),MATCH("LUKB_id",PIntestazioni,0)-1,1,1)</f>
        <v>28805617,361,333</v>
      </c>
      <c r="C198" s="1668" t="str">
        <f ca="1">HYPERLINK("https://boersenundmaerkte.lukb.ch/lukb/details/"&amp;Valori[[#This Row],[LUKB_id]],"è")</f>
        <v>è</v>
      </c>
      <c r="D198" s="142" t="str" cm="1">
        <f t="array" aca="1" ref="D198" ca="1">OFFSET(POrigin,MATCH(Valori[[#This Row],[LUKB_id]],PID,0),MATCH("SC_GROUPED",PIntestazioni,0)-1,1,1)</f>
        <v>ETF</v>
      </c>
      <c r="E198" s="413" t="str" cm="1">
        <f t="array" aca="1" ref="E198" ca="1">OFFSET(POrigin,MATCH(Valori[[#This Row],[LUKB_id]],PID,0),MATCH("isin",PIntestazioni,0)-1,1,1)</f>
        <v>IE00BWBXM385</v>
      </c>
      <c r="F198" s="34" t="str" cm="1">
        <f t="array" aca="1" ref="F198" ca="1">OFFSET(POrigin,MATCH(Valori[[#This Row],[LUKB_id]],PID,0),MATCH("NSIN_CH",PLabel,0)-1,1,1)</f>
        <v>28805617</v>
      </c>
      <c r="G198" s="95" t="str" cm="1">
        <f t="array" aca="1" ref="G198" ca="1">IF(OFFSET(POrigin,MATCH(Valori[[#This Row],[LUKB_id]],PID,0),MATCH("INSTRUNIT",PLabel,0)-1,1,1)="Nominal","Pct","Unit")</f>
        <v>Unit</v>
      </c>
      <c r="H198" s="612">
        <f ca="1">MAX(OFFSET(POrigin,MATCH(Valori[[#This Row],[LUKB_id]],PID,0),MATCH("PRICINGAMT",PLabel,0)-1,1,1),1)</f>
        <v>1</v>
      </c>
      <c r="I198" s="615" t="str" cm="1">
        <f t="array" aca="1" ref="I198" ca="1">OFFSET(POrigin,MATCH(Valori[[#This Row],[LUKB_id]],PID,0),MATCH("M_NAME",PLabel,0)-1,1,1)</f>
        <v>SSgA SPDR ETFs Europe II PLC - State Street SPDR S&amp;P U.S. Consumer Staples Select Sector UCITS ETF</v>
      </c>
      <c r="J198" s="142" t="s">
        <v>1431</v>
      </c>
      <c r="M198" s="142" t="str" cm="1">
        <f t="array" aca="1" ref="M1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Staples UCITS ETF (Acc)</v>
      </c>
      <c r="N198" s="1563">
        <f ca="1">COUNTIF('CHF M'!smo_id,Valori[[#This Row],[smo_id]])+COUNTIF('CHF MA'!smo_id,Valori[[#This Row],[smo_id]])+COUNTIF('EUR MB'!smo_id,Valori[[#This Row],[smo_id]])+COUNTIF('EUR M'!smo_id,Valori[[#This Row],[smo_id]])+COUNTIF(AGCO!smo_id,Valori[[#This Row],[smo_id]])</f>
        <v>0</v>
      </c>
      <c r="O198" s="1590" cm="1">
        <f t="array" aca="1" ref="O198" ca="1">SUM(IF('CHF M'!smo_id=Valori[[#This Row],[smo_id]],'CHF M'!Posizione))+SUM(IF('CHF MA'!smo_id=Valori[[#This Row],[smo_id]],'CHF MA'!Posizione))+SUM(IF('EUR MB'!smo_id=Valori[[#This Row],[smo_id]],'EUR MB'!Posizione))+SUM(IF('EUR M'!smo_id=Valori[[#This Row],[smo_id]],'EUR M'!Posizione))+SUM(IF(AGCO!smo_id=Valori[[#This Row],[smo_id]],AGCO!Posizione))</f>
        <v>0</v>
      </c>
      <c r="P198" s="1661" t="str">
        <f ca="1">HYPERLINK(Valori[[#This Row],[P_Source]],"è")</f>
        <v>è</v>
      </c>
      <c r="Q198" s="1663" t="str">
        <f>HYPERLINK(Valori[[#This Row],[Info_W]],"i")</f>
        <v>i</v>
      </c>
      <c r="R198" s="1664" t="str">
        <f>HYPERLINK(Valori[[#This Row],[FN_W]],"")</f>
        <v></v>
      </c>
      <c r="S198" s="1665" t="str">
        <f>HYPERLINK(Valori[[#This Row],[MS_Link]],"")</f>
        <v></v>
      </c>
      <c r="T198" s="1665" t="str">
        <f>HYPERLINK(Valori[[#This Row],[C_source]],"")</f>
        <v></v>
      </c>
      <c r="U198" s="142" t="str" cm="1">
        <f t="array" aca="1" ref="U198" ca="1">OFFSET(POrigin,MATCH(Valori[[#This Row],[LUKB_id]],PID,0),MATCH("M_CUR",PLabel,0)-1,1,1)</f>
        <v>USD</v>
      </c>
      <c r="V198" s="1562">
        <f ca="1">(Valori[[#This Row],[Last]]+Valori[[#This Row],[Acc. Int]])/Valori[[#This Row],[Pr.Amt]]/IF(Valori[[#This Row],[P_Type]]="Pct",100,1)</f>
        <v>47.237500000000004</v>
      </c>
      <c r="W198" s="1591" cm="1">
        <f t="array" aca="1" ref="W198" ca="1">OFFSET(POrigin,MATCH(Valori[[#This Row],[LUKB_id]],PID,0),MATCH("NC2_PR",PLabel,0)-1,1,1)/100</f>
        <v>-1.8951194184838999E-2</v>
      </c>
      <c r="X198" s="1592" cm="1">
        <f t="array" aca="1" ref="X198" ca="1">OFFSET(POrigin,MATCH(Valori[[#This Row],[LUKB_id]],PID,0),MATCH("LVAL",PLabel,0)-1,1,1)</f>
        <v>47.237500000000004</v>
      </c>
      <c r="Y198" s="1593" cm="1">
        <f t="array" aca="1" ref="Y198" ca="1">OFFSET(POrigin,MATCH(Valori[[#This Row],[LUKB_id]],PID,0),MATCH("LVAL:datetime",PLabel,0)-1,1,1)</f>
        <v>46084.732847222222</v>
      </c>
      <c r="Z198" s="1594" cm="1">
        <f t="array" aca="1" ref="Z198" ca="1">OFFSET(POrigin,MATCH(Valori[[#This Row],[LUKB_id]],PID,0),MATCH("BID:volume",PLabel,0)-1,1,1)</f>
        <v>8800</v>
      </c>
      <c r="AA198" s="1595" cm="1">
        <f t="array" aca="1" ref="AA198" ca="1">OFFSET(POrigin,MATCH(Valori[[#This Row],[LUKB_id]],PID,0),MATCH("BID",PLabel,0)-1,1,1)</f>
        <v>34</v>
      </c>
      <c r="AB198" s="1595" cm="1">
        <f t="array" aca="1" ref="AB198" ca="1">OFFSET(POrigin,MATCH(Valori[[#This Row],[LUKB_id]],PID,0),MATCH("ASK",PLabel,0)-1,1,1)</f>
        <v>47.400000000000006</v>
      </c>
      <c r="AC198" s="1594" cm="1">
        <f t="array" aca="1" ref="AC198" ca="1">OFFSET(POrigin,MATCH(Valori[[#This Row],[LUKB_id]],PID,0),MATCH("ASK:volume",PLabel,0)-1,1,1)</f>
        <v>4869</v>
      </c>
      <c r="AD198" s="1596" cm="1">
        <f t="array" aca="1" ref="AD198" ca="1">OFFSET(POrigin,MATCH(Valori[[#This Row],[LUKB_id]],PID,0),MATCH("BID-ASK Spread %",PLabel,0)-1,1,1)</f>
        <v>0.23223570190641257</v>
      </c>
      <c r="AE198" s="1597" t="str" cm="1">
        <f t="array" aca="1" ref="AE198" ca="1">IF(OFFSET(POrigin,MATCH(Valori[[#This Row],[LUKB_id]],PID,0),MATCH("MATURITY",PLabel,0)-1,1,1)&gt;0,OFFSET(POrigin,MATCH(Valori[[#This Row],[LUKB_id]],PID,0),MATCH("MATURITY",PLabel,0)-1,1,1),"")</f>
        <v/>
      </c>
      <c r="AF198" s="1598" cm="1">
        <f t="array" aca="1" ref="AF198" ca="1">OFFSET(POrigin,MATCH(Valori[[#This Row],[LUKB_id]],PID,0),MATCH("ACCINT",PLabel,0)-1,1,1)</f>
        <v>0</v>
      </c>
      <c r="AG198" s="1594" cm="1">
        <f t="array" aca="1" ref="AG198" ca="1">OFFSET(POrigin,MATCH(Valori[[#This Row],[LUKB_id]],PID,0),MATCH("DENOM",PLabel,0)-1,1,1)</f>
        <v>0</v>
      </c>
      <c r="AH198" s="1599" cm="1">
        <f t="array" aca="1" ref="AH198" ca="1">(OFFSET(POrigin,MATCH(Valori[[#This Row],[LUKB_id]],PID,0),MATCH("YIELD",PLabel,0)-1,1,1)+OFFSET(POrigin,MATCH(Valori[[#This Row],[LUKB_id]],PID,0),MATCH("YLDEQ",PLabel,0)-1,1,1))/100</f>
        <v>0</v>
      </c>
      <c r="AI198" s="1600">
        <f ca="1">OFFSET(POrigin,MATCH(Valori[[#This Row],[LUKB_id]],PID,0),MATCH("DIVIDEND",PLabel,0)-1,1,1)</f>
        <v>0</v>
      </c>
      <c r="AJ198" s="1601">
        <f ca="1">OFFSET(POrigin,MATCH(Valori[[#This Row],[LUKB_id]],PID,0),MATCH("DIVIDEND:datetime",PLabel,0)-1,1,1)</f>
        <v>0</v>
      </c>
      <c r="AK198" s="1602">
        <f ca="1">OFFSET(POrigin,MATCH(Valori[[#This Row],[LUKB_id]],PID,0),MATCH("INTEREST",PLabel,0)-1,1,1)</f>
        <v>0</v>
      </c>
      <c r="AL198" s="1603">
        <f ca="1">OFFSET(POrigin,MATCH(Valori[[#This Row],[LUKB_id]],PID,0),MATCH("4W_PERF_PR",PLabel,0)-1,1,1)/100</f>
        <v>1.1509639999999998E-2</v>
      </c>
      <c r="AM198" s="1603">
        <f ca="1">OFFSET(POrigin,MATCH(Valori[[#This Row],[LUKB_id]],PID,0),MATCH("12W_PERF_PR",PLabel,0)-1,1,1)/100</f>
        <v>0.13089538000000001</v>
      </c>
      <c r="AN198" s="1603">
        <f ca="1">OFFSET(POrigin,MATCH(Valori[[#This Row],[LUKB_id]],PID,0),MATCH("YTD_PERF_PR",PLabel,0)-1,1,1)/100</f>
        <v>0.142755428978285</v>
      </c>
      <c r="AO198" s="1591"/>
      <c r="AP198" s="1591"/>
      <c r="AQ198" s="1591"/>
      <c r="AR198" s="1591"/>
      <c r="AS198" s="1890" t="s">
        <v>1432</v>
      </c>
      <c r="AT198" s="1890" t="s">
        <v>1433</v>
      </c>
      <c r="AU198" s="610" t="s">
        <v>1434</v>
      </c>
      <c r="AV198" s="1891" t="s">
        <v>1435</v>
      </c>
      <c r="AW198" s="1604" t="str">
        <f ca="1">"https://boersenundmaerkte.lukb.ch/lukb/details/"&amp;Valori[[#This Row],[LUKB_id]]</f>
        <v>https://boersenundmaerkte.lukb.ch/lukb/details/28805617,361,333</v>
      </c>
      <c r="AX198" s="1605"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198" s="142"/>
      <c r="AZ198" s="142"/>
      <c r="BA198" s="142"/>
      <c r="BB198" s="142"/>
    </row>
    <row r="199" spans="1:54" ht="15" customHeight="1" x14ac:dyDescent="0.2">
      <c r="A199" s="142" t="s">
        <v>1436</v>
      </c>
      <c r="B199" s="142" t="str" cm="1">
        <f t="array" aca="1" ref="B199" ca="1">OFFSET(POrigin,MATCH(Valori[[#This Row],[smo_id]],Posizioni[smo_id],0),MATCH("LUKB_id",PIntestazioni,0)-1,1,1)</f>
        <v>28805618,361,333</v>
      </c>
      <c r="C199" s="1668" t="str">
        <f ca="1">HYPERLINK("https://boersenundmaerkte.lukb.ch/lukb/details/"&amp;Valori[[#This Row],[LUKB_id]],"è")</f>
        <v>è</v>
      </c>
      <c r="D199" s="142" t="str" cm="1">
        <f t="array" aca="1" ref="D199" ca="1">OFFSET(POrigin,MATCH(Valori[[#This Row],[LUKB_id]],PID,0),MATCH("SC_GROUPED",PIntestazioni,0)-1,1,1)</f>
        <v>ETF</v>
      </c>
      <c r="E199" s="413" t="str" cm="1">
        <f t="array" aca="1" ref="E199" ca="1">OFFSET(POrigin,MATCH(Valori[[#This Row],[LUKB_id]],PID,0),MATCH("isin",PIntestazioni,0)-1,1,1)</f>
        <v>IE00BWBXM492</v>
      </c>
      <c r="F199" s="34" t="str" cm="1">
        <f t="array" aca="1" ref="F199" ca="1">OFFSET(POrigin,MATCH(Valori[[#This Row],[LUKB_id]],PID,0),MATCH("NSIN_CH",PLabel,0)-1,1,1)</f>
        <v>28805618</v>
      </c>
      <c r="G199" s="95" t="str" cm="1">
        <f t="array" aca="1" ref="G199" ca="1">IF(OFFSET(POrigin,MATCH(Valori[[#This Row],[LUKB_id]],PID,0),MATCH("INSTRUNIT",PLabel,0)-1,1,1)="Nominal","Pct","Unit")</f>
        <v>Unit</v>
      </c>
      <c r="H199" s="612">
        <f ca="1">MAX(OFFSET(POrigin,MATCH(Valori[[#This Row],[LUKB_id]],PID,0),MATCH("PRICINGAMT",PLabel,0)-1,1,1),1)</f>
        <v>1</v>
      </c>
      <c r="I199" s="615" t="str" cm="1">
        <f t="array" aca="1" ref="I199" ca="1">OFFSET(POrigin,MATCH(Valori[[#This Row],[LUKB_id]],PID,0),MATCH("M_NAME",PLabel,0)-1,1,1)</f>
        <v>SSgA SPDR ETFs Europe II PLC - State Street SPDR S&amp;P U.S. Energy Select Sector UCITS ETF</v>
      </c>
      <c r="J199" s="142" t="s">
        <v>1437</v>
      </c>
      <c r="M199" s="142" t="str" cm="1">
        <f t="array" aca="1" ref="M1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Energy UCITS ETF (Acc)</v>
      </c>
      <c r="N199" s="1563">
        <f ca="1">COUNTIF('CHF M'!smo_id,Valori[[#This Row],[smo_id]])+COUNTIF('CHF MA'!smo_id,Valori[[#This Row],[smo_id]])+COUNTIF('EUR MB'!smo_id,Valori[[#This Row],[smo_id]])+COUNTIF('EUR M'!smo_id,Valori[[#This Row],[smo_id]])+COUNTIF(AGCO!smo_id,Valori[[#This Row],[smo_id]])</f>
        <v>0</v>
      </c>
      <c r="O199" s="1590" cm="1">
        <f t="array" aca="1" ref="O199" ca="1">SUM(IF('CHF M'!smo_id=Valori[[#This Row],[smo_id]],'CHF M'!Posizione))+SUM(IF('CHF MA'!smo_id=Valori[[#This Row],[smo_id]],'CHF MA'!Posizione))+SUM(IF('EUR MB'!smo_id=Valori[[#This Row],[smo_id]],'EUR MB'!Posizione))+SUM(IF('EUR M'!smo_id=Valori[[#This Row],[smo_id]],'EUR M'!Posizione))+SUM(IF(AGCO!smo_id=Valori[[#This Row],[smo_id]],AGCO!Posizione))</f>
        <v>0</v>
      </c>
      <c r="P199" s="1661" t="str">
        <f ca="1">HYPERLINK(Valori[[#This Row],[P_Source]],"è")</f>
        <v>è</v>
      </c>
      <c r="Q199" s="1663" t="str">
        <f>HYPERLINK(Valori[[#This Row],[Info_W]],"i")</f>
        <v>i</v>
      </c>
      <c r="R199" s="1664" t="str">
        <f>HYPERLINK(Valori[[#This Row],[FN_W]],"")</f>
        <v></v>
      </c>
      <c r="S199" s="1665" t="str">
        <f>HYPERLINK(Valori[[#This Row],[MS_Link]],"")</f>
        <v></v>
      </c>
      <c r="T199" s="1665" t="str">
        <f>HYPERLINK(Valori[[#This Row],[C_source]],"")</f>
        <v></v>
      </c>
      <c r="U199" s="142" t="str" cm="1">
        <f t="array" aca="1" ref="U199" ca="1">OFFSET(POrigin,MATCH(Valori[[#This Row],[LUKB_id]],PID,0),MATCH("M_CUR",PLabel,0)-1,1,1)</f>
        <v>USD</v>
      </c>
      <c r="V199" s="1562">
        <f ca="1">(Valori[[#This Row],[Last]]+Valori[[#This Row],[Acc. Int]])/Valori[[#This Row],[Pr.Amt]]/IF(Valori[[#This Row],[P_Type]]="Pct",100,1)</f>
        <v>45.577500000000001</v>
      </c>
      <c r="W199" s="1591" cm="1">
        <f t="array" aca="1" ref="W199" ca="1">OFFSET(POrigin,MATCH(Valori[[#This Row],[LUKB_id]],PID,0),MATCH("NC2_PR",PLabel,0)-1,1,1)/100</f>
        <v>3.6886148425457001E-3</v>
      </c>
      <c r="X199" s="1592" cm="1">
        <f t="array" aca="1" ref="X199" ca="1">OFFSET(POrigin,MATCH(Valori[[#This Row],[LUKB_id]],PID,0),MATCH("LVAL",PLabel,0)-1,1,1)</f>
        <v>45.577500000000001</v>
      </c>
      <c r="Y199" s="1593" cm="1">
        <f t="array" aca="1" ref="Y199" ca="1">OFFSET(POrigin,MATCH(Valori[[#This Row],[LUKB_id]],PID,0),MATCH("LVAL:datetime",PLabel,0)-1,1,1)</f>
        <v>46084.732789351852</v>
      </c>
      <c r="Z199" s="1594" cm="1">
        <f t="array" aca="1" ref="Z199" ca="1">OFFSET(POrigin,MATCH(Valori[[#This Row],[LUKB_id]],PID,0),MATCH("BID:volume",PLabel,0)-1,1,1)</f>
        <v>500</v>
      </c>
      <c r="AA199" s="1595" cm="1">
        <f t="array" aca="1" ref="AA199" ca="1">OFFSET(POrigin,MATCH(Valori[[#This Row],[LUKB_id]],PID,0),MATCH("BID",PLabel,0)-1,1,1)</f>
        <v>45.050000000000004</v>
      </c>
      <c r="AB199" s="1595" cm="1">
        <f t="array" aca="1" ref="AB199" ca="1">OFFSET(POrigin,MATCH(Valori[[#This Row],[LUKB_id]],PID,0),MATCH("ASK",PLabel,0)-1,1,1)</f>
        <v>56</v>
      </c>
      <c r="AC199" s="1594" cm="1">
        <f t="array" aca="1" ref="AC199" ca="1">OFFSET(POrigin,MATCH(Valori[[#This Row],[LUKB_id]],PID,0),MATCH("ASK:volume",PLabel,0)-1,1,1)</f>
        <v>3</v>
      </c>
      <c r="AD199" s="1596" cm="1">
        <f t="array" aca="1" ref="AD199" ca="1">OFFSET(POrigin,MATCH(Valori[[#This Row],[LUKB_id]],PID,0),MATCH("BID-ASK Spread %",PLabel,0)-1,1,1)</f>
        <v>0.14989733059548246</v>
      </c>
      <c r="AE199" s="1597" t="str" cm="1">
        <f t="array" aca="1" ref="AE199" ca="1">IF(OFFSET(POrigin,MATCH(Valori[[#This Row],[LUKB_id]],PID,0),MATCH("MATURITY",PLabel,0)-1,1,1)&gt;0,OFFSET(POrigin,MATCH(Valori[[#This Row],[LUKB_id]],PID,0),MATCH("MATURITY",PLabel,0)-1,1,1),"")</f>
        <v/>
      </c>
      <c r="AF199" s="1598" cm="1">
        <f t="array" aca="1" ref="AF199" ca="1">OFFSET(POrigin,MATCH(Valori[[#This Row],[LUKB_id]],PID,0),MATCH("ACCINT",PLabel,0)-1,1,1)</f>
        <v>0</v>
      </c>
      <c r="AG199" s="1594" cm="1">
        <f t="array" aca="1" ref="AG199" ca="1">OFFSET(POrigin,MATCH(Valori[[#This Row],[LUKB_id]],PID,0),MATCH("DENOM",PLabel,0)-1,1,1)</f>
        <v>0</v>
      </c>
      <c r="AH199" s="1599" cm="1">
        <f t="array" aca="1" ref="AH199" ca="1">(OFFSET(POrigin,MATCH(Valori[[#This Row],[LUKB_id]],PID,0),MATCH("YIELD",PLabel,0)-1,1,1)+OFFSET(POrigin,MATCH(Valori[[#This Row],[LUKB_id]],PID,0),MATCH("YLDEQ",PLabel,0)-1,1,1))/100</f>
        <v>0</v>
      </c>
      <c r="AI199" s="1600">
        <f ca="1">OFFSET(POrigin,MATCH(Valori[[#This Row],[LUKB_id]],PID,0),MATCH("DIVIDEND",PLabel,0)-1,1,1)</f>
        <v>0</v>
      </c>
      <c r="AJ199" s="1601">
        <f ca="1">OFFSET(POrigin,MATCH(Valori[[#This Row],[LUKB_id]],PID,0),MATCH("DIVIDEND:datetime",PLabel,0)-1,1,1)</f>
        <v>0</v>
      </c>
      <c r="AK199" s="1602">
        <f ca="1">OFFSET(POrigin,MATCH(Valori[[#This Row],[LUKB_id]],PID,0),MATCH("INTEREST",PLabel,0)-1,1,1)</f>
        <v>0</v>
      </c>
      <c r="AL199" s="1603">
        <f ca="1">OFFSET(POrigin,MATCH(Valori[[#This Row],[LUKB_id]],PID,0),MATCH("4W_PERF_PR",PLabel,0)-1,1,1)/100</f>
        <v>0.11123979000000001</v>
      </c>
      <c r="AM199" s="1603">
        <f ca="1">OFFSET(POrigin,MATCH(Valori[[#This Row],[LUKB_id]],PID,0),MATCH("12W_PERF_PR",PLabel,0)-1,1,1)/100</f>
        <v>0.25230113999999998</v>
      </c>
      <c r="AN199" s="1603">
        <f ca="1">OFFSET(POrigin,MATCH(Valori[[#This Row],[LUKB_id]],PID,0),MATCH("YTD_PERF_PR",PLabel,0)-1,1,1)/100</f>
        <v>0.26077601166099901</v>
      </c>
      <c r="AO199" s="1591"/>
      <c r="AP199" s="1591"/>
      <c r="AQ199" s="1591"/>
      <c r="AR199" s="1591"/>
      <c r="AS199" s="1890" t="s">
        <v>1438</v>
      </c>
      <c r="AT199" s="1890" t="s">
        <v>1439</v>
      </c>
      <c r="AU199" s="610" t="s">
        <v>1440</v>
      </c>
      <c r="AV199" s="1891" t="s">
        <v>1441</v>
      </c>
      <c r="AW199" s="1604" t="str">
        <f ca="1">"https://boersenundmaerkte.lukb.ch/lukb/details/"&amp;Valori[[#This Row],[LUKB_id]]</f>
        <v>https://boersenundmaerkte.lukb.ch/lukb/details/28805618,361,333</v>
      </c>
      <c r="AX199" s="1605"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199" s="142"/>
      <c r="AZ199" s="142"/>
      <c r="BA199" s="142"/>
      <c r="BB199" s="142"/>
    </row>
    <row r="200" spans="1:54" ht="15" customHeight="1" x14ac:dyDescent="0.2">
      <c r="A200" s="142" t="s">
        <v>1442</v>
      </c>
      <c r="B200" s="142" t="str" cm="1">
        <f t="array" aca="1" ref="B200" ca="1">OFFSET(POrigin,MATCH(Valori[[#This Row],[smo_id]],Posizioni[smo_id],0),MATCH("LUKB_id",PIntestazioni,0)-1,1,1)</f>
        <v>28805621,361,333</v>
      </c>
      <c r="C200" s="1668" t="str">
        <f ca="1">HYPERLINK("https://boersenundmaerkte.lukb.ch/lukb/details/"&amp;Valori[[#This Row],[LUKB_id]],"è")</f>
        <v>è</v>
      </c>
      <c r="D200" s="142" t="str" cm="1">
        <f t="array" aca="1" ref="D200" ca="1">OFFSET(POrigin,MATCH(Valori[[#This Row],[LUKB_id]],PID,0),MATCH("SC_GROUPED",PIntestazioni,0)-1,1,1)</f>
        <v>ETF</v>
      </c>
      <c r="E200" s="413" t="str" cm="1">
        <f t="array" aca="1" ref="E200" ca="1">OFFSET(POrigin,MATCH(Valori[[#This Row],[LUKB_id]],PID,0),MATCH("isin",PIntestazioni,0)-1,1,1)</f>
        <v>IE00BWBXM500</v>
      </c>
      <c r="F200" s="34" t="str" cm="1">
        <f t="array" aca="1" ref="F200" ca="1">OFFSET(POrigin,MATCH(Valori[[#This Row],[LUKB_id]],PID,0),MATCH("NSIN_CH",PLabel,0)-1,1,1)</f>
        <v>28805621</v>
      </c>
      <c r="G200" s="95" t="str" cm="1">
        <f t="array" aca="1" ref="G200" ca="1">IF(OFFSET(POrigin,MATCH(Valori[[#This Row],[LUKB_id]],PID,0),MATCH("INSTRUNIT",PLabel,0)-1,1,1)="Nominal","Pct","Unit")</f>
        <v>Unit</v>
      </c>
      <c r="H200" s="612">
        <f ca="1">MAX(OFFSET(POrigin,MATCH(Valori[[#This Row],[LUKB_id]],PID,0),MATCH("PRICINGAMT",PLabel,0)-1,1,1),1)</f>
        <v>1</v>
      </c>
      <c r="I200" s="615" t="str" cm="1">
        <f t="array" aca="1" ref="I200" ca="1">OFFSET(POrigin,MATCH(Valori[[#This Row],[LUKB_id]],PID,0),MATCH("M_NAME",PLabel,0)-1,1,1)</f>
        <v>SSgA SPDR ETFs Europe II PLC - State Street SPDR S&amp;P U.S. Financials Select Sector UCITS ETF</v>
      </c>
      <c r="J200" s="142" t="s">
        <v>441</v>
      </c>
      <c r="M200" s="142" t="str" cm="1">
        <f t="array" aca="1" ref="M2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Financials UCITS ETF (Acc)</v>
      </c>
      <c r="N200" s="1563">
        <f ca="1">COUNTIF('CHF M'!smo_id,Valori[[#This Row],[smo_id]])+COUNTIF('CHF MA'!smo_id,Valori[[#This Row],[smo_id]])+COUNTIF('EUR MB'!smo_id,Valori[[#This Row],[smo_id]])+COUNTIF('EUR M'!smo_id,Valori[[#This Row],[smo_id]])+COUNTIF(AGCO!smo_id,Valori[[#This Row],[smo_id]])</f>
        <v>0</v>
      </c>
      <c r="O200" s="1590" cm="1">
        <f t="array" aca="1" ref="O200" ca="1">SUM(IF('CHF M'!smo_id=Valori[[#This Row],[smo_id]],'CHF M'!Posizione))+SUM(IF('CHF MA'!smo_id=Valori[[#This Row],[smo_id]],'CHF MA'!Posizione))+SUM(IF('EUR MB'!smo_id=Valori[[#This Row],[smo_id]],'EUR MB'!Posizione))+SUM(IF('EUR M'!smo_id=Valori[[#This Row],[smo_id]],'EUR M'!Posizione))+SUM(IF(AGCO!smo_id=Valori[[#This Row],[smo_id]],AGCO!Posizione))</f>
        <v>0</v>
      </c>
      <c r="P200" s="1661" t="str">
        <f ca="1">HYPERLINK(Valori[[#This Row],[P_Source]],"è")</f>
        <v>è</v>
      </c>
      <c r="Q200" s="1663" t="str">
        <f>HYPERLINK(Valori[[#This Row],[Info_W]],"i")</f>
        <v>i</v>
      </c>
      <c r="R200" s="1664" t="str">
        <f>HYPERLINK(Valori[[#This Row],[FN_W]],"")</f>
        <v></v>
      </c>
      <c r="S200" s="1665" t="str">
        <f>HYPERLINK(Valori[[#This Row],[MS_Link]],"")</f>
        <v></v>
      </c>
      <c r="T200" s="1665" t="str">
        <f>HYPERLINK(Valori[[#This Row],[C_source]],"")</f>
        <v></v>
      </c>
      <c r="U200" s="142" t="str" cm="1">
        <f t="array" aca="1" ref="U200" ca="1">OFFSET(POrigin,MATCH(Valori[[#This Row],[LUKB_id]],PID,0),MATCH("M_CUR",PLabel,0)-1,1,1)</f>
        <v>USD</v>
      </c>
      <c r="V200" s="1562">
        <f ca="1">(Valori[[#This Row],[Last]]+Valori[[#This Row],[Acc. Int]])/Valori[[#This Row],[Pr.Amt]]/IF(Valori[[#This Row],[P_Type]]="Pct",100,1)</f>
        <v>59.77</v>
      </c>
      <c r="W200" s="1591" cm="1">
        <f t="array" aca="1" ref="W200" ca="1">OFFSET(POrigin,MATCH(Valori[[#This Row],[LUKB_id]],PID,0),MATCH("NC2_PR",PLabel,0)-1,1,1)/100</f>
        <v>-9.4875088039110007E-3</v>
      </c>
      <c r="X200" s="1592" cm="1">
        <f t="array" aca="1" ref="X200" ca="1">OFFSET(POrigin,MATCH(Valori[[#This Row],[LUKB_id]],PID,0),MATCH("LVAL",PLabel,0)-1,1,1)</f>
        <v>59.77</v>
      </c>
      <c r="Y200" s="1593" cm="1">
        <f t="array" aca="1" ref="Y200" ca="1">OFFSET(POrigin,MATCH(Valori[[#This Row],[LUKB_id]],PID,0),MATCH("LVAL:datetime",PLabel,0)-1,1,1)</f>
        <v>46084.73265046296</v>
      </c>
      <c r="Z200" s="1594" cm="1">
        <f t="array" aca="1" ref="Z200" ca="1">OFFSET(POrigin,MATCH(Valori[[#This Row],[LUKB_id]],PID,0),MATCH("BID:volume",PLabel,0)-1,1,1)</f>
        <v>100</v>
      </c>
      <c r="AA200" s="1595" cm="1">
        <f t="array" aca="1" ref="AA200" ca="1">OFFSET(POrigin,MATCH(Valori[[#This Row],[LUKB_id]],PID,0),MATCH("BID",PLabel,0)-1,1,1)</f>
        <v>55</v>
      </c>
      <c r="AB200" s="1595" cm="1">
        <f t="array" aca="1" ref="AB200" ca="1">OFFSET(POrigin,MATCH(Valori[[#This Row],[LUKB_id]],PID,0),MATCH("ASK",PLabel,0)-1,1,1)</f>
        <v>60.8675</v>
      </c>
      <c r="AC200" s="1594" cm="1">
        <f t="array" aca="1" ref="AC200" ca="1">OFFSET(POrigin,MATCH(Valori[[#This Row],[LUKB_id]],PID,0),MATCH("ASK:volume",PLabel,0)-1,1,1)</f>
        <v>3897</v>
      </c>
      <c r="AD200" s="1596" cm="1">
        <f t="array" aca="1" ref="AD200" ca="1">OFFSET(POrigin,MATCH(Valori[[#This Row],[LUKB_id]],PID,0),MATCH("BID-ASK Spread %",PLabel,0)-1,1,1)</f>
        <v>6.8678947137401788E-2</v>
      </c>
      <c r="AE200" s="1597" t="str" cm="1">
        <f t="array" aca="1" ref="AE200" ca="1">IF(OFFSET(POrigin,MATCH(Valori[[#This Row],[LUKB_id]],PID,0),MATCH("MATURITY",PLabel,0)-1,1,1)&gt;0,OFFSET(POrigin,MATCH(Valori[[#This Row],[LUKB_id]],PID,0),MATCH("MATURITY",PLabel,0)-1,1,1),"")</f>
        <v/>
      </c>
      <c r="AF200" s="1598" cm="1">
        <f t="array" aca="1" ref="AF200" ca="1">OFFSET(POrigin,MATCH(Valori[[#This Row],[LUKB_id]],PID,0),MATCH("ACCINT",PLabel,0)-1,1,1)</f>
        <v>0</v>
      </c>
      <c r="AG200" s="1594" cm="1">
        <f t="array" aca="1" ref="AG200" ca="1">OFFSET(POrigin,MATCH(Valori[[#This Row],[LUKB_id]],PID,0),MATCH("DENOM",PLabel,0)-1,1,1)</f>
        <v>0</v>
      </c>
      <c r="AH200" s="1599" cm="1">
        <f t="array" aca="1" ref="AH200" ca="1">(OFFSET(POrigin,MATCH(Valori[[#This Row],[LUKB_id]],PID,0),MATCH("YIELD",PLabel,0)-1,1,1)+OFFSET(POrigin,MATCH(Valori[[#This Row],[LUKB_id]],PID,0),MATCH("YLDEQ",PLabel,0)-1,1,1))/100</f>
        <v>0</v>
      </c>
      <c r="AI200" s="1600">
        <f ca="1">OFFSET(POrigin,MATCH(Valori[[#This Row],[LUKB_id]],PID,0),MATCH("DIVIDEND",PLabel,0)-1,1,1)</f>
        <v>0</v>
      </c>
      <c r="AJ200" s="1601">
        <f ca="1">OFFSET(POrigin,MATCH(Valori[[#This Row],[LUKB_id]],PID,0),MATCH("DIVIDEND:datetime",PLabel,0)-1,1,1)</f>
        <v>0</v>
      </c>
      <c r="AK200" s="1602">
        <f ca="1">OFFSET(POrigin,MATCH(Valori[[#This Row],[LUKB_id]],PID,0),MATCH("INTEREST",PLabel,0)-1,1,1)</f>
        <v>0</v>
      </c>
      <c r="AL200" s="1603">
        <f ca="1">OFFSET(POrigin,MATCH(Valori[[#This Row],[LUKB_id]],PID,0),MATCH("4W_PERF_PR",PLabel,0)-1,1,1)/100</f>
        <v>-5.6287989999999996E-2</v>
      </c>
      <c r="AM200" s="1603">
        <f ca="1">OFFSET(POrigin,MATCH(Valori[[#This Row],[LUKB_id]],PID,0),MATCH("12W_PERF_PR",PLabel,0)-1,1,1)/100</f>
        <v>-5.4571339999999996E-2</v>
      </c>
      <c r="AN200" s="1603">
        <f ca="1">OFFSET(POrigin,MATCH(Valori[[#This Row],[LUKB_id]],PID,0),MATCH("YTD_PERF_PR",PLabel,0)-1,1,1)/100</f>
        <v>-7.2563447388138608E-2</v>
      </c>
      <c r="AO200" s="1591"/>
      <c r="AP200" s="1591"/>
      <c r="AQ200" s="1591"/>
      <c r="AR200" s="1591"/>
      <c r="AS200" s="1890" t="s">
        <v>1443</v>
      </c>
      <c r="AT200" s="1890" t="s">
        <v>1444</v>
      </c>
      <c r="AU200" s="610" t="s">
        <v>1445</v>
      </c>
      <c r="AV200" s="1891" t="s">
        <v>1446</v>
      </c>
      <c r="AW200" s="1604" t="str">
        <f ca="1">"https://boersenundmaerkte.lukb.ch/lukb/details/"&amp;Valori[[#This Row],[LUKB_id]]</f>
        <v>https://boersenundmaerkte.lukb.ch/lukb/details/28805621,361,333</v>
      </c>
      <c r="AX200" s="1605"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00" s="142"/>
      <c r="AZ200" s="142"/>
      <c r="BA200" s="142"/>
      <c r="BB200" s="142"/>
    </row>
    <row r="201" spans="1:54" ht="15" customHeight="1" x14ac:dyDescent="0.2">
      <c r="A201" s="142" t="s">
        <v>1447</v>
      </c>
      <c r="B201" s="142" t="str" cm="1">
        <f t="array" aca="1" ref="B201" ca="1">OFFSET(POrigin,MATCH(Valori[[#This Row],[smo_id]],Posizioni[smo_id],0),MATCH("LUKB_id",PIntestazioni,0)-1,1,1)</f>
        <v>28805622,361,333</v>
      </c>
      <c r="C201" s="1668" t="str">
        <f ca="1">HYPERLINK("https://boersenundmaerkte.lukb.ch/lukb/details/"&amp;Valori[[#This Row],[LUKB_id]],"è")</f>
        <v>è</v>
      </c>
      <c r="D201" s="142" t="str" cm="1">
        <f t="array" aca="1" ref="D201" ca="1">OFFSET(POrigin,MATCH(Valori[[#This Row],[LUKB_id]],PID,0),MATCH("SC_GROUPED",PIntestazioni,0)-1,1,1)</f>
        <v>ETF</v>
      </c>
      <c r="E201" s="413" t="str" cm="1">
        <f t="array" aca="1" ref="E201" ca="1">OFFSET(POrigin,MATCH(Valori[[#This Row],[LUKB_id]],PID,0),MATCH("isin",PIntestazioni,0)-1,1,1)</f>
        <v>IE00BWBXM617</v>
      </c>
      <c r="F201" s="34" t="str" cm="1">
        <f t="array" aca="1" ref="F201" ca="1">OFFSET(POrigin,MATCH(Valori[[#This Row],[LUKB_id]],PID,0),MATCH("NSIN_CH",PLabel,0)-1,1,1)</f>
        <v>28805622</v>
      </c>
      <c r="G201" s="95" t="str" cm="1">
        <f t="array" aca="1" ref="G201" ca="1">IF(OFFSET(POrigin,MATCH(Valori[[#This Row],[LUKB_id]],PID,0),MATCH("INSTRUNIT",PLabel,0)-1,1,1)="Nominal","Pct","Unit")</f>
        <v>Unit</v>
      </c>
      <c r="H201" s="612">
        <f ca="1">MAX(OFFSET(POrigin,MATCH(Valori[[#This Row],[LUKB_id]],PID,0),MATCH("PRICINGAMT",PLabel,0)-1,1,1),1)</f>
        <v>1</v>
      </c>
      <c r="I201" s="615" t="str" cm="1">
        <f t="array" aca="1" ref="I201" ca="1">OFFSET(POrigin,MATCH(Valori[[#This Row],[LUKB_id]],PID,0),MATCH("M_NAME",PLabel,0)-1,1,1)</f>
        <v>SSgA SPDR ETFs Europe II PLC - State Street SPDR S&amp;P U.S. Health Care Select Sector UCITS ETF</v>
      </c>
      <c r="J201" s="142" t="s">
        <v>444</v>
      </c>
      <c r="M201" s="142" t="str" cm="1">
        <f t="array" aca="1" ref="M2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Health Care UCITS ETF (Acc)</v>
      </c>
      <c r="N201" s="1563">
        <f ca="1">COUNTIF('CHF M'!smo_id,Valori[[#This Row],[smo_id]])+COUNTIF('CHF MA'!smo_id,Valori[[#This Row],[smo_id]])+COUNTIF('EUR MB'!smo_id,Valori[[#This Row],[smo_id]])+COUNTIF('EUR M'!smo_id,Valori[[#This Row],[smo_id]])+COUNTIF(AGCO!smo_id,Valori[[#This Row],[smo_id]])</f>
        <v>0</v>
      </c>
      <c r="O201" s="1590" cm="1">
        <f t="array" aca="1" ref="O201" ca="1">SUM(IF('CHF M'!smo_id=Valori[[#This Row],[smo_id]],'CHF M'!Posizione))+SUM(IF('CHF MA'!smo_id=Valori[[#This Row],[smo_id]],'CHF MA'!Posizione))+SUM(IF('EUR MB'!smo_id=Valori[[#This Row],[smo_id]],'EUR MB'!Posizione))+SUM(IF('EUR M'!smo_id=Valori[[#This Row],[smo_id]],'EUR M'!Posizione))+SUM(IF(AGCO!smo_id=Valori[[#This Row],[smo_id]],AGCO!Posizione))</f>
        <v>0</v>
      </c>
      <c r="P201" s="1661" t="str">
        <f ca="1">HYPERLINK(Valori[[#This Row],[P_Source]],"è")</f>
        <v>è</v>
      </c>
      <c r="Q201" s="1663" t="str">
        <f>HYPERLINK(Valori[[#This Row],[Info_W]],"i")</f>
        <v>i</v>
      </c>
      <c r="R201" s="1664" t="str">
        <f>HYPERLINK(Valori[[#This Row],[FN_W]],"")</f>
        <v></v>
      </c>
      <c r="S201" s="1665" t="str">
        <f>HYPERLINK(Valori[[#This Row],[MS_Link]],"")</f>
        <v></v>
      </c>
      <c r="T201" s="1665" t="str">
        <f>HYPERLINK(Valori[[#This Row],[C_source]],"")</f>
        <v></v>
      </c>
      <c r="U201" s="142" t="str" cm="1">
        <f t="array" aca="1" ref="U201" ca="1">OFFSET(POrigin,MATCH(Valori[[#This Row],[LUKB_id]],PID,0),MATCH("M_CUR",PLabel,0)-1,1,1)</f>
        <v>USD</v>
      </c>
      <c r="V201" s="1562">
        <f ca="1">(Valori[[#This Row],[Last]]+Valori[[#This Row],[Acc. Int]])/Valori[[#This Row],[Pr.Amt]]/IF(Valori[[#This Row],[P_Type]]="Pct",100,1)</f>
        <v>48.0075</v>
      </c>
      <c r="W201" s="1591" cm="1">
        <f t="array" aca="1" ref="W201" ca="1">OFFSET(POrigin,MATCH(Valori[[#This Row],[LUKB_id]],PID,0),MATCH("NC2_PR",PLabel,0)-1,1,1)/100</f>
        <v>-1.86027495272654E-2</v>
      </c>
      <c r="X201" s="1592" cm="1">
        <f t="array" aca="1" ref="X201" ca="1">OFFSET(POrigin,MATCH(Valori[[#This Row],[LUKB_id]],PID,0),MATCH("LVAL",PLabel,0)-1,1,1)</f>
        <v>48.0075</v>
      </c>
      <c r="Y201" s="1593" cm="1">
        <f t="array" aca="1" ref="Y201" ca="1">OFFSET(POrigin,MATCH(Valori[[#This Row],[LUKB_id]],PID,0),MATCH("LVAL:datetime",PLabel,0)-1,1,1)</f>
        <v>46084.732835648145</v>
      </c>
      <c r="Z201" s="1594" cm="1">
        <f t="array" aca="1" ref="Z201" ca="1">OFFSET(POrigin,MATCH(Valori[[#This Row],[LUKB_id]],PID,0),MATCH("BID:volume",PLabel,0)-1,1,1)</f>
        <v>85</v>
      </c>
      <c r="AA201" s="1595" cm="1">
        <f t="array" aca="1" ref="AA201" ca="1">OFFSET(POrigin,MATCH(Valori[[#This Row],[LUKB_id]],PID,0),MATCH("BID",PLabel,0)-1,1,1)</f>
        <v>46.8125</v>
      </c>
      <c r="AB201" s="1595" cm="1">
        <f t="array" aca="1" ref="AB201" ca="1">OFFSET(POrigin,MATCH(Valori[[#This Row],[LUKB_id]],PID,0),MATCH("ASK",PLabel,0)-1,1,1)</f>
        <v>49.370000000000005</v>
      </c>
      <c r="AC201" s="1594" cm="1">
        <f t="array" aca="1" ref="AC201" ca="1">OFFSET(POrigin,MATCH(Valori[[#This Row],[LUKB_id]],PID,0),MATCH("ASK:volume",PLabel,0)-1,1,1)</f>
        <v>48</v>
      </c>
      <c r="AD201" s="1596" cm="1">
        <f t="array" aca="1" ref="AD201" ca="1">OFFSET(POrigin,MATCH(Valori[[#This Row],[LUKB_id]],PID,0),MATCH("BID-ASK Spread %",PLabel,0)-1,1,1)</f>
        <v>3.5770481485366684E-2</v>
      </c>
      <c r="AE201" s="1597" t="str" cm="1">
        <f t="array" aca="1" ref="AE201" ca="1">IF(OFFSET(POrigin,MATCH(Valori[[#This Row],[LUKB_id]],PID,0),MATCH("MATURITY",PLabel,0)-1,1,1)&gt;0,OFFSET(POrigin,MATCH(Valori[[#This Row],[LUKB_id]],PID,0),MATCH("MATURITY",PLabel,0)-1,1,1),"")</f>
        <v/>
      </c>
      <c r="AF201" s="1598" cm="1">
        <f t="array" aca="1" ref="AF201" ca="1">OFFSET(POrigin,MATCH(Valori[[#This Row],[LUKB_id]],PID,0),MATCH("ACCINT",PLabel,0)-1,1,1)</f>
        <v>0</v>
      </c>
      <c r="AG201" s="1594" cm="1">
        <f t="array" aca="1" ref="AG201" ca="1">OFFSET(POrigin,MATCH(Valori[[#This Row],[LUKB_id]],PID,0),MATCH("DENOM",PLabel,0)-1,1,1)</f>
        <v>0</v>
      </c>
      <c r="AH201" s="1599" cm="1">
        <f t="array" aca="1" ref="AH201" ca="1">(OFFSET(POrigin,MATCH(Valori[[#This Row],[LUKB_id]],PID,0),MATCH("YIELD",PLabel,0)-1,1,1)+OFFSET(POrigin,MATCH(Valori[[#This Row],[LUKB_id]],PID,0),MATCH("YLDEQ",PLabel,0)-1,1,1))/100</f>
        <v>0</v>
      </c>
      <c r="AI201" s="1600">
        <f ca="1">OFFSET(POrigin,MATCH(Valori[[#This Row],[LUKB_id]],PID,0),MATCH("DIVIDEND",PLabel,0)-1,1,1)</f>
        <v>0</v>
      </c>
      <c r="AJ201" s="1601">
        <f ca="1">OFFSET(POrigin,MATCH(Valori[[#This Row],[LUKB_id]],PID,0),MATCH("DIVIDEND:datetime",PLabel,0)-1,1,1)</f>
        <v>0</v>
      </c>
      <c r="AK201" s="1602">
        <f ca="1">OFFSET(POrigin,MATCH(Valori[[#This Row],[LUKB_id]],PID,0),MATCH("INTEREST",PLabel,0)-1,1,1)</f>
        <v>0</v>
      </c>
      <c r="AL201" s="1603">
        <f ca="1">OFFSET(POrigin,MATCH(Valori[[#This Row],[LUKB_id]],PID,0),MATCH("4W_PERF_PR",PLabel,0)-1,1,1)/100</f>
        <v>-1.3521200000000001E-3</v>
      </c>
      <c r="AM201" s="1603">
        <f ca="1">OFFSET(POrigin,MATCH(Valori[[#This Row],[LUKB_id]],PID,0),MATCH("12W_PERF_PR",PLabel,0)-1,1,1)/100</f>
        <v>3.1365810000000001E-2</v>
      </c>
      <c r="AN201" s="1603">
        <f ca="1">OFFSET(POrigin,MATCH(Valori[[#This Row],[LUKB_id]],PID,0),MATCH("YTD_PERF_PR",PLabel,0)-1,1,1)/100</f>
        <v>1.68637131349877E-2</v>
      </c>
      <c r="AO201" s="1591"/>
      <c r="AP201" s="1591"/>
      <c r="AQ201" s="1591"/>
      <c r="AR201" s="1591"/>
      <c r="AS201" s="1890" t="s">
        <v>1448</v>
      </c>
      <c r="AT201" s="1890" t="s">
        <v>1449</v>
      </c>
      <c r="AU201" s="610" t="s">
        <v>1450</v>
      </c>
      <c r="AV201" s="1891" t="s">
        <v>1451</v>
      </c>
      <c r="AW201" s="1604" t="str">
        <f ca="1">"https://boersenundmaerkte.lukb.ch/lukb/details/"&amp;Valori[[#This Row],[LUKB_id]]</f>
        <v>https://boersenundmaerkte.lukb.ch/lukb/details/28805622,361,333</v>
      </c>
      <c r="AX201" s="1605"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01" s="142"/>
      <c r="AZ201" s="142"/>
      <c r="BA201" s="142"/>
      <c r="BB201" s="142"/>
    </row>
    <row r="202" spans="1:54" ht="15" customHeight="1" x14ac:dyDescent="0.2">
      <c r="A202" s="142" t="s">
        <v>1452</v>
      </c>
      <c r="B202" s="142" t="str" cm="1">
        <f t="array" aca="1" ref="B202" ca="1">OFFSET(POrigin,MATCH(Valori[[#This Row],[smo_id]],Posizioni[smo_id],0),MATCH("LUKB_id",PIntestazioni,0)-1,1,1)</f>
        <v>28805623,361,333</v>
      </c>
      <c r="C202" s="1668" t="str">
        <f ca="1">HYPERLINK("https://boersenundmaerkte.lukb.ch/lukb/details/"&amp;Valori[[#This Row],[LUKB_id]],"è")</f>
        <v>è</v>
      </c>
      <c r="D202" s="142" t="str" cm="1">
        <f t="array" aca="1" ref="D202" ca="1">OFFSET(POrigin,MATCH(Valori[[#This Row],[LUKB_id]],PID,0),MATCH("SC_GROUPED",PIntestazioni,0)-1,1,1)</f>
        <v>ETF</v>
      </c>
      <c r="E202" s="413" t="str" cm="1">
        <f t="array" aca="1" ref="E202" ca="1">OFFSET(POrigin,MATCH(Valori[[#This Row],[LUKB_id]],PID,0),MATCH("isin",PIntestazioni,0)-1,1,1)</f>
        <v>IE00BWBXM724</v>
      </c>
      <c r="F202" s="34" t="str" cm="1">
        <f t="array" aca="1" ref="F202" ca="1">OFFSET(POrigin,MATCH(Valori[[#This Row],[LUKB_id]],PID,0),MATCH("NSIN_CH",PLabel,0)-1,1,1)</f>
        <v>28805623</v>
      </c>
      <c r="G202" s="95" t="str" cm="1">
        <f t="array" aca="1" ref="G202" ca="1">IF(OFFSET(POrigin,MATCH(Valori[[#This Row],[LUKB_id]],PID,0),MATCH("INSTRUNIT",PLabel,0)-1,1,1)="Nominal","Pct","Unit")</f>
        <v>Unit</v>
      </c>
      <c r="H202" s="612">
        <f ca="1">MAX(OFFSET(POrigin,MATCH(Valori[[#This Row],[LUKB_id]],PID,0),MATCH("PRICINGAMT",PLabel,0)-1,1,1),1)</f>
        <v>1</v>
      </c>
      <c r="I202" s="615" t="str" cm="1">
        <f t="array" aca="1" ref="I202" ca="1">OFFSET(POrigin,MATCH(Valori[[#This Row],[LUKB_id]],PID,0),MATCH("M_NAME",PLabel,0)-1,1,1)</f>
        <v>SSgA SPDR ETFs Europe II PLC - State Street SPDR S&amp;P U.S. Industrials Select Sector UCITS ETF</v>
      </c>
      <c r="J202" s="142" t="s">
        <v>469</v>
      </c>
      <c r="M202" s="142" t="str" cm="1">
        <f t="array" aca="1" ref="M2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Industrials UCITS ETF (Acc)</v>
      </c>
      <c r="N202" s="1563">
        <f ca="1">COUNTIF('CHF M'!smo_id,Valori[[#This Row],[smo_id]])+COUNTIF('CHF MA'!smo_id,Valori[[#This Row],[smo_id]])+COUNTIF('EUR MB'!smo_id,Valori[[#This Row],[smo_id]])+COUNTIF('EUR M'!smo_id,Valori[[#This Row],[smo_id]])+COUNTIF(AGCO!smo_id,Valori[[#This Row],[smo_id]])</f>
        <v>0</v>
      </c>
      <c r="O202" s="1590" cm="1">
        <f t="array" aca="1" ref="O202" ca="1">SUM(IF('CHF M'!smo_id=Valori[[#This Row],[smo_id]],'CHF M'!Posizione))+SUM(IF('CHF MA'!smo_id=Valori[[#This Row],[smo_id]],'CHF MA'!Posizione))+SUM(IF('EUR MB'!smo_id=Valori[[#This Row],[smo_id]],'EUR MB'!Posizione))+SUM(IF('EUR M'!smo_id=Valori[[#This Row],[smo_id]],'EUR M'!Posizione))+SUM(IF(AGCO!smo_id=Valori[[#This Row],[smo_id]],AGCO!Posizione))</f>
        <v>0</v>
      </c>
      <c r="P202" s="1661" t="str">
        <f ca="1">HYPERLINK(Valori[[#This Row],[P_Source]],"è")</f>
        <v>è</v>
      </c>
      <c r="Q202" s="1663" t="str">
        <f>HYPERLINK(Valori[[#This Row],[Info_W]],"i")</f>
        <v>i</v>
      </c>
      <c r="R202" s="1664" t="str">
        <f>HYPERLINK(Valori[[#This Row],[FN_W]],"")</f>
        <v></v>
      </c>
      <c r="S202" s="1665" t="str">
        <f>HYPERLINK(Valori[[#This Row],[MS_Link]],"")</f>
        <v></v>
      </c>
      <c r="T202" s="1665" t="str">
        <f>HYPERLINK(Valori[[#This Row],[C_source]],"")</f>
        <v></v>
      </c>
      <c r="U202" s="142" t="str" cm="1">
        <f t="array" aca="1" ref="U202" ca="1">OFFSET(POrigin,MATCH(Valori[[#This Row],[LUKB_id]],PID,0),MATCH("M_CUR",PLabel,0)-1,1,1)</f>
        <v>USD</v>
      </c>
      <c r="V202" s="1562">
        <f ca="1">(Valori[[#This Row],[Last]]+Valori[[#This Row],[Acc. Int]])/Valori[[#This Row],[Pr.Amt]]/IF(Valori[[#This Row],[P_Type]]="Pct",100,1)</f>
        <v>75.725000000000009</v>
      </c>
      <c r="W202" s="1591" cm="1">
        <f t="array" aca="1" ref="W202" ca="1">OFFSET(POrigin,MATCH(Valori[[#This Row],[LUKB_id]],PID,0),MATCH("NC2_PR",PLabel,0)-1,1,1)/100</f>
        <v>-2.4320457796852799E-2</v>
      </c>
      <c r="X202" s="1592" cm="1">
        <f t="array" aca="1" ref="X202" ca="1">OFFSET(POrigin,MATCH(Valori[[#This Row],[LUKB_id]],PID,0),MATCH("LVAL",PLabel,0)-1,1,1)</f>
        <v>75.725000000000009</v>
      </c>
      <c r="Y202" s="1593" cm="1">
        <f t="array" aca="1" ref="Y202" ca="1">OFFSET(POrigin,MATCH(Valori[[#This Row],[LUKB_id]],PID,0),MATCH("LVAL:datetime",PLabel,0)-1,1,1)</f>
        <v>46084.732731481483</v>
      </c>
      <c r="Z202" s="1594" cm="1">
        <f t="array" aca="1" ref="Z202" ca="1">OFFSET(POrigin,MATCH(Valori[[#This Row],[LUKB_id]],PID,0),MATCH("BID:volume",PLabel,0)-1,1,1)</f>
        <v>10</v>
      </c>
      <c r="AA202" s="1595" cm="1">
        <f t="array" aca="1" ref="AA202" ca="1">OFFSET(POrigin,MATCH(Valori[[#This Row],[LUKB_id]],PID,0),MATCH("BID",PLabel,0)-1,1,1)</f>
        <v>69</v>
      </c>
      <c r="AB202" s="1595" cm="1">
        <f t="array" aca="1" ref="AB202" ca="1">OFFSET(POrigin,MATCH(Valori[[#This Row],[LUKB_id]],PID,0),MATCH("ASK",PLabel,0)-1,1,1)</f>
        <v>76.05</v>
      </c>
      <c r="AC202" s="1594" cm="1">
        <f t="array" aca="1" ref="AC202" ca="1">OFFSET(POrigin,MATCH(Valori[[#This Row],[LUKB_id]],PID,0),MATCH("ASK:volume",PLabel,0)-1,1,1)</f>
        <v>912</v>
      </c>
      <c r="AD202" s="1596" cm="1">
        <f t="array" aca="1" ref="AD202" ca="1">OFFSET(POrigin,MATCH(Valori[[#This Row],[LUKB_id]],PID,0),MATCH("BID-ASK Spread %",PLabel,0)-1,1,1)</f>
        <v>6.587245970567622E-2</v>
      </c>
      <c r="AE202" s="1597" t="str" cm="1">
        <f t="array" aca="1" ref="AE202" ca="1">IF(OFFSET(POrigin,MATCH(Valori[[#This Row],[LUKB_id]],PID,0),MATCH("MATURITY",PLabel,0)-1,1,1)&gt;0,OFFSET(POrigin,MATCH(Valori[[#This Row],[LUKB_id]],PID,0),MATCH("MATURITY",PLabel,0)-1,1,1),"")</f>
        <v/>
      </c>
      <c r="AF202" s="1598" cm="1">
        <f t="array" aca="1" ref="AF202" ca="1">OFFSET(POrigin,MATCH(Valori[[#This Row],[LUKB_id]],PID,0),MATCH("ACCINT",PLabel,0)-1,1,1)</f>
        <v>0</v>
      </c>
      <c r="AG202" s="1594" cm="1">
        <f t="array" aca="1" ref="AG202" ca="1">OFFSET(POrigin,MATCH(Valori[[#This Row],[LUKB_id]],PID,0),MATCH("DENOM",PLabel,0)-1,1,1)</f>
        <v>0</v>
      </c>
      <c r="AH202" s="1599" cm="1">
        <f t="array" aca="1" ref="AH202" ca="1">(OFFSET(POrigin,MATCH(Valori[[#This Row],[LUKB_id]],PID,0),MATCH("YIELD",PLabel,0)-1,1,1)+OFFSET(POrigin,MATCH(Valori[[#This Row],[LUKB_id]],PID,0),MATCH("YLDEQ",PLabel,0)-1,1,1))/100</f>
        <v>0</v>
      </c>
      <c r="AI202" s="1600">
        <f ca="1">OFFSET(POrigin,MATCH(Valori[[#This Row],[LUKB_id]],PID,0),MATCH("DIVIDEND",PLabel,0)-1,1,1)</f>
        <v>0</v>
      </c>
      <c r="AJ202" s="1601">
        <f ca="1">OFFSET(POrigin,MATCH(Valori[[#This Row],[LUKB_id]],PID,0),MATCH("DIVIDEND:datetime",PLabel,0)-1,1,1)</f>
        <v>0</v>
      </c>
      <c r="AK202" s="1602">
        <f ca="1">OFFSET(POrigin,MATCH(Valori[[#This Row],[LUKB_id]],PID,0),MATCH("INTEREST",PLabel,0)-1,1,1)</f>
        <v>0</v>
      </c>
      <c r="AL202" s="1603">
        <f ca="1">OFFSET(POrigin,MATCH(Valori[[#This Row],[LUKB_id]],PID,0),MATCH("4W_PERF_PR",PLabel,0)-1,1,1)/100</f>
        <v>2.458345E-2</v>
      </c>
      <c r="AM202" s="1603">
        <f ca="1">OFFSET(POrigin,MATCH(Valori[[#This Row],[LUKB_id]],PID,0),MATCH("12W_PERF_PR",PLabel,0)-1,1,1)/100</f>
        <v>0.12187826999999998</v>
      </c>
      <c r="AN202" s="1603">
        <f ca="1">OFFSET(POrigin,MATCH(Valori[[#This Row],[LUKB_id]],PID,0),MATCH("YTD_PERF_PR",PLabel,0)-1,1,1)/100</f>
        <v>0.13582982495014401</v>
      </c>
      <c r="AO202" s="1591"/>
      <c r="AP202" s="1591"/>
      <c r="AQ202" s="1591"/>
      <c r="AR202" s="1591"/>
      <c r="AS202" s="1890" t="s">
        <v>1453</v>
      </c>
      <c r="AT202" s="1890" t="s">
        <v>1454</v>
      </c>
      <c r="AU202" s="610" t="s">
        <v>1455</v>
      </c>
      <c r="AV202" s="1891" t="s">
        <v>1456</v>
      </c>
      <c r="AW202" s="1604" t="str">
        <f ca="1">"https://boersenundmaerkte.lukb.ch/lukb/details/"&amp;Valori[[#This Row],[LUKB_id]]</f>
        <v>https://boersenundmaerkte.lukb.ch/lukb/details/28805623,361,333</v>
      </c>
      <c r="AX202" s="1605"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02" s="142"/>
      <c r="AZ202" s="142"/>
      <c r="BA202" s="142"/>
      <c r="BB202" s="142"/>
    </row>
    <row r="203" spans="1:54" ht="15" customHeight="1" x14ac:dyDescent="0.2">
      <c r="A203" s="142" t="s">
        <v>1457</v>
      </c>
      <c r="B203" s="142" t="str" cm="1">
        <f t="array" aca="1" ref="B203" ca="1">OFFSET(POrigin,MATCH(Valori[[#This Row],[smo_id]],Posizioni[smo_id],0),MATCH("LUKB_id",PIntestazioni,0)-1,1,1)</f>
        <v>28805648,361,333</v>
      </c>
      <c r="C203" s="1668" t="str">
        <f ca="1">HYPERLINK("https://boersenundmaerkte.lukb.ch/lukb/details/"&amp;Valori[[#This Row],[LUKB_id]],"è")</f>
        <v>è</v>
      </c>
      <c r="D203" s="142" t="str" cm="1">
        <f t="array" aca="1" ref="D203" ca="1">OFFSET(POrigin,MATCH(Valori[[#This Row],[LUKB_id]],PID,0),MATCH("SC_GROUPED",PIntestazioni,0)-1,1,1)</f>
        <v>ETF</v>
      </c>
      <c r="E203" s="413" t="str" cm="1">
        <f t="array" aca="1" ref="E203" ca="1">OFFSET(POrigin,MATCH(Valori[[#This Row],[LUKB_id]],PID,0),MATCH("isin",PIntestazioni,0)-1,1,1)</f>
        <v>IE00BWBXM831</v>
      </c>
      <c r="F203" s="34" t="str" cm="1">
        <f t="array" aca="1" ref="F203" ca="1">OFFSET(POrigin,MATCH(Valori[[#This Row],[LUKB_id]],PID,0),MATCH("NSIN_CH",PLabel,0)-1,1,1)</f>
        <v>28805648</v>
      </c>
      <c r="G203" s="95" t="str" cm="1">
        <f t="array" aca="1" ref="G203" ca="1">IF(OFFSET(POrigin,MATCH(Valori[[#This Row],[LUKB_id]],PID,0),MATCH("INSTRUNIT",PLabel,0)-1,1,1)="Nominal","Pct","Unit")</f>
        <v>Unit</v>
      </c>
      <c r="H203" s="612">
        <f ca="1">MAX(OFFSET(POrigin,MATCH(Valori[[#This Row],[LUKB_id]],PID,0),MATCH("PRICINGAMT",PLabel,0)-1,1,1),1)</f>
        <v>1</v>
      </c>
      <c r="I203" s="615" t="str" cm="1">
        <f t="array" aca="1" ref="I203" ca="1">OFFSET(POrigin,MATCH(Valori[[#This Row],[LUKB_id]],PID,0),MATCH("M_NAME",PLabel,0)-1,1,1)</f>
        <v>SSgA SPDR ETFs Europe II PLC - State Street SPDR S&amp;P U.S. Materials Select Sector UCITS ETF</v>
      </c>
      <c r="J203" s="142" t="s">
        <v>1458</v>
      </c>
      <c r="M203" s="142" t="str" cm="1">
        <f t="array" aca="1" ref="M2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Materials UCITS ETF (Acc)</v>
      </c>
      <c r="N203" s="1563">
        <f ca="1">COUNTIF('CHF M'!smo_id,Valori[[#This Row],[smo_id]])+COUNTIF('CHF MA'!smo_id,Valori[[#This Row],[smo_id]])+COUNTIF('EUR MB'!smo_id,Valori[[#This Row],[smo_id]])+COUNTIF('EUR M'!smo_id,Valori[[#This Row],[smo_id]])+COUNTIF(AGCO!smo_id,Valori[[#This Row],[smo_id]])</f>
        <v>0</v>
      </c>
      <c r="O203" s="1590" cm="1">
        <f t="array" aca="1" ref="O203" ca="1">SUM(IF('CHF M'!smo_id=Valori[[#This Row],[smo_id]],'CHF M'!Posizione))+SUM(IF('CHF MA'!smo_id=Valori[[#This Row],[smo_id]],'CHF MA'!Posizione))+SUM(IF('EUR MB'!smo_id=Valori[[#This Row],[smo_id]],'EUR MB'!Posizione))+SUM(IF('EUR M'!smo_id=Valori[[#This Row],[smo_id]],'EUR M'!Posizione))+SUM(IF(AGCO!smo_id=Valori[[#This Row],[smo_id]],AGCO!Posizione))</f>
        <v>0</v>
      </c>
      <c r="P203" s="1661" t="str">
        <f ca="1">HYPERLINK(Valori[[#This Row],[P_Source]],"è")</f>
        <v>è</v>
      </c>
      <c r="Q203" s="1663" t="str">
        <f>HYPERLINK(Valori[[#This Row],[Info_W]],"i")</f>
        <v>i</v>
      </c>
      <c r="R203" s="1664" t="str">
        <f>HYPERLINK(Valori[[#This Row],[FN_W]],"")</f>
        <v></v>
      </c>
      <c r="S203" s="1665" t="str">
        <f>HYPERLINK(Valori[[#This Row],[MS_Link]],"")</f>
        <v></v>
      </c>
      <c r="T203" s="1665" t="str">
        <f>HYPERLINK(Valori[[#This Row],[C_source]],"")</f>
        <v></v>
      </c>
      <c r="U203" s="142" t="str" cm="1">
        <f t="array" aca="1" ref="U203" ca="1">OFFSET(POrigin,MATCH(Valori[[#This Row],[LUKB_id]],PID,0),MATCH("M_CUR",PLabel,0)-1,1,1)</f>
        <v>USD</v>
      </c>
      <c r="V203" s="1562">
        <f ca="1">(Valori[[#This Row],[Last]]+Valori[[#This Row],[Acc. Int]])/Valori[[#This Row],[Pr.Amt]]/IF(Valori[[#This Row],[P_Type]]="Pct",100,1)</f>
        <v>51.36</v>
      </c>
      <c r="W203" s="1591" cm="1">
        <f t="array" aca="1" ref="W203" ca="1">OFFSET(POrigin,MATCH(Valori[[#This Row],[LUKB_id]],PID,0),MATCH("NC2_PR",PLabel,0)-1,1,1)/100</f>
        <v>-3.5505193578848002E-2</v>
      </c>
      <c r="X203" s="1592" cm="1">
        <f t="array" aca="1" ref="X203" ca="1">OFFSET(POrigin,MATCH(Valori[[#This Row],[LUKB_id]],PID,0),MATCH("LVAL",PLabel,0)-1,1,1)</f>
        <v>51.36</v>
      </c>
      <c r="Y203" s="1593" cm="1">
        <f t="array" aca="1" ref="Y203" ca="1">OFFSET(POrigin,MATCH(Valori[[#This Row],[LUKB_id]],PID,0),MATCH("LVAL:datetime",PLabel,0)-1,1,1)</f>
        <v>46084.732673611114</v>
      </c>
      <c r="Z203" s="1594" cm="1">
        <f t="array" aca="1" ref="Z203" ca="1">OFFSET(POrigin,MATCH(Valori[[#This Row],[LUKB_id]],PID,0),MATCH("BID:volume",PLabel,0)-1,1,1)</f>
        <v>222</v>
      </c>
      <c r="AA203" s="1595" cm="1">
        <f t="array" aca="1" ref="AA203" ca="1">OFFSET(POrigin,MATCH(Valori[[#This Row],[LUKB_id]],PID,0),MATCH("BID",PLabel,0)-1,1,1)</f>
        <v>51.22</v>
      </c>
      <c r="AB203" s="1595" cm="1">
        <f t="array" aca="1" ref="AB203" ca="1">OFFSET(POrigin,MATCH(Valori[[#This Row],[LUKB_id]],PID,0),MATCH("ASK",PLabel,0)-1,1,1)</f>
        <v>51.61</v>
      </c>
      <c r="AC203" s="1594" cm="1">
        <f t="array" aca="1" ref="AC203" ca="1">OFFSET(POrigin,MATCH(Valori[[#This Row],[LUKB_id]],PID,0),MATCH("ASK:volume",PLabel,0)-1,1,1)</f>
        <v>222</v>
      </c>
      <c r="AD203" s="1596" cm="1">
        <f t="array" aca="1" ref="AD203" ca="1">OFFSET(POrigin,MATCH(Valori[[#This Row],[LUKB_id]],PID,0),MATCH("BID-ASK Spread %",PLabel,0)-1,1,1)</f>
        <v>5.0632911392405134E-3</v>
      </c>
      <c r="AE203" s="1597" t="str" cm="1">
        <f t="array" aca="1" ref="AE203" ca="1">IF(OFFSET(POrigin,MATCH(Valori[[#This Row],[LUKB_id]],PID,0),MATCH("MATURITY",PLabel,0)-1,1,1)&gt;0,OFFSET(POrigin,MATCH(Valori[[#This Row],[LUKB_id]],PID,0),MATCH("MATURITY",PLabel,0)-1,1,1),"")</f>
        <v/>
      </c>
      <c r="AF203" s="1598" cm="1">
        <f t="array" aca="1" ref="AF203" ca="1">OFFSET(POrigin,MATCH(Valori[[#This Row],[LUKB_id]],PID,0),MATCH("ACCINT",PLabel,0)-1,1,1)</f>
        <v>0</v>
      </c>
      <c r="AG203" s="1594" cm="1">
        <f t="array" aca="1" ref="AG203" ca="1">OFFSET(POrigin,MATCH(Valori[[#This Row],[LUKB_id]],PID,0),MATCH("DENOM",PLabel,0)-1,1,1)</f>
        <v>0</v>
      </c>
      <c r="AH203" s="1599" cm="1">
        <f t="array" aca="1" ref="AH203" ca="1">(OFFSET(POrigin,MATCH(Valori[[#This Row],[LUKB_id]],PID,0),MATCH("YIELD",PLabel,0)-1,1,1)+OFFSET(POrigin,MATCH(Valori[[#This Row],[LUKB_id]],PID,0),MATCH("YLDEQ",PLabel,0)-1,1,1))/100</f>
        <v>0</v>
      </c>
      <c r="AI203" s="1600">
        <f ca="1">OFFSET(POrigin,MATCH(Valori[[#This Row],[LUKB_id]],PID,0),MATCH("DIVIDEND",PLabel,0)-1,1,1)</f>
        <v>0</v>
      </c>
      <c r="AJ203" s="1601">
        <f ca="1">OFFSET(POrigin,MATCH(Valori[[#This Row],[LUKB_id]],PID,0),MATCH("DIVIDEND:datetime",PLabel,0)-1,1,1)</f>
        <v>0</v>
      </c>
      <c r="AK203" s="1602">
        <f ca="1">OFFSET(POrigin,MATCH(Valori[[#This Row],[LUKB_id]],PID,0),MATCH("INTEREST",PLabel,0)-1,1,1)</f>
        <v>0</v>
      </c>
      <c r="AL203" s="1603">
        <f ca="1">OFFSET(POrigin,MATCH(Valori[[#This Row],[LUKB_id]],PID,0),MATCH("4W_PERF_PR",PLabel,0)-1,1,1)/100</f>
        <v>-1.17348E-3</v>
      </c>
      <c r="AM203" s="1603">
        <f ca="1">OFFSET(POrigin,MATCH(Valori[[#This Row],[LUKB_id]],PID,0),MATCH("12W_PERF_PR",PLabel,0)-1,1,1)/100</f>
        <v>0.17456302000000001</v>
      </c>
      <c r="AN203" s="1603">
        <f ca="1">OFFSET(POrigin,MATCH(Valori[[#This Row],[LUKB_id]],PID,0),MATCH("YTD_PERF_PR",PLabel,0)-1,1,1)/100</f>
        <v>0.15813648293963301</v>
      </c>
      <c r="AO203" s="1591"/>
      <c r="AP203" s="1591"/>
      <c r="AQ203" s="1591"/>
      <c r="AR203" s="1591"/>
      <c r="AS203" s="1890" t="s">
        <v>1459</v>
      </c>
      <c r="AT203" s="1890" t="s">
        <v>1460</v>
      </c>
      <c r="AU203" s="610" t="s">
        <v>1118</v>
      </c>
      <c r="AV203" s="1891" t="s">
        <v>1461</v>
      </c>
      <c r="AW203" s="1604" t="str">
        <f ca="1">"https://boersenundmaerkte.lukb.ch/lukb/details/"&amp;Valori[[#This Row],[LUKB_id]]</f>
        <v>https://boersenundmaerkte.lukb.ch/lukb/details/28805648,361,333</v>
      </c>
      <c r="AX203" s="1605" t="str">
        <f>"https://www.marketscreener.com/mods_a/charts/TV/inc_dyna_graph.php?c="&amp;Valori[[#This Row],[MS_Code]]&amp;"&amp;style=TradingView.CANDLES&amp;interval=(null)&amp;mobile=(null)&amp;showAT=1"</f>
        <v>https://www.marketscreener.com/mods_a/charts/TV/inc_dyna_graph.php?c=29424450&amp;style=TradingView.CANDLES&amp;interval=(null)&amp;mobile=(null)&amp;showAT=1</v>
      </c>
      <c r="AY203" s="142"/>
      <c r="AZ203" s="142"/>
      <c r="BA203" s="142"/>
      <c r="BB203" s="142"/>
    </row>
    <row r="204" spans="1:54" ht="15" customHeight="1" x14ac:dyDescent="0.2">
      <c r="A204" s="142" t="s">
        <v>1462</v>
      </c>
      <c r="B204" s="142" t="str" cm="1">
        <f t="array" aca="1" ref="B204" ca="1">OFFSET(POrigin,MATCH(Valori[[#This Row],[smo_id]],Posizioni[smo_id],0),MATCH("LUKB_id",PIntestazioni,0)-1,1,1)</f>
        <v>28805652,361,333</v>
      </c>
      <c r="C204" s="1668" t="str">
        <f ca="1">HYPERLINK("https://boersenundmaerkte.lukb.ch/lukb/details/"&amp;Valori[[#This Row],[LUKB_id]],"è")</f>
        <v>è</v>
      </c>
      <c r="D204" s="142" t="str" cm="1">
        <f t="array" aca="1" ref="D204" ca="1">OFFSET(POrigin,MATCH(Valori[[#This Row],[LUKB_id]],PID,0),MATCH("SC_GROUPED",PIntestazioni,0)-1,1,1)</f>
        <v>ETF</v>
      </c>
      <c r="E204" s="413" t="str" cm="1">
        <f t="array" aca="1" ref="E204" ca="1">OFFSET(POrigin,MATCH(Valori[[#This Row],[LUKB_id]],PID,0),MATCH("isin",PIntestazioni,0)-1,1,1)</f>
        <v>IE00BWBXM948</v>
      </c>
      <c r="F204" s="34" t="str" cm="1">
        <f t="array" aca="1" ref="F204" ca="1">OFFSET(POrigin,MATCH(Valori[[#This Row],[LUKB_id]],PID,0),MATCH("NSIN_CH",PLabel,0)-1,1,1)</f>
        <v>28805652</v>
      </c>
      <c r="G204" s="95" t="str" cm="1">
        <f t="array" aca="1" ref="G204" ca="1">IF(OFFSET(POrigin,MATCH(Valori[[#This Row],[LUKB_id]],PID,0),MATCH("INSTRUNIT",PLabel,0)-1,1,1)="Nominal","Pct","Unit")</f>
        <v>Unit</v>
      </c>
      <c r="H204" s="612">
        <f ca="1">MAX(OFFSET(POrigin,MATCH(Valori[[#This Row],[LUKB_id]],PID,0),MATCH("PRICINGAMT",PLabel,0)-1,1,1),1)</f>
        <v>1</v>
      </c>
      <c r="I204" s="615" t="str" cm="1">
        <f t="array" aca="1" ref="I204" ca="1">OFFSET(POrigin,MATCH(Valori[[#This Row],[LUKB_id]],PID,0),MATCH("M_NAME",PLabel,0)-1,1,1)</f>
        <v>SSgA SPDR ETFs Europe II PLC - State Street SPDR S&amp;P U.S. Technology Select Sector UCITS ETF</v>
      </c>
      <c r="J204" s="142" t="s">
        <v>511</v>
      </c>
      <c r="M204" s="142" t="str" cm="1">
        <f t="array" aca="1" ref="M2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v>
      </c>
      <c r="N204" s="1563">
        <f ca="1">COUNTIF('CHF M'!smo_id,Valori[[#This Row],[smo_id]])+COUNTIF('CHF MA'!smo_id,Valori[[#This Row],[smo_id]])+COUNTIF('EUR MB'!smo_id,Valori[[#This Row],[smo_id]])+COUNTIF('EUR M'!smo_id,Valori[[#This Row],[smo_id]])+COUNTIF(AGCO!smo_id,Valori[[#This Row],[smo_id]])</f>
        <v>0</v>
      </c>
      <c r="O204" s="1590" cm="1">
        <f t="array" aca="1" ref="O204" ca="1">SUM(IF('CHF M'!smo_id=Valori[[#This Row],[smo_id]],'CHF M'!Posizione))+SUM(IF('CHF MA'!smo_id=Valori[[#This Row],[smo_id]],'CHF MA'!Posizione))+SUM(IF('EUR MB'!smo_id=Valori[[#This Row],[smo_id]],'EUR MB'!Posizione))+SUM(IF('EUR M'!smo_id=Valori[[#This Row],[smo_id]],'EUR M'!Posizione))+SUM(IF(AGCO!smo_id=Valori[[#This Row],[smo_id]],AGCO!Posizione))</f>
        <v>0</v>
      </c>
      <c r="P204" s="1661" t="str">
        <f ca="1">HYPERLINK(Valori[[#This Row],[P_Source]],"è")</f>
        <v>è</v>
      </c>
      <c r="Q204" s="1663" t="str">
        <f>HYPERLINK(Valori[[#This Row],[Info_W]],"i")</f>
        <v>i</v>
      </c>
      <c r="R204" s="1664" t="str">
        <f>HYPERLINK(Valori[[#This Row],[FN_W]],"")</f>
        <v></v>
      </c>
      <c r="S204" s="1665" t="str">
        <f>HYPERLINK(Valori[[#This Row],[MS_Link]],"")</f>
        <v></v>
      </c>
      <c r="T204" s="1665" t="str">
        <f>HYPERLINK(Valori[[#This Row],[C_source]],"")</f>
        <v></v>
      </c>
      <c r="U204" s="142" t="str" cm="1">
        <f t="array" aca="1" ref="U204" ca="1">OFFSET(POrigin,MATCH(Valori[[#This Row],[LUKB_id]],PID,0),MATCH("M_CUR",PLabel,0)-1,1,1)</f>
        <v>USD</v>
      </c>
      <c r="V204" s="1562">
        <f ca="1">(Valori[[#This Row],[Last]]+Valori[[#This Row],[Acc. Int]])/Valori[[#This Row],[Pr.Amt]]/IF(Valori[[#This Row],[P_Type]]="Pct",100,1)</f>
        <v>143.58000000000001</v>
      </c>
      <c r="W204" s="1591" cm="1">
        <f t="array" aca="1" ref="W204" ca="1">OFFSET(POrigin,MATCH(Valori[[#This Row],[LUKB_id]],PID,0),MATCH("NC2_PR",PLabel,0)-1,1,1)/100</f>
        <v>-1.1701541850220201E-2</v>
      </c>
      <c r="X204" s="1592" cm="1">
        <f t="array" aca="1" ref="X204" ca="1">OFFSET(POrigin,MATCH(Valori[[#This Row],[LUKB_id]],PID,0),MATCH("LVAL",PLabel,0)-1,1,1)</f>
        <v>143.58000000000001</v>
      </c>
      <c r="Y204" s="1593" cm="1">
        <f t="array" aca="1" ref="Y204" ca="1">OFFSET(POrigin,MATCH(Valori[[#This Row],[LUKB_id]],PID,0),MATCH("LVAL:datetime",PLabel,0)-1,1,1)</f>
        <v>46084.73269675926</v>
      </c>
      <c r="Z204" s="1594" cm="1">
        <f t="array" aca="1" ref="Z204" ca="1">OFFSET(POrigin,MATCH(Valori[[#This Row],[LUKB_id]],PID,0),MATCH("BID:volume",PLabel,0)-1,1,1)</f>
        <v>100</v>
      </c>
      <c r="AA204" s="1595" cm="1">
        <f t="array" aca="1" ref="AA204" ca="1">OFFSET(POrigin,MATCH(Valori[[#This Row],[LUKB_id]],PID,0),MATCH("BID",PLabel,0)-1,1,1)</f>
        <v>131.20000000000002</v>
      </c>
      <c r="AB204" s="1595" cm="1">
        <f t="array" aca="1" ref="AB204" ca="1">OFFSET(POrigin,MATCH(Valori[[#This Row],[LUKB_id]],PID,0),MATCH("ASK",PLabel,0)-1,1,1)</f>
        <v>148</v>
      </c>
      <c r="AC204" s="1594" cm="1">
        <f t="array" aca="1" ref="AC204" ca="1">OFFSET(POrigin,MATCH(Valori[[#This Row],[LUKB_id]],PID,0),MATCH("ASK:volume",PLabel,0)-1,1,1)</f>
        <v>14</v>
      </c>
      <c r="AD204" s="1596" cm="1">
        <f t="array" aca="1" ref="AD204" ca="1">OFFSET(POrigin,MATCH(Valori[[#This Row],[LUKB_id]],PID,0),MATCH("BID-ASK Spread %",PLabel,0)-1,1,1)</f>
        <v>8.1871345029239678E-2</v>
      </c>
      <c r="AE204" s="1597" t="str" cm="1">
        <f t="array" aca="1" ref="AE204" ca="1">IF(OFFSET(POrigin,MATCH(Valori[[#This Row],[LUKB_id]],PID,0),MATCH("MATURITY",PLabel,0)-1,1,1)&gt;0,OFFSET(POrigin,MATCH(Valori[[#This Row],[LUKB_id]],PID,0),MATCH("MATURITY",PLabel,0)-1,1,1),"")</f>
        <v/>
      </c>
      <c r="AF204" s="1598" cm="1">
        <f t="array" aca="1" ref="AF204" ca="1">OFFSET(POrigin,MATCH(Valori[[#This Row],[LUKB_id]],PID,0),MATCH("ACCINT",PLabel,0)-1,1,1)</f>
        <v>0</v>
      </c>
      <c r="AG204" s="1594" cm="1">
        <f t="array" aca="1" ref="AG204" ca="1">OFFSET(POrigin,MATCH(Valori[[#This Row],[LUKB_id]],PID,0),MATCH("DENOM",PLabel,0)-1,1,1)</f>
        <v>0</v>
      </c>
      <c r="AH204" s="1599" cm="1">
        <f t="array" aca="1" ref="AH204" ca="1">(OFFSET(POrigin,MATCH(Valori[[#This Row],[LUKB_id]],PID,0),MATCH("YIELD",PLabel,0)-1,1,1)+OFFSET(POrigin,MATCH(Valori[[#This Row],[LUKB_id]],PID,0),MATCH("YLDEQ",PLabel,0)-1,1,1))/100</f>
        <v>0</v>
      </c>
      <c r="AI204" s="1600">
        <f ca="1">OFFSET(POrigin,MATCH(Valori[[#This Row],[LUKB_id]],PID,0),MATCH("DIVIDEND",PLabel,0)-1,1,1)</f>
        <v>0</v>
      </c>
      <c r="AJ204" s="1601">
        <f ca="1">OFFSET(POrigin,MATCH(Valori[[#This Row],[LUKB_id]],PID,0),MATCH("DIVIDEND:datetime",PLabel,0)-1,1,1)</f>
        <v>0</v>
      </c>
      <c r="AK204" s="1602">
        <f ca="1">OFFSET(POrigin,MATCH(Valori[[#This Row],[LUKB_id]],PID,0),MATCH("INTEREST",PLabel,0)-1,1,1)</f>
        <v>0</v>
      </c>
      <c r="AL204" s="1603">
        <f ca="1">OFFSET(POrigin,MATCH(Valori[[#This Row],[LUKB_id]],PID,0),MATCH("4W_PERF_PR",PLabel,0)-1,1,1)/100</f>
        <v>-2.7499319999999997E-2</v>
      </c>
      <c r="AM204" s="1603">
        <f ca="1">OFFSET(POrigin,MATCH(Valori[[#This Row],[LUKB_id]],PID,0),MATCH("12W_PERF_PR",PLabel,0)-1,1,1)/100</f>
        <v>-8.6176169999999996E-2</v>
      </c>
      <c r="AN204" s="1603">
        <f ca="1">OFFSET(POrigin,MATCH(Valori[[#This Row],[LUKB_id]],PID,0),MATCH("YTD_PERF_PR",PLabel,0)-1,1,1)/100</f>
        <v>-5.6133056133056296E-2</v>
      </c>
      <c r="AO204" s="1591"/>
      <c r="AP204" s="1591"/>
      <c r="AQ204" s="1591"/>
      <c r="AR204" s="1591"/>
      <c r="AS204" s="1890" t="s">
        <v>1463</v>
      </c>
      <c r="AT204" s="1890" t="s">
        <v>1464</v>
      </c>
      <c r="AU204" s="610" t="s">
        <v>1465</v>
      </c>
      <c r="AV204" s="1891" t="s">
        <v>1466</v>
      </c>
      <c r="AW204" s="1604" t="str">
        <f ca="1">"https://boersenundmaerkte.lukb.ch/lukb/details/"&amp;Valori[[#This Row],[LUKB_id]]</f>
        <v>https://boersenundmaerkte.lukb.ch/lukb/details/28805652,361,333</v>
      </c>
      <c r="AX204" s="1605"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4" s="142"/>
      <c r="AZ204" s="142"/>
      <c r="BA204" s="142"/>
      <c r="BB204" s="142"/>
    </row>
    <row r="205" spans="1:54" ht="15" customHeight="1" x14ac:dyDescent="0.2">
      <c r="A205" s="142" t="s">
        <v>1467</v>
      </c>
      <c r="B205" s="142" t="str" cm="1">
        <f t="array" aca="1" ref="B205" ca="1">OFFSET(POrigin,MATCH(Valori[[#This Row],[smo_id]],Posizioni[smo_id],0),MATCH("LUKB_id",PIntestazioni,0)-1,1,1)</f>
        <v>28805652,1703,814</v>
      </c>
      <c r="C205" s="1668" t="str">
        <f ca="1">HYPERLINK("https://boersenundmaerkte.lukb.ch/lukb/details/"&amp;Valori[[#This Row],[LUKB_id]],"è")</f>
        <v>è</v>
      </c>
      <c r="D205" s="142" t="str" cm="1">
        <f t="array" aca="1" ref="D205" ca="1">OFFSET(POrigin,MATCH(Valori[[#This Row],[LUKB_id]],PID,0),MATCH("SC_GROUPED",PIntestazioni,0)-1,1,1)</f>
        <v>ETF</v>
      </c>
      <c r="E205" s="413" t="str" cm="1">
        <f t="array" aca="1" ref="E205" ca="1">OFFSET(POrigin,MATCH(Valori[[#This Row],[LUKB_id]],PID,0),MATCH("isin",PIntestazioni,0)-1,1,1)</f>
        <v>IE00BWBXM948</v>
      </c>
      <c r="F205" s="34" t="str" cm="1">
        <f t="array" aca="1" ref="F205" ca="1">OFFSET(POrigin,MATCH(Valori[[#This Row],[LUKB_id]],PID,0),MATCH("NSIN_CH",PLabel,0)-1,1,1)</f>
        <v>28805652</v>
      </c>
      <c r="G205" s="95" t="str" cm="1">
        <f t="array" aca="1" ref="G205" ca="1">IF(OFFSET(POrigin,MATCH(Valori[[#This Row],[LUKB_id]],PID,0),MATCH("INSTRUNIT",PLabel,0)-1,1,1)="Nominal","Pct","Unit")</f>
        <v>Unit</v>
      </c>
      <c r="H205" s="612">
        <f ca="1">MAX(OFFSET(POrigin,MATCH(Valori[[#This Row],[LUKB_id]],PID,0),MATCH("PRICINGAMT",PLabel,0)-1,1,1),1)</f>
        <v>1</v>
      </c>
      <c r="I205" s="615" t="str" cm="1">
        <f t="array" aca="1" ref="I205" ca="1">OFFSET(POrigin,MATCH(Valori[[#This Row],[LUKB_id]],PID,0),MATCH("M_NAME",PLabel,0)-1,1,1)</f>
        <v>SSgA SPDR ETFs Europe II PLC - State Street SPDR S&amp;P U.S. Technology Select Sector UCITS ETF</v>
      </c>
      <c r="J205" s="142" t="s">
        <v>448</v>
      </c>
      <c r="M205" s="142" t="str" cm="1">
        <f t="array" aca="1" ref="M2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(Acc-EUR)</v>
      </c>
      <c r="N205" s="1563">
        <f ca="1">COUNTIF('CHF M'!smo_id,Valori[[#This Row],[smo_id]])+COUNTIF('CHF MA'!smo_id,Valori[[#This Row],[smo_id]])+COUNTIF('EUR MB'!smo_id,Valori[[#This Row],[smo_id]])+COUNTIF('EUR M'!smo_id,Valori[[#This Row],[smo_id]])+COUNTIF(AGCO!smo_id,Valori[[#This Row],[smo_id]])</f>
        <v>0</v>
      </c>
      <c r="O205" s="1590" cm="1">
        <f t="array" aca="1" ref="O205" ca="1">SUM(IF('CHF M'!smo_id=Valori[[#This Row],[smo_id]],'CHF M'!Posizione))+SUM(IF('CHF MA'!smo_id=Valori[[#This Row],[smo_id]],'CHF MA'!Posizione))+SUM(IF('EUR MB'!smo_id=Valori[[#This Row],[smo_id]],'EUR MB'!Posizione))+SUM(IF('EUR M'!smo_id=Valori[[#This Row],[smo_id]],'EUR M'!Posizione))+SUM(IF(AGCO!smo_id=Valori[[#This Row],[smo_id]],AGCO!Posizione))</f>
        <v>0</v>
      </c>
      <c r="P205" s="1661" t="str">
        <f ca="1">HYPERLINK(Valori[[#This Row],[P_Source]],"è")</f>
        <v>è</v>
      </c>
      <c r="Q205" s="1663" t="str">
        <f>HYPERLINK(Valori[[#This Row],[Info_W]],"i")</f>
        <v>i</v>
      </c>
      <c r="R205" s="1664" t="str">
        <f>HYPERLINK(Valori[[#This Row],[FN_W]],"")</f>
        <v></v>
      </c>
      <c r="S205" s="1665" t="str">
        <f>HYPERLINK(Valori[[#This Row],[MS_Link]],"")</f>
        <v></v>
      </c>
      <c r="T205" s="1665" t="str">
        <f>HYPERLINK(Valori[[#This Row],[C_source]],"")</f>
        <v></v>
      </c>
      <c r="U205" s="142" t="str" cm="1">
        <f t="array" aca="1" ref="U205" ca="1">OFFSET(POrigin,MATCH(Valori[[#This Row],[LUKB_id]],PID,0),MATCH("M_CUR",PLabel,0)-1,1,1)</f>
        <v>EUR</v>
      </c>
      <c r="V205" s="1562">
        <f ca="1">(Valori[[#This Row],[Last]]+Valori[[#This Row],[Acc. Int]])/Valori[[#This Row],[Pr.Amt]]/IF(Valori[[#This Row],[P_Type]]="Pct",100,1)</f>
        <v>124.02</v>
      </c>
      <c r="W205" s="1591" cm="1">
        <f t="array" aca="1" ref="W205" ca="1">OFFSET(POrigin,MATCH(Valori[[#This Row],[LUKB_id]],PID,0),MATCH("NC2_PR",PLabel,0)-1,1,1)/100</f>
        <v>7.96488946684E-3</v>
      </c>
      <c r="X205" s="1592" cm="1">
        <f t="array" aca="1" ref="X205" ca="1">OFFSET(POrigin,MATCH(Valori[[#This Row],[LUKB_id]],PID,0),MATCH("LVAL",PLabel,0)-1,1,1)</f>
        <v>124.02</v>
      </c>
      <c r="Y205" s="1593" cm="1">
        <f t="array" aca="1" ref="Y205" ca="1">OFFSET(POrigin,MATCH(Valori[[#This Row],[LUKB_id]],PID,0),MATCH("LVAL:datetime",PLabel,0)-1,1,1)</f>
        <v>46083.73333333333</v>
      </c>
      <c r="Z205" s="1594" cm="1">
        <f t="array" aca="1" ref="Z205" ca="1">OFFSET(POrigin,MATCH(Valori[[#This Row],[LUKB_id]],PID,0),MATCH("BID:volume",PLabel,0)-1,1,1)</f>
        <v>0</v>
      </c>
      <c r="AA205" s="1595" cm="1">
        <f t="array" aca="1" ref="AA205" ca="1">OFFSET(POrigin,MATCH(Valori[[#This Row],[LUKB_id]],PID,0),MATCH("BID",PLabel,0)-1,1,1)</f>
        <v>0</v>
      </c>
      <c r="AB205" s="1595" cm="1">
        <f t="array" aca="1" ref="AB205" ca="1">OFFSET(POrigin,MATCH(Valori[[#This Row],[LUKB_id]],PID,0),MATCH("ASK",PLabel,0)-1,1,1)</f>
        <v>0</v>
      </c>
      <c r="AC205" s="1594" cm="1">
        <f t="array" aca="1" ref="AC205" ca="1">OFFSET(POrigin,MATCH(Valori[[#This Row],[LUKB_id]],PID,0),MATCH("ASK:volume",PLabel,0)-1,1,1)</f>
        <v>0</v>
      </c>
      <c r="AD205" s="1596" cm="1">
        <f t="array" aca="1" ref="AD205" ca="1">OFFSET(POrigin,MATCH(Valori[[#This Row],[LUKB_id]],PID,0),MATCH("BID-ASK Spread %",PLabel,0)-1,1,1)</f>
        <v>0</v>
      </c>
      <c r="AE205" s="1597" t="str" cm="1">
        <f t="array" aca="1" ref="AE205" ca="1">IF(OFFSET(POrigin,MATCH(Valori[[#This Row],[LUKB_id]],PID,0),MATCH("MATURITY",PLabel,0)-1,1,1)&gt;0,OFFSET(POrigin,MATCH(Valori[[#This Row],[LUKB_id]],PID,0),MATCH("MATURITY",PLabel,0)-1,1,1),"")</f>
        <v/>
      </c>
      <c r="AF205" s="1598" cm="1">
        <f t="array" aca="1" ref="AF205" ca="1">OFFSET(POrigin,MATCH(Valori[[#This Row],[LUKB_id]],PID,0),MATCH("ACCINT",PLabel,0)-1,1,1)</f>
        <v>0</v>
      </c>
      <c r="AG205" s="1594" cm="1">
        <f t="array" aca="1" ref="AG205" ca="1">OFFSET(POrigin,MATCH(Valori[[#This Row],[LUKB_id]],PID,0),MATCH("DENOM",PLabel,0)-1,1,1)</f>
        <v>0</v>
      </c>
      <c r="AH205" s="1599" cm="1">
        <f t="array" aca="1" ref="AH205" ca="1">(OFFSET(POrigin,MATCH(Valori[[#This Row],[LUKB_id]],PID,0),MATCH("YIELD",PLabel,0)-1,1,1)+OFFSET(POrigin,MATCH(Valori[[#This Row],[LUKB_id]],PID,0),MATCH("YLDEQ",PLabel,0)-1,1,1))/100</f>
        <v>0</v>
      </c>
      <c r="AI205" s="1600">
        <f ca="1">OFFSET(POrigin,MATCH(Valori[[#This Row],[LUKB_id]],PID,0),MATCH("DIVIDEND",PLabel,0)-1,1,1)</f>
        <v>0</v>
      </c>
      <c r="AJ205" s="1601">
        <f ca="1">OFFSET(POrigin,MATCH(Valori[[#This Row],[LUKB_id]],PID,0),MATCH("DIVIDEND:datetime",PLabel,0)-1,1,1)</f>
        <v>0</v>
      </c>
      <c r="AK205" s="1602">
        <f ca="1">OFFSET(POrigin,MATCH(Valori[[#This Row],[LUKB_id]],PID,0),MATCH("INTEREST",PLabel,0)-1,1,1)</f>
        <v>0</v>
      </c>
      <c r="AL205" s="1603">
        <f ca="1">OFFSET(POrigin,MATCH(Valori[[#This Row],[LUKB_id]],PID,0),MATCH("4W_PERF_PR",PLabel,0)-1,1,1)/100</f>
        <v>-3.366058906030861E-2</v>
      </c>
      <c r="AM205" s="1603">
        <f ca="1">OFFSET(POrigin,MATCH(Valori[[#This Row],[LUKB_id]],PID,0),MATCH("12W_PERF_PR",PLabel,0)-1,1,1)/100</f>
        <v>-7.7781082688875625E-2</v>
      </c>
      <c r="AN205" s="1603">
        <f ca="1">OFFSET(POrigin,MATCH(Valori[[#This Row],[LUKB_id]],PID,0),MATCH("YTD_PERF_PR",PLabel,0)-1,1,1)/100</f>
        <v>-5.5733211512106001E-2</v>
      </c>
      <c r="AO205" s="1591"/>
      <c r="AP205" s="1591"/>
      <c r="AQ205" s="1591"/>
      <c r="AR205" s="1591"/>
      <c r="AS205" s="1890" t="s">
        <v>1463</v>
      </c>
      <c r="AT205" s="1890" t="s">
        <v>1464</v>
      </c>
      <c r="AU205" s="610" t="s">
        <v>1465</v>
      </c>
      <c r="AV205" s="1891" t="s">
        <v>1466</v>
      </c>
      <c r="AW205" s="1604" t="str">
        <f ca="1">"https://boersenundmaerkte.lukb.ch/lukb/details/"&amp;Valori[[#This Row],[LUKB_id]]</f>
        <v>https://boersenundmaerkte.lukb.ch/lukb/details/28805652,1703,814</v>
      </c>
      <c r="AX205" s="1605"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5" s="142"/>
      <c r="AZ205" s="142"/>
      <c r="BA205" s="142"/>
      <c r="BB205" s="142"/>
    </row>
    <row r="206" spans="1:54" ht="15" customHeight="1" x14ac:dyDescent="0.2">
      <c r="A206" s="142" t="s">
        <v>1468</v>
      </c>
      <c r="B206" s="142" t="str" cm="1">
        <f t="array" aca="1" ref="B206" ca="1">OFFSET(POrigin,MATCH(Valori[[#This Row],[smo_id]],Posizioni[smo_id],0),MATCH("LUKB_id",PIntestazioni,0)-1,1,1)</f>
        <v>28805656,361,333</v>
      </c>
      <c r="C206" s="1668" t="str">
        <f ca="1">HYPERLINK("https://boersenundmaerkte.lukb.ch/lukb/details/"&amp;Valori[[#This Row],[LUKB_id]],"è")</f>
        <v>è</v>
      </c>
      <c r="D206" s="142" t="str" cm="1">
        <f t="array" aca="1" ref="D206" ca="1">OFFSET(POrigin,MATCH(Valori[[#This Row],[LUKB_id]],PID,0),MATCH("SC_GROUPED",PIntestazioni,0)-1,1,1)</f>
        <v>ETF</v>
      </c>
      <c r="E206" s="413" t="str" cm="1">
        <f t="array" aca="1" ref="E206" ca="1">OFFSET(POrigin,MATCH(Valori[[#This Row],[LUKB_id]],PID,0),MATCH("isin",PIntestazioni,0)-1,1,1)</f>
        <v>IE00BWBXMB69</v>
      </c>
      <c r="F206" s="34" t="str" cm="1">
        <f t="array" aca="1" ref="F206" ca="1">OFFSET(POrigin,MATCH(Valori[[#This Row],[LUKB_id]],PID,0),MATCH("NSIN_CH",PLabel,0)-1,1,1)</f>
        <v>28805656</v>
      </c>
      <c r="G206" s="95" t="str" cm="1">
        <f t="array" aca="1" ref="G206" ca="1">IF(OFFSET(POrigin,MATCH(Valori[[#This Row],[LUKB_id]],PID,0),MATCH("INSTRUNIT",PLabel,0)-1,1,1)="Nominal","Pct","Unit")</f>
        <v>Unit</v>
      </c>
      <c r="H206" s="612">
        <f ca="1">MAX(OFFSET(POrigin,MATCH(Valori[[#This Row],[LUKB_id]],PID,0),MATCH("PRICINGAMT",PLabel,0)-1,1,1),1)</f>
        <v>1</v>
      </c>
      <c r="I206" s="615" t="str" cm="1">
        <f t="array" aca="1" ref="I206" ca="1">OFFSET(POrigin,MATCH(Valori[[#This Row],[LUKB_id]],PID,0),MATCH("M_NAME",PLabel,0)-1,1,1)</f>
        <v>SSgA SPDR ETFs Europe II PLC - State Street SPDR S&amp;P U.S. Utilities Select Sector UCITS ETF</v>
      </c>
      <c r="J206" s="142" t="s">
        <v>1469</v>
      </c>
      <c r="M206" s="142" t="str" cm="1">
        <f t="array" aca="1" ref="M2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Utilities UCITS ETF (Acc)</v>
      </c>
      <c r="N206" s="1563">
        <f ca="1">COUNTIF('CHF M'!smo_id,Valori[[#This Row],[smo_id]])+COUNTIF('CHF MA'!smo_id,Valori[[#This Row],[smo_id]])+COUNTIF('EUR MB'!smo_id,Valori[[#This Row],[smo_id]])+COUNTIF('EUR M'!smo_id,Valori[[#This Row],[smo_id]])+COUNTIF(AGCO!smo_id,Valori[[#This Row],[smo_id]])</f>
        <v>0</v>
      </c>
      <c r="O206" s="1590" cm="1">
        <f t="array" aca="1" ref="O206" ca="1">SUM(IF('CHF M'!smo_id=Valori[[#This Row],[smo_id]],'CHF M'!Posizione))+SUM(IF('CHF MA'!smo_id=Valori[[#This Row],[smo_id]],'CHF MA'!Posizione))+SUM(IF('EUR MB'!smo_id=Valori[[#This Row],[smo_id]],'EUR MB'!Posizione))+SUM(IF('EUR M'!smo_id=Valori[[#This Row],[smo_id]],'EUR M'!Posizione))+SUM(IF(AGCO!smo_id=Valori[[#This Row],[smo_id]],AGCO!Posizione))</f>
        <v>0</v>
      </c>
      <c r="P206" s="1661" t="str">
        <f ca="1">HYPERLINK(Valori[[#This Row],[P_Source]],"è")</f>
        <v>è</v>
      </c>
      <c r="Q206" s="1663" t="str">
        <f>HYPERLINK(Valori[[#This Row],[Info_W]],"i")</f>
        <v>i</v>
      </c>
      <c r="R206" s="1664" t="str">
        <f>HYPERLINK(Valori[[#This Row],[FN_W]],"")</f>
        <v></v>
      </c>
      <c r="S206" s="1665" t="str">
        <f>HYPERLINK(Valori[[#This Row],[MS_Link]],"")</f>
        <v></v>
      </c>
      <c r="T206" s="1665" t="str">
        <f>HYPERLINK(Valori[[#This Row],[C_source]],"")</f>
        <v></v>
      </c>
      <c r="U206" s="142" t="str" cm="1">
        <f t="array" aca="1" ref="U206" ca="1">OFFSET(POrigin,MATCH(Valori[[#This Row],[LUKB_id]],PID,0),MATCH("M_CUR",PLabel,0)-1,1,1)</f>
        <v>USD</v>
      </c>
      <c r="V206" s="1562">
        <f ca="1">(Valori[[#This Row],[Last]]+Valori[[#This Row],[Acc. Int]])/Valori[[#This Row],[Pr.Amt]]/IF(Valori[[#This Row],[P_Type]]="Pct",100,1)</f>
        <v>58.056250000000006</v>
      </c>
      <c r="W206" s="1591" cm="1">
        <f t="array" aca="1" ref="W206" ca="1">OFFSET(POrigin,MATCH(Valori[[#This Row],[LUKB_id]],PID,0),MATCH("NC2_PR",PLabel,0)-1,1,1)/100</f>
        <v>-2.2017344447250998E-2</v>
      </c>
      <c r="X206" s="1592" cm="1">
        <f t="array" aca="1" ref="X206" ca="1">OFFSET(POrigin,MATCH(Valori[[#This Row],[LUKB_id]],PID,0),MATCH("LVAL",PLabel,0)-1,1,1)</f>
        <v>58.056250000000006</v>
      </c>
      <c r="Y206" s="1593" cm="1">
        <f t="array" aca="1" ref="Y206" ca="1">OFFSET(POrigin,MATCH(Valori[[#This Row],[LUKB_id]],PID,0),MATCH("LVAL:datetime",PLabel,0)-1,1,1)</f>
        <v>46084.732928240737</v>
      </c>
      <c r="Z206" s="1594" cm="1">
        <f t="array" aca="1" ref="Z206" ca="1">OFFSET(POrigin,MATCH(Valori[[#This Row],[LUKB_id]],PID,0),MATCH("BID:volume",PLabel,0)-1,1,1)</f>
        <v>12</v>
      </c>
      <c r="AA206" s="1595" cm="1">
        <f t="array" aca="1" ref="AA206" ca="1">OFFSET(POrigin,MATCH(Valori[[#This Row],[LUKB_id]],PID,0),MATCH("BID",PLabel,0)-1,1,1)</f>
        <v>55.21</v>
      </c>
      <c r="AB206" s="1595" cm="1">
        <f t="array" aca="1" ref="AB206" ca="1">OFFSET(POrigin,MATCH(Valori[[#This Row],[LUKB_id]],PID,0),MATCH("ASK",PLabel,0)-1,1,1)</f>
        <v>60.454999999999998</v>
      </c>
      <c r="AC206" s="1594" cm="1">
        <f t="array" aca="1" ref="AC206" ca="1">OFFSET(POrigin,MATCH(Valori[[#This Row],[LUKB_id]],PID,0),MATCH("ASK:volume",PLabel,0)-1,1,1)</f>
        <v>13781</v>
      </c>
      <c r="AD206" s="1596" cm="1">
        <f t="array" aca="1" ref="AD206" ca="1">OFFSET(POrigin,MATCH(Valori[[#This Row],[LUKB_id]],PID,0),MATCH("BID-ASK Spread %",PLabel,0)-1,1,1)</f>
        <v>6.1389904901243568E-2</v>
      </c>
      <c r="AE206" s="1597" t="str" cm="1">
        <f t="array" aca="1" ref="AE206" ca="1">IF(OFFSET(POrigin,MATCH(Valori[[#This Row],[LUKB_id]],PID,0),MATCH("MATURITY",PLabel,0)-1,1,1)&gt;0,OFFSET(POrigin,MATCH(Valori[[#This Row],[LUKB_id]],PID,0),MATCH("MATURITY",PLabel,0)-1,1,1),"")</f>
        <v/>
      </c>
      <c r="AF206" s="1598" cm="1">
        <f t="array" aca="1" ref="AF206" ca="1">OFFSET(POrigin,MATCH(Valori[[#This Row],[LUKB_id]],PID,0),MATCH("ACCINT",PLabel,0)-1,1,1)</f>
        <v>0</v>
      </c>
      <c r="AG206" s="1594" cm="1">
        <f t="array" aca="1" ref="AG206" ca="1">OFFSET(POrigin,MATCH(Valori[[#This Row],[LUKB_id]],PID,0),MATCH("DENOM",PLabel,0)-1,1,1)</f>
        <v>0</v>
      </c>
      <c r="AH206" s="1599" cm="1">
        <f t="array" aca="1" ref="AH206" ca="1">(OFFSET(POrigin,MATCH(Valori[[#This Row],[LUKB_id]],PID,0),MATCH("YIELD",PLabel,0)-1,1,1)+OFFSET(POrigin,MATCH(Valori[[#This Row],[LUKB_id]],PID,0),MATCH("YLDEQ",PLabel,0)-1,1,1))/100</f>
        <v>0</v>
      </c>
      <c r="AI206" s="1600">
        <f ca="1">OFFSET(POrigin,MATCH(Valori[[#This Row],[LUKB_id]],PID,0),MATCH("DIVIDEND",PLabel,0)-1,1,1)</f>
        <v>0</v>
      </c>
      <c r="AJ206" s="1601">
        <f ca="1">OFFSET(POrigin,MATCH(Valori[[#This Row],[LUKB_id]],PID,0),MATCH("DIVIDEND:datetime",PLabel,0)-1,1,1)</f>
        <v>0</v>
      </c>
      <c r="AK206" s="1602">
        <f ca="1">OFFSET(POrigin,MATCH(Valori[[#This Row],[LUKB_id]],PID,0),MATCH("INTEREST",PLabel,0)-1,1,1)</f>
        <v>0</v>
      </c>
      <c r="AL206" s="1603">
        <f ca="1">OFFSET(POrigin,MATCH(Valori[[#This Row],[LUKB_id]],PID,0),MATCH("4W_PERF_PR",PLabel,0)-1,1,1)/100</f>
        <v>7.2381479999999998E-2</v>
      </c>
      <c r="AM206" s="1603">
        <f ca="1">OFFSET(POrigin,MATCH(Valori[[#This Row],[LUKB_id]],PID,0),MATCH("12W_PERF_PR",PLabel,0)-1,1,1)/100</f>
        <v>8.6627060000000006E-2</v>
      </c>
      <c r="AN206" s="1603">
        <f ca="1">OFFSET(POrigin,MATCH(Valori[[#This Row],[LUKB_id]],PID,0),MATCH("YTD_PERF_PR",PLabel,0)-1,1,1)/100</f>
        <v>0.10460601269501801</v>
      </c>
      <c r="AO206" s="1591"/>
      <c r="AP206" s="1591"/>
      <c r="AQ206" s="1591"/>
      <c r="AR206" s="1591"/>
      <c r="AS206" s="1890" t="s">
        <v>1470</v>
      </c>
      <c r="AT206" s="1890" t="s">
        <v>1471</v>
      </c>
      <c r="AU206" s="610" t="s">
        <v>1472</v>
      </c>
      <c r="AV206" s="1891" t="s">
        <v>1473</v>
      </c>
      <c r="AW206" s="1604" t="str">
        <f ca="1">"https://boersenundmaerkte.lukb.ch/lukb/details/"&amp;Valori[[#This Row],[LUKB_id]]</f>
        <v>https://boersenundmaerkte.lukb.ch/lukb/details/28805656,361,333</v>
      </c>
      <c r="AX206" s="1605"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06" s="142"/>
      <c r="AZ206" s="142"/>
      <c r="BA206" s="142"/>
      <c r="BB206" s="142"/>
    </row>
    <row r="207" spans="1:54" ht="15" customHeight="1" x14ac:dyDescent="0.2">
      <c r="A207" s="142" t="s">
        <v>1474</v>
      </c>
      <c r="B207" s="142" t="str" cm="1">
        <f t="array" aca="1" ref="B207" ca="1">OFFSET(POrigin,MATCH(Valori[[#This Row],[smo_id]],Posizioni[smo_id],0),MATCH("LUKB_id",PIntestazioni,0)-1,1,1)</f>
        <v>42302430,66,333</v>
      </c>
      <c r="C207" s="1668" t="str">
        <f ca="1">HYPERLINK("https://boersenundmaerkte.lukb.ch/lukb/details/"&amp;Valori[[#This Row],[LUKB_id]],"è")</f>
        <v>è</v>
      </c>
      <c r="D207" s="142" t="str" cm="1">
        <f t="array" aca="1" ref="D207" ca="1">OFFSET(POrigin,MATCH(Valori[[#This Row],[LUKB_id]],PID,0),MATCH("SC_GROUPED",PIntestazioni,0)-1,1,1)</f>
        <v>ETF</v>
      </c>
      <c r="E207" s="413" t="str" cm="1">
        <f t="array" aca="1" ref="E207" ca="1">OFFSET(POrigin,MATCH(Valori[[#This Row],[LUKB_id]],PID,0),MATCH("isin",PIntestazioni,0)-1,1,1)</f>
        <v>US81369Y8527</v>
      </c>
      <c r="F207" s="34" t="str" cm="1">
        <f t="array" aca="1" ref="F207" ca="1">OFFSET(POrigin,MATCH(Valori[[#This Row],[LUKB_id]],PID,0),MATCH("NSIN_CH",PLabel,0)-1,1,1)</f>
        <v>42302430</v>
      </c>
      <c r="G207" s="95" t="str" cm="1">
        <f t="array" aca="1" ref="G207" ca="1">IF(OFFSET(POrigin,MATCH(Valori[[#This Row],[LUKB_id]],PID,0),MATCH("INSTRUNIT",PLabel,0)-1,1,1)="Nominal","Pct","Unit")</f>
        <v>Unit</v>
      </c>
      <c r="H207" s="612">
        <f ca="1">MAX(OFFSET(POrigin,MATCH(Valori[[#This Row],[LUKB_id]],PID,0),MATCH("PRICINGAMT",PLabel,0)-1,1,1),1)</f>
        <v>1</v>
      </c>
      <c r="I207" s="615" t="str" cm="1">
        <f t="array" aca="1" ref="I207" ca="1">OFFSET(POrigin,MATCH(Valori[[#This Row],[LUKB_id]],PID,0),MATCH("M_NAME",PLabel,0)-1,1,1)</f>
        <v>The Communication Services Select Sector SPDR   Fund</v>
      </c>
      <c r="J207" s="142" t="s">
        <v>415</v>
      </c>
      <c r="M207" s="142" t="str" cm="1">
        <f t="array" aca="1" ref="M2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Communication Services Select Sector (XLC)</v>
      </c>
      <c r="N207" s="1563">
        <f ca="1">COUNTIF('CHF M'!smo_id,Valori[[#This Row],[smo_id]])+COUNTIF('CHF MA'!smo_id,Valori[[#This Row],[smo_id]])+COUNTIF('EUR MB'!smo_id,Valori[[#This Row],[smo_id]])+COUNTIF('EUR M'!smo_id,Valori[[#This Row],[smo_id]])+COUNTIF(AGCO!smo_id,Valori[[#This Row],[smo_id]])</f>
        <v>2</v>
      </c>
      <c r="O207" s="1590" cm="1">
        <f t="array" aca="1" ref="O207" ca="1">SUM(IF('CHF M'!smo_id=Valori[[#This Row],[smo_id]],'CHF M'!Posizione))+SUM(IF('CHF MA'!smo_id=Valori[[#This Row],[smo_id]],'CHF MA'!Posizione))+SUM(IF('EUR MB'!smo_id=Valori[[#This Row],[smo_id]],'EUR MB'!Posizione))+SUM(IF('EUR M'!smo_id=Valori[[#This Row],[smo_id]],'EUR M'!Posizione))+SUM(IF(AGCO!smo_id=Valori[[#This Row],[smo_id]],AGCO!Posizione))</f>
        <v>1320</v>
      </c>
      <c r="P207" s="1661" t="str">
        <f ca="1">HYPERLINK(Valori[[#This Row],[P_Source]],"è")</f>
        <v>è</v>
      </c>
      <c r="Q207" s="1663" t="str">
        <f>HYPERLINK(Valori[[#This Row],[Info_W]],"i")</f>
        <v>i</v>
      </c>
      <c r="R207" s="1664" t="str">
        <f>HYPERLINK(Valori[[#This Row],[FN_W]],"")</f>
        <v></v>
      </c>
      <c r="S207" s="1665" t="str">
        <f>HYPERLINK(Valori[[#This Row],[MS_Link]],"")</f>
        <v></v>
      </c>
      <c r="T207" s="1665" t="str">
        <f>HYPERLINK(Valori[[#This Row],[C_source]],"")</f>
        <v></v>
      </c>
      <c r="U207" s="142" t="str" cm="1">
        <f t="array" aca="1" ref="U207" ca="1">OFFSET(POrigin,MATCH(Valori[[#This Row],[LUKB_id]],PID,0),MATCH("M_CUR",PLabel,0)-1,1,1)</f>
        <v>USD</v>
      </c>
      <c r="V207" s="1562">
        <f ca="1">(Valori[[#This Row],[Last]]+Valori[[#This Row],[Acc. Int]])/Valori[[#This Row],[Pr.Amt]]/IF(Valori[[#This Row],[P_Type]]="Pct",100,1)</f>
        <v>117.35000000000001</v>
      </c>
      <c r="W207" s="1591" cm="1">
        <f t="array" aca="1" ref="W207" ca="1">OFFSET(POrigin,MATCH(Valori[[#This Row],[LUKB_id]],PID,0),MATCH("NC2_PR",PLabel,0)-1,1,1)/100</f>
        <v>-5.0869012293344998E-3</v>
      </c>
      <c r="X207" s="1592" cm="1">
        <f t="array" aca="1" ref="X207" ca="1">OFFSET(POrigin,MATCH(Valori[[#This Row],[LUKB_id]],PID,0),MATCH("LVAL",PLabel,0)-1,1,1)</f>
        <v>117.35000000000001</v>
      </c>
      <c r="Y207" s="1593" cm="1">
        <f t="array" aca="1" ref="Y207" ca="1">OFFSET(POrigin,MATCH(Valori[[#This Row],[LUKB_id]],PID,0),MATCH("LVAL:datetime",PLabel,0)-1,1,1)</f>
        <v>46084.785740740743</v>
      </c>
      <c r="Z207" s="1594" cm="1">
        <f t="array" aca="1" ref="Z207" ca="1">OFFSET(POrigin,MATCH(Valori[[#This Row],[LUKB_id]],PID,0),MATCH("BID:volume",PLabel,0)-1,1,1)</f>
        <v>100</v>
      </c>
      <c r="AA207" s="1595" cm="1">
        <f t="array" aca="1" ref="AA207" ca="1">OFFSET(POrigin,MATCH(Valori[[#This Row],[LUKB_id]],PID,0),MATCH("BID",PLabel,0)-1,1,1)</f>
        <v>117.33</v>
      </c>
      <c r="AB207" s="1595" cm="1">
        <f t="array" aca="1" ref="AB207" ca="1">OFFSET(POrigin,MATCH(Valori[[#This Row],[LUKB_id]],PID,0),MATCH("ASK",PLabel,0)-1,1,1)</f>
        <v>117.35000000000001</v>
      </c>
      <c r="AC207" s="1594" cm="1">
        <f t="array" aca="1" ref="AC207" ca="1">OFFSET(POrigin,MATCH(Valori[[#This Row],[LUKB_id]],PID,0),MATCH("ASK:volume",PLabel,0)-1,1,1)</f>
        <v>100</v>
      </c>
      <c r="AD207" s="1596" cm="1">
        <f t="array" aca="1" ref="AD207" ca="1">OFFSET(POrigin,MATCH(Valori[[#This Row],[LUKB_id]],PID,0),MATCH("BID-ASK Spread %",PLabel,0)-1,1,1)</f>
        <v>1.1363313542234727E-4</v>
      </c>
      <c r="AE207" s="1597" t="str" cm="1">
        <f t="array" aca="1" ref="AE207" ca="1">IF(OFFSET(POrigin,MATCH(Valori[[#This Row],[LUKB_id]],PID,0),MATCH("MATURITY",PLabel,0)-1,1,1)&gt;0,OFFSET(POrigin,MATCH(Valori[[#This Row],[LUKB_id]],PID,0),MATCH("MATURITY",PLabel,0)-1,1,1),"")</f>
        <v/>
      </c>
      <c r="AF207" s="1598" cm="1">
        <f t="array" aca="1" ref="AF207" ca="1">OFFSET(POrigin,MATCH(Valori[[#This Row],[LUKB_id]],PID,0),MATCH("ACCINT",PLabel,0)-1,1,1)</f>
        <v>0</v>
      </c>
      <c r="AG207" s="1594" cm="1">
        <f t="array" aca="1" ref="AG207" ca="1">OFFSET(POrigin,MATCH(Valori[[#This Row],[LUKB_id]],PID,0),MATCH("DENOM",PLabel,0)-1,1,1)</f>
        <v>0</v>
      </c>
      <c r="AH207" s="1599" cm="1">
        <f t="array" aca="1" ref="AH207" ca="1">(OFFSET(POrigin,MATCH(Valori[[#This Row],[LUKB_id]],PID,0),MATCH("YIELD",PLabel,0)-1,1,1)+OFFSET(POrigin,MATCH(Valori[[#This Row],[LUKB_id]],PID,0),MATCH("YLDEQ",PLabel,0)-1,1,1))/100</f>
        <v>0</v>
      </c>
      <c r="AI207" s="1600">
        <f ca="1">OFFSET(POrigin,MATCH(Valori[[#This Row],[LUKB_id]],PID,0),MATCH("DIVIDEND",PLabel,0)-1,1,1)</f>
        <v>0.37579099999999999</v>
      </c>
      <c r="AJ207" s="1601">
        <f ca="1">OFFSET(POrigin,MATCH(Valori[[#This Row],[LUKB_id]],PID,0),MATCH("DIVIDEND:datetime",PLabel,0)-1,1,1)</f>
        <v>46013</v>
      </c>
      <c r="AK207" s="1602">
        <f ca="1">OFFSET(POrigin,MATCH(Valori[[#This Row],[LUKB_id]],PID,0),MATCH("INTEREST",PLabel,0)-1,1,1)</f>
        <v>0</v>
      </c>
      <c r="AL207" s="1603">
        <f ca="1">OFFSET(POrigin,MATCH(Valori[[#This Row],[LUKB_id]],PID,0),MATCH("4W_PERF_PR",PLabel,0)-1,1,1)/100</f>
        <v>-3.6508700000000001E-3</v>
      </c>
      <c r="AM207" s="1603">
        <f ca="1">OFFSET(POrigin,MATCH(Valori[[#This Row],[LUKB_id]],PID,0),MATCH("12W_PERF_PR",PLabel,0)-1,1,1)/100</f>
        <v>8.421409999999999E-3</v>
      </c>
      <c r="AN207" s="1603">
        <f ca="1">OFFSET(POrigin,MATCH(Valori[[#This Row],[LUKB_id]],PID,0),MATCH("YTD_PERF_PR",PLabel,0)-1,1,1)/100</f>
        <v>1.868682578782E-3</v>
      </c>
      <c r="AO207" s="1591"/>
      <c r="AP207" s="1591"/>
      <c r="AQ207" s="1591"/>
      <c r="AR207" s="1591"/>
      <c r="AS207" s="1890"/>
      <c r="AT207" s="1890" t="s">
        <v>1422</v>
      </c>
      <c r="AU207" s="610" t="s">
        <v>1423</v>
      </c>
      <c r="AV207" s="1891" t="s">
        <v>1475</v>
      </c>
      <c r="AW207" s="1604" t="str">
        <f ca="1">"https://boersenundmaerkte.lukb.ch/lukb/details/"&amp;Valori[[#This Row],[LUKB_id]]</f>
        <v>https://boersenundmaerkte.lukb.ch/lukb/details/42302430,66,333</v>
      </c>
      <c r="AX207" s="1605"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207" s="142"/>
      <c r="AZ207" s="142"/>
      <c r="BA207" s="142"/>
      <c r="BB207" s="142"/>
    </row>
    <row r="208" spans="1:54" ht="15" customHeight="1" x14ac:dyDescent="0.2">
      <c r="A208" s="142" t="s">
        <v>1476</v>
      </c>
      <c r="B208" s="142" t="str" cm="1">
        <f t="array" aca="1" ref="B208" ca="1">OFFSET(POrigin,MATCH(Valori[[#This Row],[smo_id]],Posizioni[smo_id],0),MATCH("LUKB_id",PIntestazioni,0)-1,1,1)</f>
        <v>986013,66,333</v>
      </c>
      <c r="C208" s="1668" t="str">
        <f ca="1">HYPERLINK("https://boersenundmaerkte.lukb.ch/lukb/details/"&amp;Valori[[#This Row],[LUKB_id]],"è")</f>
        <v>è</v>
      </c>
      <c r="D208" s="142" t="str" cm="1">
        <f t="array" aca="1" ref="D208" ca="1">OFFSET(POrigin,MATCH(Valori[[#This Row],[LUKB_id]],PID,0),MATCH("SC_GROUPED",PIntestazioni,0)-1,1,1)</f>
        <v>ETF</v>
      </c>
      <c r="E208" s="413" t="str" cm="1">
        <f t="array" aca="1" ref="E208" ca="1">OFFSET(POrigin,MATCH(Valori[[#This Row],[LUKB_id]],PID,0),MATCH("isin",PIntestazioni,0)-1,1,1)</f>
        <v>US81369Y4070</v>
      </c>
      <c r="F208" s="34" t="str" cm="1">
        <f t="array" aca="1" ref="F208" ca="1">OFFSET(POrigin,MATCH(Valori[[#This Row],[LUKB_id]],PID,0),MATCH("NSIN_CH",PLabel,0)-1,1,1)</f>
        <v>986013</v>
      </c>
      <c r="G208" s="95" t="str" cm="1">
        <f t="array" aca="1" ref="G208" ca="1">IF(OFFSET(POrigin,MATCH(Valori[[#This Row],[LUKB_id]],PID,0),MATCH("INSTRUNIT",PLabel,0)-1,1,1)="Nominal","Pct","Unit")</f>
        <v>Unit</v>
      </c>
      <c r="H208" s="612">
        <f ca="1">MAX(OFFSET(POrigin,MATCH(Valori[[#This Row],[LUKB_id]],PID,0),MATCH("PRICINGAMT",PLabel,0)-1,1,1),1)</f>
        <v>1</v>
      </c>
      <c r="I208" s="615" t="str" cm="1">
        <f t="array" aca="1" ref="I208" ca="1">OFFSET(POrigin,MATCH(Valori[[#This Row],[LUKB_id]],PID,0),MATCH("M_NAME",PLabel,0)-1,1,1)</f>
        <v>Consumer Discretionary Select Sector SPDR Fund</v>
      </c>
      <c r="J208" s="142" t="s">
        <v>460</v>
      </c>
      <c r="M208" s="142" t="str" cm="1">
        <f t="array" aca="1" ref="M2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Discretionary Select Sector (XLY)</v>
      </c>
      <c r="N208" s="1563">
        <f ca="1">COUNTIF('CHF M'!smo_id,Valori[[#This Row],[smo_id]])+COUNTIF('CHF MA'!smo_id,Valori[[#This Row],[smo_id]])+COUNTIF('EUR MB'!smo_id,Valori[[#This Row],[smo_id]])+COUNTIF('EUR M'!smo_id,Valori[[#This Row],[smo_id]])+COUNTIF(AGCO!smo_id,Valori[[#This Row],[smo_id]])</f>
        <v>0</v>
      </c>
      <c r="O208" s="1590" cm="1">
        <f t="array" aca="1" ref="O208" ca="1">SUM(IF('CHF M'!smo_id=Valori[[#This Row],[smo_id]],'CHF M'!Posizione))+SUM(IF('CHF MA'!smo_id=Valori[[#This Row],[smo_id]],'CHF MA'!Posizione))+SUM(IF('EUR MB'!smo_id=Valori[[#This Row],[smo_id]],'EUR MB'!Posizione))+SUM(IF('EUR M'!smo_id=Valori[[#This Row],[smo_id]],'EUR M'!Posizione))+SUM(IF(AGCO!smo_id=Valori[[#This Row],[smo_id]],AGCO!Posizione))</f>
        <v>0</v>
      </c>
      <c r="P208" s="1661" t="str">
        <f ca="1">HYPERLINK(Valori[[#This Row],[P_Source]],"è")</f>
        <v>è</v>
      </c>
      <c r="Q208" s="1663" t="str">
        <f>HYPERLINK(Valori[[#This Row],[Info_W]],"i")</f>
        <v>i</v>
      </c>
      <c r="R208" s="1664" t="str">
        <f>HYPERLINK(Valori[[#This Row],[FN_W]],"")</f>
        <v></v>
      </c>
      <c r="S208" s="1665" t="str">
        <f>HYPERLINK(Valori[[#This Row],[MS_Link]],"")</f>
        <v></v>
      </c>
      <c r="T208" s="1665" t="str">
        <f>HYPERLINK(Valori[[#This Row],[C_source]],"")</f>
        <v></v>
      </c>
      <c r="U208" s="142" t="str" cm="1">
        <f t="array" aca="1" ref="U208" ca="1">OFFSET(POrigin,MATCH(Valori[[#This Row],[LUKB_id]],PID,0),MATCH("M_CUR",PLabel,0)-1,1,1)</f>
        <v>USD</v>
      </c>
      <c r="V208" s="1562">
        <f ca="1">(Valori[[#This Row],[Last]]+Valori[[#This Row],[Acc. Int]])/Valori[[#This Row],[Pr.Amt]]/IF(Valori[[#This Row],[P_Type]]="Pct",100,1)</f>
        <v>113.60000000000001</v>
      </c>
      <c r="W208" s="1591" cm="1">
        <f t="array" aca="1" ref="W208" ca="1">OFFSET(POrigin,MATCH(Valori[[#This Row],[LUKB_id]],PID,0),MATCH("NC2_PR",PLabel,0)-1,1,1)/100</f>
        <v>-1.5597920277296401E-2</v>
      </c>
      <c r="X208" s="1592" cm="1">
        <f t="array" aca="1" ref="X208" ca="1">OFFSET(POrigin,MATCH(Valori[[#This Row],[LUKB_id]],PID,0),MATCH("LVAL",PLabel,0)-1,1,1)</f>
        <v>113.60000000000001</v>
      </c>
      <c r="Y208" s="1593" cm="1">
        <f t="array" aca="1" ref="Y208" ca="1">OFFSET(POrigin,MATCH(Valori[[#This Row],[LUKB_id]],PID,0),MATCH("LVAL:datetime",PLabel,0)-1,1,1)</f>
        <v>46084.783078703702</v>
      </c>
      <c r="Z208" s="1594" cm="1">
        <f t="array" aca="1" ref="Z208" ca="1">OFFSET(POrigin,MATCH(Valori[[#This Row],[LUKB_id]],PID,0),MATCH("BID:volume",PLabel,0)-1,1,1)</f>
        <v>300</v>
      </c>
      <c r="AA208" s="1595" cm="1">
        <f t="array" aca="1" ref="AA208" ca="1">OFFSET(POrigin,MATCH(Valori[[#This Row],[LUKB_id]],PID,0),MATCH("BID",PLabel,0)-1,1,1)</f>
        <v>113.62</v>
      </c>
      <c r="AB208" s="1595" cm="1">
        <f t="array" aca="1" ref="AB208" ca="1">OFFSET(POrigin,MATCH(Valori[[#This Row],[LUKB_id]],PID,0),MATCH("ASK",PLabel,0)-1,1,1)</f>
        <v>113.65</v>
      </c>
      <c r="AC208" s="1594" cm="1">
        <f t="array" aca="1" ref="AC208" ca="1">OFFSET(POrigin,MATCH(Valori[[#This Row],[LUKB_id]],PID,0),MATCH("ASK:volume",PLabel,0)-1,1,1)</f>
        <v>300</v>
      </c>
      <c r="AD208" s="1596" cm="1">
        <f t="array" aca="1" ref="AD208" ca="1">OFFSET(POrigin,MATCH(Valori[[#This Row],[LUKB_id]],PID,0),MATCH("BID-ASK Spread %",PLabel,0)-1,1,1)</f>
        <v>1.7600985655197358E-4</v>
      </c>
      <c r="AE208" s="1597" t="str" cm="1">
        <f t="array" aca="1" ref="AE208" ca="1">IF(OFFSET(POrigin,MATCH(Valori[[#This Row],[LUKB_id]],PID,0),MATCH("MATURITY",PLabel,0)-1,1,1)&gt;0,OFFSET(POrigin,MATCH(Valori[[#This Row],[LUKB_id]],PID,0),MATCH("MATURITY",PLabel,0)-1,1,1),"")</f>
        <v/>
      </c>
      <c r="AF208" s="1598" cm="1">
        <f t="array" aca="1" ref="AF208" ca="1">OFFSET(POrigin,MATCH(Valori[[#This Row],[LUKB_id]],PID,0),MATCH("ACCINT",PLabel,0)-1,1,1)</f>
        <v>0</v>
      </c>
      <c r="AG208" s="1594" cm="1">
        <f t="array" aca="1" ref="AG208" ca="1">OFFSET(POrigin,MATCH(Valori[[#This Row],[LUKB_id]],PID,0),MATCH("DENOM",PLabel,0)-1,1,1)</f>
        <v>0</v>
      </c>
      <c r="AH208" s="1599" cm="1">
        <f t="array" aca="1" ref="AH208" ca="1">(OFFSET(POrigin,MATCH(Valori[[#This Row],[LUKB_id]],PID,0),MATCH("YIELD",PLabel,0)-1,1,1)+OFFSET(POrigin,MATCH(Valori[[#This Row],[LUKB_id]],PID,0),MATCH("YLDEQ",PLabel,0)-1,1,1))/100</f>
        <v>0</v>
      </c>
      <c r="AI208" s="1600">
        <f ca="1">OFFSET(POrigin,MATCH(Valori[[#This Row],[LUKB_id]],PID,0),MATCH("DIVIDEND",PLabel,0)-1,1,1)</f>
        <v>0.24084799999999998</v>
      </c>
      <c r="AJ208" s="1601">
        <f ca="1">OFFSET(POrigin,MATCH(Valori[[#This Row],[LUKB_id]],PID,0),MATCH("DIVIDEND:datetime",PLabel,0)-1,1,1)</f>
        <v>46013</v>
      </c>
      <c r="AK208" s="1602">
        <f ca="1">OFFSET(POrigin,MATCH(Valori[[#This Row],[LUKB_id]],PID,0),MATCH("INTEREST",PLabel,0)-1,1,1)</f>
        <v>0</v>
      </c>
      <c r="AL208" s="1603">
        <f ca="1">OFFSET(POrigin,MATCH(Valori[[#This Row],[LUKB_id]],PID,0),MATCH("4W_PERF_PR",PLabel,0)-1,1,1)/100</f>
        <v>-6.0963009999999998E-2</v>
      </c>
      <c r="AM208" s="1603">
        <f ca="1">OFFSET(POrigin,MATCH(Valori[[#This Row],[LUKB_id]],PID,0),MATCH("12W_PERF_PR",PLabel,0)-1,1,1)/100</f>
        <v>-3.6961679999999997E-2</v>
      </c>
      <c r="AN208" s="1603">
        <f ca="1">OFFSET(POrigin,MATCH(Valori[[#This Row],[LUKB_id]],PID,0),MATCH("YTD_PERF_PR",PLabel,0)-1,1,1)/100</f>
        <v>-3.3338917741665204E-2</v>
      </c>
      <c r="AO208" s="1591"/>
      <c r="AP208" s="1591"/>
      <c r="AQ208" s="1591"/>
      <c r="AR208" s="1591"/>
      <c r="AS208" s="1890"/>
      <c r="AT208" s="1890" t="s">
        <v>1427</v>
      </c>
      <c r="AU208" s="610" t="s">
        <v>1428</v>
      </c>
      <c r="AV208" s="1891" t="s">
        <v>1477</v>
      </c>
      <c r="AW208" s="1604" t="str">
        <f ca="1">"https://boersenundmaerkte.lukb.ch/lukb/details/"&amp;Valori[[#This Row],[LUKB_id]]</f>
        <v>https://boersenundmaerkte.lukb.ch/lukb/details/986013,66,333</v>
      </c>
      <c r="AX208" s="1605" t="str">
        <f>"https://www.zonebourse.com/mods_a/charts/TV/inc_dyna_graph.php?c="&amp;Valori[[#This Row],[MS_Code]]&amp;"&amp;style=TradingView.CANDLES&amp;interval=(null)&amp;mobile=(null)&amp;showAT=1"</f>
        <v>https://www.zonebourse.com/mods_a/charts/TV/inc_dyna_graph.php?c=29424452&amp;style=TradingView.CANDLES&amp;interval=(null)&amp;mobile=(null)&amp;showAT=1</v>
      </c>
      <c r="AY208" s="142"/>
      <c r="AZ208" s="142"/>
      <c r="BA208" s="142"/>
      <c r="BB208" s="142"/>
    </row>
    <row r="209" spans="1:54" ht="15" customHeight="1" x14ac:dyDescent="0.2">
      <c r="A209" s="142" t="s">
        <v>1478</v>
      </c>
      <c r="B209" s="142" t="str" cm="1">
        <f t="array" aca="1" ref="B209" ca="1">OFFSET(POrigin,MATCH(Valori[[#This Row],[smo_id]],Posizioni[smo_id],0),MATCH("LUKB_id",PIntestazioni,0)-1,1,1)</f>
        <v>986010,66,333</v>
      </c>
      <c r="C209" s="1668" t="str">
        <f ca="1">HYPERLINK("https://boersenundmaerkte.lukb.ch/lukb/details/"&amp;Valori[[#This Row],[LUKB_id]],"è")</f>
        <v>è</v>
      </c>
      <c r="D209" s="142" t="str" cm="1">
        <f t="array" aca="1" ref="D209" ca="1">OFFSET(POrigin,MATCH(Valori[[#This Row],[LUKB_id]],PID,0),MATCH("SC_GROUPED",PIntestazioni,0)-1,1,1)</f>
        <v>ETF</v>
      </c>
      <c r="E209" s="413" t="str" cm="1">
        <f t="array" aca="1" ref="E209" ca="1">OFFSET(POrigin,MATCH(Valori[[#This Row],[LUKB_id]],PID,0),MATCH("isin",PIntestazioni,0)-1,1,1)</f>
        <v>US81369Y3080</v>
      </c>
      <c r="F209" s="34" t="str" cm="1">
        <f t="array" aca="1" ref="F209" ca="1">OFFSET(POrigin,MATCH(Valori[[#This Row],[LUKB_id]],PID,0),MATCH("NSIN_CH",PLabel,0)-1,1,1)</f>
        <v>986010</v>
      </c>
      <c r="G209" s="95" t="str" cm="1">
        <f t="array" aca="1" ref="G209" ca="1">IF(OFFSET(POrigin,MATCH(Valori[[#This Row],[LUKB_id]],PID,0),MATCH("INSTRUNIT",PLabel,0)-1,1,1)="Nominal","Pct","Unit")</f>
        <v>Unit</v>
      </c>
      <c r="H209" s="612">
        <f ca="1">MAX(OFFSET(POrigin,MATCH(Valori[[#This Row],[LUKB_id]],PID,0),MATCH("PRICINGAMT",PLabel,0)-1,1,1),1)</f>
        <v>1</v>
      </c>
      <c r="I209" s="615" t="str" cm="1">
        <f t="array" aca="1" ref="I209" ca="1">OFFSET(POrigin,MATCH(Valori[[#This Row],[LUKB_id]],PID,0),MATCH("M_NAME",PLabel,0)-1,1,1)</f>
        <v>Consumer Staples Select Sector SPDR Fund</v>
      </c>
      <c r="J209" s="142" t="s">
        <v>400</v>
      </c>
      <c r="M209" s="142" t="str" cm="1">
        <f t="array" aca="1" ref="M2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Staples Select Sector (XLP)</v>
      </c>
      <c r="N209" s="1563">
        <f ca="1">COUNTIF('CHF M'!smo_id,Valori[[#This Row],[smo_id]])+COUNTIF('CHF MA'!smo_id,Valori[[#This Row],[smo_id]])+COUNTIF('EUR MB'!smo_id,Valori[[#This Row],[smo_id]])+COUNTIF('EUR M'!smo_id,Valori[[#This Row],[smo_id]])+COUNTIF(AGCO!smo_id,Valori[[#This Row],[smo_id]])</f>
        <v>0</v>
      </c>
      <c r="O209" s="1590" cm="1">
        <f t="array" aca="1" ref="O209" ca="1">SUM(IF('CHF M'!smo_id=Valori[[#This Row],[smo_id]],'CHF M'!Posizione))+SUM(IF('CHF MA'!smo_id=Valori[[#This Row],[smo_id]],'CHF MA'!Posizione))+SUM(IF('EUR MB'!smo_id=Valori[[#This Row],[smo_id]],'EUR MB'!Posizione))+SUM(IF('EUR M'!smo_id=Valori[[#This Row],[smo_id]],'EUR M'!Posizione))+SUM(IF(AGCO!smo_id=Valori[[#This Row],[smo_id]],AGCO!Posizione))</f>
        <v>0</v>
      </c>
      <c r="P209" s="1661" t="str">
        <f ca="1">HYPERLINK(Valori[[#This Row],[P_Source]],"è")</f>
        <v>è</v>
      </c>
      <c r="Q209" s="1663" t="str">
        <f>HYPERLINK(Valori[[#This Row],[Info_W]],"i")</f>
        <v>i</v>
      </c>
      <c r="R209" s="1664" t="str">
        <f>HYPERLINK(Valori[[#This Row],[FN_W]],"")</f>
        <v></v>
      </c>
      <c r="S209" s="1665" t="str">
        <f>HYPERLINK(Valori[[#This Row],[MS_Link]],"")</f>
        <v></v>
      </c>
      <c r="T209" s="1665" t="str">
        <f>HYPERLINK(Valori[[#This Row],[C_source]],"")</f>
        <v></v>
      </c>
      <c r="U209" s="142" t="str" cm="1">
        <f t="array" aca="1" ref="U209" ca="1">OFFSET(POrigin,MATCH(Valori[[#This Row],[LUKB_id]],PID,0),MATCH("M_CUR",PLabel,0)-1,1,1)</f>
        <v>USD</v>
      </c>
      <c r="V209" s="1562">
        <f ca="1">(Valori[[#This Row],[Last]]+Valori[[#This Row],[Acc. Int]])/Valori[[#This Row],[Pr.Amt]]/IF(Valori[[#This Row],[P_Type]]="Pct",100,1)</f>
        <v>87.63</v>
      </c>
      <c r="W209" s="1591" cm="1">
        <f t="array" aca="1" ref="W209" ca="1">OFFSET(POrigin,MATCH(Valori[[#This Row],[LUKB_id]],PID,0),MATCH("NC2_PR",PLabel,0)-1,1,1)/100</f>
        <v>-1.2285843101893701E-2</v>
      </c>
      <c r="X209" s="1592" cm="1">
        <f t="array" aca="1" ref="X209" ca="1">OFFSET(POrigin,MATCH(Valori[[#This Row],[LUKB_id]],PID,0),MATCH("LVAL",PLabel,0)-1,1,1)</f>
        <v>87.63</v>
      </c>
      <c r="Y209" s="1593" cm="1">
        <f t="array" aca="1" ref="Y209" ca="1">OFFSET(POrigin,MATCH(Valori[[#This Row],[LUKB_id]],PID,0),MATCH("LVAL:datetime",PLabel,0)-1,1,1)</f>
        <v>46084.780347222222</v>
      </c>
      <c r="Z209" s="1594" cm="1">
        <f t="array" aca="1" ref="Z209" ca="1">OFFSET(POrigin,MATCH(Valori[[#This Row],[LUKB_id]],PID,0),MATCH("BID:volume",PLabel,0)-1,1,1)</f>
        <v>600</v>
      </c>
      <c r="AA209" s="1595" cm="1">
        <f t="array" aca="1" ref="AA209" ca="1">OFFSET(POrigin,MATCH(Valori[[#This Row],[LUKB_id]],PID,0),MATCH("BID",PLabel,0)-1,1,1)</f>
        <v>87.600000000000009</v>
      </c>
      <c r="AB209" s="1595" cm="1">
        <f t="array" aca="1" ref="AB209" ca="1">OFFSET(POrigin,MATCH(Valori[[#This Row],[LUKB_id]],PID,0),MATCH("ASK",PLabel,0)-1,1,1)</f>
        <v>87.63</v>
      </c>
      <c r="AC209" s="1594" cm="1">
        <f t="array" aca="1" ref="AC209" ca="1">OFFSET(POrigin,MATCH(Valori[[#This Row],[LUKB_id]],PID,0),MATCH("ASK:volume",PLabel,0)-1,1,1)</f>
        <v>1000</v>
      </c>
      <c r="AD209" s="1596" cm="1">
        <f t="array" aca="1" ref="AD209" ca="1">OFFSET(POrigin,MATCH(Valori[[#This Row],[LUKB_id]],PID,0),MATCH("BID-ASK Spread %",PLabel,0)-1,1,1)</f>
        <v>2.2828444241514988E-4</v>
      </c>
      <c r="AE209" s="1597" t="str" cm="1">
        <f t="array" aca="1" ref="AE209" ca="1">IF(OFFSET(POrigin,MATCH(Valori[[#This Row],[LUKB_id]],PID,0),MATCH("MATURITY",PLabel,0)-1,1,1)&gt;0,OFFSET(POrigin,MATCH(Valori[[#This Row],[LUKB_id]],PID,0),MATCH("MATURITY",PLabel,0)-1,1,1),"")</f>
        <v/>
      </c>
      <c r="AF209" s="1598" cm="1">
        <f t="array" aca="1" ref="AF209" ca="1">OFFSET(POrigin,MATCH(Valori[[#This Row],[LUKB_id]],PID,0),MATCH("ACCINT",PLabel,0)-1,1,1)</f>
        <v>0</v>
      </c>
      <c r="AG209" s="1594" cm="1">
        <f t="array" aca="1" ref="AG209" ca="1">OFFSET(POrigin,MATCH(Valori[[#This Row],[LUKB_id]],PID,0),MATCH("DENOM",PLabel,0)-1,1,1)</f>
        <v>0</v>
      </c>
      <c r="AH209" s="1599" cm="1">
        <f t="array" aca="1" ref="AH209" ca="1">(OFFSET(POrigin,MATCH(Valori[[#This Row],[LUKB_id]],PID,0),MATCH("YIELD",PLabel,0)-1,1,1)+OFFSET(POrigin,MATCH(Valori[[#This Row],[LUKB_id]],PID,0),MATCH("YLDEQ",PLabel,0)-1,1,1))/100</f>
        <v>0</v>
      </c>
      <c r="AI209" s="1600">
        <f ca="1">OFFSET(POrigin,MATCH(Valori[[#This Row],[LUKB_id]],PID,0),MATCH("DIVIDEND",PLabel,0)-1,1,1)</f>
        <v>0.62697099999999995</v>
      </c>
      <c r="AJ209" s="1601">
        <f ca="1">OFFSET(POrigin,MATCH(Valori[[#This Row],[LUKB_id]],PID,0),MATCH("DIVIDEND:datetime",PLabel,0)-1,1,1)</f>
        <v>46013</v>
      </c>
      <c r="AK209" s="1602">
        <f ca="1">OFFSET(POrigin,MATCH(Valori[[#This Row],[LUKB_id]],PID,0),MATCH("INTEREST",PLabel,0)-1,1,1)</f>
        <v>0</v>
      </c>
      <c r="AL209" s="1603">
        <f ca="1">OFFSET(POrigin,MATCH(Valori[[#This Row],[LUKB_id]],PID,0),MATCH("4W_PERF_PR",PLabel,0)-1,1,1)/100</f>
        <v>2.0436679999999999E-2</v>
      </c>
      <c r="AM209" s="1603">
        <f ca="1">OFFSET(POrigin,MATCH(Valori[[#This Row],[LUKB_id]],PID,0),MATCH("12W_PERF_PR",PLabel,0)-1,1,1)/100</f>
        <v>0.12382173999999999</v>
      </c>
      <c r="AN209" s="1603">
        <f ca="1">OFFSET(POrigin,MATCH(Valori[[#This Row],[LUKB_id]],PID,0),MATCH("YTD_PERF_PR",PLabel,0)-1,1,1)/100</f>
        <v>0.14153371075656301</v>
      </c>
      <c r="AO209" s="1591"/>
      <c r="AP209" s="1591"/>
      <c r="AQ209" s="1591"/>
      <c r="AR209" s="1591"/>
      <c r="AS209" s="1890"/>
      <c r="AT209" s="1890" t="s">
        <v>1433</v>
      </c>
      <c r="AU209" s="610" t="s">
        <v>1434</v>
      </c>
      <c r="AV209" s="1891" t="s">
        <v>1479</v>
      </c>
      <c r="AW209" s="1604" t="str">
        <f ca="1">"https://boersenundmaerkte.lukb.ch/lukb/details/"&amp;Valori[[#This Row],[LUKB_id]]</f>
        <v>https://boersenundmaerkte.lukb.ch/lukb/details/986010,66,333</v>
      </c>
      <c r="AX209" s="1605"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209" s="142"/>
      <c r="AZ209" s="142"/>
      <c r="BA209" s="142"/>
      <c r="BB209" s="142"/>
    </row>
    <row r="210" spans="1:54" ht="15" customHeight="1" x14ac:dyDescent="0.2">
      <c r="A210" s="142" t="s">
        <v>1480</v>
      </c>
      <c r="B210" s="142" t="str" cm="1">
        <f t="array" aca="1" ref="B210" ca="1">OFFSET(POrigin,MATCH(Valori[[#This Row],[smo_id]],Posizioni[smo_id],0),MATCH("LUKB_id",PIntestazioni,0)-1,1,1)</f>
        <v>986016,66,333</v>
      </c>
      <c r="C210" s="1668" t="str">
        <f ca="1">HYPERLINK("https://boersenundmaerkte.lukb.ch/lukb/details/"&amp;Valori[[#This Row],[LUKB_id]],"è")</f>
        <v>è</v>
      </c>
      <c r="D210" s="142" t="str" cm="1">
        <f t="array" aca="1" ref="D210" ca="1">OFFSET(POrigin,MATCH(Valori[[#This Row],[LUKB_id]],PID,0),MATCH("SC_GROUPED",PIntestazioni,0)-1,1,1)</f>
        <v>ETF</v>
      </c>
      <c r="E210" s="413" t="str" cm="1">
        <f t="array" aca="1" ref="E210" ca="1">OFFSET(POrigin,MATCH(Valori[[#This Row],[LUKB_id]],PID,0),MATCH("isin",PIntestazioni,0)-1,1,1)</f>
        <v>US81369Y5069</v>
      </c>
      <c r="F210" s="34" t="str" cm="1">
        <f t="array" aca="1" ref="F210" ca="1">OFFSET(POrigin,MATCH(Valori[[#This Row],[LUKB_id]],PID,0),MATCH("NSIN_CH",PLabel,0)-1,1,1)</f>
        <v>986016</v>
      </c>
      <c r="G210" s="95" t="str" cm="1">
        <f t="array" aca="1" ref="G210" ca="1">IF(OFFSET(POrigin,MATCH(Valori[[#This Row],[LUKB_id]],PID,0),MATCH("INSTRUNIT",PLabel,0)-1,1,1)="Nominal","Pct","Unit")</f>
        <v>Unit</v>
      </c>
      <c r="H210" s="612">
        <f ca="1">MAX(OFFSET(POrigin,MATCH(Valori[[#This Row],[LUKB_id]],PID,0),MATCH("PRICINGAMT",PLabel,0)-1,1,1),1)</f>
        <v>1</v>
      </c>
      <c r="I210" s="615" t="str" cm="1">
        <f t="array" aca="1" ref="I210" ca="1">OFFSET(POrigin,MATCH(Valori[[#This Row],[LUKB_id]],PID,0),MATCH("M_NAME",PLabel,0)-1,1,1)</f>
        <v>Energy Select Sector SPDR Fund</v>
      </c>
      <c r="J210" s="142" t="s">
        <v>1481</v>
      </c>
      <c r="M210" s="142" t="str" cm="1">
        <f t="array" aca="1" ref="M2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Energy Select Sector (XLE)</v>
      </c>
      <c r="N210" s="1563">
        <f ca="1">COUNTIF('CHF M'!smo_id,Valori[[#This Row],[smo_id]])+COUNTIF('CHF MA'!smo_id,Valori[[#This Row],[smo_id]])+COUNTIF('EUR MB'!smo_id,Valori[[#This Row],[smo_id]])+COUNTIF('EUR M'!smo_id,Valori[[#This Row],[smo_id]])+COUNTIF(AGCO!smo_id,Valori[[#This Row],[smo_id]])</f>
        <v>0</v>
      </c>
      <c r="O210" s="1590" cm="1">
        <f t="array" aca="1" ref="O210" ca="1">SUM(IF('CHF M'!smo_id=Valori[[#This Row],[smo_id]],'CHF M'!Posizione))+SUM(IF('CHF MA'!smo_id=Valori[[#This Row],[smo_id]],'CHF MA'!Posizione))+SUM(IF('EUR MB'!smo_id=Valori[[#This Row],[smo_id]],'EUR MB'!Posizione))+SUM(IF('EUR M'!smo_id=Valori[[#This Row],[smo_id]],'EUR M'!Posizione))+SUM(IF(AGCO!smo_id=Valori[[#This Row],[smo_id]],AGCO!Posizione))</f>
        <v>0</v>
      </c>
      <c r="P210" s="1661" t="str">
        <f ca="1">HYPERLINK(Valori[[#This Row],[P_Source]],"è")</f>
        <v>è</v>
      </c>
      <c r="Q210" s="1663" t="str">
        <f>HYPERLINK(Valori[[#This Row],[Info_W]],"i")</f>
        <v>i</v>
      </c>
      <c r="R210" s="1664" t="str">
        <f>HYPERLINK(Valori[[#This Row],[FN_W]],"")</f>
        <v></v>
      </c>
      <c r="S210" s="1665" t="str">
        <f>HYPERLINK(Valori[[#This Row],[MS_Link]],"")</f>
        <v></v>
      </c>
      <c r="T210" s="1665" t="str">
        <f>HYPERLINK(Valori[[#This Row],[C_source]],"")</f>
        <v></v>
      </c>
      <c r="U210" s="142" t="str" cm="1">
        <f t="array" aca="1" ref="U210" ca="1">OFFSET(POrigin,MATCH(Valori[[#This Row],[LUKB_id]],PID,0),MATCH("M_CUR",PLabel,0)-1,1,1)</f>
        <v>USD</v>
      </c>
      <c r="V210" s="1562">
        <f ca="1">(Valori[[#This Row],[Last]]+Valori[[#This Row],[Acc. Int]])/Valori[[#This Row],[Pr.Amt]]/IF(Valori[[#This Row],[P_Type]]="Pct",100,1)</f>
        <v>56.76</v>
      </c>
      <c r="W210" s="1591" cm="1">
        <f t="array" aca="1" ref="W210" ca="1">OFFSET(POrigin,MATCH(Valori[[#This Row],[LUKB_id]],PID,0),MATCH("NC2_PR",PLabel,0)-1,1,1)/100</f>
        <v>-4.7343503419254003E-3</v>
      </c>
      <c r="X210" s="1592" cm="1">
        <f t="array" aca="1" ref="X210" ca="1">OFFSET(POrigin,MATCH(Valori[[#This Row],[LUKB_id]],PID,0),MATCH("LVAL",PLabel,0)-1,1,1)</f>
        <v>56.76</v>
      </c>
      <c r="Y210" s="1593" cm="1">
        <f t="array" aca="1" ref="Y210" ca="1">OFFSET(POrigin,MATCH(Valori[[#This Row],[LUKB_id]],PID,0),MATCH("LVAL:datetime",PLabel,0)-1,1,1)</f>
        <v>46084.785868055558</v>
      </c>
      <c r="Z210" s="1594" cm="1">
        <f t="array" aca="1" ref="Z210" ca="1">OFFSET(POrigin,MATCH(Valori[[#This Row],[LUKB_id]],PID,0),MATCH("BID:volume",PLabel,0)-1,1,1)</f>
        <v>500</v>
      </c>
      <c r="AA210" s="1595" cm="1">
        <f t="array" aca="1" ref="AA210" ca="1">OFFSET(POrigin,MATCH(Valori[[#This Row],[LUKB_id]],PID,0),MATCH("BID",PLabel,0)-1,1,1)</f>
        <v>56.75</v>
      </c>
      <c r="AB210" s="1595" cm="1">
        <f t="array" aca="1" ref="AB210" ca="1">OFFSET(POrigin,MATCH(Valori[[#This Row],[LUKB_id]],PID,0),MATCH("ASK",PLabel,0)-1,1,1)</f>
        <v>56.76</v>
      </c>
      <c r="AC210" s="1594" cm="1">
        <f t="array" aca="1" ref="AC210" ca="1">OFFSET(POrigin,MATCH(Valori[[#This Row],[LUKB_id]],PID,0),MATCH("ASK:volume",PLabel,0)-1,1,1)</f>
        <v>300</v>
      </c>
      <c r="AD210" s="1596" cm="1">
        <f t="array" aca="1" ref="AD210" ca="1">OFFSET(POrigin,MATCH(Valori[[#This Row],[LUKB_id]],PID,0),MATCH("BID-ASK Spread %",PLabel,0)-1,1,1)</f>
        <v>1.1746740279570082E-4</v>
      </c>
      <c r="AE210" s="1597" t="str" cm="1">
        <f t="array" aca="1" ref="AE210" ca="1">IF(OFFSET(POrigin,MATCH(Valori[[#This Row],[LUKB_id]],PID,0),MATCH("MATURITY",PLabel,0)-1,1,1)&gt;0,OFFSET(POrigin,MATCH(Valori[[#This Row],[LUKB_id]],PID,0),MATCH("MATURITY",PLabel,0)-1,1,1),"")</f>
        <v/>
      </c>
      <c r="AF210" s="1598" cm="1">
        <f t="array" aca="1" ref="AF210" ca="1">OFFSET(POrigin,MATCH(Valori[[#This Row],[LUKB_id]],PID,0),MATCH("ACCINT",PLabel,0)-1,1,1)</f>
        <v>0</v>
      </c>
      <c r="AG210" s="1594" cm="1">
        <f t="array" aca="1" ref="AG210" ca="1">OFFSET(POrigin,MATCH(Valori[[#This Row],[LUKB_id]],PID,0),MATCH("DENOM",PLabel,0)-1,1,1)</f>
        <v>0</v>
      </c>
      <c r="AH210" s="1599" cm="1">
        <f t="array" aca="1" ref="AH210" ca="1">(OFFSET(POrigin,MATCH(Valori[[#This Row],[LUKB_id]],PID,0),MATCH("YIELD",PLabel,0)-1,1,1)+OFFSET(POrigin,MATCH(Valori[[#This Row],[LUKB_id]],PID,0),MATCH("YLDEQ",PLabel,0)-1,1,1))/100</f>
        <v>0</v>
      </c>
      <c r="AI210" s="1600">
        <f ca="1">OFFSET(POrigin,MATCH(Valori[[#This Row],[LUKB_id]],PID,0),MATCH("DIVIDEND",PLabel,0)-1,1,1)</f>
        <v>0.37301499999999999</v>
      </c>
      <c r="AJ210" s="1601">
        <f ca="1">OFFSET(POrigin,MATCH(Valori[[#This Row],[LUKB_id]],PID,0),MATCH("DIVIDEND:datetime",PLabel,0)-1,1,1)</f>
        <v>46013</v>
      </c>
      <c r="AK210" s="1602">
        <f ca="1">OFFSET(POrigin,MATCH(Valori[[#This Row],[LUKB_id]],PID,0),MATCH("INTEREST",PLabel,0)-1,1,1)</f>
        <v>0</v>
      </c>
      <c r="AL210" s="1603">
        <f ca="1">OFFSET(POrigin,MATCH(Valori[[#This Row],[LUKB_id]],PID,0),MATCH("4W_PERF_PR",PLabel,0)-1,1,1)/100</f>
        <v>9.8935139999999991E-2</v>
      </c>
      <c r="AM210" s="1603">
        <f ca="1">OFFSET(POrigin,MATCH(Valori[[#This Row],[LUKB_id]],PID,0),MATCH("12W_PERF_PR",PLabel,0)-1,1,1)/100</f>
        <v>0.24201312999999999</v>
      </c>
      <c r="AN210" s="1603">
        <f ca="1">OFFSET(POrigin,MATCH(Valori[[#This Row],[LUKB_id]],PID,0),MATCH("YTD_PERF_PR",PLabel,0)-1,1,1)/100</f>
        <v>0.27484072873588999</v>
      </c>
      <c r="AO210" s="1591"/>
      <c r="AP210" s="1591"/>
      <c r="AQ210" s="1591"/>
      <c r="AR210" s="1591"/>
      <c r="AS210" s="1890"/>
      <c r="AT210" s="1890" t="s">
        <v>1439</v>
      </c>
      <c r="AU210" s="610" t="s">
        <v>1440</v>
      </c>
      <c r="AV210" s="1891" t="s">
        <v>1482</v>
      </c>
      <c r="AW210" s="1604" t="str">
        <f ca="1">"https://boersenundmaerkte.lukb.ch/lukb/details/"&amp;Valori[[#This Row],[LUKB_id]]</f>
        <v>https://boersenundmaerkte.lukb.ch/lukb/details/986016,66,333</v>
      </c>
      <c r="AX210" s="1605"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210" s="142"/>
      <c r="AZ210" s="142"/>
      <c r="BA210" s="142"/>
      <c r="BB210" s="142"/>
    </row>
    <row r="211" spans="1:54" ht="15" customHeight="1" x14ac:dyDescent="0.2">
      <c r="A211" s="142" t="s">
        <v>1483</v>
      </c>
      <c r="B211" s="142" t="str" cm="1">
        <f t="array" aca="1" ref="B211" ca="1">OFFSET(POrigin,MATCH(Valori[[#This Row],[smo_id]],Posizioni[smo_id],0),MATCH("LUKB_id",PIntestazioni,0)-1,1,1)</f>
        <v>986018,66,333</v>
      </c>
      <c r="C211" s="1668" t="str">
        <f ca="1">HYPERLINK("https://boersenundmaerkte.lukb.ch/lukb/details/"&amp;Valori[[#This Row],[LUKB_id]],"è")</f>
        <v>è</v>
      </c>
      <c r="D211" s="142" t="str" cm="1">
        <f t="array" aca="1" ref="D211" ca="1">OFFSET(POrigin,MATCH(Valori[[#This Row],[LUKB_id]],PID,0),MATCH("SC_GROUPED",PIntestazioni,0)-1,1,1)</f>
        <v>ETF</v>
      </c>
      <c r="E211" s="413" t="str" cm="1">
        <f t="array" aca="1" ref="E211" ca="1">OFFSET(POrigin,MATCH(Valori[[#This Row],[LUKB_id]],PID,0),MATCH("isin",PIntestazioni,0)-1,1,1)</f>
        <v>US81369Y6059</v>
      </c>
      <c r="F211" s="34" t="str" cm="1">
        <f t="array" aca="1" ref="F211" ca="1">OFFSET(POrigin,MATCH(Valori[[#This Row],[LUKB_id]],PID,0),MATCH("NSIN_CH",PLabel,0)-1,1,1)</f>
        <v>986018</v>
      </c>
      <c r="G211" s="95" t="str" cm="1">
        <f t="array" aca="1" ref="G211" ca="1">IF(OFFSET(POrigin,MATCH(Valori[[#This Row],[LUKB_id]],PID,0),MATCH("INSTRUNIT",PLabel,0)-1,1,1)="Nominal","Pct","Unit")</f>
        <v>Unit</v>
      </c>
      <c r="H211" s="612">
        <f ca="1">MAX(OFFSET(POrigin,MATCH(Valori[[#This Row],[LUKB_id]],PID,0),MATCH("PRICINGAMT",PLabel,0)-1,1,1),1)</f>
        <v>1</v>
      </c>
      <c r="I211" s="615" t="str" cm="1">
        <f t="array" aca="1" ref="I211" ca="1">OFFSET(POrigin,MATCH(Valori[[#This Row],[LUKB_id]],PID,0),MATCH("M_NAME",PLabel,0)-1,1,1)</f>
        <v>Financial Select Sector SPDR Fund</v>
      </c>
      <c r="J211" s="142" t="s">
        <v>411</v>
      </c>
      <c r="M211" s="142" t="str" cm="1">
        <f t="array" aca="1" ref="M2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Financial Select Sector (XLF)</v>
      </c>
      <c r="N211" s="1563">
        <f ca="1">COUNTIF('CHF M'!smo_id,Valori[[#This Row],[smo_id]])+COUNTIF('CHF MA'!smo_id,Valori[[#This Row],[smo_id]])+COUNTIF('EUR MB'!smo_id,Valori[[#This Row],[smo_id]])+COUNTIF('EUR M'!smo_id,Valori[[#This Row],[smo_id]])+COUNTIF(AGCO!smo_id,Valori[[#This Row],[smo_id]])</f>
        <v>4</v>
      </c>
      <c r="O211" s="1590">
        <v>4810</v>
      </c>
      <c r="P211" s="1661" t="str">
        <f ca="1">HYPERLINK(Valori[[#This Row],[P_Source]],"è")</f>
        <v>è</v>
      </c>
      <c r="Q211" s="1663" t="str">
        <f>HYPERLINK(Valori[[#This Row],[Info_W]],"i")</f>
        <v>i</v>
      </c>
      <c r="R211" s="1664" t="str">
        <f>HYPERLINK(Valori[[#This Row],[FN_W]],"")</f>
        <v></v>
      </c>
      <c r="S211" s="1665" t="str">
        <f>HYPERLINK(Valori[[#This Row],[MS_Link]],"")</f>
        <v></v>
      </c>
      <c r="T211" s="1665" t="str">
        <f>HYPERLINK(Valori[[#This Row],[C_source]],"")</f>
        <v></v>
      </c>
      <c r="U211" s="142" t="str" cm="1">
        <f t="array" aca="1" ref="U211" ca="1">OFFSET(POrigin,MATCH(Valori[[#This Row],[LUKB_id]],PID,0),MATCH("M_CUR",PLabel,0)-1,1,1)</f>
        <v>USD</v>
      </c>
      <c r="V211" s="1562">
        <f ca="1">(Valori[[#This Row],[Last]]+Valori[[#This Row],[Acc. Int]])/Valori[[#This Row],[Pr.Amt]]/IF(Valori[[#This Row],[P_Type]]="Pct",100,1)</f>
        <v>51.02</v>
      </c>
      <c r="W211" s="1591" cm="1">
        <f t="array" aca="1" ref="W211" ca="1">OFFSET(POrigin,MATCH(Valori[[#This Row],[LUKB_id]],PID,0),MATCH("NC2_PR",PLabel,0)-1,1,1)/100</f>
        <v>-5.5550141311763003E-3</v>
      </c>
      <c r="X211" s="1592" cm="1">
        <f t="array" aca="1" ref="X211" ca="1">OFFSET(POrigin,MATCH(Valori[[#This Row],[LUKB_id]],PID,0),MATCH("LVAL",PLabel,0)-1,1,1)</f>
        <v>51.02</v>
      </c>
      <c r="Y211" s="1593" cm="1">
        <f t="array" aca="1" ref="Y211" ca="1">OFFSET(POrigin,MATCH(Valori[[#This Row],[LUKB_id]],PID,0),MATCH("LVAL:datetime",PLabel,0)-1,1,1)</f>
        <v>46084.785567129627</v>
      </c>
      <c r="Z211" s="1594" cm="1">
        <f t="array" aca="1" ref="Z211" ca="1">OFFSET(POrigin,MATCH(Valori[[#This Row],[LUKB_id]],PID,0),MATCH("BID:volume",PLabel,0)-1,1,1)</f>
        <v>500</v>
      </c>
      <c r="AA211" s="1595" cm="1">
        <f t="array" aca="1" ref="AA211" ca="1">OFFSET(POrigin,MATCH(Valori[[#This Row],[LUKB_id]],PID,0),MATCH("BID",PLabel,0)-1,1,1)</f>
        <v>51.02</v>
      </c>
      <c r="AB211" s="1595" cm="1">
        <f t="array" aca="1" ref="AB211" ca="1">OFFSET(POrigin,MATCH(Valori[[#This Row],[LUKB_id]],PID,0),MATCH("ASK",PLabel,0)-1,1,1)</f>
        <v>51.03</v>
      </c>
      <c r="AC211" s="1594" cm="1">
        <f t="array" aca="1" ref="AC211" ca="1">OFFSET(POrigin,MATCH(Valori[[#This Row],[LUKB_id]],PID,0),MATCH("ASK:volume",PLabel,0)-1,1,1)</f>
        <v>600</v>
      </c>
      <c r="AD211" s="1596" cm="1">
        <f t="array" aca="1" ref="AD211" ca="1">OFFSET(POrigin,MATCH(Valori[[#This Row],[LUKB_id]],PID,0),MATCH("BID-ASK Spread %",PLabel,0)-1,1,1)</f>
        <v>1.3065917554057636E-4</v>
      </c>
      <c r="AE211" s="1597" t="str" cm="1">
        <f t="array" aca="1" ref="AE211" ca="1">IF(OFFSET(POrigin,MATCH(Valori[[#This Row],[LUKB_id]],PID,0),MATCH("MATURITY",PLabel,0)-1,1,1)&gt;0,OFFSET(POrigin,MATCH(Valori[[#This Row],[LUKB_id]],PID,0),MATCH("MATURITY",PLabel,0)-1,1,1),"")</f>
        <v/>
      </c>
      <c r="AF211" s="1598" cm="1">
        <f t="array" aca="1" ref="AF211" ca="1">OFFSET(POrigin,MATCH(Valori[[#This Row],[LUKB_id]],PID,0),MATCH("ACCINT",PLabel,0)-1,1,1)</f>
        <v>0</v>
      </c>
      <c r="AG211" s="1594" cm="1">
        <f t="array" aca="1" ref="AG211" ca="1">OFFSET(POrigin,MATCH(Valori[[#This Row],[LUKB_id]],PID,0),MATCH("DENOM",PLabel,0)-1,1,1)</f>
        <v>0</v>
      </c>
      <c r="AH211" s="1599" cm="1">
        <f t="array" aca="1" ref="AH211" ca="1">(OFFSET(POrigin,MATCH(Valori[[#This Row],[LUKB_id]],PID,0),MATCH("YIELD",PLabel,0)-1,1,1)+OFFSET(POrigin,MATCH(Valori[[#This Row],[LUKB_id]],PID,0),MATCH("YLDEQ",PLabel,0)-1,1,1))/100</f>
        <v>0</v>
      </c>
      <c r="AI211" s="1600">
        <f ca="1">OFFSET(POrigin,MATCH(Valori[[#This Row],[LUKB_id]],PID,0),MATCH("DIVIDEND",PLabel,0)-1,1,1)</f>
        <v>0.190771</v>
      </c>
      <c r="AJ211" s="1601">
        <f ca="1">OFFSET(POrigin,MATCH(Valori[[#This Row],[LUKB_id]],PID,0),MATCH("DIVIDEND:datetime",PLabel,0)-1,1,1)</f>
        <v>46013</v>
      </c>
      <c r="AK211" s="1602">
        <f ca="1">OFFSET(POrigin,MATCH(Valori[[#This Row],[LUKB_id]],PID,0),MATCH("INTEREST",PLabel,0)-1,1,1)</f>
        <v>0</v>
      </c>
      <c r="AL211" s="1603">
        <f ca="1">OFFSET(POrigin,MATCH(Valori[[#This Row],[LUKB_id]],PID,0),MATCH("4W_PERF_PR",PLabel,0)-1,1,1)/100</f>
        <v>-4.6711509999999998E-2</v>
      </c>
      <c r="AM211" s="1603">
        <f ca="1">OFFSET(POrigin,MATCH(Valori[[#This Row],[LUKB_id]],PID,0),MATCH("12W_PERF_PR",PLabel,0)-1,1,1)/100</f>
        <v>-4.1967890000000001E-2</v>
      </c>
      <c r="AN211" s="1603">
        <f ca="1">OFFSET(POrigin,MATCH(Valori[[#This Row],[LUKB_id]],PID,0),MATCH("YTD_PERF_PR",PLabel,0)-1,1,1)/100</f>
        <v>-6.3350068461889592E-2</v>
      </c>
      <c r="AO211" s="1591"/>
      <c r="AP211" s="1591"/>
      <c r="AQ211" s="1591"/>
      <c r="AR211" s="1591"/>
      <c r="AS211" s="1890"/>
      <c r="AT211" s="1890" t="s">
        <v>1444</v>
      </c>
      <c r="AU211" s="610" t="s">
        <v>1445</v>
      </c>
      <c r="AV211" s="1891" t="s">
        <v>1484</v>
      </c>
      <c r="AW211" s="1604" t="str">
        <f ca="1">"https://boersenundmaerkte.lukb.ch/lukb/details/"&amp;Valori[[#This Row],[LUKB_id]]</f>
        <v>https://boersenundmaerkte.lukb.ch/lukb/details/986018,66,333</v>
      </c>
      <c r="AX211" s="1605"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11" s="142"/>
      <c r="AZ211" s="142"/>
      <c r="BA211" s="142"/>
      <c r="BB211" s="142"/>
    </row>
    <row r="212" spans="1:54" ht="15" customHeight="1" x14ac:dyDescent="0.2">
      <c r="A212" s="142" t="s">
        <v>1485</v>
      </c>
      <c r="B212" s="142" t="str" cm="1">
        <f t="array" aca="1" ref="B212" ca="1">OFFSET(POrigin,MATCH(Valori[[#This Row],[smo_id]],Posizioni[smo_id],0),MATCH("LUKB_id",PIntestazioni,0)-1,1,1)</f>
        <v>986012,66,333</v>
      </c>
      <c r="C212" s="1668" t="str">
        <f ca="1">HYPERLINK("https://boersenundmaerkte.lukb.ch/lukb/details/"&amp;Valori[[#This Row],[LUKB_id]],"è")</f>
        <v>è</v>
      </c>
      <c r="D212" s="142" t="str" cm="1">
        <f t="array" aca="1" ref="D212" ca="1">OFFSET(POrigin,MATCH(Valori[[#This Row],[LUKB_id]],PID,0),MATCH("SC_GROUPED",PIntestazioni,0)-1,1,1)</f>
        <v>ETF</v>
      </c>
      <c r="E212" s="413" t="str" cm="1">
        <f t="array" aca="1" ref="E212" ca="1">OFFSET(POrigin,MATCH(Valori[[#This Row],[LUKB_id]],PID,0),MATCH("isin",PIntestazioni,0)-1,1,1)</f>
        <v>US81369Y2090</v>
      </c>
      <c r="F212" s="34" t="str" cm="1">
        <f t="array" aca="1" ref="F212" ca="1">OFFSET(POrigin,MATCH(Valori[[#This Row],[LUKB_id]],PID,0),MATCH("NSIN_CH",PLabel,0)-1,1,1)</f>
        <v>986012</v>
      </c>
      <c r="G212" s="95" t="str" cm="1">
        <f t="array" aca="1" ref="G212" ca="1">IF(OFFSET(POrigin,MATCH(Valori[[#This Row],[LUKB_id]],PID,0),MATCH("INSTRUNIT",PLabel,0)-1,1,1)="Nominal","Pct","Unit")</f>
        <v>Unit</v>
      </c>
      <c r="H212" s="612">
        <f ca="1">MAX(OFFSET(POrigin,MATCH(Valori[[#This Row],[LUKB_id]],PID,0),MATCH("PRICINGAMT",PLabel,0)-1,1,1),1)</f>
        <v>1</v>
      </c>
      <c r="I212" s="615" t="str" cm="1">
        <f t="array" aca="1" ref="I212" ca="1">OFFSET(POrigin,MATCH(Valori[[#This Row],[LUKB_id]],PID,0),MATCH("M_NAME",PLabel,0)-1,1,1)</f>
        <v>Health Care Select Sector SPDR Fund</v>
      </c>
      <c r="J212" s="142" t="s">
        <v>445</v>
      </c>
      <c r="M212" s="142" t="str" cm="1">
        <f t="array" aca="1" ref="M2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Health Care Select Sector (XLV)</v>
      </c>
      <c r="N212" s="1563">
        <f ca="1">COUNTIF('CHF M'!smo_id,Valori[[#This Row],[smo_id]])+COUNTIF('CHF MA'!smo_id,Valori[[#This Row],[smo_id]])+COUNTIF('EUR MB'!smo_id,Valori[[#This Row],[smo_id]])+COUNTIF('EUR M'!smo_id,Valori[[#This Row],[smo_id]])+COUNTIF(AGCO!smo_id,Valori[[#This Row],[smo_id]])</f>
        <v>0</v>
      </c>
      <c r="O212" s="1590" cm="1">
        <f t="array" aca="1" ref="O212" ca="1">SUM(IF('CHF M'!smo_id=Valori[[#This Row],[smo_id]],'CHF M'!Posizione))+SUM(IF('CHF MA'!smo_id=Valori[[#This Row],[smo_id]],'CHF MA'!Posizione))+SUM(IF('EUR MB'!smo_id=Valori[[#This Row],[smo_id]],'EUR MB'!Posizione))+SUM(IF('EUR M'!smo_id=Valori[[#This Row],[smo_id]],'EUR M'!Posizione))+SUM(IF(AGCO!smo_id=Valori[[#This Row],[smo_id]],AGCO!Posizione))</f>
        <v>0</v>
      </c>
      <c r="P212" s="1661" t="str">
        <f ca="1">HYPERLINK(Valori[[#This Row],[P_Source]],"è")</f>
        <v>è</v>
      </c>
      <c r="Q212" s="1663" t="str">
        <f>HYPERLINK(Valori[[#This Row],[Info_W]],"i")</f>
        <v>i</v>
      </c>
      <c r="R212" s="1664" t="str">
        <f>HYPERLINK(Valori[[#This Row],[FN_W]],"")</f>
        <v></v>
      </c>
      <c r="S212" s="1665" t="str">
        <f>HYPERLINK(Valori[[#This Row],[MS_Link]],"")</f>
        <v></v>
      </c>
      <c r="T212" s="1665" t="str">
        <f>HYPERLINK(Valori[[#This Row],[C_source]],"")</f>
        <v></v>
      </c>
      <c r="U212" s="142" t="str" cm="1">
        <f t="array" aca="1" ref="U212" ca="1">OFFSET(POrigin,MATCH(Valori[[#This Row],[LUKB_id]],PID,0),MATCH("M_CUR",PLabel,0)-1,1,1)</f>
        <v>USD</v>
      </c>
      <c r="V212" s="1562">
        <f ca="1">(Valori[[#This Row],[Last]]+Valori[[#This Row],[Acc. Int]])/Valori[[#This Row],[Pr.Amt]]/IF(Valori[[#This Row],[P_Type]]="Pct",100,1)</f>
        <v>156.24</v>
      </c>
      <c r="W212" s="1591" cm="1">
        <f t="array" aca="1" ref="W212" ca="1">OFFSET(POrigin,MATCH(Valori[[#This Row],[LUKB_id]],PID,0),MATCH("NC2_PR",PLabel,0)-1,1,1)/100</f>
        <v>-1.4724893583478E-2</v>
      </c>
      <c r="X212" s="1592" cm="1">
        <f t="array" aca="1" ref="X212" ca="1">OFFSET(POrigin,MATCH(Valori[[#This Row],[LUKB_id]],PID,0),MATCH("LVAL",PLabel,0)-1,1,1)</f>
        <v>156.24</v>
      </c>
      <c r="Y212" s="1593" cm="1">
        <f t="array" aca="1" ref="Y212" ca="1">OFFSET(POrigin,MATCH(Valori[[#This Row],[LUKB_id]],PID,0),MATCH("LVAL:datetime",PLabel,0)-1,1,1)</f>
        <v>46084.785729166666</v>
      </c>
      <c r="Z212" s="1594" cm="1">
        <f t="array" aca="1" ref="Z212" ca="1">OFFSET(POrigin,MATCH(Valori[[#This Row],[LUKB_id]],PID,0),MATCH("BID:volume",PLabel,0)-1,1,1)</f>
        <v>100</v>
      </c>
      <c r="AA212" s="1595" cm="1">
        <f t="array" aca="1" ref="AA212" ca="1">OFFSET(POrigin,MATCH(Valori[[#This Row],[LUKB_id]],PID,0),MATCH("BID",PLabel,0)-1,1,1)</f>
        <v>156.22</v>
      </c>
      <c r="AB212" s="1595" cm="1">
        <f t="array" aca="1" ref="AB212" ca="1">OFFSET(POrigin,MATCH(Valori[[#This Row],[LUKB_id]],PID,0),MATCH("ASK",PLabel,0)-1,1,1)</f>
        <v>156.22</v>
      </c>
      <c r="AC212" s="1594" cm="1">
        <f t="array" aca="1" ref="AC212" ca="1">OFFSET(POrigin,MATCH(Valori[[#This Row],[LUKB_id]],PID,0),MATCH("ASK:volume",PLabel,0)-1,1,1)</f>
        <v>100</v>
      </c>
      <c r="AD212" s="1596" cm="1">
        <f t="array" aca="1" ref="AD212" ca="1">OFFSET(POrigin,MATCH(Valori[[#This Row],[LUKB_id]],PID,0),MATCH("BID-ASK Spread %",PLabel,0)-1,1,1)</f>
        <v>0</v>
      </c>
      <c r="AE212" s="1597" t="str" cm="1">
        <f t="array" aca="1" ref="AE212" ca="1">IF(OFFSET(POrigin,MATCH(Valori[[#This Row],[LUKB_id]],PID,0),MATCH("MATURITY",PLabel,0)-1,1,1)&gt;0,OFFSET(POrigin,MATCH(Valori[[#This Row],[LUKB_id]],PID,0),MATCH("MATURITY",PLabel,0)-1,1,1),"")</f>
        <v/>
      </c>
      <c r="AF212" s="1598" cm="1">
        <f t="array" aca="1" ref="AF212" ca="1">OFFSET(POrigin,MATCH(Valori[[#This Row],[LUKB_id]],PID,0),MATCH("ACCINT",PLabel,0)-1,1,1)</f>
        <v>0</v>
      </c>
      <c r="AG212" s="1594" cm="1">
        <f t="array" aca="1" ref="AG212" ca="1">OFFSET(POrigin,MATCH(Valori[[#This Row],[LUKB_id]],PID,0),MATCH("DENOM",PLabel,0)-1,1,1)</f>
        <v>0</v>
      </c>
      <c r="AH212" s="1599" cm="1">
        <f t="array" aca="1" ref="AH212" ca="1">(OFFSET(POrigin,MATCH(Valori[[#This Row],[LUKB_id]],PID,0),MATCH("YIELD",PLabel,0)-1,1,1)+OFFSET(POrigin,MATCH(Valori[[#This Row],[LUKB_id]],PID,0),MATCH("YLDEQ",PLabel,0)-1,1,1))/100</f>
        <v>0</v>
      </c>
      <c r="AI212" s="1600">
        <f ca="1">OFFSET(POrigin,MATCH(Valori[[#This Row],[LUKB_id]],PID,0),MATCH("DIVIDEND",PLabel,0)-1,1,1)</f>
        <v>0.65682200000000002</v>
      </c>
      <c r="AJ212" s="1601">
        <f ca="1">OFFSET(POrigin,MATCH(Valori[[#This Row],[LUKB_id]],PID,0),MATCH("DIVIDEND:datetime",PLabel,0)-1,1,1)</f>
        <v>46013</v>
      </c>
      <c r="AK212" s="1602">
        <f ca="1">OFFSET(POrigin,MATCH(Valori[[#This Row],[LUKB_id]],PID,0),MATCH("INTEREST",PLabel,0)-1,1,1)</f>
        <v>0</v>
      </c>
      <c r="AL212" s="1603">
        <f ca="1">OFFSET(POrigin,MATCH(Valori[[#This Row],[LUKB_id]],PID,0),MATCH("4W_PERF_PR",PLabel,0)-1,1,1)/100</f>
        <v>1.2507289999999999E-2</v>
      </c>
      <c r="AM212" s="1603">
        <f ca="1">OFFSET(POrigin,MATCH(Valori[[#This Row],[LUKB_id]],PID,0),MATCH("12W_PERF_PR",PLabel,0)-1,1,1)/100</f>
        <v>4.2086309999999995E-2</v>
      </c>
      <c r="AN212" s="1603">
        <f ca="1">OFFSET(POrigin,MATCH(Valori[[#This Row],[LUKB_id]],PID,0),MATCH("YTD_PERF_PR",PLabel,0)-1,1,1)/100</f>
        <v>2.3989409789487399E-2</v>
      </c>
      <c r="AO212" s="1591"/>
      <c r="AP212" s="1591"/>
      <c r="AQ212" s="1591"/>
      <c r="AR212" s="1591"/>
      <c r="AS212" s="1890"/>
      <c r="AT212" s="1890" t="s">
        <v>1449</v>
      </c>
      <c r="AU212" s="610" t="s">
        <v>1450</v>
      </c>
      <c r="AV212" s="1891" t="s">
        <v>1486</v>
      </c>
      <c r="AW212" s="1604" t="str">
        <f ca="1">"https://boersenundmaerkte.lukb.ch/lukb/details/"&amp;Valori[[#This Row],[LUKB_id]]</f>
        <v>https://boersenundmaerkte.lukb.ch/lukb/details/986012,66,333</v>
      </c>
      <c r="AX212" s="1605"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12" s="142"/>
      <c r="AZ212" s="142"/>
      <c r="BA212" s="142"/>
      <c r="BB212" s="142"/>
    </row>
    <row r="213" spans="1:54" ht="15" customHeight="1" x14ac:dyDescent="0.2">
      <c r="A213" s="142" t="s">
        <v>1487</v>
      </c>
      <c r="B213" s="142" t="str" cm="1">
        <f t="array" aca="1" ref="B213" ca="1">OFFSET(POrigin,MATCH(Valori[[#This Row],[smo_id]],Posizioni[smo_id],0),MATCH("LUKB_id",PIntestazioni,0)-1,1,1)</f>
        <v>986058,66,333</v>
      </c>
      <c r="C213" s="1668" t="str">
        <f ca="1">HYPERLINK("https://boersenundmaerkte.lukb.ch/lukb/details/"&amp;Valori[[#This Row],[LUKB_id]],"è")</f>
        <v>è</v>
      </c>
      <c r="D213" s="142" t="str" cm="1">
        <f t="array" aca="1" ref="D213" ca="1">OFFSET(POrigin,MATCH(Valori[[#This Row],[LUKB_id]],PID,0),MATCH("SC_GROUPED",PIntestazioni,0)-1,1,1)</f>
        <v>ETF</v>
      </c>
      <c r="E213" s="413" t="str" cm="1">
        <f t="array" aca="1" ref="E213" ca="1">OFFSET(POrigin,MATCH(Valori[[#This Row],[LUKB_id]],PID,0),MATCH("isin",PIntestazioni,0)-1,1,1)</f>
        <v>US81369Y7040</v>
      </c>
      <c r="F213" s="34" t="str" cm="1">
        <f t="array" aca="1" ref="F213" ca="1">OFFSET(POrigin,MATCH(Valori[[#This Row],[LUKB_id]],PID,0),MATCH("NSIN_CH",PLabel,0)-1,1,1)</f>
        <v>986058</v>
      </c>
      <c r="G213" s="95" t="str" cm="1">
        <f t="array" aca="1" ref="G213" ca="1">IF(OFFSET(POrigin,MATCH(Valori[[#This Row],[LUKB_id]],PID,0),MATCH("INSTRUNIT",PLabel,0)-1,1,1)="Nominal","Pct","Unit")</f>
        <v>Unit</v>
      </c>
      <c r="H213" s="612">
        <f ca="1">MAX(OFFSET(POrigin,MATCH(Valori[[#This Row],[LUKB_id]],PID,0),MATCH("PRICINGAMT",PLabel,0)-1,1,1),1)</f>
        <v>1</v>
      </c>
      <c r="I213" s="615" t="str" cm="1">
        <f t="array" aca="1" ref="I213" ca="1">OFFSET(POrigin,MATCH(Valori[[#This Row],[LUKB_id]],PID,0),MATCH("M_NAME",PLabel,0)-1,1,1)</f>
        <v>Industrial Select Sector SPDR Fund</v>
      </c>
      <c r="J213" s="142" t="s">
        <v>472</v>
      </c>
      <c r="M213" s="142" t="str" cm="1">
        <f t="array" aca="1" ref="M2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Industrial Select Sector (XLI)</v>
      </c>
      <c r="N213" s="1563">
        <f ca="1">COUNTIF('CHF M'!smo_id,Valori[[#This Row],[smo_id]])+COUNTIF('CHF MA'!smo_id,Valori[[#This Row],[smo_id]])+COUNTIF('EUR MB'!smo_id,Valori[[#This Row],[smo_id]])+COUNTIF('EUR M'!smo_id,Valori[[#This Row],[smo_id]])+COUNTIF(AGCO!smo_id,Valori[[#This Row],[smo_id]])</f>
        <v>4</v>
      </c>
      <c r="O213" s="1590">
        <v>1515</v>
      </c>
      <c r="P213" s="1661" t="str">
        <f ca="1">HYPERLINK(Valori[[#This Row],[P_Source]],"è")</f>
        <v>è</v>
      </c>
      <c r="Q213" s="1663" t="str">
        <f>HYPERLINK(Valori[[#This Row],[Info_W]],"i")</f>
        <v>i</v>
      </c>
      <c r="R213" s="1664" t="str">
        <f>HYPERLINK(Valori[[#This Row],[FN_W]],"")</f>
        <v></v>
      </c>
      <c r="S213" s="1665" t="str">
        <f>HYPERLINK(Valori[[#This Row],[MS_Link]],"")</f>
        <v></v>
      </c>
      <c r="T213" s="1665" t="str">
        <f>HYPERLINK(Valori[[#This Row],[C_source]],"")</f>
        <v></v>
      </c>
      <c r="U213" s="142" t="str" cm="1">
        <f t="array" aca="1" ref="U213" ca="1">OFFSET(POrigin,MATCH(Valori[[#This Row],[LUKB_id]],PID,0),MATCH("M_CUR",PLabel,0)-1,1,1)</f>
        <v>USD</v>
      </c>
      <c r="V213" s="1562">
        <f ca="1">(Valori[[#This Row],[Last]]+Valori[[#This Row],[Acc. Int]])/Valori[[#This Row],[Pr.Amt]]/IF(Valori[[#This Row],[P_Type]]="Pct",100,1)</f>
        <v>175.73</v>
      </c>
      <c r="W213" s="1591" cm="1">
        <f t="array" aca="1" ref="W213" ca="1">OFFSET(POrigin,MATCH(Valori[[#This Row],[LUKB_id]],PID,0),MATCH("NC2_PR",PLabel,0)-1,1,1)/100</f>
        <v>-1.77193963107883E-2</v>
      </c>
      <c r="X213" s="1592" cm="1">
        <f t="array" aca="1" ref="X213" ca="1">OFFSET(POrigin,MATCH(Valori[[#This Row],[LUKB_id]],PID,0),MATCH("LVAL",PLabel,0)-1,1,1)</f>
        <v>175.73</v>
      </c>
      <c r="Y213" s="1593" cm="1">
        <f t="array" aca="1" ref="Y213" ca="1">OFFSET(POrigin,MATCH(Valori[[#This Row],[LUKB_id]],PID,0),MATCH("LVAL:datetime",PLabel,0)-1,1,1)</f>
        <v>46084.785821759258</v>
      </c>
      <c r="Z213" s="1594" cm="1">
        <f t="array" aca="1" ref="Z213" ca="1">OFFSET(POrigin,MATCH(Valori[[#This Row],[LUKB_id]],PID,0),MATCH("BID:volume",PLabel,0)-1,1,1)</f>
        <v>100</v>
      </c>
      <c r="AA213" s="1595" cm="1">
        <f t="array" aca="1" ref="AA213" ca="1">OFFSET(POrigin,MATCH(Valori[[#This Row],[LUKB_id]],PID,0),MATCH("BID",PLabel,0)-1,1,1)</f>
        <v>175.72</v>
      </c>
      <c r="AB213" s="1595" cm="1">
        <f t="array" aca="1" ref="AB213" ca="1">OFFSET(POrigin,MATCH(Valori[[#This Row],[LUKB_id]],PID,0),MATCH("ASK",PLabel,0)-1,1,1)</f>
        <v>175.73</v>
      </c>
      <c r="AC213" s="1594" cm="1">
        <f t="array" aca="1" ref="AC213" ca="1">OFFSET(POrigin,MATCH(Valori[[#This Row],[LUKB_id]],PID,0),MATCH("ASK:volume",PLabel,0)-1,1,1)</f>
        <v>100</v>
      </c>
      <c r="AD213" s="1596" cm="1">
        <f t="array" aca="1" ref="AD213" ca="1">OFFSET(POrigin,MATCH(Valori[[#This Row],[LUKB_id]],PID,0),MATCH("BID-ASK Spread %",PLabel,0)-1,1,1)</f>
        <v>3.7938425934673465E-5</v>
      </c>
      <c r="AE213" s="1597" t="str" cm="1">
        <f t="array" aca="1" ref="AE213" ca="1">IF(OFFSET(POrigin,MATCH(Valori[[#This Row],[LUKB_id]],PID,0),MATCH("MATURITY",PLabel,0)-1,1,1)&gt;0,OFFSET(POrigin,MATCH(Valori[[#This Row],[LUKB_id]],PID,0),MATCH("MATURITY",PLabel,0)-1,1,1),"")</f>
        <v/>
      </c>
      <c r="AF213" s="1598" cm="1">
        <f t="array" aca="1" ref="AF213" ca="1">OFFSET(POrigin,MATCH(Valori[[#This Row],[LUKB_id]],PID,0),MATCH("ACCINT",PLabel,0)-1,1,1)</f>
        <v>0</v>
      </c>
      <c r="AG213" s="1594" cm="1">
        <f t="array" aca="1" ref="AG213" ca="1">OFFSET(POrigin,MATCH(Valori[[#This Row],[LUKB_id]],PID,0),MATCH("DENOM",PLabel,0)-1,1,1)</f>
        <v>0</v>
      </c>
      <c r="AH213" s="1599" cm="1">
        <f t="array" aca="1" ref="AH213" ca="1">(OFFSET(POrigin,MATCH(Valori[[#This Row],[LUKB_id]],PID,0),MATCH("YIELD",PLabel,0)-1,1,1)+OFFSET(POrigin,MATCH(Valori[[#This Row],[LUKB_id]],PID,0),MATCH("YLDEQ",PLabel,0)-1,1,1))/100</f>
        <v>0</v>
      </c>
      <c r="AI213" s="1600">
        <f ca="1">OFFSET(POrigin,MATCH(Valori[[#This Row],[LUKB_id]],PID,0),MATCH("DIVIDEND",PLabel,0)-1,1,1)</f>
        <v>0.53160200000000002</v>
      </c>
      <c r="AJ213" s="1601">
        <f ca="1">OFFSET(POrigin,MATCH(Valori[[#This Row],[LUKB_id]],PID,0),MATCH("DIVIDEND:datetime",PLabel,0)-1,1,1)</f>
        <v>46013</v>
      </c>
      <c r="AK213" s="1602">
        <f ca="1">OFFSET(POrigin,MATCH(Valori[[#This Row],[LUKB_id]],PID,0),MATCH("INTEREST",PLabel,0)-1,1,1)</f>
        <v>0</v>
      </c>
      <c r="AL213" s="1603">
        <f ca="1">OFFSET(POrigin,MATCH(Valori[[#This Row],[LUKB_id]],PID,0),MATCH("4W_PERF_PR",PLabel,0)-1,1,1)/100</f>
        <v>4.0068659999999999E-2</v>
      </c>
      <c r="AM213" s="1603">
        <f ca="1">OFFSET(POrigin,MATCH(Valori[[#This Row],[LUKB_id]],PID,0),MATCH("12W_PERF_PR",PLabel,0)-1,1,1)/100</f>
        <v>0.14676324999999998</v>
      </c>
      <c r="AN213" s="1603">
        <f ca="1">OFFSET(POrigin,MATCH(Valori[[#This Row],[LUKB_id]],PID,0),MATCH("YTD_PERF_PR",PLabel,0)-1,1,1)/100</f>
        <v>0.15263191804651799</v>
      </c>
      <c r="AO213" s="1591"/>
      <c r="AP213" s="1591"/>
      <c r="AQ213" s="1591"/>
      <c r="AR213" s="1591"/>
      <c r="AS213" s="1890"/>
      <c r="AT213" s="1890" t="s">
        <v>1454</v>
      </c>
      <c r="AU213" s="610" t="s">
        <v>1455</v>
      </c>
      <c r="AV213" s="1891" t="s">
        <v>1488</v>
      </c>
      <c r="AW213" s="1604" t="str">
        <f ca="1">"https://boersenundmaerkte.lukb.ch/lukb/details/"&amp;Valori[[#This Row],[LUKB_id]]</f>
        <v>https://boersenundmaerkte.lukb.ch/lukb/details/986058,66,333</v>
      </c>
      <c r="AX213" s="1605"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13" s="142"/>
      <c r="AZ213" s="142"/>
      <c r="BA213" s="142"/>
      <c r="BB213" s="142"/>
    </row>
    <row r="214" spans="1:54" ht="15" customHeight="1" x14ac:dyDescent="0.2">
      <c r="A214" s="142" t="s">
        <v>1489</v>
      </c>
      <c r="B214" s="142" t="str" cm="1">
        <f t="array" aca="1" ref="B214" ca="1">OFFSET(POrigin,MATCH(Valori[[#This Row],[smo_id]],Posizioni[smo_id],0),MATCH("LUKB_id",PIntestazioni,0)-1,1,1)</f>
        <v>985677,66,333</v>
      </c>
      <c r="C214" s="1668" t="str">
        <f ca="1">HYPERLINK("https://boersenundmaerkte.lukb.ch/lukb/details/"&amp;Valori[[#This Row],[LUKB_id]],"è")</f>
        <v>è</v>
      </c>
      <c r="D214" s="142" t="str" cm="1">
        <f t="array" aca="1" ref="D214" ca="1">OFFSET(POrigin,MATCH(Valori[[#This Row],[LUKB_id]],PID,0),MATCH("SC_GROUPED",PIntestazioni,0)-1,1,1)</f>
        <v>ETF</v>
      </c>
      <c r="E214" s="413" t="str" cm="1">
        <f t="array" aca="1" ref="E214" ca="1">OFFSET(POrigin,MATCH(Valori[[#This Row],[LUKB_id]],PID,0),MATCH("isin",PIntestazioni,0)-1,1,1)</f>
        <v>US81369Y1001</v>
      </c>
      <c r="F214" s="34" t="str" cm="1">
        <f t="array" aca="1" ref="F214" ca="1">OFFSET(POrigin,MATCH(Valori[[#This Row],[LUKB_id]],PID,0),MATCH("NSIN_CH",PLabel,0)-1,1,1)</f>
        <v>985677</v>
      </c>
      <c r="G214" s="95" t="str" cm="1">
        <f t="array" aca="1" ref="G214" ca="1">IF(OFFSET(POrigin,MATCH(Valori[[#This Row],[LUKB_id]],PID,0),MATCH("INSTRUNIT",PLabel,0)-1,1,1)="Nominal","Pct","Unit")</f>
        <v>Unit</v>
      </c>
      <c r="H214" s="612">
        <f ca="1">MAX(OFFSET(POrigin,MATCH(Valori[[#This Row],[LUKB_id]],PID,0),MATCH("PRICINGAMT",PLabel,0)-1,1,1),1)</f>
        <v>1</v>
      </c>
      <c r="I214" s="615" t="str" cm="1">
        <f t="array" aca="1" ref="I214" ca="1">OFFSET(POrigin,MATCH(Valori[[#This Row],[LUKB_id]],PID,0),MATCH("M_NAME",PLabel,0)-1,1,1)</f>
        <v>Materials Select Sector SPDR Fund</v>
      </c>
      <c r="J214" s="142" t="s">
        <v>512</v>
      </c>
      <c r="M214" s="142" t="str" cm="1">
        <f t="array" aca="1" ref="M2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Materials Select Sector (XLB)</v>
      </c>
      <c r="N214" s="1563">
        <f ca="1">COUNTIF('CHF M'!smo_id,Valori[[#This Row],[smo_id]])+COUNTIF('CHF MA'!smo_id,Valori[[#This Row],[smo_id]])+COUNTIF('EUR MB'!smo_id,Valori[[#This Row],[smo_id]])+COUNTIF('EUR M'!smo_id,Valori[[#This Row],[smo_id]])+COUNTIF(AGCO!smo_id,Valori[[#This Row],[smo_id]])</f>
        <v>1</v>
      </c>
      <c r="O214" s="1590">
        <v>2400</v>
      </c>
      <c r="P214" s="1661" t="str">
        <f ca="1">HYPERLINK(Valori[[#This Row],[P_Source]],"è")</f>
        <v>è</v>
      </c>
      <c r="Q214" s="1663" t="str">
        <f>HYPERLINK(Valori[[#This Row],[Info_W]],"i")</f>
        <v>i</v>
      </c>
      <c r="R214" s="1664" t="str">
        <f>HYPERLINK(Valori[[#This Row],[FN_W]],"")</f>
        <v></v>
      </c>
      <c r="S214" s="1665" t="str">
        <f>HYPERLINK(Valori[[#This Row],[MS_Link]],"")</f>
        <v></v>
      </c>
      <c r="T214" s="1665" t="str">
        <f>HYPERLINK(Valori[[#This Row],[C_source]],"")</f>
        <v></v>
      </c>
      <c r="U214" s="142" t="str" cm="1">
        <f t="array" aca="1" ref="U214" ca="1">OFFSET(POrigin,MATCH(Valori[[#This Row],[LUKB_id]],PID,0),MATCH("M_CUR",PLabel,0)-1,1,1)</f>
        <v>USD</v>
      </c>
      <c r="V214" s="1562">
        <f ca="1">(Valori[[#This Row],[Last]]+Valori[[#This Row],[Acc. Int]])/Valori[[#This Row],[Pr.Amt]]/IF(Valori[[#This Row],[P_Type]]="Pct",100,1)</f>
        <v>51.86</v>
      </c>
      <c r="W214" s="1591" cm="1">
        <f t="array" aca="1" ref="W214" ca="1">OFFSET(POrigin,MATCH(Valori[[#This Row],[LUKB_id]],PID,0),MATCH("NC2_PR",PLabel,0)-1,1,1)/100</f>
        <v>-2.6468931856579801E-2</v>
      </c>
      <c r="X214" s="1592" cm="1">
        <f t="array" aca="1" ref="X214" ca="1">OFFSET(POrigin,MATCH(Valori[[#This Row],[LUKB_id]],PID,0),MATCH("LVAL",PLabel,0)-1,1,1)</f>
        <v>51.86</v>
      </c>
      <c r="Y214" s="1593" cm="1">
        <f t="array" aca="1" ref="Y214" ca="1">OFFSET(POrigin,MATCH(Valori[[#This Row],[LUKB_id]],PID,0),MATCH("LVAL:datetime",PLabel,0)-1,1,1)</f>
        <v>46084.782881944448</v>
      </c>
      <c r="Z214" s="1594" cm="1">
        <f t="array" aca="1" ref="Z214" ca="1">OFFSET(POrigin,MATCH(Valori[[#This Row],[LUKB_id]],PID,0),MATCH("BID:volume",PLabel,0)-1,1,1)</f>
        <v>100</v>
      </c>
      <c r="AA214" s="1595" cm="1">
        <f t="array" aca="1" ref="AA214" ca="1">OFFSET(POrigin,MATCH(Valori[[#This Row],[LUKB_id]],PID,0),MATCH("BID",PLabel,0)-1,1,1)</f>
        <v>51.79</v>
      </c>
      <c r="AB214" s="1595" cm="1">
        <f t="array" aca="1" ref="AB214" ca="1">OFFSET(POrigin,MATCH(Valori[[#This Row],[LUKB_id]],PID,0),MATCH("ASK",PLabel,0)-1,1,1)</f>
        <v>51.81</v>
      </c>
      <c r="AC214" s="1594" cm="1">
        <f t="array" aca="1" ref="AC214" ca="1">OFFSET(POrigin,MATCH(Valori[[#This Row],[LUKB_id]],PID,0),MATCH("ASK:volume",PLabel,0)-1,1,1)</f>
        <v>100</v>
      </c>
      <c r="AD214" s="1596" cm="1">
        <f t="array" aca="1" ref="AD214" ca="1">OFFSET(POrigin,MATCH(Valori[[#This Row],[LUKB_id]],PID,0),MATCH("BID-ASK Spread %",PLabel,0)-1,1,1)</f>
        <v>2.5741682218937035E-4</v>
      </c>
      <c r="AE214" s="1597" t="str" cm="1">
        <f t="array" aca="1" ref="AE214" ca="1">IF(OFFSET(POrigin,MATCH(Valori[[#This Row],[LUKB_id]],PID,0),MATCH("MATURITY",PLabel,0)-1,1,1)&gt;0,OFFSET(POrigin,MATCH(Valori[[#This Row],[LUKB_id]],PID,0),MATCH("MATURITY",PLabel,0)-1,1,1),"")</f>
        <v/>
      </c>
      <c r="AF214" s="1598" cm="1">
        <f t="array" aca="1" ref="AF214" ca="1">OFFSET(POrigin,MATCH(Valori[[#This Row],[LUKB_id]],PID,0),MATCH("ACCINT",PLabel,0)-1,1,1)</f>
        <v>0</v>
      </c>
      <c r="AG214" s="1594" cm="1">
        <f t="array" aca="1" ref="AG214" ca="1">OFFSET(POrigin,MATCH(Valori[[#This Row],[LUKB_id]],PID,0),MATCH("DENOM",PLabel,0)-1,1,1)</f>
        <v>0</v>
      </c>
      <c r="AH214" s="1599" cm="1">
        <f t="array" aca="1" ref="AH214" ca="1">(OFFSET(POrigin,MATCH(Valori[[#This Row],[LUKB_id]],PID,0),MATCH("YIELD",PLabel,0)-1,1,1)+OFFSET(POrigin,MATCH(Valori[[#This Row],[LUKB_id]],PID,0),MATCH("YLDEQ",PLabel,0)-1,1,1))/100</f>
        <v>0</v>
      </c>
      <c r="AI214" s="1600">
        <f ca="1">OFFSET(POrigin,MATCH(Valori[[#This Row],[LUKB_id]],PID,0),MATCH("DIVIDEND",PLabel,0)-1,1,1)</f>
        <v>0.23285599999999998</v>
      </c>
      <c r="AJ214" s="1601">
        <f ca="1">OFFSET(POrigin,MATCH(Valori[[#This Row],[LUKB_id]],PID,0),MATCH("DIVIDEND:datetime",PLabel,0)-1,1,1)</f>
        <v>46013</v>
      </c>
      <c r="AK214" s="1602">
        <f ca="1">OFFSET(POrigin,MATCH(Valori[[#This Row],[LUKB_id]],PID,0),MATCH("INTEREST",PLabel,0)-1,1,1)</f>
        <v>0</v>
      </c>
      <c r="AL214" s="1603">
        <f ca="1">OFFSET(POrigin,MATCH(Valori[[#This Row],[LUKB_id]],PID,0),MATCH("4W_PERF_PR",PLabel,0)-1,1,1)/100</f>
        <v>2.2778819999999998E-2</v>
      </c>
      <c r="AM214" s="1603">
        <f ca="1">OFFSET(POrigin,MATCH(Valori[[#This Row],[LUKB_id]],PID,0),MATCH("12W_PERF_PR",PLabel,0)-1,1,1)/100</f>
        <v>0.19548178999999999</v>
      </c>
      <c r="AN214" s="1603">
        <f ca="1">OFFSET(POrigin,MATCH(Valori[[#This Row],[LUKB_id]],PID,0),MATCH("YTD_PERF_PR",PLabel,0)-1,1,1)/100</f>
        <v>0.17490074988972298</v>
      </c>
      <c r="AO214" s="1591"/>
      <c r="AP214" s="1591"/>
      <c r="AQ214" s="1591"/>
      <c r="AR214" s="1591"/>
      <c r="AS214" s="1890"/>
      <c r="AT214" s="1890" t="s">
        <v>1460</v>
      </c>
      <c r="AU214" s="610" t="s">
        <v>1118</v>
      </c>
      <c r="AV214" s="1891" t="s">
        <v>1119</v>
      </c>
      <c r="AW214" s="1604" t="str">
        <f ca="1">"https://boersenundmaerkte.lukb.ch/lukb/details/"&amp;Valori[[#This Row],[LUKB_id]]</f>
        <v>https://boersenundmaerkte.lukb.ch/lukb/details/985677,66,333</v>
      </c>
      <c r="AX214" s="1605"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214" s="142"/>
      <c r="AZ214" s="142"/>
      <c r="BA214" s="142"/>
      <c r="BB214" s="142"/>
    </row>
    <row r="215" spans="1:54" ht="15" customHeight="1" x14ac:dyDescent="0.2">
      <c r="A215" s="142" t="s">
        <v>1490</v>
      </c>
      <c r="B215" s="142" t="str" cm="1">
        <f t="array" aca="1" ref="B215" ca="1">OFFSET(POrigin,MATCH(Valori[[#This Row],[smo_id]],Posizioni[smo_id],0),MATCH("LUKB_id",PIntestazioni,0)-1,1,1)</f>
        <v>29879898,66,333</v>
      </c>
      <c r="C215" s="1668" t="str">
        <f ca="1">HYPERLINK("https://boersenundmaerkte.lukb.ch/lukb/details/"&amp;Valori[[#This Row],[LUKB_id]],"è")</f>
        <v>è</v>
      </c>
      <c r="D215" s="142" t="str" cm="1">
        <f t="array" aca="1" ref="D215" ca="1">OFFSET(POrigin,MATCH(Valori[[#This Row],[LUKB_id]],PID,0),MATCH("SC_GROUPED",PIntestazioni,0)-1,1,1)</f>
        <v>ETF</v>
      </c>
      <c r="E215" s="413" t="str" cm="1">
        <f t="array" aca="1" ref="E215" ca="1">OFFSET(POrigin,MATCH(Valori[[#This Row],[LUKB_id]],PID,0),MATCH("isin",PIntestazioni,0)-1,1,1)</f>
        <v>US81369Y8600</v>
      </c>
      <c r="F215" s="34" t="str" cm="1">
        <f t="array" aca="1" ref="F215" ca="1">OFFSET(POrigin,MATCH(Valori[[#This Row],[LUKB_id]],PID,0),MATCH("NSIN_CH",PLabel,0)-1,1,1)</f>
        <v>29879898</v>
      </c>
      <c r="G215" s="95" t="str" cm="1">
        <f t="array" aca="1" ref="G215" ca="1">IF(OFFSET(POrigin,MATCH(Valori[[#This Row],[LUKB_id]],PID,0),MATCH("INSTRUNIT",PLabel,0)-1,1,1)="Nominal","Pct","Unit")</f>
        <v>Unit</v>
      </c>
      <c r="H215" s="612">
        <f ca="1">MAX(OFFSET(POrigin,MATCH(Valori[[#This Row],[LUKB_id]],PID,0),MATCH("PRICINGAMT",PLabel,0)-1,1,1),1)</f>
        <v>1</v>
      </c>
      <c r="I215" s="615" t="str" cm="1">
        <f t="array" aca="1" ref="I215" ca="1">OFFSET(POrigin,MATCH(Valori[[#This Row],[LUKB_id]],PID,0),MATCH("M_NAME",PLabel,0)-1,1,1)</f>
        <v>Real Estate Select Sector SPDR Fund</v>
      </c>
      <c r="J215" s="142" t="s">
        <v>490</v>
      </c>
      <c r="M215" s="142" t="str" cm="1">
        <f t="array" aca="1" ref="M2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Real Estate Select Sector (XLRE)</v>
      </c>
      <c r="N215" s="1563">
        <f ca="1">COUNTIF('CHF M'!smo_id,Valori[[#This Row],[smo_id]])+COUNTIF('CHF MA'!smo_id,Valori[[#This Row],[smo_id]])+COUNTIF('EUR MB'!smo_id,Valori[[#This Row],[smo_id]])+COUNTIF('EUR M'!smo_id,Valori[[#This Row],[smo_id]])+COUNTIF(AGCO!smo_id,Valori[[#This Row],[smo_id]])</f>
        <v>0</v>
      </c>
      <c r="O215" s="1590" cm="1">
        <f t="array" aca="1" ref="O215" ca="1">SUM(IF('CHF M'!smo_id=Valori[[#This Row],[smo_id]],'CHF M'!Posizione))+SUM(IF('CHF MA'!smo_id=Valori[[#This Row],[smo_id]],'CHF MA'!Posizione))+SUM(IF('EUR MB'!smo_id=Valori[[#This Row],[smo_id]],'EUR MB'!Posizione))+SUM(IF('EUR M'!smo_id=Valori[[#This Row],[smo_id]],'EUR M'!Posizione))+SUM(IF(AGCO!smo_id=Valori[[#This Row],[smo_id]],AGCO!Posizione))</f>
        <v>0</v>
      </c>
      <c r="P215" s="1661" t="str">
        <f ca="1">HYPERLINK(Valori[[#This Row],[P_Source]],"è")</f>
        <v>è</v>
      </c>
      <c r="Q215" s="1663" t="str">
        <f>HYPERLINK(Valori[[#This Row],[Info_W]],"i")</f>
        <v>i</v>
      </c>
      <c r="R215" s="1664" t="str">
        <f>HYPERLINK(Valori[[#This Row],[FN_W]],"")</f>
        <v></v>
      </c>
      <c r="S215" s="1665" t="str">
        <f>HYPERLINK(Valori[[#This Row],[MS_Link]],"")</f>
        <v></v>
      </c>
      <c r="T215" s="1665" t="str">
        <f>HYPERLINK(Valori[[#This Row],[C_source]],"")</f>
        <v></v>
      </c>
      <c r="U215" s="142" t="str" cm="1">
        <f t="array" aca="1" ref="U215" ca="1">OFFSET(POrigin,MATCH(Valori[[#This Row],[LUKB_id]],PID,0),MATCH("M_CUR",PLabel,0)-1,1,1)</f>
        <v>USD</v>
      </c>
      <c r="V215" s="1562">
        <f ca="1">(Valori[[#This Row],[Last]]+Valori[[#This Row],[Acc. Int]])/Valori[[#This Row],[Pr.Amt]]/IF(Valori[[#This Row],[P_Type]]="Pct",100,1)</f>
        <v>43.62</v>
      </c>
      <c r="W215" s="1591" cm="1">
        <f t="array" aca="1" ref="W215" ca="1">OFFSET(POrigin,MATCH(Valori[[#This Row],[LUKB_id]],PID,0),MATCH("NC2_PR",PLabel,0)-1,1,1)/100</f>
        <v>-7.5085324232084007E-3</v>
      </c>
      <c r="X215" s="1592" cm="1">
        <f t="array" aca="1" ref="X215" ca="1">OFFSET(POrigin,MATCH(Valori[[#This Row],[LUKB_id]],PID,0),MATCH("LVAL",PLabel,0)-1,1,1)</f>
        <v>43.62</v>
      </c>
      <c r="Y215" s="1593" cm="1">
        <f t="array" aca="1" ref="Y215" ca="1">OFFSET(POrigin,MATCH(Valori[[#This Row],[LUKB_id]],PID,0),MATCH("LVAL:datetime",PLabel,0)-1,1,1)</f>
        <v>46084.785034722219</v>
      </c>
      <c r="Z215" s="1594" cm="1">
        <f t="array" aca="1" ref="Z215" ca="1">OFFSET(POrigin,MATCH(Valori[[#This Row],[LUKB_id]],PID,0),MATCH("BID:volume",PLabel,0)-1,1,1)</f>
        <v>100</v>
      </c>
      <c r="AA215" s="1595" cm="1">
        <f t="array" aca="1" ref="AA215" ca="1">OFFSET(POrigin,MATCH(Valori[[#This Row],[LUKB_id]],PID,0),MATCH("BID",PLabel,0)-1,1,1)</f>
        <v>43.61</v>
      </c>
      <c r="AB215" s="1595" cm="1">
        <f t="array" aca="1" ref="AB215" ca="1">OFFSET(POrigin,MATCH(Valori[[#This Row],[LUKB_id]],PID,0),MATCH("ASK",PLabel,0)-1,1,1)</f>
        <v>43.62</v>
      </c>
      <c r="AC215" s="1594" cm="1">
        <f t="array" aca="1" ref="AC215" ca="1">OFFSET(POrigin,MATCH(Valori[[#This Row],[LUKB_id]],PID,0),MATCH("ASK:volume",PLabel,0)-1,1,1)</f>
        <v>300</v>
      </c>
      <c r="AD215" s="1596" cm="1">
        <f t="array" aca="1" ref="AD215" ca="1">OFFSET(POrigin,MATCH(Valori[[#This Row],[LUKB_id]],PID,0),MATCH("BID-ASK Spread %",PLabel,0)-1,1,1)</f>
        <v>1.5285845307242449E-4</v>
      </c>
      <c r="AE215" s="1597" t="str" cm="1">
        <f t="array" aca="1" ref="AE215" ca="1">IF(OFFSET(POrigin,MATCH(Valori[[#This Row],[LUKB_id]],PID,0),MATCH("MATURITY",PLabel,0)-1,1,1)&gt;0,OFFSET(POrigin,MATCH(Valori[[#This Row],[LUKB_id]],PID,0),MATCH("MATURITY",PLabel,0)-1,1,1),"")</f>
        <v/>
      </c>
      <c r="AF215" s="1598" cm="1">
        <f t="array" aca="1" ref="AF215" ca="1">OFFSET(POrigin,MATCH(Valori[[#This Row],[LUKB_id]],PID,0),MATCH("ACCINT",PLabel,0)-1,1,1)</f>
        <v>0</v>
      </c>
      <c r="AG215" s="1594" cm="1">
        <f t="array" aca="1" ref="AG215" ca="1">OFFSET(POrigin,MATCH(Valori[[#This Row],[LUKB_id]],PID,0),MATCH("DENOM",PLabel,0)-1,1,1)</f>
        <v>0</v>
      </c>
      <c r="AH215" s="1599" cm="1">
        <f t="array" aca="1" ref="AH215" ca="1">(OFFSET(POrigin,MATCH(Valori[[#This Row],[LUKB_id]],PID,0),MATCH("YIELD",PLabel,0)-1,1,1)+OFFSET(POrigin,MATCH(Valori[[#This Row],[LUKB_id]],PID,0),MATCH("YLDEQ",PLabel,0)-1,1,1))/100</f>
        <v>0</v>
      </c>
      <c r="AI215" s="1600">
        <f ca="1">OFFSET(POrigin,MATCH(Valori[[#This Row],[LUKB_id]],PID,0),MATCH("DIVIDEND",PLabel,0)-1,1,1)</f>
        <v>0.436108</v>
      </c>
      <c r="AJ215" s="1601">
        <f ca="1">OFFSET(POrigin,MATCH(Valori[[#This Row],[LUKB_id]],PID,0),MATCH("DIVIDEND:datetime",PLabel,0)-1,1,1)</f>
        <v>46013</v>
      </c>
      <c r="AK215" s="1602">
        <f ca="1">OFFSET(POrigin,MATCH(Valori[[#This Row],[LUKB_id]],PID,0),MATCH("INTEREST",PLabel,0)-1,1,1)</f>
        <v>0</v>
      </c>
      <c r="AL215" s="1603">
        <f ca="1">OFFSET(POrigin,MATCH(Valori[[#This Row],[LUKB_id]],PID,0),MATCH("4W_PERF_PR",PLabel,0)-1,1,1)/100</f>
        <v>7.0166829999999999E-2</v>
      </c>
      <c r="AM215" s="1603">
        <f ca="1">OFFSET(POrigin,MATCH(Valori[[#This Row],[LUKB_id]],PID,0),MATCH("12W_PERF_PR",PLabel,0)-1,1,1)/100</f>
        <v>7.7569169999999993E-2</v>
      </c>
      <c r="AN215" s="1603">
        <f ca="1">OFFSET(POrigin,MATCH(Valori[[#This Row],[LUKB_id]],PID,0),MATCH("YTD_PERF_PR",PLabel,0)-1,1,1)/100</f>
        <v>8.8140628868531898E-2</v>
      </c>
      <c r="AO215" s="1591"/>
      <c r="AP215" s="1591"/>
      <c r="AQ215" s="1591"/>
      <c r="AR215" s="1591"/>
      <c r="AS215" s="1890"/>
      <c r="AT215" s="1890"/>
      <c r="AU215" s="610" t="s">
        <v>1491</v>
      </c>
      <c r="AV215" s="1891" t="s">
        <v>1492</v>
      </c>
      <c r="AW215" s="1604" t="str">
        <f ca="1">"https://boersenundmaerkte.lukb.ch/lukb/details/"&amp;Valori[[#This Row],[LUKB_id]]</f>
        <v>https://boersenundmaerkte.lukb.ch/lukb/details/29879898,66,333</v>
      </c>
      <c r="AX215" s="1605" t="str">
        <f>"https://www.marketscreener.com/mods_a/charts/TV/inc_dyna_graph.php?c="&amp;Valori[[#This Row],[MS_Code]]&amp;"&amp;style=TradingView.CANDLES&amp;interval=(null)&amp;mobile=(null)&amp;showAT=1"</f>
        <v>https://www.marketscreener.com/mods_a/charts/TV/inc_dyna_graph.php?c=29427416&amp;style=TradingView.CANDLES&amp;interval=(null)&amp;mobile=(null)&amp;showAT=1</v>
      </c>
      <c r="AY215" s="142"/>
      <c r="AZ215" s="142"/>
      <c r="BA215" s="142"/>
      <c r="BB215" s="142"/>
    </row>
    <row r="216" spans="1:54" ht="15" customHeight="1" x14ac:dyDescent="0.2">
      <c r="A216" s="142" t="s">
        <v>1493</v>
      </c>
      <c r="B216" s="142" t="str" cm="1">
        <f t="array" aca="1" ref="B216" ca="1">OFFSET(POrigin,MATCH(Valori[[#This Row],[smo_id]],Posizioni[smo_id],0),MATCH("LUKB_id",PIntestazioni,0)-1,1,1)</f>
        <v>986053,66,333</v>
      </c>
      <c r="C216" s="1668" t="str">
        <f ca="1">HYPERLINK("https://boersenundmaerkte.lukb.ch/lukb/details/"&amp;Valori[[#This Row],[LUKB_id]],"è")</f>
        <v>è</v>
      </c>
      <c r="D216" s="142" t="str" cm="1">
        <f t="array" aca="1" ref="D216" ca="1">OFFSET(POrigin,MATCH(Valori[[#This Row],[LUKB_id]],PID,0),MATCH("SC_GROUPED",PIntestazioni,0)-1,1,1)</f>
        <v>ETF</v>
      </c>
      <c r="E216" s="413" t="str" cm="1">
        <f t="array" aca="1" ref="E216" ca="1">OFFSET(POrigin,MATCH(Valori[[#This Row],[LUKB_id]],PID,0),MATCH("isin",PIntestazioni,0)-1,1,1)</f>
        <v>US81369Y8030</v>
      </c>
      <c r="F216" s="34" t="str" cm="1">
        <f t="array" aca="1" ref="F216" ca="1">OFFSET(POrigin,MATCH(Valori[[#This Row],[LUKB_id]],PID,0),MATCH("NSIN_CH",PLabel,0)-1,1,1)</f>
        <v>986053</v>
      </c>
      <c r="G216" s="95" t="str" cm="1">
        <f t="array" aca="1" ref="G216" ca="1">IF(OFFSET(POrigin,MATCH(Valori[[#This Row],[LUKB_id]],PID,0),MATCH("INSTRUNIT",PLabel,0)-1,1,1)="Nominal","Pct","Unit")</f>
        <v>Unit</v>
      </c>
      <c r="H216" s="612">
        <f ca="1">MAX(OFFSET(POrigin,MATCH(Valori[[#This Row],[LUKB_id]],PID,0),MATCH("PRICINGAMT",PLabel,0)-1,1,1),1)</f>
        <v>1</v>
      </c>
      <c r="I216" s="615" t="str" cm="1">
        <f t="array" aca="1" ref="I216" ca="1">OFFSET(POrigin,MATCH(Valori[[#This Row],[LUKB_id]],PID,0),MATCH("M_NAME",PLabel,0)-1,1,1)</f>
        <v>Technology Select Sector SPDR Fund</v>
      </c>
      <c r="J216" s="142" t="s">
        <v>414</v>
      </c>
      <c r="M216" s="142" t="str" cm="1">
        <f t="array" aca="1" ref="M2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Technology Select Sector (XLK)</v>
      </c>
      <c r="N216" s="1563">
        <f ca="1">COUNTIF('CHF M'!smo_id,Valori[[#This Row],[smo_id]])+COUNTIF('CHF MA'!smo_id,Valori[[#This Row],[smo_id]])+COUNTIF('EUR MB'!smo_id,Valori[[#This Row],[smo_id]])+COUNTIF('EUR M'!smo_id,Valori[[#This Row],[smo_id]])+COUNTIF(AGCO!smo_id,Valori[[#This Row],[smo_id]])</f>
        <v>4</v>
      </c>
      <c r="O216" s="1590">
        <v>883</v>
      </c>
      <c r="P216" s="1661" t="str">
        <f ca="1">HYPERLINK(Valori[[#This Row],[P_Source]],"è")</f>
        <v>è</v>
      </c>
      <c r="Q216" s="1663" t="str">
        <f>HYPERLINK(Valori[[#This Row],[Info_W]],"i")</f>
        <v>i</v>
      </c>
      <c r="R216" s="1664" t="str">
        <f>HYPERLINK(Valori[[#This Row],[FN_W]],"")</f>
        <v></v>
      </c>
      <c r="S216" s="1665" t="str">
        <f>HYPERLINK(Valori[[#This Row],[MS_Link]],"")</f>
        <v></v>
      </c>
      <c r="T216" s="1665" t="str">
        <f>HYPERLINK(Valori[[#This Row],[C_source]],"")</f>
        <v></v>
      </c>
      <c r="U216" s="142" t="str" cm="1">
        <f t="array" aca="1" ref="U216" ca="1">OFFSET(POrigin,MATCH(Valori[[#This Row],[LUKB_id]],PID,0),MATCH("M_CUR",PLabel,0)-1,1,1)</f>
        <v>USD</v>
      </c>
      <c r="V216" s="1562">
        <f ca="1">(Valori[[#This Row],[Last]]+Valori[[#This Row],[Acc. Int]])/Valori[[#This Row],[Pr.Amt]]/IF(Valori[[#This Row],[P_Type]]="Pct",100,1)</f>
        <v>137.36000000000001</v>
      </c>
      <c r="W216" s="1591" cm="1">
        <f t="array" aca="1" ref="W216" ca="1">OFFSET(POrigin,MATCH(Valori[[#This Row],[LUKB_id]],PID,0),MATCH("NC2_PR",PLabel,0)-1,1,1)/100</f>
        <v>-1.53052080719739E-2</v>
      </c>
      <c r="X216" s="1592" cm="1">
        <f t="array" aca="1" ref="X216" ca="1">OFFSET(POrigin,MATCH(Valori[[#This Row],[LUKB_id]],PID,0),MATCH("LVAL",PLabel,0)-1,1,1)</f>
        <v>137.36000000000001</v>
      </c>
      <c r="Y216" s="1593" cm="1">
        <f t="array" aca="1" ref="Y216" ca="1">OFFSET(POrigin,MATCH(Valori[[#This Row],[LUKB_id]],PID,0),MATCH("LVAL:datetime",PLabel,0)-1,1,1)</f>
        <v>46084.785266203704</v>
      </c>
      <c r="Z216" s="1594" cm="1">
        <f t="array" aca="1" ref="Z216" ca="1">OFFSET(POrigin,MATCH(Valori[[#This Row],[LUKB_id]],PID,0),MATCH("BID:volume",PLabel,0)-1,1,1)</f>
        <v>40</v>
      </c>
      <c r="AA216" s="1595" cm="1">
        <f t="array" aca="1" ref="AA216" ca="1">OFFSET(POrigin,MATCH(Valori[[#This Row],[LUKB_id]],PID,0),MATCH("BID",PLabel,0)-1,1,1)</f>
        <v>137.17000000000002</v>
      </c>
      <c r="AB216" s="1595" cm="1">
        <f t="array" aca="1" ref="AB216" ca="1">OFFSET(POrigin,MATCH(Valori[[#This Row],[LUKB_id]],PID,0),MATCH("ASK",PLabel,0)-1,1,1)</f>
        <v>137.41</v>
      </c>
      <c r="AC216" s="1594" cm="1">
        <f t="array" aca="1" ref="AC216" ca="1">OFFSET(POrigin,MATCH(Valori[[#This Row],[LUKB_id]],PID,0),MATCH("ASK:volume",PLabel,0)-1,1,1)</f>
        <v>40</v>
      </c>
      <c r="AD216" s="1596" cm="1">
        <f t="array" aca="1" ref="AD216" ca="1">OFFSET(POrigin,MATCH(Valori[[#This Row],[LUKB_id]],PID,0),MATCH("BID-ASK Spread %",PLabel,0)-1,1,1)</f>
        <v>1.1657559198541866E-3</v>
      </c>
      <c r="AE216" s="1597" t="str" cm="1">
        <f t="array" aca="1" ref="AE216" ca="1">IF(OFFSET(POrigin,MATCH(Valori[[#This Row],[LUKB_id]],PID,0),MATCH("MATURITY",PLabel,0)-1,1,1)&gt;0,OFFSET(POrigin,MATCH(Valori[[#This Row],[LUKB_id]],PID,0),MATCH("MATURITY",PLabel,0)-1,1,1),"")</f>
        <v/>
      </c>
      <c r="AF216" s="1598" cm="1">
        <f t="array" aca="1" ref="AF216" ca="1">OFFSET(POrigin,MATCH(Valori[[#This Row],[LUKB_id]],PID,0),MATCH("ACCINT",PLabel,0)-1,1,1)</f>
        <v>0</v>
      </c>
      <c r="AG216" s="1594" cm="1">
        <f t="array" aca="1" ref="AG216" ca="1">OFFSET(POrigin,MATCH(Valori[[#This Row],[LUKB_id]],PID,0),MATCH("DENOM",PLabel,0)-1,1,1)</f>
        <v>0</v>
      </c>
      <c r="AH216" s="1599" cm="1">
        <f t="array" aca="1" ref="AH216" ca="1">(OFFSET(POrigin,MATCH(Valori[[#This Row],[LUKB_id]],PID,0),MATCH("YIELD",PLabel,0)-1,1,1)+OFFSET(POrigin,MATCH(Valori[[#This Row],[LUKB_id]],PID,0),MATCH("YLDEQ",PLabel,0)-1,1,1))/100</f>
        <v>0</v>
      </c>
      <c r="AI216" s="1600">
        <f ca="1">OFFSET(POrigin,MATCH(Valori[[#This Row],[LUKB_id]],PID,0),MATCH("DIVIDEND",PLabel,0)-1,1,1)</f>
        <v>0.21882699999999999</v>
      </c>
      <c r="AJ216" s="1601">
        <f ca="1">OFFSET(POrigin,MATCH(Valori[[#This Row],[LUKB_id]],PID,0),MATCH("DIVIDEND:datetime",PLabel,0)-1,1,1)</f>
        <v>46013</v>
      </c>
      <c r="AK216" s="1602">
        <f ca="1">OFFSET(POrigin,MATCH(Valori[[#This Row],[LUKB_id]],PID,0),MATCH("INTEREST",PLabel,0)-1,1,1)</f>
        <v>0</v>
      </c>
      <c r="AL216" s="1603">
        <f ca="1">OFFSET(POrigin,MATCH(Valori[[#This Row],[LUKB_id]],PID,0),MATCH("4W_PERF_PR",PLabel,0)-1,1,1)/100</f>
        <v>-3.3016539999999997E-2</v>
      </c>
      <c r="AM216" s="1603">
        <f ca="1">OFFSET(POrigin,MATCH(Valori[[#This Row],[LUKB_id]],PID,0),MATCH("12W_PERF_PR",PLabel,0)-1,1,1)/100</f>
        <v>-7.1860540000000001E-2</v>
      </c>
      <c r="AN216" s="1603">
        <f ca="1">OFFSET(POrigin,MATCH(Valori[[#This Row],[LUKB_id]],PID,0),MATCH("YTD_PERF_PR",PLabel,0)-1,1,1)/100</f>
        <v>-3.1150159744408899E-2</v>
      </c>
      <c r="AO216" s="1591"/>
      <c r="AP216" s="1591"/>
      <c r="AQ216" s="1591"/>
      <c r="AR216" s="1591"/>
      <c r="AS216" s="1890"/>
      <c r="AT216" s="1890" t="s">
        <v>1464</v>
      </c>
      <c r="AU216" s="610" t="s">
        <v>1465</v>
      </c>
      <c r="AV216" s="1891" t="s">
        <v>1494</v>
      </c>
      <c r="AW216" s="1604" t="str">
        <f ca="1">"https://boersenundmaerkte.lukb.ch/lukb/details/"&amp;Valori[[#This Row],[LUKB_id]]</f>
        <v>https://boersenundmaerkte.lukb.ch/lukb/details/986053,66,333</v>
      </c>
      <c r="AX216" s="1605" t="str">
        <f>"https://www.zonebourse.com/mods_a/charts/TV/inc_dyna_graph.php?c="&amp;Valori[[#This Row],[MS_Code]]&amp;"&amp;style=TradingView.CANDLES&amp;interval=(null)&amp;mobile=(null)&amp;showAT=1"</f>
        <v>https://www.zonebourse.com/mods_a/charts/TV/inc_dyna_graph.php?c=29424448&amp;style=TradingView.CANDLES&amp;interval=(null)&amp;mobile=(null)&amp;showAT=1</v>
      </c>
      <c r="AY216" s="142"/>
      <c r="AZ216" s="142"/>
      <c r="BA216" s="142"/>
      <c r="BB216" s="142"/>
    </row>
    <row r="217" spans="1:54" ht="15" customHeight="1" x14ac:dyDescent="0.2">
      <c r="A217" s="142" t="s">
        <v>1495</v>
      </c>
      <c r="B217" s="142" t="str" cm="1">
        <f t="array" aca="1" ref="B217" ca="1">OFFSET(POrigin,MATCH(Valori[[#This Row],[smo_id]],Posizioni[smo_id],0),MATCH("LUKB_id",PIntestazioni,0)-1,1,1)</f>
        <v>986060,66,333</v>
      </c>
      <c r="C217" s="1668" t="str">
        <f ca="1">HYPERLINK("https://boersenundmaerkte.lukb.ch/lukb/details/"&amp;Valori[[#This Row],[LUKB_id]],"è")</f>
        <v>è</v>
      </c>
      <c r="D217" s="142" t="str" cm="1">
        <f t="array" aca="1" ref="D217" ca="1">OFFSET(POrigin,MATCH(Valori[[#This Row],[LUKB_id]],PID,0),MATCH("SC_GROUPED",PIntestazioni,0)-1,1,1)</f>
        <v>ETF</v>
      </c>
      <c r="E217" s="413" t="str" cm="1">
        <f t="array" aca="1" ref="E217" ca="1">OFFSET(POrigin,MATCH(Valori[[#This Row],[LUKB_id]],PID,0),MATCH("isin",PIntestazioni,0)-1,1,1)</f>
        <v>US81369Y8865</v>
      </c>
      <c r="F217" s="34" t="str" cm="1">
        <f t="array" aca="1" ref="F217" ca="1">OFFSET(POrigin,MATCH(Valori[[#This Row],[LUKB_id]],PID,0),MATCH("NSIN_CH",PLabel,0)-1,1,1)</f>
        <v>986060</v>
      </c>
      <c r="G217" s="95" t="str" cm="1">
        <f t="array" aca="1" ref="G217" ca="1">IF(OFFSET(POrigin,MATCH(Valori[[#This Row],[LUKB_id]],PID,0),MATCH("INSTRUNIT",PLabel,0)-1,1,1)="Nominal","Pct","Unit")</f>
        <v>Unit</v>
      </c>
      <c r="H217" s="612">
        <f ca="1">MAX(OFFSET(POrigin,MATCH(Valori[[#This Row],[LUKB_id]],PID,0),MATCH("PRICINGAMT",PLabel,0)-1,1,1),1)</f>
        <v>1</v>
      </c>
      <c r="I217" s="615" t="str" cm="1">
        <f t="array" aca="1" ref="I217" ca="1">OFFSET(POrigin,MATCH(Valori[[#This Row],[LUKB_id]],PID,0),MATCH("M_NAME",PLabel,0)-1,1,1)</f>
        <v>Utilities Select Sector SPDR Fund</v>
      </c>
      <c r="J217" s="142" t="s">
        <v>430</v>
      </c>
      <c r="M217" s="142" t="str" cm="1">
        <f t="array" aca="1" ref="M2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Utilities Select Sector (XLU)</v>
      </c>
      <c r="N217" s="1563">
        <f ca="1">COUNTIF('CHF M'!smo_id,Valori[[#This Row],[smo_id]])+COUNTIF('CHF MA'!smo_id,Valori[[#This Row],[smo_id]])+COUNTIF('EUR MB'!smo_id,Valori[[#This Row],[smo_id]])+COUNTIF('EUR M'!smo_id,Valori[[#This Row],[smo_id]])+COUNTIF(AGCO!smo_id,Valori[[#This Row],[smo_id]])</f>
        <v>3</v>
      </c>
      <c r="O217" s="1590" cm="1">
        <f t="array" aca="1" ref="O217" ca="1">SUM(IF('CHF M'!smo_id=Valori[[#This Row],[smo_id]],'CHF M'!Posizione))+SUM(IF('CHF MA'!smo_id=Valori[[#This Row],[smo_id]],'CHF MA'!Posizione))+SUM(IF('EUR MB'!smo_id=Valori[[#This Row],[smo_id]],'EUR MB'!Posizione))+SUM(IF('EUR M'!smo_id=Valori[[#This Row],[smo_id]],'EUR M'!Posizione))+SUM(IF(AGCO!smo_id=Valori[[#This Row],[smo_id]],AGCO!Posizione))</f>
        <v>5235</v>
      </c>
      <c r="P217" s="1661" t="str">
        <f ca="1">HYPERLINK(Valori[[#This Row],[P_Source]],"è")</f>
        <v>è</v>
      </c>
      <c r="Q217" s="1663" t="str">
        <f>HYPERLINK(Valori[[#This Row],[Info_W]],"i")</f>
        <v>i</v>
      </c>
      <c r="R217" s="1664" t="str">
        <f>HYPERLINK(Valori[[#This Row],[FN_W]],"")</f>
        <v></v>
      </c>
      <c r="S217" s="1665" t="str">
        <f>HYPERLINK(Valori[[#This Row],[MS_Link]],"")</f>
        <v></v>
      </c>
      <c r="T217" s="1665" t="str">
        <f>HYPERLINK(Valori[[#This Row],[C_source]],"")</f>
        <v></v>
      </c>
      <c r="U217" s="142" t="str" cm="1">
        <f t="array" aca="1" ref="U217" ca="1">OFFSET(POrigin,MATCH(Valori[[#This Row],[LUKB_id]],PID,0),MATCH("M_CUR",PLabel,0)-1,1,1)</f>
        <v>USD</v>
      </c>
      <c r="V217" s="1562">
        <f ca="1">(Valori[[#This Row],[Last]]+Valori[[#This Row],[Acc. Int]])/Valori[[#This Row],[Pr.Amt]]/IF(Valori[[#This Row],[P_Type]]="Pct",100,1)</f>
        <v>46.79</v>
      </c>
      <c r="W217" s="1591" cm="1">
        <f t="array" aca="1" ref="W217" ca="1">OFFSET(POrigin,MATCH(Valori[[#This Row],[LUKB_id]],PID,0),MATCH("NC2_PR",PLabel,0)-1,1,1)/100</f>
        <v>-1.2244036309900801E-2</v>
      </c>
      <c r="X217" s="1592" cm="1">
        <f t="array" aca="1" ref="X217" ca="1">OFFSET(POrigin,MATCH(Valori[[#This Row],[LUKB_id]],PID,0),MATCH("LVAL",PLabel,0)-1,1,1)</f>
        <v>46.79</v>
      </c>
      <c r="Y217" s="1593" cm="1">
        <f t="array" aca="1" ref="Y217" ca="1">OFFSET(POrigin,MATCH(Valori[[#This Row],[LUKB_id]],PID,0),MATCH("LVAL:datetime",PLabel,0)-1,1,1)</f>
        <v>46084.785891203705</v>
      </c>
      <c r="Z217" s="1594" cm="1">
        <f t="array" aca="1" ref="Z217" ca="1">OFFSET(POrigin,MATCH(Valori[[#This Row],[LUKB_id]],PID,0),MATCH("BID:volume",PLabel,0)-1,1,1)</f>
        <v>200</v>
      </c>
      <c r="AA217" s="1595" cm="1">
        <f t="array" aca="1" ref="AA217" ca="1">OFFSET(POrigin,MATCH(Valori[[#This Row],[LUKB_id]],PID,0),MATCH("BID",PLabel,0)-1,1,1)</f>
        <v>46.79</v>
      </c>
      <c r="AB217" s="1595" cm="1">
        <f t="array" aca="1" ref="AB217" ca="1">OFFSET(POrigin,MATCH(Valori[[#This Row],[LUKB_id]],PID,0),MATCH("ASK",PLabel,0)-1,1,1)</f>
        <v>46.800000000000004</v>
      </c>
      <c r="AC217" s="1594" cm="1">
        <f t="array" aca="1" ref="AC217" ca="1">OFFSET(POrigin,MATCH(Valori[[#This Row],[LUKB_id]],PID,0),MATCH("ASK:volume",PLabel,0)-1,1,1)</f>
        <v>100</v>
      </c>
      <c r="AD217" s="1596" cm="1">
        <f t="array" aca="1" ref="AD217" ca="1">OFFSET(POrigin,MATCH(Valori[[#This Row],[LUKB_id]],PID,0),MATCH("BID-ASK Spread %",PLabel,0)-1,1,1)</f>
        <v>1.4247043738431565E-4</v>
      </c>
      <c r="AE217" s="1597" t="str" cm="1">
        <f t="array" aca="1" ref="AE217" ca="1">IF(OFFSET(POrigin,MATCH(Valori[[#This Row],[LUKB_id]],PID,0),MATCH("MATURITY",PLabel,0)-1,1,1)&gt;0,OFFSET(POrigin,MATCH(Valori[[#This Row],[LUKB_id]],PID,0),MATCH("MATURITY",PLabel,0)-1,1,1),"")</f>
        <v/>
      </c>
      <c r="AF217" s="1598" cm="1">
        <f t="array" aca="1" ref="AF217" ca="1">OFFSET(POrigin,MATCH(Valori[[#This Row],[LUKB_id]],PID,0),MATCH("ACCINT",PLabel,0)-1,1,1)</f>
        <v>0</v>
      </c>
      <c r="AG217" s="1594" cm="1">
        <f t="array" aca="1" ref="AG217" ca="1">OFFSET(POrigin,MATCH(Valori[[#This Row],[LUKB_id]],PID,0),MATCH("DENOM",PLabel,0)-1,1,1)</f>
        <v>0</v>
      </c>
      <c r="AH217" s="1599" cm="1">
        <f t="array" aca="1" ref="AH217" ca="1">(OFFSET(POrigin,MATCH(Valori[[#This Row],[LUKB_id]],PID,0),MATCH("YIELD",PLabel,0)-1,1,1)+OFFSET(POrigin,MATCH(Valori[[#This Row],[LUKB_id]],PID,0),MATCH("YLDEQ",PLabel,0)-1,1,1))/100</f>
        <v>0</v>
      </c>
      <c r="AI217" s="1600">
        <f ca="1">OFFSET(POrigin,MATCH(Valori[[#This Row],[LUKB_id]],PID,0),MATCH("DIVIDEND",PLabel,0)-1,1,1)</f>
        <v>0.31721000000000005</v>
      </c>
      <c r="AJ217" s="1601">
        <f ca="1">OFFSET(POrigin,MATCH(Valori[[#This Row],[LUKB_id]],PID,0),MATCH("DIVIDEND:datetime",PLabel,0)-1,1,1)</f>
        <v>46013</v>
      </c>
      <c r="AK217" s="1602">
        <f ca="1">OFFSET(POrigin,MATCH(Valori[[#This Row],[LUKB_id]],PID,0),MATCH("INTEREST",PLabel,0)-1,1,1)</f>
        <v>0</v>
      </c>
      <c r="AL217" s="1603">
        <f ca="1">OFFSET(POrigin,MATCH(Valori[[#This Row],[LUKB_id]],PID,0),MATCH("4W_PERF_PR",PLabel,0)-1,1,1)/100</f>
        <v>8.1849709999999992E-2</v>
      </c>
      <c r="AM217" s="1603">
        <f ca="1">OFFSET(POrigin,MATCH(Valori[[#This Row],[LUKB_id]],PID,0),MATCH("12W_PERF_PR",PLabel,0)-1,1,1)/100</f>
        <v>9.4759010000000005E-2</v>
      </c>
      <c r="AN217" s="1603">
        <f ca="1">OFFSET(POrigin,MATCH(Valori[[#This Row],[LUKB_id]],PID,0),MATCH("YTD_PERF_PR",PLabel,0)-1,1,1)/100</f>
        <v>0.10962754743499699</v>
      </c>
      <c r="AO217" s="1591"/>
      <c r="AP217" s="1591"/>
      <c r="AQ217" s="1591"/>
      <c r="AR217" s="1591"/>
      <c r="AS217" s="1890"/>
      <c r="AT217" s="1890" t="s">
        <v>1471</v>
      </c>
      <c r="AU217" s="610" t="s">
        <v>1472</v>
      </c>
      <c r="AV217" s="1891" t="s">
        <v>1496</v>
      </c>
      <c r="AW217" s="1604" t="str">
        <f ca="1">"https://boersenundmaerkte.lukb.ch/lukb/details/"&amp;Valori[[#This Row],[LUKB_id]]</f>
        <v>https://boersenundmaerkte.lukb.ch/lukb/details/986060,66,333</v>
      </c>
      <c r="AX217" s="1605"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17" s="142"/>
      <c r="AZ217" s="142"/>
      <c r="BA217" s="142"/>
      <c r="BB217" s="142"/>
    </row>
    <row r="218" spans="1:54" ht="15" customHeight="1" x14ac:dyDescent="0.2">
      <c r="A218" s="142" t="s">
        <v>4440</v>
      </c>
      <c r="B218" s="142" t="str" cm="1">
        <f t="array" aca="1" ref="B218" ca="1">OFFSET(POrigin,MATCH(Valori[[#This Row],[smo_id]],Posizioni[smo_id],0),MATCH("LUKB_id",PIntestazioni,0)-1,1,1)</f>
        <v>21851365,737,333</v>
      </c>
      <c r="C218" s="1668" t="str">
        <f ca="1">HYPERLINK("https://boersenundmaerkte.lukb.ch/lukb/details/"&amp;Valori[[#This Row],[LUKB_id]],"è")</f>
        <v>è</v>
      </c>
      <c r="D218" s="142" t="str" cm="1">
        <f t="array" aca="1" ref="D218" ca="1">OFFSET(POrigin,MATCH(Valori[[#This Row],[LUKB_id]],PID,0),MATCH("SC_GROUPED",PIntestazioni,0)-1,1,1)</f>
        <v>ETF</v>
      </c>
      <c r="E218" s="413" t="str" cm="1">
        <f t="array" aca="1" ref="E218" ca="1">OFFSET(POrigin,MATCH(Valori[[#This Row],[LUKB_id]],PID,0),MATCH("isin",PIntestazioni,0)-1,1,1)</f>
        <v>US78468R8530</v>
      </c>
      <c r="F218" s="34" t="str" cm="1">
        <f t="array" aca="1" ref="F218" ca="1">OFFSET(POrigin,MATCH(Valori[[#This Row],[LUKB_id]],PID,0),MATCH("NSIN_CH",PLabel,0)-1,1,1)</f>
        <v>21851365</v>
      </c>
      <c r="G218" s="95" t="str" cm="1">
        <f t="array" aca="1" ref="G218" ca="1">IF(OFFSET(POrigin,MATCH(Valori[[#This Row],[LUKB_id]],PID,0),MATCH("INSTRUNIT",PLabel,0)-1,1,1)="Nominal","Pct","Unit")</f>
        <v>Unit</v>
      </c>
      <c r="H218" s="612">
        <f ca="1">MAX(OFFSET(POrigin,MATCH(Valori[[#This Row],[LUKB_id]],PID,0),MATCH("PRICINGAMT",PLabel,0)-1,1,1),1)</f>
        <v>1</v>
      </c>
      <c r="I218" s="615" t="str" cm="1">
        <f t="array" aca="1" ref="I218" ca="1">OFFSET(POrigin,MATCH(Valori[[#This Row],[LUKB_id]],PID,0),MATCH("M_NAME",PLabel,0)-1,1,1)</f>
        <v>State Street SPDR Portfolio S&amp;P 600 Small Cap ETF</v>
      </c>
      <c r="M218" s="142" t="str" cm="1">
        <f t="array" aca="1" ref="M2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Portfolio S&amp;P 600 Small Cap ETF</v>
      </c>
      <c r="N218" s="1563">
        <f ca="1">COUNTIF('CHF M'!smo_id,Valori[[#This Row],[smo_id]])+COUNTIF('CHF MA'!smo_id,Valori[[#This Row],[smo_id]])+COUNTIF('EUR MB'!smo_id,Valori[[#This Row],[smo_id]])+COUNTIF('EUR M'!smo_id,Valori[[#This Row],[smo_id]])+COUNTIF(AGCO!smo_id,Valori[[#This Row],[smo_id]])</f>
        <v>1</v>
      </c>
      <c r="O218" s="1590" cm="1">
        <f t="array" aca="1" ref="O218" ca="1">SUM(IF('CHF M'!smo_id=Valori[[#This Row],[smo_id]],'CHF M'!Posizione))+SUM(IF('CHF MA'!smo_id=Valori[[#This Row],[smo_id]],'CHF MA'!Posizione))+SUM(IF('EUR MB'!smo_id=Valori[[#This Row],[smo_id]],'EUR MB'!Posizione))+SUM(IF('EUR M'!smo_id=Valori[[#This Row],[smo_id]],'EUR M'!Posizione))+SUM(IF(AGCO!smo_id=Valori[[#This Row],[smo_id]],AGCO!Posizione))</f>
        <v>200</v>
      </c>
      <c r="P218" s="1661" t="str">
        <f ca="1">HYPERLINK(Valori[[#This Row],[P_Source]],"è")</f>
        <v>è</v>
      </c>
      <c r="Q218" s="1663" t="str">
        <f>HYPERLINK(Valori[[#This Row],[Info_W]],"i")</f>
        <v>i</v>
      </c>
      <c r="R218" s="1664" t="str">
        <f>HYPERLINK(Valori[[#This Row],[FN_W]],"")</f>
        <v></v>
      </c>
      <c r="S218" s="1665" t="str">
        <f>HYPERLINK(Valori[[#This Row],[MS_Link]],"")</f>
        <v></v>
      </c>
      <c r="T218" s="1665" t="str">
        <f>HYPERLINK(Valori[[#This Row],[C_source]],"")</f>
        <v></v>
      </c>
      <c r="U218" s="142" t="str" cm="1">
        <f t="array" aca="1" ref="U218" ca="1">OFFSET(POrigin,MATCH(Valori[[#This Row],[LUKB_id]],PID,0),MATCH("M_CUR",PLabel,0)-1,1,1)</f>
        <v>USD</v>
      </c>
      <c r="V218" s="1562">
        <f ca="1">(Valori[[#This Row],[Last]]+Valori[[#This Row],[Acc. Int]])/Valori[[#This Row],[Pr.Amt]]/IF(Valori[[#This Row],[P_Type]]="Pct",100,1)</f>
        <v>50.185000000000002</v>
      </c>
      <c r="W218" s="1591" cm="1">
        <f t="array" aca="1" ref="W218" ca="1">OFFSET(POrigin,MATCH(Valori[[#This Row],[LUKB_id]],PID,0),MATCH("NC2_PR",PLabel,0)-1,1,1)/100</f>
        <v>-1.35626535626536E-2</v>
      </c>
      <c r="X218" s="1592" cm="1">
        <f t="array" aca="1" ref="X218" ca="1">OFFSET(POrigin,MATCH(Valori[[#This Row],[LUKB_id]],PID,0),MATCH("LVAL",PLabel,0)-1,1,1)</f>
        <v>50.185000000000002</v>
      </c>
      <c r="Y218" s="1593" cm="1">
        <f t="array" aca="1" ref="Y218" ca="1">OFFSET(POrigin,MATCH(Valori[[#This Row],[LUKB_id]],PID,0),MATCH("LVAL:datetime",PLabel,0)-1,1,1)</f>
        <v>46084.78534722222</v>
      </c>
      <c r="Z218" s="1594" cm="1">
        <f t="array" aca="1" ref="Z218" ca="1">OFFSET(POrigin,MATCH(Valori[[#This Row],[LUKB_id]],PID,0),MATCH("BID:volume",PLabel,0)-1,1,1)</f>
        <v>0</v>
      </c>
      <c r="AA218" s="1595" cm="1">
        <f t="array" aca="1" ref="AA218" ca="1">OFFSET(POrigin,MATCH(Valori[[#This Row],[LUKB_id]],PID,0),MATCH("BID",PLabel,0)-1,1,1)</f>
        <v>0</v>
      </c>
      <c r="AB218" s="1595" cm="1">
        <f t="array" aca="1" ref="AB218" ca="1">OFFSET(POrigin,MATCH(Valori[[#This Row],[LUKB_id]],PID,0),MATCH("ASK",PLabel,0)-1,1,1)</f>
        <v>0</v>
      </c>
      <c r="AC218" s="1594" cm="1">
        <f t="array" aca="1" ref="AC218" ca="1">OFFSET(POrigin,MATCH(Valori[[#This Row],[LUKB_id]],PID,0),MATCH("ASK:volume",PLabel,0)-1,1,1)</f>
        <v>0</v>
      </c>
      <c r="AD218" s="1596" cm="1">
        <f t="array" aca="1" ref="AD218" ca="1">OFFSET(POrigin,MATCH(Valori[[#This Row],[LUKB_id]],PID,0),MATCH("BID-ASK Spread %",PLabel,0)-1,1,1)</f>
        <v>0</v>
      </c>
      <c r="AE218" s="1597" t="str" cm="1">
        <f t="array" aca="1" ref="AE218" ca="1">IF(OFFSET(POrigin,MATCH(Valori[[#This Row],[LUKB_id]],PID,0),MATCH("MATURITY",PLabel,0)-1,1,1)&gt;0,OFFSET(POrigin,MATCH(Valori[[#This Row],[LUKB_id]],PID,0),MATCH("MATURITY",PLabel,0)-1,1,1),"")</f>
        <v/>
      </c>
      <c r="AF218" s="1598" cm="1">
        <f t="array" aca="1" ref="AF218" ca="1">OFFSET(POrigin,MATCH(Valori[[#This Row],[LUKB_id]],PID,0),MATCH("ACCINT",PLabel,0)-1,1,1)</f>
        <v>0</v>
      </c>
      <c r="AG218" s="1594" cm="1">
        <f t="array" aca="1" ref="AG218" ca="1">OFFSET(POrigin,MATCH(Valori[[#This Row],[LUKB_id]],PID,0),MATCH("DENOM",PLabel,0)-1,1,1)</f>
        <v>0</v>
      </c>
      <c r="AH218" s="1599" cm="1">
        <f t="array" aca="1" ref="AH218" ca="1">(OFFSET(POrigin,MATCH(Valori[[#This Row],[LUKB_id]],PID,0),MATCH("YIELD",PLabel,0)-1,1,1)+OFFSET(POrigin,MATCH(Valori[[#This Row],[LUKB_id]],PID,0),MATCH("YLDEQ",PLabel,0)-1,1,1))/100</f>
        <v>0</v>
      </c>
      <c r="AI218" s="1600">
        <f ca="1">OFFSET(POrigin,MATCH(Valori[[#This Row],[LUKB_id]],PID,0),MATCH("DIVIDEND",PLabel,0)-1,1,1)</f>
        <v>0.23588299999999998</v>
      </c>
      <c r="AJ218" s="1601">
        <f ca="1">OFFSET(POrigin,MATCH(Valori[[#This Row],[LUKB_id]],PID,0),MATCH("DIVIDEND:datetime",PLabel,0)-1,1,1)</f>
        <v>46013</v>
      </c>
      <c r="AK218" s="1602">
        <f ca="1">OFFSET(POrigin,MATCH(Valori[[#This Row],[LUKB_id]],PID,0),MATCH("INTEREST",PLabel,0)-1,1,1)</f>
        <v>0</v>
      </c>
      <c r="AL218" s="1603">
        <f ca="1">OFFSET(POrigin,MATCH(Valori[[#This Row],[LUKB_id]],PID,0),MATCH("4W_PERF_PR",PLabel,0)-1,1,1)/100</f>
        <v>4.0011999999999999E-3</v>
      </c>
      <c r="AM218" s="1603">
        <f ca="1">OFFSET(POrigin,MATCH(Valori[[#This Row],[LUKB_id]],PID,0),MATCH("12W_PERF_PR",PLabel,0)-1,1,1)/100</f>
        <v>5.8197149999999996E-2</v>
      </c>
      <c r="AN218" s="1603">
        <f ca="1">OFFSET(POrigin,MATCH(Valori[[#This Row],[LUKB_id]],PID,0),MATCH("YTD_PERF_PR",PLabel,0)-1,1,1)/100</f>
        <v>8.6028391503895907E-2</v>
      </c>
      <c r="AO218" s="1591"/>
      <c r="AP218" s="1591"/>
      <c r="AQ218" s="1591"/>
      <c r="AR218" s="1591"/>
      <c r="AS218" s="1890"/>
      <c r="AT218" s="1890"/>
      <c r="AU218" s="610"/>
      <c r="AV218" s="1891"/>
      <c r="AW218" s="1604" t="str">
        <f ca="1">"https://boersenundmaerkte.lukb.ch/lukb/details/"&amp;Valori[[#This Row],[LUKB_id]]</f>
        <v>https://boersenundmaerkte.lukb.ch/lukb/details/21851365,737,333</v>
      </c>
      <c r="AX21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8" s="142"/>
      <c r="AZ218" s="142"/>
      <c r="BA218" s="142"/>
      <c r="BB218" s="142"/>
    </row>
    <row r="219" spans="1:54" ht="15" customHeight="1" x14ac:dyDescent="0.2">
      <c r="A219" s="142" t="s">
        <v>4287</v>
      </c>
      <c r="B219" s="142" t="str" cm="1">
        <f t="array" aca="1" ref="B219" ca="1">OFFSET(POrigin,MATCH(Valori[[#This Row],[smo_id]],Posizioni[smo_id],0),MATCH("LUKB_id",PIntestazioni,0)-1,1,1)</f>
        <v>30798996,321,333</v>
      </c>
      <c r="C219" s="1669" t="str">
        <f ca="1">HYPERLINK("https://boersenundmaerkte.lukb.ch/lukb/details/"&amp;Valori[[#This Row],[LUKB_id]],"è")</f>
        <v>è</v>
      </c>
      <c r="D219" s="142" t="str" cm="1">
        <f t="array" aca="1" ref="D219" ca="1">OFFSET(POrigin,MATCH(Valori[[#This Row],[LUKB_id]],PID,0),MATCH("SC_GROUPED",PIntestazioni,0)-1,1,1)</f>
        <v>ETF</v>
      </c>
      <c r="E219" s="142" t="str" cm="1">
        <f t="array" aca="1" ref="E219" ca="1">OFFSET(POrigin,MATCH(Valori[[#This Row],[LUKB_id]],PID,0),MATCH("isin",PIntestazioni,0)-1,1,1)</f>
        <v>US78463X1524</v>
      </c>
      <c r="F219" s="34" t="str" cm="1">
        <f t="array" aca="1" ref="F219" ca="1">OFFSET(POrigin,MATCH(Valori[[#This Row],[LUKB_id]],PID,0),MATCH("NSIN_CH",PLabel,0)-1,1,1)</f>
        <v>30798996</v>
      </c>
      <c r="G219" s="95" t="str" cm="1">
        <f t="array" aca="1" ref="G219" ca="1">IF(OFFSET(POrigin,MATCH(Valori[[#This Row],[LUKB_id]],PID,0),MATCH("INSTRUNIT",PLabel,0)-1,1,1)="Nominal","Pct","Unit")</f>
        <v>Unit</v>
      </c>
      <c r="H219" s="612">
        <f ca="1">MAX(OFFSET(POrigin,MATCH(Valori[[#This Row],[LUKB_id]],PID,0),MATCH("PRICINGAMT",PLabel,0)-1,1,1),1)</f>
        <v>1</v>
      </c>
      <c r="I219" s="615" t="str" cm="1">
        <f t="array" aca="1" ref="I219" ca="1">OFFSET(POrigin,MATCH(Valori[[#This Row],[LUKB_id]],PID,0),MATCH("M_NAME",PLabel,0)-1,1,1)</f>
        <v>State Street SPDR S&amp;P North American Natural Resources ETF</v>
      </c>
      <c r="M219" s="142" t="str" cm="1">
        <f t="array" aca="1" ref="M2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S&amp;P North American Natural Resources ETF</v>
      </c>
      <c r="N219" s="1563">
        <f ca="1">COUNTIF('CHF M'!smo_id,Valori[[#This Row],[smo_id]])+COUNTIF('CHF MA'!smo_id,Valori[[#This Row],[smo_id]])+COUNTIF('EUR MB'!smo_id,Valori[[#This Row],[smo_id]])+COUNTIF('EUR M'!smo_id,Valori[[#This Row],[smo_id]])+COUNTIF(AGCO!smo_id,Valori[[#This Row],[smo_id]])</f>
        <v>0</v>
      </c>
      <c r="O219" s="704" cm="1">
        <f t="array" aca="1" ref="O219" ca="1">SUM(IF('CHF M'!smo_id=Valori[[#This Row],[smo_id]],'CHF M'!Posizione))+SUM(IF('CHF MA'!smo_id=Valori[[#This Row],[smo_id]],'CHF MA'!Posizione))+SUM(IF('EUR MB'!smo_id=Valori[[#This Row],[smo_id]],'EUR MB'!Posizione))+SUM(IF('EUR M'!smo_id=Valori[[#This Row],[smo_id]],'EUR M'!Posizione))+SUM(IF(AGCO!smo_id=Valori[[#This Row],[smo_id]],AGCO!Posizione))</f>
        <v>0</v>
      </c>
      <c r="P219" s="1661" t="str">
        <f ca="1">HYPERLINK(Valori[[#This Row],[P_Source]],"è")</f>
        <v>è</v>
      </c>
      <c r="Q219" s="1663" t="str">
        <f>HYPERLINK(Valori[[#This Row],[Info_W]],"i")</f>
        <v>i</v>
      </c>
      <c r="R219" s="1664" t="str">
        <f>HYPERLINK(Valori[[#This Row],[FN_W]],"")</f>
        <v></v>
      </c>
      <c r="S219" s="1665" t="str">
        <f>HYPERLINK(Valori[[#This Row],[MS_Link]],"")</f>
        <v></v>
      </c>
      <c r="T219" s="1665" t="str">
        <f>HYPERLINK(Valori[[#This Row],[C_source]],"")</f>
        <v></v>
      </c>
      <c r="U219" s="142" t="str" cm="1">
        <f t="array" aca="1" ref="U219" ca="1">OFFSET(POrigin,MATCH(Valori[[#This Row],[LUKB_id]],PID,0),MATCH("M_CUR",PLabel,0)-1,1,1)</f>
        <v>USD</v>
      </c>
      <c r="V219" s="1562">
        <f ca="1">(Valori[[#This Row],[Last]]+Valori[[#This Row],[Acc. Int]])/Valori[[#This Row],[Pr.Amt]]/IF(Valori[[#This Row],[P_Type]]="Pct",100,1)</f>
        <v>83.55</v>
      </c>
      <c r="W219" s="1892" cm="1">
        <f t="array" aca="1" ref="W219" ca="1">OFFSET(POrigin,MATCH(Valori[[#This Row],[LUKB_id]],PID,0),MATCH("NC2_PR",PLabel,0)-1,1,1)/100</f>
        <v>-3.0517521466697797E-2</v>
      </c>
      <c r="X219" s="1893" cm="1">
        <f t="array" aca="1" ref="X219" ca="1">OFFSET(POrigin,MATCH(Valori[[#This Row],[LUKB_id]],PID,0),MATCH("LVAL",PLabel,0)-1,1,1)</f>
        <v>83.55</v>
      </c>
      <c r="Y219" s="1894" cm="1">
        <f t="array" aca="1" ref="Y219" ca="1">OFFSET(POrigin,MATCH(Valori[[#This Row],[LUKB_id]],PID,0),MATCH("LVAL:datetime",PLabel,0)-1,1,1)</f>
        <v>46084.775416666664</v>
      </c>
      <c r="Z219" s="1895" cm="1">
        <f t="array" aca="1" ref="Z219" ca="1">OFFSET(POrigin,MATCH(Valori[[#This Row],[LUKB_id]],PID,0),MATCH("BID:volume",PLabel,0)-1,1,1)</f>
        <v>700</v>
      </c>
      <c r="AA219" s="1896" cm="1">
        <f t="array" aca="1" ref="AA219" ca="1">OFFSET(POrigin,MATCH(Valori[[#This Row],[LUKB_id]],PID,0),MATCH("BID",PLabel,0)-1,1,1)</f>
        <v>83.38</v>
      </c>
      <c r="AB219" s="1896" cm="1">
        <f t="array" aca="1" ref="AB219" ca="1">OFFSET(POrigin,MATCH(Valori[[#This Row],[LUKB_id]],PID,0),MATCH("ASK",PLabel,0)-1,1,1)</f>
        <v>83.51</v>
      </c>
      <c r="AC219" s="1606" cm="1">
        <f t="array" aca="1" ref="AC219" ca="1">OFFSET(POrigin,MATCH(Valori[[#This Row],[LUKB_id]],PID,0),MATCH("ASK:volume",PLabel,0)-1,1,1)</f>
        <v>100</v>
      </c>
      <c r="AD219" s="1897" cm="1">
        <f t="array" aca="1" ref="AD219" ca="1">OFFSET(POrigin,MATCH(Valori[[#This Row],[LUKB_id]],PID,0),MATCH("BID-ASK Spread %",PLabel,0)-1,1,1)</f>
        <v>1.0388780117473902E-3</v>
      </c>
      <c r="AE219" s="1898" t="str" cm="1">
        <f t="array" aca="1" ref="AE219" ca="1">IF(OFFSET(POrigin,MATCH(Valori[[#This Row],[LUKB_id]],PID,0),MATCH("MATURITY",PLabel,0)-1,1,1)&gt;0,OFFSET(POrigin,MATCH(Valori[[#This Row],[LUKB_id]],PID,0),MATCH("MATURITY",PLabel,0)-1,1,1),"")</f>
        <v/>
      </c>
      <c r="AF219" s="1899" cm="1">
        <f t="array" aca="1" ref="AF219" ca="1">OFFSET(POrigin,MATCH(Valori[[#This Row],[LUKB_id]],PID,0),MATCH("ACCINT",PLabel,0)-1,1,1)</f>
        <v>0</v>
      </c>
      <c r="AG219" s="1895" cm="1">
        <f t="array" aca="1" ref="AG219" ca="1">OFFSET(POrigin,MATCH(Valori[[#This Row],[LUKB_id]],PID,0),MATCH("DENOM",PLabel,0)-1,1,1)</f>
        <v>0</v>
      </c>
      <c r="AH219" s="1900" cm="1">
        <f t="array" aca="1" ref="AH219" ca="1">(OFFSET(POrigin,MATCH(Valori[[#This Row],[LUKB_id]],PID,0),MATCH("YIELD",PLabel,0)-1,1,1)+OFFSET(POrigin,MATCH(Valori[[#This Row],[LUKB_id]],PID,0),MATCH("YLDEQ",PLabel,0)-1,1,1))/100</f>
        <v>0</v>
      </c>
      <c r="AI219" s="1901">
        <f ca="1">OFFSET(POrigin,MATCH(Valori[[#This Row],[LUKB_id]],PID,0),MATCH("DIVIDEND",PLabel,0)-1,1,1)</f>
        <v>0.69967699999999999</v>
      </c>
      <c r="AJ219" s="1902">
        <f ca="1">OFFSET(POrigin,MATCH(Valori[[#This Row],[LUKB_id]],PID,0),MATCH("DIVIDEND:datetime",PLabel,0)-1,1,1)</f>
        <v>46009</v>
      </c>
      <c r="AK219" s="1903">
        <f ca="1">OFFSET(POrigin,MATCH(Valori[[#This Row],[LUKB_id]],PID,0),MATCH("INTEREST",PLabel,0)-1,1,1)</f>
        <v>0</v>
      </c>
      <c r="AL219" s="1904">
        <f ca="1">OFFSET(POrigin,MATCH(Valori[[#This Row],[LUKB_id]],PID,0),MATCH("4W_PERF_PR",PLabel,0)-1,1,1)/100</f>
        <v>6.5552859999999991E-2</v>
      </c>
      <c r="AM219" s="1904">
        <f ca="1">OFFSET(POrigin,MATCH(Valori[[#This Row],[LUKB_id]],PID,0),MATCH("12W_PERF_PR",PLabel,0)-1,1,1)/100</f>
        <v>0.24995511999999998</v>
      </c>
      <c r="AN219" s="1904">
        <f ca="1">OFFSET(POrigin,MATCH(Valori[[#This Row],[LUKB_id]],PID,0),MATCH("YTD_PERF_PR",PLabel,0)-1,1,1)/100</f>
        <v>0.270529264337315</v>
      </c>
      <c r="AO219" s="1892"/>
      <c r="AP219" s="1892"/>
      <c r="AQ219" s="1892"/>
      <c r="AR219" s="1892"/>
      <c r="AS219" s="1890"/>
      <c r="AT219" s="1890"/>
      <c r="AU219" s="1607"/>
      <c r="AV219" s="1608"/>
      <c r="AW219" s="1609" t="str">
        <f ca="1">"https://boersenundmaerkte.lukb.ch/lukb/details/"&amp;Valori[[#This Row],[LUKB_id]]</f>
        <v>https://boersenundmaerkte.lukb.ch/lukb/details/30798996,321,333</v>
      </c>
      <c r="AX219"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9" s="142"/>
      <c r="AZ219" s="142"/>
      <c r="BA219" s="142"/>
      <c r="BB219" s="142"/>
    </row>
    <row r="220" spans="1:54" ht="15" customHeight="1" x14ac:dyDescent="0.2">
      <c r="A220" s="142" t="s">
        <v>1497</v>
      </c>
      <c r="B220" s="142" t="str" cm="1">
        <f t="array" aca="1" ref="B220" ca="1">OFFSET(POrigin,MATCH(Valori[[#This Row],[smo_id]],Posizioni[smo_id],0),MATCH("LUKB_id",PIntestazioni,0)-1,1,1)</f>
        <v>11926603,349,333</v>
      </c>
      <c r="C220" s="1668" t="str">
        <f ca="1">HYPERLINK("https://boersenundmaerkte.lukb.ch/lukb/details/"&amp;Valori[[#This Row],[LUKB_id]],"è")</f>
        <v>è</v>
      </c>
      <c r="D220" s="142" t="str" cm="1">
        <f t="array" aca="1" ref="D220" ca="1">OFFSET(POrigin,MATCH(Valori[[#This Row],[LUKB_id]],PID,0),MATCH("SC_GROUPED",PIntestazioni,0)-1,1,1)</f>
        <v>ETF</v>
      </c>
      <c r="E220" s="413" t="str" cm="1">
        <f t="array" aca="1" ref="E220" ca="1">OFFSET(POrigin,MATCH(Valori[[#This Row],[LUKB_id]],PID,0),MATCH("isin",PIntestazioni,0)-1,1,1)</f>
        <v>IE00B53H0131</v>
      </c>
      <c r="F220" s="34" t="str" cm="1">
        <f t="array" aca="1" ref="F220" ca="1">OFFSET(POrigin,MATCH(Valori[[#This Row],[LUKB_id]],PID,0),MATCH("NSIN_CH",PLabel,0)-1,1,1)</f>
        <v>11926603</v>
      </c>
      <c r="G220" s="95" t="str" cm="1">
        <f t="array" aca="1" ref="G220" ca="1">IF(OFFSET(POrigin,MATCH(Valori[[#This Row],[LUKB_id]],PID,0),MATCH("INSTRUNIT",PLabel,0)-1,1,1)="Nominal","Pct","Unit")</f>
        <v>Unit</v>
      </c>
      <c r="H220" s="612">
        <f ca="1">MAX(OFFSET(POrigin,MATCH(Valori[[#This Row],[LUKB_id]],PID,0),MATCH("PRICINGAMT",PLabel,0)-1,1,1),1)</f>
        <v>1</v>
      </c>
      <c r="I220" s="615" t="str" cm="1">
        <f t="array" aca="1" ref="I220" ca="1">OFFSET(POrigin,MATCH(Valori[[#This Row],[LUKB_id]],PID,0),MATCH("M_NAME",PLabel,0)-1,1,1)</f>
        <v>UBS (Irl) Fund Solutions PLC - UBS CMCI Composite SF UCITS ETF</v>
      </c>
      <c r="J220" s="142" t="s">
        <v>786</v>
      </c>
      <c r="M220" s="142" t="str" cm="1">
        <f t="array" aca="1" ref="M2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CMCI Composite SF UCITS ETF</v>
      </c>
      <c r="N220" s="1563">
        <f ca="1">COUNTIF('CHF M'!smo_id,Valori[[#This Row],[smo_id]])+COUNTIF('CHF MA'!smo_id,Valori[[#This Row],[smo_id]])+COUNTIF('EUR MB'!smo_id,Valori[[#This Row],[smo_id]])+COUNTIF('EUR M'!smo_id,Valori[[#This Row],[smo_id]])+COUNTIF(AGCO!smo_id,Valori[[#This Row],[smo_id]])</f>
        <v>5</v>
      </c>
      <c r="O220" s="1590" cm="1">
        <f t="array" aca="1" ref="O220" ca="1">SUM(IF('CHF M'!smo_id=Valori[[#This Row],[smo_id]],'CHF M'!Posizione))+SUM(IF('CHF MA'!smo_id=Valori[[#This Row],[smo_id]],'CHF MA'!Posizione))+SUM(IF('EUR MB'!smo_id=Valori[[#This Row],[smo_id]],'EUR MB'!Posizione))+SUM(IF('EUR M'!smo_id=Valori[[#This Row],[smo_id]],'EUR M'!Posizione))+SUM(IF(AGCO!smo_id=Valori[[#This Row],[smo_id]],AGCO!Posizione))</f>
        <v>0</v>
      </c>
      <c r="P220" s="1661" t="str">
        <f ca="1">HYPERLINK(Valori[[#This Row],[P_Source]],"è")</f>
        <v>è</v>
      </c>
      <c r="Q220" s="1663" t="str">
        <f>HYPERLINK(Valori[[#This Row],[Info_W]],"i")</f>
        <v>i</v>
      </c>
      <c r="R220" s="1664" t="str">
        <f>HYPERLINK(Valori[[#This Row],[FN_W]],"")</f>
        <v></v>
      </c>
      <c r="S220" s="1665" t="str">
        <f>HYPERLINK(Valori[[#This Row],[MS_Link]],"")</f>
        <v></v>
      </c>
      <c r="T220" s="1665" t="str">
        <f>HYPERLINK(Valori[[#This Row],[C_source]],"")</f>
        <v></v>
      </c>
      <c r="U220" s="142" t="str" cm="1">
        <f t="array" aca="1" ref="U220" ca="1">OFFSET(POrigin,MATCH(Valori[[#This Row],[LUKB_id]],PID,0),MATCH("M_CUR",PLabel,0)-1,1,1)</f>
        <v>USD</v>
      </c>
      <c r="V220" s="1562">
        <f ca="1">(Valori[[#This Row],[Last]]+Valori[[#This Row],[Acc. Int]])/Valori[[#This Row],[Pr.Amt]]/IF(Valori[[#This Row],[P_Type]]="Pct",100,1)</f>
        <v>126.5</v>
      </c>
      <c r="W220" s="1591" cm="1">
        <f t="array" aca="1" ref="W220" ca="1">OFFSET(POrigin,MATCH(Valori[[#This Row],[LUKB_id]],PID,0),MATCH("NC2_PR",PLabel,0)-1,1,1)/100</f>
        <v>1.41093474426808E-2</v>
      </c>
      <c r="X220" s="1592" cm="1">
        <f t="array" aca="1" ref="X220" ca="1">OFFSET(POrigin,MATCH(Valori[[#This Row],[LUKB_id]],PID,0),MATCH("LVAL",PLabel,0)-1,1,1)</f>
        <v>126.5</v>
      </c>
      <c r="Y220" s="1593" cm="1">
        <f t="array" aca="1" ref="Y220" ca="1">OFFSET(POrigin,MATCH(Valori[[#This Row],[LUKB_id]],PID,0),MATCH("LVAL:datetime",PLabel,0)-1,1,1)</f>
        <v>46084.73300925926</v>
      </c>
      <c r="Z220" s="1594" cm="1">
        <f t="array" aca="1" ref="Z220" ca="1">OFFSET(POrigin,MATCH(Valori[[#This Row],[LUKB_id]],PID,0),MATCH("BID:volume",PLabel,0)-1,1,1)</f>
        <v>10</v>
      </c>
      <c r="AA220" s="1595" cm="1">
        <f t="array" aca="1" ref="AA220" ca="1">OFFSET(POrigin,MATCH(Valori[[#This Row],[LUKB_id]],PID,0),MATCH("BID",PLabel,0)-1,1,1)</f>
        <v>125.14</v>
      </c>
      <c r="AB220" s="1595" cm="1">
        <f t="array" aca="1" ref="AB220" ca="1">OFFSET(POrigin,MATCH(Valori[[#This Row],[LUKB_id]],PID,0),MATCH("ASK",PLabel,0)-1,1,1)</f>
        <v>126.96000000000001</v>
      </c>
      <c r="AC220" s="1594" cm="1">
        <f t="array" aca="1" ref="AC220" ca="1">OFFSET(POrigin,MATCH(Valori[[#This Row],[LUKB_id]],PID,0),MATCH("ASK:volume",PLabel,0)-1,1,1)</f>
        <v>7000</v>
      </c>
      <c r="AD220" s="1596" cm="1">
        <f t="array" aca="1" ref="AD220" ca="1">OFFSET(POrigin,MATCH(Valori[[#This Row],[LUKB_id]],PID,0),MATCH("BID-ASK Spread %",PLabel,0)-1,1,1)</f>
        <v>9.6490297953557812E-3</v>
      </c>
      <c r="AE220" s="1597" t="str" cm="1">
        <f t="array" aca="1" ref="AE220" ca="1">IF(OFFSET(POrigin,MATCH(Valori[[#This Row],[LUKB_id]],PID,0),MATCH("MATURITY",PLabel,0)-1,1,1)&gt;0,OFFSET(POrigin,MATCH(Valori[[#This Row],[LUKB_id]],PID,0),MATCH("MATURITY",PLabel,0)-1,1,1),"")</f>
        <v/>
      </c>
      <c r="AF220" s="1598" cm="1">
        <f t="array" aca="1" ref="AF220" ca="1">OFFSET(POrigin,MATCH(Valori[[#This Row],[LUKB_id]],PID,0),MATCH("ACCINT",PLabel,0)-1,1,1)</f>
        <v>0</v>
      </c>
      <c r="AG220" s="1594" cm="1">
        <f t="array" aca="1" ref="AG220" ca="1">OFFSET(POrigin,MATCH(Valori[[#This Row],[LUKB_id]],PID,0),MATCH("DENOM",PLabel,0)-1,1,1)</f>
        <v>0</v>
      </c>
      <c r="AH220" s="1599" cm="1">
        <f t="array" aca="1" ref="AH220" ca="1">(OFFSET(POrigin,MATCH(Valori[[#This Row],[LUKB_id]],PID,0),MATCH("YIELD",PLabel,0)-1,1,1)+OFFSET(POrigin,MATCH(Valori[[#This Row],[LUKB_id]],PID,0),MATCH("YLDEQ",PLabel,0)-1,1,1))/100</f>
        <v>0</v>
      </c>
      <c r="AI220" s="1600">
        <f ca="1">OFFSET(POrigin,MATCH(Valori[[#This Row],[LUKB_id]],PID,0),MATCH("DIVIDEND",PLabel,0)-1,1,1)</f>
        <v>0</v>
      </c>
      <c r="AJ220" s="1601">
        <f ca="1">OFFSET(POrigin,MATCH(Valori[[#This Row],[LUKB_id]],PID,0),MATCH("DIVIDEND:datetime",PLabel,0)-1,1,1)</f>
        <v>0</v>
      </c>
      <c r="AK220" s="1602">
        <f ca="1">OFFSET(POrigin,MATCH(Valori[[#This Row],[LUKB_id]],PID,0),MATCH("INTEREST",PLabel,0)-1,1,1)</f>
        <v>0</v>
      </c>
      <c r="AL220" s="1603">
        <f ca="1">OFFSET(POrigin,MATCH(Valori[[#This Row],[LUKB_id]],PID,0),MATCH("4W_PERF_PR",PLabel,0)-1,1,1)/100</f>
        <v>5.6455649999999996E-2</v>
      </c>
      <c r="AM220" s="1603">
        <f ca="1">OFFSET(POrigin,MATCH(Valori[[#This Row],[LUKB_id]],PID,0),MATCH("12W_PERF_PR",PLabel,0)-1,1,1)/100</f>
        <v>0.11532358000000001</v>
      </c>
      <c r="AN220" s="1603">
        <f ca="1">OFFSET(POrigin,MATCH(Valori[[#This Row],[LUKB_id]],PID,0),MATCH("YTD_PERF_PR",PLabel,0)-1,1,1)/100</f>
        <v>8.0935875216637906E-2</v>
      </c>
      <c r="AO220" s="1591"/>
      <c r="AP220" s="1591"/>
      <c r="AQ220" s="1591"/>
      <c r="AR220" s="1591"/>
      <c r="AS220" s="1890"/>
      <c r="AT220" s="1890"/>
      <c r="AU220" s="610"/>
      <c r="AV220" s="1891"/>
      <c r="AW220" s="1604" t="str">
        <f ca="1">"https://boersenundmaerkte.lukb.ch/lukb/details/"&amp;Valori[[#This Row],[LUKB_id]]</f>
        <v>https://boersenundmaerkte.lukb.ch/lukb/details/11926603,349,333</v>
      </c>
      <c r="AX22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0" s="142"/>
      <c r="AZ220" s="142"/>
      <c r="BA220" s="142"/>
      <c r="BB220" s="142"/>
    </row>
    <row r="221" spans="1:54" ht="15" customHeight="1" x14ac:dyDescent="0.2">
      <c r="A221" s="142" t="s">
        <v>1498</v>
      </c>
      <c r="B221" s="142" t="str" cm="1">
        <f t="array" aca="1" ref="B221" ca="1">OFFSET(POrigin,MATCH(Valori[[#This Row],[smo_id]],Posizioni[smo_id],0),MATCH("LUKB_id",PIntestazioni,0)-1,1,1)</f>
        <v>22374957,594,814</v>
      </c>
      <c r="C221" s="1668" t="str">
        <f ca="1">HYPERLINK("https://boersenundmaerkte.lukb.ch/lukb/details/"&amp;Valori[[#This Row],[LUKB_id]],"è")</f>
        <v>è</v>
      </c>
      <c r="D221" s="142" t="str" cm="1">
        <f t="array" aca="1" ref="D221" ca="1">OFFSET(POrigin,MATCH(Valori[[#This Row],[LUKB_id]],PID,0),MATCH("SC_GROUPED",PIntestazioni,0)-1,1,1)</f>
        <v>ETF</v>
      </c>
      <c r="E221" s="413" t="str" cm="1">
        <f t="array" aca="1" ref="E221" ca="1">OFFSET(POrigin,MATCH(Valori[[#This Row],[LUKB_id]],PID,0),MATCH("isin",PIntestazioni,0)-1,1,1)</f>
        <v>IE00BD4TYG73</v>
      </c>
      <c r="F221" s="34" t="str" cm="1">
        <f t="array" aca="1" ref="F221" ca="1">OFFSET(POrigin,MATCH(Valori[[#This Row],[LUKB_id]],PID,0),MATCH("NSIN_CH",PLabel,0)-1,1,1)</f>
        <v>22374957</v>
      </c>
      <c r="G221" s="95" t="str" cm="1">
        <f t="array" aca="1" ref="G221" ca="1">IF(OFFSET(POrigin,MATCH(Valori[[#This Row],[LUKB_id]],PID,0),MATCH("INSTRUNIT",PLabel,0)-1,1,1)="Nominal","Pct","Unit")</f>
        <v>Unit</v>
      </c>
      <c r="H221" s="612">
        <f ca="1">MAX(OFFSET(POrigin,MATCH(Valori[[#This Row],[LUKB_id]],PID,0),MATCH("PRICINGAMT",PLabel,0)-1,1,1),1)</f>
        <v>1</v>
      </c>
      <c r="I221" s="615" t="str" cm="1">
        <f t="array" aca="1" ref="I221" ca="1">OFFSET(POrigin,MATCH(Valori[[#This Row],[LUKB_id]],PID,0),MATCH("M_NAME",PLabel,0)-1,1,1)</f>
        <v>UBS (Irl) ETF PLC - UBS Core MSCI USA hEUR UCITS ETF</v>
      </c>
      <c r="J221" s="142" t="s">
        <v>858</v>
      </c>
      <c r="M221" s="142" t="str" cm="1">
        <f t="array" aca="1" ref="M2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100% hedged to EUR UCITS EUR A-acc</v>
      </c>
      <c r="N221" s="1563">
        <f ca="1">COUNTIF('CHF M'!smo_id,Valori[[#This Row],[smo_id]])+COUNTIF('CHF MA'!smo_id,Valori[[#This Row],[smo_id]])+COUNTIF('EUR MB'!smo_id,Valori[[#This Row],[smo_id]])+COUNTIF('EUR M'!smo_id,Valori[[#This Row],[smo_id]])+COUNTIF(AGCO!smo_id,Valori[[#This Row],[smo_id]])</f>
        <v>1</v>
      </c>
      <c r="O221" s="1590" cm="1">
        <f t="array" aca="1" ref="O221" ca="1">SUM(IF('CHF M'!smo_id=Valori[[#This Row],[smo_id]],'CHF M'!Posizione))+SUM(IF('CHF MA'!smo_id=Valori[[#This Row],[smo_id]],'CHF MA'!Posizione))+SUM(IF('EUR MB'!smo_id=Valori[[#This Row],[smo_id]],'EUR MB'!Posizione))+SUM(IF('EUR M'!smo_id=Valori[[#This Row],[smo_id]],'EUR M'!Posizione))+SUM(IF(AGCO!smo_id=Valori[[#This Row],[smo_id]],AGCO!Posizione))</f>
        <v>0</v>
      </c>
      <c r="P221" s="1661" t="str">
        <f ca="1">HYPERLINK(Valori[[#This Row],[P_Source]],"è")</f>
        <v>è</v>
      </c>
      <c r="Q221" s="1663" t="str">
        <f>HYPERLINK(Valori[[#This Row],[Info_W]],"i")</f>
        <v>i</v>
      </c>
      <c r="R221" s="1664" t="str">
        <f>HYPERLINK(Valori[[#This Row],[FN_W]],"")</f>
        <v></v>
      </c>
      <c r="S221" s="1665" t="str">
        <f>HYPERLINK(Valori[[#This Row],[MS_Link]],"")</f>
        <v></v>
      </c>
      <c r="T221" s="1665" t="str">
        <f>HYPERLINK(Valori[[#This Row],[C_source]],"")</f>
        <v></v>
      </c>
      <c r="U221" s="142" t="str" cm="1">
        <f t="array" aca="1" ref="U221" ca="1">OFFSET(POrigin,MATCH(Valori[[#This Row],[LUKB_id]],PID,0),MATCH("M_CUR",PLabel,0)-1,1,1)</f>
        <v>EUR</v>
      </c>
      <c r="V221" s="1562">
        <f ca="1">(Valori[[#This Row],[Last]]+Valori[[#This Row],[Acc. Int]])/Valori[[#This Row],[Pr.Amt]]/IF(Valori[[#This Row],[P_Type]]="Pct",100,1)</f>
        <v>51.762500000000003</v>
      </c>
      <c r="W221" s="1591" cm="1">
        <f t="array" aca="1" ref="W221" ca="1">OFFSET(POrigin,MATCH(Valori[[#This Row],[LUKB_id]],PID,0),MATCH("NC2_PR",PLabel,0)-1,1,1)/100</f>
        <v>9.4663810259142996E-3</v>
      </c>
      <c r="X221" s="1592" cm="1">
        <f t="array" aca="1" ref="X221" ca="1">OFFSET(POrigin,MATCH(Valori[[#This Row],[LUKB_id]],PID,0),MATCH("LVAL",PLabel,0)-1,1,1)</f>
        <v>51.762500000000003</v>
      </c>
      <c r="Y221" s="1593" cm="1">
        <f t="array" aca="1" ref="Y221" ca="1">OFFSET(POrigin,MATCH(Valori[[#This Row],[LUKB_id]],PID,0),MATCH("LVAL:datetime",PLabel,0)-1,1,1)</f>
        <v>46084.729166666664</v>
      </c>
      <c r="Z221" s="1594" cm="1">
        <f t="array" aca="1" ref="Z221" ca="1">OFFSET(POrigin,MATCH(Valori[[#This Row],[LUKB_id]],PID,0),MATCH("BID:volume",PLabel,0)-1,1,1)</f>
        <v>1000</v>
      </c>
      <c r="AA221" s="1595" cm="1">
        <f t="array" aca="1" ref="AA221" ca="1">OFFSET(POrigin,MATCH(Valori[[#This Row],[LUKB_id]],PID,0),MATCH("BID",PLabel,0)-1,1,1)</f>
        <v>49.175000000000004</v>
      </c>
      <c r="AB221" s="1595" cm="1">
        <f t="array" aca="1" ref="AB221" ca="1">OFFSET(POrigin,MATCH(Valori[[#This Row],[LUKB_id]],PID,0),MATCH("ASK",PLabel,0)-1,1,1)</f>
        <v>54.35</v>
      </c>
      <c r="AC221" s="1594" cm="1">
        <f t="array" aca="1" ref="AC221" ca="1">OFFSET(POrigin,MATCH(Valori[[#This Row],[LUKB_id]],PID,0),MATCH("ASK:volume",PLabel,0)-1,1,1)</f>
        <v>1000</v>
      </c>
      <c r="AD221" s="1596" cm="1">
        <f t="array" aca="1" ref="AD221" ca="1">OFFSET(POrigin,MATCH(Valori[[#This Row],[LUKB_id]],PID,0),MATCH("BID-ASK Spread %",PLabel,0)-1,1,1)</f>
        <v>6.7779960707269105E-2</v>
      </c>
      <c r="AE221" s="1597" t="str" cm="1">
        <f t="array" aca="1" ref="AE221" ca="1">IF(OFFSET(POrigin,MATCH(Valori[[#This Row],[LUKB_id]],PID,0),MATCH("MATURITY",PLabel,0)-1,1,1)&gt;0,OFFSET(POrigin,MATCH(Valori[[#This Row],[LUKB_id]],PID,0),MATCH("MATURITY",PLabel,0)-1,1,1),"")</f>
        <v/>
      </c>
      <c r="AF221" s="1598" cm="1">
        <f t="array" aca="1" ref="AF221" ca="1">OFFSET(POrigin,MATCH(Valori[[#This Row],[LUKB_id]],PID,0),MATCH("ACCINT",PLabel,0)-1,1,1)</f>
        <v>0</v>
      </c>
      <c r="AG221" s="1594" cm="1">
        <f t="array" aca="1" ref="AG221" ca="1">OFFSET(POrigin,MATCH(Valori[[#This Row],[LUKB_id]],PID,0),MATCH("DENOM",PLabel,0)-1,1,1)</f>
        <v>0</v>
      </c>
      <c r="AH221" s="1599" cm="1">
        <f t="array" aca="1" ref="AH221" ca="1">(OFFSET(POrigin,MATCH(Valori[[#This Row],[LUKB_id]],PID,0),MATCH("YIELD",PLabel,0)-1,1,1)+OFFSET(POrigin,MATCH(Valori[[#This Row],[LUKB_id]],PID,0),MATCH("YLDEQ",PLabel,0)-1,1,1))/100</f>
        <v>0</v>
      </c>
      <c r="AI221" s="1600">
        <f ca="1">OFFSET(POrigin,MATCH(Valori[[#This Row],[LUKB_id]],PID,0),MATCH("DIVIDEND",PLabel,0)-1,1,1)</f>
        <v>0</v>
      </c>
      <c r="AJ221" s="1601">
        <f ca="1">OFFSET(POrigin,MATCH(Valori[[#This Row],[LUKB_id]],PID,0),MATCH("DIVIDEND:datetime",PLabel,0)-1,1,1)</f>
        <v>0</v>
      </c>
      <c r="AK221" s="1602">
        <f ca="1">OFFSET(POrigin,MATCH(Valori[[#This Row],[LUKB_id]],PID,0),MATCH("INTEREST",PLabel,0)-1,1,1)</f>
        <v>0</v>
      </c>
      <c r="AL221" s="1603">
        <f ca="1">OFFSET(POrigin,MATCH(Valori[[#This Row],[LUKB_id]],PID,0),MATCH("4W_PERF_PR",PLabel,0)-1,1,1)/100</f>
        <v>-1.7741320106829449E-2</v>
      </c>
      <c r="AM221" s="1603">
        <f ca="1">OFFSET(POrigin,MATCH(Valori[[#This Row],[LUKB_id]],PID,0),MATCH("12W_PERF_PR",PLabel,0)-1,1,1)/100</f>
        <v>-2.1660649819494594E-2</v>
      </c>
      <c r="AN221" s="1603">
        <f ca="1">OFFSET(POrigin,MATCH(Valori[[#This Row],[LUKB_id]],PID,0),MATCH("YTD_PERF_PR",PLabel,0)-1,1,1)/100</f>
        <v>-0.29589456717549995</v>
      </c>
      <c r="AO221" s="1591"/>
      <c r="AP221" s="1591"/>
      <c r="AQ221" s="1591"/>
      <c r="AR221" s="1591"/>
      <c r="AS221" s="1890" t="s">
        <v>1499</v>
      </c>
      <c r="AT221" s="1890" t="s">
        <v>1500</v>
      </c>
      <c r="AU221" s="610" t="s">
        <v>1501</v>
      </c>
      <c r="AV221" s="1891" t="s">
        <v>1502</v>
      </c>
      <c r="AW221" s="1604" t="str">
        <f ca="1">"https://boersenundmaerkte.lukb.ch/lukb/details/"&amp;Valori[[#This Row],[LUKB_id]]</f>
        <v>https://boersenundmaerkte.lukb.ch/lukb/details/22374957,594,814</v>
      </c>
      <c r="AX221" s="1605" t="str">
        <f>"https://www.marketscreener.com/mods_a/charts/TV/inc_dyna_graph.php?c="&amp;Valori[[#This Row],[MS_Code]]&amp;"&amp;style=TradingView.CANDLES&amp;interval=(null)&amp;mobile=(null)&amp;showAT=1"</f>
        <v>https://www.marketscreener.com/mods_a/charts/TV/inc_dyna_graph.php?c=41713598&amp;style=TradingView.CANDLES&amp;interval=(null)&amp;mobile=(null)&amp;showAT=1</v>
      </c>
      <c r="AY221" s="142"/>
      <c r="AZ221" s="142"/>
      <c r="BA221" s="142"/>
      <c r="BB221" s="142"/>
    </row>
    <row r="222" spans="1:54" ht="15" customHeight="1" x14ac:dyDescent="0.2">
      <c r="A222" s="142" t="s">
        <v>1503</v>
      </c>
      <c r="B222" s="142" t="str" cm="1">
        <f t="array" aca="1" ref="B222" ca="1">OFFSET(POrigin,MATCH(Valori[[#This Row],[smo_id]],Posizioni[smo_id],0),MATCH("LUKB_id",PIntestazioni,0)-1,1,1)</f>
        <v>22375108,4,1</v>
      </c>
      <c r="C222" s="1668" t="str">
        <f ca="1">HYPERLINK("https://boersenundmaerkte.lukb.ch/lukb/details/"&amp;Valori[[#This Row],[LUKB_id]],"è")</f>
        <v>è</v>
      </c>
      <c r="D222" s="142" t="str" cm="1">
        <f t="array" aca="1" ref="D222" ca="1">OFFSET(POrigin,MATCH(Valori[[#This Row],[LUKB_id]],PID,0),MATCH("SC_GROUPED",PIntestazioni,0)-1,1,1)</f>
        <v>ETF</v>
      </c>
      <c r="E222" s="413" t="str" cm="1">
        <f t="array" aca="1" ref="E222" ca="1">OFFSET(POrigin,MATCH(Valori[[#This Row],[LUKB_id]],PID,0),MATCH("isin",PIntestazioni,0)-1,1,1)</f>
        <v>IE00BD4TYL27</v>
      </c>
      <c r="F222" s="34" t="str" cm="1">
        <f t="array" aca="1" ref="F222" ca="1">OFFSET(POrigin,MATCH(Valori[[#This Row],[LUKB_id]],PID,0),MATCH("NSIN_CH",PLabel,0)-1,1,1)</f>
        <v>22375108</v>
      </c>
      <c r="G222" s="95" t="str" cm="1">
        <f t="array" aca="1" ref="G222" ca="1">IF(OFFSET(POrigin,MATCH(Valori[[#This Row],[LUKB_id]],PID,0),MATCH("INSTRUNIT",PLabel,0)-1,1,1)="Nominal","Pct","Unit")</f>
        <v>Unit</v>
      </c>
      <c r="H222" s="612">
        <f ca="1">MAX(OFFSET(POrigin,MATCH(Valori[[#This Row],[LUKB_id]],PID,0),MATCH("PRICINGAMT",PLabel,0)-1,1,1),1)</f>
        <v>1</v>
      </c>
      <c r="I222" s="615" t="str" cm="1">
        <f t="array" aca="1" ref="I222" ca="1">OFFSET(POrigin,MATCH(Valori[[#This Row],[LUKB_id]],PID,0),MATCH("M_NAME",PLabel,0)-1,1,1)</f>
        <v>UBS (Irl) ETF plc - UBS Core MSCI USA hCHF UCITS ETF</v>
      </c>
      <c r="J222" s="142" t="s">
        <v>524</v>
      </c>
      <c r="M222" s="142" t="str" cm="1">
        <f t="array" aca="1" ref="M2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hedged to CHF UCITS ETF - (CHF) A-acc</v>
      </c>
      <c r="N222" s="1563">
        <f ca="1">COUNTIF('CHF M'!smo_id,Valori[[#This Row],[smo_id]])+COUNTIF('CHF MA'!smo_id,Valori[[#This Row],[smo_id]])+COUNTIF('EUR MB'!smo_id,Valori[[#This Row],[smo_id]])+COUNTIF('EUR M'!smo_id,Valori[[#This Row],[smo_id]])+COUNTIF(AGCO!smo_id,Valori[[#This Row],[smo_id]])</f>
        <v>2</v>
      </c>
      <c r="O222" s="1590" cm="1">
        <f t="array" aca="1" ref="O222" ca="1">SUM(IF('CHF M'!smo_id=Valori[[#This Row],[smo_id]],'CHF M'!Posizione))+SUM(IF('CHF MA'!smo_id=Valori[[#This Row],[smo_id]],'CHF MA'!Posizione))+SUM(IF('EUR MB'!smo_id=Valori[[#This Row],[smo_id]],'EUR MB'!Posizione))+SUM(IF('EUR M'!smo_id=Valori[[#This Row],[smo_id]],'EUR M'!Posizione))+SUM(IF(AGCO!smo_id=Valori[[#This Row],[smo_id]],AGCO!Posizione))</f>
        <v>0</v>
      </c>
      <c r="P222" s="1661" t="str">
        <f ca="1">HYPERLINK(Valori[[#This Row],[P_Source]],"è")</f>
        <v>è</v>
      </c>
      <c r="Q222" s="1663" t="str">
        <f>HYPERLINK(Valori[[#This Row],[Info_W]],"i")</f>
        <v>i</v>
      </c>
      <c r="R222" s="1664" t="str">
        <f>HYPERLINK(Valori[[#This Row],[FN_W]],"")</f>
        <v></v>
      </c>
      <c r="S222" s="1665" t="str">
        <f>HYPERLINK(Valori[[#This Row],[MS_Link]],"")</f>
        <v></v>
      </c>
      <c r="T222" s="1665" t="str">
        <f>HYPERLINK(Valori[[#This Row],[C_source]],"")</f>
        <v></v>
      </c>
      <c r="U222" s="142" t="str" cm="1">
        <f t="array" aca="1" ref="U222" ca="1">OFFSET(POrigin,MATCH(Valori[[#This Row],[LUKB_id]],PID,0),MATCH("M_CUR",PLabel,0)-1,1,1)</f>
        <v>CHF</v>
      </c>
      <c r="V222" s="1562">
        <f ca="1">(Valori[[#This Row],[Last]]+Valori[[#This Row],[Acc. Int]])/Valori[[#This Row],[Pr.Amt]]/IF(Valori[[#This Row],[P_Type]]="Pct",100,1)</f>
        <v>47.77</v>
      </c>
      <c r="W222" s="1591" cm="1">
        <f t="array" aca="1" ref="W222" ca="1">OFFSET(POrigin,MATCH(Valori[[#This Row],[LUKB_id]],PID,0),MATCH("NC2_PR",PLabel,0)-1,1,1)/100</f>
        <v>-1.16892520947554E-2</v>
      </c>
      <c r="X222" s="1592" cm="1">
        <f t="array" aca="1" ref="X222" ca="1">OFFSET(POrigin,MATCH(Valori[[#This Row],[LUKB_id]],PID,0),MATCH("LVAL",PLabel,0)-1,1,1)</f>
        <v>47.77</v>
      </c>
      <c r="Y222" s="1593" cm="1">
        <f t="array" aca="1" ref="Y222" ca="1">OFFSET(POrigin,MATCH(Valori[[#This Row],[LUKB_id]],PID,0),MATCH("LVAL:datetime",PLabel,0)-1,1,1)</f>
        <v>46084.73300925926</v>
      </c>
      <c r="Z222" s="1594" cm="1">
        <f t="array" aca="1" ref="Z222" ca="1">OFFSET(POrigin,MATCH(Valori[[#This Row],[LUKB_id]],PID,0),MATCH("BID:volume",PLabel,0)-1,1,1)</f>
        <v>634</v>
      </c>
      <c r="AA222" s="1595" cm="1">
        <f t="array" aca="1" ref="AA222" ca="1">OFFSET(POrigin,MATCH(Valori[[#This Row],[LUKB_id]],PID,0),MATCH("BID",PLabel,0)-1,1,1)</f>
        <v>47.300000000000004</v>
      </c>
      <c r="AB222" s="1595" cm="1">
        <f t="array" aca="1" ref="AB222" ca="1">OFFSET(POrigin,MATCH(Valori[[#This Row],[LUKB_id]],PID,0),MATCH("ASK",PLabel,0)-1,1,1)</f>
        <v>49.7</v>
      </c>
      <c r="AC222" s="1594" cm="1">
        <f t="array" aca="1" ref="AC222" ca="1">OFFSET(POrigin,MATCH(Valori[[#This Row],[LUKB_id]],PID,0),MATCH("ASK:volume",PLabel,0)-1,1,1)</f>
        <v>900</v>
      </c>
      <c r="AD222" s="1596" cm="1">
        <f t="array" aca="1" ref="AD222" ca="1">OFFSET(POrigin,MATCH(Valori[[#This Row],[LUKB_id]],PID,0),MATCH("BID-ASK Spread %",PLabel,0)-1,1,1)</f>
        <v>3.3264033264033245E-2</v>
      </c>
      <c r="AE222" s="1597" t="str" cm="1">
        <f t="array" aca="1" ref="AE222" ca="1">IF(OFFSET(POrigin,MATCH(Valori[[#This Row],[LUKB_id]],PID,0),MATCH("MATURITY",PLabel,0)-1,1,1)&gt;0,OFFSET(POrigin,MATCH(Valori[[#This Row],[LUKB_id]],PID,0),MATCH("MATURITY",PLabel,0)-1,1,1),"")</f>
        <v/>
      </c>
      <c r="AF222" s="1598" cm="1">
        <f t="array" aca="1" ref="AF222" ca="1">OFFSET(POrigin,MATCH(Valori[[#This Row],[LUKB_id]],PID,0),MATCH("ACCINT",PLabel,0)-1,1,1)</f>
        <v>0</v>
      </c>
      <c r="AG222" s="1594" cm="1">
        <f t="array" aca="1" ref="AG222" ca="1">OFFSET(POrigin,MATCH(Valori[[#This Row],[LUKB_id]],PID,0),MATCH("DENOM",PLabel,0)-1,1,1)</f>
        <v>0</v>
      </c>
      <c r="AH222" s="1599" cm="1">
        <f t="array" aca="1" ref="AH222" ca="1">(OFFSET(POrigin,MATCH(Valori[[#This Row],[LUKB_id]],PID,0),MATCH("YIELD",PLabel,0)-1,1,1)+OFFSET(POrigin,MATCH(Valori[[#This Row],[LUKB_id]],PID,0),MATCH("YLDEQ",PLabel,0)-1,1,1))/100</f>
        <v>0</v>
      </c>
      <c r="AI222" s="1600">
        <f ca="1">OFFSET(POrigin,MATCH(Valori[[#This Row],[LUKB_id]],PID,0),MATCH("DIVIDEND",PLabel,0)-1,1,1)</f>
        <v>0</v>
      </c>
      <c r="AJ222" s="1601">
        <f ca="1">OFFSET(POrigin,MATCH(Valori[[#This Row],[LUKB_id]],PID,0),MATCH("DIVIDEND:datetime",PLabel,0)-1,1,1)</f>
        <v>0</v>
      </c>
      <c r="AK222" s="1602">
        <f ca="1">OFFSET(POrigin,MATCH(Valori[[#This Row],[LUKB_id]],PID,0),MATCH("INTEREST",PLabel,0)-1,1,1)</f>
        <v>0</v>
      </c>
      <c r="AL222" s="1603">
        <f ca="1">OFFSET(POrigin,MATCH(Valori[[#This Row],[LUKB_id]],PID,0),MATCH("4W_PERF_PR",PLabel,0)-1,1,1)/100</f>
        <v>-2.5797899999999999E-2</v>
      </c>
      <c r="AM222" s="1603">
        <f ca="1">OFFSET(POrigin,MATCH(Valori[[#This Row],[LUKB_id]],PID,0),MATCH("12W_PERF_PR",PLabel,0)-1,1,1)/100</f>
        <v>-2.4305559999999997E-2</v>
      </c>
      <c r="AN222" s="1603">
        <f ca="1">OFFSET(POrigin,MATCH(Valori[[#This Row],[LUKB_id]],PID,0),MATCH("YTD_PERF_PR",PLabel,0)-1,1,1)/100</f>
        <v>-1.2866333095068001E-2</v>
      </c>
      <c r="AO222" s="1591"/>
      <c r="AP222" s="1591"/>
      <c r="AQ222" s="1591"/>
      <c r="AR222" s="1591"/>
      <c r="AS222" s="1890" t="s">
        <v>1504</v>
      </c>
      <c r="AT222" s="1890" t="s">
        <v>1505</v>
      </c>
      <c r="AU222" s="610" t="s">
        <v>1506</v>
      </c>
      <c r="AV222" s="1891" t="s">
        <v>1507</v>
      </c>
      <c r="AW222" s="1604" t="str">
        <f ca="1">"https://boersenundmaerkte.lukb.ch/lukb/details/"&amp;Valori[[#This Row],[LUKB_id]]</f>
        <v>https://boersenundmaerkte.lukb.ch/lukb/details/22375108,4,1</v>
      </c>
      <c r="AX222" s="1605" t="str">
        <f>"https://www.zonebourse.com/mods_a/charts/TV/inc_dyna_graph.php?c="&amp;Valori[[#This Row],[MS_Code]]&amp;"&amp;style=TradingView.CANDLES&amp;interval=(null)&amp;mobile=(null)&amp;showAT=1"</f>
        <v>https://www.zonebourse.com/mods_a/charts/TV/inc_dyna_graph.php?c=15061740&amp;style=TradingView.CANDLES&amp;interval=(null)&amp;mobile=(null)&amp;showAT=1</v>
      </c>
      <c r="AY222" s="142"/>
      <c r="AZ222" s="142"/>
      <c r="BA222" s="142"/>
      <c r="BB222" s="142"/>
    </row>
    <row r="223" spans="1:54" ht="15" customHeight="1" x14ac:dyDescent="0.2">
      <c r="A223" s="142" t="s">
        <v>1508</v>
      </c>
      <c r="B223" s="142" t="s">
        <v>1509</v>
      </c>
      <c r="C223" s="1668" t="str">
        <f>HYPERLINK("https://boersenundmaerkte.lukb.ch/lukb/details/"&amp;Valori[[#This Row],[LUKB_id]],"è")</f>
        <v>è</v>
      </c>
      <c r="D223" s="142" t="str" cm="1">
        <f t="array" aca="1" ref="D223" ca="1">OFFSET(POrigin,MATCH(Valori[[#This Row],[LUKB_id]],PID,0),MATCH("SC_GROUPED",PIntestazioni,0)-1,1,1)</f>
        <v>ETF</v>
      </c>
      <c r="E223" s="413" t="str" cm="1">
        <f t="array" aca="1" ref="E223" ca="1">OFFSET(POrigin,MATCH(Valori[[#This Row],[LUKB_id]],PID,0),MATCH("isin",PIntestazioni,0)-1,1,1)</f>
        <v>LU1589327680</v>
      </c>
      <c r="F223" s="34" t="str" cm="1">
        <f t="array" aca="1" ref="F223" ca="1">OFFSET(POrigin,MATCH(Valori[[#This Row],[LUKB_id]],PID,0),MATCH("NSIN_CH",PLabel,0)-1,1,1)</f>
        <v>36494209</v>
      </c>
      <c r="G223" s="95" t="str" cm="1">
        <f t="array" aca="1" ref="G223" ca="1">IF(OFFSET(POrigin,MATCH(Valori[[#This Row],[LUKB_id]],PID,0),MATCH("INSTRUNIT",PLabel,0)-1,1,1)="Nominal","Pct","Unit")</f>
        <v>Unit</v>
      </c>
      <c r="H223" s="612">
        <f ca="1">MAX(OFFSET(POrigin,MATCH(Valori[[#This Row],[LUKB_id]],PID,0),MATCH("PRICINGAMT",PLabel,0)-1,1,1),1)</f>
        <v>1</v>
      </c>
      <c r="I223" s="615" t="str" cm="1">
        <f t="array" aca="1" ref="I223" ca="1">OFFSET(POrigin,MATCH(Valori[[#This Row],[LUKB_id]],PID,0),MATCH("M_NAME",PLabel,0)-1,1,1)</f>
        <v>UBS (Lux) Fund Solutions SICAV - UBS Core MSCI Europe UCITS ETF</v>
      </c>
      <c r="J223" s="142" t="s">
        <v>1510</v>
      </c>
      <c r="M223" s="142" t="str" cm="1">
        <f t="array" aca="1" ref="M2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CHF) A-acc</v>
      </c>
      <c r="N223" s="1563">
        <f ca="1">COUNTIF('CHF M'!smo_id,Valori[[#This Row],[smo_id]])+COUNTIF('CHF MA'!smo_id,Valori[[#This Row],[smo_id]])+COUNTIF('EUR MB'!smo_id,Valori[[#This Row],[smo_id]])+COUNTIF('EUR M'!smo_id,Valori[[#This Row],[smo_id]])+COUNTIF(AGCO!smo_id,Valori[[#This Row],[smo_id]])</f>
        <v>0</v>
      </c>
      <c r="O223" s="1590" cm="1">
        <f t="array" aca="1" ref="O223" ca="1">SUM(IF('CHF M'!smo_id=Valori[[#This Row],[smo_id]],'CHF M'!Posizione))+SUM(IF('CHF MA'!smo_id=Valori[[#This Row],[smo_id]],'CHF MA'!Posizione))+SUM(IF('EUR MB'!smo_id=Valori[[#This Row],[smo_id]],'EUR MB'!Posizione))+SUM(IF('EUR M'!smo_id=Valori[[#This Row],[smo_id]],'EUR M'!Posizione))+SUM(IF(AGCO!smo_id=Valori[[#This Row],[smo_id]],AGCO!Posizione))</f>
        <v>0</v>
      </c>
      <c r="P223" s="1661" t="str">
        <f>HYPERLINK(Valori[[#This Row],[P_Source]],"è")</f>
        <v>è</v>
      </c>
      <c r="Q223" s="1663" t="str">
        <f>HYPERLINK(Valori[[#This Row],[Info_W]],"i")</f>
        <v>i</v>
      </c>
      <c r="R223" s="1664" t="str">
        <f>HYPERLINK(Valori[[#This Row],[FN_W]],"")</f>
        <v></v>
      </c>
      <c r="S223" s="1665" t="str">
        <f>HYPERLINK(Valori[[#This Row],[MS_Link]],"")</f>
        <v></v>
      </c>
      <c r="T223" s="1665" t="str">
        <f>HYPERLINK(Valori[[#This Row],[C_source]],"")</f>
        <v></v>
      </c>
      <c r="U223" s="142" t="str" cm="1">
        <f t="array" aca="1" ref="U223" ca="1">OFFSET(POrigin,MATCH(Valori[[#This Row],[LUKB_id]],PID,0),MATCH("M_CUR",PLabel,0)-1,1,1)</f>
        <v>CHF</v>
      </c>
      <c r="V223" s="1562">
        <f ca="1">(Valori[[#This Row],[Last]]+Valori[[#This Row],[Acc. Int]])/Valori[[#This Row],[Pr.Amt]]/IF(Valori[[#This Row],[P_Type]]="Pct",100,1)</f>
        <v>4.95</v>
      </c>
      <c r="W223" s="1591" cm="1">
        <f t="array" aca="1" ref="W223" ca="1">OFFSET(POrigin,MATCH(Valori[[#This Row],[LUKB_id]],PID,0),MATCH("NC2_PR",PLabel,0)-1,1,1)/100</f>
        <v>-3.2258064516128997E-2</v>
      </c>
      <c r="X223" s="1592" cm="1">
        <f t="array" aca="1" ref="X223" ca="1">OFFSET(POrigin,MATCH(Valori[[#This Row],[LUKB_id]],PID,0),MATCH("LVAL",PLabel,0)-1,1,1)</f>
        <v>4.95</v>
      </c>
      <c r="Y223" s="1593" cm="1">
        <f t="array" aca="1" ref="Y223" ca="1">OFFSET(POrigin,MATCH(Valori[[#This Row],[LUKB_id]],PID,0),MATCH("LVAL:datetime",PLabel,0)-1,1,1)</f>
        <v>46084.73300925926</v>
      </c>
      <c r="Z223" s="1594" cm="1">
        <f t="array" aca="1" ref="Z223" ca="1">OFFSET(POrigin,MATCH(Valori[[#This Row],[LUKB_id]],PID,0),MATCH("BID:volume",PLabel,0)-1,1,1)</f>
        <v>10697</v>
      </c>
      <c r="AA223" s="1595" cm="1">
        <f t="array" aca="1" ref="AA223" ca="1">OFFSET(POrigin,MATCH(Valori[[#This Row],[LUKB_id]],PID,0),MATCH("BID",PLabel,0)-1,1,1)</f>
        <v>4.9000000000000004</v>
      </c>
      <c r="AB223" s="1595" cm="1">
        <f t="array" aca="1" ref="AB223" ca="1">OFFSET(POrigin,MATCH(Valori[[#This Row],[LUKB_id]],PID,0),MATCH("ASK",PLabel,0)-1,1,1)</f>
        <v>4.95</v>
      </c>
      <c r="AC223" s="1594" cm="1">
        <f t="array" aca="1" ref="AC223" ca="1">OFFSET(POrigin,MATCH(Valori[[#This Row],[LUKB_id]],PID,0),MATCH("ASK:volume",PLabel,0)-1,1,1)</f>
        <v>268</v>
      </c>
      <c r="AD223" s="1596" cm="1">
        <f t="array" aca="1" ref="AD223" ca="1">OFFSET(POrigin,MATCH(Valori[[#This Row],[LUKB_id]],PID,0),MATCH("BID-ASK Spread %",PLabel,0)-1,1,1)</f>
        <v>6.7796610169491281E-3</v>
      </c>
      <c r="AE223" s="1597" t="str" cm="1">
        <f t="array" aca="1" ref="AE223" ca="1">IF(OFFSET(POrigin,MATCH(Valori[[#This Row],[LUKB_id]],PID,0),MATCH("MATURITY",PLabel,0)-1,1,1)&gt;0,OFFSET(POrigin,MATCH(Valori[[#This Row],[LUKB_id]],PID,0),MATCH("MATURITY",PLabel,0)-1,1,1),"")</f>
        <v/>
      </c>
      <c r="AF223" s="1598" cm="1">
        <f t="array" aca="1" ref="AF223" ca="1">OFFSET(POrigin,MATCH(Valori[[#This Row],[LUKB_id]],PID,0),MATCH("ACCINT",PLabel,0)-1,1,1)</f>
        <v>0</v>
      </c>
      <c r="AG223" s="1594" cm="1">
        <f t="array" aca="1" ref="AG223" ca="1">OFFSET(POrigin,MATCH(Valori[[#This Row],[LUKB_id]],PID,0),MATCH("DENOM",PLabel,0)-1,1,1)</f>
        <v>0</v>
      </c>
      <c r="AH223" s="1599" cm="1">
        <f t="array" aca="1" ref="AH223" ca="1">(OFFSET(POrigin,MATCH(Valori[[#This Row],[LUKB_id]],PID,0),MATCH("YIELD",PLabel,0)-1,1,1)+OFFSET(POrigin,MATCH(Valori[[#This Row],[LUKB_id]],PID,0),MATCH("YLDEQ",PLabel,0)-1,1,1))/100</f>
        <v>0</v>
      </c>
      <c r="AI223" s="1600">
        <f ca="1">OFFSET(POrigin,MATCH(Valori[[#This Row],[LUKB_id]],PID,0),MATCH("DIVIDEND",PLabel,0)-1,1,1)</f>
        <v>0</v>
      </c>
      <c r="AJ223" s="1601">
        <f ca="1">OFFSET(POrigin,MATCH(Valori[[#This Row],[LUKB_id]],PID,0),MATCH("DIVIDEND:datetime",PLabel,0)-1,1,1)</f>
        <v>0</v>
      </c>
      <c r="AK223" s="1602">
        <f ca="1">OFFSET(POrigin,MATCH(Valori[[#This Row],[LUKB_id]],PID,0),MATCH("INTEREST",PLabel,0)-1,1,1)</f>
        <v>0</v>
      </c>
      <c r="AL223" s="1603">
        <f ca="1">OFFSET(POrigin,MATCH(Valori[[#This Row],[LUKB_id]],PID,0),MATCH("4W_PERF_PR",PLabel,0)-1,1,1)/100</f>
        <v>-1.9607839999999998E-2</v>
      </c>
      <c r="AM223" s="1603">
        <f ca="1">OFFSET(POrigin,MATCH(Valori[[#This Row],[LUKB_id]],PID,0),MATCH("12W_PERF_PR",PLabel,0)-1,1,1)/100</f>
        <v>3.6432159999999998E-2</v>
      </c>
      <c r="AN223" s="1603">
        <f ca="1">OFFSET(POrigin,MATCH(Valori[[#This Row],[LUKB_id]],PID,0),MATCH("YTD_PERF_PR",PLabel,0)-1,1,1)/100</f>
        <v>4.6440261865793905E-2</v>
      </c>
      <c r="AO223" s="1591"/>
      <c r="AP223" s="1591"/>
      <c r="AQ223" s="1591"/>
      <c r="AR223" s="1591"/>
      <c r="AS223" s="1890" t="s">
        <v>1511</v>
      </c>
      <c r="AT223" s="1890" t="s">
        <v>1512</v>
      </c>
      <c r="AU223" s="610" t="s">
        <v>1513</v>
      </c>
      <c r="AV223" s="1891" t="s">
        <v>1514</v>
      </c>
      <c r="AW223" s="1604" t="str">
        <f>"https://boersenundmaerkte.lukb.ch/lukb/details/"&amp;Valori[[#This Row],[LUKB_id]]</f>
        <v>https://boersenundmaerkte.lukb.ch/lukb/details/36494209,4,1</v>
      </c>
      <c r="AX223" s="1605" t="str">
        <f>"https://www.marketscreener.com/mods_a/charts/TV/inc_dyna_graph.php?c="&amp;Valori[[#This Row],[MS_Code]]&amp;"&amp;style=TradingView.CANDLES&amp;interval=(null)&amp;mobile=(null)&amp;showAT=1"</f>
        <v>https://www.marketscreener.com/mods_a/charts/TV/inc_dyna_graph.php?c=35961059&amp;style=TradingView.CANDLES&amp;interval=(null)&amp;mobile=(null)&amp;showAT=1</v>
      </c>
      <c r="AY223" s="142"/>
      <c r="AZ223" s="142"/>
      <c r="BA223" s="142"/>
      <c r="BB223" s="142"/>
    </row>
    <row r="224" spans="1:54" ht="15" customHeight="1" x14ac:dyDescent="0.2">
      <c r="A224" s="142" t="s">
        <v>1515</v>
      </c>
      <c r="B224" s="142" t="str" cm="1">
        <f t="array" aca="1" ref="B224" ca="1">OFFSET(POrigin,MATCH(Valori[[#This Row],[smo_id]],Posizioni[smo_id],0),MATCH("LUKB_id",PIntestazioni,0)-1,1,1)</f>
        <v>36465638,1703,814</v>
      </c>
      <c r="C224" s="1668" t="str">
        <f ca="1">HYPERLINK("https://boersenundmaerkte.lukb.ch/lukb/details/"&amp;Valori[[#This Row],[LUKB_id]],"è")</f>
        <v>è</v>
      </c>
      <c r="D224" s="142" t="str" cm="1">
        <f t="array" aca="1" ref="D224" ca="1">OFFSET(POrigin,MATCH(Valori[[#This Row],[LUKB_id]],PID,0),MATCH("SC_GROUPED",PIntestazioni,0)-1,1,1)</f>
        <v>ETF</v>
      </c>
      <c r="E224" s="413" t="str" cm="1">
        <f t="array" aca="1" ref="E224" ca="1">OFFSET(POrigin,MATCH(Valori[[#This Row],[LUKB_id]],PID,0),MATCH("isin",PIntestazioni,0)-1,1,1)</f>
        <v>LU1600334798</v>
      </c>
      <c r="F224" s="34" t="str" cm="1">
        <f t="array" aca="1" ref="F224" ca="1">OFFSET(POrigin,MATCH(Valori[[#This Row],[LUKB_id]],PID,0),MATCH("NSIN_CH",PLabel,0)-1,1,1)</f>
        <v>36465638</v>
      </c>
      <c r="G224" s="95" t="str" cm="1">
        <f t="array" aca="1" ref="G224" ca="1">IF(OFFSET(POrigin,MATCH(Valori[[#This Row],[LUKB_id]],PID,0),MATCH("INSTRUNIT",PLabel,0)-1,1,1)="Nominal","Pct","Unit")</f>
        <v>Unit</v>
      </c>
      <c r="H224" s="612">
        <f ca="1">MAX(OFFSET(POrigin,MATCH(Valori[[#This Row],[LUKB_id]],PID,0),MATCH("PRICINGAMT",PLabel,0)-1,1,1),1)</f>
        <v>1</v>
      </c>
      <c r="I224" s="615" t="str" cm="1">
        <f t="array" aca="1" ref="I224" ca="1">OFFSET(POrigin,MATCH(Valori[[#This Row],[LUKB_id]],PID,0),MATCH("M_NAME",PLabel,0)-1,1,1)</f>
        <v>UBS (Lux) Fund Solutions SICAV - UBS Core MSCI Europe UCITS ETF</v>
      </c>
      <c r="J224" s="142" t="s">
        <v>1516</v>
      </c>
      <c r="M224" s="142" t="str" cm="1">
        <f t="array" aca="1" ref="M2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EUR) A-acc</v>
      </c>
      <c r="N224" s="1563">
        <f ca="1">COUNTIF('CHF M'!smo_id,Valori[[#This Row],[smo_id]])+COUNTIF('CHF MA'!smo_id,Valori[[#This Row],[smo_id]])+COUNTIF('EUR MB'!smo_id,Valori[[#This Row],[smo_id]])+COUNTIF('EUR M'!smo_id,Valori[[#This Row],[smo_id]])+COUNTIF(AGCO!smo_id,Valori[[#This Row],[smo_id]])</f>
        <v>0</v>
      </c>
      <c r="O224" s="1590" cm="1">
        <f t="array" aca="1" ref="O224" ca="1">SUM(IF('CHF M'!smo_id=Valori[[#This Row],[smo_id]],'CHF M'!Posizione))+SUM(IF('CHF MA'!smo_id=Valori[[#This Row],[smo_id]],'CHF MA'!Posizione))+SUM(IF('EUR MB'!smo_id=Valori[[#This Row],[smo_id]],'EUR MB'!Posizione))+SUM(IF('EUR M'!smo_id=Valori[[#This Row],[smo_id]],'EUR M'!Posizione))+SUM(IF(AGCO!smo_id=Valori[[#This Row],[smo_id]],AGCO!Posizione))</f>
        <v>0</v>
      </c>
      <c r="P224" s="1661" t="str">
        <f ca="1">HYPERLINK(Valori[[#This Row],[P_Source]],"è")</f>
        <v>è</v>
      </c>
      <c r="Q224" s="1663" t="str">
        <f>HYPERLINK(Valori[[#This Row],[Info_W]],"i")</f>
        <v>i</v>
      </c>
      <c r="R224" s="1664" t="str">
        <f>HYPERLINK(Valori[[#This Row],[FN_W]],"")</f>
        <v></v>
      </c>
      <c r="S224" s="1665" t="str">
        <f>HYPERLINK(Valori[[#This Row],[MS_Link]],"")</f>
        <v></v>
      </c>
      <c r="T224" s="1665" t="str">
        <f>HYPERLINK(Valori[[#This Row],[C_source]],"")</f>
        <v></v>
      </c>
      <c r="U224" s="142" t="str" cm="1">
        <f t="array" aca="1" ref="U224" ca="1">OFFSET(POrigin,MATCH(Valori[[#This Row],[LUKB_id]],PID,0),MATCH("M_CUR",PLabel,0)-1,1,1)</f>
        <v>EUR</v>
      </c>
      <c r="V224" s="1562">
        <f ca="1">(Valori[[#This Row],[Last]]+Valori[[#This Row],[Acc. Int]])/Valori[[#This Row],[Pr.Amt]]/IF(Valori[[#This Row],[P_Type]]="Pct",100,1)</f>
        <v>19.748000000000001</v>
      </c>
      <c r="W224" s="1591" cm="1">
        <f t="array" aca="1" ref="W224" ca="1">OFFSET(POrigin,MATCH(Valori[[#This Row],[LUKB_id]],PID,0),MATCH("NC2_PR",PLabel,0)-1,1,1)/100</f>
        <v>-1.43249313701023E-2</v>
      </c>
      <c r="X224" s="1592" cm="1">
        <f t="array" aca="1" ref="X224" ca="1">OFFSET(POrigin,MATCH(Valori[[#This Row],[LUKB_id]],PID,0),MATCH("LVAL",PLabel,0)-1,1,1)</f>
        <v>19.748000000000001</v>
      </c>
      <c r="Y224" s="1593" cm="1">
        <f t="array" aca="1" ref="Y224" ca="1">OFFSET(POrigin,MATCH(Valori[[#This Row],[LUKB_id]],PID,0),MATCH("LVAL:datetime",PLabel,0)-1,1,1)</f>
        <v>46083.733472222222</v>
      </c>
      <c r="Z224" s="1594" cm="1">
        <f t="array" aca="1" ref="Z224" ca="1">OFFSET(POrigin,MATCH(Valori[[#This Row],[LUKB_id]],PID,0),MATCH("BID:volume",PLabel,0)-1,1,1)</f>
        <v>0</v>
      </c>
      <c r="AA224" s="1595" cm="1">
        <f t="array" aca="1" ref="AA224" ca="1">OFFSET(POrigin,MATCH(Valori[[#This Row],[LUKB_id]],PID,0),MATCH("BID",PLabel,0)-1,1,1)</f>
        <v>0</v>
      </c>
      <c r="AB224" s="1595" cm="1">
        <f t="array" aca="1" ref="AB224" ca="1">OFFSET(POrigin,MATCH(Valori[[#This Row],[LUKB_id]],PID,0),MATCH("ASK",PLabel,0)-1,1,1)</f>
        <v>0</v>
      </c>
      <c r="AC224" s="1594" cm="1">
        <f t="array" aca="1" ref="AC224" ca="1">OFFSET(POrigin,MATCH(Valori[[#This Row],[LUKB_id]],PID,0),MATCH("ASK:volume",PLabel,0)-1,1,1)</f>
        <v>0</v>
      </c>
      <c r="AD224" s="1596" cm="1">
        <f t="array" aca="1" ref="AD224" ca="1">OFFSET(POrigin,MATCH(Valori[[#This Row],[LUKB_id]],PID,0),MATCH("BID-ASK Spread %",PLabel,0)-1,1,1)</f>
        <v>0</v>
      </c>
      <c r="AE224" s="1597" t="str" cm="1">
        <f t="array" aca="1" ref="AE224" ca="1">IF(OFFSET(POrigin,MATCH(Valori[[#This Row],[LUKB_id]],PID,0),MATCH("MATURITY",PLabel,0)-1,1,1)&gt;0,OFFSET(POrigin,MATCH(Valori[[#This Row],[LUKB_id]],PID,0),MATCH("MATURITY",PLabel,0)-1,1,1),"")</f>
        <v/>
      </c>
      <c r="AF224" s="1598" cm="1">
        <f t="array" aca="1" ref="AF224" ca="1">OFFSET(POrigin,MATCH(Valori[[#This Row],[LUKB_id]],PID,0),MATCH("ACCINT",PLabel,0)-1,1,1)</f>
        <v>0</v>
      </c>
      <c r="AG224" s="1594" cm="1">
        <f t="array" aca="1" ref="AG224" ca="1">OFFSET(POrigin,MATCH(Valori[[#This Row],[LUKB_id]],PID,0),MATCH("DENOM",PLabel,0)-1,1,1)</f>
        <v>0</v>
      </c>
      <c r="AH224" s="1599" cm="1">
        <f t="array" aca="1" ref="AH224" ca="1">(OFFSET(POrigin,MATCH(Valori[[#This Row],[LUKB_id]],PID,0),MATCH("YIELD",PLabel,0)-1,1,1)+OFFSET(POrigin,MATCH(Valori[[#This Row],[LUKB_id]],PID,0),MATCH("YLDEQ",PLabel,0)-1,1,1))/100</f>
        <v>0</v>
      </c>
      <c r="AI224" s="1600">
        <f ca="1">OFFSET(POrigin,MATCH(Valori[[#This Row],[LUKB_id]],PID,0),MATCH("DIVIDEND",PLabel,0)-1,1,1)</f>
        <v>0</v>
      </c>
      <c r="AJ224" s="1601">
        <f ca="1">OFFSET(POrigin,MATCH(Valori[[#This Row],[LUKB_id]],PID,0),MATCH("DIVIDEND:datetime",PLabel,0)-1,1,1)</f>
        <v>0</v>
      </c>
      <c r="AK224" s="1602">
        <f ca="1">OFFSET(POrigin,MATCH(Valori[[#This Row],[LUKB_id]],PID,0),MATCH("INTEREST",PLabel,0)-1,1,1)</f>
        <v>0</v>
      </c>
      <c r="AL224" s="1603">
        <f ca="1">OFFSET(POrigin,MATCH(Valori[[#This Row],[LUKB_id]],PID,0),MATCH("4W_PERF_PR",PLabel,0)-1,1,1)/100</f>
        <v>1.2717948717948775E-2</v>
      </c>
      <c r="AM224" s="1603">
        <f ca="1">OFFSET(POrigin,MATCH(Valori[[#This Row],[LUKB_id]],PID,0),MATCH("12W_PERF_PR",PLabel,0)-1,1,1)/100</f>
        <v>7.3961279095061963E-2</v>
      </c>
      <c r="AN224" s="1603">
        <f ca="1">OFFSET(POrigin,MATCH(Valori[[#This Row],[LUKB_id]],PID,0),MATCH("YTD_PERF_PR",PLabel,0)-1,1,1)/100</f>
        <v>5.1208346641115801E-2</v>
      </c>
      <c r="AO224" s="1591"/>
      <c r="AP224" s="1591"/>
      <c r="AQ224" s="1591"/>
      <c r="AR224" s="1591"/>
      <c r="AS224" s="1890" t="s">
        <v>1517</v>
      </c>
      <c r="AT224" s="1890" t="s">
        <v>1518</v>
      </c>
      <c r="AU224" s="610" t="s">
        <v>1519</v>
      </c>
      <c r="AV224" s="1891" t="s">
        <v>1520</v>
      </c>
      <c r="AW224" s="1604" t="str">
        <f ca="1">"https://boersenundmaerkte.lukb.ch/lukb/details/"&amp;Valori[[#This Row],[LUKB_id]]</f>
        <v>https://boersenundmaerkte.lukb.ch/lukb/details/36465638,1703,814</v>
      </c>
      <c r="AX224" s="1605" t="str">
        <f>"https://www.marketscreener.com/mods_a/charts/TV/inc_dyna_graph.php?c="&amp;Valori[[#This Row],[MS_Code]]&amp;"&amp;style=TradingView.CANDLES&amp;interval=(null)&amp;mobile=(null)&amp;showAT=1"</f>
        <v>https://www.marketscreener.com/mods_a/charts/TV/inc_dyna_graph.php?c=112013635&amp;style=TradingView.CANDLES&amp;interval=(null)&amp;mobile=(null)&amp;showAT=1</v>
      </c>
      <c r="AY224" s="142"/>
      <c r="AZ224" s="142"/>
      <c r="BA224" s="142"/>
      <c r="BB224" s="142"/>
    </row>
    <row r="225" spans="1:54" ht="15" customHeight="1" x14ac:dyDescent="0.2">
      <c r="A225" s="142" t="s">
        <v>1521</v>
      </c>
      <c r="B225" s="142" t="str" cm="1">
        <f t="array" aca="1" ref="B225" ca="1">OFFSET(POrigin,MATCH(Valori[[#This Row],[smo_id]],Posizioni[smo_id],0),MATCH("LUKB_id",PIntestazioni,0)-1,1,1)</f>
        <v>10461006,351,814</v>
      </c>
      <c r="C225" s="1668" t="str">
        <f ca="1">HYPERLINK("https://boersenundmaerkte.lukb.ch/lukb/details/"&amp;Valori[[#This Row],[LUKB_id]],"è")</f>
        <v>è</v>
      </c>
      <c r="D225" s="142" t="str" cm="1">
        <f t="array" aca="1" ref="D225" ca="1">OFFSET(POrigin,MATCH(Valori[[#This Row],[LUKB_id]],PID,0),MATCH("SC_GROUPED",PIntestazioni,0)-1,1,1)</f>
        <v>ETF</v>
      </c>
      <c r="E225" s="413" t="str" cm="1">
        <f t="array" aca="1" ref="E225" ca="1">OFFSET(POrigin,MATCH(Valori[[#This Row],[LUKB_id]],PID,0),MATCH("isin",PIntestazioni,0)-1,1,1)</f>
        <v>LU0446734104</v>
      </c>
      <c r="F225" s="34" t="str" cm="1">
        <f t="array" aca="1" ref="F225" ca="1">OFFSET(POrigin,MATCH(Valori[[#This Row],[LUKB_id]],PID,0),MATCH("NSIN_CH",PLabel,0)-1,1,1)</f>
        <v>10461006</v>
      </c>
      <c r="G225" s="95" t="str" cm="1">
        <f t="array" aca="1" ref="G225" ca="1">IF(OFFSET(POrigin,MATCH(Valori[[#This Row],[LUKB_id]],PID,0),MATCH("INSTRUNIT",PLabel,0)-1,1,1)="Nominal","Pct","Unit")</f>
        <v>Unit</v>
      </c>
      <c r="H225" s="612">
        <f ca="1">MAX(OFFSET(POrigin,MATCH(Valori[[#This Row],[LUKB_id]],PID,0),MATCH("PRICINGAMT",PLabel,0)-1,1,1),1)</f>
        <v>1</v>
      </c>
      <c r="I225" s="615" t="str" cm="1">
        <f t="array" aca="1" ref="I225" ca="1">OFFSET(POrigin,MATCH(Valori[[#This Row],[LUKB_id]],PID,0),MATCH("M_NAME",PLabel,0)-1,1,1)</f>
        <v>UBS (Lux) Fund Solutions SICAV - UBS Core MSCI Europe UCITS ETF</v>
      </c>
      <c r="J225" s="142" t="s">
        <v>755</v>
      </c>
      <c r="M225" s="142" t="str" cm="1">
        <f t="array" aca="1" ref="M2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EUR A-dis</v>
      </c>
      <c r="N225" s="1563">
        <f ca="1">COUNTIF('CHF M'!smo_id,Valori[[#This Row],[smo_id]])+COUNTIF('CHF MA'!smo_id,Valori[[#This Row],[smo_id]])+COUNTIF('EUR MB'!smo_id,Valori[[#This Row],[smo_id]])+COUNTIF('EUR M'!smo_id,Valori[[#This Row],[smo_id]])+COUNTIF(AGCO!smo_id,Valori[[#This Row],[smo_id]])</f>
        <v>2</v>
      </c>
      <c r="O225" s="1590" cm="1">
        <f t="array" aca="1" ref="O225" ca="1">SUM(IF('CHF M'!smo_id=Valori[[#This Row],[smo_id]],'CHF M'!Posizione))+SUM(IF('CHF MA'!smo_id=Valori[[#This Row],[smo_id]],'CHF MA'!Posizione))+SUM(IF('EUR MB'!smo_id=Valori[[#This Row],[smo_id]],'EUR MB'!Posizione))+SUM(IF('EUR M'!smo_id=Valori[[#This Row],[smo_id]],'EUR M'!Posizione))+SUM(IF(AGCO!smo_id=Valori[[#This Row],[smo_id]],AGCO!Posizione))</f>
        <v>0</v>
      </c>
      <c r="P225" s="1661" t="str">
        <f ca="1">HYPERLINK(Valori[[#This Row],[P_Source]],"è")</f>
        <v>è</v>
      </c>
      <c r="Q225" s="1663" t="str">
        <f>HYPERLINK(Valori[[#This Row],[Info_W]],"i")</f>
        <v>i</v>
      </c>
      <c r="R225" s="1664" t="str">
        <f>HYPERLINK(Valori[[#This Row],[FN_W]],"")</f>
        <v></v>
      </c>
      <c r="S225" s="1665" t="str">
        <f>HYPERLINK(Valori[[#This Row],[MS_Link]],"")</f>
        <v></v>
      </c>
      <c r="T225" s="1665" t="str">
        <f>HYPERLINK(Valori[[#This Row],[C_source]],"")</f>
        <v></v>
      </c>
      <c r="U225" s="142" t="str" cm="1">
        <f t="array" aca="1" ref="U225" ca="1">OFFSET(POrigin,MATCH(Valori[[#This Row],[LUKB_id]],PID,0),MATCH("M_CUR",PLabel,0)-1,1,1)</f>
        <v>EUR</v>
      </c>
      <c r="V225" s="1562">
        <f ca="1">(Valori[[#This Row],[Last]]+Valori[[#This Row],[Acc. Int]])/Valori[[#This Row],[Pr.Amt]]/IF(Valori[[#This Row],[P_Type]]="Pct",100,1)</f>
        <v>98.48</v>
      </c>
      <c r="W225" s="1591" cm="1">
        <f t="array" aca="1" ref="W225" ca="1">OFFSET(POrigin,MATCH(Valori[[#This Row],[LUKB_id]],PID,0),MATCH("NC2_PR",PLabel,0)-1,1,1)/100</f>
        <v>-3.1471282454759997E-2</v>
      </c>
      <c r="X225" s="1592" cm="1">
        <f t="array" aca="1" ref="X225" ca="1">OFFSET(POrigin,MATCH(Valori[[#This Row],[LUKB_id]],PID,0),MATCH("LVAL",PLabel,0)-1,1,1)</f>
        <v>98.48</v>
      </c>
      <c r="Y225" s="1593" cm="1">
        <f t="array" aca="1" ref="Y225" ca="1">OFFSET(POrigin,MATCH(Valori[[#This Row],[LUKB_id]],PID,0),MATCH("LVAL:datetime",PLabel,0)-1,1,1)</f>
        <v>46084.625868055555</v>
      </c>
      <c r="Z225" s="1594" cm="1">
        <f t="array" aca="1" ref="Z225" ca="1">OFFSET(POrigin,MATCH(Valori[[#This Row],[LUKB_id]],PID,0),MATCH("BID:volume",PLabel,0)-1,1,1)</f>
        <v>850</v>
      </c>
      <c r="AA225" s="1595" cm="1">
        <f t="array" aca="1" ref="AA225" ca="1">OFFSET(POrigin,MATCH(Valori[[#This Row],[LUKB_id]],PID,0),MATCH("BID",PLabel,0)-1,1,1)</f>
        <v>98</v>
      </c>
      <c r="AB225" s="1595" cm="1">
        <f t="array" aca="1" ref="AB225" ca="1">OFFSET(POrigin,MATCH(Valori[[#This Row],[LUKB_id]],PID,0),MATCH("ASK",PLabel,0)-1,1,1)</f>
        <v>98.88</v>
      </c>
      <c r="AC225" s="1594" cm="1">
        <f t="array" aca="1" ref="AC225" ca="1">OFFSET(POrigin,MATCH(Valori[[#This Row],[LUKB_id]],PID,0),MATCH("ASK:volume",PLabel,0)-1,1,1)</f>
        <v>1417</v>
      </c>
      <c r="AD225" s="1596" cm="1">
        <f t="array" aca="1" ref="AD225" ca="1">OFFSET(POrigin,MATCH(Valori[[#This Row],[LUKB_id]],PID,0),MATCH("BID-ASK Spread %",PLabel,0)-1,1,1)</f>
        <v>5.9685295713510274E-3</v>
      </c>
      <c r="AE225" s="1597" t="str" cm="1">
        <f t="array" aca="1" ref="AE225" ca="1">IF(OFFSET(POrigin,MATCH(Valori[[#This Row],[LUKB_id]],PID,0),MATCH("MATURITY",PLabel,0)-1,1,1)&gt;0,OFFSET(POrigin,MATCH(Valori[[#This Row],[LUKB_id]],PID,0),MATCH("MATURITY",PLabel,0)-1,1,1),"")</f>
        <v/>
      </c>
      <c r="AF225" s="1598" cm="1">
        <f t="array" aca="1" ref="AF225" ca="1">OFFSET(POrigin,MATCH(Valori[[#This Row],[LUKB_id]],PID,0),MATCH("ACCINT",PLabel,0)-1,1,1)</f>
        <v>0</v>
      </c>
      <c r="AG225" s="1594" cm="1">
        <f t="array" aca="1" ref="AG225" ca="1">OFFSET(POrigin,MATCH(Valori[[#This Row],[LUKB_id]],PID,0),MATCH("DENOM",PLabel,0)-1,1,1)</f>
        <v>0</v>
      </c>
      <c r="AH225" s="1599" cm="1">
        <f t="array" aca="1" ref="AH225" ca="1">(OFFSET(POrigin,MATCH(Valori[[#This Row],[LUKB_id]],PID,0),MATCH("YIELD",PLabel,0)-1,1,1)+OFFSET(POrigin,MATCH(Valori[[#This Row],[LUKB_id]],PID,0),MATCH("YLDEQ",PLabel,0)-1,1,1))/100</f>
        <v>0</v>
      </c>
      <c r="AI225" s="1600">
        <f ca="1">OFFSET(POrigin,MATCH(Valori[[#This Row],[LUKB_id]],PID,0),MATCH("DIVIDEND",PLabel,0)-1,1,1)</f>
        <v>1.3683000000000001</v>
      </c>
      <c r="AJ225" s="1601">
        <f ca="1">OFFSET(POrigin,MATCH(Valori[[#This Row],[LUKB_id]],PID,0),MATCH("DIVIDEND:datetime",PLabel,0)-1,1,1)</f>
        <v>46062</v>
      </c>
      <c r="AK225" s="1602">
        <f ca="1">OFFSET(POrigin,MATCH(Valori[[#This Row],[LUKB_id]],PID,0),MATCH("INTEREST",PLabel,0)-1,1,1)</f>
        <v>0</v>
      </c>
      <c r="AL225" s="1603">
        <f ca="1">OFFSET(POrigin,MATCH(Valori[[#This Row],[LUKB_id]],PID,0),MATCH("4W_PERF_PR",PLabel,0)-1,1,1)/100</f>
        <v>-3.4320450000000002E-2</v>
      </c>
      <c r="AM225" s="1603">
        <f ca="1">OFFSET(POrigin,MATCH(Valori[[#This Row],[LUKB_id]],PID,0),MATCH("12W_PERF_PR",PLabel,0)-1,1,1)/100</f>
        <v>3.1960599999999999E-2</v>
      </c>
      <c r="AN225" s="1603">
        <f ca="1">OFFSET(POrigin,MATCH(Valori[[#This Row],[LUKB_id]],PID,0),MATCH("YTD_PERF_PR",PLabel,0)-1,1,1)/100</f>
        <v>4.0843484491759806E-2</v>
      </c>
      <c r="AO225" s="1591"/>
      <c r="AP225" s="1591"/>
      <c r="AQ225" s="1591"/>
      <c r="AR225" s="1591"/>
      <c r="AS225" s="1890" t="s">
        <v>1522</v>
      </c>
      <c r="AT225" s="1890" t="s">
        <v>1523</v>
      </c>
      <c r="AU225" s="610" t="s">
        <v>1524</v>
      </c>
      <c r="AV225" s="1891" t="s">
        <v>1525</v>
      </c>
      <c r="AW225" s="1604" t="str">
        <f ca="1">"https://boersenundmaerkte.lukb.ch/lukb/details/"&amp;Valori[[#This Row],[LUKB_id]]</f>
        <v>https://boersenundmaerkte.lukb.ch/lukb/details/10461006,351,814</v>
      </c>
      <c r="AX225" s="1605" t="str">
        <f>"https://www.marketscreener.com/mods_a/charts/TV/inc_dyna_graph.php?c="&amp;Valori[[#This Row],[MS_Code]]&amp;"&amp;style=TradingView.CANDLES&amp;interval=(null)&amp;mobile=(null)&amp;showAT=1"</f>
        <v>https://www.marketscreener.com/mods_a/charts/TV/inc_dyna_graph.php?c=25983818&amp;style=TradingView.CANDLES&amp;interval=(null)&amp;mobile=(null)&amp;showAT=1</v>
      </c>
      <c r="AY225" s="142"/>
      <c r="AZ225" s="142"/>
      <c r="BA225" s="142"/>
      <c r="BB225" s="142"/>
    </row>
    <row r="226" spans="1:54" ht="15" customHeight="1" x14ac:dyDescent="0.2">
      <c r="A226" s="142" t="s">
        <v>1526</v>
      </c>
      <c r="B226" s="142" t="str" cm="1">
        <f t="array" aca="1" ref="B226" ca="1">OFFSET(POrigin,MATCH(Valori[[#This Row],[smo_id]],Posizioni[smo_id],0),MATCH("LUKB_id",PIntestazioni,0)-1,1,1)</f>
        <v>26751446,1703,814</v>
      </c>
      <c r="C226" s="1668" t="str">
        <f ca="1">HYPERLINK("https://boersenundmaerkte.lukb.ch/lukb/details/"&amp;Valori[[#This Row],[LUKB_id]],"è")</f>
        <v>è</v>
      </c>
      <c r="D226" s="142" t="str" cm="1">
        <f t="array" aca="1" ref="D226" ca="1">OFFSET(POrigin,MATCH(Valori[[#This Row],[LUKB_id]],PID,0),MATCH("SC_GROUPED",PIntestazioni,0)-1,1,1)</f>
        <v>ETF</v>
      </c>
      <c r="E226" s="413" t="str" cm="1">
        <f t="array" aca="1" ref="E226" ca="1">OFFSET(POrigin,MATCH(Valori[[#This Row],[LUKB_id]],PID,0),MATCH("isin",PIntestazioni,0)-1,1,1)</f>
        <v>LU1169822266</v>
      </c>
      <c r="F226" s="34" t="str" cm="1">
        <f t="array" aca="1" ref="F226" ca="1">OFFSET(POrigin,MATCH(Valori[[#This Row],[LUKB_id]],PID,0),MATCH("NSIN_CH",PLabel,0)-1,1,1)</f>
        <v>26751446</v>
      </c>
      <c r="G226" s="95" t="str" cm="1">
        <f t="array" aca="1" ref="G226" ca="1">IF(OFFSET(POrigin,MATCH(Valori[[#This Row],[LUKB_id]],PID,0),MATCH("INSTRUNIT",PLabel,0)-1,1,1)="Nominal","Pct","Unit")</f>
        <v>Unit</v>
      </c>
      <c r="H226" s="612">
        <f ca="1">MAX(OFFSET(POrigin,MATCH(Valori[[#This Row],[LUKB_id]],PID,0),MATCH("PRICINGAMT",PLabel,0)-1,1,1),1)</f>
        <v>1</v>
      </c>
      <c r="I226" s="615" t="str" cm="1">
        <f t="array" aca="1" ref="I226" ca="1">OFFSET(POrigin,MATCH(Valori[[#This Row],[LUKB_id]],PID,0),MATCH("M_NAME",PLabel,0)-1,1,1)</f>
        <v>UBS (Lux) Fund Solutions SICAV - UBS Core MSCI Japan UCITS ETF</v>
      </c>
      <c r="J226" s="142" t="s">
        <v>487</v>
      </c>
      <c r="M226" s="142" t="str" cm="1">
        <f t="array" aca="1" ref="M2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100% hedged to EUR UCITS EUR A-acc</v>
      </c>
      <c r="N226" s="1563">
        <f ca="1">COUNTIF('CHF M'!smo_id,Valori[[#This Row],[smo_id]])+COUNTIF('CHF MA'!smo_id,Valori[[#This Row],[smo_id]])+COUNTIF('EUR MB'!smo_id,Valori[[#This Row],[smo_id]])+COUNTIF('EUR M'!smo_id,Valori[[#This Row],[smo_id]])+COUNTIF(AGCO!smo_id,Valori[[#This Row],[smo_id]])</f>
        <v>2</v>
      </c>
      <c r="O226" s="1590" cm="1">
        <f t="array" aca="1" ref="O226" ca="1">SUM(IF('CHF M'!smo_id=Valori[[#This Row],[smo_id]],'CHF M'!Posizione))+SUM(IF('CHF MA'!smo_id=Valori[[#This Row],[smo_id]],'CHF MA'!Posizione))+SUM(IF('EUR MB'!smo_id=Valori[[#This Row],[smo_id]],'EUR MB'!Posizione))+SUM(IF('EUR M'!smo_id=Valori[[#This Row],[smo_id]],'EUR M'!Posizione))+SUM(IF(AGCO!smo_id=Valori[[#This Row],[smo_id]],AGCO!Posizione))</f>
        <v>3660</v>
      </c>
      <c r="P226" s="1661" t="str">
        <f ca="1">HYPERLINK(Valori[[#This Row],[P_Source]],"è")</f>
        <v>è</v>
      </c>
      <c r="Q226" s="1663" t="str">
        <f>HYPERLINK(Valori[[#This Row],[Info_W]],"i")</f>
        <v>i</v>
      </c>
      <c r="R226" s="1664" t="str">
        <f>HYPERLINK(Valori[[#This Row],[FN_W]],"")</f>
        <v></v>
      </c>
      <c r="S226" s="1665" t="str">
        <f>HYPERLINK(Valori[[#This Row],[MS_Link]],"")</f>
        <v></v>
      </c>
      <c r="T226" s="1665" t="str">
        <f>HYPERLINK(Valori[[#This Row],[C_source]],"")</f>
        <v></v>
      </c>
      <c r="U226" s="142" t="str" cm="1">
        <f t="array" aca="1" ref="U226" ca="1">OFFSET(POrigin,MATCH(Valori[[#This Row],[LUKB_id]],PID,0),MATCH("M_CUR",PLabel,0)-1,1,1)</f>
        <v>EUR</v>
      </c>
      <c r="V226" s="1562">
        <f ca="1">(Valori[[#This Row],[Last]]+Valori[[#This Row],[Acc. Int]])/Valori[[#This Row],[Pr.Amt]]/IF(Valori[[#This Row],[P_Type]]="Pct",100,1)</f>
        <v>39.950000000000003</v>
      </c>
      <c r="W226" s="1591" cm="1">
        <f t="array" aca="1" ref="W226" ca="1">OFFSET(POrigin,MATCH(Valori[[#This Row],[LUKB_id]],PID,0),MATCH("NC2_PR",PLabel,0)-1,1,1)/100</f>
        <v>-2.3824068417837602E-2</v>
      </c>
      <c r="X226" s="1592" cm="1">
        <f t="array" aca="1" ref="X226" ca="1">OFFSET(POrigin,MATCH(Valori[[#This Row],[LUKB_id]],PID,0),MATCH("LVAL",PLabel,0)-1,1,1)</f>
        <v>39.950000000000003</v>
      </c>
      <c r="Y226" s="1593" cm="1">
        <f t="array" aca="1" ref="Y226" ca="1">OFFSET(POrigin,MATCH(Valori[[#This Row],[LUKB_id]],PID,0),MATCH("LVAL:datetime",PLabel,0)-1,1,1)</f>
        <v>46083.73333333333</v>
      </c>
      <c r="Z226" s="1594" cm="1">
        <f t="array" aca="1" ref="Z226" ca="1">OFFSET(POrigin,MATCH(Valori[[#This Row],[LUKB_id]],PID,0),MATCH("BID:volume",PLabel,0)-1,1,1)</f>
        <v>0</v>
      </c>
      <c r="AA226" s="1595" cm="1">
        <f t="array" aca="1" ref="AA226" ca="1">OFFSET(POrigin,MATCH(Valori[[#This Row],[LUKB_id]],PID,0),MATCH("BID",PLabel,0)-1,1,1)</f>
        <v>0</v>
      </c>
      <c r="AB226" s="1595" cm="1">
        <f t="array" aca="1" ref="AB226" ca="1">OFFSET(POrigin,MATCH(Valori[[#This Row],[LUKB_id]],PID,0),MATCH("ASK",PLabel,0)-1,1,1)</f>
        <v>0</v>
      </c>
      <c r="AC226" s="1594" cm="1">
        <f t="array" aca="1" ref="AC226" ca="1">OFFSET(POrigin,MATCH(Valori[[#This Row],[LUKB_id]],PID,0),MATCH("ASK:volume",PLabel,0)-1,1,1)</f>
        <v>0</v>
      </c>
      <c r="AD226" s="1596" cm="1">
        <f t="array" aca="1" ref="AD226" ca="1">OFFSET(POrigin,MATCH(Valori[[#This Row],[LUKB_id]],PID,0),MATCH("BID-ASK Spread %",PLabel,0)-1,1,1)</f>
        <v>0</v>
      </c>
      <c r="AE226" s="1597" t="str" cm="1">
        <f t="array" aca="1" ref="AE226" ca="1">IF(OFFSET(POrigin,MATCH(Valori[[#This Row],[LUKB_id]],PID,0),MATCH("MATURITY",PLabel,0)-1,1,1)&gt;0,OFFSET(POrigin,MATCH(Valori[[#This Row],[LUKB_id]],PID,0),MATCH("MATURITY",PLabel,0)-1,1,1),"")</f>
        <v/>
      </c>
      <c r="AF226" s="1598" cm="1">
        <f t="array" aca="1" ref="AF226" ca="1">OFFSET(POrigin,MATCH(Valori[[#This Row],[LUKB_id]],PID,0),MATCH("ACCINT",PLabel,0)-1,1,1)</f>
        <v>0</v>
      </c>
      <c r="AG226" s="1594" cm="1">
        <f t="array" aca="1" ref="AG226" ca="1">OFFSET(POrigin,MATCH(Valori[[#This Row],[LUKB_id]],PID,0),MATCH("DENOM",PLabel,0)-1,1,1)</f>
        <v>0</v>
      </c>
      <c r="AH226" s="1599" cm="1">
        <f t="array" aca="1" ref="AH226" ca="1">(OFFSET(POrigin,MATCH(Valori[[#This Row],[LUKB_id]],PID,0),MATCH("YIELD",PLabel,0)-1,1,1)+OFFSET(POrigin,MATCH(Valori[[#This Row],[LUKB_id]],PID,0),MATCH("YLDEQ",PLabel,0)-1,1,1))/100</f>
        <v>0</v>
      </c>
      <c r="AI226" s="1600">
        <f ca="1">OFFSET(POrigin,MATCH(Valori[[#This Row],[LUKB_id]],PID,0),MATCH("DIVIDEND",PLabel,0)-1,1,1)</f>
        <v>0</v>
      </c>
      <c r="AJ226" s="1601">
        <f ca="1">OFFSET(POrigin,MATCH(Valori[[#This Row],[LUKB_id]],PID,0),MATCH("DIVIDEND:datetime",PLabel,0)-1,1,1)</f>
        <v>0</v>
      </c>
      <c r="AK226" s="1602">
        <f ca="1">OFFSET(POrigin,MATCH(Valori[[#This Row],[LUKB_id]],PID,0),MATCH("INTEREST",PLabel,0)-1,1,1)</f>
        <v>0</v>
      </c>
      <c r="AL226" s="1603">
        <f ca="1">OFFSET(POrigin,MATCH(Valori[[#This Row],[LUKB_id]],PID,0),MATCH("4W_PERF_PR",PLabel,0)-1,1,1)/100</f>
        <v>6.2217495346982267E-2</v>
      </c>
      <c r="AM226" s="1603">
        <f ca="1">OFFSET(POrigin,MATCH(Valori[[#This Row],[LUKB_id]],PID,0),MATCH("12W_PERF_PR",PLabel,0)-1,1,1)/100</f>
        <v>0.13478199119443274</v>
      </c>
      <c r="AN226" s="1603">
        <f ca="1">OFFSET(POrigin,MATCH(Valori[[#This Row],[LUKB_id]],PID,0),MATCH("YTD_PERF_PR",PLabel,0)-1,1,1)/100</f>
        <v>0.11763883060568001</v>
      </c>
      <c r="AO226" s="1591"/>
      <c r="AP226" s="1591"/>
      <c r="AQ226" s="1591"/>
      <c r="AR226" s="1591"/>
      <c r="AS226" s="1890" t="s">
        <v>1527</v>
      </c>
      <c r="AT226" s="1890"/>
      <c r="AU226" s="610" t="s">
        <v>1528</v>
      </c>
      <c r="AV226" s="1891" t="s">
        <v>1529</v>
      </c>
      <c r="AW226" s="1604" t="str">
        <f ca="1">"https://boersenundmaerkte.lukb.ch/lukb/details/"&amp;Valori[[#This Row],[LUKB_id]]</f>
        <v>https://boersenundmaerkte.lukb.ch/lukb/details/26751446,1703,814</v>
      </c>
      <c r="AX226" s="1605" t="str">
        <f>"https://www.zonebourse.com/mods_a/charts/TV/inc_dyna_graph.php?c="&amp;Valori[[#This Row],[MS_Code]]&amp;"&amp;style=TradingView.CANDLES&amp;interval=(null)&amp;mobile=(null)&amp;showAT=1"</f>
        <v>https://www.zonebourse.com/mods_a/charts/TV/inc_dyna_graph.php?c=121652239&amp;style=TradingView.CANDLES&amp;interval=(null)&amp;mobile=(null)&amp;showAT=1</v>
      </c>
      <c r="AY226" s="142"/>
      <c r="AZ226" s="142"/>
      <c r="BA226" s="142"/>
      <c r="BB226" s="142"/>
    </row>
    <row r="227" spans="1:54" ht="15" customHeight="1" x14ac:dyDescent="0.2">
      <c r="A227" s="142" t="s">
        <v>1530</v>
      </c>
      <c r="B227" s="142" t="s">
        <v>1531</v>
      </c>
      <c r="C227" s="1668" t="str">
        <f>HYPERLINK("https://boersenundmaerkte.lukb.ch/lukb/details/"&amp;Valori[[#This Row],[LUKB_id]],"è")</f>
        <v>è</v>
      </c>
      <c r="D227" s="142" t="str" cm="1">
        <f t="array" aca="1" ref="D227" ca="1">OFFSET(POrigin,MATCH(Valori[[#This Row],[LUKB_id]],PID,0),MATCH("SC_GROUPED",PIntestazioni,0)-1,1,1)</f>
        <v>ETF</v>
      </c>
      <c r="E227" s="413" t="str" cm="1">
        <f t="array" aca="1" ref="E227" ca="1">OFFSET(POrigin,MATCH(Valori[[#This Row],[LUKB_id]],PID,0),MATCH("isin",PIntestazioni,0)-1,1,1)</f>
        <v>LU1169821888</v>
      </c>
      <c r="F227" s="34" t="str" cm="1">
        <f t="array" aca="1" ref="F227" ca="1">OFFSET(POrigin,MATCH(Valori[[#This Row],[LUKB_id]],PID,0),MATCH("NSIN_CH",PLabel,0)-1,1,1)</f>
        <v>26751433</v>
      </c>
      <c r="G227" s="95" t="str" cm="1">
        <f t="array" aca="1" ref="G227" ca="1">IF(OFFSET(POrigin,MATCH(Valori[[#This Row],[LUKB_id]],PID,0),MATCH("INSTRUNIT",PLabel,0)-1,1,1)="Nominal","Pct","Unit")</f>
        <v>Unit</v>
      </c>
      <c r="H227" s="612">
        <f ca="1">MAX(OFFSET(POrigin,MATCH(Valori[[#This Row],[LUKB_id]],PID,0),MATCH("PRICINGAMT",PLabel,0)-1,1,1),1)</f>
        <v>1</v>
      </c>
      <c r="I227" s="615" t="str" cm="1">
        <f t="array" aca="1" ref="I227" ca="1">OFFSET(POrigin,MATCH(Valori[[#This Row],[LUKB_id]],PID,0),MATCH("M_NAME",PLabel,0)-1,1,1)</f>
        <v>UBS (Lux) Fund Solutions SICAV - UBS Core MSCI Japan UCITS ETF</v>
      </c>
      <c r="J227" s="142" t="s">
        <v>496</v>
      </c>
      <c r="M227" s="142" t="str" cm="1">
        <f t="array" aca="1" ref="M2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hdg. to CHF UCITS ETF - (CHF) A-acc</v>
      </c>
      <c r="N227" s="1563">
        <f ca="1">COUNTIF('CHF M'!smo_id,Valori[[#This Row],[smo_id]])+COUNTIF('CHF MA'!smo_id,Valori[[#This Row],[smo_id]])+COUNTIF('EUR MB'!smo_id,Valori[[#This Row],[smo_id]])+COUNTIF('EUR M'!smo_id,Valori[[#This Row],[smo_id]])+COUNTIF(AGCO!smo_id,Valori[[#This Row],[smo_id]])</f>
        <v>3</v>
      </c>
      <c r="O227" s="1590" cm="1">
        <f t="array" aca="1" ref="O227" ca="1">SUM(IF('CHF M'!smo_id=Valori[[#This Row],[smo_id]],'CHF M'!Posizione))+SUM(IF('CHF MA'!smo_id=Valori[[#This Row],[smo_id]],'CHF MA'!Posizione))+SUM(IF('EUR MB'!smo_id=Valori[[#This Row],[smo_id]],'EUR MB'!Posizione))+SUM(IF('EUR M'!smo_id=Valori[[#This Row],[smo_id]],'EUR M'!Posizione))+SUM(IF(AGCO!smo_id=Valori[[#This Row],[smo_id]],AGCO!Posizione))</f>
        <v>4243</v>
      </c>
      <c r="P227" s="1661" t="str">
        <f>HYPERLINK(Valori[[#This Row],[P_Source]],"è")</f>
        <v>è</v>
      </c>
      <c r="Q227" s="1663" t="str">
        <f>HYPERLINK(Valori[[#This Row],[Info_W]],"i")</f>
        <v>i</v>
      </c>
      <c r="R227" s="1664" t="str">
        <f>HYPERLINK(Valori[[#This Row],[FN_W]],"")</f>
        <v></v>
      </c>
      <c r="S227" s="1665" t="str">
        <f>HYPERLINK(Valori[[#This Row],[MS_Link]],"")</f>
        <v></v>
      </c>
      <c r="T227" s="1665" t="str">
        <f>HYPERLINK(Valori[[#This Row],[C_source]],"")</f>
        <v></v>
      </c>
      <c r="U227" s="142" t="str" cm="1">
        <f t="array" aca="1" ref="U227" ca="1">OFFSET(POrigin,MATCH(Valori[[#This Row],[LUKB_id]],PID,0),MATCH("M_CUR",PLabel,0)-1,1,1)</f>
        <v>CHF</v>
      </c>
      <c r="V227" s="1562">
        <f ca="1">(Valori[[#This Row],[Last]]+Valori[[#This Row],[Acc. Int]])/Valori[[#This Row],[Pr.Amt]]/IF(Valori[[#This Row],[P_Type]]="Pct",100,1)</f>
        <v>36.805</v>
      </c>
      <c r="W227" s="1591" cm="1">
        <f t="array" aca="1" ref="W227" ca="1">OFFSET(POrigin,MATCH(Valori[[#This Row],[LUKB_id]],PID,0),MATCH("NC2_PR",PLabel,0)-1,1,1)/100</f>
        <v>-5.0438596491228005E-2</v>
      </c>
      <c r="X227" s="1592" cm="1">
        <f t="array" aca="1" ref="X227" ca="1">OFFSET(POrigin,MATCH(Valori[[#This Row],[LUKB_id]],PID,0),MATCH("LVAL",PLabel,0)-1,1,1)</f>
        <v>36.805</v>
      </c>
      <c r="Y227" s="1593" cm="1">
        <f t="array" aca="1" ref="Y227" ca="1">OFFSET(POrigin,MATCH(Valori[[#This Row],[LUKB_id]],PID,0),MATCH("LVAL:datetime",PLabel,0)-1,1,1)</f>
        <v>46084.73300925926</v>
      </c>
      <c r="Z227" s="1594" cm="1">
        <f t="array" aca="1" ref="Z227" ca="1">OFFSET(POrigin,MATCH(Valori[[#This Row],[LUKB_id]],PID,0),MATCH("BID:volume",PLabel,0)-1,1,1)</f>
        <v>1400</v>
      </c>
      <c r="AA227" s="1595" cm="1">
        <f t="array" aca="1" ref="AA227" ca="1">OFFSET(POrigin,MATCH(Valori[[#This Row],[LUKB_id]],PID,0),MATCH("BID",PLabel,0)-1,1,1)</f>
        <v>35.1</v>
      </c>
      <c r="AB227" s="1595" cm="1">
        <f t="array" aca="1" ref="AB227" ca="1">OFFSET(POrigin,MATCH(Valori[[#This Row],[LUKB_id]],PID,0),MATCH("ASK",PLabel,0)-1,1,1)</f>
        <v>38</v>
      </c>
      <c r="AC227" s="1594" cm="1">
        <f t="array" aca="1" ref="AC227" ca="1">OFFSET(POrigin,MATCH(Valori[[#This Row],[LUKB_id]],PID,0),MATCH("ASK:volume",PLabel,0)-1,1,1)</f>
        <v>500</v>
      </c>
      <c r="AD227" s="1596" cm="1">
        <f t="array" aca="1" ref="AD227" ca="1">OFFSET(POrigin,MATCH(Valori[[#This Row],[LUKB_id]],PID,0),MATCH("BID-ASK Spread %",PLabel,0)-1,1,1)</f>
        <v>5.3604436229205146E-2</v>
      </c>
      <c r="AE227" s="1597" t="str" cm="1">
        <f t="array" aca="1" ref="AE227" ca="1">IF(OFFSET(POrigin,MATCH(Valori[[#This Row],[LUKB_id]],PID,0),MATCH("MATURITY",PLabel,0)-1,1,1)&gt;0,OFFSET(POrigin,MATCH(Valori[[#This Row],[LUKB_id]],PID,0),MATCH("MATURITY",PLabel,0)-1,1,1),"")</f>
        <v/>
      </c>
      <c r="AF227" s="1598" cm="1">
        <f t="array" aca="1" ref="AF227" ca="1">OFFSET(POrigin,MATCH(Valori[[#This Row],[LUKB_id]],PID,0),MATCH("ACCINT",PLabel,0)-1,1,1)</f>
        <v>0</v>
      </c>
      <c r="AG227" s="1594" cm="1">
        <f t="array" aca="1" ref="AG227" ca="1">OFFSET(POrigin,MATCH(Valori[[#This Row],[LUKB_id]],PID,0),MATCH("DENOM",PLabel,0)-1,1,1)</f>
        <v>0</v>
      </c>
      <c r="AH227" s="1599" cm="1">
        <f t="array" aca="1" ref="AH227" ca="1">(OFFSET(POrigin,MATCH(Valori[[#This Row],[LUKB_id]],PID,0),MATCH("YIELD",PLabel,0)-1,1,1)+OFFSET(POrigin,MATCH(Valori[[#This Row],[LUKB_id]],PID,0),MATCH("YLDEQ",PLabel,0)-1,1,1))/100</f>
        <v>0</v>
      </c>
      <c r="AI227" s="1600">
        <f ca="1">OFFSET(POrigin,MATCH(Valori[[#This Row],[LUKB_id]],PID,0),MATCH("DIVIDEND",PLabel,0)-1,1,1)</f>
        <v>0</v>
      </c>
      <c r="AJ227" s="1601">
        <f ca="1">OFFSET(POrigin,MATCH(Valori[[#This Row],[LUKB_id]],PID,0),MATCH("DIVIDEND:datetime",PLabel,0)-1,1,1)</f>
        <v>0</v>
      </c>
      <c r="AK227" s="1602">
        <f ca="1">OFFSET(POrigin,MATCH(Valori[[#This Row],[LUKB_id]],PID,0),MATCH("INTEREST",PLabel,0)-1,1,1)</f>
        <v>0</v>
      </c>
      <c r="AL227" s="1603">
        <f ca="1">OFFSET(POrigin,MATCH(Valori[[#This Row],[LUKB_id]],PID,0),MATCH("4W_PERF_PR",PLabel,0)-1,1,1)/100</f>
        <v>-1.1548270000000001E-2</v>
      </c>
      <c r="AM227" s="1603">
        <f ca="1">OFFSET(POrigin,MATCH(Valori[[#This Row],[LUKB_id]],PID,0),MATCH("12W_PERF_PR",PLabel,0)-1,1,1)/100</f>
        <v>5.9289109999999992E-2</v>
      </c>
      <c r="AN227" s="1603">
        <f ca="1">OFFSET(POrigin,MATCH(Valori[[#This Row],[LUKB_id]],PID,0),MATCH("YTD_PERF_PR",PLabel,0)-1,1,1)/100</f>
        <v>0.11092003439380999</v>
      </c>
      <c r="AO227" s="1591"/>
      <c r="AP227" s="1591"/>
      <c r="AQ227" s="1591"/>
      <c r="AR227" s="1591"/>
      <c r="AS227" s="1890" t="s">
        <v>1532</v>
      </c>
      <c r="AT227" s="1890" t="s">
        <v>1533</v>
      </c>
      <c r="AU227" s="610" t="s">
        <v>1534</v>
      </c>
      <c r="AV227" s="1891" t="s">
        <v>1535</v>
      </c>
      <c r="AW227" s="1604" t="str">
        <f>"https://boersenundmaerkte.lukb.ch/lukb/details/"&amp;Valori[[#This Row],[LUKB_id]]</f>
        <v>https://boersenundmaerkte.lukb.ch/lukb/details/26751433,4,1</v>
      </c>
      <c r="AX227" s="1605" t="str">
        <f>"https://www.zonebourse.com/mods_a/charts/TV/inc_dyna_graph.php?c="&amp;Valori[[#This Row],[MS_Code]]&amp;"&amp;style=TradingView.CANDLES&amp;interval=(null)&amp;mobile=(null)&amp;showAT=1"</f>
        <v>https://www.zonebourse.com/mods_a/charts/TV/inc_dyna_graph.php?c=109048102&amp;style=TradingView.CANDLES&amp;interval=(null)&amp;mobile=(null)&amp;showAT=1</v>
      </c>
      <c r="AY227" s="142"/>
      <c r="AZ227" s="142"/>
      <c r="BA227" s="142"/>
      <c r="BB227" s="142"/>
    </row>
    <row r="228" spans="1:54" ht="15" customHeight="1" x14ac:dyDescent="0.2">
      <c r="A228" s="142" t="s">
        <v>1536</v>
      </c>
      <c r="B228" s="142" t="s">
        <v>1537</v>
      </c>
      <c r="C228" s="1668" t="str">
        <f>HYPERLINK("https://boersenundmaerkte.lukb.ch/lukb/details/"&amp;Valori[[#This Row],[LUKB_id]],"è")</f>
        <v>è</v>
      </c>
      <c r="D228" s="142" t="str" cm="1">
        <f t="array" aca="1" ref="D228" ca="1">OFFSET(POrigin,MATCH(Valori[[#This Row],[LUKB_id]],PID,0),MATCH("SC_GROUPED",PIntestazioni,0)-1,1,1)</f>
        <v>ETF</v>
      </c>
      <c r="E228" s="413" t="str" cm="1">
        <f t="array" aca="1" ref="E228" ca="1">OFFSET(POrigin,MATCH(Valori[[#This Row],[LUKB_id]],PID,0),MATCH("isin",PIntestazioni,0)-1,1,1)</f>
        <v>LU1169830103</v>
      </c>
      <c r="F228" s="34" t="str" cm="1">
        <f t="array" aca="1" ref="F228" ca="1">OFFSET(POrigin,MATCH(Valori[[#This Row],[LUKB_id]],PID,0),MATCH("NSIN_CH",PLabel,0)-1,1,1)</f>
        <v>26688077</v>
      </c>
      <c r="G228" s="95" t="str" cm="1">
        <f t="array" aca="1" ref="G228" ca="1">IF(OFFSET(POrigin,MATCH(Valori[[#This Row],[LUKB_id]],PID,0),MATCH("INSTRUNIT",PLabel,0)-1,1,1)="Nominal","Pct","Unit")</f>
        <v>Unit</v>
      </c>
      <c r="H228" s="612">
        <f ca="1">MAX(OFFSET(POrigin,MATCH(Valori[[#This Row],[LUKB_id]],PID,0),MATCH("PRICINGAMT",PLabel,0)-1,1,1),1)</f>
        <v>1</v>
      </c>
      <c r="I228" s="615" t="str" cm="1">
        <f t="array" aca="1" ref="I228" ca="1">OFFSET(POrigin,MATCH(Valori[[#This Row],[LUKB_id]],PID,0),MATCH("M_NAME",PLabel,0)-1,1,1)</f>
        <v>UBS (Lux) Fund Solutions SICAV - UBS MSCI Switzerland 20/35 UCITS ETF</v>
      </c>
      <c r="J228" s="142" t="s">
        <v>449</v>
      </c>
      <c r="M228" s="142" t="str" cm="1">
        <f t="array" aca="1" ref="M2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Switzerland 20/35 hdg. to EUR UCITS ETF</v>
      </c>
      <c r="N228" s="1563">
        <f ca="1">COUNTIF('CHF M'!smo_id,Valori[[#This Row],[smo_id]])+COUNTIF('CHF MA'!smo_id,Valori[[#This Row],[smo_id]])+COUNTIF('EUR MB'!smo_id,Valori[[#This Row],[smo_id]])+COUNTIF('EUR M'!smo_id,Valori[[#This Row],[smo_id]])+COUNTIF(AGCO!smo_id,Valori[[#This Row],[smo_id]])</f>
        <v>2</v>
      </c>
      <c r="O228" s="1590" cm="1">
        <f t="array" aca="1" ref="O228" ca="1">SUM(IF('CHF M'!smo_id=Valori[[#This Row],[smo_id]],'CHF M'!Posizione))+SUM(IF('CHF MA'!smo_id=Valori[[#This Row],[smo_id]],'CHF MA'!Posizione))+SUM(IF('EUR MB'!smo_id=Valori[[#This Row],[smo_id]],'EUR MB'!Posizione))+SUM(IF('EUR M'!smo_id=Valori[[#This Row],[smo_id]],'EUR M'!Posizione))+SUM(IF(AGCO!smo_id=Valori[[#This Row],[smo_id]],AGCO!Posizione))</f>
        <v>420</v>
      </c>
      <c r="P228" s="1661" t="str">
        <f>HYPERLINK(Valori[[#This Row],[P_Source]],"è")</f>
        <v>è</v>
      </c>
      <c r="Q228" s="1663" t="str">
        <f>HYPERLINK(Valori[[#This Row],[Info_W]],"i")</f>
        <v>i</v>
      </c>
      <c r="R228" s="1664" t="str">
        <f>HYPERLINK(Valori[[#This Row],[FN_W]],"")</f>
        <v></v>
      </c>
      <c r="S228" s="1665" t="str">
        <f>HYPERLINK(Valori[[#This Row],[MS_Link]],"")</f>
        <v></v>
      </c>
      <c r="T228" s="1665" t="str">
        <f>HYPERLINK(Valori[[#This Row],[C_source]],"")</f>
        <v></v>
      </c>
      <c r="U228" s="142" t="str" cm="1">
        <f t="array" aca="1" ref="U228" ca="1">OFFSET(POrigin,MATCH(Valori[[#This Row],[LUKB_id]],PID,0),MATCH("M_CUR",PLabel,0)-1,1,1)</f>
        <v>EUR</v>
      </c>
      <c r="V228" s="1562">
        <f ca="1">(Valori[[#This Row],[Last]]+Valori[[#This Row],[Acc. Int]])/Valori[[#This Row],[Pr.Amt]]/IF(Valori[[#This Row],[P_Type]]="Pct",100,1)</f>
        <v>18.716000000000001</v>
      </c>
      <c r="W228" s="1591" cm="1">
        <f t="array" aca="1" ref="W228" ca="1">OFFSET(POrigin,MATCH(Valori[[#This Row],[LUKB_id]],PID,0),MATCH("NC2_PR",PLabel,0)-1,1,1)/100</f>
        <v>-2.87493513233004E-2</v>
      </c>
      <c r="X228" s="1592" cm="1">
        <f t="array" aca="1" ref="X228" ca="1">OFFSET(POrigin,MATCH(Valori[[#This Row],[LUKB_id]],PID,0),MATCH("LVAL",PLabel,0)-1,1,1)</f>
        <v>18.716000000000001</v>
      </c>
      <c r="Y228" s="1593" cm="1">
        <f t="array" aca="1" ref="Y228" ca="1">OFFSET(POrigin,MATCH(Valori[[#This Row],[LUKB_id]],PID,0),MATCH("LVAL:datetime",PLabel,0)-1,1,1)</f>
        <v>46084.73300925926</v>
      </c>
      <c r="Z228" s="1594" cm="1">
        <f t="array" aca="1" ref="Z228" ca="1">OFFSET(POrigin,MATCH(Valori[[#This Row],[LUKB_id]],PID,0),MATCH("BID:volume",PLabel,0)-1,1,1)</f>
        <v>11</v>
      </c>
      <c r="AA228" s="1595" cm="1">
        <f t="array" aca="1" ref="AA228" ca="1">OFFSET(POrigin,MATCH(Valori[[#This Row],[LUKB_id]],PID,0),MATCH("BID",PLabel,0)-1,1,1)</f>
        <v>18.716000000000001</v>
      </c>
      <c r="AB228" s="1595" cm="1">
        <f t="array" aca="1" ref="AB228" ca="1">OFFSET(POrigin,MATCH(Valori[[#This Row],[LUKB_id]],PID,0),MATCH("ASK",PLabel,0)-1,1,1)</f>
        <v>18.72</v>
      </c>
      <c r="AC228" s="1594" cm="1">
        <f t="array" aca="1" ref="AC228" ca="1">OFFSET(POrigin,MATCH(Valori[[#This Row],[LUKB_id]],PID,0),MATCH("ASK:volume",PLabel,0)-1,1,1)</f>
        <v>2970</v>
      </c>
      <c r="AD228" s="1596" cm="1">
        <f t="array" aca="1" ref="AD228" ca="1">OFFSET(POrigin,MATCH(Valori[[#This Row],[LUKB_id]],PID,0),MATCH("BID-ASK Spread %",PLabel,0)-1,1,1)</f>
        <v>1.4247043738416381E-4</v>
      </c>
      <c r="AE228" s="1597" t="str" cm="1">
        <f t="array" aca="1" ref="AE228" ca="1">IF(OFFSET(POrigin,MATCH(Valori[[#This Row],[LUKB_id]],PID,0),MATCH("MATURITY",PLabel,0)-1,1,1)&gt;0,OFFSET(POrigin,MATCH(Valori[[#This Row],[LUKB_id]],PID,0),MATCH("MATURITY",PLabel,0)-1,1,1),"")</f>
        <v/>
      </c>
      <c r="AF228" s="1598" cm="1">
        <f t="array" aca="1" ref="AF228" ca="1">OFFSET(POrigin,MATCH(Valori[[#This Row],[LUKB_id]],PID,0),MATCH("ACCINT",PLabel,0)-1,1,1)</f>
        <v>0</v>
      </c>
      <c r="AG228" s="1594" cm="1">
        <f t="array" aca="1" ref="AG228" ca="1">OFFSET(POrigin,MATCH(Valori[[#This Row],[LUKB_id]],PID,0),MATCH("DENOM",PLabel,0)-1,1,1)</f>
        <v>0</v>
      </c>
      <c r="AH228" s="1599" cm="1">
        <f t="array" aca="1" ref="AH228" ca="1">(OFFSET(POrigin,MATCH(Valori[[#This Row],[LUKB_id]],PID,0),MATCH("YIELD",PLabel,0)-1,1,1)+OFFSET(POrigin,MATCH(Valori[[#This Row],[LUKB_id]],PID,0),MATCH("YLDEQ",PLabel,0)-1,1,1))/100</f>
        <v>0</v>
      </c>
      <c r="AI228" s="1600">
        <f ca="1">OFFSET(POrigin,MATCH(Valori[[#This Row],[LUKB_id]],PID,0),MATCH("DIVIDEND",PLabel,0)-1,1,1)</f>
        <v>0</v>
      </c>
      <c r="AJ228" s="1601">
        <f ca="1">OFFSET(POrigin,MATCH(Valori[[#This Row],[LUKB_id]],PID,0),MATCH("DIVIDEND:datetime",PLabel,0)-1,1,1)</f>
        <v>0</v>
      </c>
      <c r="AK228" s="1602">
        <f ca="1">OFFSET(POrigin,MATCH(Valori[[#This Row],[LUKB_id]],PID,0),MATCH("INTEREST",PLabel,0)-1,1,1)</f>
        <v>0</v>
      </c>
      <c r="AL228" s="1603">
        <f ca="1">OFFSET(POrigin,MATCH(Valori[[#This Row],[LUKB_id]],PID,0),MATCH("4W_PERF_PR",PLabel,0)-1,1,1)/100</f>
        <v>2.3564699999999998E-3</v>
      </c>
      <c r="AM228" s="1603">
        <f ca="1">OFFSET(POrigin,MATCH(Valori[[#This Row],[LUKB_id]],PID,0),MATCH("12W_PERF_PR",PLabel,0)-1,1,1)/100</f>
        <v>4.1629559999999996E-2</v>
      </c>
      <c r="AN228" s="1603">
        <f ca="1">OFFSET(POrigin,MATCH(Valori[[#This Row],[LUKB_id]],PID,0),MATCH("YTD_PERF_PR",PLabel,0)-1,1,1)/100</f>
        <v>4.3539477959492999E-2</v>
      </c>
      <c r="AO228" s="1591"/>
      <c r="AP228" s="1591"/>
      <c r="AQ228" s="1591"/>
      <c r="AR228" s="1591"/>
      <c r="AS228" s="1890" t="s">
        <v>1538</v>
      </c>
      <c r="AT228" s="1890" t="s">
        <v>1539</v>
      </c>
      <c r="AU228" s="610" t="s">
        <v>1540</v>
      </c>
      <c r="AV228" s="1891" t="s">
        <v>1541</v>
      </c>
      <c r="AW228" s="1604" t="str">
        <f>"https://boersenundmaerkte.lukb.ch/lukb/details/"&amp;Valori[[#This Row],[LUKB_id]]</f>
        <v>https://boersenundmaerkte.lukb.ch/lukb/details/26688077,351,814</v>
      </c>
      <c r="AX228" s="1605" t="str">
        <f>"https://www.marketscreener.com/mods_a/charts/TV/inc_dyna_graph.php?c="&amp;Valori[[#This Row],[MS_Code]]&amp;"&amp;style=TradingView.CANDLES&amp;interval=(null)&amp;mobile=(null)&amp;showAT=1"</f>
        <v>https://www.marketscreener.com/mods_a/charts/TV/inc_dyna_graph.php?c=109048107&amp;style=TradingView.CANDLES&amp;interval=(null)&amp;mobile=(null)&amp;showAT=1</v>
      </c>
      <c r="AY228" s="142"/>
      <c r="AZ228" s="142"/>
      <c r="BA228" s="142"/>
      <c r="BB228" s="142"/>
    </row>
    <row r="229" spans="1:54" ht="15" customHeight="1" x14ac:dyDescent="0.2">
      <c r="A229" s="142" t="s">
        <v>1542</v>
      </c>
      <c r="B229" s="142" t="s">
        <v>1543</v>
      </c>
      <c r="C229" s="1668" t="str">
        <f>HYPERLINK("https://boersenundmaerkte.lukb.ch/lukb/details/"&amp;Valori[[#This Row],[LUKB_id]],"è")</f>
        <v>è</v>
      </c>
      <c r="D229" s="142" t="str" cm="1">
        <f t="array" aca="1" ref="D229" ca="1">OFFSET(POrigin,MATCH(Valori[[#This Row],[LUKB_id]],PID,0),MATCH("SC_GROUPED",PIntestazioni,0)-1,1,1)</f>
        <v>ETF</v>
      </c>
      <c r="E229" s="413" t="str" cm="1">
        <f t="array" aca="1" ref="E229" ca="1">OFFSET(POrigin,MATCH(Valori[[#This Row],[LUKB_id]],PID,0),MATCH("isin",PIntestazioni,0)-1,1,1)</f>
        <v>LU1169820997</v>
      </c>
      <c r="F229" s="34" t="str" cm="1">
        <f t="array" aca="1" ref="F229" ca="1">OFFSET(POrigin,MATCH(Valori[[#This Row],[LUKB_id]],PID,0),MATCH("NSIN_CH",PLabel,0)-1,1,1)</f>
        <v>26749332</v>
      </c>
      <c r="G229" s="95" t="str" cm="1">
        <f t="array" aca="1" ref="G229" ca="1">IF(OFFSET(POrigin,MATCH(Valori[[#This Row],[LUKB_id]],PID,0),MATCH("INSTRUNIT",PLabel,0)-1,1,1)="Nominal","Pct","Unit")</f>
        <v>Unit</v>
      </c>
      <c r="H229" s="612">
        <f ca="1">MAX(OFFSET(POrigin,MATCH(Valori[[#This Row],[LUKB_id]],PID,0),MATCH("PRICINGAMT",PLabel,0)-1,1,1),1)</f>
        <v>1</v>
      </c>
      <c r="I229" s="615" t="str" cm="1">
        <f t="array" aca="1" ref="I229" ca="1">OFFSET(POrigin,MATCH(Valori[[#This Row],[LUKB_id]],PID,0),MATCH("M_NAME",PLabel,0)-1,1,1)</f>
        <v>UBS (Lux) Fund Solutions SICAV - UBS MSCI United Kingdom UCITS ETF</v>
      </c>
      <c r="J229" s="142" t="s">
        <v>765</v>
      </c>
      <c r="M229" s="142" t="str" cm="1">
        <f t="array" aca="1" ref="M2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CHF UCITS ETF (CHF) A-acc</v>
      </c>
      <c r="N229" s="1563">
        <f ca="1">COUNTIF('CHF M'!smo_id,Valori[[#This Row],[smo_id]])+COUNTIF('CHF MA'!smo_id,Valori[[#This Row],[smo_id]])+COUNTIF('EUR MB'!smo_id,Valori[[#This Row],[smo_id]])+COUNTIF('EUR M'!smo_id,Valori[[#This Row],[smo_id]])+COUNTIF(AGCO!smo_id,Valori[[#This Row],[smo_id]])</f>
        <v>3</v>
      </c>
      <c r="O229" s="1590" cm="1">
        <f t="array" aca="1" ref="O229" ca="1">SUM(IF('CHF M'!smo_id=Valori[[#This Row],[smo_id]],'CHF M'!Posizione))+SUM(IF('CHF MA'!smo_id=Valori[[#This Row],[smo_id]],'CHF MA'!Posizione))+SUM(IF('EUR MB'!smo_id=Valori[[#This Row],[smo_id]],'EUR MB'!Posizione))+SUM(IF('EUR M'!smo_id=Valori[[#This Row],[smo_id]],'EUR M'!Posizione))+SUM(IF(AGCO!smo_id=Valori[[#This Row],[smo_id]],AGCO!Posizione))</f>
        <v>875</v>
      </c>
      <c r="P229" s="1661" t="str">
        <f>HYPERLINK(Valori[[#This Row],[P_Source]],"è")</f>
        <v>è</v>
      </c>
      <c r="Q229" s="1663" t="str">
        <f>HYPERLINK(Valori[[#This Row],[Info_W]],"i")</f>
        <v>i</v>
      </c>
      <c r="R229" s="1664" t="str">
        <f>HYPERLINK(Valori[[#This Row],[FN_W]],"")</f>
        <v></v>
      </c>
      <c r="S229" s="1665" t="str">
        <f>HYPERLINK(Valori[[#This Row],[MS_Link]],"")</f>
        <v></v>
      </c>
      <c r="T229" s="1665" t="str">
        <f>HYPERLINK(Valori[[#This Row],[C_source]],"")</f>
        <v></v>
      </c>
      <c r="U229" s="142" t="str" cm="1">
        <f t="array" aca="1" ref="U229" ca="1">OFFSET(POrigin,MATCH(Valori[[#This Row],[LUKB_id]],PID,0),MATCH("M_CUR",PLabel,0)-1,1,1)</f>
        <v>CHF</v>
      </c>
      <c r="V229" s="1562">
        <f ca="1">(Valori[[#This Row],[Last]]+Valori[[#This Row],[Acc. Int]])/Valori[[#This Row],[Pr.Amt]]/IF(Valori[[#This Row],[P_Type]]="Pct",100,1)</f>
        <v>18.338000000000001</v>
      </c>
      <c r="W229" s="1591" cm="1">
        <f t="array" aca="1" ref="W229" ca="1">OFFSET(POrigin,MATCH(Valori[[#This Row],[LUKB_id]],PID,0),MATCH("NC2_PR",PLabel,0)-1,1,1)/100</f>
        <v>-2.5403911564625799E-2</v>
      </c>
      <c r="X229" s="1592" cm="1">
        <f t="array" aca="1" ref="X229" ca="1">OFFSET(POrigin,MATCH(Valori[[#This Row],[LUKB_id]],PID,0),MATCH("LVAL",PLabel,0)-1,1,1)</f>
        <v>18.338000000000001</v>
      </c>
      <c r="Y229" s="1593" cm="1">
        <f t="array" aca="1" ref="Y229" ca="1">OFFSET(POrigin,MATCH(Valori[[#This Row],[LUKB_id]],PID,0),MATCH("LVAL:datetime",PLabel,0)-1,1,1)</f>
        <v>46084.73300925926</v>
      </c>
      <c r="Z229" s="1594" cm="1">
        <f t="array" aca="1" ref="Z229" ca="1">OFFSET(POrigin,MATCH(Valori[[#This Row],[LUKB_id]],PID,0),MATCH("BID:volume",PLabel,0)-1,1,1)</f>
        <v>140</v>
      </c>
      <c r="AA229" s="1595" cm="1">
        <f t="array" aca="1" ref="AA229" ca="1">OFFSET(POrigin,MATCH(Valori[[#This Row],[LUKB_id]],PID,0),MATCH("BID",PLabel,0)-1,1,1)</f>
        <v>17.5</v>
      </c>
      <c r="AB229" s="1595" cm="1">
        <f t="array" aca="1" ref="AB229" ca="1">OFFSET(POrigin,MATCH(Valori[[#This Row],[LUKB_id]],PID,0),MATCH("ASK",PLabel,0)-1,1,1)</f>
        <v>19</v>
      </c>
      <c r="AC229" s="1594" cm="1">
        <f t="array" aca="1" ref="AC229" ca="1">OFFSET(POrigin,MATCH(Valori[[#This Row],[LUKB_id]],PID,0),MATCH("ASK:volume",PLabel,0)-1,1,1)</f>
        <v>2623</v>
      </c>
      <c r="AD229" s="1596" cm="1">
        <f t="array" aca="1" ref="AD229" ca="1">OFFSET(POrigin,MATCH(Valori[[#This Row],[LUKB_id]],PID,0),MATCH("BID-ASK Spread %",PLabel,0)-1,1,1)</f>
        <v>5.5555555555555552E-2</v>
      </c>
      <c r="AE229" s="1597" t="str" cm="1">
        <f t="array" aca="1" ref="AE229" ca="1">IF(OFFSET(POrigin,MATCH(Valori[[#This Row],[LUKB_id]],PID,0),MATCH("MATURITY",PLabel,0)-1,1,1)&gt;0,OFFSET(POrigin,MATCH(Valori[[#This Row],[LUKB_id]],PID,0),MATCH("MATURITY",PLabel,0)-1,1,1),"")</f>
        <v/>
      </c>
      <c r="AF229" s="1598" cm="1">
        <f t="array" aca="1" ref="AF229" ca="1">OFFSET(POrigin,MATCH(Valori[[#This Row],[LUKB_id]],PID,0),MATCH("ACCINT",PLabel,0)-1,1,1)</f>
        <v>0</v>
      </c>
      <c r="AG229" s="1594" cm="1">
        <f t="array" aca="1" ref="AG229" ca="1">OFFSET(POrigin,MATCH(Valori[[#This Row],[LUKB_id]],PID,0),MATCH("DENOM",PLabel,0)-1,1,1)</f>
        <v>0</v>
      </c>
      <c r="AH229" s="1599" cm="1">
        <f t="array" aca="1" ref="AH229" ca="1">(OFFSET(POrigin,MATCH(Valori[[#This Row],[LUKB_id]],PID,0),MATCH("YIELD",PLabel,0)-1,1,1)+OFFSET(POrigin,MATCH(Valori[[#This Row],[LUKB_id]],PID,0),MATCH("YLDEQ",PLabel,0)-1,1,1))/100</f>
        <v>0</v>
      </c>
      <c r="AI229" s="1600">
        <f ca="1">OFFSET(POrigin,MATCH(Valori[[#This Row],[LUKB_id]],PID,0),MATCH("DIVIDEND",PLabel,0)-1,1,1)</f>
        <v>0</v>
      </c>
      <c r="AJ229" s="1601">
        <f ca="1">OFFSET(POrigin,MATCH(Valori[[#This Row],[LUKB_id]],PID,0),MATCH("DIVIDEND:datetime",PLabel,0)-1,1,1)</f>
        <v>0</v>
      </c>
      <c r="AK229" s="1602">
        <f ca="1">OFFSET(POrigin,MATCH(Valori[[#This Row],[LUKB_id]],PID,0),MATCH("INTEREST",PLabel,0)-1,1,1)</f>
        <v>0</v>
      </c>
      <c r="AL229" s="1603">
        <f ca="1">OFFSET(POrigin,MATCH(Valori[[#This Row],[LUKB_id]],PID,0),MATCH("4W_PERF_PR",PLabel,0)-1,1,1)/100</f>
        <v>1.2589729999999999E-2</v>
      </c>
      <c r="AM229" s="1603">
        <f ca="1">OFFSET(POrigin,MATCH(Valori[[#This Row],[LUKB_id]],PID,0),MATCH("12W_PERF_PR",PLabel,0)-1,1,1)/100</f>
        <v>8.0740219999999988E-2</v>
      </c>
      <c r="AN229" s="1603">
        <f ca="1">OFFSET(POrigin,MATCH(Valori[[#This Row],[LUKB_id]],PID,0),MATCH("YTD_PERF_PR",PLabel,0)-1,1,1)/100</f>
        <v>7.7293026451391189E-2</v>
      </c>
      <c r="AO229" s="1591"/>
      <c r="AP229" s="1591"/>
      <c r="AQ229" s="1591"/>
      <c r="AR229" s="1591"/>
      <c r="AS229" s="1890" t="s">
        <v>1544</v>
      </c>
      <c r="AT229" s="1890" t="s">
        <v>1545</v>
      </c>
      <c r="AU229" s="610" t="s">
        <v>1546</v>
      </c>
      <c r="AV229" s="1891" t="s">
        <v>1547</v>
      </c>
      <c r="AW229" s="1604" t="str">
        <f>"https://boersenundmaerkte.lukb.ch/lukb/details/"&amp;Valori[[#This Row],[LUKB_id]]</f>
        <v>https://boersenundmaerkte.lukb.ch/lukb/details/26749332,4,1</v>
      </c>
      <c r="AX229" s="1605" t="str">
        <f>"https://www.zonebourse.com/mods_a/charts/TV/inc_dyna_graph.php?c="&amp;Valori[[#This Row],[MS_Code]]&amp;"&amp;style=TradingView.CANDLES&amp;interval=(null)&amp;mobile=(null)&amp;showAT=1"</f>
        <v>https://www.zonebourse.com/mods_a/charts/TV/inc_dyna_graph.php?c=109048110&amp;style=TradingView.CANDLES&amp;interval=(null)&amp;mobile=(null)&amp;showAT=1</v>
      </c>
      <c r="AY229" s="142"/>
      <c r="AZ229" s="142"/>
      <c r="BA229" s="142"/>
      <c r="BB229" s="142"/>
    </row>
    <row r="230" spans="1:54" ht="15" customHeight="1" x14ac:dyDescent="0.2">
      <c r="A230" s="142" t="s">
        <v>1548</v>
      </c>
      <c r="B230" s="142" t="str" cm="1">
        <f t="array" aca="1" ref="B230" ca="1">OFFSET(POrigin,MATCH(Valori[[#This Row],[smo_id]],Posizioni[smo_id],0),MATCH("LUKB_id",PIntestazioni,0)-1,1,1)</f>
        <v>30186748,351,814</v>
      </c>
      <c r="C230" s="1668" t="str">
        <f ca="1">HYPERLINK("https://boersenundmaerkte.lukb.ch/lukb/details/"&amp;Valori[[#This Row],[LUKB_id]],"è")</f>
        <v>è</v>
      </c>
      <c r="D230" s="142" t="str" cm="1">
        <f t="array" aca="1" ref="D230" ca="1">OFFSET(POrigin,MATCH(Valori[[#This Row],[LUKB_id]],PID,0),MATCH("SC_GROUPED",PIntestazioni,0)-1,1,1)</f>
        <v>ETF</v>
      </c>
      <c r="E230" s="413" t="str" cm="1">
        <f t="array" aca="1" ref="E230" ca="1">OFFSET(POrigin,MATCH(Valori[[#This Row],[LUKB_id]],PID,0),MATCH("isin",PIntestazioni,0)-1,1,1)</f>
        <v>IE00BYNQMK61</v>
      </c>
      <c r="F230" s="34" t="str" cm="1">
        <f t="array" aca="1" ref="F230" ca="1">OFFSET(POrigin,MATCH(Valori[[#This Row],[LUKB_id]],PID,0),MATCH("NSIN_CH",PLabel,0)-1,1,1)</f>
        <v>30186748</v>
      </c>
      <c r="G230" s="95" t="str" cm="1">
        <f t="array" aca="1" ref="G230" ca="1">IF(OFFSET(POrigin,MATCH(Valori[[#This Row],[LUKB_id]],PID,0),MATCH("INSTRUNIT",PLabel,0)-1,1,1)="Nominal","Pct","Unit")</f>
        <v>Unit</v>
      </c>
      <c r="H230" s="612">
        <f ca="1">MAX(OFFSET(POrigin,MATCH(Valori[[#This Row],[LUKB_id]],PID,0),MATCH("PRICINGAMT",PLabel,0)-1,1,1),1)</f>
        <v>1</v>
      </c>
      <c r="I230" s="615" t="str" cm="1">
        <f t="array" aca="1" ref="I230" ca="1">OFFSET(POrigin,MATCH(Valori[[#This Row],[LUKB_id]],PID,0),MATCH("M_NAME",PLabel,0)-1,1,1)</f>
        <v>UBS (Irl) ETF plc - UBS MSCI United Kingdom IMI Socially Responsible UCITS ETF</v>
      </c>
      <c r="J230" s="142" t="s">
        <v>843</v>
      </c>
      <c r="M230" s="142" t="str" cm="1">
        <f t="array" aca="1" ref="M2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EUR UCITS ETF (EUR) A-acc</v>
      </c>
      <c r="N230" s="1563">
        <f ca="1">COUNTIF('CHF M'!smo_id,Valori[[#This Row],[smo_id]])+COUNTIF('CHF MA'!smo_id,Valori[[#This Row],[smo_id]])+COUNTIF('EUR MB'!smo_id,Valori[[#This Row],[smo_id]])+COUNTIF('EUR M'!smo_id,Valori[[#This Row],[smo_id]])+COUNTIF(AGCO!smo_id,Valori[[#This Row],[smo_id]])</f>
        <v>2</v>
      </c>
      <c r="O230" s="1590" cm="1">
        <f t="array" aca="1" ref="O230" ca="1">SUM(IF('CHF M'!smo_id=Valori[[#This Row],[smo_id]],'CHF M'!Posizione))+SUM(IF('CHF MA'!smo_id=Valori[[#This Row],[smo_id]],'CHF MA'!Posizione))+SUM(IF('EUR MB'!smo_id=Valori[[#This Row],[smo_id]],'EUR MB'!Posizione))+SUM(IF('EUR M'!smo_id=Valori[[#This Row],[smo_id]],'EUR M'!Posizione))+SUM(IF(AGCO!smo_id=Valori[[#This Row],[smo_id]],AGCO!Posizione))</f>
        <v>0</v>
      </c>
      <c r="P230" s="1661" t="str">
        <f ca="1">HYPERLINK(Valori[[#This Row],[P_Source]],"è")</f>
        <v>è</v>
      </c>
      <c r="Q230" s="1663" t="str">
        <f>HYPERLINK(Valori[[#This Row],[Info_W]],"i")</f>
        <v>i</v>
      </c>
      <c r="R230" s="1664" t="str">
        <f>HYPERLINK(Valori[[#This Row],[FN_W]],"")</f>
        <v></v>
      </c>
      <c r="S230" s="1665" t="str">
        <f>HYPERLINK(Valori[[#This Row],[MS_Link]],"")</f>
        <v></v>
      </c>
      <c r="T230" s="1665" t="str">
        <f>HYPERLINK(Valori[[#This Row],[C_source]],"")</f>
        <v></v>
      </c>
      <c r="U230" s="142" t="str" cm="1">
        <f t="array" aca="1" ref="U230" ca="1">OFFSET(POrigin,MATCH(Valori[[#This Row],[LUKB_id]],PID,0),MATCH("M_CUR",PLabel,0)-1,1,1)</f>
        <v>EUR</v>
      </c>
      <c r="V230" s="1562">
        <f ca="1">(Valori[[#This Row],[Last]]+Valori[[#This Row],[Acc. Int]])/Valori[[#This Row],[Pr.Amt]]/IF(Valori[[#This Row],[P_Type]]="Pct",100,1)</f>
        <v>24.03</v>
      </c>
      <c r="W230" s="1591" cm="1">
        <f t="array" aca="1" ref="W230" ca="1">OFFSET(POrigin,MATCH(Valori[[#This Row],[LUKB_id]],PID,0),MATCH("NC2_PR",PLabel,0)-1,1,1)/100</f>
        <v>-2.9090909090909004E-2</v>
      </c>
      <c r="X230" s="1592" cm="1">
        <f t="array" aca="1" ref="X230" ca="1">OFFSET(POrigin,MATCH(Valori[[#This Row],[LUKB_id]],PID,0),MATCH("LVAL",PLabel,0)-1,1,1)</f>
        <v>24.03</v>
      </c>
      <c r="Y230" s="1593" cm="1">
        <f t="array" aca="1" ref="Y230" ca="1">OFFSET(POrigin,MATCH(Valori[[#This Row],[LUKB_id]],PID,0),MATCH("LVAL:datetime",PLabel,0)-1,1,1)</f>
        <v>46084.719236111108</v>
      </c>
      <c r="Z230" s="1594" cm="1">
        <f t="array" aca="1" ref="Z230" ca="1">OFFSET(POrigin,MATCH(Valori[[#This Row],[LUKB_id]],PID,0),MATCH("BID:volume",PLabel,0)-1,1,1)</f>
        <v>5199</v>
      </c>
      <c r="AA230" s="1595" cm="1">
        <f t="array" aca="1" ref="AA230" ca="1">OFFSET(POrigin,MATCH(Valori[[#This Row],[LUKB_id]],PID,0),MATCH("BID",PLabel,0)-1,1,1)</f>
        <v>23.95</v>
      </c>
      <c r="AB230" s="1595" cm="1">
        <f t="array" aca="1" ref="AB230" ca="1">OFFSET(POrigin,MATCH(Valori[[#This Row],[LUKB_id]],PID,0),MATCH("ASK",PLabel,0)-1,1,1)</f>
        <v>24.11</v>
      </c>
      <c r="AC230" s="1594" cm="1">
        <f t="array" aca="1" ref="AC230" ca="1">OFFSET(POrigin,MATCH(Valori[[#This Row],[LUKB_id]],PID,0),MATCH("ASK:volume",PLabel,0)-1,1,1)</f>
        <v>5199</v>
      </c>
      <c r="AD230" s="1596" cm="1">
        <f t="array" aca="1" ref="AD230" ca="1">OFFSET(POrigin,MATCH(Valori[[#This Row],[LUKB_id]],PID,0),MATCH("BID-ASK Spread %",PLabel,0)-1,1,1)</f>
        <v>4.4438272462158082E-3</v>
      </c>
      <c r="AE230" s="1597" t="str" cm="1">
        <f t="array" aca="1" ref="AE230" ca="1">IF(OFFSET(POrigin,MATCH(Valori[[#This Row],[LUKB_id]],PID,0),MATCH("MATURITY",PLabel,0)-1,1,1)&gt;0,OFFSET(POrigin,MATCH(Valori[[#This Row],[LUKB_id]],PID,0),MATCH("MATURITY",PLabel,0)-1,1,1),"")</f>
        <v/>
      </c>
      <c r="AF230" s="1598" cm="1">
        <f t="array" aca="1" ref="AF230" ca="1">OFFSET(POrigin,MATCH(Valori[[#This Row],[LUKB_id]],PID,0),MATCH("ACCINT",PLabel,0)-1,1,1)</f>
        <v>0</v>
      </c>
      <c r="AG230" s="1594" cm="1">
        <f t="array" aca="1" ref="AG230" ca="1">OFFSET(POrigin,MATCH(Valori[[#This Row],[LUKB_id]],PID,0),MATCH("DENOM",PLabel,0)-1,1,1)</f>
        <v>0</v>
      </c>
      <c r="AH230" s="1599" cm="1">
        <f t="array" aca="1" ref="AH230" ca="1">(OFFSET(POrigin,MATCH(Valori[[#This Row],[LUKB_id]],PID,0),MATCH("YIELD",PLabel,0)-1,1,1)+OFFSET(POrigin,MATCH(Valori[[#This Row],[LUKB_id]],PID,0),MATCH("YLDEQ",PLabel,0)-1,1,1))/100</f>
        <v>0</v>
      </c>
      <c r="AI230" s="1600">
        <f ca="1">OFFSET(POrigin,MATCH(Valori[[#This Row],[LUKB_id]],PID,0),MATCH("DIVIDEND",PLabel,0)-1,1,1)</f>
        <v>0</v>
      </c>
      <c r="AJ230" s="1601">
        <f ca="1">OFFSET(POrigin,MATCH(Valori[[#This Row],[LUKB_id]],PID,0),MATCH("DIVIDEND:datetime",PLabel,0)-1,1,1)</f>
        <v>0</v>
      </c>
      <c r="AK230" s="1602">
        <f ca="1">OFFSET(POrigin,MATCH(Valori[[#This Row],[LUKB_id]],PID,0),MATCH("INTEREST",PLabel,0)-1,1,1)</f>
        <v>0</v>
      </c>
      <c r="AL230" s="1603">
        <f ca="1">OFFSET(POrigin,MATCH(Valori[[#This Row],[LUKB_id]],PID,0),MATCH("4W_PERF_PR",PLabel,0)-1,1,1)/100</f>
        <v>-4.9689399999999998E-3</v>
      </c>
      <c r="AM230" s="1603">
        <f ca="1">OFFSET(POrigin,MATCH(Valori[[#This Row],[LUKB_id]],PID,0),MATCH("12W_PERF_PR",PLabel,0)-1,1,1)/100</f>
        <v>2.4515029999999997E-2</v>
      </c>
      <c r="AN230" s="1603">
        <f ca="1">OFFSET(POrigin,MATCH(Valori[[#This Row],[LUKB_id]],PID,0),MATCH("YTD_PERF_PR",PLabel,0)-1,1,1)/100</f>
        <v>2.3784901758014499E-2</v>
      </c>
      <c r="AO230" s="1591"/>
      <c r="AP230" s="1591"/>
      <c r="AQ230" s="1591"/>
      <c r="AR230" s="1591"/>
      <c r="AS230" s="1890" t="s">
        <v>1549</v>
      </c>
      <c r="AT230" s="1890" t="s">
        <v>1550</v>
      </c>
      <c r="AU230" s="610" t="s">
        <v>1551</v>
      </c>
      <c r="AV230" s="1891" t="s">
        <v>1552</v>
      </c>
      <c r="AW230" s="1604" t="str">
        <f ca="1">"https://boersenundmaerkte.lukb.ch/lukb/details/"&amp;Valori[[#This Row],[LUKB_id]]</f>
        <v>https://boersenundmaerkte.lukb.ch/lukb/details/30186748,351,814</v>
      </c>
      <c r="AX230" s="1605" t="str">
        <f>"https://www.marketscreener.com/mods_a/charts/TV/inc_dyna_graph.php?c="&amp;Valori[[#This Row],[MS_Code]]&amp;"&amp;style=TradingView.CANDLES&amp;interval=(null)&amp;mobile=(null)&amp;showAT=1"</f>
        <v>https://www.marketscreener.com/mods_a/charts/TV/inc_dyna_graph.php?c=113036945&amp;style=TradingView.CANDLES&amp;interval=(null)&amp;mobile=(null)&amp;showAT=1</v>
      </c>
      <c r="AY230" s="142"/>
      <c r="AZ230" s="142"/>
      <c r="BA230" s="142"/>
      <c r="BB230" s="142"/>
    </row>
    <row r="231" spans="1:54" ht="15" customHeight="1" x14ac:dyDescent="0.2">
      <c r="A231" s="142" t="s">
        <v>1553</v>
      </c>
      <c r="B231" s="142" t="str" cm="1">
        <f t="array" aca="1" ref="B231" ca="1">OFFSET(POrigin,MATCH(Valori[[#This Row],[smo_id]],Posizioni[smo_id],0),MATCH("LUKB_id",PIntestazioni,0)-1,1,1)</f>
        <v>21966875,361,402</v>
      </c>
      <c r="C231" s="1668" t="str">
        <f ca="1">HYPERLINK("https://boersenundmaerkte.lukb.ch/lukb/details/"&amp;Valori[[#This Row],[LUKB_id]],"è")</f>
        <v>è</v>
      </c>
      <c r="D231" s="142" t="str" cm="1">
        <f t="array" aca="1" ref="D231" ca="1">OFFSET(POrigin,MATCH(Valori[[#This Row],[LUKB_id]],PID,0),MATCH("SC_GROUPED",PIntestazioni,0)-1,1,1)</f>
        <v>ETF</v>
      </c>
      <c r="E231" s="413" t="str" cm="1">
        <f t="array" aca="1" ref="E231" ca="1">OFFSET(POrigin,MATCH(Valori[[#This Row],[LUKB_id]],PID,0),MATCH("isin",PIntestazioni,0)-1,1,1)</f>
        <v>LU0950670850</v>
      </c>
      <c r="F231" s="34" t="str" cm="1">
        <f t="array" aca="1" ref="F231" ca="1">OFFSET(POrigin,MATCH(Valori[[#This Row],[LUKB_id]],PID,0),MATCH("NSIN_CH",PLabel,0)-1,1,1)</f>
        <v>21966875</v>
      </c>
      <c r="G231" s="95" t="str" cm="1">
        <f t="array" aca="1" ref="G231" ca="1">IF(OFFSET(POrigin,MATCH(Valori[[#This Row],[LUKB_id]],PID,0),MATCH("INSTRUNIT",PLabel,0)-1,1,1)="Nominal","Pct","Unit")</f>
        <v>Unit</v>
      </c>
      <c r="H231" s="612">
        <f ca="1">MAX(OFFSET(POrigin,MATCH(Valori[[#This Row],[LUKB_id]],PID,0),MATCH("PRICINGAMT",PLabel,0)-1,1,1),1)</f>
        <v>1</v>
      </c>
      <c r="I231" s="615" t="str" cm="1">
        <f t="array" aca="1" ref="I231" ca="1">OFFSET(POrigin,MATCH(Valori[[#This Row],[LUKB_id]],PID,0),MATCH("M_NAME",PLabel,0)-1,1,1)</f>
        <v>UBS (Lux) Fund Solutions SICAV - UBS MSCI United Kingdom UCITS ETF</v>
      </c>
      <c r="J231" s="142" t="s">
        <v>763</v>
      </c>
      <c r="M231" s="142" t="str" cm="1">
        <f t="array" aca="1" ref="M2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UCITS ETF (GBP) A-acc</v>
      </c>
      <c r="N231" s="1563">
        <f ca="1">COUNTIF('CHF M'!smo_id,Valori[[#This Row],[smo_id]])+COUNTIF('CHF MA'!smo_id,Valori[[#This Row],[smo_id]])+COUNTIF('EUR MB'!smo_id,Valori[[#This Row],[smo_id]])+COUNTIF('EUR M'!smo_id,Valori[[#This Row],[smo_id]])+COUNTIF(AGCO!smo_id,Valori[[#This Row],[smo_id]])</f>
        <v>5</v>
      </c>
      <c r="O231" s="1590" cm="1">
        <f t="array" aca="1" ref="O231" ca="1">SUM(IF('CHF M'!smo_id=Valori[[#This Row],[smo_id]],'CHF M'!Posizione))+SUM(IF('CHF MA'!smo_id=Valori[[#This Row],[smo_id]],'CHF MA'!Posizione))+SUM(IF('EUR MB'!smo_id=Valori[[#This Row],[smo_id]],'EUR MB'!Posizione))+SUM(IF('EUR M'!smo_id=Valori[[#This Row],[smo_id]],'EUR M'!Posizione))+SUM(IF(AGCO!smo_id=Valori[[#This Row],[smo_id]],AGCO!Posizione))</f>
        <v>0</v>
      </c>
      <c r="P231" s="1661" t="str">
        <f ca="1">HYPERLINK(Valori[[#This Row],[P_Source]],"è")</f>
        <v>è</v>
      </c>
      <c r="Q231" s="1663" t="str">
        <f>HYPERLINK(Valori[[#This Row],[Info_W]],"i")</f>
        <v>i</v>
      </c>
      <c r="R231" s="1664" t="str">
        <f>HYPERLINK(Valori[[#This Row],[FN_W]],"")</f>
        <v></v>
      </c>
      <c r="S231" s="1665" t="str">
        <f>HYPERLINK(Valori[[#This Row],[MS_Link]],"")</f>
        <v></v>
      </c>
      <c r="T231" s="1665" t="str">
        <f>HYPERLINK(Valori[[#This Row],[C_source]],"")</f>
        <v></v>
      </c>
      <c r="U231" s="142" t="str" cm="1">
        <f t="array" aca="1" ref="U231" ca="1">OFFSET(POrigin,MATCH(Valori[[#This Row],[LUKB_id]],PID,0),MATCH("M_CUR",PLabel,0)-1,1,1)</f>
        <v>GBP</v>
      </c>
      <c r="V231" s="1562">
        <f ca="1">(Valori[[#This Row],[Last]]+Valori[[#This Row],[Acc. Int]])/Valori[[#This Row],[Pr.Amt]]/IF(Valori[[#This Row],[P_Type]]="Pct",100,1)</f>
        <v>42.405000000000001</v>
      </c>
      <c r="W231" s="1591" cm="1">
        <f t="array" aca="1" ref="W231" ca="1">OFFSET(POrigin,MATCH(Valori[[#This Row],[LUKB_id]],PID,0),MATCH("NC2_PR",PLabel,0)-1,1,1)/100</f>
        <v>-2.6827924909349599E-2</v>
      </c>
      <c r="X231" s="1592" cm="1">
        <f t="array" aca="1" ref="X231" ca="1">OFFSET(POrigin,MATCH(Valori[[#This Row],[LUKB_id]],PID,0),MATCH("LVAL",PLabel,0)-1,1,1)</f>
        <v>42.405000000000001</v>
      </c>
      <c r="Y231" s="1593" cm="1">
        <f t="array" aca="1" ref="Y231" ca="1">OFFSET(POrigin,MATCH(Valori[[#This Row],[LUKB_id]],PID,0),MATCH("LVAL:datetime",PLabel,0)-1,1,1)</f>
        <v>46084.732719907406</v>
      </c>
      <c r="Z231" s="1594" cm="1">
        <f t="array" aca="1" ref="Z231" ca="1">OFFSET(POrigin,MATCH(Valori[[#This Row],[LUKB_id]],PID,0),MATCH("BID:volume",PLabel,0)-1,1,1)</f>
        <v>1072</v>
      </c>
      <c r="AA231" s="1595" cm="1">
        <f t="array" aca="1" ref="AA231" ca="1">OFFSET(POrigin,MATCH(Valori[[#This Row],[LUKB_id]],PID,0),MATCH("BID",PLabel,0)-1,1,1)</f>
        <v>42.134999999999998</v>
      </c>
      <c r="AB231" s="1595" cm="1">
        <f t="array" aca="1" ref="AB231" ca="1">OFFSET(POrigin,MATCH(Valori[[#This Row],[LUKB_id]],PID,0),MATCH("ASK",PLabel,0)-1,1,1)</f>
        <v>42.675000000000004</v>
      </c>
      <c r="AC231" s="1594" cm="1">
        <f t="array" aca="1" ref="AC231" ca="1">OFFSET(POrigin,MATCH(Valori[[#This Row],[LUKB_id]],PID,0),MATCH("ASK:volume",PLabel,0)-1,1,1)</f>
        <v>1072</v>
      </c>
      <c r="AD231" s="1596" cm="1">
        <f t="array" aca="1" ref="AD231" ca="1">OFFSET(POrigin,MATCH(Valori[[#This Row],[LUKB_id]],PID,0),MATCH("BID-ASK Spread %",PLabel,0)-1,1,1)</f>
        <v>8.5076214108473162E-3</v>
      </c>
      <c r="AE231" s="1597" t="str" cm="1">
        <f t="array" aca="1" ref="AE231" ca="1">IF(OFFSET(POrigin,MATCH(Valori[[#This Row],[LUKB_id]],PID,0),MATCH("MATURITY",PLabel,0)-1,1,1)&gt;0,OFFSET(POrigin,MATCH(Valori[[#This Row],[LUKB_id]],PID,0),MATCH("MATURITY",PLabel,0)-1,1,1),"")</f>
        <v/>
      </c>
      <c r="AF231" s="1598" cm="1">
        <f t="array" aca="1" ref="AF231" ca="1">OFFSET(POrigin,MATCH(Valori[[#This Row],[LUKB_id]],PID,0),MATCH("ACCINT",PLabel,0)-1,1,1)</f>
        <v>0</v>
      </c>
      <c r="AG231" s="1594" cm="1">
        <f t="array" aca="1" ref="AG231" ca="1">OFFSET(POrigin,MATCH(Valori[[#This Row],[LUKB_id]],PID,0),MATCH("DENOM",PLabel,0)-1,1,1)</f>
        <v>0</v>
      </c>
      <c r="AH231" s="1599" cm="1">
        <f t="array" aca="1" ref="AH231" ca="1">(OFFSET(POrigin,MATCH(Valori[[#This Row],[LUKB_id]],PID,0),MATCH("YIELD",PLabel,0)-1,1,1)+OFFSET(POrigin,MATCH(Valori[[#This Row],[LUKB_id]],PID,0),MATCH("YLDEQ",PLabel,0)-1,1,1))/100</f>
        <v>0</v>
      </c>
      <c r="AI231" s="1600">
        <f ca="1">OFFSET(POrigin,MATCH(Valori[[#This Row],[LUKB_id]],PID,0),MATCH("DIVIDEND",PLabel,0)-1,1,1)</f>
        <v>0</v>
      </c>
      <c r="AJ231" s="1601">
        <f ca="1">OFFSET(POrigin,MATCH(Valori[[#This Row],[LUKB_id]],PID,0),MATCH("DIVIDEND:datetime",PLabel,0)-1,1,1)</f>
        <v>0</v>
      </c>
      <c r="AK231" s="1602">
        <f ca="1">OFFSET(POrigin,MATCH(Valori[[#This Row],[LUKB_id]],PID,0),MATCH("INTEREST",PLabel,0)-1,1,1)</f>
        <v>0</v>
      </c>
      <c r="AL231" s="1603">
        <f ca="1">OFFSET(POrigin,MATCH(Valori[[#This Row],[LUKB_id]],PID,0),MATCH("4W_PERF_PR",PLabel,0)-1,1,1)/100</f>
        <v>2.291642E-2</v>
      </c>
      <c r="AM231" s="1603">
        <f ca="1">OFFSET(POrigin,MATCH(Valori[[#This Row],[LUKB_id]],PID,0),MATCH("12W_PERF_PR",PLabel,0)-1,1,1)/100</f>
        <v>9.0383129999999992E-2</v>
      </c>
      <c r="AN231" s="1603">
        <f ca="1">OFFSET(POrigin,MATCH(Valori[[#This Row],[LUKB_id]],PID,0),MATCH("YTD_PERF_PR",PLabel,0)-1,1,1)/100</f>
        <v>8.8669581511555406E-2</v>
      </c>
      <c r="AO231" s="1591"/>
      <c r="AP231" s="1591"/>
      <c r="AQ231" s="1591"/>
      <c r="AR231" s="1591"/>
      <c r="AS231" s="1890" t="s">
        <v>1554</v>
      </c>
      <c r="AT231" s="1890" t="s">
        <v>1555</v>
      </c>
      <c r="AU231" s="610" t="s">
        <v>1556</v>
      </c>
      <c r="AV231" s="1891" t="s">
        <v>1557</v>
      </c>
      <c r="AW231" s="1604" t="str">
        <f ca="1">"https://boersenundmaerkte.lukb.ch/lukb/details/"&amp;Valori[[#This Row],[LUKB_id]]</f>
        <v>https://boersenundmaerkte.lukb.ch/lukb/details/21966875,361,402</v>
      </c>
      <c r="AX231" s="1605" t="str">
        <f>"https://www.marketscreener.com/mods_a/charts/TV/inc_dyna_graph.php?c="&amp;Valori[[#This Row],[MS_Code]]&amp;"&amp;style=TradingView.CANDLES&amp;interval=(null)&amp;mobile=(null)&amp;showAT=1"</f>
        <v>https://www.marketscreener.com/mods_a/charts/TV/inc_dyna_graph.php?c=41713411&amp;style=TradingView.CANDLES&amp;interval=(null)&amp;mobile=(null)&amp;showAT=1</v>
      </c>
      <c r="AY231" s="142"/>
      <c r="AZ231" s="142"/>
      <c r="BA231" s="142"/>
      <c r="BB231" s="142"/>
    </row>
    <row r="232" spans="1:54" ht="15" customHeight="1" x14ac:dyDescent="0.2">
      <c r="A232" s="142" t="s">
        <v>1558</v>
      </c>
      <c r="B232" s="142" t="str" cm="1">
        <f t="array" aca="1" ref="B232" ca="1">OFFSET(POrigin,MATCH(Valori[[#This Row],[smo_id]],Posizioni[smo_id],0),MATCH("LUKB_id",PIntestazioni,0)-1,1,1)</f>
        <v>10602719,349,333</v>
      </c>
      <c r="C232" s="1668" t="str">
        <f ca="1">HYPERLINK("https://boersenundmaerkte.lukb.ch/lukb/details/"&amp;Valori[[#This Row],[LUKB_id]],"è")</f>
        <v>è</v>
      </c>
      <c r="D232" s="142" t="str" cm="1">
        <f t="array" aca="1" ref="D232" ca="1">OFFSET(POrigin,MATCH(Valori[[#This Row],[LUKB_id]],PID,0),MATCH("SC_GROUPED",PIntestazioni,0)-1,1,1)</f>
        <v>ETF</v>
      </c>
      <c r="E232" s="413" t="str" cm="1">
        <f t="array" aca="1" ref="E232" ca="1">OFFSET(POrigin,MATCH(Valori[[#This Row],[LUKB_id]],PID,0),MATCH("isin",PIntestazioni,0)-1,1,1)</f>
        <v>CH0106027193</v>
      </c>
      <c r="F232" s="34" t="str" cm="1">
        <f t="array" aca="1" ref="F232" ca="1">OFFSET(POrigin,MATCH(Valori[[#This Row],[LUKB_id]],PID,0),MATCH("NSIN_CH",PLabel,0)-1,1,1)</f>
        <v>10602719</v>
      </c>
      <c r="G232" s="95" t="str" cm="1">
        <f t="array" aca="1" ref="G232" ca="1">IF(OFFSET(POrigin,MATCH(Valori[[#This Row],[LUKB_id]],PID,0),MATCH("INSTRUNIT",PLabel,0)-1,1,1)="Nominal","Pct","Unit")</f>
        <v>Unit</v>
      </c>
      <c r="H232" s="612">
        <f ca="1">MAX(OFFSET(POrigin,MATCH(Valori[[#This Row],[LUKB_id]],PID,0),MATCH("PRICINGAMT",PLabel,0)-1,1,1),1)</f>
        <v>1</v>
      </c>
      <c r="I232" s="615" t="str" cm="1">
        <f t="array" aca="1" ref="I232" ca="1">OFFSET(POrigin,MATCH(Valori[[#This Row],[LUKB_id]],PID,0),MATCH("M_NAME",PLabel,0)-1,1,1)</f>
        <v>UBS ETF (CH) - UBS Gold ETF</v>
      </c>
      <c r="J232" s="142" t="s">
        <v>650</v>
      </c>
      <c r="M232" s="142" t="str" cm="1">
        <f t="array" aca="1" ref="M2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 (USD) A-dis</v>
      </c>
      <c r="N232" s="1563">
        <f ca="1">COUNTIF('CHF M'!smo_id,Valori[[#This Row],[smo_id]])+COUNTIF('CHF MA'!smo_id,Valori[[#This Row],[smo_id]])+COUNTIF('EUR MB'!smo_id,Valori[[#This Row],[smo_id]])+COUNTIF('EUR M'!smo_id,Valori[[#This Row],[smo_id]])+COUNTIF(AGCO!smo_id,Valori[[#This Row],[smo_id]])</f>
        <v>6</v>
      </c>
      <c r="O232" s="1590" cm="1">
        <f t="array" aca="1" ref="O232" ca="1">SUM(IF('CHF M'!smo_id=Valori[[#This Row],[smo_id]],'CHF M'!Posizione))+SUM(IF('CHF MA'!smo_id=Valori[[#This Row],[smo_id]],'CHF MA'!Posizione))+SUM(IF('EUR MB'!smo_id=Valori[[#This Row],[smo_id]],'EUR MB'!Posizione))+SUM(IF('EUR M'!smo_id=Valori[[#This Row],[smo_id]],'EUR M'!Posizione))+SUM(IF(AGCO!smo_id=Valori[[#This Row],[smo_id]],AGCO!Posizione))</f>
        <v>1210</v>
      </c>
      <c r="P232" s="1661" t="str">
        <f ca="1">HYPERLINK(Valori[[#This Row],[P_Source]],"è")</f>
        <v>è</v>
      </c>
      <c r="Q232" s="1663" t="str">
        <f>HYPERLINK(Valori[[#This Row],[Info_W]],"i")</f>
        <v>i</v>
      </c>
      <c r="R232" s="1664" t="str">
        <f>HYPERLINK(Valori[[#This Row],[FN_W]],"")</f>
        <v></v>
      </c>
      <c r="S232" s="1665" t="str">
        <f>HYPERLINK(Valori[[#This Row],[MS_Link]],"")</f>
        <v></v>
      </c>
      <c r="T232" s="1665" t="str">
        <f>HYPERLINK(Valori[[#This Row],[C_source]],"")</f>
        <v></v>
      </c>
      <c r="U232" s="142" t="str" cm="1">
        <f t="array" aca="1" ref="U232" ca="1">OFFSET(POrigin,MATCH(Valori[[#This Row],[LUKB_id]],PID,0),MATCH("M_CUR",PLabel,0)-1,1,1)</f>
        <v>USD</v>
      </c>
      <c r="V232" s="1562">
        <f ca="1">(Valori[[#This Row],[Last]]+Valori[[#This Row],[Acc. Int]])/Valori[[#This Row],[Pr.Amt]]/IF(Valori[[#This Row],[P_Type]]="Pct",100,1)</f>
        <v>163.58000000000001</v>
      </c>
      <c r="W232" s="1591" cm="1">
        <f t="array" aca="1" ref="W232" ca="1">OFFSET(POrigin,MATCH(Valori[[#This Row],[LUKB_id]],PID,0),MATCH("NC2_PR",PLabel,0)-1,1,1)/100</f>
        <v>-3.4014408881540004E-2</v>
      </c>
      <c r="X232" s="1592" cm="1">
        <f t="array" aca="1" ref="X232" ca="1">OFFSET(POrigin,MATCH(Valori[[#This Row],[LUKB_id]],PID,0),MATCH("LVAL",PLabel,0)-1,1,1)</f>
        <v>163.58000000000001</v>
      </c>
      <c r="Y232" s="1593" cm="1">
        <f t="array" aca="1" ref="Y232" ca="1">OFFSET(POrigin,MATCH(Valori[[#This Row],[LUKB_id]],PID,0),MATCH("LVAL:datetime",PLabel,0)-1,1,1)</f>
        <v>46084.73300925926</v>
      </c>
      <c r="Z232" s="1594" cm="1">
        <f t="array" aca="1" ref="Z232" ca="1">OFFSET(POrigin,MATCH(Valori[[#This Row],[LUKB_id]],PID,0),MATCH("BID:volume",PLabel,0)-1,1,1)</f>
        <v>19</v>
      </c>
      <c r="AA232" s="1595" cm="1">
        <f t="array" aca="1" ref="AA232" ca="1">OFFSET(POrigin,MATCH(Valori[[#This Row],[LUKB_id]],PID,0),MATCH("BID",PLabel,0)-1,1,1)</f>
        <v>163.44</v>
      </c>
      <c r="AB232" s="1595" cm="1">
        <f t="array" aca="1" ref="AB232" ca="1">OFFSET(POrigin,MATCH(Valori[[#This Row],[LUKB_id]],PID,0),MATCH("ASK",PLabel,0)-1,1,1)</f>
        <v>163.58000000000001</v>
      </c>
      <c r="AC232" s="1594" cm="1">
        <f t="array" aca="1" ref="AC232" ca="1">OFFSET(POrigin,MATCH(Valori[[#This Row],[LUKB_id]],PID,0),MATCH("ASK:volume",PLabel,0)-1,1,1)</f>
        <v>19</v>
      </c>
      <c r="AD232" s="1596" cm="1">
        <f t="array" aca="1" ref="AD232" ca="1">OFFSET(POrigin,MATCH(Valori[[#This Row],[LUKB_id]],PID,0),MATCH("BID-ASK Spread %",PLabel,0)-1,1,1)</f>
        <v>5.7089263140731059E-4</v>
      </c>
      <c r="AE232" s="1597" t="str" cm="1">
        <f t="array" aca="1" ref="AE232" ca="1">IF(OFFSET(POrigin,MATCH(Valori[[#This Row],[LUKB_id]],PID,0),MATCH("MATURITY",PLabel,0)-1,1,1)&gt;0,OFFSET(POrigin,MATCH(Valori[[#This Row],[LUKB_id]],PID,0),MATCH("MATURITY",PLabel,0)-1,1,1),"")</f>
        <v/>
      </c>
      <c r="AF232" s="1598" cm="1">
        <f t="array" aca="1" ref="AF232" ca="1">OFFSET(POrigin,MATCH(Valori[[#This Row],[LUKB_id]],PID,0),MATCH("ACCINT",PLabel,0)-1,1,1)</f>
        <v>0</v>
      </c>
      <c r="AG232" s="1594" cm="1">
        <f t="array" aca="1" ref="AG232" ca="1">OFFSET(POrigin,MATCH(Valori[[#This Row],[LUKB_id]],PID,0),MATCH("DENOM",PLabel,0)-1,1,1)</f>
        <v>0</v>
      </c>
      <c r="AH232" s="1599" cm="1">
        <f t="array" aca="1" ref="AH232" ca="1">(OFFSET(POrigin,MATCH(Valori[[#This Row],[LUKB_id]],PID,0),MATCH("YIELD",PLabel,0)-1,1,1)+OFFSET(POrigin,MATCH(Valori[[#This Row],[LUKB_id]],PID,0),MATCH("YLDEQ",PLabel,0)-1,1,1))/100</f>
        <v>0</v>
      </c>
      <c r="AI232" s="1600">
        <f ca="1">OFFSET(POrigin,MATCH(Valori[[#This Row],[LUKB_id]],PID,0),MATCH("DIVIDEND",PLabel,0)-1,1,1)</f>
        <v>0</v>
      </c>
      <c r="AJ232" s="1601">
        <f ca="1">OFFSET(POrigin,MATCH(Valori[[#This Row],[LUKB_id]],PID,0),MATCH("DIVIDEND:datetime",PLabel,0)-1,1,1)</f>
        <v>0</v>
      </c>
      <c r="AK232" s="1602">
        <f ca="1">OFFSET(POrigin,MATCH(Valori[[#This Row],[LUKB_id]],PID,0),MATCH("INTEREST",PLabel,0)-1,1,1)</f>
        <v>0</v>
      </c>
      <c r="AL232" s="1603">
        <f ca="1">OFFSET(POrigin,MATCH(Valori[[#This Row],[LUKB_id]],PID,0),MATCH("4W_PERF_PR",PLabel,0)-1,1,1)/100</f>
        <v>2.699648E-2</v>
      </c>
      <c r="AM232" s="1603">
        <f ca="1">OFFSET(POrigin,MATCH(Valori[[#This Row],[LUKB_id]],PID,0),MATCH("12W_PERF_PR",PLabel,0)-1,1,1)/100</f>
        <v>0.21350148000000002</v>
      </c>
      <c r="AN232" s="1603">
        <f ca="1">OFFSET(POrigin,MATCH(Valori[[#This Row],[LUKB_id]],PID,0),MATCH("YTD_PERF_PR",PLabel,0)-1,1,1)/100</f>
        <v>0.211648540354895</v>
      </c>
      <c r="AO232" s="1591"/>
      <c r="AP232" s="1591"/>
      <c r="AQ232" s="1591"/>
      <c r="AR232" s="1591"/>
      <c r="AS232" s="1890" t="s">
        <v>1559</v>
      </c>
      <c r="AT232" s="1890" t="s">
        <v>1560</v>
      </c>
      <c r="AU232" s="610" t="s">
        <v>1561</v>
      </c>
      <c r="AV232" s="1891" t="s">
        <v>1562</v>
      </c>
      <c r="AW232" s="1604" t="str">
        <f ca="1">"https://boersenundmaerkte.lukb.ch/lukb/details/"&amp;Valori[[#This Row],[LUKB_id]]</f>
        <v>https://boersenundmaerkte.lukb.ch/lukb/details/10602719,349,333</v>
      </c>
      <c r="AX232" s="1605" t="str">
        <f>"https://www.zonebourse.com/mods_a/charts/TV/inc_dyna_graph.php?c="&amp;Valori[[#This Row],[MS_Code]]&amp;"&amp;style=TradingView.CANDLES&amp;interval=(null)&amp;mobile=(null)&amp;showAT=1"</f>
        <v>https://www.zonebourse.com/mods_a/charts/TV/inc_dyna_graph.php?c=30339648&amp;style=TradingView.CANDLES&amp;interval=(null)&amp;mobile=(null)&amp;showAT=1</v>
      </c>
      <c r="AY232" s="142"/>
      <c r="AZ232" s="142"/>
      <c r="BA232" s="142"/>
      <c r="BB232" s="142"/>
    </row>
    <row r="233" spans="1:54" ht="15" customHeight="1" x14ac:dyDescent="0.2">
      <c r="A233" s="142" t="s">
        <v>1563</v>
      </c>
      <c r="B233" s="142" t="str" cm="1">
        <f t="array" aca="1" ref="B233" ca="1">OFFSET(POrigin,MATCH(Valori[[#This Row],[smo_id]],Posizioni[smo_id],0),MATCH("LUKB_id",PIntestazioni,0)-1,1,1)</f>
        <v>10602712,4,1</v>
      </c>
      <c r="C233" s="1668" t="str">
        <f ca="1">HYPERLINK("https://boersenundmaerkte.lukb.ch/lukb/details/"&amp;Valori[[#This Row],[LUKB_id]],"è")</f>
        <v>è</v>
      </c>
      <c r="D233" s="142" t="str" cm="1">
        <f t="array" aca="1" ref="D233" ca="1">OFFSET(POrigin,MATCH(Valori[[#This Row],[LUKB_id]],PID,0),MATCH("SC_GROUPED",PIntestazioni,0)-1,1,1)</f>
        <v>ETF</v>
      </c>
      <c r="E233" s="413" t="str" cm="1">
        <f t="array" aca="1" ref="E233" ca="1">OFFSET(POrigin,MATCH(Valori[[#This Row],[LUKB_id]],PID,0),MATCH("isin",PIntestazioni,0)-1,1,1)</f>
        <v>CH0106027128</v>
      </c>
      <c r="F233" s="34" t="str" cm="1">
        <f t="array" aca="1" ref="F233" ca="1">OFFSET(POrigin,MATCH(Valori[[#This Row],[LUKB_id]],PID,0),MATCH("NSIN_CH",PLabel,0)-1,1,1)</f>
        <v>10602712</v>
      </c>
      <c r="G233" s="95" t="str" cm="1">
        <f t="array" aca="1" ref="G233" ca="1">IF(OFFSET(POrigin,MATCH(Valori[[#This Row],[LUKB_id]],PID,0),MATCH("INSTRUNIT",PLabel,0)-1,1,1)="Nominal","Pct","Unit")</f>
        <v>Unit</v>
      </c>
      <c r="H233" s="612">
        <f ca="1">MAX(OFFSET(POrigin,MATCH(Valori[[#This Row],[LUKB_id]],PID,0),MATCH("PRICINGAMT",PLabel,0)-1,1,1),1)</f>
        <v>1</v>
      </c>
      <c r="I233" s="615" t="str" cm="1">
        <f t="array" aca="1" ref="I233" ca="1">OFFSET(POrigin,MATCH(Valori[[#This Row],[LUKB_id]],PID,0),MATCH("M_NAME",PLabel,0)-1,1,1)</f>
        <v>UBS ETF (CH) - UBS Gold hCHF ETF</v>
      </c>
      <c r="J233" s="142" t="s">
        <v>396</v>
      </c>
      <c r="M233" s="142" t="str" cm="1">
        <f t="array" aca="1" ref="M2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(CHF) hedged - (CHF) A-dis</v>
      </c>
      <c r="N233" s="1563">
        <f ca="1">COUNTIF('CHF M'!smo_id,Valori[[#This Row],[smo_id]])+COUNTIF('CHF MA'!smo_id,Valori[[#This Row],[smo_id]])+COUNTIF('EUR MB'!smo_id,Valori[[#This Row],[smo_id]])+COUNTIF('EUR M'!smo_id,Valori[[#This Row],[smo_id]])+COUNTIF(AGCO!smo_id,Valori[[#This Row],[smo_id]])</f>
        <v>4</v>
      </c>
      <c r="O233" s="1590" cm="1">
        <f t="array" aca="1" ref="O233" ca="1">SUM(IF('CHF M'!smo_id=Valori[[#This Row],[smo_id]],'CHF M'!Posizione))+SUM(IF('CHF MA'!smo_id=Valori[[#This Row],[smo_id]],'CHF MA'!Posizione))+SUM(IF('EUR MB'!smo_id=Valori[[#This Row],[smo_id]],'EUR MB'!Posizione))+SUM(IF('EUR M'!smo_id=Valori[[#This Row],[smo_id]],'EUR M'!Posizione))+SUM(IF(AGCO!smo_id=Valori[[#This Row],[smo_id]],AGCO!Posizione))</f>
        <v>2405</v>
      </c>
      <c r="P233" s="1661" t="str">
        <f ca="1">HYPERLINK(Valori[[#This Row],[P_Source]],"è")</f>
        <v>è</v>
      </c>
      <c r="Q233" s="1663" t="str">
        <f>HYPERLINK(Valori[[#This Row],[Info_W]],"i")</f>
        <v>i</v>
      </c>
      <c r="R233" s="1664" t="str">
        <f>HYPERLINK(Valori[[#This Row],[FN_W]],"")</f>
        <v></v>
      </c>
      <c r="S233" s="1665" t="str">
        <f>HYPERLINK(Valori[[#This Row],[MS_Link]],"")</f>
        <v></v>
      </c>
      <c r="T233" s="1665" t="str">
        <f>HYPERLINK(Valori[[#This Row],[C_source]],"")</f>
        <v></v>
      </c>
      <c r="U233" s="142" t="str" cm="1">
        <f t="array" aca="1" ref="U233" ca="1">OFFSET(POrigin,MATCH(Valori[[#This Row],[LUKB_id]],PID,0),MATCH("M_CUR",PLabel,0)-1,1,1)</f>
        <v>CHF</v>
      </c>
      <c r="V233" s="1562">
        <f ca="1">(Valori[[#This Row],[Last]]+Valori[[#This Row],[Acc. Int]])/Valori[[#This Row],[Pr.Amt]]/IF(Valori[[#This Row],[P_Type]]="Pct",100,1)</f>
        <v>168.24</v>
      </c>
      <c r="W233" s="1591" cm="1">
        <f t="array" aca="1" ref="W233" ca="1">OFFSET(POrigin,MATCH(Valori[[#This Row],[LUKB_id]],PID,0),MATCH("NC2_PR",PLabel,0)-1,1,1)/100</f>
        <v>-3.3103448275862001E-2</v>
      </c>
      <c r="X233" s="1592" cm="1">
        <f t="array" aca="1" ref="X233" ca="1">OFFSET(POrigin,MATCH(Valori[[#This Row],[LUKB_id]],PID,0),MATCH("LVAL",PLabel,0)-1,1,1)</f>
        <v>168.24</v>
      </c>
      <c r="Y233" s="1593" cm="1">
        <f t="array" aca="1" ref="Y233" ca="1">OFFSET(POrigin,MATCH(Valori[[#This Row],[LUKB_id]],PID,0),MATCH("LVAL:datetime",PLabel,0)-1,1,1)</f>
        <v>46084.728854166664</v>
      </c>
      <c r="Z233" s="1594" cm="1">
        <f t="array" aca="1" ref="Z233" ca="1">OFFSET(POrigin,MATCH(Valori[[#This Row],[LUKB_id]],PID,0),MATCH("BID:volume",PLabel,0)-1,1,1)</f>
        <v>1000</v>
      </c>
      <c r="AA233" s="1595" cm="1">
        <f t="array" aca="1" ref="AA233" ca="1">OFFSET(POrigin,MATCH(Valori[[#This Row],[LUKB_id]],PID,0),MATCH("BID",PLabel,0)-1,1,1)</f>
        <v>165</v>
      </c>
      <c r="AB233" s="1595" cm="1">
        <f t="array" aca="1" ref="AB233" ca="1">OFFSET(POrigin,MATCH(Valori[[#This Row],[LUKB_id]],PID,0),MATCH("ASK",PLabel,0)-1,1,1)</f>
        <v>177.9</v>
      </c>
      <c r="AC233" s="1594" cm="1">
        <f t="array" aca="1" ref="AC233" ca="1">OFFSET(POrigin,MATCH(Valori[[#This Row],[LUKB_id]],PID,0),MATCH("ASK:volume",PLabel,0)-1,1,1)</f>
        <v>200</v>
      </c>
      <c r="AD233" s="1596" cm="1">
        <f t="array" aca="1" ref="AD233" ca="1">OFFSET(POrigin,MATCH(Valori[[#This Row],[LUKB_id]],PID,0),MATCH("BID-ASK Spread %",PLabel,0)-1,1,1)</f>
        <v>5.0797401063201443E-2</v>
      </c>
      <c r="AE233" s="1597" t="str" cm="1">
        <f t="array" aca="1" ref="AE233" ca="1">IF(OFFSET(POrigin,MATCH(Valori[[#This Row],[LUKB_id]],PID,0),MATCH("MATURITY",PLabel,0)-1,1,1)&gt;0,OFFSET(POrigin,MATCH(Valori[[#This Row],[LUKB_id]],PID,0),MATCH("MATURITY",PLabel,0)-1,1,1),"")</f>
        <v/>
      </c>
      <c r="AF233" s="1598" cm="1">
        <f t="array" aca="1" ref="AF233" ca="1">OFFSET(POrigin,MATCH(Valori[[#This Row],[LUKB_id]],PID,0),MATCH("ACCINT",PLabel,0)-1,1,1)</f>
        <v>0</v>
      </c>
      <c r="AG233" s="1594" cm="1">
        <f t="array" aca="1" ref="AG233" ca="1">OFFSET(POrigin,MATCH(Valori[[#This Row],[LUKB_id]],PID,0),MATCH("DENOM",PLabel,0)-1,1,1)</f>
        <v>0</v>
      </c>
      <c r="AH233" s="1599" cm="1">
        <f t="array" aca="1" ref="AH233" ca="1">(OFFSET(POrigin,MATCH(Valori[[#This Row],[LUKB_id]],PID,0),MATCH("YIELD",PLabel,0)-1,1,1)+OFFSET(POrigin,MATCH(Valori[[#This Row],[LUKB_id]],PID,0),MATCH("YLDEQ",PLabel,0)-1,1,1))/100</f>
        <v>0</v>
      </c>
      <c r="AI233" s="1600">
        <f ca="1">OFFSET(POrigin,MATCH(Valori[[#This Row],[LUKB_id]],PID,0),MATCH("DIVIDEND",PLabel,0)-1,1,1)</f>
        <v>0</v>
      </c>
      <c r="AJ233" s="1601">
        <f ca="1">OFFSET(POrigin,MATCH(Valori[[#This Row],[LUKB_id]],PID,0),MATCH("DIVIDEND:datetime",PLabel,0)-1,1,1)</f>
        <v>0</v>
      </c>
      <c r="AK233" s="1602">
        <f ca="1">OFFSET(POrigin,MATCH(Valori[[#This Row],[LUKB_id]],PID,0),MATCH("INTEREST",PLabel,0)-1,1,1)</f>
        <v>0</v>
      </c>
      <c r="AL233" s="1603">
        <f ca="1">OFFSET(POrigin,MATCH(Valori[[#This Row],[LUKB_id]],PID,0),MATCH("4W_PERF_PR",PLabel,0)-1,1,1)/100</f>
        <v>2.510358E-2</v>
      </c>
      <c r="AM233" s="1603">
        <f ca="1">OFFSET(POrigin,MATCH(Valori[[#This Row],[LUKB_id]],PID,0),MATCH("12W_PERF_PR",PLabel,0)-1,1,1)/100</f>
        <v>0.2</v>
      </c>
      <c r="AN233" s="1603">
        <f ca="1">OFFSET(POrigin,MATCH(Valori[[#This Row],[LUKB_id]],PID,0),MATCH("YTD_PERF_PR",PLabel,0)-1,1,1)/100</f>
        <v>0.19933829611248999</v>
      </c>
      <c r="AO233" s="1591"/>
      <c r="AP233" s="1591"/>
      <c r="AQ233" s="1591"/>
      <c r="AR233" s="1591"/>
      <c r="AS233" s="1890" t="s">
        <v>1564</v>
      </c>
      <c r="AT233" s="1890" t="s">
        <v>1565</v>
      </c>
      <c r="AU233" s="610" t="s">
        <v>1566</v>
      </c>
      <c r="AV233" s="1891" t="s">
        <v>1567</v>
      </c>
      <c r="AW233" s="1604" t="str">
        <f ca="1">"https://boersenundmaerkte.lukb.ch/lukb/details/"&amp;Valori[[#This Row],[LUKB_id]]</f>
        <v>https://boersenundmaerkte.lukb.ch/lukb/details/10602712,4,1</v>
      </c>
      <c r="AX233" s="1605" t="str">
        <f>"https://www.zonebourse.com/mods_a/charts/TV/inc_dyna_graph.php?c="&amp;Valori[[#This Row],[MS_Code]]&amp;"&amp;style=TradingView.CANDLES&amp;interval=(null)&amp;mobile=(null)&amp;showAT=1"</f>
        <v>https://www.zonebourse.com/mods_a/charts/TV/inc_dyna_graph.php?c=5833416&amp;style=TradingView.CANDLES&amp;interval=(null)&amp;mobile=(null)&amp;showAT=1</v>
      </c>
      <c r="AY233" s="142"/>
      <c r="AZ233" s="142"/>
      <c r="BA233" s="142"/>
      <c r="BB233" s="142"/>
    </row>
    <row r="234" spans="1:54" ht="15" customHeight="1" x14ac:dyDescent="0.2">
      <c r="A234" s="142" t="s">
        <v>1568</v>
      </c>
      <c r="B234" s="142" t="str" cm="1">
        <f t="array" aca="1" ref="B234" ca="1">OFFSET(POrigin,MATCH(Valori[[#This Row],[smo_id]],Posizioni[smo_id],0),MATCH("LUKB_id",PIntestazioni,0)-1,1,1)</f>
        <v>10602714,351,814</v>
      </c>
      <c r="C234" s="1668" t="str">
        <f ca="1">HYPERLINK("https://boersenundmaerkte.lukb.ch/lukb/details/"&amp;Valori[[#This Row],[LUKB_id]],"è")</f>
        <v>è</v>
      </c>
      <c r="D234" s="142" t="str" cm="1">
        <f t="array" aca="1" ref="D234" ca="1">OFFSET(POrigin,MATCH(Valori[[#This Row],[LUKB_id]],PID,0),MATCH("SC_GROUPED",PIntestazioni,0)-1,1,1)</f>
        <v>ETF</v>
      </c>
      <c r="E234" s="413" t="str" cm="1">
        <f t="array" aca="1" ref="E234" ca="1">OFFSET(POrigin,MATCH(Valori[[#This Row],[LUKB_id]],PID,0),MATCH("isin",PIntestazioni,0)-1,1,1)</f>
        <v>CH0106027144</v>
      </c>
      <c r="F234" s="34" t="str" cm="1">
        <f t="array" aca="1" ref="F234" ca="1">OFFSET(POrigin,MATCH(Valori[[#This Row],[LUKB_id]],PID,0),MATCH("NSIN_CH",PLabel,0)-1,1,1)</f>
        <v>10602714</v>
      </c>
      <c r="G234" s="95" t="str" cm="1">
        <f t="array" aca="1" ref="G234" ca="1">IF(OFFSET(POrigin,MATCH(Valori[[#This Row],[LUKB_id]],PID,0),MATCH("INSTRUNIT",PLabel,0)-1,1,1)="Nominal","Pct","Unit")</f>
        <v>Unit</v>
      </c>
      <c r="H234" s="612">
        <f ca="1">MAX(OFFSET(POrigin,MATCH(Valori[[#This Row],[LUKB_id]],PID,0),MATCH("PRICINGAMT",PLabel,0)-1,1,1),1)</f>
        <v>1</v>
      </c>
      <c r="I234" s="615" t="str" cm="1">
        <f t="array" aca="1" ref="I234" ca="1">OFFSET(POrigin,MATCH(Valori[[#This Row],[LUKB_id]],PID,0),MATCH("M_NAME",PLabel,0)-1,1,1)</f>
        <v>UBS ETF (CH) - UBS Gold hEUR ETF</v>
      </c>
      <c r="J234" s="142" t="s">
        <v>582</v>
      </c>
      <c r="M234" s="142" t="str" cm="1">
        <f t="array" aca="1" ref="M2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(EUR) hedged - (EUR) A-dis</v>
      </c>
      <c r="N234" s="1563">
        <f ca="1">COUNTIF('CHF M'!smo_id,Valori[[#This Row],[smo_id]])+COUNTIF('CHF MA'!smo_id,Valori[[#This Row],[smo_id]])+COUNTIF('EUR MB'!smo_id,Valori[[#This Row],[smo_id]])+COUNTIF('EUR M'!smo_id,Valori[[#This Row],[smo_id]])+COUNTIF(AGCO!smo_id,Valori[[#This Row],[smo_id]])</f>
        <v>2</v>
      </c>
      <c r="O234" s="1590" cm="1">
        <f t="array" aca="1" ref="O234" ca="1">SUM(IF('CHF M'!smo_id=Valori[[#This Row],[smo_id]],'CHF M'!Posizione))+SUM(IF('CHF MA'!smo_id=Valori[[#This Row],[smo_id]],'CHF MA'!Posizione))+SUM(IF('EUR MB'!smo_id=Valori[[#This Row],[smo_id]],'EUR MB'!Posizione))+SUM(IF('EUR M'!smo_id=Valori[[#This Row],[smo_id]],'EUR M'!Posizione))+SUM(IF(AGCO!smo_id=Valori[[#This Row],[smo_id]],AGCO!Posizione))</f>
        <v>1445</v>
      </c>
      <c r="P234" s="1661" t="str">
        <f ca="1">HYPERLINK(Valori[[#This Row],[P_Source]],"è")</f>
        <v>è</v>
      </c>
      <c r="Q234" s="1663" t="str">
        <f>HYPERLINK(Valori[[#This Row],[Info_W]],"i")</f>
        <v>i</v>
      </c>
      <c r="R234" s="1664" t="str">
        <f>HYPERLINK(Valori[[#This Row],[FN_W]],"")</f>
        <v></v>
      </c>
      <c r="S234" s="1665" t="str">
        <f>HYPERLINK(Valori[[#This Row],[MS_Link]],"")</f>
        <v></v>
      </c>
      <c r="T234" s="1665" t="str">
        <f>HYPERLINK(Valori[[#This Row],[C_source]],"")</f>
        <v></v>
      </c>
      <c r="U234" s="142" t="str" cm="1">
        <f t="array" aca="1" ref="U234" ca="1">OFFSET(POrigin,MATCH(Valori[[#This Row],[LUKB_id]],PID,0),MATCH("M_CUR",PLabel,0)-1,1,1)</f>
        <v>EUR</v>
      </c>
      <c r="V234" s="1562">
        <f ca="1">(Valori[[#This Row],[Last]]+Valori[[#This Row],[Acc. Int]])/Valori[[#This Row],[Pr.Amt]]/IF(Valori[[#This Row],[P_Type]]="Pct",100,1)</f>
        <v>132.04</v>
      </c>
      <c r="W234" s="1591" cm="1">
        <f t="array" aca="1" ref="W234" ca="1">OFFSET(POrigin,MATCH(Valori[[#This Row],[LUKB_id]],PID,0),MATCH("NC2_PR",PLabel,0)-1,1,1)/100</f>
        <v>-2.7974087161366498E-2</v>
      </c>
      <c r="X234" s="1592" cm="1">
        <f t="array" aca="1" ref="X234" ca="1">OFFSET(POrigin,MATCH(Valori[[#This Row],[LUKB_id]],PID,0),MATCH("LVAL",PLabel,0)-1,1,1)</f>
        <v>132.04</v>
      </c>
      <c r="Y234" s="1593" cm="1">
        <f t="array" aca="1" ref="Y234" ca="1">OFFSET(POrigin,MATCH(Valori[[#This Row],[LUKB_id]],PID,0),MATCH("LVAL:datetime",PLabel,0)-1,1,1)</f>
        <v>46084.727453703701</v>
      </c>
      <c r="Z234" s="1594" cm="1">
        <f t="array" aca="1" ref="Z234" ca="1">OFFSET(POrigin,MATCH(Valori[[#This Row],[LUKB_id]],PID,0),MATCH("BID:volume",PLabel,0)-1,1,1)</f>
        <v>2548</v>
      </c>
      <c r="AA234" s="1595" cm="1">
        <f t="array" aca="1" ref="AA234" ca="1">OFFSET(POrigin,MATCH(Valori[[#This Row],[LUKB_id]],PID,0),MATCH("BID",PLabel,0)-1,1,1)</f>
        <v>131.70000000000002</v>
      </c>
      <c r="AB234" s="1595" cm="1">
        <f t="array" aca="1" ref="AB234" ca="1">OFFSET(POrigin,MATCH(Valori[[#This Row],[LUKB_id]],PID,0),MATCH("ASK",PLabel,0)-1,1,1)</f>
        <v>132.06</v>
      </c>
      <c r="AC234" s="1594" cm="1">
        <f t="array" aca="1" ref="AC234" ca="1">OFFSET(POrigin,MATCH(Valori[[#This Row],[LUKB_id]],PID,0),MATCH("ASK:volume",PLabel,0)-1,1,1)</f>
        <v>1618</v>
      </c>
      <c r="AD234" s="1596" cm="1">
        <f t="array" aca="1" ref="AD234" ca="1">OFFSET(POrigin,MATCH(Valori[[#This Row],[LUKB_id]],PID,0),MATCH("BID-ASK Spread %",PLabel,0)-1,1,1)</f>
        <v>1.8206645425579587E-3</v>
      </c>
      <c r="AE234" s="1597" t="str" cm="1">
        <f t="array" aca="1" ref="AE234" ca="1">IF(OFFSET(POrigin,MATCH(Valori[[#This Row],[LUKB_id]],PID,0),MATCH("MATURITY",PLabel,0)-1,1,1)&gt;0,OFFSET(POrigin,MATCH(Valori[[#This Row],[LUKB_id]],PID,0),MATCH("MATURITY",PLabel,0)-1,1,1),"")</f>
        <v/>
      </c>
      <c r="AF234" s="1598" cm="1">
        <f t="array" aca="1" ref="AF234" ca="1">OFFSET(POrigin,MATCH(Valori[[#This Row],[LUKB_id]],PID,0),MATCH("ACCINT",PLabel,0)-1,1,1)</f>
        <v>0</v>
      </c>
      <c r="AG234" s="1594" cm="1">
        <f t="array" aca="1" ref="AG234" ca="1">OFFSET(POrigin,MATCH(Valori[[#This Row],[LUKB_id]],PID,0),MATCH("DENOM",PLabel,0)-1,1,1)</f>
        <v>0</v>
      </c>
      <c r="AH234" s="1599" cm="1">
        <f t="array" aca="1" ref="AH234" ca="1">(OFFSET(POrigin,MATCH(Valori[[#This Row],[LUKB_id]],PID,0),MATCH("YIELD",PLabel,0)-1,1,1)+OFFSET(POrigin,MATCH(Valori[[#This Row],[LUKB_id]],PID,0),MATCH("YLDEQ",PLabel,0)-1,1,1))/100</f>
        <v>0</v>
      </c>
      <c r="AI234" s="1600">
        <f ca="1">OFFSET(POrigin,MATCH(Valori[[#This Row],[LUKB_id]],PID,0),MATCH("DIVIDEND",PLabel,0)-1,1,1)</f>
        <v>0</v>
      </c>
      <c r="AJ234" s="1601">
        <f ca="1">OFFSET(POrigin,MATCH(Valori[[#This Row],[LUKB_id]],PID,0),MATCH("DIVIDEND:datetime",PLabel,0)-1,1,1)</f>
        <v>0</v>
      </c>
      <c r="AK234" s="1602">
        <f ca="1">OFFSET(POrigin,MATCH(Valori[[#This Row],[LUKB_id]],PID,0),MATCH("INTEREST",PLabel,0)-1,1,1)</f>
        <v>0</v>
      </c>
      <c r="AL234" s="1603">
        <f ca="1">OFFSET(POrigin,MATCH(Valori[[#This Row],[LUKB_id]],PID,0),MATCH("4W_PERF_PR",PLabel,0)-1,1,1)/100</f>
        <v>2.7548639999999999E-2</v>
      </c>
      <c r="AM234" s="1603">
        <f ca="1">OFFSET(POrigin,MATCH(Valori[[#This Row],[LUKB_id]],PID,0),MATCH("12W_PERF_PR",PLabel,0)-1,1,1)/100</f>
        <v>0.20716767</v>
      </c>
      <c r="AN234" s="1603">
        <f ca="1">OFFSET(POrigin,MATCH(Valori[[#This Row],[LUKB_id]],PID,0),MATCH("YTD_PERF_PR",PLabel,0)-1,1,1)/100</f>
        <v>0.199364294543529</v>
      </c>
      <c r="AO234" s="1591"/>
      <c r="AP234" s="1591"/>
      <c r="AQ234" s="1591"/>
      <c r="AR234" s="1591"/>
      <c r="AS234" s="1890" t="s">
        <v>1569</v>
      </c>
      <c r="AT234" s="1890" t="s">
        <v>1570</v>
      </c>
      <c r="AU234" s="610" t="s">
        <v>1571</v>
      </c>
      <c r="AV234" s="1891" t="s">
        <v>1572</v>
      </c>
      <c r="AW234" s="1604" t="str">
        <f ca="1">"https://boersenundmaerkte.lukb.ch/lukb/details/"&amp;Valori[[#This Row],[LUKB_id]]</f>
        <v>https://boersenundmaerkte.lukb.ch/lukb/details/10602714,351,814</v>
      </c>
      <c r="AX234" s="1605" t="str">
        <f>"https://www.zonebourse.com/mods_a/charts/TV/inc_dyna_graph.php?c="&amp;Valori[[#This Row],[MS_Code]]&amp;"&amp;style=TradingView.CANDLES&amp;interval=(null)&amp;mobile=(null)&amp;showAT=1"</f>
        <v>https://www.zonebourse.com/mods_a/charts/TV/inc_dyna_graph.php?c=5924211&amp;style=TradingView.CANDLES&amp;interval=(null)&amp;mobile=(null)&amp;showAT=1</v>
      </c>
      <c r="AY234" s="142"/>
      <c r="AZ234" s="142"/>
      <c r="BA234" s="142"/>
      <c r="BB234" s="142"/>
    </row>
    <row r="235" spans="1:54" ht="15" customHeight="1" x14ac:dyDescent="0.2">
      <c r="A235" s="142" t="s">
        <v>1573</v>
      </c>
      <c r="B235" s="142" t="str" cm="1">
        <f t="array" aca="1" ref="B235" ca="1">OFFSET(POrigin,MATCH(Valori[[#This Row],[smo_id]],Posizioni[smo_id],0),MATCH("LUKB_id",PIntestazioni,0)-1,1,1)</f>
        <v>1714271,4,1</v>
      </c>
      <c r="C235" s="1668" t="str">
        <f ca="1">HYPERLINK("https://boersenundmaerkte.lukb.ch/lukb/details/"&amp;Valori[[#This Row],[LUKB_id]],"è")</f>
        <v>è</v>
      </c>
      <c r="D235" s="142" t="str" cm="1">
        <f t="array" aca="1" ref="D235" ca="1">OFFSET(POrigin,MATCH(Valori[[#This Row],[LUKB_id]],PID,0),MATCH("SC_GROUPED",PIntestazioni,0)-1,1,1)</f>
        <v>ETF</v>
      </c>
      <c r="E235" s="413" t="str" cm="1">
        <f t="array" aca="1" ref="E235" ca="1">OFFSET(POrigin,MATCH(Valori[[#This Row],[LUKB_id]],PID,0),MATCH("isin",PIntestazioni,0)-1,1,1)</f>
        <v>CH0017142719</v>
      </c>
      <c r="F235" s="34" t="str" cm="1">
        <f t="array" aca="1" ref="F235" ca="1">OFFSET(POrigin,MATCH(Valori[[#This Row],[LUKB_id]],PID,0),MATCH("NSIN_CH",PLabel,0)-1,1,1)</f>
        <v>1714271</v>
      </c>
      <c r="G235" s="95" t="str" cm="1">
        <f t="array" aca="1" ref="G235" ca="1">IF(OFFSET(POrigin,MATCH(Valori[[#This Row],[LUKB_id]],PID,0),MATCH("INSTRUNIT",PLabel,0)-1,1,1)="Nominal","Pct","Unit")</f>
        <v>Unit</v>
      </c>
      <c r="H235" s="612">
        <f ca="1">MAX(OFFSET(POrigin,MATCH(Valori[[#This Row],[LUKB_id]],PID,0),MATCH("PRICINGAMT",PLabel,0)-1,1,1),1)</f>
        <v>1</v>
      </c>
      <c r="I235" s="615" t="str" cm="1">
        <f t="array" aca="1" ref="I235" ca="1">OFFSET(POrigin,MATCH(Valori[[#This Row],[LUKB_id]],PID,0),MATCH("M_NAME",PLabel,0)-1,1,1)</f>
        <v>UBS ETF (CH) - UBS SMI (R) ETF</v>
      </c>
      <c r="J235" s="142" t="s">
        <v>406</v>
      </c>
      <c r="M235" s="142" t="str" cm="1">
        <f t="array" aca="1" ref="M2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 (CHF) A-dis</v>
      </c>
      <c r="N235" s="1563">
        <f ca="1">COUNTIF('CHF M'!smo_id,Valori[[#This Row],[smo_id]])+COUNTIF('CHF MA'!smo_id,Valori[[#This Row],[smo_id]])+COUNTIF('EUR MB'!smo_id,Valori[[#This Row],[smo_id]])+COUNTIF('EUR M'!smo_id,Valori[[#This Row],[smo_id]])+COUNTIF(AGCO!smo_id,Valori[[#This Row],[smo_id]])</f>
        <v>5</v>
      </c>
      <c r="O235" s="1590" cm="1">
        <f t="array" aca="1" ref="O235" ca="1">SUM(IF('CHF M'!smo_id=Valori[[#This Row],[smo_id]],'CHF M'!Posizione))+SUM(IF('CHF MA'!smo_id=Valori[[#This Row],[smo_id]],'CHF MA'!Posizione))+SUM(IF('EUR MB'!smo_id=Valori[[#This Row],[smo_id]],'EUR MB'!Posizione))+SUM(IF('EUR M'!smo_id=Valori[[#This Row],[smo_id]],'EUR M'!Posizione))+SUM(IF(AGCO!smo_id=Valori[[#This Row],[smo_id]],AGCO!Posizione))</f>
        <v>1500</v>
      </c>
      <c r="P235" s="1661" t="str">
        <f ca="1">HYPERLINK(Valori[[#This Row],[P_Source]],"è")</f>
        <v>è</v>
      </c>
      <c r="Q235" s="1663" t="str">
        <f>HYPERLINK(Valori[[#This Row],[Info_W]],"i")</f>
        <v>i</v>
      </c>
      <c r="R235" s="1664" t="str">
        <f>HYPERLINK(Valori[[#This Row],[FN_W]],"")</f>
        <v></v>
      </c>
      <c r="S235" s="1665" t="str">
        <f>HYPERLINK(Valori[[#This Row],[MS_Link]],"")</f>
        <v></v>
      </c>
      <c r="T235" s="1665" t="str">
        <f>HYPERLINK(Valori[[#This Row],[C_source]],"")</f>
        <v></v>
      </c>
      <c r="U235" s="142" t="str" cm="1">
        <f t="array" aca="1" ref="U235" ca="1">OFFSET(POrigin,MATCH(Valori[[#This Row],[LUKB_id]],PID,0),MATCH("M_CUR",PLabel,0)-1,1,1)</f>
        <v>CHF</v>
      </c>
      <c r="V235" s="1562">
        <f ca="1">(Valori[[#This Row],[Last]]+Valori[[#This Row],[Acc. Int]])/Valori[[#This Row],[Pr.Amt]]/IF(Valori[[#This Row],[P_Type]]="Pct",100,1)</f>
        <v>136.52000000000001</v>
      </c>
      <c r="W235" s="1591" cm="1">
        <f t="array" aca="1" ref="W235" ca="1">OFFSET(POrigin,MATCH(Valori[[#This Row],[LUKB_id]],PID,0),MATCH("NC2_PR",PLabel,0)-1,1,1)/100</f>
        <v>-3.0810734062189499E-2</v>
      </c>
      <c r="X235" s="1592" cm="1">
        <f t="array" aca="1" ref="X235" ca="1">OFFSET(POrigin,MATCH(Valori[[#This Row],[LUKB_id]],PID,0),MATCH("LVAL",PLabel,0)-1,1,1)</f>
        <v>136.52000000000001</v>
      </c>
      <c r="Y235" s="1593" cm="1">
        <f t="array" aca="1" ref="Y235" ca="1">OFFSET(POrigin,MATCH(Valori[[#This Row],[LUKB_id]],PID,0),MATCH("LVAL:datetime",PLabel,0)-1,1,1)</f>
        <v>46084.73300925926</v>
      </c>
      <c r="Z235" s="1594" cm="1">
        <f t="array" aca="1" ref="Z235" ca="1">OFFSET(POrigin,MATCH(Valori[[#This Row],[LUKB_id]],PID,0),MATCH("BID:volume",PLabel,0)-1,1,1)</f>
        <v>0</v>
      </c>
      <c r="AA235" s="1595" cm="1">
        <f t="array" aca="1" ref="AA235" ca="1">OFFSET(POrigin,MATCH(Valori[[#This Row],[LUKB_id]],PID,0),MATCH("BID",PLabel,0)-1,1,1)</f>
        <v>0</v>
      </c>
      <c r="AB235" s="1595" cm="1">
        <f t="array" aca="1" ref="AB235" ca="1">OFFSET(POrigin,MATCH(Valori[[#This Row],[LUKB_id]],PID,0),MATCH("ASK",PLabel,0)-1,1,1)</f>
        <v>0</v>
      </c>
      <c r="AC235" s="1594" cm="1">
        <f t="array" aca="1" ref="AC235" ca="1">OFFSET(POrigin,MATCH(Valori[[#This Row],[LUKB_id]],PID,0),MATCH("ASK:volume",PLabel,0)-1,1,1)</f>
        <v>0</v>
      </c>
      <c r="AD235" s="1596" cm="1">
        <f t="array" aca="1" ref="AD235" ca="1">OFFSET(POrigin,MATCH(Valori[[#This Row],[LUKB_id]],PID,0),MATCH("BID-ASK Spread %",PLabel,0)-1,1,1)</f>
        <v>0</v>
      </c>
      <c r="AE235" s="1597" t="str" cm="1">
        <f t="array" aca="1" ref="AE235" ca="1">IF(OFFSET(POrigin,MATCH(Valori[[#This Row],[LUKB_id]],PID,0),MATCH("MATURITY",PLabel,0)-1,1,1)&gt;0,OFFSET(POrigin,MATCH(Valori[[#This Row],[LUKB_id]],PID,0),MATCH("MATURITY",PLabel,0)-1,1,1),"")</f>
        <v/>
      </c>
      <c r="AF235" s="1598" cm="1">
        <f t="array" aca="1" ref="AF235" ca="1">OFFSET(POrigin,MATCH(Valori[[#This Row],[LUKB_id]],PID,0),MATCH("ACCINT",PLabel,0)-1,1,1)</f>
        <v>0</v>
      </c>
      <c r="AG235" s="1594" cm="1">
        <f t="array" aca="1" ref="AG235" ca="1">OFFSET(POrigin,MATCH(Valori[[#This Row],[LUKB_id]],PID,0),MATCH("DENOM",PLabel,0)-1,1,1)</f>
        <v>0</v>
      </c>
      <c r="AH235" s="1599" cm="1">
        <f t="array" aca="1" ref="AH235" ca="1">(OFFSET(POrigin,MATCH(Valori[[#This Row],[LUKB_id]],PID,0),MATCH("YIELD",PLabel,0)-1,1,1)+OFFSET(POrigin,MATCH(Valori[[#This Row],[LUKB_id]],PID,0),MATCH("YLDEQ",PLabel,0)-1,1,1))/100</f>
        <v>0</v>
      </c>
      <c r="AI235" s="1600">
        <f ca="1">OFFSET(POrigin,MATCH(Valori[[#This Row],[LUKB_id]],PID,0),MATCH("DIVIDEND",PLabel,0)-1,1,1)</f>
        <v>1.52</v>
      </c>
      <c r="AJ235" s="1601">
        <f ca="1">OFFSET(POrigin,MATCH(Valori[[#This Row],[LUKB_id]],PID,0),MATCH("DIVIDEND:datetime",PLabel,0)-1,1,1)</f>
        <v>45905</v>
      </c>
      <c r="AK235" s="1602">
        <f ca="1">OFFSET(POrigin,MATCH(Valori[[#This Row],[LUKB_id]],PID,0),MATCH("INTEREST",PLabel,0)-1,1,1)</f>
        <v>0</v>
      </c>
      <c r="AL235" s="1603">
        <f ca="1">OFFSET(POrigin,MATCH(Valori[[#This Row],[LUKB_id]],PID,0),MATCH("4W_PERF_PR",PLabel,0)-1,1,1)/100</f>
        <v>2.3494900000000001E-3</v>
      </c>
      <c r="AM235" s="1603">
        <f ca="1">OFFSET(POrigin,MATCH(Valori[[#This Row],[LUKB_id]],PID,0),MATCH("12W_PERF_PR",PLabel,0)-1,1,1)/100</f>
        <v>3.6440939999999998E-2</v>
      </c>
      <c r="AN235" s="1603">
        <f ca="1">OFFSET(POrigin,MATCH(Valori[[#This Row],[LUKB_id]],PID,0),MATCH("YTD_PERF_PR",PLabel,0)-1,1,1)/100</f>
        <v>4.2018050007397598E-2</v>
      </c>
      <c r="AO235" s="1591">
        <v>0</v>
      </c>
      <c r="AP235" s="1591">
        <v>0</v>
      </c>
      <c r="AQ235" s="1591">
        <v>2E-3</v>
      </c>
      <c r="AR235" s="1591">
        <v>0</v>
      </c>
      <c r="AS235" s="1890" t="s">
        <v>1574</v>
      </c>
      <c r="AT235" s="1890" t="s">
        <v>1575</v>
      </c>
      <c r="AU235" s="610" t="s">
        <v>1576</v>
      </c>
      <c r="AV235" s="1891" t="s">
        <v>1577</v>
      </c>
      <c r="AW235" s="1604" t="str">
        <f ca="1">"https://boersenundmaerkte.lukb.ch/lukb/details/"&amp;Valori[[#This Row],[LUKB_id]]</f>
        <v>https://boersenundmaerkte.lukb.ch/lukb/details/1714271,4,1</v>
      </c>
      <c r="AX235" s="1605" t="str">
        <f>"https://www.zonebourse.com/mods_a/charts/TV/inc_dyna_graph.php?c="&amp;Valori[[#This Row],[MS_Code]]&amp;"&amp;style=TradingView.CANDLES&amp;interval=(null)&amp;mobile=(null)&amp;showAT=1"</f>
        <v>https://www.zonebourse.com/mods_a/charts/TV/inc_dyna_graph.php?c=33295921&amp;style=TradingView.CANDLES&amp;interval=(null)&amp;mobile=(null)&amp;showAT=1</v>
      </c>
      <c r="AY235" s="142"/>
      <c r="AZ235" s="142"/>
      <c r="BA235" s="142"/>
      <c r="BB235" s="142"/>
    </row>
    <row r="236" spans="1:54" ht="15" customHeight="1" x14ac:dyDescent="0.2">
      <c r="A236" s="142" t="s">
        <v>1578</v>
      </c>
      <c r="B236" s="142" t="str" cm="1">
        <f t="array" aca="1" ref="B236" ca="1">OFFSET(POrigin,MATCH(Valori[[#This Row],[smo_id]],Posizioni[smo_id],0),MATCH("LUKB_id",PIntestazioni,0)-1,1,1)</f>
        <v>11176253,4,1</v>
      </c>
      <c r="C236" s="1668" t="str">
        <f ca="1">HYPERLINK("https://boersenundmaerkte.lukb.ch/lukb/details/"&amp;Valori[[#This Row],[LUKB_id]],"è")</f>
        <v>è</v>
      </c>
      <c r="D236" s="142" t="str" cm="1">
        <f t="array" aca="1" ref="D236" ca="1">OFFSET(POrigin,MATCH(Valori[[#This Row],[LUKB_id]],PID,0),MATCH("SC_GROUPED",PIntestazioni,0)-1,1,1)</f>
        <v>ETF</v>
      </c>
      <c r="E236" s="413" t="str" cm="1">
        <f t="array" aca="1" ref="E236" ca="1">OFFSET(POrigin,MATCH(Valori[[#This Row],[LUKB_id]],PID,0),MATCH("isin",PIntestazioni,0)-1,1,1)</f>
        <v>CH0111762537</v>
      </c>
      <c r="F236" s="34" t="str" cm="1">
        <f t="array" aca="1" ref="F236" ca="1">OFFSET(POrigin,MATCH(Valori[[#This Row],[LUKB_id]],PID,0),MATCH("NSIN_CH",PLabel,0)-1,1,1)</f>
        <v>11176253</v>
      </c>
      <c r="G236" s="95" t="str" cm="1">
        <f t="array" aca="1" ref="G236" ca="1">IF(OFFSET(POrigin,MATCH(Valori[[#This Row],[LUKB_id]],PID,0),MATCH("INSTRUNIT",PLabel,0)-1,1,1)="Nominal","Pct","Unit")</f>
        <v>Unit</v>
      </c>
      <c r="H236" s="612">
        <f ca="1">MAX(OFFSET(POrigin,MATCH(Valori[[#This Row],[LUKB_id]],PID,0),MATCH("PRICINGAMT",PLabel,0)-1,1,1),1)</f>
        <v>1</v>
      </c>
      <c r="I236" s="615" t="str" cm="1">
        <f t="array" aca="1" ref="I236" ca="1">OFFSET(POrigin,MATCH(Valori[[#This Row],[LUKB_id]],PID,0),MATCH("M_NAME",PLabel,0)-1,1,1)</f>
        <v>UBS ETF (CH) - UBS SMIM(R) ETF</v>
      </c>
      <c r="J236" s="142" t="s">
        <v>516</v>
      </c>
      <c r="M236" s="142" t="str" cm="1">
        <f t="array" aca="1" ref="M2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SMIM (CHF) A-dis</v>
      </c>
      <c r="N236" s="1563">
        <f ca="1">COUNTIF('CHF M'!smo_id,Valori[[#This Row],[smo_id]])+COUNTIF('CHF MA'!smo_id,Valori[[#This Row],[smo_id]])+COUNTIF('EUR MB'!smo_id,Valori[[#This Row],[smo_id]])+COUNTIF('EUR M'!smo_id,Valori[[#This Row],[smo_id]])+COUNTIF(AGCO!smo_id,Valori[[#This Row],[smo_id]])</f>
        <v>3</v>
      </c>
      <c r="O236" s="1590" cm="1">
        <f t="array" aca="1" ref="O236" ca="1">SUM(IF('CHF M'!smo_id=Valori[[#This Row],[smo_id]],'CHF M'!Posizione))+SUM(IF('CHF MA'!smo_id=Valori[[#This Row],[smo_id]],'CHF MA'!Posizione))+SUM(IF('EUR MB'!smo_id=Valori[[#This Row],[smo_id]],'EUR MB'!Posizione))+SUM(IF('EUR M'!smo_id=Valori[[#This Row],[smo_id]],'EUR M'!Posizione))+SUM(IF(AGCO!smo_id=Valori[[#This Row],[smo_id]],AGCO!Posizione))</f>
        <v>0</v>
      </c>
      <c r="P236" s="1661" t="str">
        <f ca="1">HYPERLINK(Valori[[#This Row],[P_Source]],"è")</f>
        <v>è</v>
      </c>
      <c r="Q236" s="1663" t="str">
        <f>HYPERLINK(Valori[[#This Row],[Info_W]],"i")</f>
        <v>i</v>
      </c>
      <c r="R236" s="1664" t="str">
        <f>HYPERLINK(Valori[[#This Row],[FN_W]],"")</f>
        <v></v>
      </c>
      <c r="S236" s="1665" t="str">
        <f>HYPERLINK(Valori[[#This Row],[MS_Link]],"")</f>
        <v></v>
      </c>
      <c r="T236" s="1665" t="str">
        <f>HYPERLINK(Valori[[#This Row],[C_source]],"")</f>
        <v></v>
      </c>
      <c r="U236" s="142" t="str" cm="1">
        <f t="array" aca="1" ref="U236" ca="1">OFFSET(POrigin,MATCH(Valori[[#This Row],[LUKB_id]],PID,0),MATCH("M_CUR",PLabel,0)-1,1,1)</f>
        <v>CHF</v>
      </c>
      <c r="V236" s="1562">
        <f ca="1">(Valori[[#This Row],[Last]]+Valori[[#This Row],[Acc. Int]])/Valori[[#This Row],[Pr.Amt]]/IF(Valori[[#This Row],[P_Type]]="Pct",100,1)</f>
        <v>307.10000000000002</v>
      </c>
      <c r="W236" s="1591" cm="1">
        <f t="array" aca="1" ref="W236" ca="1">OFFSET(POrigin,MATCH(Valori[[#This Row],[LUKB_id]],PID,0),MATCH("NC2_PR",PLabel,0)-1,1,1)/100</f>
        <v>-2.9546531837573001E-2</v>
      </c>
      <c r="X236" s="1592" cm="1">
        <f t="array" aca="1" ref="X236" ca="1">OFFSET(POrigin,MATCH(Valori[[#This Row],[LUKB_id]],PID,0),MATCH("LVAL",PLabel,0)-1,1,1)</f>
        <v>307.10000000000002</v>
      </c>
      <c r="Y236" s="1593" cm="1">
        <f t="array" aca="1" ref="Y236" ca="1">OFFSET(POrigin,MATCH(Valori[[#This Row],[LUKB_id]],PID,0),MATCH("LVAL:datetime",PLabel,0)-1,1,1)</f>
        <v>46084.73300925926</v>
      </c>
      <c r="Z236" s="1594" cm="1">
        <f t="array" aca="1" ref="Z236" ca="1">OFFSET(POrigin,MATCH(Valori[[#This Row],[LUKB_id]],PID,0),MATCH("BID:volume",PLabel,0)-1,1,1)</f>
        <v>470</v>
      </c>
      <c r="AA236" s="1595" cm="1">
        <f t="array" aca="1" ref="AA236" ca="1">OFFSET(POrigin,MATCH(Valori[[#This Row],[LUKB_id]],PID,0),MATCH("BID",PLabel,0)-1,1,1)</f>
        <v>305</v>
      </c>
      <c r="AB236" s="1595" cm="1">
        <f t="array" aca="1" ref="AB236" ca="1">OFFSET(POrigin,MATCH(Valori[[#This Row],[LUKB_id]],PID,0),MATCH("ASK",PLabel,0)-1,1,1)</f>
        <v>318.40000000000003</v>
      </c>
      <c r="AC236" s="1594" cm="1">
        <f t="array" aca="1" ref="AC236" ca="1">OFFSET(POrigin,MATCH(Valori[[#This Row],[LUKB_id]],PID,0),MATCH("ASK:volume",PLabel,0)-1,1,1)</f>
        <v>61</v>
      </c>
      <c r="AD236" s="1596" cm="1">
        <f t="array" aca="1" ref="AD236" ca="1">OFFSET(POrigin,MATCH(Valori[[#This Row],[LUKB_id]],PID,0),MATCH("BID-ASK Spread %",PLabel,0)-1,1,1)</f>
        <v>2.8866867729427041E-2</v>
      </c>
      <c r="AE236" s="1597" t="str" cm="1">
        <f t="array" aca="1" ref="AE236" ca="1">IF(OFFSET(POrigin,MATCH(Valori[[#This Row],[LUKB_id]],PID,0),MATCH("MATURITY",PLabel,0)-1,1,1)&gt;0,OFFSET(POrigin,MATCH(Valori[[#This Row],[LUKB_id]],PID,0),MATCH("MATURITY",PLabel,0)-1,1,1),"")</f>
        <v/>
      </c>
      <c r="AF236" s="1598" cm="1">
        <f t="array" aca="1" ref="AF236" ca="1">OFFSET(POrigin,MATCH(Valori[[#This Row],[LUKB_id]],PID,0),MATCH("ACCINT",PLabel,0)-1,1,1)</f>
        <v>0</v>
      </c>
      <c r="AG236" s="1594" cm="1">
        <f t="array" aca="1" ref="AG236" ca="1">OFFSET(POrigin,MATCH(Valori[[#This Row],[LUKB_id]],PID,0),MATCH("DENOM",PLabel,0)-1,1,1)</f>
        <v>0</v>
      </c>
      <c r="AH236" s="1599" cm="1">
        <f t="array" aca="1" ref="AH236" ca="1">(OFFSET(POrigin,MATCH(Valori[[#This Row],[LUKB_id]],PID,0),MATCH("YIELD",PLabel,0)-1,1,1)+OFFSET(POrigin,MATCH(Valori[[#This Row],[LUKB_id]],PID,0),MATCH("YLDEQ",PLabel,0)-1,1,1))/100</f>
        <v>0</v>
      </c>
      <c r="AI236" s="1600">
        <f ca="1">OFFSET(POrigin,MATCH(Valori[[#This Row],[LUKB_id]],PID,0),MATCH("DIVIDEND",PLabel,0)-1,1,1)</f>
        <v>5.15</v>
      </c>
      <c r="AJ236" s="1601">
        <f ca="1">OFFSET(POrigin,MATCH(Valori[[#This Row],[LUKB_id]],PID,0),MATCH("DIVIDEND:datetime",PLabel,0)-1,1,1)</f>
        <v>45905</v>
      </c>
      <c r="AK236" s="1602">
        <f ca="1">OFFSET(POrigin,MATCH(Valori[[#This Row],[LUKB_id]],PID,0),MATCH("INTEREST",PLabel,0)-1,1,1)</f>
        <v>0</v>
      </c>
      <c r="AL236" s="1603">
        <f ca="1">OFFSET(POrigin,MATCH(Valori[[#This Row],[LUKB_id]],PID,0),MATCH("4W_PERF_PR",PLabel,0)-1,1,1)/100</f>
        <v>5.4018699999999996E-3</v>
      </c>
      <c r="AM236" s="1603">
        <f ca="1">OFFSET(POrigin,MATCH(Valori[[#This Row],[LUKB_id]],PID,0),MATCH("12W_PERF_PR",PLabel,0)-1,1,1)/100</f>
        <v>3.9255500000000006E-2</v>
      </c>
      <c r="AN236" s="1603">
        <f ca="1">OFFSET(POrigin,MATCH(Valori[[#This Row],[LUKB_id]],PID,0),MATCH("YTD_PERF_PR",PLabel,0)-1,1,1)/100</f>
        <v>5.0282110852970401E-2</v>
      </c>
      <c r="AO236" s="1591">
        <v>0</v>
      </c>
      <c r="AP236" s="1591">
        <v>0</v>
      </c>
      <c r="AQ236" s="1591">
        <v>2E-3</v>
      </c>
      <c r="AR236" s="1591">
        <v>0</v>
      </c>
      <c r="AS236" s="1890" t="s">
        <v>1579</v>
      </c>
      <c r="AT236" s="1890" t="s">
        <v>1580</v>
      </c>
      <c r="AU236" s="610" t="s">
        <v>1581</v>
      </c>
      <c r="AV236" s="1891" t="s">
        <v>1582</v>
      </c>
      <c r="AW236" s="1604" t="str">
        <f ca="1">"https://boersenundmaerkte.lukb.ch/lukb/details/"&amp;Valori[[#This Row],[LUKB_id]]</f>
        <v>https://boersenundmaerkte.lukb.ch/lukb/details/11176253,4,1</v>
      </c>
      <c r="AX236" s="1605" t="str">
        <f>"https://www.zonebourse.com/mods_a/charts/TV/inc_dyna_graph.php?c="&amp;Valori[[#This Row],[MS_Code]]&amp;"&amp;style=TradingView.CANDLES&amp;interval=(null)&amp;mobile=(null)&amp;showAT=1"</f>
        <v>https://www.zonebourse.com/mods_a/charts/TV/inc_dyna_graph.php?c=6123644&amp;style=TradingView.CANDLES&amp;interval=(null)&amp;mobile=(null)&amp;showAT=1</v>
      </c>
      <c r="AY236" s="142"/>
      <c r="AZ236" s="142"/>
      <c r="BA236" s="142"/>
      <c r="BB236" s="142"/>
    </row>
    <row r="237" spans="1:54" ht="15" customHeight="1" x14ac:dyDescent="0.2">
      <c r="A237" s="142" t="s">
        <v>1583</v>
      </c>
      <c r="B237" s="142" t="str" cm="1">
        <f t="array" aca="1" ref="B237" ca="1">OFFSET(POrigin,MATCH(Valori[[#This Row],[smo_id]],Posizioni[smo_id],0),MATCH("LUKB_id",PIntestazioni,0)-1,1,1)</f>
        <v>13187243,4,1</v>
      </c>
      <c r="C237" s="1668" t="str">
        <f ca="1">HYPERLINK("https://boersenundmaerkte.lukb.ch/lukb/details/"&amp;Valori[[#This Row],[LUKB_id]],"è")</f>
        <v>è</v>
      </c>
      <c r="D237" s="142" t="str" cm="1">
        <f t="array" aca="1" ref="D237" ca="1">OFFSET(POrigin,MATCH(Valori[[#This Row],[LUKB_id]],PID,0),MATCH("SC_GROUPED",PIntestazioni,0)-1,1,1)</f>
        <v>ETF</v>
      </c>
      <c r="E237" s="413" t="str" cm="1">
        <f t="array" aca="1" ref="E237" ca="1">OFFSET(POrigin,MATCH(Valori[[#This Row],[LUKB_id]],PID,0),MATCH("isin",PIntestazioni,0)-1,1,1)</f>
        <v>CH0131872431</v>
      </c>
      <c r="F237" s="34" t="str" cm="1">
        <f t="array" aca="1" ref="F237" ca="1">OFFSET(POrigin,MATCH(Valori[[#This Row],[LUKB_id]],PID,0),MATCH("NSIN_CH",PLabel,0)-1,1,1)</f>
        <v>13187243</v>
      </c>
      <c r="G237" s="95" t="str" cm="1">
        <f t="array" aca="1" ref="G237" ca="1">IF(OFFSET(POrigin,MATCH(Valori[[#This Row],[LUKB_id]],PID,0),MATCH("INSTRUNIT",PLabel,0)-1,1,1)="Nominal","Pct","Unit")</f>
        <v>Unit</v>
      </c>
      <c r="H237" s="612">
        <f ca="1">MAX(OFFSET(POrigin,MATCH(Valori[[#This Row],[LUKB_id]],PID,0),MATCH("PRICINGAMT",PLabel,0)-1,1,1),1)</f>
        <v>1</v>
      </c>
      <c r="I237" s="615" t="str" cm="1">
        <f t="array" aca="1" ref="I237" ca="1">OFFSET(POrigin,MATCH(Valori[[#This Row],[LUKB_id]],PID,0),MATCH("M_NAME",PLabel,0)-1,1,1)</f>
        <v>UBS ETF (CHF) - UBS Core SPI(R) ETF</v>
      </c>
      <c r="J237" s="142" t="s">
        <v>593</v>
      </c>
      <c r="M237" s="142" t="str" cm="1">
        <f t="array" aca="1" ref="M2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SPI® (CHF) A-dis</v>
      </c>
      <c r="N237" s="1563">
        <f ca="1">COUNTIF('CHF M'!smo_id,Valori[[#This Row],[smo_id]])+COUNTIF('CHF MA'!smo_id,Valori[[#This Row],[smo_id]])+COUNTIF('EUR MB'!smo_id,Valori[[#This Row],[smo_id]])+COUNTIF('EUR M'!smo_id,Valori[[#This Row],[smo_id]])+COUNTIF(AGCO!smo_id,Valori[[#This Row],[smo_id]])</f>
        <v>4</v>
      </c>
      <c r="O237" s="1590" cm="1">
        <f t="array" aca="1" ref="O237" ca="1">SUM(IF('CHF M'!smo_id=Valori[[#This Row],[smo_id]],'CHF M'!Posizione))+SUM(IF('CHF MA'!smo_id=Valori[[#This Row],[smo_id]],'CHF MA'!Posizione))+SUM(IF('EUR MB'!smo_id=Valori[[#This Row],[smo_id]],'EUR MB'!Posizione))+SUM(IF('EUR M'!smo_id=Valori[[#This Row],[smo_id]],'EUR M'!Posizione))+SUM(IF(AGCO!smo_id=Valori[[#This Row],[smo_id]],AGCO!Posizione))</f>
        <v>350</v>
      </c>
      <c r="P237" s="1661" t="str">
        <f ca="1">HYPERLINK(Valori[[#This Row],[P_Source]],"è")</f>
        <v>è</v>
      </c>
      <c r="Q237" s="1663" t="str">
        <f>HYPERLINK(Valori[[#This Row],[Info_W]],"i")</f>
        <v>i</v>
      </c>
      <c r="R237" s="1664" t="str">
        <f>HYPERLINK(Valori[[#This Row],[FN_W]],"")</f>
        <v></v>
      </c>
      <c r="S237" s="1665" t="str">
        <f>HYPERLINK(Valori[[#This Row],[MS_Link]],"")</f>
        <v></v>
      </c>
      <c r="T237" s="1665" t="str">
        <f>HYPERLINK(Valori[[#This Row],[C_source]],"")</f>
        <v></v>
      </c>
      <c r="U237" s="142" t="str" cm="1">
        <f t="array" aca="1" ref="U237" ca="1">OFFSET(POrigin,MATCH(Valori[[#This Row],[LUKB_id]],PID,0),MATCH("M_CUR",PLabel,0)-1,1,1)</f>
        <v>CHF</v>
      </c>
      <c r="V237" s="1562">
        <f ca="1">(Valori[[#This Row],[Last]]+Valori[[#This Row],[Acc. Int]])/Valori[[#This Row],[Pr.Amt]]/IF(Valori[[#This Row],[P_Type]]="Pct",100,1)</f>
        <v>85.54</v>
      </c>
      <c r="W237" s="1591" cm="1">
        <f t="array" aca="1" ref="W237" ca="1">OFFSET(POrigin,MATCH(Valori[[#This Row],[LUKB_id]],PID,0),MATCH("NC2_PR",PLabel,0)-1,1,1)/100</f>
        <v>-2.8727148858862298E-2</v>
      </c>
      <c r="X237" s="1592" cm="1">
        <f t="array" aca="1" ref="X237" ca="1">OFFSET(POrigin,MATCH(Valori[[#This Row],[LUKB_id]],PID,0),MATCH("LVAL",PLabel,0)-1,1,1)</f>
        <v>85.54</v>
      </c>
      <c r="Y237" s="1593" cm="1">
        <f t="array" aca="1" ref="Y237" ca="1">OFFSET(POrigin,MATCH(Valori[[#This Row],[LUKB_id]],PID,0),MATCH("LVAL:datetime",PLabel,0)-1,1,1)</f>
        <v>46084.73300925926</v>
      </c>
      <c r="Z237" s="1594" cm="1">
        <f t="array" aca="1" ref="Z237" ca="1">OFFSET(POrigin,MATCH(Valori[[#This Row],[LUKB_id]],PID,0),MATCH("BID:volume",PLabel,0)-1,1,1)</f>
        <v>200</v>
      </c>
      <c r="AA237" s="1595" cm="1">
        <f t="array" aca="1" ref="AA237" ca="1">OFFSET(POrigin,MATCH(Valori[[#This Row],[LUKB_id]],PID,0),MATCH("BID",PLabel,0)-1,1,1)</f>
        <v>85.54</v>
      </c>
      <c r="AB237" s="1595" cm="1">
        <f t="array" aca="1" ref="AB237" ca="1">OFFSET(POrigin,MATCH(Valori[[#This Row],[LUKB_id]],PID,0),MATCH("ASK",PLabel,0)-1,1,1)</f>
        <v>0</v>
      </c>
      <c r="AC237" s="1594" cm="1">
        <f t="array" aca="1" ref="AC237" ca="1">OFFSET(POrigin,MATCH(Valori[[#This Row],[LUKB_id]],PID,0),MATCH("ASK:volume",PLabel,0)-1,1,1)</f>
        <v>0</v>
      </c>
      <c r="AD237" s="1596" cm="1">
        <f t="array" aca="1" ref="AD237" ca="1">OFFSET(POrigin,MATCH(Valori[[#This Row],[LUKB_id]],PID,0),MATCH("BID-ASK Spread %",PLabel,0)-1,1,1)</f>
        <v>0</v>
      </c>
      <c r="AE237" s="1597" t="str" cm="1">
        <f t="array" aca="1" ref="AE237" ca="1">IF(OFFSET(POrigin,MATCH(Valori[[#This Row],[LUKB_id]],PID,0),MATCH("MATURITY",PLabel,0)-1,1,1)&gt;0,OFFSET(POrigin,MATCH(Valori[[#This Row],[LUKB_id]],PID,0),MATCH("MATURITY",PLabel,0)-1,1,1),"")</f>
        <v/>
      </c>
      <c r="AF237" s="1598" cm="1">
        <f t="array" aca="1" ref="AF237" ca="1">OFFSET(POrigin,MATCH(Valori[[#This Row],[LUKB_id]],PID,0),MATCH("ACCINT",PLabel,0)-1,1,1)</f>
        <v>0</v>
      </c>
      <c r="AG237" s="1594" cm="1">
        <f t="array" aca="1" ref="AG237" ca="1">OFFSET(POrigin,MATCH(Valori[[#This Row],[LUKB_id]],PID,0),MATCH("DENOM",PLabel,0)-1,1,1)</f>
        <v>0</v>
      </c>
      <c r="AH237" s="1599" cm="1">
        <f t="array" aca="1" ref="AH237" ca="1">(OFFSET(POrigin,MATCH(Valori[[#This Row],[LUKB_id]],PID,0),MATCH("YIELD",PLabel,0)-1,1,1)+OFFSET(POrigin,MATCH(Valori[[#This Row],[LUKB_id]],PID,0),MATCH("YLDEQ",PLabel,0)-1,1,1))/100</f>
        <v>0</v>
      </c>
      <c r="AI237" s="1600">
        <f ca="1">OFFSET(POrigin,MATCH(Valori[[#This Row],[LUKB_id]],PID,0),MATCH("DIVIDEND",PLabel,0)-1,1,1)</f>
        <v>1.17</v>
      </c>
      <c r="AJ237" s="1601">
        <f ca="1">OFFSET(POrigin,MATCH(Valori[[#This Row],[LUKB_id]],PID,0),MATCH("DIVIDEND:datetime",PLabel,0)-1,1,1)</f>
        <v>45905</v>
      </c>
      <c r="AK237" s="1602">
        <f ca="1">OFFSET(POrigin,MATCH(Valori[[#This Row],[LUKB_id]],PID,0),MATCH("INTEREST",PLabel,0)-1,1,1)</f>
        <v>0</v>
      </c>
      <c r="AL237" s="1603">
        <f ca="1">OFFSET(POrigin,MATCH(Valori[[#This Row],[LUKB_id]],PID,0),MATCH("4W_PERF_PR",PLabel,0)-1,1,1)/100</f>
        <v>2.8135999999999999E-3</v>
      </c>
      <c r="AM237" s="1603">
        <f ca="1">OFFSET(POrigin,MATCH(Valori[[#This Row],[LUKB_id]],PID,0),MATCH("12W_PERF_PR",PLabel,0)-1,1,1)/100</f>
        <v>4.1012529999999998E-2</v>
      </c>
      <c r="AN237" s="1603">
        <f ca="1">OFFSET(POrigin,MATCH(Valori[[#This Row],[LUKB_id]],PID,0),MATCH("YTD_PERF_PR",PLabel,0)-1,1,1)/100</f>
        <v>4.41019561351512E-2</v>
      </c>
      <c r="AO237" s="1591">
        <v>0</v>
      </c>
      <c r="AP237" s="1591">
        <v>0</v>
      </c>
      <c r="AQ237" s="1591">
        <v>1.6000000000000001E-3</v>
      </c>
      <c r="AR237" s="1591">
        <v>0</v>
      </c>
      <c r="AS237" s="1890" t="s">
        <v>1584</v>
      </c>
      <c r="AT237" s="1890" t="s">
        <v>1585</v>
      </c>
      <c r="AU237" s="610" t="s">
        <v>1586</v>
      </c>
      <c r="AV237" s="1905" t="s">
        <v>1587</v>
      </c>
      <c r="AW237" s="1604" t="str">
        <f ca="1">"https://boersenundmaerkte.lukb.ch/lukb/details/"&amp;Valori[[#This Row],[LUKB_id]]</f>
        <v>https://boersenundmaerkte.lukb.ch/lukb/details/13187243,4,1</v>
      </c>
      <c r="AX237" s="1605" t="str">
        <f>"https://www.zonebourse.com/mods_a/charts/TV/inc_dyna_graph.php?c="&amp;Valori[[#This Row],[MS_Code]]&amp;"&amp;style=TradingView.CANDLES&amp;interval=(null)&amp;mobile=(null)&amp;showAT=1"</f>
        <v>https://www.zonebourse.com/mods_a/charts/TV/inc_dyna_graph.php?c=8445012&amp;style=TradingView.CANDLES&amp;interval=(null)&amp;mobile=(null)&amp;showAT=1</v>
      </c>
      <c r="AY237" s="142"/>
      <c r="AZ237" s="142"/>
      <c r="BA237" s="142"/>
      <c r="BB237" s="142"/>
    </row>
    <row r="238" spans="1:54" ht="15" customHeight="1" x14ac:dyDescent="0.2">
      <c r="A238" s="1611" t="s">
        <v>4468</v>
      </c>
      <c r="B238" s="1611" t="str" cm="1">
        <f t="array" aca="1" ref="B238" ca="1">OFFSET(POrigin,MATCH(Valori[[#This Row],[smo_id]],Posizioni[smo_id],0),MATCH("LUKB_id",PIntestazioni,0)-1,1,1)</f>
        <v>125816101,361,333</v>
      </c>
      <c r="C238" s="1841" t="str">
        <f ca="1">HYPERLINK("https://boersenundmaerkte.lukb.ch/lukb/details/"&amp;Valori[[#This Row],[LUKB_id]],"è")</f>
        <v>è</v>
      </c>
      <c r="D238" s="1611" t="str" cm="1">
        <f t="array" aca="1" ref="D238" ca="1">OFFSET(POrigin,MATCH(Valori[[#This Row],[LUKB_id]],PID,0),MATCH("SC_GROUPED",PIntestazioni,0)-1,1,1)</f>
        <v>ETF</v>
      </c>
      <c r="E238" s="1611" t="str" cm="1">
        <f t="array" aca="1" ref="E238" ca="1">OFFSET(POrigin,MATCH(Valori[[#This Row],[LUKB_id]],PID,0),MATCH("isin",PIntestazioni,0)-1,1,1)</f>
        <v>IE000YYE6WK5</v>
      </c>
      <c r="F238" s="1612" t="str" cm="1">
        <f t="array" aca="1" ref="F238" ca="1">OFFSET(POrigin,MATCH(Valori[[#This Row],[LUKB_id]],PID,0),MATCH("NSIN_CH",PLabel,0)-1,1,1)</f>
        <v>125816101</v>
      </c>
      <c r="G238" s="1613" t="str" cm="1">
        <f t="array" aca="1" ref="G238" ca="1">IF(OFFSET(POrigin,MATCH(Valori[[#This Row],[LUKB_id]],PID,0),MATCH("INSTRUNIT",PLabel,0)-1,1,1)="Nominal","Pct","Unit")</f>
        <v>Unit</v>
      </c>
      <c r="H238" s="1614">
        <f ca="1">MAX(OFFSET(POrigin,MATCH(Valori[[#This Row],[LUKB_id]],PID,0),MATCH("PRICINGAMT",PLabel,0)-1,1,1),1)</f>
        <v>1</v>
      </c>
      <c r="I238" s="1615" t="str" cm="1">
        <f t="array" aca="1" ref="I238" ca="1">OFFSET(POrigin,MATCH(Valori[[#This Row],[LUKB_id]],PID,0),MATCH("M_NAME",PLabel,0)-1,1,1)</f>
        <v>VanEck Vectors UCITS ETFs Plc - VanEck Defense UCITS ETF</v>
      </c>
      <c r="J238" s="1611" t="s">
        <v>4473</v>
      </c>
      <c r="K238" s="1611"/>
      <c r="L238" s="1614"/>
      <c r="M238" s="1611" t="str" cm="1">
        <f t="array" aca="1" ref="M2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Defense UCITS ETF (USD)</v>
      </c>
      <c r="N238" s="1616">
        <f ca="1">COUNTIF('CHF M'!smo_id,Valori[[#This Row],[smo_id]])+COUNTIF('CHF MA'!smo_id,Valori[[#This Row],[smo_id]])+COUNTIF('EUR MB'!smo_id,Valori[[#This Row],[smo_id]])+COUNTIF('EUR M'!smo_id,Valori[[#This Row],[smo_id]])+COUNTIF(AGCO!smo_id,Valori[[#This Row],[smo_id]])</f>
        <v>3</v>
      </c>
      <c r="O238" s="1842" cm="1">
        <f t="array" aca="1" ref="O238" ca="1">SUM(IF('CHF M'!smo_id=Valori[[#This Row],[smo_id]],'CHF M'!Posizione))+SUM(IF('CHF MA'!smo_id=Valori[[#This Row],[smo_id]],'CHF MA'!Posizione))+SUM(IF('EUR MB'!smo_id=Valori[[#This Row],[smo_id]],'EUR MB'!Posizione))+SUM(IF('EUR M'!smo_id=Valori[[#This Row],[smo_id]],'EUR M'!Posizione))+SUM(IF(AGCO!smo_id=Valori[[#This Row],[smo_id]],AGCO!Posizione))</f>
        <v>4185</v>
      </c>
      <c r="P238" s="1843" t="str">
        <f ca="1">HYPERLINK(Valori[[#This Row],[P_Source]],"è")</f>
        <v>è</v>
      </c>
      <c r="Q238" s="1844" t="str">
        <f>HYPERLINK(Valori[[#This Row],[Info_W]],"i")</f>
        <v>i</v>
      </c>
      <c r="R238" s="1845" t="str">
        <f>HYPERLINK(Valori[[#This Row],[FN_W]],"")</f>
        <v></v>
      </c>
      <c r="S238" s="1846" t="str">
        <f>HYPERLINK(Valori[[#This Row],[MS_Link]],"")</f>
        <v></v>
      </c>
      <c r="T238" s="1846" t="str">
        <f>HYPERLINK(Valori[[#This Row],[C_source]],"")</f>
        <v></v>
      </c>
      <c r="U238" s="1611" t="str" cm="1">
        <f t="array" aca="1" ref="U238" ca="1">OFFSET(POrigin,MATCH(Valori[[#This Row],[LUKB_id]],PID,0),MATCH("M_CUR",PLabel,0)-1,1,1)</f>
        <v>USD</v>
      </c>
      <c r="V238" s="1617">
        <f ca="1">(Valori[[#This Row],[Last]]+Valori[[#This Row],[Acc. Int]])/Valori[[#This Row],[Pr.Amt]]/IF(Valori[[#This Row],[P_Type]]="Pct",100,1)</f>
        <v>72.2</v>
      </c>
      <c r="W238" s="1847" cm="1">
        <f t="array" aca="1" ref="W238" ca="1">OFFSET(POrigin,MATCH(Valori[[#This Row],[LUKB_id]],PID,0),MATCH("NC2_PR",PLabel,0)-1,1,1)/100</f>
        <v>3.7536493813430001E-3</v>
      </c>
      <c r="X238" s="1848" cm="1">
        <f t="array" aca="1" ref="X238" ca="1">OFFSET(POrigin,MATCH(Valori[[#This Row],[LUKB_id]],PID,0),MATCH("LVAL",PLabel,0)-1,1,1)</f>
        <v>72.2</v>
      </c>
      <c r="Y238" s="1849" cm="1">
        <f t="array" aca="1" ref="Y238" ca="1">OFFSET(POrigin,MATCH(Valori[[#This Row],[LUKB_id]],PID,0),MATCH("LVAL:datetime",PLabel,0)-1,1,1)</f>
        <v>46084.732789351852</v>
      </c>
      <c r="Z238" s="1850" cm="1">
        <f t="array" aca="1" ref="Z238" ca="1">OFFSET(POrigin,MATCH(Valori[[#This Row],[LUKB_id]],PID,0),MATCH("BID:volume",PLabel,0)-1,1,1)</f>
        <v>6</v>
      </c>
      <c r="AA238" s="1851" cm="1">
        <f t="array" aca="1" ref="AA238" ca="1">OFFSET(POrigin,MATCH(Valori[[#This Row],[LUKB_id]],PID,0),MATCH("BID",PLabel,0)-1,1,1)</f>
        <v>70</v>
      </c>
      <c r="AB238" s="1851" cm="1">
        <f t="array" aca="1" ref="AB238" ca="1">OFFSET(POrigin,MATCH(Valori[[#This Row],[LUKB_id]],PID,0),MATCH("ASK",PLabel,0)-1,1,1)</f>
        <v>74</v>
      </c>
      <c r="AC238" s="1852" cm="1">
        <f t="array" aca="1" ref="AC238" ca="1">OFFSET(POrigin,MATCH(Valori[[#This Row],[LUKB_id]],PID,0),MATCH("ASK:volume",PLabel,0)-1,1,1)</f>
        <v>820</v>
      </c>
      <c r="AD238" s="1853" cm="1">
        <f t="array" aca="1" ref="AD238" ca="1">OFFSET(POrigin,MATCH(Valori[[#This Row],[LUKB_id]],PID,0),MATCH("BID-ASK Spread %",PLabel,0)-1,1,1)</f>
        <v>3.7383177570093455E-2</v>
      </c>
      <c r="AE238" s="1854" t="str" cm="1">
        <f t="array" aca="1" ref="AE238" ca="1">IF(OFFSET(POrigin,MATCH(Valori[[#This Row],[LUKB_id]],PID,0),MATCH("MATURITY",PLabel,0)-1,1,1)&gt;0,OFFSET(POrigin,MATCH(Valori[[#This Row],[LUKB_id]],PID,0),MATCH("MATURITY",PLabel,0)-1,1,1),"")</f>
        <v/>
      </c>
      <c r="AF238" s="1855" cm="1">
        <f t="array" aca="1" ref="AF238" ca="1">OFFSET(POrigin,MATCH(Valori[[#This Row],[LUKB_id]],PID,0),MATCH("ACCINT",PLabel,0)-1,1,1)</f>
        <v>0</v>
      </c>
      <c r="AG238" s="1850" cm="1">
        <f t="array" aca="1" ref="AG238" ca="1">OFFSET(POrigin,MATCH(Valori[[#This Row],[LUKB_id]],PID,0),MATCH("DENOM",PLabel,0)-1,1,1)</f>
        <v>0</v>
      </c>
      <c r="AH238" s="1856" cm="1">
        <f t="array" aca="1" ref="AH238" ca="1">(OFFSET(POrigin,MATCH(Valori[[#This Row],[LUKB_id]],PID,0),MATCH("YIELD",PLabel,0)-1,1,1)+OFFSET(POrigin,MATCH(Valori[[#This Row],[LUKB_id]],PID,0),MATCH("YLDEQ",PLabel,0)-1,1,1))/100</f>
        <v>0</v>
      </c>
      <c r="AI238" s="1857">
        <f ca="1">OFFSET(POrigin,MATCH(Valori[[#This Row],[LUKB_id]],PID,0),MATCH("DIVIDEND",PLabel,0)-1,1,1)</f>
        <v>0</v>
      </c>
      <c r="AJ238" s="1858">
        <f ca="1">OFFSET(POrigin,MATCH(Valori[[#This Row],[LUKB_id]],PID,0),MATCH("DIVIDEND:datetime",PLabel,0)-1,1,1)</f>
        <v>0</v>
      </c>
      <c r="AK238" s="1859">
        <f ca="1">OFFSET(POrigin,MATCH(Valori[[#This Row],[LUKB_id]],PID,0),MATCH("INTEREST",PLabel,0)-1,1,1)</f>
        <v>0</v>
      </c>
      <c r="AL238" s="1860">
        <f ca="1">OFFSET(POrigin,MATCH(Valori[[#This Row],[LUKB_id]],PID,0),MATCH("4W_PERF_PR",PLabel,0)-1,1,1)/100</f>
        <v>6.4120399999999999E-3</v>
      </c>
      <c r="AM238" s="1860">
        <f ca="1">OFFSET(POrigin,MATCH(Valori[[#This Row],[LUKB_id]],PID,0),MATCH("12W_PERF_PR",PLabel,0)-1,1,1)/100</f>
        <v>0.19063324999999998</v>
      </c>
      <c r="AN238" s="1860">
        <f ca="1">OFFSET(POrigin,MATCH(Valori[[#This Row],[LUKB_id]],PID,0),MATCH("YTD_PERF_PR",PLabel,0)-1,1,1)/100</f>
        <v>0.17686518324607403</v>
      </c>
      <c r="AO238" s="1847"/>
      <c r="AP238" s="1847"/>
      <c r="AQ238" s="1847"/>
      <c r="AR238" s="1847"/>
      <c r="AS238" s="1618"/>
      <c r="AT238" s="1618"/>
      <c r="AU238" s="1861"/>
      <c r="AV238" s="1862"/>
      <c r="AW238" s="1863" t="str">
        <f ca="1">"https://boersenundmaerkte.lukb.ch/lukb/details/"&amp;Valori[[#This Row],[LUKB_id]]</f>
        <v>https://boersenundmaerkte.lukb.ch/lukb/details/125816101,361,333</v>
      </c>
      <c r="AX238" s="186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38" s="142"/>
      <c r="AZ238" s="142"/>
      <c r="BA238" s="142"/>
      <c r="BB238" s="142"/>
    </row>
    <row r="239" spans="1:54" ht="15" customHeight="1" x14ac:dyDescent="0.2">
      <c r="A239" s="142" t="s">
        <v>1588</v>
      </c>
      <c r="B239" s="142" t="str" cm="1">
        <f t="array" aca="1" ref="B239" ca="1">OFFSET(POrigin,MATCH(Valori[[#This Row],[smo_id]],Posizioni[smo_id],0),MATCH("LUKB_id",PIntestazioni,0)-1,1,1)</f>
        <v>32071836,537,333</v>
      </c>
      <c r="C239" s="1668" t="str">
        <f ca="1">HYPERLINK("https://boersenundmaerkte.lukb.ch/lukb/details/"&amp;Valori[[#This Row],[LUKB_id]],"è")</f>
        <v>è</v>
      </c>
      <c r="D239" s="142" t="str" cm="1">
        <f t="array" aca="1" ref="D239" ca="1">OFFSET(POrigin,MATCH(Valori[[#This Row],[LUKB_id]],PID,0),MATCH("SC_GROUPED",PIntestazioni,0)-1,1,1)</f>
        <v>ETF</v>
      </c>
      <c r="E239" s="413" t="str" cm="1">
        <f t="array" aca="1" ref="E239" ca="1">OFFSET(POrigin,MATCH(Valori[[#This Row],[LUKB_id]],PID,0),MATCH("isin",PIntestazioni,0)-1,1,1)</f>
        <v>US92189F6768</v>
      </c>
      <c r="F239" s="34" t="str" cm="1">
        <f t="array" aca="1" ref="F239" ca="1">OFFSET(POrigin,MATCH(Valori[[#This Row],[LUKB_id]],PID,0),MATCH("NSIN_CH",PLabel,0)-1,1,1)</f>
        <v>32071836</v>
      </c>
      <c r="G239" s="95" t="str" cm="1">
        <f t="array" aca="1" ref="G239" ca="1">IF(OFFSET(POrigin,MATCH(Valori[[#This Row],[LUKB_id]],PID,0),MATCH("INSTRUNIT",PLabel,0)-1,1,1)="Nominal","Pct","Unit")</f>
        <v>Unit</v>
      </c>
      <c r="H239" s="612">
        <f ca="1">MAX(OFFSET(POrigin,MATCH(Valori[[#This Row],[LUKB_id]],PID,0),MATCH("PRICINGAMT",PLabel,0)-1,1,1),1)</f>
        <v>1</v>
      </c>
      <c r="I239" s="615" t="str" cm="1">
        <f t="array" aca="1" ref="I239" ca="1">OFFSET(POrigin,MATCH(Valori[[#This Row],[LUKB_id]],PID,0),MATCH("M_NAME",PLabel,0)-1,1,1)</f>
        <v>VanEck Semiconductor ETF</v>
      </c>
      <c r="M239" s="142" t="str" cm="1">
        <f t="array" aca="1" ref="M2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Semiconductor ETF</v>
      </c>
      <c r="N239" s="1563">
        <f ca="1">COUNTIF('CHF M'!smo_id,Valori[[#This Row],[smo_id]])+COUNTIF('CHF MA'!smo_id,Valori[[#This Row],[smo_id]])+COUNTIF('EUR MB'!smo_id,Valori[[#This Row],[smo_id]])+COUNTIF('EUR M'!smo_id,Valori[[#This Row],[smo_id]])+COUNTIF(AGCO!smo_id,Valori[[#This Row],[smo_id]])</f>
        <v>0</v>
      </c>
      <c r="O239" s="1590" cm="1">
        <f t="array" aca="1" ref="O239" ca="1">SUM(IF('CHF M'!smo_id=Valori[[#This Row],[smo_id]],'CHF M'!Posizione))+SUM(IF('CHF MA'!smo_id=Valori[[#This Row],[smo_id]],'CHF MA'!Posizione))+SUM(IF('EUR MB'!smo_id=Valori[[#This Row],[smo_id]],'EUR MB'!Posizione))+SUM(IF('EUR M'!smo_id=Valori[[#This Row],[smo_id]],'EUR M'!Posizione))+SUM(IF(AGCO!smo_id=Valori[[#This Row],[smo_id]],AGCO!Posizione))</f>
        <v>0</v>
      </c>
      <c r="P239" s="1661" t="str">
        <f ca="1">HYPERLINK(Valori[[#This Row],[P_Source]],"è")</f>
        <v>è</v>
      </c>
      <c r="Q239" s="1663" t="str">
        <f>HYPERLINK(Valori[[#This Row],[Info_W]],"i")</f>
        <v>i</v>
      </c>
      <c r="R239" s="1664" t="str">
        <f>HYPERLINK(Valori[[#This Row],[FN_W]],"")</f>
        <v></v>
      </c>
      <c r="S239" s="1665" t="str">
        <f>HYPERLINK(Valori[[#This Row],[MS_Link]],"")</f>
        <v></v>
      </c>
      <c r="T239" s="1665" t="str">
        <f>HYPERLINK(Valori[[#This Row],[C_source]],"")</f>
        <v></v>
      </c>
      <c r="U239" s="142" t="str" cm="1">
        <f t="array" aca="1" ref="U239" ca="1">OFFSET(POrigin,MATCH(Valori[[#This Row],[LUKB_id]],PID,0),MATCH("M_CUR",PLabel,0)-1,1,1)</f>
        <v>USD</v>
      </c>
      <c r="V239" s="1562">
        <f ca="1">(Valori[[#This Row],[Last]]+Valori[[#This Row],[Acc. Int]])/Valori[[#This Row],[Pr.Amt]]/IF(Valori[[#This Row],[P_Type]]="Pct",100,1)</f>
        <v>392.67</v>
      </c>
      <c r="W239" s="1591" cm="1">
        <f t="array" aca="1" ref="W239" ca="1">OFFSET(POrigin,MATCH(Valori[[#This Row],[LUKB_id]],PID,0),MATCH("NC2_PR",PLabel,0)-1,1,1)/100</f>
        <v>-3.3834493959005001E-2</v>
      </c>
      <c r="X239" s="1592" cm="1">
        <f t="array" aca="1" ref="X239" ca="1">OFFSET(POrigin,MATCH(Valori[[#This Row],[LUKB_id]],PID,0),MATCH("LVAL",PLabel,0)-1,1,1)</f>
        <v>392.67</v>
      </c>
      <c r="Y239" s="1593" cm="1">
        <f t="array" aca="1" ref="Y239" ca="1">OFFSET(POrigin,MATCH(Valori[[#This Row],[LUKB_id]],PID,0),MATCH("LVAL:datetime",PLabel,0)-1,1,1)</f>
        <v>46084.785902777781</v>
      </c>
      <c r="Z239" s="1594" cm="1">
        <f t="array" aca="1" ref="Z239" ca="1">OFFSET(POrigin,MATCH(Valori[[#This Row],[LUKB_id]],PID,0),MATCH("BID:volume",PLabel,0)-1,1,1)</f>
        <v>40</v>
      </c>
      <c r="AA239" s="1595" cm="1">
        <f t="array" aca="1" ref="AA239" ca="1">OFFSET(POrigin,MATCH(Valori[[#This Row],[LUKB_id]],PID,0),MATCH("BID",PLabel,0)-1,1,1)</f>
        <v>392.64</v>
      </c>
      <c r="AB239" s="1595" cm="1">
        <f t="array" aca="1" ref="AB239" ca="1">OFFSET(POrigin,MATCH(Valori[[#This Row],[LUKB_id]],PID,0),MATCH("ASK",PLabel,0)-1,1,1)</f>
        <v>392.68</v>
      </c>
      <c r="AC239" s="1594" cm="1">
        <f t="array" aca="1" ref="AC239" ca="1">OFFSET(POrigin,MATCH(Valori[[#This Row],[LUKB_id]],PID,0),MATCH("ASK:volume",PLabel,0)-1,1,1)</f>
        <v>40</v>
      </c>
      <c r="AD239" s="1596" cm="1">
        <f t="array" aca="1" ref="AD239" ca="1">OFFSET(POrigin,MATCH(Valori[[#This Row],[LUKB_id]],PID,0),MATCH("BID-ASK Spread %",PLabel,0)-1,1,1)</f>
        <v>6.7914020849639141E-5</v>
      </c>
      <c r="AE239" s="1597" t="str" cm="1">
        <f t="array" aca="1" ref="AE239" ca="1">IF(OFFSET(POrigin,MATCH(Valori[[#This Row],[LUKB_id]],PID,0),MATCH("MATURITY",PLabel,0)-1,1,1)&gt;0,OFFSET(POrigin,MATCH(Valori[[#This Row],[LUKB_id]],PID,0),MATCH("MATURITY",PLabel,0)-1,1,1),"")</f>
        <v/>
      </c>
      <c r="AF239" s="1598" cm="1">
        <f t="array" aca="1" ref="AF239" ca="1">OFFSET(POrigin,MATCH(Valori[[#This Row],[LUKB_id]],PID,0),MATCH("ACCINT",PLabel,0)-1,1,1)</f>
        <v>0</v>
      </c>
      <c r="AG239" s="1594" cm="1">
        <f t="array" aca="1" ref="AG239" ca="1">OFFSET(POrigin,MATCH(Valori[[#This Row],[LUKB_id]],PID,0),MATCH("DENOM",PLabel,0)-1,1,1)</f>
        <v>0</v>
      </c>
      <c r="AH239" s="1599" cm="1">
        <f t="array" aca="1" ref="AH239" ca="1">(OFFSET(POrigin,MATCH(Valori[[#This Row],[LUKB_id]],PID,0),MATCH("YIELD",PLabel,0)-1,1,1)+OFFSET(POrigin,MATCH(Valori[[#This Row],[LUKB_id]],PID,0),MATCH("YLDEQ",PLabel,0)-1,1,1))/100</f>
        <v>0</v>
      </c>
      <c r="AI239" s="1600">
        <f ca="1">OFFSET(POrigin,MATCH(Valori[[#This Row],[LUKB_id]],PID,0),MATCH("DIVIDEND",PLabel,0)-1,1,1)</f>
        <v>1.1047</v>
      </c>
      <c r="AJ239" s="1601">
        <f ca="1">OFFSET(POrigin,MATCH(Valori[[#This Row],[LUKB_id]],PID,0),MATCH("DIVIDEND:datetime",PLabel,0)-1,1,1)</f>
        <v>46013</v>
      </c>
      <c r="AK239" s="1602">
        <f ca="1">OFFSET(POrigin,MATCH(Valori[[#This Row],[LUKB_id]],PID,0),MATCH("INTEREST",PLabel,0)-1,1,1)</f>
        <v>0</v>
      </c>
      <c r="AL239" s="1603">
        <f ca="1">OFFSET(POrigin,MATCH(Valori[[#This Row],[LUKB_id]],PID,0),MATCH("4W_PERF_PR",PLabel,0)-1,1,1)/100</f>
        <v>-1.2598069999999999E-2</v>
      </c>
      <c r="AM239" s="1603">
        <f ca="1">OFFSET(POrigin,MATCH(Valori[[#This Row],[LUKB_id]],PID,0),MATCH("12W_PERF_PR",PLabel,0)-1,1,1)/100</f>
        <v>6.4146339999999996E-2</v>
      </c>
      <c r="AN239" s="1603">
        <f ca="1">OFFSET(POrigin,MATCH(Valori[[#This Row],[LUKB_id]],PID,0),MATCH("YTD_PERF_PR",PLabel,0)-1,1,1)/100</f>
        <v>0.128453613972733</v>
      </c>
      <c r="AO239" s="1591"/>
      <c r="AP239" s="1591"/>
      <c r="AQ239" s="1591"/>
      <c r="AR239" s="1591"/>
      <c r="AS239" s="1890"/>
      <c r="AT239" s="1890"/>
      <c r="AU239" s="610"/>
      <c r="AV239" s="1891"/>
      <c r="AW239" s="1604" t="str">
        <f ca="1">"https://boersenundmaerkte.lukb.ch/lukb/details/"&amp;Valori[[#This Row],[LUKB_id]]</f>
        <v>https://boersenundmaerkte.lukb.ch/lukb/details/32071836,537,333</v>
      </c>
      <c r="AX23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39" s="142"/>
      <c r="AZ239" s="142"/>
      <c r="BA239" s="142"/>
      <c r="BB239" s="142"/>
    </row>
    <row r="240" spans="1:54" ht="15" customHeight="1" x14ac:dyDescent="0.2">
      <c r="A240" s="142" t="s">
        <v>1589</v>
      </c>
      <c r="B240" s="142" t="str" cm="1">
        <f t="array" aca="1" ref="B240" ca="1">OFFSET(POrigin,MATCH(Valori[[#This Row],[smo_id]],Posizioni[smo_id],0),MATCH("LUKB_id",PIntestazioni,0)-1,1,1)</f>
        <v>57720860,361,333</v>
      </c>
      <c r="C240" s="1668" t="str">
        <f ca="1">HYPERLINK("https://boersenundmaerkte.lukb.ch/lukb/details/"&amp;Valori[[#This Row],[LUKB_id]],"è")</f>
        <v>è</v>
      </c>
      <c r="D240" s="142" t="str" cm="1">
        <f t="array" aca="1" ref="D240" ca="1">OFFSET(POrigin,MATCH(Valori[[#This Row],[LUKB_id]],PID,0),MATCH("SC_GROUPED",PIntestazioni,0)-1,1,1)</f>
        <v>ETF</v>
      </c>
      <c r="E240" s="413" t="str" cm="1">
        <f t="array" aca="1" ref="E240" ca="1">OFFSET(POrigin,MATCH(Valori[[#This Row],[LUKB_id]],PID,0),MATCH("isin",PIntestazioni,0)-1,1,1)</f>
        <v>IE00BMC38736</v>
      </c>
      <c r="F240" s="34" t="str" cm="1">
        <f t="array" aca="1" ref="F240" ca="1">OFFSET(POrigin,MATCH(Valori[[#This Row],[LUKB_id]],PID,0),MATCH("NSIN_CH",PLabel,0)-1,1,1)</f>
        <v>57720860</v>
      </c>
      <c r="G240" s="95" t="str" cm="1">
        <f t="array" aca="1" ref="G240" ca="1">IF(OFFSET(POrigin,MATCH(Valori[[#This Row],[LUKB_id]],PID,0),MATCH("INSTRUNIT",PLabel,0)-1,1,1)="Nominal","Pct","Unit")</f>
        <v>Unit</v>
      </c>
      <c r="H240" s="612">
        <f ca="1">MAX(OFFSET(POrigin,MATCH(Valori[[#This Row],[LUKB_id]],PID,0),MATCH("PRICINGAMT",PLabel,0)-1,1,1),1)</f>
        <v>1</v>
      </c>
      <c r="I240" s="615" t="str" cm="1">
        <f t="array" aca="1" ref="I240" ca="1">OFFSET(POrigin,MATCH(Valori[[#This Row],[LUKB_id]],PID,0),MATCH("M_NAME",PLabel,0)-1,1,1)</f>
        <v>VanEck UCITS ETFs PLC - VanEck Semiconductor UCITS ETF</v>
      </c>
      <c r="M240" s="142" t="str" cm="1">
        <f t="array" aca="1" ref="M2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UCITS ETFs PLC - VanEck Semiconductor UCITS ETF</v>
      </c>
      <c r="N240" s="1563">
        <f ca="1">COUNTIF('CHF M'!smo_id,Valori[[#This Row],[smo_id]])+COUNTIF('CHF MA'!smo_id,Valori[[#This Row],[smo_id]])+COUNTIF('EUR MB'!smo_id,Valori[[#This Row],[smo_id]])+COUNTIF('EUR M'!smo_id,Valori[[#This Row],[smo_id]])+COUNTIF(AGCO!smo_id,Valori[[#This Row],[smo_id]])</f>
        <v>0</v>
      </c>
      <c r="O240" s="1590" cm="1">
        <f t="array" aca="1" ref="O240" ca="1">SUM(IF('CHF M'!smo_id=Valori[[#This Row],[smo_id]],'CHF M'!Posizione))+SUM(IF('CHF MA'!smo_id=Valori[[#This Row],[smo_id]],'CHF MA'!Posizione))+SUM(IF('EUR MB'!smo_id=Valori[[#This Row],[smo_id]],'EUR MB'!Posizione))+SUM(IF('EUR M'!smo_id=Valori[[#This Row],[smo_id]],'EUR M'!Posizione))+SUM(IF(AGCO!smo_id=Valori[[#This Row],[smo_id]],AGCO!Posizione))</f>
        <v>0</v>
      </c>
      <c r="P240" s="1661" t="str">
        <f ca="1">HYPERLINK(Valori[[#This Row],[P_Source]],"è")</f>
        <v>è</v>
      </c>
      <c r="Q240" s="1663" t="str">
        <f>HYPERLINK(Valori[[#This Row],[Info_W]],"i")</f>
        <v>i</v>
      </c>
      <c r="R240" s="1664" t="str">
        <f>HYPERLINK(Valori[[#This Row],[FN_W]],"")</f>
        <v></v>
      </c>
      <c r="S240" s="1665" t="str">
        <f>HYPERLINK(Valori[[#This Row],[MS_Link]],"")</f>
        <v></v>
      </c>
      <c r="T240" s="1665" t="str">
        <f>HYPERLINK(Valori[[#This Row],[C_source]],"")</f>
        <v></v>
      </c>
      <c r="U240" s="142" t="str" cm="1">
        <f t="array" aca="1" ref="U240" ca="1">OFFSET(POrigin,MATCH(Valori[[#This Row],[LUKB_id]],PID,0),MATCH("M_CUR",PLabel,0)-1,1,1)</f>
        <v>USD</v>
      </c>
      <c r="V240" s="1562">
        <f ca="1">(Valori[[#This Row],[Last]]+Valori[[#This Row],[Acc. Int]])/Valori[[#This Row],[Pr.Amt]]/IF(Valori[[#This Row],[P_Type]]="Pct",100,1)</f>
        <v>68.52</v>
      </c>
      <c r="W240" s="1591" cm="1">
        <f t="array" aca="1" ref="W240" ca="1">OFFSET(POrigin,MATCH(Valori[[#This Row],[LUKB_id]],PID,0),MATCH("NC2_PR",PLabel,0)-1,1,1)/100</f>
        <v>-3.3022861981371804E-2</v>
      </c>
      <c r="X240" s="1592" cm="1">
        <f t="array" aca="1" ref="X240" ca="1">OFFSET(POrigin,MATCH(Valori[[#This Row],[LUKB_id]],PID,0),MATCH("LVAL",PLabel,0)-1,1,1)</f>
        <v>68.52</v>
      </c>
      <c r="Y240" s="1593" cm="1">
        <f t="array" aca="1" ref="Y240" ca="1">OFFSET(POrigin,MATCH(Valori[[#This Row],[LUKB_id]],PID,0),MATCH("LVAL:datetime",PLabel,0)-1,1,1)</f>
        <v>46084.732777777775</v>
      </c>
      <c r="Z240" s="1594" cm="1">
        <f t="array" aca="1" ref="Z240" ca="1">OFFSET(POrigin,MATCH(Valori[[#This Row],[LUKB_id]],PID,0),MATCH("BID:volume",PLabel,0)-1,1,1)</f>
        <v>210</v>
      </c>
      <c r="AA240" s="1595" cm="1">
        <f t="array" aca="1" ref="AA240" ca="1">OFFSET(POrigin,MATCH(Valori[[#This Row],[LUKB_id]],PID,0),MATCH("BID",PLabel,0)-1,1,1)</f>
        <v>56</v>
      </c>
      <c r="AB240" s="1595" cm="1">
        <f t="array" aca="1" ref="AB240" ca="1">OFFSET(POrigin,MATCH(Valori[[#This Row],[LUKB_id]],PID,0),MATCH("ASK",PLabel,0)-1,1,1)</f>
        <v>75</v>
      </c>
      <c r="AC240" s="1594" cm="1">
        <f t="array" aca="1" ref="AC240" ca="1">OFFSET(POrigin,MATCH(Valori[[#This Row],[LUKB_id]],PID,0),MATCH("ASK:volume",PLabel,0)-1,1,1)</f>
        <v>40</v>
      </c>
      <c r="AD240" s="1596" cm="1">
        <f t="array" aca="1" ref="AD240" ca="1">OFFSET(POrigin,MATCH(Valori[[#This Row],[LUKB_id]],PID,0),MATCH("BID-ASK Spread %",PLabel,0)-1,1,1)</f>
        <v>0.20320855614973263</v>
      </c>
      <c r="AE240" s="1597" t="str" cm="1">
        <f t="array" aca="1" ref="AE240" ca="1">IF(OFFSET(POrigin,MATCH(Valori[[#This Row],[LUKB_id]],PID,0),MATCH("MATURITY",PLabel,0)-1,1,1)&gt;0,OFFSET(POrigin,MATCH(Valori[[#This Row],[LUKB_id]],PID,0),MATCH("MATURITY",PLabel,0)-1,1,1),"")</f>
        <v/>
      </c>
      <c r="AF240" s="1598" cm="1">
        <f t="array" aca="1" ref="AF240" ca="1">OFFSET(POrigin,MATCH(Valori[[#This Row],[LUKB_id]],PID,0),MATCH("ACCINT",PLabel,0)-1,1,1)</f>
        <v>0</v>
      </c>
      <c r="AG240" s="1594" cm="1">
        <f t="array" aca="1" ref="AG240" ca="1">OFFSET(POrigin,MATCH(Valori[[#This Row],[LUKB_id]],PID,0),MATCH("DENOM",PLabel,0)-1,1,1)</f>
        <v>0</v>
      </c>
      <c r="AH240" s="1599" cm="1">
        <f t="array" aca="1" ref="AH240" ca="1">(OFFSET(POrigin,MATCH(Valori[[#This Row],[LUKB_id]],PID,0),MATCH("YIELD",PLabel,0)-1,1,1)+OFFSET(POrigin,MATCH(Valori[[#This Row],[LUKB_id]],PID,0),MATCH("YLDEQ",PLabel,0)-1,1,1))/100</f>
        <v>0</v>
      </c>
      <c r="AI240" s="1600">
        <f ca="1">OFFSET(POrigin,MATCH(Valori[[#This Row],[LUKB_id]],PID,0),MATCH("DIVIDEND",PLabel,0)-1,1,1)</f>
        <v>0</v>
      </c>
      <c r="AJ240" s="1601">
        <f ca="1">OFFSET(POrigin,MATCH(Valori[[#This Row],[LUKB_id]],PID,0),MATCH("DIVIDEND:datetime",PLabel,0)-1,1,1)</f>
        <v>0</v>
      </c>
      <c r="AK240" s="1602">
        <f ca="1">OFFSET(POrigin,MATCH(Valori[[#This Row],[LUKB_id]],PID,0),MATCH("INTEREST",PLabel,0)-1,1,1)</f>
        <v>0</v>
      </c>
      <c r="AL240" s="1603">
        <f ca="1">OFFSET(POrigin,MATCH(Valori[[#This Row],[LUKB_id]],PID,0),MATCH("4W_PERF_PR",PLabel,0)-1,1,1)/100</f>
        <v>-3.642244E-2</v>
      </c>
      <c r="AM240" s="1603">
        <f ca="1">OFFSET(POrigin,MATCH(Valori[[#This Row],[LUKB_id]],PID,0),MATCH("12W_PERF_PR",PLabel,0)-1,1,1)/100</f>
        <v>8.6584209999999995E-2</v>
      </c>
      <c r="AN240" s="1603">
        <f ca="1">OFFSET(POrigin,MATCH(Valori[[#This Row],[LUKB_id]],PID,0),MATCH("YTD_PERF_PR",PLabel,0)-1,1,1)/100</f>
        <v>0.137582276448869</v>
      </c>
      <c r="AO240" s="1591"/>
      <c r="AP240" s="1591"/>
      <c r="AQ240" s="1591"/>
      <c r="AR240" s="1591"/>
      <c r="AS240" s="1890"/>
      <c r="AT240" s="1890"/>
      <c r="AU240" s="610"/>
      <c r="AV240" s="1891"/>
      <c r="AW240" s="1604" t="str">
        <f ca="1">"https://boersenundmaerkte.lukb.ch/lukb/details/"&amp;Valori[[#This Row],[LUKB_id]]</f>
        <v>https://boersenundmaerkte.lukb.ch/lukb/details/57720860,361,333</v>
      </c>
      <c r="AX24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0" s="142"/>
      <c r="AZ240" s="142"/>
      <c r="BA240" s="142"/>
      <c r="BB240" s="142"/>
    </row>
    <row r="241" spans="1:54" ht="15" customHeight="1" x14ac:dyDescent="0.2">
      <c r="A241" s="142" t="s">
        <v>4241</v>
      </c>
      <c r="B241" s="142" t="str" cm="1">
        <f t="array" aca="1" ref="B241" ca="1">OFFSET(POrigin,MATCH(Valori[[#This Row],[smo_id]],Posizioni[smo_id],0),MATCH("LUKB_id",PIntestazioni,0)-1,1,1)</f>
        <v>32071842,321,333</v>
      </c>
      <c r="C241" s="1668" t="str">
        <f ca="1">HYPERLINK("https://boersenundmaerkte.lukb.ch/lukb/details/"&amp;Valori[[#This Row],[LUKB_id]],"è")</f>
        <v>è</v>
      </c>
      <c r="D241" s="142" t="str" cm="1">
        <f t="array" aca="1" ref="D241" ca="1">OFFSET(POrigin,MATCH(Valori[[#This Row],[LUKB_id]],PID,0),MATCH("SC_GROUPED",PIntestazioni,0)-1,1,1)</f>
        <v>ETF</v>
      </c>
      <c r="E241" s="413" t="str" cm="1">
        <f t="array" aca="1" ref="E241" ca="1">OFFSET(POrigin,MATCH(Valori[[#This Row],[LUKB_id]],PID,0),MATCH("isin",PIntestazioni,0)-1,1,1)</f>
        <v>US92189F8178</v>
      </c>
      <c r="F241" s="34" t="str" cm="1">
        <f t="array" aca="1" ref="F241" ca="1">OFFSET(POrigin,MATCH(Valori[[#This Row],[LUKB_id]],PID,0),MATCH("NSIN_CH",PLabel,0)-1,1,1)</f>
        <v>32071842</v>
      </c>
      <c r="G241" s="95" t="str" cm="1">
        <f t="array" aca="1" ref="G241" ca="1">IF(OFFSET(POrigin,MATCH(Valori[[#This Row],[LUKB_id]],PID,0),MATCH("INSTRUNIT",PLabel,0)-1,1,1)="Nominal","Pct","Unit")</f>
        <v>Unit</v>
      </c>
      <c r="H241" s="612">
        <f ca="1">MAX(OFFSET(POrigin,MATCH(Valori[[#This Row],[LUKB_id]],PID,0),MATCH("PRICINGAMT",PLabel,0)-1,1,1),1)</f>
        <v>1</v>
      </c>
      <c r="I241" s="615" t="str" cm="1">
        <f t="array" aca="1" ref="I241" ca="1">OFFSET(POrigin,MATCH(Valori[[#This Row],[LUKB_id]],PID,0),MATCH("M_NAME",PLabel,0)-1,1,1)</f>
        <v>VanEck Vietnam ETF</v>
      </c>
      <c r="M241" s="142" t="str" cm="1">
        <f t="array" aca="1" ref="M2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Vietnam ETF</v>
      </c>
      <c r="N241" s="1563">
        <f ca="1">COUNTIF('CHF M'!smo_id,Valori[[#This Row],[smo_id]])+COUNTIF('CHF MA'!smo_id,Valori[[#This Row],[smo_id]])+COUNTIF('EUR MB'!smo_id,Valori[[#This Row],[smo_id]])+COUNTIF('EUR M'!smo_id,Valori[[#This Row],[smo_id]])+COUNTIF(AGCO!smo_id,Valori[[#This Row],[smo_id]])</f>
        <v>0</v>
      </c>
      <c r="O241" s="1590" cm="1">
        <f t="array" aca="1" ref="O241" ca="1">SUM(IF('CHF M'!smo_id=Valori[[#This Row],[smo_id]],'CHF M'!Posizione))+SUM(IF('CHF MA'!smo_id=Valori[[#This Row],[smo_id]],'CHF MA'!Posizione))+SUM(IF('EUR MB'!smo_id=Valori[[#This Row],[smo_id]],'EUR MB'!Posizione))+SUM(IF('EUR M'!smo_id=Valori[[#This Row],[smo_id]],'EUR M'!Posizione))+SUM(IF(AGCO!smo_id=Valori[[#This Row],[smo_id]],AGCO!Posizione))</f>
        <v>0</v>
      </c>
      <c r="P241" s="1662" t="str">
        <f ca="1">HYPERLINK(Valori[[#This Row],[P_Source]],"è")</f>
        <v>è</v>
      </c>
      <c r="Q241" s="1663" t="str">
        <f>HYPERLINK(Valori[[#This Row],[Info_W]],"i")</f>
        <v>i</v>
      </c>
      <c r="R241" s="1664" t="str">
        <f>HYPERLINK(Valori[[#This Row],[FN_W]],"")</f>
        <v></v>
      </c>
      <c r="S241" s="1664" t="str">
        <f>HYPERLINK(Valori[[#This Row],[MS_Link]],"")</f>
        <v></v>
      </c>
      <c r="T241" s="1664" t="str">
        <f>HYPERLINK(Valori[[#This Row],[C_source]],"")</f>
        <v></v>
      </c>
      <c r="U241" s="142" t="str" cm="1">
        <f t="array" aca="1" ref="U241" ca="1">OFFSET(POrigin,MATCH(Valori[[#This Row],[LUKB_id]],PID,0),MATCH("M_CUR",PLabel,0)-1,1,1)</f>
        <v>USD</v>
      </c>
      <c r="V241" s="1562">
        <f ca="1">(Valori[[#This Row],[Last]]+Valori[[#This Row],[Acc. Int]])/Valori[[#This Row],[Pr.Amt]]/IF(Valori[[#This Row],[P_Type]]="Pct",100,1)</f>
        <v>18.050700000000003</v>
      </c>
      <c r="W241" s="1591" cm="1">
        <f t="array" aca="1" ref="W241" ca="1">OFFSET(POrigin,MATCH(Valori[[#This Row],[LUKB_id]],PID,0),MATCH("NC2_PR",PLabel,0)-1,1,1)/100</f>
        <v>-3.10950080515296E-2</v>
      </c>
      <c r="X241" s="1592" cm="1">
        <f t="array" aca="1" ref="X241" ca="1">OFFSET(POrigin,MATCH(Valori[[#This Row],[LUKB_id]],PID,0),MATCH("LVAL",PLabel,0)-1,1,1)</f>
        <v>18.050700000000003</v>
      </c>
      <c r="Y241" s="1593" cm="1">
        <f t="array" aca="1" ref="Y241" ca="1">OFFSET(POrigin,MATCH(Valori[[#This Row],[LUKB_id]],PID,0),MATCH("LVAL:datetime",PLabel,0)-1,1,1)</f>
        <v>46084.785787037035</v>
      </c>
      <c r="Z241" s="1594" cm="1">
        <f t="array" aca="1" ref="Z241" ca="1">OFFSET(POrigin,MATCH(Valori[[#This Row],[LUKB_id]],PID,0),MATCH("BID:volume",PLabel,0)-1,1,1)</f>
        <v>100</v>
      </c>
      <c r="AA241" s="1595" cm="1">
        <f t="array" aca="1" ref="AA241" ca="1">OFFSET(POrigin,MATCH(Valori[[#This Row],[LUKB_id]],PID,0),MATCH("BID",PLabel,0)-1,1,1)</f>
        <v>18.05</v>
      </c>
      <c r="AB241" s="1595" cm="1">
        <f t="array" aca="1" ref="AB241" ca="1">OFFSET(POrigin,MATCH(Valori[[#This Row],[LUKB_id]],PID,0),MATCH("ASK",PLabel,0)-1,1,1)</f>
        <v>18.059999999999999</v>
      </c>
      <c r="AC241" s="1594" cm="1">
        <f t="array" aca="1" ref="AC241" ca="1">OFFSET(POrigin,MATCH(Valori[[#This Row],[LUKB_id]],PID,0),MATCH("ASK:volume",PLabel,0)-1,1,1)</f>
        <v>1000</v>
      </c>
      <c r="AD241" s="1596" cm="1">
        <f t="array" aca="1" ref="AD241" ca="1">OFFSET(POrigin,MATCH(Valori[[#This Row],[LUKB_id]],PID,0),MATCH("BID-ASK Spread %",PLabel,0)-1,1,1)</f>
        <v>3.6927621861144799E-4</v>
      </c>
      <c r="AE241" s="1597" t="str" cm="1">
        <f t="array" aca="1" ref="AE241" ca="1">IF(OFFSET(POrigin,MATCH(Valori[[#This Row],[LUKB_id]],PID,0),MATCH("MATURITY",PLabel,0)-1,1,1)&gt;0,OFFSET(POrigin,MATCH(Valori[[#This Row],[LUKB_id]],PID,0),MATCH("MATURITY",PLabel,0)-1,1,1),"")</f>
        <v/>
      </c>
      <c r="AF241" s="1598" cm="1">
        <f t="array" aca="1" ref="AF241" ca="1">OFFSET(POrigin,MATCH(Valori[[#This Row],[LUKB_id]],PID,0),MATCH("ACCINT",PLabel,0)-1,1,1)</f>
        <v>0</v>
      </c>
      <c r="AG241" s="1594" cm="1">
        <f t="array" aca="1" ref="AG241" ca="1">OFFSET(POrigin,MATCH(Valori[[#This Row],[LUKB_id]],PID,0),MATCH("DENOM",PLabel,0)-1,1,1)</f>
        <v>0</v>
      </c>
      <c r="AH241" s="1599" cm="1">
        <f t="array" aca="1" ref="AH241" ca="1">(OFFSET(POrigin,MATCH(Valori[[#This Row],[LUKB_id]],PID,0),MATCH("YIELD",PLabel,0)-1,1,1)+OFFSET(POrigin,MATCH(Valori[[#This Row],[LUKB_id]],PID,0),MATCH("YLDEQ",PLabel,0)-1,1,1))/100</f>
        <v>0</v>
      </c>
      <c r="AI241" s="1600">
        <f ca="1">OFFSET(POrigin,MATCH(Valori[[#This Row],[LUKB_id]],PID,0),MATCH("DIVIDEND",PLabel,0)-1,1,1)</f>
        <v>3.7999999999999999E-2</v>
      </c>
      <c r="AJ241" s="1601">
        <f ca="1">OFFSET(POrigin,MATCH(Valori[[#This Row],[LUKB_id]],PID,0),MATCH("DIVIDEND:datetime",PLabel,0)-1,1,1)</f>
        <v>46013</v>
      </c>
      <c r="AK241" s="1602">
        <f ca="1">OFFSET(POrigin,MATCH(Valori[[#This Row],[LUKB_id]],PID,0),MATCH("INTEREST",PLabel,0)-1,1,1)</f>
        <v>0</v>
      </c>
      <c r="AL241" s="1603">
        <f ca="1">OFFSET(POrigin,MATCH(Valori[[#This Row],[LUKB_id]],PID,0),MATCH("4W_PERF_PR",PLabel,0)-1,1,1)/100</f>
        <v>-2.164228E-2</v>
      </c>
      <c r="AM241" s="1603">
        <f ca="1">OFFSET(POrigin,MATCH(Valori[[#This Row],[LUKB_id]],PID,0),MATCH("12W_PERF_PR",PLabel,0)-1,1,1)/100</f>
        <v>-3.2134049999999997E-2</v>
      </c>
      <c r="AN241" s="1603">
        <f ca="1">OFFSET(POrigin,MATCH(Valori[[#This Row],[LUKB_id]],PID,0),MATCH("YTD_PERF_PR",PLabel,0)-1,1,1)/100</f>
        <v>-2.35849056603776E-2</v>
      </c>
      <c r="AO241" s="1591"/>
      <c r="AP241" s="1591"/>
      <c r="AQ241" s="1591"/>
      <c r="AR241" s="1591"/>
      <c r="AS241" s="1890"/>
      <c r="AT241" s="1890"/>
      <c r="AU241" s="610"/>
      <c r="AV241" s="1891"/>
      <c r="AW241" s="1619" t="str">
        <f ca="1">"https://boersenundmaerkte.lukb.ch/lukb/details/"&amp;Valori[[#This Row],[LUKB_id]]</f>
        <v>https://boersenundmaerkte.lukb.ch/lukb/details/32071842,321,333</v>
      </c>
      <c r="AX241" s="162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1" s="142"/>
      <c r="AZ241" s="142"/>
      <c r="BA241" s="142"/>
      <c r="BB241" s="142"/>
    </row>
    <row r="242" spans="1:54" ht="15" customHeight="1" x14ac:dyDescent="0.2">
      <c r="A242" s="142" t="s">
        <v>1590</v>
      </c>
      <c r="B242" s="142" t="str" cm="1">
        <f t="array" aca="1" ref="B242" ca="1">OFFSET(POrigin,MATCH(Valori[[#This Row],[smo_id]],Posizioni[smo_id],0),MATCH("LUKB_id",PIntestazioni,0)-1,1,1)</f>
        <v>1960404,321,333</v>
      </c>
      <c r="C242" s="1668" t="str">
        <f ca="1">HYPERLINK("https://boersenundmaerkte.lukb.ch/lukb/details/"&amp;Valori[[#This Row],[LUKB_id]],"è")</f>
        <v>è</v>
      </c>
      <c r="D242" s="142" t="str" cm="1">
        <f t="array" aca="1" ref="D242" ca="1">OFFSET(POrigin,MATCH(Valori[[#This Row],[LUKB_id]],PID,0),MATCH("SC_GROUPED",PIntestazioni,0)-1,1,1)</f>
        <v>ETF</v>
      </c>
      <c r="E242" s="413" t="str" cm="1">
        <f t="array" aca="1" ref="E242" ca="1">OFFSET(POrigin,MATCH(Valori[[#This Row],[LUKB_id]],PID,0),MATCH("isin",PIntestazioni,0)-1,1,1)</f>
        <v>US9229085538</v>
      </c>
      <c r="F242" s="34" t="str" cm="1">
        <f t="array" aca="1" ref="F242" ca="1">OFFSET(POrigin,MATCH(Valori[[#This Row],[LUKB_id]],PID,0),MATCH("NSIN_CH",PLabel,0)-1,1,1)</f>
        <v>1960404</v>
      </c>
      <c r="G242" s="95" t="str" cm="1">
        <f t="array" aca="1" ref="G242" ca="1">IF(OFFSET(POrigin,MATCH(Valori[[#This Row],[LUKB_id]],PID,0),MATCH("INSTRUNIT",PLabel,0)-1,1,1)="Nominal","Pct","Unit")</f>
        <v>Unit</v>
      </c>
      <c r="H242" s="612">
        <f ca="1">MAX(OFFSET(POrigin,MATCH(Valori[[#This Row],[LUKB_id]],PID,0),MATCH("PRICINGAMT",PLabel,0)-1,1,1),1)</f>
        <v>1</v>
      </c>
      <c r="I242" s="615" t="str" cm="1">
        <f t="array" aca="1" ref="I242" ca="1">OFFSET(POrigin,MATCH(Valori[[#This Row],[LUKB_id]],PID,0),MATCH("M_NAME",PLabel,0)-1,1,1)</f>
        <v>Vanguard Real Estate ETF</v>
      </c>
      <c r="M242" s="142" t="str" cm="1">
        <f t="array" aca="1" ref="M2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Vanguard Real Estate ETF</v>
      </c>
      <c r="N242" s="1563">
        <f ca="1">COUNTIF('CHF M'!smo_id,Valori[[#This Row],[smo_id]])+COUNTIF('CHF MA'!smo_id,Valori[[#This Row],[smo_id]])+COUNTIF('EUR MB'!smo_id,Valori[[#This Row],[smo_id]])+COUNTIF('EUR M'!smo_id,Valori[[#This Row],[smo_id]])+COUNTIF(AGCO!smo_id,Valori[[#This Row],[smo_id]])</f>
        <v>0</v>
      </c>
      <c r="O242" s="1590" cm="1">
        <f t="array" aca="1" ref="O242" ca="1">SUM(IF('CHF M'!smo_id=Valori[[#This Row],[smo_id]],'CHF M'!Posizione))+SUM(IF('CHF MA'!smo_id=Valori[[#This Row],[smo_id]],'CHF MA'!Posizione))+SUM(IF('EUR MB'!smo_id=Valori[[#This Row],[smo_id]],'EUR MB'!Posizione))+SUM(IF('EUR M'!smo_id=Valori[[#This Row],[smo_id]],'EUR M'!Posizione))+SUM(IF(AGCO!smo_id=Valori[[#This Row],[smo_id]],AGCO!Posizione))</f>
        <v>0</v>
      </c>
      <c r="P242" s="1661" t="str">
        <f ca="1">HYPERLINK(Valori[[#This Row],[P_Source]],"è")</f>
        <v>è</v>
      </c>
      <c r="Q242" s="1663" t="str">
        <f>HYPERLINK(Valori[[#This Row],[Info_W]],"i")</f>
        <v>i</v>
      </c>
      <c r="R242" s="1664" t="str">
        <f>HYPERLINK(Valori[[#This Row],[FN_W]],"")</f>
        <v></v>
      </c>
      <c r="S242" s="1665" t="str">
        <f>HYPERLINK(Valori[[#This Row],[MS_Link]],"")</f>
        <v></v>
      </c>
      <c r="T242" s="1665" t="str">
        <f>HYPERLINK(Valori[[#This Row],[C_source]],"")</f>
        <v></v>
      </c>
      <c r="U242" s="142" t="str" cm="1">
        <f t="array" aca="1" ref="U242" ca="1">OFFSET(POrigin,MATCH(Valori[[#This Row],[LUKB_id]],PID,0),MATCH("M_CUR",PLabel,0)-1,1,1)</f>
        <v>USD</v>
      </c>
      <c r="V242" s="1562">
        <f ca="1">(Valori[[#This Row],[Last]]+Valori[[#This Row],[Acc. Int]])/Valori[[#This Row],[Pr.Amt]]/IF(Valori[[#This Row],[P_Type]]="Pct",100,1)</f>
        <v>95.215000000000003</v>
      </c>
      <c r="W242" s="1591" cm="1">
        <f t="array" aca="1" ref="W242" ca="1">OFFSET(POrigin,MATCH(Valori[[#This Row],[LUKB_id]],PID,0),MATCH("NC2_PR",PLabel,0)-1,1,1)/100</f>
        <v>-7.4533514020640006E-3</v>
      </c>
      <c r="X242" s="1592" cm="1">
        <f t="array" aca="1" ref="X242" ca="1">OFFSET(POrigin,MATCH(Valori[[#This Row],[LUKB_id]],PID,0),MATCH("LVAL",PLabel,0)-1,1,1)</f>
        <v>95.215000000000003</v>
      </c>
      <c r="Y242" s="1593" cm="1">
        <f t="array" aca="1" ref="Y242" ca="1">OFFSET(POrigin,MATCH(Valori[[#This Row],[LUKB_id]],PID,0),MATCH("LVAL:datetime",PLabel,0)-1,1,1)</f>
        <v>46084.785902777781</v>
      </c>
      <c r="Z242" s="1594" cm="1">
        <f t="array" aca="1" ref="Z242" ca="1">OFFSET(POrigin,MATCH(Valori[[#This Row],[LUKB_id]],PID,0),MATCH("BID:volume",PLabel,0)-1,1,1)</f>
        <v>200</v>
      </c>
      <c r="AA242" s="1595" cm="1">
        <f t="array" aca="1" ref="AA242" ca="1">OFFSET(POrigin,MATCH(Valori[[#This Row],[LUKB_id]],PID,0),MATCH("BID",PLabel,0)-1,1,1)</f>
        <v>95.22</v>
      </c>
      <c r="AB242" s="1595" cm="1">
        <f t="array" aca="1" ref="AB242" ca="1">OFFSET(POrigin,MATCH(Valori[[#This Row],[LUKB_id]],PID,0),MATCH("ASK",PLabel,0)-1,1,1)</f>
        <v>95.23</v>
      </c>
      <c r="AC242" s="1594" cm="1">
        <f t="array" aca="1" ref="AC242" ca="1">OFFSET(POrigin,MATCH(Valori[[#This Row],[LUKB_id]],PID,0),MATCH("ASK:volume",PLabel,0)-1,1,1)</f>
        <v>1800</v>
      </c>
      <c r="AD242" s="1596" cm="1">
        <f t="array" aca="1" ref="AD242" ca="1">OFFSET(POrigin,MATCH(Valori[[#This Row],[LUKB_id]],PID,0),MATCH("BID-ASK Spread %",PLabel,0)-1,1,1)</f>
        <v>7.0010851682046518E-5</v>
      </c>
      <c r="AE242" s="1597" t="str" cm="1">
        <f t="array" aca="1" ref="AE242" ca="1">IF(OFFSET(POrigin,MATCH(Valori[[#This Row],[LUKB_id]],PID,0),MATCH("MATURITY",PLabel,0)-1,1,1)&gt;0,OFFSET(POrigin,MATCH(Valori[[#This Row],[LUKB_id]],PID,0),MATCH("MATURITY",PLabel,0)-1,1,1),"")</f>
        <v/>
      </c>
      <c r="AF242" s="1598" cm="1">
        <f t="array" aca="1" ref="AF242" ca="1">OFFSET(POrigin,MATCH(Valori[[#This Row],[LUKB_id]],PID,0),MATCH("ACCINT",PLabel,0)-1,1,1)</f>
        <v>0</v>
      </c>
      <c r="AG242" s="1594" cm="1">
        <f t="array" aca="1" ref="AG242" ca="1">OFFSET(POrigin,MATCH(Valori[[#This Row],[LUKB_id]],PID,0),MATCH("DENOM",PLabel,0)-1,1,1)</f>
        <v>0</v>
      </c>
      <c r="AH242" s="1599" cm="1">
        <f t="array" aca="1" ref="AH242" ca="1">(OFFSET(POrigin,MATCH(Valori[[#This Row],[LUKB_id]],PID,0),MATCH("YIELD",PLabel,0)-1,1,1)+OFFSET(POrigin,MATCH(Valori[[#This Row],[LUKB_id]],PID,0),MATCH("YLDEQ",PLabel,0)-1,1,1))/100</f>
        <v>0</v>
      </c>
      <c r="AI242" s="1600">
        <f ca="1">OFFSET(POrigin,MATCH(Valori[[#This Row],[LUKB_id]],PID,0),MATCH("DIVIDEND",PLabel,0)-1,1,1)</f>
        <v>0.80049999999999999</v>
      </c>
      <c r="AJ242" s="1601">
        <f ca="1">OFFSET(POrigin,MATCH(Valori[[#This Row],[LUKB_id]],PID,0),MATCH("DIVIDEND:datetime",PLabel,0)-1,1,1)</f>
        <v>46013</v>
      </c>
      <c r="AK242" s="1602">
        <f ca="1">OFFSET(POrigin,MATCH(Valori[[#This Row],[LUKB_id]],PID,0),MATCH("INTEREST",PLabel,0)-1,1,1)</f>
        <v>0</v>
      </c>
      <c r="AL242" s="1603">
        <f ca="1">OFFSET(POrigin,MATCH(Valori[[#This Row],[LUKB_id]],PID,0),MATCH("4W_PERF_PR",PLabel,0)-1,1,1)/100</f>
        <v>6.1956280000000002E-2</v>
      </c>
      <c r="AM242" s="1603">
        <f ca="1">OFFSET(POrigin,MATCH(Valori[[#This Row],[LUKB_id]],PID,0),MATCH("12W_PERF_PR",PLabel,0)-1,1,1)/100</f>
        <v>7.1637590000000001E-2</v>
      </c>
      <c r="AN242" s="1603">
        <f ca="1">OFFSET(POrigin,MATCH(Valori[[#This Row],[LUKB_id]],PID,0),MATCH("YTD_PERF_PR",PLabel,0)-1,1,1)/100</f>
        <v>8.4077296869703014E-2</v>
      </c>
      <c r="AO242" s="1591"/>
      <c r="AP242" s="1591"/>
      <c r="AQ242" s="1591"/>
      <c r="AR242" s="1591"/>
      <c r="AS242" s="1890"/>
      <c r="AT242" s="1890"/>
      <c r="AU242" s="610"/>
      <c r="AV242" s="1891"/>
      <c r="AW242" s="1604" t="str">
        <f ca="1">"https://boersenundmaerkte.lukb.ch/lukb/details/"&amp;Valori[[#This Row],[LUKB_id]]</f>
        <v>https://boersenundmaerkte.lukb.ch/lukb/details/1960404,321,333</v>
      </c>
      <c r="AX24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2" s="142"/>
      <c r="AZ242" s="142"/>
      <c r="BA242" s="142"/>
      <c r="BB242" s="142"/>
    </row>
    <row r="243" spans="1:54" ht="15" customHeight="1" x14ac:dyDescent="0.2">
      <c r="A243" s="142" t="s">
        <v>1591</v>
      </c>
      <c r="B243" s="142" t="str" cm="1">
        <f t="array" aca="1" ref="B243" ca="1">OFFSET(POrigin,MATCH(Valori[[#This Row],[smo_id]],Posizioni[smo_id],0),MATCH("LUKB_id",PIntestazioni,0)-1,1,1)</f>
        <v>34645021,1703,814</v>
      </c>
      <c r="C243" s="1668" t="str">
        <f ca="1">HYPERLINK("https://boersenundmaerkte.lukb.ch/lukb/details/"&amp;Valori[[#This Row],[LUKB_id]],"è")</f>
        <v>è</v>
      </c>
      <c r="D243" s="142" t="str" cm="1">
        <f t="array" aca="1" ref="D243" ca="1">OFFSET(POrigin,MATCH(Valori[[#This Row],[LUKB_id]],PID,0),MATCH("SC_GROUPED",PIntestazioni,0)-1,1,1)</f>
        <v>ETF</v>
      </c>
      <c r="E243" s="413" t="str" cm="1">
        <f t="array" aca="1" ref="E243" ca="1">OFFSET(POrigin,MATCH(Valori[[#This Row],[LUKB_id]],PID,0),MATCH("isin",PIntestazioni,0)-1,1,1)</f>
        <v>LU1399300455</v>
      </c>
      <c r="F243" s="34" t="str" cm="1">
        <f t="array" aca="1" ref="F243" ca="1">OFFSET(POrigin,MATCH(Valori[[#This Row],[LUKB_id]],PID,0),MATCH("NSIN_CH",PLabel,0)-1,1,1)</f>
        <v>34645021</v>
      </c>
      <c r="G243" s="95" t="str" cm="1">
        <f t="array" aca="1" ref="G243" ca="1">IF(OFFSET(POrigin,MATCH(Valori[[#This Row],[LUKB_id]],PID,0),MATCH("INSTRUNIT",PLabel,0)-1,1,1)="Nominal","Pct","Unit")</f>
        <v>Unit</v>
      </c>
      <c r="H243" s="612">
        <f ca="1">MAX(OFFSET(POrigin,MATCH(Valori[[#This Row],[LUKB_id]],PID,0),MATCH("PRICINGAMT",PLabel,0)-1,1,1),1)</f>
        <v>1</v>
      </c>
      <c r="I243" s="615" t="str" cm="1">
        <f t="array" aca="1" ref="I243" ca="1">OFFSET(POrigin,MATCH(Valori[[#This Row],[LUKB_id]],PID,0),MATCH("M_NAME",PLabel,0)-1,1,1)</f>
        <v>Xtrackers II SICAV - Xtrackers II US Treasuries UCITS ETF</v>
      </c>
      <c r="J243" s="142" t="s">
        <v>838</v>
      </c>
      <c r="M243" s="142" t="str" cm="1">
        <f t="array" aca="1" ref="M2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II US Treasuries UCITS ETF 2D - EUR Hedged</v>
      </c>
      <c r="N243" s="1563">
        <f ca="1">COUNTIF('CHF M'!smo_id,Valori[[#This Row],[smo_id]])+COUNTIF('CHF MA'!smo_id,Valori[[#This Row],[smo_id]])+COUNTIF('EUR MB'!smo_id,Valori[[#This Row],[smo_id]])+COUNTIF('EUR M'!smo_id,Valori[[#This Row],[smo_id]])+COUNTIF(AGCO!smo_id,Valori[[#This Row],[smo_id]])</f>
        <v>2</v>
      </c>
      <c r="O243" s="1590" cm="1">
        <f t="array" aca="1" ref="O243" ca="1">SUM(IF('CHF M'!smo_id=Valori[[#This Row],[smo_id]],'CHF M'!Posizione))+SUM(IF('CHF MA'!smo_id=Valori[[#This Row],[smo_id]],'CHF MA'!Posizione))+SUM(IF('EUR MB'!smo_id=Valori[[#This Row],[smo_id]],'EUR MB'!Posizione))+SUM(IF('EUR M'!smo_id=Valori[[#This Row],[smo_id]],'EUR M'!Posizione))+SUM(IF(AGCO!smo_id=Valori[[#This Row],[smo_id]],AGCO!Posizione))</f>
        <v>0</v>
      </c>
      <c r="P243" s="1661" t="str">
        <f ca="1">HYPERLINK(Valori[[#This Row],[P_Source]],"è")</f>
        <v>è</v>
      </c>
      <c r="Q243" s="1663" t="str">
        <f>HYPERLINK(Valori[[#This Row],[Info_W]],"i")</f>
        <v>i</v>
      </c>
      <c r="R243" s="1664" t="str">
        <f>HYPERLINK(Valori[[#This Row],[FN_W]],"")</f>
        <v></v>
      </c>
      <c r="S243" s="1665" t="str">
        <f>HYPERLINK(Valori[[#This Row],[MS_Link]],"")</f>
        <v></v>
      </c>
      <c r="T243" s="1665" t="str">
        <f>HYPERLINK(Valori[[#This Row],[C_source]],"")</f>
        <v></v>
      </c>
      <c r="U243" s="142" t="str" cm="1">
        <f t="array" aca="1" ref="U243" ca="1">OFFSET(POrigin,MATCH(Valori[[#This Row],[LUKB_id]],PID,0),MATCH("M_CUR",PLabel,0)-1,1,1)</f>
        <v>EUR</v>
      </c>
      <c r="V243" s="1562">
        <f ca="1">(Valori[[#This Row],[Last]]+Valori[[#This Row],[Acc. Int]])/Valori[[#This Row],[Pr.Amt]]/IF(Valori[[#This Row],[P_Type]]="Pct",100,1)</f>
        <v>92.037999999999997</v>
      </c>
      <c r="W243" s="1591" cm="1">
        <f t="array" aca="1" ref="W243" ca="1">OFFSET(POrigin,MATCH(Valori[[#This Row],[LUKB_id]],PID,0),MATCH("NC2_PR",PLabel,0)-1,1,1)/100</f>
        <v>-4.1962277210590001E-3</v>
      </c>
      <c r="X243" s="1592" cm="1">
        <f t="array" aca="1" ref="X243" ca="1">OFFSET(POrigin,MATCH(Valori[[#This Row],[LUKB_id]],PID,0),MATCH("LVAL",PLabel,0)-1,1,1)</f>
        <v>92.037999999999997</v>
      </c>
      <c r="Y243" s="1593" cm="1">
        <f t="array" aca="1" ref="Y243" ca="1">OFFSET(POrigin,MATCH(Valori[[#This Row],[LUKB_id]],PID,0),MATCH("LVAL:datetime",PLabel,0)-1,1,1)</f>
        <v>46083.733460648145</v>
      </c>
      <c r="Z243" s="1594" cm="1">
        <f t="array" aca="1" ref="Z243" ca="1">OFFSET(POrigin,MATCH(Valori[[#This Row],[LUKB_id]],PID,0),MATCH("BID:volume",PLabel,0)-1,1,1)</f>
        <v>0</v>
      </c>
      <c r="AA243" s="1595" cm="1">
        <f t="array" aca="1" ref="AA243" ca="1">OFFSET(POrigin,MATCH(Valori[[#This Row],[LUKB_id]],PID,0),MATCH("BID",PLabel,0)-1,1,1)</f>
        <v>0</v>
      </c>
      <c r="AB243" s="1595" cm="1">
        <f t="array" aca="1" ref="AB243" ca="1">OFFSET(POrigin,MATCH(Valori[[#This Row],[LUKB_id]],PID,0),MATCH("ASK",PLabel,0)-1,1,1)</f>
        <v>0</v>
      </c>
      <c r="AC243" s="1594" cm="1">
        <f t="array" aca="1" ref="AC243" ca="1">OFFSET(POrigin,MATCH(Valori[[#This Row],[LUKB_id]],PID,0),MATCH("ASK:volume",PLabel,0)-1,1,1)</f>
        <v>0</v>
      </c>
      <c r="AD243" s="1596" cm="1">
        <f t="array" aca="1" ref="AD243" ca="1">OFFSET(POrigin,MATCH(Valori[[#This Row],[LUKB_id]],PID,0),MATCH("BID-ASK Spread %",PLabel,0)-1,1,1)</f>
        <v>0</v>
      </c>
      <c r="AE243" s="1597" t="str" cm="1">
        <f t="array" aca="1" ref="AE243" ca="1">IF(OFFSET(POrigin,MATCH(Valori[[#This Row],[LUKB_id]],PID,0),MATCH("MATURITY",PLabel,0)-1,1,1)&gt;0,OFFSET(POrigin,MATCH(Valori[[#This Row],[LUKB_id]],PID,0),MATCH("MATURITY",PLabel,0)-1,1,1),"")</f>
        <v/>
      </c>
      <c r="AF243" s="1598" cm="1">
        <f t="array" aca="1" ref="AF243" ca="1">OFFSET(POrigin,MATCH(Valori[[#This Row],[LUKB_id]],PID,0),MATCH("ACCINT",PLabel,0)-1,1,1)</f>
        <v>0</v>
      </c>
      <c r="AG243" s="1594" cm="1">
        <f t="array" aca="1" ref="AG243" ca="1">OFFSET(POrigin,MATCH(Valori[[#This Row],[LUKB_id]],PID,0),MATCH("DENOM",PLabel,0)-1,1,1)</f>
        <v>0</v>
      </c>
      <c r="AH243" s="1599" cm="1">
        <f t="array" aca="1" ref="AH243" ca="1">(OFFSET(POrigin,MATCH(Valori[[#This Row],[LUKB_id]],PID,0),MATCH("YIELD",PLabel,0)-1,1,1)+OFFSET(POrigin,MATCH(Valori[[#This Row],[LUKB_id]],PID,0),MATCH("YLDEQ",PLabel,0)-1,1,1))/100</f>
        <v>0</v>
      </c>
      <c r="AI243" s="1600">
        <f ca="1">OFFSET(POrigin,MATCH(Valori[[#This Row],[LUKB_id]],PID,0),MATCH("DIVIDEND",PLabel,0)-1,1,1)</f>
        <v>0.78550000000000009</v>
      </c>
      <c r="AJ243" s="1601">
        <f ca="1">OFFSET(POrigin,MATCH(Valori[[#This Row],[LUKB_id]],PID,0),MATCH("DIVIDEND:datetime",PLabel,0)-1,1,1)</f>
        <v>46071</v>
      </c>
      <c r="AK243" s="1602">
        <f ca="1">OFFSET(POrigin,MATCH(Valori[[#This Row],[LUKB_id]],PID,0),MATCH("INTEREST",PLabel,0)-1,1,1)</f>
        <v>0</v>
      </c>
      <c r="AL243" s="1603">
        <f ca="1">OFFSET(POrigin,MATCH(Valori[[#This Row],[LUKB_id]],PID,0),MATCH("4W_PERF_PR",PLabel,0)-1,1,1)/100</f>
        <v>5.7258998623161582E-3</v>
      </c>
      <c r="AM243" s="1603">
        <f ca="1">OFFSET(POrigin,MATCH(Valori[[#This Row],[LUKB_id]],PID,0),MATCH("12W_PERF_PR",PLabel,0)-1,1,1)/100</f>
        <v>5.5281213127649376E-3</v>
      </c>
      <c r="AN243" s="1603">
        <f ca="1">OFFSET(POrigin,MATCH(Valori[[#This Row],[LUKB_id]],PID,0),MATCH("YTD_PERF_PR",PLabel,0)-1,1,1)/100</f>
        <v>1.2614180078295001E-3</v>
      </c>
      <c r="AO243" s="1591"/>
      <c r="AP243" s="1591"/>
      <c r="AQ243" s="1591"/>
      <c r="AR243" s="1591"/>
      <c r="AS243" s="1890" t="s">
        <v>1592</v>
      </c>
      <c r="AT243" s="1890" t="s">
        <v>1593</v>
      </c>
      <c r="AU243" s="610" t="s">
        <v>1594</v>
      </c>
      <c r="AV243" s="1891" t="s">
        <v>1595</v>
      </c>
      <c r="AW243" s="1604" t="str">
        <f ca="1">"https://boersenundmaerkte.lukb.ch/lukb/details/"&amp;Valori[[#This Row],[LUKB_id]]</f>
        <v>https://boersenundmaerkte.lukb.ch/lukb/details/34645021,1703,814</v>
      </c>
      <c r="AX243" s="1605" t="str">
        <f>"https://www.marketscreener.com/mods_a/charts/TV/inc_dyna_graph.php?c="&amp;Valori[[#This Row],[MS_Code]]&amp;"&amp;style=TradingView.CANDLES&amp;interval=(null)&amp;mobile=(null)&amp;showAT=1"</f>
        <v>https://www.marketscreener.com/mods_a/charts/TV/inc_dyna_graph.php?c=40495252&amp;style=TradingView.CANDLES&amp;interval=(null)&amp;mobile=(null)&amp;showAT=1</v>
      </c>
      <c r="AY243" s="142"/>
      <c r="AZ243" s="142"/>
      <c r="BA243" s="142"/>
      <c r="BB243" s="142"/>
    </row>
    <row r="244" spans="1:54" ht="15" customHeight="1" x14ac:dyDescent="0.2">
      <c r="A244" s="142" t="s">
        <v>4296</v>
      </c>
      <c r="B244" s="142" t="str" cm="1">
        <f t="array" aca="1" ref="B244" ca="1">OFFSET(POrigin,MATCH(Valori[[#This Row],[smo_id]],Posizioni[smo_id],0),MATCH("LUKB_id",PIntestazioni,0)-1,1,1)</f>
        <v>134865972,4,1</v>
      </c>
      <c r="C244" s="1669" t="str">
        <f ca="1">HYPERLINK("https://boersenundmaerkte.lukb.ch/lukb/details/"&amp;Valori[[#This Row],[LUKB_id]],"è")</f>
        <v>è</v>
      </c>
      <c r="D244" s="142" t="str" cm="1">
        <f t="array" aca="1" ref="D244" ca="1">OFFSET(POrigin,MATCH(Valori[[#This Row],[LUKB_id]],PID,0),MATCH("SC_GROUPED",PIntestazioni,0)-1,1,1)</f>
        <v>ETF</v>
      </c>
      <c r="E244" s="142" t="str" cm="1">
        <f t="array" aca="1" ref="E244" ca="1">OFFSET(POrigin,MATCH(Valori[[#This Row],[LUKB_id]],PID,0),MATCH("isin",PIntestazioni,0)-1,1,1)</f>
        <v>IE0002GFATQ6</v>
      </c>
      <c r="F244" s="34" t="str" cm="1">
        <f t="array" aca="1" ref="F244" ca="1">OFFSET(POrigin,MATCH(Valori[[#This Row],[LUKB_id]],PID,0),MATCH("NSIN_CH",PLabel,0)-1,1,1)</f>
        <v>134865972</v>
      </c>
      <c r="G244" s="95" t="str" cm="1">
        <f t="array" aca="1" ref="G244" ca="1">IF(OFFSET(POrigin,MATCH(Valori[[#This Row],[LUKB_id]],PID,0),MATCH("INSTRUNIT",PLabel,0)-1,1,1)="Nominal","Pct","Unit")</f>
        <v>Unit</v>
      </c>
      <c r="H244" s="612">
        <f ca="1">MAX(OFFSET(POrigin,MATCH(Valori[[#This Row],[LUKB_id]],PID,0),MATCH("PRICINGAMT",PLabel,0)-1,1,1),1)</f>
        <v>1</v>
      </c>
      <c r="I244" s="615" t="str" cm="1">
        <f t="array" aca="1" ref="I244" ca="1">OFFSET(POrigin,MATCH(Valori[[#This Row],[LUKB_id]],PID,0),MATCH("M_NAME",PLabel,0)-1,1,1)</f>
        <v>Xtrackers (IE) PLC - Xtrackers S&amp;P 500 Equal Weight UCITS ETF</v>
      </c>
      <c r="J244" s="142" t="s">
        <v>4300</v>
      </c>
      <c r="M244" s="142" t="str" cm="1">
        <f t="array" aca="1" ref="M2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CHF Hedged (Acc)</v>
      </c>
      <c r="N244" s="1563">
        <f ca="1">COUNTIF('CHF M'!smo_id,Valori[[#This Row],[smo_id]])+COUNTIF('CHF MA'!smo_id,Valori[[#This Row],[smo_id]])+COUNTIF('EUR MB'!smo_id,Valori[[#This Row],[smo_id]])+COUNTIF('EUR M'!smo_id,Valori[[#This Row],[smo_id]])+COUNTIF(AGCO!smo_id,Valori[[#This Row],[smo_id]])</f>
        <v>3</v>
      </c>
      <c r="O244" s="704" cm="1">
        <f t="array" aca="1" ref="O244" ca="1">SUM(IF('CHF M'!smo_id=Valori[[#This Row],[smo_id]],'CHF M'!Posizione))+SUM(IF('CHF MA'!smo_id=Valori[[#This Row],[smo_id]],'CHF MA'!Posizione))+SUM(IF('EUR MB'!smo_id=Valori[[#This Row],[smo_id]],'EUR MB'!Posizione))+SUM(IF('EUR M'!smo_id=Valori[[#This Row],[smo_id]],'EUR M'!Posizione))+SUM(IF(AGCO!smo_id=Valori[[#This Row],[smo_id]],AGCO!Posizione))</f>
        <v>28220</v>
      </c>
      <c r="P244" s="1661" t="str">
        <f ca="1">HYPERLINK(Valori[[#This Row],[P_Source]],"è")</f>
        <v>è</v>
      </c>
      <c r="Q244" s="1663" t="str">
        <f>HYPERLINK(Valori[[#This Row],[Info_W]],"i")</f>
        <v>i</v>
      </c>
      <c r="R244" s="1664" t="str">
        <f>HYPERLINK(Valori[[#This Row],[FN_W]],"")</f>
        <v></v>
      </c>
      <c r="S244" s="1665" t="str">
        <f>HYPERLINK(Valori[[#This Row],[MS_Link]],"")</f>
        <v></v>
      </c>
      <c r="T244" s="1665" t="str">
        <f>HYPERLINK(Valori[[#This Row],[C_source]],"")</f>
        <v></v>
      </c>
      <c r="U244" s="142" t="str" cm="1">
        <f t="array" aca="1" ref="U244" ca="1">OFFSET(POrigin,MATCH(Valori[[#This Row],[LUKB_id]],PID,0),MATCH("M_CUR",PLabel,0)-1,1,1)</f>
        <v>CHF</v>
      </c>
      <c r="V244" s="1562">
        <f ca="1">(Valori[[#This Row],[Last]]+Valori[[#This Row],[Acc. Int]])/Valori[[#This Row],[Pr.Amt]]/IF(Valori[[#This Row],[P_Type]]="Pct",100,1)</f>
        <v>9.2000000000000011</v>
      </c>
      <c r="W244" s="1892" cm="1">
        <f t="array" aca="1" ref="W244" ca="1">OFFSET(POrigin,MATCH(Valori[[#This Row],[LUKB_id]],PID,0),MATCH("NC2_PR",PLabel,0)-1,1,1)/100</f>
        <v>-2.5217207035388798E-2</v>
      </c>
      <c r="X244" s="1893" cm="1">
        <f t="array" aca="1" ref="X244" ca="1">OFFSET(POrigin,MATCH(Valori[[#This Row],[LUKB_id]],PID,0),MATCH("LVAL",PLabel,0)-1,1,1)</f>
        <v>9.2000000000000011</v>
      </c>
      <c r="Y244" s="1894" cm="1">
        <f t="array" aca="1" ref="Y244" ca="1">OFFSET(POrigin,MATCH(Valori[[#This Row],[LUKB_id]],PID,0),MATCH("LVAL:datetime",PLabel,0)-1,1,1)</f>
        <v>46084.660092592596</v>
      </c>
      <c r="Z244" s="1895" cm="1">
        <f t="array" aca="1" ref="Z244" ca="1">OFFSET(POrigin,MATCH(Valori[[#This Row],[LUKB_id]],PID,0),MATCH("BID:volume",PLabel,0)-1,1,1)</f>
        <v>600</v>
      </c>
      <c r="AA244" s="1896" cm="1">
        <f t="array" aca="1" ref="AA244" ca="1">OFFSET(POrigin,MATCH(Valori[[#This Row],[LUKB_id]],PID,0),MATCH("BID",PLabel,0)-1,1,1)</f>
        <v>9</v>
      </c>
      <c r="AB244" s="1896" cm="1">
        <f t="array" aca="1" ref="AB244" ca="1">OFFSET(POrigin,MATCH(Valori[[#This Row],[LUKB_id]],PID,0),MATCH("ASK",PLabel,0)-1,1,1)</f>
        <v>9.343</v>
      </c>
      <c r="AC244" s="1606" cm="1">
        <f t="array" aca="1" ref="AC244" ca="1">OFFSET(POrigin,MATCH(Valori[[#This Row],[LUKB_id]],PID,0),MATCH("ASK:volume",PLabel,0)-1,1,1)</f>
        <v>5315</v>
      </c>
      <c r="AD244" s="1897" cm="1">
        <f t="array" aca="1" ref="AD244" ca="1">OFFSET(POrigin,MATCH(Valori[[#This Row],[LUKB_id]],PID,0),MATCH("BID-ASK Spread %",PLabel,0)-1,1,1)</f>
        <v>2.5088688146874885E-2</v>
      </c>
      <c r="AE244" s="1898" t="str" cm="1">
        <f t="array" aca="1" ref="AE244" ca="1">IF(OFFSET(POrigin,MATCH(Valori[[#This Row],[LUKB_id]],PID,0),MATCH("MATURITY",PLabel,0)-1,1,1)&gt;0,OFFSET(POrigin,MATCH(Valori[[#This Row],[LUKB_id]],PID,0),MATCH("MATURITY",PLabel,0)-1,1,1),"")</f>
        <v/>
      </c>
      <c r="AF244" s="1899" cm="1">
        <f t="array" aca="1" ref="AF244" ca="1">OFFSET(POrigin,MATCH(Valori[[#This Row],[LUKB_id]],PID,0),MATCH("ACCINT",PLabel,0)-1,1,1)</f>
        <v>0</v>
      </c>
      <c r="AG244" s="1895" cm="1">
        <f t="array" aca="1" ref="AG244" ca="1">OFFSET(POrigin,MATCH(Valori[[#This Row],[LUKB_id]],PID,0),MATCH("DENOM",PLabel,0)-1,1,1)</f>
        <v>0</v>
      </c>
      <c r="AH244" s="1900" cm="1">
        <f t="array" aca="1" ref="AH244" ca="1">(OFFSET(POrigin,MATCH(Valori[[#This Row],[LUKB_id]],PID,0),MATCH("YIELD",PLabel,0)-1,1,1)+OFFSET(POrigin,MATCH(Valori[[#This Row],[LUKB_id]],PID,0),MATCH("YLDEQ",PLabel,0)-1,1,1))/100</f>
        <v>0</v>
      </c>
      <c r="AI244" s="1901">
        <f ca="1">OFFSET(POrigin,MATCH(Valori[[#This Row],[LUKB_id]],PID,0),MATCH("DIVIDEND",PLabel,0)-1,1,1)</f>
        <v>0</v>
      </c>
      <c r="AJ244" s="1902">
        <f ca="1">OFFSET(POrigin,MATCH(Valori[[#This Row],[LUKB_id]],PID,0),MATCH("DIVIDEND:datetime",PLabel,0)-1,1,1)</f>
        <v>0</v>
      </c>
      <c r="AK244" s="1903">
        <f ca="1">OFFSET(POrigin,MATCH(Valori[[#This Row],[LUKB_id]],PID,0),MATCH("INTEREST",PLabel,0)-1,1,1)</f>
        <v>0</v>
      </c>
      <c r="AL244" s="1904">
        <f ca="1">OFFSET(POrigin,MATCH(Valori[[#This Row],[LUKB_id]],PID,0),MATCH("4W_PERF_PR",PLabel,0)-1,1,1)/100</f>
        <v>-2.2774100000000001E-3</v>
      </c>
      <c r="AM244" s="1904">
        <f ca="1">OFFSET(POrigin,MATCH(Valori[[#This Row],[LUKB_id]],PID,0),MATCH("12W_PERF_PR",PLabel,0)-1,1,1)/100</f>
        <v>3.6502930000000003E-2</v>
      </c>
      <c r="AN244" s="1904">
        <f ca="1">OFFSET(POrigin,MATCH(Valori[[#This Row],[LUKB_id]],PID,0),MATCH("YTD_PERF_PR",PLabel,0)-1,1,1)/100</f>
        <v>5.18221330658643E-2</v>
      </c>
      <c r="AO244" s="1892"/>
      <c r="AP244" s="1892"/>
      <c r="AQ244" s="1892"/>
      <c r="AR244" s="1892"/>
      <c r="AS244" s="1890"/>
      <c r="AT244" s="1890"/>
      <c r="AU244" s="1607"/>
      <c r="AV244" s="1608"/>
      <c r="AW244" s="1609" t="str">
        <f ca="1">"https://boersenundmaerkte.lukb.ch/lukb/details/"&amp;Valori[[#This Row],[LUKB_id]]</f>
        <v>https://boersenundmaerkte.lukb.ch/lukb/details/134865972,4,1</v>
      </c>
      <c r="AX244"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4" s="142"/>
      <c r="AZ244" s="142"/>
      <c r="BA244" s="142"/>
      <c r="BB244" s="142"/>
    </row>
    <row r="245" spans="1:54" ht="15" customHeight="1" x14ac:dyDescent="0.2">
      <c r="A245" s="142" t="s">
        <v>4435</v>
      </c>
      <c r="B245" s="142" t="str" cm="1">
        <f t="array" aca="1" ref="B245" ca="1">OFFSET(POrigin,MATCH(Valori[[#This Row],[smo_id]],Posizioni[smo_id],0),MATCH("LUKB_id",PIntestazioni,0)-1,1,1)</f>
        <v>114399815,1703,814</v>
      </c>
      <c r="C245" s="1668" t="str">
        <f ca="1">HYPERLINK("https://boersenundmaerkte.lukb.ch/lukb/details/"&amp;Valori[[#This Row],[LUKB_id]],"è")</f>
        <v>è</v>
      </c>
      <c r="D245" s="142" t="str" cm="1">
        <f t="array" aca="1" ref="D245" ca="1">OFFSET(POrigin,MATCH(Valori[[#This Row],[LUKB_id]],PID,0),MATCH("SC_GROUPED",PIntestazioni,0)-1,1,1)</f>
        <v>ETF</v>
      </c>
      <c r="E245" s="413" t="str" cm="1">
        <f t="array" aca="1" ref="E245" ca="1">OFFSET(POrigin,MATCH(Valori[[#This Row],[LUKB_id]],PID,0),MATCH("isin",PIntestazioni,0)-1,1,1)</f>
        <v>IE0002EI5AG0</v>
      </c>
      <c r="F245" s="34" t="str" cm="1">
        <f t="array" aca="1" ref="F245" ca="1">OFFSET(POrigin,MATCH(Valori[[#This Row],[LUKB_id]],PID,0),MATCH("NSIN_CH",PLabel,0)-1,1,1)</f>
        <v>114399815</v>
      </c>
      <c r="G245" s="95" t="str" cm="1">
        <f t="array" aca="1" ref="G245" ca="1">IF(OFFSET(POrigin,MATCH(Valori[[#This Row],[LUKB_id]],PID,0),MATCH("INSTRUNIT",PLabel,0)-1,1,1)="Nominal","Pct","Unit")</f>
        <v>Unit</v>
      </c>
      <c r="H245" s="612">
        <f ca="1">MAX(OFFSET(POrigin,MATCH(Valori[[#This Row],[LUKB_id]],PID,0),MATCH("PRICINGAMT",PLabel,0)-1,1,1),1)</f>
        <v>1</v>
      </c>
      <c r="I245" s="615" t="str" cm="1">
        <f t="array" aca="1" ref="I245" ca="1">OFFSET(POrigin,MATCH(Valori[[#This Row],[LUKB_id]],PID,0),MATCH("M_NAME",PLabel,0)-1,1,1)</f>
        <v>Xtrackers (IE) PLC - Xtrackers S&amp;P 500 Equal Weight UCITS ETF</v>
      </c>
      <c r="J245" s="142" t="s">
        <v>4439</v>
      </c>
      <c r="M245" s="142" t="str" cm="1">
        <f t="array" aca="1" ref="M2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 EUR Hedged (Acc)</v>
      </c>
      <c r="N245" s="1563">
        <f ca="1">COUNTIF('CHF M'!smo_id,Valori[[#This Row],[smo_id]])+COUNTIF('CHF MA'!smo_id,Valori[[#This Row],[smo_id]])+COUNTIF('EUR MB'!smo_id,Valori[[#This Row],[smo_id]])+COUNTIF('EUR M'!smo_id,Valori[[#This Row],[smo_id]])+COUNTIF(AGCO!smo_id,Valori[[#This Row],[smo_id]])</f>
        <v>2</v>
      </c>
      <c r="O245" s="1590" cm="1">
        <f t="array" aca="1" ref="O245" ca="1">SUM(IF('CHF M'!smo_id=Valori[[#This Row],[smo_id]],'CHF M'!Posizione))+SUM(IF('CHF MA'!smo_id=Valori[[#This Row],[smo_id]],'CHF MA'!Posizione))+SUM(IF('EUR MB'!smo_id=Valori[[#This Row],[smo_id]],'EUR MB'!Posizione))+SUM(IF('EUR M'!smo_id=Valori[[#This Row],[smo_id]],'EUR M'!Posizione))+SUM(IF(AGCO!smo_id=Valori[[#This Row],[smo_id]],AGCO!Posizione))</f>
        <v>6640</v>
      </c>
      <c r="P245" s="1661" t="str">
        <f ca="1">HYPERLINK(Valori[[#This Row],[P_Source]],"è")</f>
        <v>è</v>
      </c>
      <c r="Q245" s="1663" t="str">
        <f>HYPERLINK(Valori[[#This Row],[Info_W]],"i")</f>
        <v>i</v>
      </c>
      <c r="R245" s="1664" t="str">
        <f>HYPERLINK(Valori[[#This Row],[FN_W]],"")</f>
        <v></v>
      </c>
      <c r="S245" s="1665" t="str">
        <f>HYPERLINK(Valori[[#This Row],[MS_Link]],"")</f>
        <v></v>
      </c>
      <c r="T245" s="1665" t="str">
        <f>HYPERLINK(Valori[[#This Row],[C_source]],"")</f>
        <v></v>
      </c>
      <c r="U245" s="142" t="str" cm="1">
        <f t="array" aca="1" ref="U245" ca="1">OFFSET(POrigin,MATCH(Valori[[#This Row],[LUKB_id]],PID,0),MATCH("M_CUR",PLabel,0)-1,1,1)</f>
        <v>EUR</v>
      </c>
      <c r="V245" s="1562">
        <f ca="1">(Valori[[#This Row],[Last]]+Valori[[#This Row],[Acc. Int]])/Valori[[#This Row],[Pr.Amt]]/IF(Valori[[#This Row],[P_Type]]="Pct",100,1)</f>
        <v>11.566000000000001</v>
      </c>
      <c r="W245" s="1591" cm="1">
        <f t="array" aca="1" ref="W245" ca="1">OFFSET(POrigin,MATCH(Valori[[#This Row],[LUKB_id]],PID,0),MATCH("NC2_PR",PLabel,0)-1,1,1)/100</f>
        <v>-4.4758133930109002E-3</v>
      </c>
      <c r="X245" s="1592" cm="1">
        <f t="array" aca="1" ref="X245" ca="1">OFFSET(POrigin,MATCH(Valori[[#This Row],[LUKB_id]],PID,0),MATCH("LVAL",PLabel,0)-1,1,1)</f>
        <v>11.566000000000001</v>
      </c>
      <c r="Y245" s="1593" cm="1">
        <f t="array" aca="1" ref="Y245" ca="1">OFFSET(POrigin,MATCH(Valori[[#This Row],[LUKB_id]],PID,0),MATCH("LVAL:datetime",PLabel,0)-1,1,1)</f>
        <v>46083.733171296299</v>
      </c>
      <c r="Z245" s="1594" cm="1">
        <f t="array" aca="1" ref="Z245" ca="1">OFFSET(POrigin,MATCH(Valori[[#This Row],[LUKB_id]],PID,0),MATCH("BID:volume",PLabel,0)-1,1,1)</f>
        <v>0</v>
      </c>
      <c r="AA245" s="1595" cm="1">
        <f t="array" aca="1" ref="AA245" ca="1">OFFSET(POrigin,MATCH(Valori[[#This Row],[LUKB_id]],PID,0),MATCH("BID",PLabel,0)-1,1,1)</f>
        <v>0</v>
      </c>
      <c r="AB245" s="1595" cm="1">
        <f t="array" aca="1" ref="AB245" ca="1">OFFSET(POrigin,MATCH(Valori[[#This Row],[LUKB_id]],PID,0),MATCH("ASK",PLabel,0)-1,1,1)</f>
        <v>0</v>
      </c>
      <c r="AC245" s="1594" cm="1">
        <f t="array" aca="1" ref="AC245" ca="1">OFFSET(POrigin,MATCH(Valori[[#This Row],[LUKB_id]],PID,0),MATCH("ASK:volume",PLabel,0)-1,1,1)</f>
        <v>0</v>
      </c>
      <c r="AD245" s="1596" cm="1">
        <f t="array" aca="1" ref="AD245" ca="1">OFFSET(POrigin,MATCH(Valori[[#This Row],[LUKB_id]],PID,0),MATCH("BID-ASK Spread %",PLabel,0)-1,1,1)</f>
        <v>0</v>
      </c>
      <c r="AE245" s="1597" t="str" cm="1">
        <f t="array" aca="1" ref="AE245" ca="1">IF(OFFSET(POrigin,MATCH(Valori[[#This Row],[LUKB_id]],PID,0),MATCH("MATURITY",PLabel,0)-1,1,1)&gt;0,OFFSET(POrigin,MATCH(Valori[[#This Row],[LUKB_id]],PID,0),MATCH("MATURITY",PLabel,0)-1,1,1),"")</f>
        <v/>
      </c>
      <c r="AF245" s="1598" cm="1">
        <f t="array" aca="1" ref="AF245" ca="1">OFFSET(POrigin,MATCH(Valori[[#This Row],[LUKB_id]],PID,0),MATCH("ACCINT",PLabel,0)-1,1,1)</f>
        <v>0</v>
      </c>
      <c r="AG245" s="1594" cm="1">
        <f t="array" aca="1" ref="AG245" ca="1">OFFSET(POrigin,MATCH(Valori[[#This Row],[LUKB_id]],PID,0),MATCH("DENOM",PLabel,0)-1,1,1)</f>
        <v>0</v>
      </c>
      <c r="AH245" s="1599" cm="1">
        <f t="array" aca="1" ref="AH245" ca="1">(OFFSET(POrigin,MATCH(Valori[[#This Row],[LUKB_id]],PID,0),MATCH("YIELD",PLabel,0)-1,1,1)+OFFSET(POrigin,MATCH(Valori[[#This Row],[LUKB_id]],PID,0),MATCH("YLDEQ",PLabel,0)-1,1,1))/100</f>
        <v>0</v>
      </c>
      <c r="AI245" s="1600">
        <f ca="1">OFFSET(POrigin,MATCH(Valori[[#This Row],[LUKB_id]],PID,0),MATCH("DIVIDEND",PLabel,0)-1,1,1)</f>
        <v>0</v>
      </c>
      <c r="AJ245" s="1601">
        <f ca="1">OFFSET(POrigin,MATCH(Valori[[#This Row],[LUKB_id]],PID,0),MATCH("DIVIDEND:datetime",PLabel,0)-1,1,1)</f>
        <v>0</v>
      </c>
      <c r="AK245" s="1602">
        <f ca="1">OFFSET(POrigin,MATCH(Valori[[#This Row],[LUKB_id]],PID,0),MATCH("INTEREST",PLabel,0)-1,1,1)</f>
        <v>0</v>
      </c>
      <c r="AL245" s="1603">
        <f ca="1">OFFSET(POrigin,MATCH(Valori[[#This Row],[LUKB_id]],PID,0),MATCH("4W_PERF_PR",PLabel,0)-1,1,1)/100</f>
        <v>2.191199858632277E-2</v>
      </c>
      <c r="AM245" s="1603">
        <f ca="1">OFFSET(POrigin,MATCH(Valori[[#This Row],[LUKB_id]],PID,0),MATCH("12W_PERF_PR",PLabel,0)-1,1,1)/100</f>
        <v>6.2270389419544526E-2</v>
      </c>
      <c r="AN245" s="1603">
        <f ca="1">OFFSET(POrigin,MATCH(Valori[[#This Row],[LUKB_id]],PID,0),MATCH("YTD_PERF_PR",PLabel,0)-1,1,1)/100</f>
        <v>4.7834752672585704E-2</v>
      </c>
      <c r="AO245" s="1591"/>
      <c r="AP245" s="1591"/>
      <c r="AQ245" s="1591"/>
      <c r="AR245" s="1591"/>
      <c r="AS245" s="1890"/>
      <c r="AT245" s="1890"/>
      <c r="AU245" s="610"/>
      <c r="AV245" s="1891"/>
      <c r="AW245" s="1604" t="str">
        <f ca="1">"https://boersenundmaerkte.lukb.ch/lukb/details/"&amp;Valori[[#This Row],[LUKB_id]]</f>
        <v>https://boersenundmaerkte.lukb.ch/lukb/details/114399815,1703,814</v>
      </c>
      <c r="AX24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5" s="142"/>
      <c r="AZ245" s="142"/>
      <c r="BA245" s="142"/>
      <c r="BB245" s="142"/>
    </row>
    <row r="246" spans="1:54" ht="15" customHeight="1" x14ac:dyDescent="0.2">
      <c r="A246" s="142" t="s">
        <v>4428</v>
      </c>
      <c r="B246" s="142" t="str" cm="1">
        <f t="array" aca="1" ref="B246" ca="1">OFFSET(POrigin,MATCH(Valori[[#This Row],[smo_id]],Posizioni[smo_id],0),MATCH("LUKB_id",PIntestazioni,0)-1,1,1)</f>
        <v>24514626,361,333</v>
      </c>
      <c r="C246" s="1668" t="str">
        <f ca="1">HYPERLINK("https://boersenundmaerkte.lukb.ch/lukb/details/"&amp;Valori[[#This Row],[LUKB_id]],"è")</f>
        <v>è</v>
      </c>
      <c r="D246" s="142" t="str" cm="1">
        <f t="array" aca="1" ref="D246" ca="1">OFFSET(POrigin,MATCH(Valori[[#This Row],[LUKB_id]],PID,0),MATCH("SC_GROUPED",PIntestazioni,0)-1,1,1)</f>
        <v>ETF</v>
      </c>
      <c r="E246" s="413" t="str" cm="1">
        <f t="array" aca="1" ref="E246" ca="1">OFFSET(POrigin,MATCH(Valori[[#This Row],[LUKB_id]],PID,0),MATCH("isin",PIntestazioni,0)-1,1,1)</f>
        <v>IE00BLNMYC90</v>
      </c>
      <c r="F246" s="34" t="str" cm="1">
        <f t="array" aca="1" ref="F246" ca="1">OFFSET(POrigin,MATCH(Valori[[#This Row],[LUKB_id]],PID,0),MATCH("NSIN_CH",PLabel,0)-1,1,1)</f>
        <v>24514626</v>
      </c>
      <c r="G246" s="95" t="str" cm="1">
        <f t="array" aca="1" ref="G246" ca="1">IF(OFFSET(POrigin,MATCH(Valori[[#This Row],[LUKB_id]],PID,0),MATCH("INSTRUNIT",PLabel,0)-1,1,1)="Nominal","Pct","Unit")</f>
        <v>Unit</v>
      </c>
      <c r="H246" s="612">
        <f ca="1">MAX(OFFSET(POrigin,MATCH(Valori[[#This Row],[LUKB_id]],PID,0),MATCH("PRICINGAMT",PLabel,0)-1,1,1),1)</f>
        <v>1</v>
      </c>
      <c r="I246" s="615" t="str" cm="1">
        <f t="array" aca="1" ref="I246" ca="1">OFFSET(POrigin,MATCH(Valori[[#This Row],[LUKB_id]],PID,0),MATCH("M_NAME",PLabel,0)-1,1,1)</f>
        <v>Xtrackers (IE) PLC - Xtrackers S&amp;P 500 Equal Weight UCITS ETF</v>
      </c>
      <c r="J246" s="142" t="s">
        <v>4432</v>
      </c>
      <c r="M246" s="142" t="str" cm="1">
        <f t="array" aca="1" ref="M2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ETF (USD-Acc)</v>
      </c>
      <c r="N246" s="1563">
        <f ca="1">COUNTIF('CHF M'!smo_id,Valori[[#This Row],[smo_id]])+COUNTIF('CHF MA'!smo_id,Valori[[#This Row],[smo_id]])+COUNTIF('EUR MB'!smo_id,Valori[[#This Row],[smo_id]])+COUNTIF('EUR M'!smo_id,Valori[[#This Row],[smo_id]])+COUNTIF(AGCO!smo_id,Valori[[#This Row],[smo_id]])</f>
        <v>1</v>
      </c>
      <c r="O246" s="1590" cm="1">
        <f t="array" aca="1" ref="O246" ca="1">SUM(IF('CHF M'!smo_id=Valori[[#This Row],[smo_id]],'CHF M'!Posizione))+SUM(IF('CHF MA'!smo_id=Valori[[#This Row],[smo_id]],'CHF MA'!Posizione))+SUM(IF('EUR MB'!smo_id=Valori[[#This Row],[smo_id]],'EUR MB'!Posizione))+SUM(IF('EUR M'!smo_id=Valori[[#This Row],[smo_id]],'EUR M'!Posizione))+SUM(IF(AGCO!smo_id=Valori[[#This Row],[smo_id]],AGCO!Posizione))</f>
        <v>0</v>
      </c>
      <c r="P246" s="1661" t="str">
        <f ca="1">HYPERLINK(Valori[[#This Row],[P_Source]],"è")</f>
        <v>è</v>
      </c>
      <c r="Q246" s="1663" t="str">
        <f>HYPERLINK(Valori[[#This Row],[Info_W]],"i")</f>
        <v>i</v>
      </c>
      <c r="R246" s="1664" t="str">
        <f>HYPERLINK(Valori[[#This Row],[FN_W]],"")</f>
        <v></v>
      </c>
      <c r="S246" s="1665" t="str">
        <f>HYPERLINK(Valori[[#This Row],[MS_Link]],"")</f>
        <v></v>
      </c>
      <c r="T246" s="1665" t="str">
        <f>HYPERLINK(Valori[[#This Row],[C_source]],"")</f>
        <v></v>
      </c>
      <c r="U246" s="142" t="str" cm="1">
        <f t="array" aca="1" ref="U246" ca="1">OFFSET(POrigin,MATCH(Valori[[#This Row],[LUKB_id]],PID,0),MATCH("M_CUR",PLabel,0)-1,1,1)</f>
        <v>USD</v>
      </c>
      <c r="V246" s="1562">
        <f ca="1">(Valori[[#This Row],[Last]]+Valori[[#This Row],[Acc. Int]])/Valori[[#This Row],[Pr.Amt]]/IF(Valori[[#This Row],[P_Type]]="Pct",100,1)</f>
        <v>110.96000000000001</v>
      </c>
      <c r="W246" s="1591" cm="1">
        <f t="array" aca="1" ref="W246" ca="1">OFFSET(POrigin,MATCH(Valori[[#This Row],[LUKB_id]],PID,0),MATCH("NC2_PR",PLabel,0)-1,1,1)/100</f>
        <v>-1.33380757602704E-2</v>
      </c>
      <c r="X246" s="1592" cm="1">
        <f t="array" aca="1" ref="X246" ca="1">OFFSET(POrigin,MATCH(Valori[[#This Row],[LUKB_id]],PID,0),MATCH("LVAL",PLabel,0)-1,1,1)</f>
        <v>110.96000000000001</v>
      </c>
      <c r="Y246" s="1593" cm="1">
        <f t="array" aca="1" ref="Y246" ca="1">OFFSET(POrigin,MATCH(Valori[[#This Row],[LUKB_id]],PID,0),MATCH("LVAL:datetime",PLabel,0)-1,1,1)</f>
        <v>46084.732824074075</v>
      </c>
      <c r="Z246" s="1594" cm="1">
        <f t="array" aca="1" ref="Z246" ca="1">OFFSET(POrigin,MATCH(Valori[[#This Row],[LUKB_id]],PID,0),MATCH("BID:volume",PLabel,0)-1,1,1)</f>
        <v>463</v>
      </c>
      <c r="AA246" s="1595" cm="1">
        <f t="array" aca="1" ref="AA246" ca="1">OFFSET(POrigin,MATCH(Valori[[#This Row],[LUKB_id]],PID,0),MATCH("BID",PLabel,0)-1,1,1)</f>
        <v>108</v>
      </c>
      <c r="AB246" s="1595" cm="1">
        <f t="array" aca="1" ref="AB246" ca="1">OFFSET(POrigin,MATCH(Valori[[#This Row],[LUKB_id]],PID,0),MATCH("ASK",PLabel,0)-1,1,1)</f>
        <v>117</v>
      </c>
      <c r="AC246" s="1594" cm="1">
        <f t="array" aca="1" ref="AC246" ca="1">OFFSET(POrigin,MATCH(Valori[[#This Row],[LUKB_id]],PID,0),MATCH("ASK:volume",PLabel,0)-1,1,1)</f>
        <v>23</v>
      </c>
      <c r="AD246" s="1596" cm="1">
        <f t="array" aca="1" ref="AD246" ca="1">OFFSET(POrigin,MATCH(Valori[[#This Row],[LUKB_id]],PID,0),MATCH("BID-ASK Spread %",PLabel,0)-1,1,1)</f>
        <v>5.4054054054054057E-2</v>
      </c>
      <c r="AE246" s="1597" t="str" cm="1">
        <f t="array" aca="1" ref="AE246" ca="1">IF(OFFSET(POrigin,MATCH(Valori[[#This Row],[LUKB_id]],PID,0),MATCH("MATURITY",PLabel,0)-1,1,1)&gt;0,OFFSET(POrigin,MATCH(Valori[[#This Row],[LUKB_id]],PID,0),MATCH("MATURITY",PLabel,0)-1,1,1),"")</f>
        <v/>
      </c>
      <c r="AF246" s="1598" cm="1">
        <f t="array" aca="1" ref="AF246" ca="1">OFFSET(POrigin,MATCH(Valori[[#This Row],[LUKB_id]],PID,0),MATCH("ACCINT",PLabel,0)-1,1,1)</f>
        <v>0</v>
      </c>
      <c r="AG246" s="1594" cm="1">
        <f t="array" aca="1" ref="AG246" ca="1">OFFSET(POrigin,MATCH(Valori[[#This Row],[LUKB_id]],PID,0),MATCH("DENOM",PLabel,0)-1,1,1)</f>
        <v>0</v>
      </c>
      <c r="AH246" s="1599" cm="1">
        <f t="array" aca="1" ref="AH246" ca="1">(OFFSET(POrigin,MATCH(Valori[[#This Row],[LUKB_id]],PID,0),MATCH("YIELD",PLabel,0)-1,1,1)+OFFSET(POrigin,MATCH(Valori[[#This Row],[LUKB_id]],PID,0),MATCH("YLDEQ",PLabel,0)-1,1,1))/100</f>
        <v>0</v>
      </c>
      <c r="AI246" s="1600">
        <f ca="1">OFFSET(POrigin,MATCH(Valori[[#This Row],[LUKB_id]],PID,0),MATCH("DIVIDEND",PLabel,0)-1,1,1)</f>
        <v>0</v>
      </c>
      <c r="AJ246" s="1601">
        <f ca="1">OFFSET(POrigin,MATCH(Valori[[#This Row],[LUKB_id]],PID,0),MATCH("DIVIDEND:datetime",PLabel,0)-1,1,1)</f>
        <v>0</v>
      </c>
      <c r="AK246" s="1602">
        <f ca="1">OFFSET(POrigin,MATCH(Valori[[#This Row],[LUKB_id]],PID,0),MATCH("INTEREST",PLabel,0)-1,1,1)</f>
        <v>0</v>
      </c>
      <c r="AL246" s="1603">
        <f ca="1">OFFSET(POrigin,MATCH(Valori[[#This Row],[LUKB_id]],PID,0),MATCH("4W_PERF_PR",PLabel,0)-1,1,1)/100</f>
        <v>7.902629999999999E-3</v>
      </c>
      <c r="AM246" s="1603">
        <f ca="1">OFFSET(POrigin,MATCH(Valori[[#This Row],[LUKB_id]],PID,0),MATCH("12W_PERF_PR",PLabel,0)-1,1,1)/100</f>
        <v>5.1653869999999998E-2</v>
      </c>
      <c r="AN246" s="1603">
        <f ca="1">OFFSET(POrigin,MATCH(Valori[[#This Row],[LUKB_id]],PID,0),MATCH("YTD_PERF_PR",PLabel,0)-1,1,1)/100</f>
        <v>5.3193481925454297E-2</v>
      </c>
      <c r="AO246" s="1591"/>
      <c r="AP246" s="1591"/>
      <c r="AQ246" s="1591"/>
      <c r="AR246" s="1591"/>
      <c r="AS246" s="1890"/>
      <c r="AT246" s="1890"/>
      <c r="AU246" s="610"/>
      <c r="AV246" s="1891"/>
      <c r="AW246" s="1604" t="str">
        <f ca="1">"https://boersenundmaerkte.lukb.ch/lukb/details/"&amp;Valori[[#This Row],[LUKB_id]]</f>
        <v>https://boersenundmaerkte.lukb.ch/lukb/details/24514626,361,333</v>
      </c>
      <c r="AX24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6" s="142"/>
      <c r="AZ246" s="142"/>
      <c r="BA246" s="142"/>
      <c r="BB246" s="142"/>
    </row>
    <row r="247" spans="1:54" ht="15" customHeight="1" x14ac:dyDescent="0.2">
      <c r="A247" s="142" t="s">
        <v>1596</v>
      </c>
      <c r="B247" s="142" t="str" cm="1">
        <f t="array" aca="1" ref="B247" ca="1">OFFSET(POrigin,MATCH(Valori[[#This Row],[smo_id]],Posizioni[smo_id],0),MATCH("LUKB_id",PIntestazioni,0)-1,1,1)</f>
        <v>4753354,349,333</v>
      </c>
      <c r="C247" s="1668" t="str">
        <f ca="1">HYPERLINK("https://boersenundmaerkte.lukb.ch/lukb/details/"&amp;Valori[[#This Row],[LUKB_id]],"è")</f>
        <v>è</v>
      </c>
      <c r="D247" s="142" t="str" cm="1">
        <f t="array" aca="1" ref="D247" ca="1">OFFSET(POrigin,MATCH(Valori[[#This Row],[LUKB_id]],PID,0),MATCH("SC_GROUPED",PIntestazioni,0)-1,1,1)</f>
        <v>ETF</v>
      </c>
      <c r="E247" s="413" t="str" cm="1">
        <f t="array" aca="1" ref="E247" ca="1">OFFSET(POrigin,MATCH(Valori[[#This Row],[LUKB_id]],PID,0),MATCH("isin",PIntestazioni,0)-1,1,1)</f>
        <v>CH0047533549</v>
      </c>
      <c r="F247" s="34" t="str" cm="1">
        <f t="array" aca="1" ref="F247" ca="1">OFFSET(POrigin,MATCH(Valori[[#This Row],[LUKB_id]],PID,0),MATCH("NSIN_CH",PLabel,0)-1,1,1)</f>
        <v>4753354</v>
      </c>
      <c r="G247" s="95" t="str" cm="1">
        <f t="array" aca="1" ref="G247" ca="1">IF(OFFSET(POrigin,MATCH(Valori[[#This Row],[LUKB_id]],PID,0),MATCH("INSTRUNIT",PLabel,0)-1,1,1)="Nominal","Pct","Unit")</f>
        <v>Unit</v>
      </c>
      <c r="H247" s="612">
        <f ca="1">MAX(OFFSET(POrigin,MATCH(Valori[[#This Row],[LUKB_id]],PID,0),MATCH("PRICINGAMT",PLabel,0)-1,1,1),1)</f>
        <v>1</v>
      </c>
      <c r="I247" s="615" t="str" cm="1">
        <f t="array" aca="1" ref="I247" ca="1">OFFSET(POrigin,MATCH(Valori[[#This Row],[LUKB_id]],PID,0),MATCH("M_NAME",PLabel,0)-1,1,1)</f>
        <v>Swisscanto (CH) Gold ETF</v>
      </c>
      <c r="J247" s="142" t="s">
        <v>790</v>
      </c>
      <c r="M247" s="142" t="str" cm="1">
        <f t="array" aca="1" ref="M2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 (USD)</v>
      </c>
      <c r="N247" s="1563">
        <f ca="1">COUNTIF('CHF M'!smo_id,Valori[[#This Row],[smo_id]])+COUNTIF('CHF MA'!smo_id,Valori[[#This Row],[smo_id]])+COUNTIF('EUR MB'!smo_id,Valori[[#This Row],[smo_id]])+COUNTIF('EUR M'!smo_id,Valori[[#This Row],[smo_id]])+COUNTIF(AGCO!smo_id,Valori[[#This Row],[smo_id]])</f>
        <v>1</v>
      </c>
      <c r="O247" s="1590" cm="1">
        <f t="array" aca="1" ref="O247" ca="1">SUM(IF('CHF M'!smo_id=Valori[[#This Row],[smo_id]],'CHF M'!Posizione))+SUM(IF('CHF MA'!smo_id=Valori[[#This Row],[smo_id]],'CHF MA'!Posizione))+SUM(IF('EUR MB'!smo_id=Valori[[#This Row],[smo_id]],'EUR MB'!Posizione))+SUM(IF('EUR M'!smo_id=Valori[[#This Row],[smo_id]],'EUR M'!Posizione))+SUM(IF(AGCO!smo_id=Valori[[#This Row],[smo_id]],AGCO!Posizione))</f>
        <v>29</v>
      </c>
      <c r="P247" s="1661" t="str">
        <f ca="1">HYPERLINK(Valori[[#This Row],[P_Source]],"è")</f>
        <v>è</v>
      </c>
      <c r="Q247" s="1663" t="str">
        <f>HYPERLINK(Valori[[#This Row],[Info_W]],"i")</f>
        <v>i</v>
      </c>
      <c r="R247" s="1664" t="str">
        <f>HYPERLINK(Valori[[#This Row],[FN_W]],"")</f>
        <v></v>
      </c>
      <c r="S247" s="1665" t="str">
        <f>HYPERLINK(Valori[[#This Row],[MS_Link]],"")</f>
        <v></v>
      </c>
      <c r="T247" s="1665" t="str">
        <f>HYPERLINK(Valori[[#This Row],[C_source]],"")</f>
        <v></v>
      </c>
      <c r="U247" s="142" t="str" cm="1">
        <f t="array" aca="1" ref="U247" ca="1">OFFSET(POrigin,MATCH(Valori[[#This Row],[LUKB_id]],PID,0),MATCH("M_CUR",PLabel,0)-1,1,1)</f>
        <v>USD</v>
      </c>
      <c r="V247" s="1562">
        <f ca="1">(Valori[[#This Row],[Last]]+Valori[[#This Row],[Acc. Int]])/Valori[[#This Row],[Pr.Amt]]/IF(Valori[[#This Row],[P_Type]]="Pct",100,1)</f>
        <v>4771.5</v>
      </c>
      <c r="W247" s="1591" cm="1">
        <f t="array" aca="1" ref="W247" ca="1">OFFSET(POrigin,MATCH(Valori[[#This Row],[LUKB_id]],PID,0),MATCH("NC2_PR",PLabel,0)-1,1,1)/100</f>
        <v>-3.5085945399393401E-2</v>
      </c>
      <c r="X247" s="1592" cm="1">
        <f t="array" aca="1" ref="X247" ca="1">OFFSET(POrigin,MATCH(Valori[[#This Row],[LUKB_id]],PID,0),MATCH("LVAL",PLabel,0)-1,1,1)</f>
        <v>4771.5</v>
      </c>
      <c r="Y247" s="1593" cm="1">
        <f t="array" aca="1" ref="Y247" ca="1">OFFSET(POrigin,MATCH(Valori[[#This Row],[LUKB_id]],PID,0),MATCH("LVAL:datetime",PLabel,0)-1,1,1)</f>
        <v>46084.73300925926</v>
      </c>
      <c r="Z247" s="1594" cm="1">
        <f t="array" aca="1" ref="Z247" ca="1">OFFSET(POrigin,MATCH(Valori[[#This Row],[LUKB_id]],PID,0),MATCH("BID:volume",PLabel,0)-1,1,1)</f>
        <v>105</v>
      </c>
      <c r="AA247" s="1595" cm="1">
        <f t="array" aca="1" ref="AA247" ca="1">OFFSET(POrigin,MATCH(Valori[[#This Row],[LUKB_id]],PID,0),MATCH("BID",PLabel,0)-1,1,1)</f>
        <v>4759.5</v>
      </c>
      <c r="AB247" s="1595" cm="1">
        <f t="array" aca="1" ref="AB247" ca="1">OFFSET(POrigin,MATCH(Valori[[#This Row],[LUKB_id]],PID,0),MATCH("ASK",PLabel,0)-1,1,1)</f>
        <v>4771.5</v>
      </c>
      <c r="AC247" s="1594" cm="1">
        <f t="array" aca="1" ref="AC247" ca="1">OFFSET(POrigin,MATCH(Valori[[#This Row],[LUKB_id]],PID,0),MATCH("ASK:volume",PLabel,0)-1,1,1)</f>
        <v>1081</v>
      </c>
      <c r="AD247" s="1596" cm="1">
        <f t="array" aca="1" ref="AD247" ca="1">OFFSET(POrigin,MATCH(Valori[[#This Row],[LUKB_id]],PID,0),MATCH("BID-ASK Spread %",PLabel,0)-1,1,1)</f>
        <v>1.679437388474861E-3</v>
      </c>
      <c r="AE247" s="1597" t="str" cm="1">
        <f t="array" aca="1" ref="AE247" ca="1">IF(OFFSET(POrigin,MATCH(Valori[[#This Row],[LUKB_id]],PID,0),MATCH("MATURITY",PLabel,0)-1,1,1)&gt;0,OFFSET(POrigin,MATCH(Valori[[#This Row],[LUKB_id]],PID,0),MATCH("MATURITY",PLabel,0)-1,1,1),"")</f>
        <v/>
      </c>
      <c r="AF247" s="1598" cm="1">
        <f t="array" aca="1" ref="AF247" ca="1">OFFSET(POrigin,MATCH(Valori[[#This Row],[LUKB_id]],PID,0),MATCH("ACCINT",PLabel,0)-1,1,1)</f>
        <v>0</v>
      </c>
      <c r="AG247" s="1594" cm="1">
        <f t="array" aca="1" ref="AG247" ca="1">OFFSET(POrigin,MATCH(Valori[[#This Row],[LUKB_id]],PID,0),MATCH("DENOM",PLabel,0)-1,1,1)</f>
        <v>0</v>
      </c>
      <c r="AH247" s="1599" cm="1">
        <f t="array" aca="1" ref="AH247" ca="1">(OFFSET(POrigin,MATCH(Valori[[#This Row],[LUKB_id]],PID,0),MATCH("YIELD",PLabel,0)-1,1,1)+OFFSET(POrigin,MATCH(Valori[[#This Row],[LUKB_id]],PID,0),MATCH("YLDEQ",PLabel,0)-1,1,1))/100</f>
        <v>0</v>
      </c>
      <c r="AI247" s="1600">
        <f ca="1">OFFSET(POrigin,MATCH(Valori[[#This Row],[LUKB_id]],PID,0),MATCH("DIVIDEND",PLabel,0)-1,1,1)</f>
        <v>0</v>
      </c>
      <c r="AJ247" s="1601">
        <f ca="1">OFFSET(POrigin,MATCH(Valori[[#This Row],[LUKB_id]],PID,0),MATCH("DIVIDEND:datetime",PLabel,0)-1,1,1)</f>
        <v>0</v>
      </c>
      <c r="AK247" s="1602">
        <f ca="1">OFFSET(POrigin,MATCH(Valori[[#This Row],[LUKB_id]],PID,0),MATCH("INTEREST",PLabel,0)-1,1,1)</f>
        <v>0</v>
      </c>
      <c r="AL247" s="1603">
        <f ca="1">OFFSET(POrigin,MATCH(Valori[[#This Row],[LUKB_id]],PID,0),MATCH("4W_PERF_PR",PLabel,0)-1,1,1)/100</f>
        <v>3.0227789999999997E-2</v>
      </c>
      <c r="AM247" s="1603">
        <f ca="1">OFFSET(POrigin,MATCH(Valori[[#This Row],[LUKB_id]],PID,0),MATCH("12W_PERF_PR",PLabel,0)-1,1,1)/100</f>
        <v>0.21458572000000001</v>
      </c>
      <c r="AN247" s="1603">
        <f ca="1">OFFSET(POrigin,MATCH(Valori[[#This Row],[LUKB_id]],PID,0),MATCH("YTD_PERF_PR",PLabel,0)-1,1,1)/100</f>
        <v>0.21528631113295699</v>
      </c>
      <c r="AO247" s="1591"/>
      <c r="AP247" s="1591"/>
      <c r="AQ247" s="1591"/>
      <c r="AR247" s="1591"/>
      <c r="AS247" s="1890"/>
      <c r="AT247" s="1890"/>
      <c r="AU247" s="610"/>
      <c r="AV247" s="1891"/>
      <c r="AW247" s="1604" t="str">
        <f ca="1">"https://boersenundmaerkte.lukb.ch/lukb/details/"&amp;Valori[[#This Row],[LUKB_id]]</f>
        <v>https://boersenundmaerkte.lukb.ch/lukb/details/4753354,349,333</v>
      </c>
      <c r="AX24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7" s="142"/>
      <c r="AZ247" s="142"/>
      <c r="BA247" s="142"/>
      <c r="BB247" s="142"/>
    </row>
    <row r="248" spans="1:54" ht="15" customHeight="1" x14ac:dyDescent="0.2">
      <c r="A248" s="142" t="s">
        <v>1597</v>
      </c>
      <c r="B248" s="142" t="str" cm="1">
        <f t="array" aca="1" ref="B248" ca="1">OFFSET(POrigin,MATCH(Valori[[#This Row],[smo_id]],Posizioni[smo_id],0),MATCH("LUKB_id",PIntestazioni,0)-1,1,1)</f>
        <v>13910160,4,1</v>
      </c>
      <c r="C248" s="1668" t="str">
        <f ca="1">HYPERLINK("https://boersenundmaerkte.lukb.ch/lukb/details/"&amp;Valori[[#This Row],[LUKB_id]],"è")</f>
        <v>è</v>
      </c>
      <c r="D248" s="142" t="str" cm="1">
        <f t="array" aca="1" ref="D248" ca="1">OFFSET(POrigin,MATCH(Valori[[#This Row],[LUKB_id]],PID,0),MATCH("SC_GROUPED",PIntestazioni,0)-1,1,1)</f>
        <v>ETF</v>
      </c>
      <c r="E248" s="413" t="str" cm="1">
        <f t="array" aca="1" ref="E248" ca="1">OFFSET(POrigin,MATCH(Valori[[#This Row],[LUKB_id]],PID,0),MATCH("isin",PIntestazioni,0)-1,1,1)</f>
        <v>CH0139101601</v>
      </c>
      <c r="F248" s="34" t="str" cm="1">
        <f t="array" aca="1" ref="F248" ca="1">OFFSET(POrigin,MATCH(Valori[[#This Row],[LUKB_id]],PID,0),MATCH("NSIN_CH",PLabel,0)-1,1,1)</f>
        <v>13910160</v>
      </c>
      <c r="G248" s="95" t="str" cm="1">
        <f t="array" aca="1" ref="G248" ca="1">IF(OFFSET(POrigin,MATCH(Valori[[#This Row],[LUKB_id]],PID,0),MATCH("INSTRUNIT",PLabel,0)-1,1,1)="Nominal","Pct","Unit")</f>
        <v>Unit</v>
      </c>
      <c r="H248" s="612">
        <f ca="1">MAX(OFFSET(POrigin,MATCH(Valori[[#This Row],[LUKB_id]],PID,0),MATCH("PRICINGAMT",PLabel,0)-1,1,1),1)</f>
        <v>1</v>
      </c>
      <c r="I248" s="615" t="str" cm="1">
        <f t="array" aca="1" ref="I248" ca="1">OFFSET(POrigin,MATCH(Valori[[#This Row],[LUKB_id]],PID,0),MATCH("M_NAME",PLabel,0)-1,1,1)</f>
        <v>Swisscanto (CH) Gold ETF</v>
      </c>
      <c r="J248" s="142" t="s">
        <v>791</v>
      </c>
      <c r="M248" s="142" t="str" cm="1">
        <f t="array" aca="1" ref="M2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AAH (CHF)</v>
      </c>
      <c r="N248" s="1563">
        <f ca="1">COUNTIF('CHF M'!smo_id,Valori[[#This Row],[smo_id]])+COUNTIF('CHF MA'!smo_id,Valori[[#This Row],[smo_id]])+COUNTIF('EUR MB'!smo_id,Valori[[#This Row],[smo_id]])+COUNTIF('EUR M'!smo_id,Valori[[#This Row],[smo_id]])+COUNTIF(AGCO!smo_id,Valori[[#This Row],[smo_id]])</f>
        <v>1</v>
      </c>
      <c r="O248" s="1590" cm="1">
        <f t="array" aca="1" ref="O248" ca="1">SUM(IF('CHF M'!smo_id=Valori[[#This Row],[smo_id]],'CHF M'!Posizione))+SUM(IF('CHF MA'!smo_id=Valori[[#This Row],[smo_id]],'CHF MA'!Posizione))+SUM(IF('EUR MB'!smo_id=Valori[[#This Row],[smo_id]],'EUR MB'!Posizione))+SUM(IF('EUR M'!smo_id=Valori[[#This Row],[smo_id]],'EUR M'!Posizione))+SUM(IF(AGCO!smo_id=Valori[[#This Row],[smo_id]],AGCO!Posizione))</f>
        <v>900</v>
      </c>
      <c r="P248" s="1661" t="str">
        <f ca="1">HYPERLINK(Valori[[#This Row],[P_Source]],"è")</f>
        <v>è</v>
      </c>
      <c r="Q248" s="1663" t="str">
        <f>HYPERLINK(Valori[[#This Row],[Info_W]],"i")</f>
        <v>i</v>
      </c>
      <c r="R248" s="1664" t="str">
        <f>HYPERLINK(Valori[[#This Row],[FN_W]],"")</f>
        <v></v>
      </c>
      <c r="S248" s="1665" t="str">
        <f>HYPERLINK(Valori[[#This Row],[MS_Link]],"")</f>
        <v></v>
      </c>
      <c r="T248" s="1665" t="str">
        <f>HYPERLINK(Valori[[#This Row],[C_source]],"")</f>
        <v></v>
      </c>
      <c r="U248" s="142" t="str" cm="1">
        <f t="array" aca="1" ref="U248" ca="1">OFFSET(POrigin,MATCH(Valori[[#This Row],[LUKB_id]],PID,0),MATCH("M_CUR",PLabel,0)-1,1,1)</f>
        <v>CHF</v>
      </c>
      <c r="V248" s="1562">
        <f ca="1">(Valori[[#This Row],[Last]]+Valori[[#This Row],[Acc. Int]])/Valori[[#This Row],[Pr.Amt]]/IF(Valori[[#This Row],[P_Type]]="Pct",100,1)</f>
        <v>1043.2</v>
      </c>
      <c r="W248" s="1591" cm="1">
        <f t="array" aca="1" ref="W248" ca="1">OFFSET(POrigin,MATCH(Valori[[#This Row],[LUKB_id]],PID,0),MATCH("NC2_PR",PLabel,0)-1,1,1)/100</f>
        <v>-3.5502958579881796E-2</v>
      </c>
      <c r="X248" s="1592" cm="1">
        <f t="array" aca="1" ref="X248" ca="1">OFFSET(POrigin,MATCH(Valori[[#This Row],[LUKB_id]],PID,0),MATCH("LVAL",PLabel,0)-1,1,1)</f>
        <v>1043.2</v>
      </c>
      <c r="Y248" s="1593" cm="1">
        <f t="array" aca="1" ref="Y248" ca="1">OFFSET(POrigin,MATCH(Valori[[#This Row],[LUKB_id]],PID,0),MATCH("LVAL:datetime",PLabel,0)-1,1,1)</f>
        <v>46084.73300925926</v>
      </c>
      <c r="Z248" s="1594" cm="1">
        <f t="array" aca="1" ref="Z248" ca="1">OFFSET(POrigin,MATCH(Valori[[#This Row],[LUKB_id]],PID,0),MATCH("BID:volume",PLabel,0)-1,1,1)</f>
        <v>0</v>
      </c>
      <c r="AA248" s="1595" cm="1">
        <f t="array" aca="1" ref="AA248" ca="1">OFFSET(POrigin,MATCH(Valori[[#This Row],[LUKB_id]],PID,0),MATCH("BID",PLabel,0)-1,1,1)</f>
        <v>0</v>
      </c>
      <c r="AB248" s="1595" cm="1">
        <f t="array" aca="1" ref="AB248" ca="1">OFFSET(POrigin,MATCH(Valori[[#This Row],[LUKB_id]],PID,0),MATCH("ASK",PLabel,0)-1,1,1)</f>
        <v>1099</v>
      </c>
      <c r="AC248" s="1594" cm="1">
        <f t="array" aca="1" ref="AC248" ca="1">OFFSET(POrigin,MATCH(Valori[[#This Row],[LUKB_id]],PID,0),MATCH("ASK:volume",PLabel,0)-1,1,1)</f>
        <v>10</v>
      </c>
      <c r="AD248" s="1596" cm="1">
        <f t="array" aca="1" ref="AD248" ca="1">OFFSET(POrigin,MATCH(Valori[[#This Row],[LUKB_id]],PID,0),MATCH("BID-ASK Spread %",PLabel,0)-1,1,1)</f>
        <v>0</v>
      </c>
      <c r="AE248" s="1597" t="str" cm="1">
        <f t="array" aca="1" ref="AE248" ca="1">IF(OFFSET(POrigin,MATCH(Valori[[#This Row],[LUKB_id]],PID,0),MATCH("MATURITY",PLabel,0)-1,1,1)&gt;0,OFFSET(POrigin,MATCH(Valori[[#This Row],[LUKB_id]],PID,0),MATCH("MATURITY",PLabel,0)-1,1,1),"")</f>
        <v/>
      </c>
      <c r="AF248" s="1598" cm="1">
        <f t="array" aca="1" ref="AF248" ca="1">OFFSET(POrigin,MATCH(Valori[[#This Row],[LUKB_id]],PID,0),MATCH("ACCINT",PLabel,0)-1,1,1)</f>
        <v>0</v>
      </c>
      <c r="AG248" s="1594" cm="1">
        <f t="array" aca="1" ref="AG248" ca="1">OFFSET(POrigin,MATCH(Valori[[#This Row],[LUKB_id]],PID,0),MATCH("DENOM",PLabel,0)-1,1,1)</f>
        <v>0</v>
      </c>
      <c r="AH248" s="1599" cm="1">
        <f t="array" aca="1" ref="AH248" ca="1">(OFFSET(POrigin,MATCH(Valori[[#This Row],[LUKB_id]],PID,0),MATCH("YIELD",PLabel,0)-1,1,1)+OFFSET(POrigin,MATCH(Valori[[#This Row],[LUKB_id]],PID,0),MATCH("YLDEQ",PLabel,0)-1,1,1))/100</f>
        <v>0</v>
      </c>
      <c r="AI248" s="1600">
        <f ca="1">OFFSET(POrigin,MATCH(Valori[[#This Row],[LUKB_id]],PID,0),MATCH("DIVIDEND",PLabel,0)-1,1,1)</f>
        <v>0</v>
      </c>
      <c r="AJ248" s="1601">
        <f ca="1">OFFSET(POrigin,MATCH(Valori[[#This Row],[LUKB_id]],PID,0),MATCH("DIVIDEND:datetime",PLabel,0)-1,1,1)</f>
        <v>0</v>
      </c>
      <c r="AK248" s="1602">
        <f ca="1">OFFSET(POrigin,MATCH(Valori[[#This Row],[LUKB_id]],PID,0),MATCH("INTEREST",PLabel,0)-1,1,1)</f>
        <v>0</v>
      </c>
      <c r="AL248" s="1603">
        <f ca="1">OFFSET(POrigin,MATCH(Valori[[#This Row],[LUKB_id]],PID,0),MATCH("4W_PERF_PR",PLabel,0)-1,1,1)/100</f>
        <v>2.3949740000000001E-2</v>
      </c>
      <c r="AM248" s="1603">
        <f ca="1">OFFSET(POrigin,MATCH(Valori[[#This Row],[LUKB_id]],PID,0),MATCH("12W_PERF_PR",PLabel,0)-1,1,1)/100</f>
        <v>0.19797887</v>
      </c>
      <c r="AN248" s="1603">
        <f ca="1">OFFSET(POrigin,MATCH(Valori[[#This Row],[LUKB_id]],PID,0),MATCH("YTD_PERF_PR",PLabel,0)-1,1,1)/100</f>
        <v>0.20057720057719997</v>
      </c>
      <c r="AO248" s="1591"/>
      <c r="AP248" s="1591"/>
      <c r="AQ248" s="1591"/>
      <c r="AR248" s="1591"/>
      <c r="AS248" s="1890" t="s">
        <v>1598</v>
      </c>
      <c r="AT248" s="1890" t="s">
        <v>1599</v>
      </c>
      <c r="AU248" s="610" t="s">
        <v>1600</v>
      </c>
      <c r="AV248" s="1891" t="s">
        <v>1601</v>
      </c>
      <c r="AW248" s="1604" t="str">
        <f ca="1">"https://boersenundmaerkte.lukb.ch/lukb/details/"&amp;Valori[[#This Row],[LUKB_id]]</f>
        <v>https://boersenundmaerkte.lukb.ch/lukb/details/13910160,4,1</v>
      </c>
      <c r="AX248" s="1605" t="str">
        <f>"https://www.zonebourse.com/mods_a/charts/TV/inc_dyna_graph.php?c="&amp;Valori[[#This Row],[MS_Code]]&amp;"&amp;style=TradingView.CANDLES&amp;interval=(null)&amp;mobile=(null)&amp;showAT=1"</f>
        <v>https://www.zonebourse.com/mods_a/charts/TV/inc_dyna_graph.php?c=4206181&amp;style=TradingView.CANDLES&amp;interval=(null)&amp;mobile=(null)&amp;showAT=1</v>
      </c>
      <c r="AY248" s="142"/>
      <c r="AZ248" s="142"/>
      <c r="BA248" s="142"/>
      <c r="BB248" s="142"/>
    </row>
    <row r="249" spans="1:54" ht="15" customHeight="1" x14ac:dyDescent="0.2">
      <c r="A249" s="142" t="s">
        <v>1602</v>
      </c>
      <c r="B249" s="142" t="str" cm="1">
        <f t="array" aca="1" ref="B249" ca="1">OFFSET(POrigin,MATCH(Valori[[#This Row],[smo_id]],Posizioni[smo_id],0),MATCH("LUKB_id",PIntestazioni,0)-1,1,1)</f>
        <v>18313605,4,1</v>
      </c>
      <c r="C249" s="1668" t="str">
        <f ca="1">HYPERLINK("https://boersenundmaerkte.lukb.ch/lukb/details/"&amp;Valori[[#This Row],[LUKB_id]],"è")</f>
        <v>è</v>
      </c>
      <c r="D249" s="142" t="str" cm="1">
        <f t="array" aca="1" ref="D249" ca="1">OFFSET(POrigin,MATCH(Valori[[#This Row],[LUKB_id]],PID,0),MATCH("SC_GROUPED",PIntestazioni,0)-1,1,1)</f>
        <v>ETF</v>
      </c>
      <c r="E249" s="413" t="str" cm="1">
        <f t="array" aca="1" ref="E249" ca="1">OFFSET(POrigin,MATCH(Valori[[#This Row],[LUKB_id]],PID,0),MATCH("isin",PIntestazioni,0)-1,1,1)</f>
        <v>CH0183136057</v>
      </c>
      <c r="F249" s="34" t="str" cm="1">
        <f t="array" aca="1" ref="F249" ca="1">OFFSET(POrigin,MATCH(Valori[[#This Row],[LUKB_id]],PID,0),MATCH("NSIN_CH",PLabel,0)-1,1,1)</f>
        <v>18313605</v>
      </c>
      <c r="G249" s="95" t="str" cm="1">
        <f t="array" aca="1" ref="G249" ca="1">IF(OFFSET(POrigin,MATCH(Valori[[#This Row],[LUKB_id]],PID,0),MATCH("INSTRUNIT",PLabel,0)-1,1,1)="Nominal","Pct","Unit")</f>
        <v>Unit</v>
      </c>
      <c r="H249" s="612">
        <f ca="1">MAX(OFFSET(POrigin,MATCH(Valori[[#This Row],[LUKB_id]],PID,0),MATCH("PRICINGAMT",PLabel,0)-1,1,1),1)</f>
        <v>1</v>
      </c>
      <c r="I249" s="615" t="str" cm="1">
        <f t="array" aca="1" ref="I249" ca="1">OFFSET(POrigin,MATCH(Valori[[#This Row],[LUKB_id]],PID,0),MATCH("M_NAME",PLabel,0)-1,1,1)</f>
        <v>Swisscanto (CH) Platinum ETF</v>
      </c>
      <c r="J249" s="142" t="s">
        <v>797</v>
      </c>
      <c r="M249" s="142" t="str" cm="1">
        <f t="array" aca="1" ref="M2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Platinum ETF - AA (CHF)</v>
      </c>
      <c r="N249" s="1563">
        <f ca="1">COUNTIF('CHF M'!smo_id,Valori[[#This Row],[smo_id]])+COUNTIF('CHF MA'!smo_id,Valori[[#This Row],[smo_id]])+COUNTIF('EUR MB'!smo_id,Valori[[#This Row],[smo_id]])+COUNTIF('EUR M'!smo_id,Valori[[#This Row],[smo_id]])+COUNTIF(AGCO!smo_id,Valori[[#This Row],[smo_id]])</f>
        <v>2</v>
      </c>
      <c r="O249" s="1590" cm="1">
        <f t="array" aca="1" ref="O249" ca="1">SUM(IF('CHF M'!smo_id=Valori[[#This Row],[smo_id]],'CHF M'!Posizione))+SUM(IF('CHF MA'!smo_id=Valori[[#This Row],[smo_id]],'CHF MA'!Posizione))+SUM(IF('EUR MB'!smo_id=Valori[[#This Row],[smo_id]],'EUR MB'!Posizione))+SUM(IF('EUR M'!smo_id=Valori[[#This Row],[smo_id]],'EUR M'!Posizione))+SUM(IF(AGCO!smo_id=Valori[[#This Row],[smo_id]],AGCO!Posizione))</f>
        <v>0</v>
      </c>
      <c r="P249" s="1661" t="str">
        <f ca="1">HYPERLINK(Valori[[#This Row],[P_Source]],"è")</f>
        <v>è</v>
      </c>
      <c r="Q249" s="1663" t="str">
        <f>HYPERLINK(Valori[[#This Row],[Info_W]],"i")</f>
        <v>i</v>
      </c>
      <c r="R249" s="1664" t="str">
        <f>HYPERLINK(Valori[[#This Row],[FN_W]],"")</f>
        <v></v>
      </c>
      <c r="S249" s="1665" t="str">
        <f>HYPERLINK(Valori[[#This Row],[MS_Link]],"")</f>
        <v></v>
      </c>
      <c r="T249" s="1665" t="str">
        <f>HYPERLINK(Valori[[#This Row],[C_source]],"")</f>
        <v></v>
      </c>
      <c r="U249" s="142" t="str" cm="1">
        <f t="array" aca="1" ref="U249" ca="1">OFFSET(POrigin,MATCH(Valori[[#This Row],[LUKB_id]],PID,0),MATCH("M_CUR",PLabel,0)-1,1,1)</f>
        <v>CHF</v>
      </c>
      <c r="V249" s="1562">
        <f ca="1">(Valori[[#This Row],[Last]]+Valori[[#This Row],[Acc. Int]])/Valori[[#This Row],[Pr.Amt]]/IF(Valori[[#This Row],[P_Type]]="Pct",100,1)</f>
        <v>471.75</v>
      </c>
      <c r="W249" s="1591" cm="1">
        <f t="array" aca="1" ref="W249" ca="1">OFFSET(POrigin,MATCH(Valori[[#This Row],[LUKB_id]],PID,0),MATCH("NC2_PR",PLabel,0)-1,1,1)/100</f>
        <v>-9.1740469772814789E-2</v>
      </c>
      <c r="X249" s="1592" cm="1">
        <f t="array" aca="1" ref="X249" ca="1">OFFSET(POrigin,MATCH(Valori[[#This Row],[LUKB_id]],PID,0),MATCH("LVAL",PLabel,0)-1,1,1)</f>
        <v>471.75</v>
      </c>
      <c r="Y249" s="1593" cm="1">
        <f t="array" aca="1" ref="Y249" ca="1">OFFSET(POrigin,MATCH(Valori[[#This Row],[LUKB_id]],PID,0),MATCH("LVAL:datetime",PLabel,0)-1,1,1)</f>
        <v>46084.73300925926</v>
      </c>
      <c r="Z249" s="1594" cm="1">
        <f t="array" aca="1" ref="Z249" ca="1">OFFSET(POrigin,MATCH(Valori[[#This Row],[LUKB_id]],PID,0),MATCH("BID:volume",PLabel,0)-1,1,1)</f>
        <v>20</v>
      </c>
      <c r="AA249" s="1595" cm="1">
        <f t="array" aca="1" ref="AA249" ca="1">OFFSET(POrigin,MATCH(Valori[[#This Row],[LUKB_id]],PID,0),MATCH("BID",PLabel,0)-1,1,1)</f>
        <v>452</v>
      </c>
      <c r="AB249" s="1595" cm="1">
        <f t="array" aca="1" ref="AB249" ca="1">OFFSET(POrigin,MATCH(Valori[[#This Row],[LUKB_id]],PID,0),MATCH("ASK",PLabel,0)-1,1,1)</f>
        <v>500</v>
      </c>
      <c r="AC249" s="1594" cm="1">
        <f t="array" aca="1" ref="AC249" ca="1">OFFSET(POrigin,MATCH(Valori[[#This Row],[LUKB_id]],PID,0),MATCH("ASK:volume",PLabel,0)-1,1,1)</f>
        <v>25</v>
      </c>
      <c r="AD249" s="1596" cm="1">
        <f t="array" aca="1" ref="AD249" ca="1">OFFSET(POrigin,MATCH(Valori[[#This Row],[LUKB_id]],PID,0),MATCH("BID-ASK Spread %",PLabel,0)-1,1,1)</f>
        <v>6.8376068376068383E-2</v>
      </c>
      <c r="AE249" s="1597" t="str" cm="1">
        <f t="array" aca="1" ref="AE249" ca="1">IF(OFFSET(POrigin,MATCH(Valori[[#This Row],[LUKB_id]],PID,0),MATCH("MATURITY",PLabel,0)-1,1,1)&gt;0,OFFSET(POrigin,MATCH(Valori[[#This Row],[LUKB_id]],PID,0),MATCH("MATURITY",PLabel,0)-1,1,1),"")</f>
        <v/>
      </c>
      <c r="AF249" s="1598" cm="1">
        <f t="array" aca="1" ref="AF249" ca="1">OFFSET(POrigin,MATCH(Valori[[#This Row],[LUKB_id]],PID,0),MATCH("ACCINT",PLabel,0)-1,1,1)</f>
        <v>0</v>
      </c>
      <c r="AG249" s="1594" cm="1">
        <f t="array" aca="1" ref="AG249" ca="1">OFFSET(POrigin,MATCH(Valori[[#This Row],[LUKB_id]],PID,0),MATCH("DENOM",PLabel,0)-1,1,1)</f>
        <v>0</v>
      </c>
      <c r="AH249" s="1599" cm="1">
        <f t="array" aca="1" ref="AH249" ca="1">(OFFSET(POrigin,MATCH(Valori[[#This Row],[LUKB_id]],PID,0),MATCH("YIELD",PLabel,0)-1,1,1)+OFFSET(POrigin,MATCH(Valori[[#This Row],[LUKB_id]],PID,0),MATCH("YLDEQ",PLabel,0)-1,1,1))/100</f>
        <v>0</v>
      </c>
      <c r="AI249" s="1600">
        <f ca="1">OFFSET(POrigin,MATCH(Valori[[#This Row],[LUKB_id]],PID,0),MATCH("DIVIDEND",PLabel,0)-1,1,1)</f>
        <v>0</v>
      </c>
      <c r="AJ249" s="1601">
        <f ca="1">OFFSET(POrigin,MATCH(Valori[[#This Row],[LUKB_id]],PID,0),MATCH("DIVIDEND:datetime",PLabel,0)-1,1,1)</f>
        <v>0</v>
      </c>
      <c r="AK249" s="1602">
        <f ca="1">OFFSET(POrigin,MATCH(Valori[[#This Row],[LUKB_id]],PID,0),MATCH("INTEREST",PLabel,0)-1,1,1)</f>
        <v>0</v>
      </c>
      <c r="AL249" s="1603">
        <f ca="1">OFFSET(POrigin,MATCH(Valori[[#This Row],[LUKB_id]],PID,0),MATCH("4W_PERF_PR",PLabel,0)-1,1,1)/100</f>
        <v>-7.0443349999999988E-2</v>
      </c>
      <c r="AM249" s="1603">
        <f ca="1">OFFSET(POrigin,MATCH(Valori[[#This Row],[LUKB_id]],PID,0),MATCH("12W_PERF_PR",PLabel,0)-1,1,1)/100</f>
        <v>0.19053628</v>
      </c>
      <c r="AN249" s="1603">
        <f ca="1">OFFSET(POrigin,MATCH(Valori[[#This Row],[LUKB_id]],PID,0),MATCH("YTD_PERF_PR",PLabel,0)-1,1,1)/100</f>
        <v>1.86311041380662E-2</v>
      </c>
      <c r="AO249" s="1591">
        <v>0</v>
      </c>
      <c r="AP249" s="1591">
        <v>0</v>
      </c>
      <c r="AQ249" s="1591">
        <v>5.0000000000000001E-3</v>
      </c>
      <c r="AR249" s="1591">
        <v>0</v>
      </c>
      <c r="AS249" s="1890" t="s">
        <v>1603</v>
      </c>
      <c r="AT249" s="1890" t="s">
        <v>1604</v>
      </c>
      <c r="AU249" s="610" t="s">
        <v>1605</v>
      </c>
      <c r="AV249" s="1891" t="s">
        <v>1606</v>
      </c>
      <c r="AW249" s="1604" t="str">
        <f ca="1">"https://boersenundmaerkte.lukb.ch/lukb/details/"&amp;Valori[[#This Row],[LUKB_id]]</f>
        <v>https://boersenundmaerkte.lukb.ch/lukb/details/18313605,4,1</v>
      </c>
      <c r="AX249" s="1605" t="str">
        <f>"https://www.zonebourse.com/mods_a/charts/TV/inc_dyna_graph.php?c="&amp;Valori[[#This Row],[MS_Code]]&amp;"&amp;style=TradingView.CANDLES&amp;interval=(null)&amp;mobile=(null)&amp;showAT=1"</f>
        <v>https://www.zonebourse.com/mods_a/charts/TV/inc_dyna_graph.php?c=10532113&amp;style=TradingView.CANDLES&amp;interval=(null)&amp;mobile=(null)&amp;showAT=1</v>
      </c>
      <c r="AY249" s="142"/>
      <c r="AZ249" s="142"/>
      <c r="BA249" s="142"/>
      <c r="BB249" s="142"/>
    </row>
    <row r="250" spans="1:54" ht="15" customHeight="1" x14ac:dyDescent="0.2">
      <c r="A250" s="142" t="s">
        <v>1607</v>
      </c>
      <c r="B250" s="142" t="str" cm="1">
        <f t="array" aca="1" ref="B250" ca="1">OFFSET(POrigin,MATCH(Valori[[#This Row],[smo_id]],Posizioni[smo_id],0),MATCH("LUKB_id",PIntestazioni,0)-1,1,1)</f>
        <v>18313600,349,333</v>
      </c>
      <c r="C250" s="1668" t="str">
        <f ca="1">HYPERLINK("https://boersenundmaerkte.lukb.ch/lukb/details/"&amp;Valori[[#This Row],[LUKB_id]],"è")</f>
        <v>è</v>
      </c>
      <c r="D250" s="142" t="str" cm="1">
        <f t="array" aca="1" ref="D250" ca="1">OFFSET(POrigin,MATCH(Valori[[#This Row],[LUKB_id]],PID,0),MATCH("SC_GROUPED",PIntestazioni,0)-1,1,1)</f>
        <v>ETF</v>
      </c>
      <c r="E250" s="413" t="str" cm="1">
        <f t="array" aca="1" ref="E250" ca="1">OFFSET(POrigin,MATCH(Valori[[#This Row],[LUKB_id]],PID,0),MATCH("isin",PIntestazioni,0)-1,1,1)</f>
        <v>CH0183136008</v>
      </c>
      <c r="F250" s="34" t="str" cm="1">
        <f t="array" aca="1" ref="F250" ca="1">OFFSET(POrigin,MATCH(Valori[[#This Row],[LUKB_id]],PID,0),MATCH("NSIN_CH",PLabel,0)-1,1,1)</f>
        <v>18313600</v>
      </c>
      <c r="G250" s="95" t="str" cm="1">
        <f t="array" aca="1" ref="G250" ca="1">IF(OFFSET(POrigin,MATCH(Valori[[#This Row],[LUKB_id]],PID,0),MATCH("INSTRUNIT",PLabel,0)-1,1,1)="Nominal","Pct","Unit")</f>
        <v>Unit</v>
      </c>
      <c r="H250" s="612">
        <f ca="1">MAX(OFFSET(POrigin,MATCH(Valori[[#This Row],[LUKB_id]],PID,0),MATCH("PRICINGAMT",PLabel,0)-1,1,1),1)</f>
        <v>1</v>
      </c>
      <c r="I250" s="615" t="str" cm="1">
        <f t="array" aca="1" ref="I250" ca="1">OFFSET(POrigin,MATCH(Valori[[#This Row],[LUKB_id]],PID,0),MATCH("M_NAME",PLabel,0)-1,1,1)</f>
        <v>Swisscanto (CH) Silver ETF</v>
      </c>
      <c r="J250" s="142" t="s">
        <v>796</v>
      </c>
      <c r="M250" s="142" t="str" cm="1">
        <f t="array" aca="1" ref="M2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Silver ETF AA</v>
      </c>
      <c r="N250" s="1563">
        <f ca="1">COUNTIF('CHF M'!smo_id,Valori[[#This Row],[smo_id]])+COUNTIF('CHF MA'!smo_id,Valori[[#This Row],[smo_id]])+COUNTIF('EUR MB'!smo_id,Valori[[#This Row],[smo_id]])+COUNTIF('EUR M'!smo_id,Valori[[#This Row],[smo_id]])+COUNTIF(AGCO!smo_id,Valori[[#This Row],[smo_id]])</f>
        <v>2</v>
      </c>
      <c r="O250" s="1590" cm="1">
        <f t="array" aca="1" ref="O250" ca="1">SUM(IF('CHF M'!smo_id=Valori[[#This Row],[smo_id]],'CHF M'!Posizione))+SUM(IF('CHF MA'!smo_id=Valori[[#This Row],[smo_id]],'CHF MA'!Posizione))+SUM(IF('EUR MB'!smo_id=Valori[[#This Row],[smo_id]],'EUR MB'!Posizione))+SUM(IF('EUR M'!smo_id=Valori[[#This Row],[smo_id]],'EUR M'!Posizione))+SUM(IF(AGCO!smo_id=Valori[[#This Row],[smo_id]],AGCO!Posizione))</f>
        <v>0</v>
      </c>
      <c r="P250" s="1661" t="str">
        <f ca="1">HYPERLINK(Valori[[#This Row],[P_Source]],"è")</f>
        <v>è</v>
      </c>
      <c r="Q250" s="1663" t="str">
        <f>HYPERLINK(Valori[[#This Row],[Info_W]],"i")</f>
        <v>i</v>
      </c>
      <c r="R250" s="1664" t="str">
        <f>HYPERLINK(Valori[[#This Row],[FN_W]],"")</f>
        <v></v>
      </c>
      <c r="S250" s="1665" t="str">
        <f>HYPERLINK(Valori[[#This Row],[MS_Link]],"")</f>
        <v></v>
      </c>
      <c r="T250" s="1665" t="str">
        <f>HYPERLINK(Valori[[#This Row],[C_source]],"")</f>
        <v></v>
      </c>
      <c r="U250" s="142" t="str" cm="1">
        <f t="array" aca="1" ref="U250" ca="1">OFFSET(POrigin,MATCH(Valori[[#This Row],[LUKB_id]],PID,0),MATCH("M_CUR",PLabel,0)-1,1,1)</f>
        <v>USD</v>
      </c>
      <c r="V250" s="1562">
        <f ca="1">(Valori[[#This Row],[Last]]+Valori[[#This Row],[Acc. Int]])/Valori[[#This Row],[Pr.Amt]]/IF(Valori[[#This Row],[P_Type]]="Pct",100,1)</f>
        <v>742.80000000000007</v>
      </c>
      <c r="W250" s="1591" cm="1">
        <f t="array" aca="1" ref="W250" ca="1">OFFSET(POrigin,MATCH(Valori[[#This Row],[LUKB_id]],PID,0),MATCH("NC2_PR",PLabel,0)-1,1,1)/100</f>
        <v>-5.6761904761904701E-2</v>
      </c>
      <c r="X250" s="1592" cm="1">
        <f t="array" aca="1" ref="X250" ca="1">OFFSET(POrigin,MATCH(Valori[[#This Row],[LUKB_id]],PID,0),MATCH("LVAL",PLabel,0)-1,1,1)</f>
        <v>742.80000000000007</v>
      </c>
      <c r="Y250" s="1593" cm="1">
        <f t="array" aca="1" ref="Y250" ca="1">OFFSET(POrigin,MATCH(Valori[[#This Row],[LUKB_id]],PID,0),MATCH("LVAL:datetime",PLabel,0)-1,1,1)</f>
        <v>46084.73300925926</v>
      </c>
      <c r="Z250" s="1594" cm="1">
        <f t="array" aca="1" ref="Z250" ca="1">OFFSET(POrigin,MATCH(Valori[[#This Row],[LUKB_id]],PID,0),MATCH("BID:volume",PLabel,0)-1,1,1)</f>
        <v>907</v>
      </c>
      <c r="AA250" s="1595" cm="1">
        <f t="array" aca="1" ref="AA250" ca="1">OFFSET(POrigin,MATCH(Valori[[#This Row],[LUKB_id]],PID,0),MATCH("BID",PLabel,0)-1,1,1)</f>
        <v>742.80000000000007</v>
      </c>
      <c r="AB250" s="1595" cm="1">
        <f t="array" aca="1" ref="AB250" ca="1">OFFSET(POrigin,MATCH(Valori[[#This Row],[LUKB_id]],PID,0),MATCH("ASK",PLabel,0)-1,1,1)</f>
        <v>745.6</v>
      </c>
      <c r="AC250" s="1594" cm="1">
        <f t="array" aca="1" ref="AC250" ca="1">OFFSET(POrigin,MATCH(Valori[[#This Row],[LUKB_id]],PID,0),MATCH("ASK:volume",PLabel,0)-1,1,1)</f>
        <v>42</v>
      </c>
      <c r="AD250" s="1596" cm="1">
        <f t="array" aca="1" ref="AD250" ca="1">OFFSET(POrigin,MATCH(Valori[[#This Row],[LUKB_id]],PID,0),MATCH("BID-ASK Spread %",PLabel,0)-1,1,1)</f>
        <v>2.5098601649336271E-3</v>
      </c>
      <c r="AE250" s="1597" t="str" cm="1">
        <f t="array" aca="1" ref="AE250" ca="1">IF(OFFSET(POrigin,MATCH(Valori[[#This Row],[LUKB_id]],PID,0),MATCH("MATURITY",PLabel,0)-1,1,1)&gt;0,OFFSET(POrigin,MATCH(Valori[[#This Row],[LUKB_id]],PID,0),MATCH("MATURITY",PLabel,0)-1,1,1),"")</f>
        <v/>
      </c>
      <c r="AF250" s="1598" cm="1">
        <f t="array" aca="1" ref="AF250" ca="1">OFFSET(POrigin,MATCH(Valori[[#This Row],[LUKB_id]],PID,0),MATCH("ACCINT",PLabel,0)-1,1,1)</f>
        <v>0</v>
      </c>
      <c r="AG250" s="1594" cm="1">
        <f t="array" aca="1" ref="AG250" ca="1">OFFSET(POrigin,MATCH(Valori[[#This Row],[LUKB_id]],PID,0),MATCH("DENOM",PLabel,0)-1,1,1)</f>
        <v>0</v>
      </c>
      <c r="AH250" s="1599" cm="1">
        <f t="array" aca="1" ref="AH250" ca="1">(OFFSET(POrigin,MATCH(Valori[[#This Row],[LUKB_id]],PID,0),MATCH("YIELD",PLabel,0)-1,1,1)+OFFSET(POrigin,MATCH(Valori[[#This Row],[LUKB_id]],PID,0),MATCH("YLDEQ",PLabel,0)-1,1,1))/100</f>
        <v>0</v>
      </c>
      <c r="AI250" s="1600">
        <f ca="1">OFFSET(POrigin,MATCH(Valori[[#This Row],[LUKB_id]],PID,0),MATCH("DIVIDEND",PLabel,0)-1,1,1)</f>
        <v>0</v>
      </c>
      <c r="AJ250" s="1601">
        <f ca="1">OFFSET(POrigin,MATCH(Valori[[#This Row],[LUKB_id]],PID,0),MATCH("DIVIDEND:datetime",PLabel,0)-1,1,1)</f>
        <v>0</v>
      </c>
      <c r="AK250" s="1602">
        <f ca="1">OFFSET(POrigin,MATCH(Valori[[#This Row],[LUKB_id]],PID,0),MATCH("INTEREST",PLabel,0)-1,1,1)</f>
        <v>0</v>
      </c>
      <c r="AL250" s="1603">
        <f ca="1">OFFSET(POrigin,MATCH(Valori[[#This Row],[LUKB_id]],PID,0),MATCH("4W_PERF_PR",PLabel,0)-1,1,1)/100</f>
        <v>-6.2949409999999997E-2</v>
      </c>
      <c r="AM250" s="1603">
        <f ca="1">OFFSET(POrigin,MATCH(Valori[[#This Row],[LUKB_id]],PID,0),MATCH("12W_PERF_PR",PLabel,0)-1,1,1)/100</f>
        <v>0.37073260999999996</v>
      </c>
      <c r="AN250" s="1603">
        <f ca="1">OFFSET(POrigin,MATCH(Valori[[#This Row],[LUKB_id]],PID,0),MATCH("YTD_PERF_PR",PLabel,0)-1,1,1)/100</f>
        <v>0.149970794392524</v>
      </c>
      <c r="AO250" s="1591"/>
      <c r="AP250" s="1591"/>
      <c r="AQ250" s="1591"/>
      <c r="AR250" s="1591"/>
      <c r="AS250" s="1890" t="s">
        <v>1608</v>
      </c>
      <c r="AT250" s="1890" t="s">
        <v>1609</v>
      </c>
      <c r="AU250" s="610" t="s">
        <v>1610</v>
      </c>
      <c r="AV250" s="1891" t="s">
        <v>1611</v>
      </c>
      <c r="AW250" s="1604" t="str">
        <f ca="1">"https://boersenundmaerkte.lukb.ch/lukb/details/"&amp;Valori[[#This Row],[LUKB_id]]</f>
        <v>https://boersenundmaerkte.lukb.ch/lukb/details/18313600,349,333</v>
      </c>
      <c r="AX250" s="1605" t="str">
        <f>"https://www.marketscreener.com/mods_a/charts/TV/inc_dyna_graph.php?c="&amp;Valori[[#This Row],[MS_Code]]&amp;"&amp;style=TradingView.CANDLES&amp;interval=(null)&amp;mobile=(null)&amp;showAT=1"</f>
        <v>https://www.marketscreener.com/mods_a/charts/TV/inc_dyna_graph.php?c=10547423&amp;style=TradingView.CANDLES&amp;interval=(null)&amp;mobile=(null)&amp;showAT=1</v>
      </c>
      <c r="AY250" s="142"/>
      <c r="AZ250" s="142"/>
      <c r="BA250" s="142"/>
      <c r="BB250" s="142"/>
    </row>
    <row r="251" spans="1:54" ht="15" customHeight="1" x14ac:dyDescent="0.2">
      <c r="A251" s="142" t="s">
        <v>1612</v>
      </c>
      <c r="B251" s="142" t="str" cm="1">
        <f t="array" aca="1" ref="B251" ca="1">OFFSET(POrigin,MATCH(Valori[[#This Row],[smo_id]],Posizioni[smo_id],0),MATCH("LUKB_id",PIntestazioni,0)-1,1,1)</f>
        <v>12281706,3230,814</v>
      </c>
      <c r="C251" s="1668" t="str">
        <f ca="1">HYPERLINK("https://boersenundmaerkte.lukb.ch/lukb/details/"&amp;Valori[[#This Row],[LUKB_id]],"è")</f>
        <v>è</v>
      </c>
      <c r="D251" s="142" t="str" cm="1">
        <f t="array" aca="1" ref="D251" ca="1">OFFSET(POrigin,MATCH(Valori[[#This Row],[LUKB_id]],PID,0),MATCH("SC_GROUPED",PIntestazioni,0)-1,1,1)</f>
        <v>FON</v>
      </c>
      <c r="E251" s="413" t="str" cm="1">
        <f t="array" aca="1" ref="E251" ca="1">OFFSET(POrigin,MATCH(Valori[[#This Row],[LUKB_id]],PID,0),MATCH("isin",PIntestazioni,0)-1,1,1)</f>
        <v>LU0566486402</v>
      </c>
      <c r="F251" s="34" t="str" cm="1">
        <f t="array" aca="1" ref="F251" ca="1">OFFSET(POrigin,MATCH(Valori[[#This Row],[LUKB_id]],PID,0),MATCH("NSIN_CH",PLabel,0)-1,1,1)</f>
        <v>12281706</v>
      </c>
      <c r="G251" s="95" t="str" cm="1">
        <f t="array" aca="1" ref="G251" ca="1">IF(OFFSET(POrigin,MATCH(Valori[[#This Row],[LUKB_id]],PID,0),MATCH("INSTRUNIT",PLabel,0)-1,1,1)="Nominal","Pct","Unit")</f>
        <v>Unit</v>
      </c>
      <c r="H251" s="612">
        <f ca="1">MAX(OFFSET(POrigin,MATCH(Valori[[#This Row],[LUKB_id]],PID,0),MATCH("PRICINGAMT",PLabel,0)-1,1,1),1)</f>
        <v>1</v>
      </c>
      <c r="I251" s="615" t="str" cm="1">
        <f t="array" aca="1" ref="I251" ca="1">OFFSET(POrigin,MATCH(Valori[[#This Row],[LUKB_id]],PID,0),MATCH("M_NAME",PLabel,0)-1,1,1)</f>
        <v>abrdn SICAV I SICAV - Asia Pacific Sustainable Equity Fund</v>
      </c>
      <c r="J251" s="142" t="s">
        <v>464</v>
      </c>
      <c r="M251" s="142" t="str" cm="1">
        <f t="array" aca="1" ref="M2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Aberdeen Global - Asia Pacific Equ. - A Hedged Acc EUR</v>
      </c>
      <c r="N251" s="1563">
        <f ca="1">COUNTIF('CHF M'!smo_id,Valori[[#This Row],[smo_id]])+COUNTIF('CHF MA'!smo_id,Valori[[#This Row],[smo_id]])+COUNTIF('EUR MB'!smo_id,Valori[[#This Row],[smo_id]])+COUNTIF('EUR M'!smo_id,Valori[[#This Row],[smo_id]])+COUNTIF(AGCO!smo_id,Valori[[#This Row],[smo_id]])</f>
        <v>0</v>
      </c>
      <c r="O251" s="1590" cm="1">
        <f t="array" aca="1" ref="O251" ca="1">SUM(IF('CHF M'!smo_id=Valori[[#This Row],[smo_id]],'CHF M'!Posizione))+SUM(IF('CHF MA'!smo_id=Valori[[#This Row],[smo_id]],'CHF MA'!Posizione))+SUM(IF('EUR MB'!smo_id=Valori[[#This Row],[smo_id]],'EUR MB'!Posizione))+SUM(IF('EUR M'!smo_id=Valori[[#This Row],[smo_id]],'EUR M'!Posizione))+SUM(IF(AGCO!smo_id=Valori[[#This Row],[smo_id]],AGCO!Posizione))</f>
        <v>0</v>
      </c>
      <c r="P251" s="1661" t="str">
        <f ca="1">HYPERLINK(Valori[[#This Row],[P_Source]],"è")</f>
        <v>è</v>
      </c>
      <c r="Q251" s="1663" t="str">
        <f>HYPERLINK(Valori[[#This Row],[Info_W]],"i")</f>
        <v>i</v>
      </c>
      <c r="R251" s="1664" t="str">
        <f>HYPERLINK(Valori[[#This Row],[FN_W]],"")</f>
        <v></v>
      </c>
      <c r="S251" s="1665" t="str">
        <f>HYPERLINK(Valori[[#This Row],[MS_Link]],"")</f>
        <v></v>
      </c>
      <c r="T251" s="1665" t="str">
        <f>HYPERLINK(Valori[[#This Row],[C_source]],"")</f>
        <v></v>
      </c>
      <c r="U251" s="142" t="str" cm="1">
        <f t="array" aca="1" ref="U251" ca="1">OFFSET(POrigin,MATCH(Valori[[#This Row],[LUKB_id]],PID,0),MATCH("M_CUR",PLabel,0)-1,1,1)</f>
        <v>EUR</v>
      </c>
      <c r="V251" s="1562">
        <f ca="1">(Valori[[#This Row],[Last]]+Valori[[#This Row],[Acc. Int]])/Valori[[#This Row],[Pr.Amt]]/IF(Valori[[#This Row],[P_Type]]="Pct",100,1)</f>
        <v>12.664</v>
      </c>
      <c r="W251" s="1591" cm="1">
        <f t="array" aca="1" ref="W251" ca="1">OFFSET(POrigin,MATCH(Valori[[#This Row],[LUKB_id]],PID,0),MATCH("NC2_PR",PLabel,0)-1,1,1)/100</f>
        <v>-4.6083851820605953E-2</v>
      </c>
      <c r="X251" s="1592" cm="1">
        <f t="array" aca="1" ref="X251" ca="1">OFFSET(POrigin,MATCH(Valori[[#This Row],[LUKB_id]],PID,0),MATCH("LVAL",PLabel,0)-1,1,1)</f>
        <v>12.664</v>
      </c>
      <c r="Y251" s="1593" cm="1">
        <f t="array" aca="1" ref="Y251" ca="1">OFFSET(POrigin,MATCH(Valori[[#This Row],[LUKB_id]],PID,0),MATCH("LVAL:datetime",PLabel,0)-1,1,1)</f>
        <v>46084.76048611111</v>
      </c>
      <c r="Z251" s="1594" cm="1">
        <f t="array" aca="1" ref="Z251" ca="1">OFFSET(POrigin,MATCH(Valori[[#This Row],[LUKB_id]],PID,0),MATCH("BID:volume",PLabel,0)-1,1,1)</f>
        <v>0</v>
      </c>
      <c r="AA251" s="1595" cm="1">
        <f t="array" aca="1" ref="AA251" ca="1">OFFSET(POrigin,MATCH(Valori[[#This Row],[LUKB_id]],PID,0),MATCH("BID",PLabel,0)-1,1,1)</f>
        <v>0</v>
      </c>
      <c r="AB251" s="1595" cm="1">
        <f t="array" aca="1" ref="AB251" ca="1">OFFSET(POrigin,MATCH(Valori[[#This Row],[LUKB_id]],PID,0),MATCH("ASK",PLabel,0)-1,1,1)</f>
        <v>0</v>
      </c>
      <c r="AC251" s="1594" cm="1">
        <f t="array" aca="1" ref="AC251" ca="1">OFFSET(POrigin,MATCH(Valori[[#This Row],[LUKB_id]],PID,0),MATCH("ASK:volume",PLabel,0)-1,1,1)</f>
        <v>0</v>
      </c>
      <c r="AD251" s="1596" cm="1">
        <f t="array" aca="1" ref="AD251" ca="1">OFFSET(POrigin,MATCH(Valori[[#This Row],[LUKB_id]],PID,0),MATCH("BID-ASK Spread %",PLabel,0)-1,1,1)</f>
        <v>0</v>
      </c>
      <c r="AE251" s="1597" t="str" cm="1">
        <f t="array" aca="1" ref="AE251" ca="1">IF(OFFSET(POrigin,MATCH(Valori[[#This Row],[LUKB_id]],PID,0),MATCH("MATURITY",PLabel,0)-1,1,1)&gt;0,OFFSET(POrigin,MATCH(Valori[[#This Row],[LUKB_id]],PID,0),MATCH("MATURITY",PLabel,0)-1,1,1),"")</f>
        <v/>
      </c>
      <c r="AF251" s="1598" cm="1">
        <f t="array" aca="1" ref="AF251" ca="1">OFFSET(POrigin,MATCH(Valori[[#This Row],[LUKB_id]],PID,0),MATCH("ACCINT",PLabel,0)-1,1,1)</f>
        <v>0</v>
      </c>
      <c r="AG251" s="1594" cm="1">
        <f t="array" aca="1" ref="AG251" ca="1">OFFSET(POrigin,MATCH(Valori[[#This Row],[LUKB_id]],PID,0),MATCH("DENOM",PLabel,0)-1,1,1)</f>
        <v>0</v>
      </c>
      <c r="AH251" s="1599" cm="1">
        <f t="array" aca="1" ref="AH251" ca="1">(OFFSET(POrigin,MATCH(Valori[[#This Row],[LUKB_id]],PID,0),MATCH("YIELD",PLabel,0)-1,1,1)+OFFSET(POrigin,MATCH(Valori[[#This Row],[LUKB_id]],PID,0),MATCH("YLDEQ",PLabel,0)-1,1,1))/100</f>
        <v>0</v>
      </c>
      <c r="AI251" s="1600">
        <f ca="1">OFFSET(POrigin,MATCH(Valori[[#This Row],[LUKB_id]],PID,0),MATCH("DIVIDEND",PLabel,0)-1,1,1)</f>
        <v>0</v>
      </c>
      <c r="AJ251" s="1601">
        <f ca="1">OFFSET(POrigin,MATCH(Valori[[#This Row],[LUKB_id]],PID,0),MATCH("DIVIDEND:datetime",PLabel,0)-1,1,1)</f>
        <v>0</v>
      </c>
      <c r="AK251" s="1602">
        <f ca="1">OFFSET(POrigin,MATCH(Valori[[#This Row],[LUKB_id]],PID,0),MATCH("INTEREST",PLabel,0)-1,1,1)</f>
        <v>0</v>
      </c>
      <c r="AL251" s="1603">
        <f ca="1">OFFSET(POrigin,MATCH(Valori[[#This Row],[LUKB_id]],PID,0),MATCH("4W_PERF_PR",PLabel,0)-1,1,1)/100</f>
        <v>4.2179220473368202E-2</v>
      </c>
      <c r="AM251" s="1603">
        <f ca="1">OFFSET(POrigin,MATCH(Valori[[#This Row],[LUKB_id]],PID,0),MATCH("12W_PERF_PR",PLabel,0)-1,1,1)/100</f>
        <v>0.102970988003058</v>
      </c>
      <c r="AN251" s="1603">
        <f ca="1">OFFSET(POrigin,MATCH(Valori[[#This Row],[LUKB_id]],PID,0),MATCH("YTD_PERF_PR",PLabel,0)-1,1,1)/100</f>
        <v>3.6970317297850511E-2</v>
      </c>
      <c r="AO251" s="1591"/>
      <c r="AP251" s="1591"/>
      <c r="AQ251" s="1591"/>
      <c r="AR251" s="1591"/>
      <c r="AS251" s="1890" t="s">
        <v>1613</v>
      </c>
      <c r="AT251" s="1890" t="s">
        <v>1614</v>
      </c>
      <c r="AU251" s="610" t="s">
        <v>1615</v>
      </c>
      <c r="AV251" s="1891" t="s">
        <v>1616</v>
      </c>
      <c r="AW251" s="1604" t="str">
        <f ca="1">"https://boersenundmaerkte.lukb.ch/lukb/details/"&amp;Valori[[#This Row],[LUKB_id]]</f>
        <v>https://boersenundmaerkte.lukb.ch/lukb/details/12281706,3230,814</v>
      </c>
      <c r="AX251" s="1605" t="str">
        <f>"https://www.zonebourse.com/mods_a/charts/TV/inc_dyna_graph.php?c="&amp;Valori[[#This Row],[MS_Code]]&amp;"&amp;style=TradingView.CANDLES&amp;interval=(null)&amp;mobile=(null)&amp;showAT=1"</f>
        <v>https://www.zonebourse.com/mods_a/charts/TV/inc_dyna_graph.php?c=103243395&amp;style=TradingView.CANDLES&amp;interval=(null)&amp;mobile=(null)&amp;showAT=1</v>
      </c>
      <c r="AY251" s="142"/>
      <c r="AZ251" s="142"/>
      <c r="BA251" s="142"/>
      <c r="BB251" s="142"/>
    </row>
    <row r="252" spans="1:54" ht="15" customHeight="1" x14ac:dyDescent="0.2">
      <c r="A252" s="142" t="s">
        <v>1617</v>
      </c>
      <c r="B252" s="142" t="str" cm="1">
        <f t="array" aca="1" ref="B252" ca="1">OFFSET(POrigin,MATCH(Valori[[#This Row],[smo_id]],Posizioni[smo_id],0),MATCH("LUKB_id",PIntestazioni,0)-1,1,1)</f>
        <v>13047810,3233,1</v>
      </c>
      <c r="C252" s="1668" t="str">
        <f ca="1">HYPERLINK("https://boersenundmaerkte.lukb.ch/lukb/details/"&amp;Valori[[#This Row],[LUKB_id]],"è")</f>
        <v>è</v>
      </c>
      <c r="D252" s="142" t="str" cm="1">
        <f t="array" aca="1" ref="D252" ca="1">OFFSET(POrigin,MATCH(Valori[[#This Row],[LUKB_id]],PID,0),MATCH("SC_GROUPED",PIntestazioni,0)-1,1,1)</f>
        <v>FON</v>
      </c>
      <c r="E252" s="413" t="str" cm="1">
        <f t="array" aca="1" ref="E252" ca="1">OFFSET(POrigin,MATCH(Valori[[#This Row],[LUKB_id]],PID,0),MATCH("isin",PIntestazioni,0)-1,1,1)</f>
        <v>LU0627757692</v>
      </c>
      <c r="F252" s="34" t="str" cm="1">
        <f t="array" aca="1" ref="F252" ca="1">OFFSET(POrigin,MATCH(Valori[[#This Row],[LUKB_id]],PID,0),MATCH("NSIN_CH",PLabel,0)-1,1,1)</f>
        <v>13047810</v>
      </c>
      <c r="G252" s="95" t="str" cm="1">
        <f t="array" aca="1" ref="G252" ca="1">IF(OFFSET(POrigin,MATCH(Valori[[#This Row],[LUKB_id]],PID,0),MATCH("INSTRUNIT",PLabel,0)-1,1,1)="Nominal","Pct","Unit")</f>
        <v>Unit</v>
      </c>
      <c r="H252" s="612">
        <f ca="1">MAX(OFFSET(POrigin,MATCH(Valori[[#This Row],[LUKB_id]],PID,0),MATCH("PRICINGAMT",PLabel,0)-1,1,1),1)</f>
        <v>1</v>
      </c>
      <c r="I252" s="615" t="str" cm="1">
        <f t="array" aca="1" ref="I252" ca="1">OFFSET(POrigin,MATCH(Valori[[#This Row],[LUKB_id]],PID,0),MATCH("M_NAME",PLabel,0)-1,1,1)</f>
        <v>Alma Platinum IV SICAV - Winton Alma Diversified Macro Fund</v>
      </c>
      <c r="J252" s="142" t="s">
        <v>903</v>
      </c>
      <c r="M252" s="142" t="str" cm="1">
        <f t="array" aca="1" ref="M2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Alma Platinum IV - Systematic Alpha -  R1C-C (Acc)</v>
      </c>
      <c r="N252" s="1563">
        <f ca="1">COUNTIF('CHF M'!smo_id,Valori[[#This Row],[smo_id]])+COUNTIF('CHF MA'!smo_id,Valori[[#This Row],[smo_id]])+COUNTIF('EUR MB'!smo_id,Valori[[#This Row],[smo_id]])+COUNTIF('EUR M'!smo_id,Valori[[#This Row],[smo_id]])+COUNTIF(AGCO!smo_id,Valori[[#This Row],[smo_id]])</f>
        <v>1</v>
      </c>
      <c r="O252" s="1590" cm="1">
        <f t="array" aca="1" ref="O252" ca="1">SUM(IF('CHF M'!smo_id=Valori[[#This Row],[smo_id]],'CHF M'!Posizione))+SUM(IF('CHF MA'!smo_id=Valori[[#This Row],[smo_id]],'CHF MA'!Posizione))+SUM(IF('EUR MB'!smo_id=Valori[[#This Row],[smo_id]],'EUR MB'!Posizione))+SUM(IF('EUR M'!smo_id=Valori[[#This Row],[smo_id]],'EUR M'!Posizione))+SUM(IF(AGCO!smo_id=Valori[[#This Row],[smo_id]],AGCO!Posizione))</f>
        <v>0</v>
      </c>
      <c r="P252" s="1661" t="str">
        <f ca="1">HYPERLINK(Valori[[#This Row],[P_Source]],"è")</f>
        <v>è</v>
      </c>
      <c r="Q252" s="1663" t="str">
        <f>HYPERLINK(Valori[[#This Row],[Info_W]],"i")</f>
        <v>i</v>
      </c>
      <c r="R252" s="1664" t="str">
        <f>HYPERLINK(Valori[[#This Row],[FN_W]],"")</f>
        <v></v>
      </c>
      <c r="S252" s="1665" t="str">
        <f>HYPERLINK(Valori[[#This Row],[MS_Link]],"")</f>
        <v></v>
      </c>
      <c r="T252" s="1665" t="str">
        <f>HYPERLINK(Valori[[#This Row],[C_source]],"")</f>
        <v></v>
      </c>
      <c r="U252" s="142" t="str" cm="1">
        <f t="array" aca="1" ref="U252" ca="1">OFFSET(POrigin,MATCH(Valori[[#This Row],[LUKB_id]],PID,0),MATCH("M_CUR",PLabel,0)-1,1,1)</f>
        <v>CHF</v>
      </c>
      <c r="V252" s="1562">
        <f ca="1">(Valori[[#This Row],[Last]]+Valori[[#This Row],[Acc. Int]])/Valori[[#This Row],[Pr.Amt]]/IF(Valori[[#This Row],[P_Type]]="Pct",100,1)</f>
        <v>12107.97</v>
      </c>
      <c r="W252" s="1591" cm="1">
        <f t="array" aca="1" ref="W252" ca="1">OFFSET(POrigin,MATCH(Valori[[#This Row],[LUKB_id]],PID,0),MATCH("NC2_PR",PLabel,0)-1,1,1)/100</f>
        <v>5.7781717020768926E-3</v>
      </c>
      <c r="X252" s="1592" cm="1">
        <f t="array" aca="1" ref="X252" ca="1">OFFSET(POrigin,MATCH(Valori[[#This Row],[LUKB_id]],PID,0),MATCH("LVAL",PLabel,0)-1,1,1)</f>
        <v>12107.97</v>
      </c>
      <c r="Y252" s="1593" cm="1">
        <f t="array" aca="1" ref="Y252" ca="1">OFFSET(POrigin,MATCH(Valori[[#This Row],[LUKB_id]],PID,0),MATCH("LVAL:datetime",PLabel,0)-1,1,1)</f>
        <v>46080.885474537034</v>
      </c>
      <c r="Z252" s="1594" cm="1">
        <f t="array" aca="1" ref="Z252" ca="1">OFFSET(POrigin,MATCH(Valori[[#This Row],[LUKB_id]],PID,0),MATCH("BID:volume",PLabel,0)-1,1,1)</f>
        <v>0</v>
      </c>
      <c r="AA252" s="1595" cm="1">
        <f t="array" aca="1" ref="AA252" ca="1">OFFSET(POrigin,MATCH(Valori[[#This Row],[LUKB_id]],PID,0),MATCH("BID",PLabel,0)-1,1,1)</f>
        <v>0</v>
      </c>
      <c r="AB252" s="1595" cm="1">
        <f t="array" aca="1" ref="AB252" ca="1">OFFSET(POrigin,MATCH(Valori[[#This Row],[LUKB_id]],PID,0),MATCH("ASK",PLabel,0)-1,1,1)</f>
        <v>0</v>
      </c>
      <c r="AC252" s="1594" cm="1">
        <f t="array" aca="1" ref="AC252" ca="1">OFFSET(POrigin,MATCH(Valori[[#This Row],[LUKB_id]],PID,0),MATCH("ASK:volume",PLabel,0)-1,1,1)</f>
        <v>0</v>
      </c>
      <c r="AD252" s="1596" cm="1">
        <f t="array" aca="1" ref="AD252" ca="1">OFFSET(POrigin,MATCH(Valori[[#This Row],[LUKB_id]],PID,0),MATCH("BID-ASK Spread %",PLabel,0)-1,1,1)</f>
        <v>0</v>
      </c>
      <c r="AE252" s="1597" t="str" cm="1">
        <f t="array" aca="1" ref="AE252" ca="1">IF(OFFSET(POrigin,MATCH(Valori[[#This Row],[LUKB_id]],PID,0),MATCH("MATURITY",PLabel,0)-1,1,1)&gt;0,OFFSET(POrigin,MATCH(Valori[[#This Row],[LUKB_id]],PID,0),MATCH("MATURITY",PLabel,0)-1,1,1),"")</f>
        <v/>
      </c>
      <c r="AF252" s="1598" cm="1">
        <f t="array" aca="1" ref="AF252" ca="1">OFFSET(POrigin,MATCH(Valori[[#This Row],[LUKB_id]],PID,0),MATCH("ACCINT",PLabel,0)-1,1,1)</f>
        <v>0</v>
      </c>
      <c r="AG252" s="1594" cm="1">
        <f t="array" aca="1" ref="AG252" ca="1">OFFSET(POrigin,MATCH(Valori[[#This Row],[LUKB_id]],PID,0),MATCH("DENOM",PLabel,0)-1,1,1)</f>
        <v>0</v>
      </c>
      <c r="AH252" s="1599" cm="1">
        <f t="array" aca="1" ref="AH252" ca="1">(OFFSET(POrigin,MATCH(Valori[[#This Row],[LUKB_id]],PID,0),MATCH("YIELD",PLabel,0)-1,1,1)+OFFSET(POrigin,MATCH(Valori[[#This Row],[LUKB_id]],PID,0),MATCH("YLDEQ",PLabel,0)-1,1,1))/100</f>
        <v>0</v>
      </c>
      <c r="AI252" s="1600">
        <f ca="1">OFFSET(POrigin,MATCH(Valori[[#This Row],[LUKB_id]],PID,0),MATCH("DIVIDEND",PLabel,0)-1,1,1)</f>
        <v>0</v>
      </c>
      <c r="AJ252" s="1601">
        <f ca="1">OFFSET(POrigin,MATCH(Valori[[#This Row],[LUKB_id]],PID,0),MATCH("DIVIDEND:datetime",PLabel,0)-1,1,1)</f>
        <v>0</v>
      </c>
      <c r="AK252" s="1602">
        <f ca="1">OFFSET(POrigin,MATCH(Valori[[#This Row],[LUKB_id]],PID,0),MATCH("INTEREST",PLabel,0)-1,1,1)</f>
        <v>0</v>
      </c>
      <c r="AL252" s="1603">
        <f ca="1">OFFSET(POrigin,MATCH(Valori[[#This Row],[LUKB_id]],PID,0),MATCH("4W_PERF_PR",PLabel,0)-1,1,1)/100</f>
        <v>4.27073600268685E-2</v>
      </c>
      <c r="AM252" s="1603">
        <f ca="1">OFFSET(POrigin,MATCH(Valori[[#This Row],[LUKB_id]],PID,0),MATCH("12W_PERF_PR",PLabel,0)-1,1,1)/100</f>
        <v>8.7317915555743003E-2</v>
      </c>
      <c r="AN252" s="1603">
        <f ca="1">OFFSET(POrigin,MATCH(Valori[[#This Row],[LUKB_id]],PID,0),MATCH("YTD_PERF_PR",PLabel,0)-1,1,1)/100</f>
        <v>6.960582259940995E-2</v>
      </c>
      <c r="AO252" s="1591">
        <v>0.05</v>
      </c>
      <c r="AP252" s="1591">
        <v>0.02</v>
      </c>
      <c r="AQ252" s="1591">
        <v>2.2100000000000002E-2</v>
      </c>
      <c r="AR252" s="1591">
        <v>0.18</v>
      </c>
      <c r="AS252" s="1890"/>
      <c r="AT252" s="1890"/>
      <c r="AU252" s="610"/>
      <c r="AV252" s="1891"/>
      <c r="AW252" s="1604" t="str">
        <f ca="1">"https://boersenundmaerkte.lukb.ch/lukb/details/"&amp;Valori[[#This Row],[LUKB_id]]</f>
        <v>https://boersenundmaerkte.lukb.ch/lukb/details/13047810,3233,1</v>
      </c>
      <c r="AX25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52" s="142"/>
      <c r="AZ252" s="142"/>
      <c r="BA252" s="142"/>
      <c r="BB252" s="142"/>
    </row>
    <row r="253" spans="1:54" ht="15" customHeight="1" x14ac:dyDescent="0.2">
      <c r="A253" s="142" t="s">
        <v>1618</v>
      </c>
      <c r="B253" s="142" t="s">
        <v>1619</v>
      </c>
      <c r="C253" s="1668" t="str">
        <f>HYPERLINK("https://boersenundmaerkte.lukb.ch/lukb/details/"&amp;Valori[[#This Row],[LUKB_id]],"è")</f>
        <v>è</v>
      </c>
      <c r="D253" s="142" t="str" cm="1">
        <f t="array" aca="1" ref="D253" ca="1">OFFSET(POrigin,MATCH(Valori[[#This Row],[LUKB_id]],PID,0),MATCH("SC_GROUPED",PIntestazioni,0)-1,1,1)</f>
        <v>FON</v>
      </c>
      <c r="E253" s="413" t="str" cm="1">
        <f t="array" aca="1" ref="E253" ca="1">OFFSET(POrigin,MATCH(Valori[[#This Row],[LUKB_id]],PID,0),MATCH("isin",PIntestazioni,0)-1,1,1)</f>
        <v>LU0623004180</v>
      </c>
      <c r="F253" s="34" t="str" cm="1">
        <f t="array" aca="1" ref="F253" ca="1">OFFSET(POrigin,MATCH(Valori[[#This Row],[LUKB_id]],PID,0),MATCH("NSIN_CH",PLabel,0)-1,1,1)</f>
        <v>13040599</v>
      </c>
      <c r="G253" s="95" t="str" cm="1">
        <f t="array" aca="1" ref="G253" ca="1">IF(OFFSET(POrigin,MATCH(Valori[[#This Row],[LUKB_id]],PID,0),MATCH("INSTRUNIT",PLabel,0)-1,1,1)="Nominal","Pct","Unit")</f>
        <v>Unit</v>
      </c>
      <c r="H253" s="612">
        <f ca="1">MAX(OFFSET(POrigin,MATCH(Valori[[#This Row],[LUKB_id]],PID,0),MATCH("PRICINGAMT",PLabel,0)-1,1,1),1)</f>
        <v>1</v>
      </c>
      <c r="I253" s="615" t="str" cm="1">
        <f t="array" aca="1" ref="I253" ca="1">OFFSET(POrigin,MATCH(Valori[[#This Row],[LUKB_id]],PID,0),MATCH("M_NAME",PLabel,0)-1,1,1)</f>
        <v>BlackRock Global Funds SICAV - Emerging Markets Local Currency Bond Fund</v>
      </c>
      <c r="J253" s="142" t="s">
        <v>581</v>
      </c>
      <c r="M253" s="142" t="str" cm="1">
        <f t="array" aca="1" ref="M2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CHF)</v>
      </c>
      <c r="N253" s="1563">
        <f ca="1">COUNTIF('CHF M'!smo_id,Valori[[#This Row],[smo_id]])+COUNTIF('CHF MA'!smo_id,Valori[[#This Row],[smo_id]])+COUNTIF('EUR MB'!smo_id,Valori[[#This Row],[smo_id]])+COUNTIF('EUR M'!smo_id,Valori[[#This Row],[smo_id]])+COUNTIF(AGCO!smo_id,Valori[[#This Row],[smo_id]])</f>
        <v>2</v>
      </c>
      <c r="O253" s="1590" cm="1">
        <f t="array" aca="1" ref="O253" ca="1">SUM(IF('CHF M'!smo_id=Valori[[#This Row],[smo_id]],'CHF M'!Posizione))+SUM(IF('CHF MA'!smo_id=Valori[[#This Row],[smo_id]],'CHF MA'!Posizione))+SUM(IF('EUR MB'!smo_id=Valori[[#This Row],[smo_id]],'EUR MB'!Posizione))+SUM(IF('EUR M'!smo_id=Valori[[#This Row],[smo_id]],'EUR M'!Posizione))+SUM(IF(AGCO!smo_id=Valori[[#This Row],[smo_id]],AGCO!Posizione))</f>
        <v>0</v>
      </c>
      <c r="P253" s="1661" t="str">
        <f>HYPERLINK(Valori[[#This Row],[P_Source]],"è")</f>
        <v>è</v>
      </c>
      <c r="Q253" s="1663" t="str">
        <f>HYPERLINK(Valori[[#This Row],[Info_W]],"i")</f>
        <v>i</v>
      </c>
      <c r="R253" s="1664" t="str">
        <f>HYPERLINK(Valori[[#This Row],[FN_W]],"")</f>
        <v></v>
      </c>
      <c r="S253" s="1665" t="str">
        <f>HYPERLINK(Valori[[#This Row],[MS_Link]],"")</f>
        <v></v>
      </c>
      <c r="T253" s="1665" t="str">
        <f>HYPERLINK(Valori[[#This Row],[C_source]],"")</f>
        <v></v>
      </c>
      <c r="U253" s="142" t="str" cm="1">
        <f t="array" aca="1" ref="U253" ca="1">OFFSET(POrigin,MATCH(Valori[[#This Row],[LUKB_id]],PID,0),MATCH("M_CUR",PLabel,0)-1,1,1)</f>
        <v>CHF</v>
      </c>
      <c r="V253" s="1562">
        <f ca="1">(Valori[[#This Row],[Last]]+Valori[[#This Row],[Acc. Int]])/Valori[[#This Row],[Pr.Amt]]/IF(Valori[[#This Row],[P_Type]]="Pct",100,1)</f>
        <v>7.08</v>
      </c>
      <c r="W253" s="1591" cm="1">
        <f t="array" aca="1" ref="W253" ca="1">OFFSET(POrigin,MATCH(Valori[[#This Row],[LUKB_id]],PID,0),MATCH("NC2_PR",PLabel,0)-1,1,1)/100</f>
        <v>-1.1173184357541908E-2</v>
      </c>
      <c r="X253" s="1592" cm="1">
        <f t="array" aca="1" ref="X253" ca="1">OFFSET(POrigin,MATCH(Valori[[#This Row],[LUKB_id]],PID,0),MATCH("LVAL",PLabel,0)-1,1,1)</f>
        <v>7.08</v>
      </c>
      <c r="Y253" s="1593" cm="1">
        <f t="array" aca="1" ref="Y253" ca="1">OFFSET(POrigin,MATCH(Valori[[#This Row],[LUKB_id]],PID,0),MATCH("LVAL:datetime",PLabel,0)-1,1,1)</f>
        <v>46083.885474537034</v>
      </c>
      <c r="Z253" s="1594" cm="1">
        <f t="array" aca="1" ref="Z253" ca="1">OFFSET(POrigin,MATCH(Valori[[#This Row],[LUKB_id]],PID,0),MATCH("BID:volume",PLabel,0)-1,1,1)</f>
        <v>0</v>
      </c>
      <c r="AA253" s="1595" cm="1">
        <f t="array" aca="1" ref="AA253" ca="1">OFFSET(POrigin,MATCH(Valori[[#This Row],[LUKB_id]],PID,0),MATCH("BID",PLabel,0)-1,1,1)</f>
        <v>0</v>
      </c>
      <c r="AB253" s="1595" cm="1">
        <f t="array" aca="1" ref="AB253" ca="1">OFFSET(POrigin,MATCH(Valori[[#This Row],[LUKB_id]],PID,0),MATCH("ASK",PLabel,0)-1,1,1)</f>
        <v>0</v>
      </c>
      <c r="AC253" s="1594" cm="1">
        <f t="array" aca="1" ref="AC253" ca="1">OFFSET(POrigin,MATCH(Valori[[#This Row],[LUKB_id]],PID,0),MATCH("ASK:volume",PLabel,0)-1,1,1)</f>
        <v>0</v>
      </c>
      <c r="AD253" s="1596" cm="1">
        <f t="array" aca="1" ref="AD253" ca="1">OFFSET(POrigin,MATCH(Valori[[#This Row],[LUKB_id]],PID,0),MATCH("BID-ASK Spread %",PLabel,0)-1,1,1)</f>
        <v>0</v>
      </c>
      <c r="AE253" s="1597" t="str" cm="1">
        <f t="array" aca="1" ref="AE253" ca="1">IF(OFFSET(POrigin,MATCH(Valori[[#This Row],[LUKB_id]],PID,0),MATCH("MATURITY",PLabel,0)-1,1,1)&gt;0,OFFSET(POrigin,MATCH(Valori[[#This Row],[LUKB_id]],PID,0),MATCH("MATURITY",PLabel,0)-1,1,1),"")</f>
        <v/>
      </c>
      <c r="AF253" s="1598" cm="1">
        <f t="array" aca="1" ref="AF253" ca="1">OFFSET(POrigin,MATCH(Valori[[#This Row],[LUKB_id]],PID,0),MATCH("ACCINT",PLabel,0)-1,1,1)</f>
        <v>0</v>
      </c>
      <c r="AG253" s="1594" cm="1">
        <f t="array" aca="1" ref="AG253" ca="1">OFFSET(POrigin,MATCH(Valori[[#This Row],[LUKB_id]],PID,0),MATCH("DENOM",PLabel,0)-1,1,1)</f>
        <v>0</v>
      </c>
      <c r="AH253" s="1599" cm="1">
        <f t="array" aca="1" ref="AH253" ca="1">(OFFSET(POrigin,MATCH(Valori[[#This Row],[LUKB_id]],PID,0),MATCH("YIELD",PLabel,0)-1,1,1)+OFFSET(POrigin,MATCH(Valori[[#This Row],[LUKB_id]],PID,0),MATCH("YLDEQ",PLabel,0)-1,1,1))/100</f>
        <v>0</v>
      </c>
      <c r="AI253" s="1600">
        <f ca="1">OFFSET(POrigin,MATCH(Valori[[#This Row],[LUKB_id]],PID,0),MATCH("DIVIDEND",PLabel,0)-1,1,1)</f>
        <v>0</v>
      </c>
      <c r="AJ253" s="1601">
        <f ca="1">OFFSET(POrigin,MATCH(Valori[[#This Row],[LUKB_id]],PID,0),MATCH("DIVIDEND:datetime",PLabel,0)-1,1,1)</f>
        <v>0</v>
      </c>
      <c r="AK253" s="1602">
        <f ca="1">OFFSET(POrigin,MATCH(Valori[[#This Row],[LUKB_id]],PID,0),MATCH("INTEREST",PLabel,0)-1,1,1)</f>
        <v>0</v>
      </c>
      <c r="AL253" s="1603">
        <f ca="1">OFFSET(POrigin,MATCH(Valori[[#This Row],[LUKB_id]],PID,0),MATCH("4W_PERF_PR",PLabel,0)-1,1,1)/100</f>
        <v>-1.4104372355430001E-3</v>
      </c>
      <c r="AM253" s="1603">
        <f ca="1">OFFSET(POrigin,MATCH(Valori[[#This Row],[LUKB_id]],PID,0),MATCH("12W_PERF_PR",PLabel,0)-1,1,1)/100</f>
        <v>2.9069767441860499E-2</v>
      </c>
      <c r="AN253" s="1603">
        <f ca="1">OFFSET(POrigin,MATCH(Valori[[#This Row],[LUKB_id]],PID,0),MATCH("YTD_PERF_PR",PLabel,0)-1,1,1)/100</f>
        <v>1.7241379310344841E-2</v>
      </c>
      <c r="AO253" s="1591"/>
      <c r="AP253" s="1591"/>
      <c r="AQ253" s="1591"/>
      <c r="AR253" s="1591"/>
      <c r="AS253" s="1890" t="s">
        <v>1620</v>
      </c>
      <c r="AT253" s="1890"/>
      <c r="AU253" s="610" t="s">
        <v>1621</v>
      </c>
      <c r="AV253" s="1891" t="s">
        <v>1622</v>
      </c>
      <c r="AW253" s="1604" t="str">
        <f>"https://boersenundmaerkte.lukb.ch/lukb/details/"&amp;Valori[[#This Row],[LUKB_id]]</f>
        <v>https://boersenundmaerkte.lukb.ch/lukb/details/13040599,3233,1</v>
      </c>
      <c r="AX253" s="1605" t="str">
        <f>"https://www.zonebourse.com/mods_a/charts/TV/inc_dyna_graph.php?c="&amp;Valori[[#This Row],[MS_Code]]&amp;"&amp;style=TradingView.CANDLES&amp;interval=(null)&amp;mobile=(null)&amp;showAT=1"</f>
        <v>https://www.zonebourse.com/mods_a/charts/TV/inc_dyna_graph.php?c=103244034&amp;style=TradingView.CANDLES&amp;interval=(null)&amp;mobile=(null)&amp;showAT=1</v>
      </c>
      <c r="AY253" s="142"/>
      <c r="AZ253" s="142"/>
      <c r="BA253" s="142"/>
      <c r="BB253" s="142"/>
    </row>
    <row r="254" spans="1:54" ht="15" customHeight="1" x14ac:dyDescent="0.2">
      <c r="A254" s="142" t="s">
        <v>1623</v>
      </c>
      <c r="B254" s="142" t="s">
        <v>1624</v>
      </c>
      <c r="C254" s="1668" t="str">
        <f>HYPERLINK("https://boersenundmaerkte.lukb.ch/lukb/details/"&amp;Valori[[#This Row],[LUKB_id]],"è")</f>
        <v>è</v>
      </c>
      <c r="D254" s="142" t="str" cm="1">
        <f t="array" aca="1" ref="D254" ca="1">OFFSET(POrigin,MATCH(Valori[[#This Row],[LUKB_id]],PID,0),MATCH("SC_GROUPED",PIntestazioni,0)-1,1,1)</f>
        <v>FON</v>
      </c>
      <c r="E254" s="413" t="str" cm="1">
        <f t="array" aca="1" ref="E254" ca="1">OFFSET(POrigin,MATCH(Valori[[#This Row],[LUKB_id]],PID,0),MATCH("isin",PIntestazioni,0)-1,1,1)</f>
        <v>LU0359002093</v>
      </c>
      <c r="F254" s="34" t="str" cm="1">
        <f t="array" aca="1" ref="F254" ca="1">OFFSET(POrigin,MATCH(Valori[[#This Row],[LUKB_id]],PID,0),MATCH("NSIN_CH",PLabel,0)-1,1,1)</f>
        <v>4234028</v>
      </c>
      <c r="G254" s="95" t="str" cm="1">
        <f t="array" aca="1" ref="G254" ca="1">IF(OFFSET(POrigin,MATCH(Valori[[#This Row],[LUKB_id]],PID,0),MATCH("INSTRUNIT",PLabel,0)-1,1,1)="Nominal","Pct","Unit")</f>
        <v>Unit</v>
      </c>
      <c r="H254" s="612">
        <f ca="1">MAX(OFFSET(POrigin,MATCH(Valori[[#This Row],[LUKB_id]],PID,0),MATCH("PRICINGAMT",PLabel,0)-1,1,1),1)</f>
        <v>1</v>
      </c>
      <c r="I254" s="615" t="str" cm="1">
        <f t="array" aca="1" ref="I254" ca="1">OFFSET(POrigin,MATCH(Valori[[#This Row],[LUKB_id]],PID,0),MATCH("M_NAME",PLabel,0)-1,1,1)</f>
        <v>BlackRock Global Funds SICAV - Emerging Markets Local Currency Bond Fund</v>
      </c>
      <c r="J254" s="142" t="s">
        <v>1625</v>
      </c>
      <c r="M254" s="142" t="str" cm="1">
        <f t="array" aca="1" ref="M2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EUR)</v>
      </c>
      <c r="N254" s="1563">
        <f ca="1">COUNTIF('CHF M'!smo_id,Valori[[#This Row],[smo_id]])+COUNTIF('CHF MA'!smo_id,Valori[[#This Row],[smo_id]])+COUNTIF('EUR MB'!smo_id,Valori[[#This Row],[smo_id]])+COUNTIF('EUR M'!smo_id,Valori[[#This Row],[smo_id]])+COUNTIF(AGCO!smo_id,Valori[[#This Row],[smo_id]])</f>
        <v>0</v>
      </c>
      <c r="O254" s="1590" cm="1">
        <f t="array" aca="1" ref="O254" ca="1">SUM(IF('CHF M'!smo_id=Valori[[#This Row],[smo_id]],'CHF M'!Posizione))+SUM(IF('CHF MA'!smo_id=Valori[[#This Row],[smo_id]],'CHF MA'!Posizione))+SUM(IF('EUR MB'!smo_id=Valori[[#This Row],[smo_id]],'EUR MB'!Posizione))+SUM(IF('EUR M'!smo_id=Valori[[#This Row],[smo_id]],'EUR M'!Posizione))+SUM(IF(AGCO!smo_id=Valori[[#This Row],[smo_id]],AGCO!Posizione))</f>
        <v>0</v>
      </c>
      <c r="P254" s="1661" t="str">
        <f>HYPERLINK(Valori[[#This Row],[P_Source]],"è")</f>
        <v>è</v>
      </c>
      <c r="Q254" s="1663" t="str">
        <f>HYPERLINK(Valori[[#This Row],[Info_W]],"i")</f>
        <v>i</v>
      </c>
      <c r="R254" s="1664" t="str">
        <f>HYPERLINK(Valori[[#This Row],[FN_W]],"")</f>
        <v></v>
      </c>
      <c r="S254" s="1665" t="str">
        <f>HYPERLINK(Valori[[#This Row],[MS_Link]],"")</f>
        <v></v>
      </c>
      <c r="T254" s="1665" t="str">
        <f>HYPERLINK(Valori[[#This Row],[C_source]],"")</f>
        <v></v>
      </c>
      <c r="U254" s="142" t="str" cm="1">
        <f t="array" aca="1" ref="U254" ca="1">OFFSET(POrigin,MATCH(Valori[[#This Row],[LUKB_id]],PID,0),MATCH("M_CUR",PLabel,0)-1,1,1)</f>
        <v>EUR</v>
      </c>
      <c r="V254" s="1562">
        <f ca="1">(Valori[[#This Row],[Last]]+Valori[[#This Row],[Acc. Int]])/Valori[[#This Row],[Pr.Amt]]/IF(Valori[[#This Row],[P_Type]]="Pct",100,1)</f>
        <v>7.76</v>
      </c>
      <c r="W254" s="1591" cm="1">
        <f t="array" aca="1" ref="W254" ca="1">OFFSET(POrigin,MATCH(Valori[[#This Row],[LUKB_id]],PID,0),MATCH("NC2_PR",PLabel,0)-1,1,1)/100</f>
        <v>-1.1464968152866337E-2</v>
      </c>
      <c r="X254" s="1592" cm="1">
        <f t="array" aca="1" ref="X254" ca="1">OFFSET(POrigin,MATCH(Valori[[#This Row],[LUKB_id]],PID,0),MATCH("LVAL",PLabel,0)-1,1,1)</f>
        <v>7.76</v>
      </c>
      <c r="Y254" s="1593" cm="1">
        <f t="array" aca="1" ref="Y254" ca="1">OFFSET(POrigin,MATCH(Valori[[#This Row],[LUKB_id]],PID,0),MATCH("LVAL:datetime",PLabel,0)-1,1,1)</f>
        <v>46083.885474537034</v>
      </c>
      <c r="Z254" s="1594" cm="1">
        <f t="array" aca="1" ref="Z254" ca="1">OFFSET(POrigin,MATCH(Valori[[#This Row],[LUKB_id]],PID,0),MATCH("BID:volume",PLabel,0)-1,1,1)</f>
        <v>0</v>
      </c>
      <c r="AA254" s="1595" cm="1">
        <f t="array" aca="1" ref="AA254" ca="1">OFFSET(POrigin,MATCH(Valori[[#This Row],[LUKB_id]],PID,0),MATCH("BID",PLabel,0)-1,1,1)</f>
        <v>0</v>
      </c>
      <c r="AB254" s="1595" cm="1">
        <f t="array" aca="1" ref="AB254" ca="1">OFFSET(POrigin,MATCH(Valori[[#This Row],[LUKB_id]],PID,0),MATCH("ASK",PLabel,0)-1,1,1)</f>
        <v>0</v>
      </c>
      <c r="AC254" s="1594" cm="1">
        <f t="array" aca="1" ref="AC254" ca="1">OFFSET(POrigin,MATCH(Valori[[#This Row],[LUKB_id]],PID,0),MATCH("ASK:volume",PLabel,0)-1,1,1)</f>
        <v>0</v>
      </c>
      <c r="AD254" s="1596" cm="1">
        <f t="array" aca="1" ref="AD254" ca="1">OFFSET(POrigin,MATCH(Valori[[#This Row],[LUKB_id]],PID,0),MATCH("BID-ASK Spread %",PLabel,0)-1,1,1)</f>
        <v>0</v>
      </c>
      <c r="AE254" s="1597" t="str" cm="1">
        <f t="array" aca="1" ref="AE254" ca="1">IF(OFFSET(POrigin,MATCH(Valori[[#This Row],[LUKB_id]],PID,0),MATCH("MATURITY",PLabel,0)-1,1,1)&gt;0,OFFSET(POrigin,MATCH(Valori[[#This Row],[LUKB_id]],PID,0),MATCH("MATURITY",PLabel,0)-1,1,1),"")</f>
        <v/>
      </c>
      <c r="AF254" s="1598" cm="1">
        <f t="array" aca="1" ref="AF254" ca="1">OFFSET(POrigin,MATCH(Valori[[#This Row],[LUKB_id]],PID,0),MATCH("ACCINT",PLabel,0)-1,1,1)</f>
        <v>0</v>
      </c>
      <c r="AG254" s="1594" cm="1">
        <f t="array" aca="1" ref="AG254" ca="1">OFFSET(POrigin,MATCH(Valori[[#This Row],[LUKB_id]],PID,0),MATCH("DENOM",PLabel,0)-1,1,1)</f>
        <v>0</v>
      </c>
      <c r="AH254" s="1599" cm="1">
        <f t="array" aca="1" ref="AH254" ca="1">(OFFSET(POrigin,MATCH(Valori[[#This Row],[LUKB_id]],PID,0),MATCH("YIELD",PLabel,0)-1,1,1)+OFFSET(POrigin,MATCH(Valori[[#This Row],[LUKB_id]],PID,0),MATCH("YLDEQ",PLabel,0)-1,1,1))/100</f>
        <v>0</v>
      </c>
      <c r="AI254" s="1600">
        <f ca="1">OFFSET(POrigin,MATCH(Valori[[#This Row],[LUKB_id]],PID,0),MATCH("DIVIDEND",PLabel,0)-1,1,1)</f>
        <v>0</v>
      </c>
      <c r="AJ254" s="1601">
        <f ca="1">OFFSET(POrigin,MATCH(Valori[[#This Row],[LUKB_id]],PID,0),MATCH("DIVIDEND:datetime",PLabel,0)-1,1,1)</f>
        <v>0</v>
      </c>
      <c r="AK254" s="1602">
        <f ca="1">OFFSET(POrigin,MATCH(Valori[[#This Row],[LUKB_id]],PID,0),MATCH("INTEREST",PLabel,0)-1,1,1)</f>
        <v>0</v>
      </c>
      <c r="AL254" s="1603">
        <f ca="1">OFFSET(POrigin,MATCH(Valori[[#This Row],[LUKB_id]],PID,0),MATCH("4W_PERF_PR",PLabel,0)-1,1,1)/100</f>
        <v>0</v>
      </c>
      <c r="AM254" s="1603">
        <f ca="1">OFFSET(POrigin,MATCH(Valori[[#This Row],[LUKB_id]],PID,0),MATCH("12W_PERF_PR",PLabel,0)-1,1,1)/100</f>
        <v>3.46666666666667E-2</v>
      </c>
      <c r="AN254" s="1603">
        <f ca="1">OFFSET(POrigin,MATCH(Valori[[#This Row],[LUKB_id]],PID,0),MATCH("YTD_PERF_PR",PLabel,0)-1,1,1)/100</f>
        <v>1.9710906701708209E-2</v>
      </c>
      <c r="AO254" s="1591"/>
      <c r="AP254" s="1591"/>
      <c r="AQ254" s="1591"/>
      <c r="AR254" s="1591"/>
      <c r="AS254" s="1890" t="s">
        <v>1626</v>
      </c>
      <c r="AT254" s="1890" t="s">
        <v>1627</v>
      </c>
      <c r="AU254" s="610" t="s">
        <v>1628</v>
      </c>
      <c r="AV254" s="1891" t="s">
        <v>1629</v>
      </c>
      <c r="AW254" s="1604" t="str">
        <f>"https://boersenundmaerkte.lukb.ch/lukb/details/"&amp;Valori[[#This Row],[LUKB_id]]</f>
        <v>https://boersenundmaerkte.lukb.ch/lukb/details/4234028,3230,814</v>
      </c>
      <c r="AX254" s="1605" t="str">
        <f>"https://www.marketscreener.com/mods_a/charts/TV/inc_dyna_graph.php?c="&amp;Valori[[#This Row],[MS_Code]]&amp;"&amp;style=TradingView.CANDLES&amp;interval=(null)&amp;mobile=(null)&amp;showAT=1"</f>
        <v>https://www.marketscreener.com/mods_a/charts/TV/inc_dyna_graph.php?c=103239762&amp;style=TradingView.CANDLES&amp;interval=(null)&amp;mobile=(null)&amp;showAT=1</v>
      </c>
      <c r="AY254" s="142"/>
      <c r="AZ254" s="142"/>
      <c r="BA254" s="142"/>
      <c r="BB254" s="142"/>
    </row>
    <row r="255" spans="1:54" ht="15" customHeight="1" x14ac:dyDescent="0.2">
      <c r="A255" s="142" t="s">
        <v>1630</v>
      </c>
      <c r="B255" s="142" t="str" cm="1">
        <f t="array" aca="1" ref="B255" ca="1">OFFSET(POrigin,MATCH(Valori[[#This Row],[smo_id]],Posizioni[smo_id],0),MATCH("LUKB_id",PIntestazioni,0)-1,1,1)</f>
        <v>14207583,3230,814</v>
      </c>
      <c r="C255" s="1668" t="str">
        <f ca="1">HYPERLINK("https://boersenundmaerkte.lukb.ch/lukb/details/"&amp;Valori[[#This Row],[LUKB_id]],"è")</f>
        <v>è</v>
      </c>
      <c r="D255" s="142" t="str" cm="1">
        <f t="array" aca="1" ref="D255" ca="1">OFFSET(POrigin,MATCH(Valori[[#This Row],[LUKB_id]],PID,0),MATCH("SC_GROUPED",PIntestazioni,0)-1,1,1)</f>
        <v>FON</v>
      </c>
      <c r="E255" s="413" t="str" cm="1">
        <f t="array" aca="1" ref="E255" ca="1">OFFSET(POrigin,MATCH(Valori[[#This Row],[LUKB_id]],PID,0),MATCH("isin",PIntestazioni,0)-1,1,1)</f>
        <v>LU0692855462</v>
      </c>
      <c r="F255" s="34" t="str" cm="1">
        <f t="array" aca="1" ref="F255" ca="1">OFFSET(POrigin,MATCH(Valori[[#This Row],[LUKB_id]],PID,0),MATCH("NSIN_CH",PLabel,0)-1,1,1)</f>
        <v>14207583</v>
      </c>
      <c r="G255" s="95" t="str" cm="1">
        <f t="array" aca="1" ref="G255" ca="1">IF(OFFSET(POrigin,MATCH(Valori[[#This Row],[LUKB_id]],PID,0),MATCH("INSTRUNIT",PLabel,0)-1,1,1)="Nominal","Pct","Unit")</f>
        <v>Unit</v>
      </c>
      <c r="H255" s="612">
        <f ca="1">MAX(OFFSET(POrigin,MATCH(Valori[[#This Row],[LUKB_id]],PID,0),MATCH("PRICINGAMT",PLabel,0)-1,1,1),1)</f>
        <v>1</v>
      </c>
      <c r="I255" s="615" t="str" cm="1">
        <f t="array" aca="1" ref="I255" ca="1">OFFSET(POrigin,MATCH(Valori[[#This Row],[LUKB_id]],PID,0),MATCH("M_NAME",PLabel,0)-1,1,1)</f>
        <v>BlackRock Global Funds SICAV - World Bond Fund</v>
      </c>
      <c r="J255" s="142" t="s">
        <v>861</v>
      </c>
      <c r="M255" s="142" t="str" cm="1">
        <f t="array" aca="1" ref="M2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World Bond Fund - X2 H EUR Hdgd</v>
      </c>
      <c r="N255" s="1563">
        <f ca="1">COUNTIF('CHF M'!smo_id,Valori[[#This Row],[smo_id]])+COUNTIF('CHF MA'!smo_id,Valori[[#This Row],[smo_id]])+COUNTIF('EUR MB'!smo_id,Valori[[#This Row],[smo_id]])+COUNTIF('EUR M'!smo_id,Valori[[#This Row],[smo_id]])+COUNTIF(AGCO!smo_id,Valori[[#This Row],[smo_id]])</f>
        <v>1</v>
      </c>
      <c r="O255" s="1590" cm="1">
        <f t="array" aca="1" ref="O255" ca="1">SUM(IF('CHF M'!smo_id=Valori[[#This Row],[smo_id]],'CHF M'!Posizione))+SUM(IF('CHF MA'!smo_id=Valori[[#This Row],[smo_id]],'CHF MA'!Posizione))+SUM(IF('EUR MB'!smo_id=Valori[[#This Row],[smo_id]],'EUR MB'!Posizione))+SUM(IF('EUR M'!smo_id=Valori[[#This Row],[smo_id]],'EUR M'!Posizione))+SUM(IF(AGCO!smo_id=Valori[[#This Row],[smo_id]],AGCO!Posizione))</f>
        <v>0</v>
      </c>
      <c r="P255" s="1661" t="str">
        <f ca="1">HYPERLINK(Valori[[#This Row],[P_Source]],"è")</f>
        <v>è</v>
      </c>
      <c r="Q255" s="1663" t="str">
        <f>HYPERLINK(Valori[[#This Row],[Info_W]],"i")</f>
        <v>i</v>
      </c>
      <c r="R255" s="1664" t="str">
        <f>HYPERLINK(Valori[[#This Row],[FN_W]],"")</f>
        <v></v>
      </c>
      <c r="S255" s="1665" t="str">
        <f>HYPERLINK(Valori[[#This Row],[MS_Link]],"")</f>
        <v></v>
      </c>
      <c r="T255" s="1665" t="str">
        <f>HYPERLINK(Valori[[#This Row],[C_source]],"")</f>
        <v></v>
      </c>
      <c r="U255" s="142" t="str" cm="1">
        <f t="array" aca="1" ref="U255" ca="1">OFFSET(POrigin,MATCH(Valori[[#This Row],[LUKB_id]],PID,0),MATCH("M_CUR",PLabel,0)-1,1,1)</f>
        <v>EUR</v>
      </c>
      <c r="V255" s="1562">
        <f ca="1">(Valori[[#This Row],[Last]]+Valori[[#This Row],[Acc. Int]])/Valori[[#This Row],[Pr.Amt]]/IF(Valori[[#This Row],[P_Type]]="Pct",100,1)</f>
        <v>208.83</v>
      </c>
      <c r="W255" s="1591" cm="1">
        <f t="array" aca="1" ref="W255" ca="1">OFFSET(POrigin,MATCH(Valori[[#This Row],[LUKB_id]],PID,0),MATCH("NC2_PR",PLabel,0)-1,1,1)/100</f>
        <v>-2.4362281456004149E-3</v>
      </c>
      <c r="X255" s="1592" cm="1">
        <f t="array" aca="1" ref="X255" ca="1">OFFSET(POrigin,MATCH(Valori[[#This Row],[LUKB_id]],PID,0),MATCH("LVAL",PLabel,0)-1,1,1)</f>
        <v>208.83</v>
      </c>
      <c r="Y255" s="1593" cm="1">
        <f t="array" aca="1" ref="Y255" ca="1">OFFSET(POrigin,MATCH(Valori[[#This Row],[LUKB_id]],PID,0),MATCH("LVAL:datetime",PLabel,0)-1,1,1)</f>
        <v>46083.885474537034</v>
      </c>
      <c r="Z255" s="1594" cm="1">
        <f t="array" aca="1" ref="Z255" ca="1">OFFSET(POrigin,MATCH(Valori[[#This Row],[LUKB_id]],PID,0),MATCH("BID:volume",PLabel,0)-1,1,1)</f>
        <v>0</v>
      </c>
      <c r="AA255" s="1595" cm="1">
        <f t="array" aca="1" ref="AA255" ca="1">OFFSET(POrigin,MATCH(Valori[[#This Row],[LUKB_id]],PID,0),MATCH("BID",PLabel,0)-1,1,1)</f>
        <v>0</v>
      </c>
      <c r="AB255" s="1595" cm="1">
        <f t="array" aca="1" ref="AB255" ca="1">OFFSET(POrigin,MATCH(Valori[[#This Row],[LUKB_id]],PID,0),MATCH("ASK",PLabel,0)-1,1,1)</f>
        <v>0</v>
      </c>
      <c r="AC255" s="1594" cm="1">
        <f t="array" aca="1" ref="AC255" ca="1">OFFSET(POrigin,MATCH(Valori[[#This Row],[LUKB_id]],PID,0),MATCH("ASK:volume",PLabel,0)-1,1,1)</f>
        <v>0</v>
      </c>
      <c r="AD255" s="1596" cm="1">
        <f t="array" aca="1" ref="AD255" ca="1">OFFSET(POrigin,MATCH(Valori[[#This Row],[LUKB_id]],PID,0),MATCH("BID-ASK Spread %",PLabel,0)-1,1,1)</f>
        <v>0</v>
      </c>
      <c r="AE255" s="1597" t="str" cm="1">
        <f t="array" aca="1" ref="AE255" ca="1">IF(OFFSET(POrigin,MATCH(Valori[[#This Row],[LUKB_id]],PID,0),MATCH("MATURITY",PLabel,0)-1,1,1)&gt;0,OFFSET(POrigin,MATCH(Valori[[#This Row],[LUKB_id]],PID,0),MATCH("MATURITY",PLabel,0)-1,1,1),"")</f>
        <v/>
      </c>
      <c r="AF255" s="1598" cm="1">
        <f t="array" aca="1" ref="AF255" ca="1">OFFSET(POrigin,MATCH(Valori[[#This Row],[LUKB_id]],PID,0),MATCH("ACCINT",PLabel,0)-1,1,1)</f>
        <v>0</v>
      </c>
      <c r="AG255" s="1594" cm="1">
        <f t="array" aca="1" ref="AG255" ca="1">OFFSET(POrigin,MATCH(Valori[[#This Row],[LUKB_id]],PID,0),MATCH("DENOM",PLabel,0)-1,1,1)</f>
        <v>0</v>
      </c>
      <c r="AH255" s="1599" cm="1">
        <f t="array" aca="1" ref="AH255" ca="1">(OFFSET(POrigin,MATCH(Valori[[#This Row],[LUKB_id]],PID,0),MATCH("YIELD",PLabel,0)-1,1,1)+OFFSET(POrigin,MATCH(Valori[[#This Row],[LUKB_id]],PID,0),MATCH("YLDEQ",PLabel,0)-1,1,1))/100</f>
        <v>0</v>
      </c>
      <c r="AI255" s="1600">
        <f ca="1">OFFSET(POrigin,MATCH(Valori[[#This Row],[LUKB_id]],PID,0),MATCH("DIVIDEND",PLabel,0)-1,1,1)</f>
        <v>0</v>
      </c>
      <c r="AJ255" s="1601">
        <f ca="1">OFFSET(POrigin,MATCH(Valori[[#This Row],[LUKB_id]],PID,0),MATCH("DIVIDEND:datetime",PLabel,0)-1,1,1)</f>
        <v>0</v>
      </c>
      <c r="AK255" s="1602">
        <f ca="1">OFFSET(POrigin,MATCH(Valori[[#This Row],[LUKB_id]],PID,0),MATCH("INTEREST",PLabel,0)-1,1,1)</f>
        <v>0</v>
      </c>
      <c r="AL255" s="1603">
        <f ca="1">OFFSET(POrigin,MATCH(Valori[[#This Row],[LUKB_id]],PID,0),MATCH("4W_PERF_PR",PLabel,0)-1,1,1)/100</f>
        <v>9.4745492338184009E-3</v>
      </c>
      <c r="AM255" s="1603">
        <f ca="1">OFFSET(POrigin,MATCH(Valori[[#This Row],[LUKB_id]],PID,0),MATCH("12W_PERF_PR",PLabel,0)-1,1,1)/100</f>
        <v>1.5858345089264002E-2</v>
      </c>
      <c r="AN255" s="1603">
        <f ca="1">OFFSET(POrigin,MATCH(Valori[[#This Row],[LUKB_id]],PID,0),MATCH("YTD_PERF_PR",PLabel,0)-1,1,1)/100</f>
        <v>1.2312763585244173E-2</v>
      </c>
      <c r="AO255" s="1591"/>
      <c r="AP255" s="1591"/>
      <c r="AQ255" s="1591"/>
      <c r="AR255" s="1591"/>
      <c r="AS255" s="1890" t="s">
        <v>1631</v>
      </c>
      <c r="AT255" s="1890" t="s">
        <v>1632</v>
      </c>
      <c r="AU255" s="610" t="s">
        <v>1633</v>
      </c>
      <c r="AV255" s="1891" t="s">
        <v>1634</v>
      </c>
      <c r="AW255" s="1604" t="str">
        <f ca="1">"https://boersenundmaerkte.lukb.ch/lukb/details/"&amp;Valori[[#This Row],[LUKB_id]]</f>
        <v>https://boersenundmaerkte.lukb.ch/lukb/details/14207583,3230,814</v>
      </c>
      <c r="AX255" s="1605" t="str">
        <f>"https://www.marketscreener.com/mods_a/charts/TV/inc_dyna_graph.php?c="&amp;Valori[[#This Row],[MS_Code]]&amp;"&amp;style=TradingView.CANDLES&amp;interval=(null)&amp;mobile=(null)&amp;showAT=1"</f>
        <v>https://www.marketscreener.com/mods_a/charts/TV/inc_dyna_graph.php?c=103245465&amp;style=TradingView.CANDLES&amp;interval=(null)&amp;mobile=(null)&amp;showAT=1</v>
      </c>
      <c r="AY255" s="142"/>
      <c r="AZ255" s="142"/>
      <c r="BA255" s="142"/>
      <c r="BB255" s="142"/>
    </row>
    <row r="256" spans="1:54" ht="15" customHeight="1" x14ac:dyDescent="0.2">
      <c r="A256" s="142" t="s">
        <v>1635</v>
      </c>
      <c r="B256" s="142" t="str" cm="1">
        <f t="array" aca="1" ref="B256" ca="1">OFFSET(POrigin,MATCH(Valori[[#This Row],[smo_id]],Posizioni[smo_id],0),MATCH("LUKB_id",PIntestazioni,0)-1,1,1)</f>
        <v>18102269,3230,814</v>
      </c>
      <c r="C256" s="1668" t="str">
        <f ca="1">HYPERLINK("https://boersenundmaerkte.lukb.ch/lukb/details/"&amp;Valori[[#This Row],[LUKB_id]],"è")</f>
        <v>è</v>
      </c>
      <c r="D256" s="142" t="str" cm="1">
        <f t="array" aca="1" ref="D256" ca="1">OFFSET(POrigin,MATCH(Valori[[#This Row],[LUKB_id]],PID,0),MATCH("SC_GROUPED",PIntestazioni,0)-1,1,1)</f>
        <v>FON</v>
      </c>
      <c r="E256" s="413" t="str" cm="1">
        <f t="array" aca="1" ref="E256" ca="1">OFFSET(POrigin,MATCH(Valori[[#This Row],[LUKB_id]],PID,0),MATCH("isin",PIntestazioni,0)-1,1,1)</f>
        <v>LU0549537040</v>
      </c>
      <c r="F256" s="34" t="str" cm="1">
        <f t="array" aca="1" ref="F256" ca="1">OFFSET(POrigin,MATCH(Valori[[#This Row],[LUKB_id]],PID,0),MATCH("NSIN_CH",PLabel,0)-1,1,1)</f>
        <v>18102269</v>
      </c>
      <c r="G256" s="95" t="str" cm="1">
        <f t="array" aca="1" ref="G256" ca="1">IF(OFFSET(POrigin,MATCH(Valori[[#This Row],[LUKB_id]],PID,0),MATCH("INSTRUNIT",PLabel,0)-1,1,1)="Nominal","Pct","Unit")</f>
        <v>Unit</v>
      </c>
      <c r="H256" s="612">
        <f ca="1">MAX(OFFSET(POrigin,MATCH(Valori[[#This Row],[LUKB_id]],PID,0),MATCH("PRICINGAMT",PLabel,0)-1,1,1),1)</f>
        <v>1</v>
      </c>
      <c r="I256" s="615" t="str" cm="1">
        <f t="array" aca="1" ref="I256" ca="1">OFFSET(POrigin,MATCH(Valori[[#This Row],[LUKB_id]],PID,0),MATCH("M_NAME",PLabel,0)-1,1,1)</f>
        <v>BlueBay Funds SICAV - BlueBay Investment Grade Euro Government Bond Fund</v>
      </c>
      <c r="J256" s="142" t="s">
        <v>743</v>
      </c>
      <c r="M256" s="142" t="str" cm="1">
        <f t="array" aca="1" ref="M2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BlueBay Investment Grade Euro Government Bond Fund R - EUR</v>
      </c>
      <c r="N256" s="1563">
        <f ca="1">COUNTIF('CHF M'!smo_id,Valori[[#This Row],[smo_id]])+COUNTIF('CHF MA'!smo_id,Valori[[#This Row],[smo_id]])+COUNTIF('EUR MB'!smo_id,Valori[[#This Row],[smo_id]])+COUNTIF('EUR M'!smo_id,Valori[[#This Row],[smo_id]])+COUNTIF(AGCO!smo_id,Valori[[#This Row],[smo_id]])</f>
        <v>2</v>
      </c>
      <c r="O256" s="1590" cm="1">
        <f t="array" aca="1" ref="O256" ca="1">SUM(IF('CHF M'!smo_id=Valori[[#This Row],[smo_id]],'CHF M'!Posizione))+SUM(IF('CHF MA'!smo_id=Valori[[#This Row],[smo_id]],'CHF MA'!Posizione))+SUM(IF('EUR MB'!smo_id=Valori[[#This Row],[smo_id]],'EUR MB'!Posizione))+SUM(IF('EUR M'!smo_id=Valori[[#This Row],[smo_id]],'EUR M'!Posizione))+SUM(IF(AGCO!smo_id=Valori[[#This Row],[smo_id]],AGCO!Posizione))</f>
        <v>0</v>
      </c>
      <c r="P256" s="1661" t="str">
        <f ca="1">HYPERLINK(Valori[[#This Row],[P_Source]],"è")</f>
        <v>è</v>
      </c>
      <c r="Q256" s="1663" t="str">
        <f>HYPERLINK(Valori[[#This Row],[Info_W]],"i")</f>
        <v>i</v>
      </c>
      <c r="R256" s="1664" t="str">
        <f>HYPERLINK(Valori[[#This Row],[FN_W]],"")</f>
        <v></v>
      </c>
      <c r="S256" s="1665" t="str">
        <f>HYPERLINK(Valori[[#This Row],[MS_Link]],"")</f>
        <v></v>
      </c>
      <c r="T256" s="1665" t="str">
        <f>HYPERLINK(Valori[[#This Row],[C_source]],"")</f>
        <v></v>
      </c>
      <c r="U256" s="142" t="str" cm="1">
        <f t="array" aca="1" ref="U256" ca="1">OFFSET(POrigin,MATCH(Valori[[#This Row],[LUKB_id]],PID,0),MATCH("M_CUR",PLabel,0)-1,1,1)</f>
        <v>EUR</v>
      </c>
      <c r="V256" s="1562">
        <f ca="1">(Valori[[#This Row],[Last]]+Valori[[#This Row],[Acc. Int]])/Valori[[#This Row],[Pr.Amt]]/IF(Valori[[#This Row],[P_Type]]="Pct",100,1)</f>
        <v>128.82</v>
      </c>
      <c r="W256" s="1591" cm="1">
        <f t="array" aca="1" ref="W256" ca="1">OFFSET(POrigin,MATCH(Valori[[#This Row],[LUKB_id]],PID,0),MATCH("NC2_PR",PLabel,0)-1,1,1)/100</f>
        <v>-4.9436119264638862E-3</v>
      </c>
      <c r="X256" s="1592" cm="1">
        <f t="array" aca="1" ref="X256" ca="1">OFFSET(POrigin,MATCH(Valori[[#This Row],[LUKB_id]],PID,0),MATCH("LVAL",PLabel,0)-1,1,1)</f>
        <v>128.82</v>
      </c>
      <c r="Y256" s="1593" cm="1">
        <f t="array" aca="1" ref="Y256" ca="1">OFFSET(POrigin,MATCH(Valori[[#This Row],[LUKB_id]],PID,0),MATCH("LVAL:datetime",PLabel,0)-1,1,1)</f>
        <v>46083.531458333331</v>
      </c>
      <c r="Z256" s="1594" cm="1">
        <f t="array" aca="1" ref="Z256" ca="1">OFFSET(POrigin,MATCH(Valori[[#This Row],[LUKB_id]],PID,0),MATCH("BID:volume",PLabel,0)-1,1,1)</f>
        <v>0</v>
      </c>
      <c r="AA256" s="1595" cm="1">
        <f t="array" aca="1" ref="AA256" ca="1">OFFSET(POrigin,MATCH(Valori[[#This Row],[LUKB_id]],PID,0),MATCH("BID",PLabel,0)-1,1,1)</f>
        <v>0</v>
      </c>
      <c r="AB256" s="1595" cm="1">
        <f t="array" aca="1" ref="AB256" ca="1">OFFSET(POrigin,MATCH(Valori[[#This Row],[LUKB_id]],PID,0),MATCH("ASK",PLabel,0)-1,1,1)</f>
        <v>0</v>
      </c>
      <c r="AC256" s="1594" cm="1">
        <f t="array" aca="1" ref="AC256" ca="1">OFFSET(POrigin,MATCH(Valori[[#This Row],[LUKB_id]],PID,0),MATCH("ASK:volume",PLabel,0)-1,1,1)</f>
        <v>0</v>
      </c>
      <c r="AD256" s="1596" cm="1">
        <f t="array" aca="1" ref="AD256" ca="1">OFFSET(POrigin,MATCH(Valori[[#This Row],[LUKB_id]],PID,0),MATCH("BID-ASK Spread %",PLabel,0)-1,1,1)</f>
        <v>0</v>
      </c>
      <c r="AE256" s="1597" t="str" cm="1">
        <f t="array" aca="1" ref="AE256" ca="1">IF(OFFSET(POrigin,MATCH(Valori[[#This Row],[LUKB_id]],PID,0),MATCH("MATURITY",PLabel,0)-1,1,1)&gt;0,OFFSET(POrigin,MATCH(Valori[[#This Row],[LUKB_id]],PID,0),MATCH("MATURITY",PLabel,0)-1,1,1),"")</f>
        <v/>
      </c>
      <c r="AF256" s="1598" cm="1">
        <f t="array" aca="1" ref="AF256" ca="1">OFFSET(POrigin,MATCH(Valori[[#This Row],[LUKB_id]],PID,0),MATCH("ACCINT",PLabel,0)-1,1,1)</f>
        <v>0</v>
      </c>
      <c r="AG256" s="1594" cm="1">
        <f t="array" aca="1" ref="AG256" ca="1">OFFSET(POrigin,MATCH(Valori[[#This Row],[LUKB_id]],PID,0),MATCH("DENOM",PLabel,0)-1,1,1)</f>
        <v>0</v>
      </c>
      <c r="AH256" s="1599" cm="1">
        <f t="array" aca="1" ref="AH256" ca="1">(OFFSET(POrigin,MATCH(Valori[[#This Row],[LUKB_id]],PID,0),MATCH("YIELD",PLabel,0)-1,1,1)+OFFSET(POrigin,MATCH(Valori[[#This Row],[LUKB_id]],PID,0),MATCH("YLDEQ",PLabel,0)-1,1,1))/100</f>
        <v>0</v>
      </c>
      <c r="AI256" s="1600">
        <f ca="1">OFFSET(POrigin,MATCH(Valori[[#This Row],[LUKB_id]],PID,0),MATCH("DIVIDEND",PLabel,0)-1,1,1)</f>
        <v>0</v>
      </c>
      <c r="AJ256" s="1601">
        <f ca="1">OFFSET(POrigin,MATCH(Valori[[#This Row],[LUKB_id]],PID,0),MATCH("DIVIDEND:datetime",PLabel,0)-1,1,1)</f>
        <v>0</v>
      </c>
      <c r="AK256" s="1602">
        <f ca="1">OFFSET(POrigin,MATCH(Valori[[#This Row],[LUKB_id]],PID,0),MATCH("INTEREST",PLabel,0)-1,1,1)</f>
        <v>0</v>
      </c>
      <c r="AL256" s="1603">
        <f ca="1">OFFSET(POrigin,MATCH(Valori[[#This Row],[LUKB_id]],PID,0),MATCH("4W_PERF_PR",PLabel,0)-1,1,1)/100</f>
        <v>1.2656237717160498E-2</v>
      </c>
      <c r="AM256" s="1603">
        <f ca="1">OFFSET(POrigin,MATCH(Valori[[#This Row],[LUKB_id]],PID,0),MATCH("12W_PERF_PR",PLabel,0)-1,1,1)/100</f>
        <v>2.2218695445167497E-2</v>
      </c>
      <c r="AN256" s="1603">
        <f ca="1">OFFSET(POrigin,MATCH(Valori[[#This Row],[LUKB_id]],PID,0),MATCH("YTD_PERF_PR",PLabel,0)-1,1,1)/100</f>
        <v>1.7455177316167709E-2</v>
      </c>
      <c r="AO256" s="1591"/>
      <c r="AP256" s="1591"/>
      <c r="AQ256" s="1591"/>
      <c r="AR256" s="1591"/>
      <c r="AS256" s="1890" t="s">
        <v>1636</v>
      </c>
      <c r="AT256" s="1890" t="s">
        <v>1637</v>
      </c>
      <c r="AU256" s="610" t="s">
        <v>1638</v>
      </c>
      <c r="AV256" s="1891" t="s">
        <v>1639</v>
      </c>
      <c r="AW256" s="1604" t="str">
        <f ca="1">"https://boersenundmaerkte.lukb.ch/lukb/details/"&amp;Valori[[#This Row],[LUKB_id]]</f>
        <v>https://boersenundmaerkte.lukb.ch/lukb/details/18102269,3230,814</v>
      </c>
      <c r="AX256" s="1605" t="str">
        <f>"https://www.marketscreener.com/mods_a/charts/TV/inc_dyna_graph.php?c="&amp;Valori[[#This Row],[MS_Code]]&amp;"&amp;style=TradingView.CANDLES&amp;interval=(null)&amp;mobile=(null)&amp;showAT=1"</f>
        <v>https://www.marketscreener.com/mods_a/charts/TV/inc_dyna_graph.php?c=103250133&amp;style=TradingView.CANDLES&amp;interval=(null)&amp;mobile=(null)&amp;showAT=1</v>
      </c>
      <c r="AY256" s="142"/>
      <c r="AZ256" s="142"/>
      <c r="BA256" s="142"/>
      <c r="BB256" s="142"/>
    </row>
    <row r="257" spans="1:54" ht="15" customHeight="1" x14ac:dyDescent="0.2">
      <c r="A257" s="142" t="s">
        <v>1640</v>
      </c>
      <c r="B257" s="142" t="str" cm="1">
        <f t="array" aca="1" ref="B257" ca="1">OFFSET(POrigin,MATCH(Valori[[#This Row],[smo_id]],Posizioni[smo_id],0),MATCH("LUKB_id",PIntestazioni,0)-1,1,1)</f>
        <v>22660985,3230,814</v>
      </c>
      <c r="C257" s="1668" t="str">
        <f ca="1">HYPERLINK("https://boersenundmaerkte.lukb.ch/lukb/details/"&amp;Valori[[#This Row],[LUKB_id]],"è")</f>
        <v>è</v>
      </c>
      <c r="D257" s="142" t="str" cm="1">
        <f t="array" aca="1" ref="D257" ca="1">OFFSET(POrigin,MATCH(Valori[[#This Row],[LUKB_id]],PID,0),MATCH("SC_GROUPED",PIntestazioni,0)-1,1,1)</f>
        <v>FON</v>
      </c>
      <c r="E257" s="413" t="str" cm="1">
        <f t="array" aca="1" ref="E257" ca="1">OFFSET(POrigin,MATCH(Valori[[#This Row],[LUKB_id]],PID,0),MATCH("isin",PIntestazioni,0)-1,1,1)</f>
        <v>LU0985871440</v>
      </c>
      <c r="F257" s="34" t="str" cm="1">
        <f t="array" aca="1" ref="F257" ca="1">OFFSET(POrigin,MATCH(Valori[[#This Row],[LUKB_id]],PID,0),MATCH("NSIN_CH",PLabel,0)-1,1,1)</f>
        <v>22660985</v>
      </c>
      <c r="G257" s="95" t="str" cm="1">
        <f t="array" aca="1" ref="G257" ca="1">IF(OFFSET(POrigin,MATCH(Valori[[#This Row],[LUKB_id]],PID,0),MATCH("INSTRUNIT",PLabel,0)-1,1,1)="Nominal","Pct","Unit")</f>
        <v>Unit</v>
      </c>
      <c r="H257" s="612">
        <f ca="1">MAX(OFFSET(POrigin,MATCH(Valori[[#This Row],[LUKB_id]],PID,0),MATCH("PRICINGAMT",PLabel,0)-1,1,1),1)</f>
        <v>1</v>
      </c>
      <c r="I257" s="615" t="str" cm="1">
        <f t="array" aca="1" ref="I257" ca="1">OFFSET(POrigin,MATCH(Valori[[#This Row],[LUKB_id]],PID,0),MATCH("M_NAME",PLabel,0)-1,1,1)</f>
        <v>UBS (Lux) Fund Solutions II SICAV - UBS MSCI Pacific ex Japan</v>
      </c>
      <c r="J257" s="142" t="s">
        <v>859</v>
      </c>
      <c r="M257" s="142" t="str" cm="1">
        <f t="array" aca="1" ref="M2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CSIF (Lux) Equity Pacific ex Japan (EUR)</v>
      </c>
      <c r="N257" s="1563">
        <f ca="1">COUNTIF('CHF M'!smo_id,Valori[[#This Row],[smo_id]])+COUNTIF('CHF MA'!smo_id,Valori[[#This Row],[smo_id]])+COUNTIF('EUR MB'!smo_id,Valori[[#This Row],[smo_id]])+COUNTIF('EUR M'!smo_id,Valori[[#This Row],[smo_id]])+COUNTIF(AGCO!smo_id,Valori[[#This Row],[smo_id]])</f>
        <v>0</v>
      </c>
      <c r="O257" s="1590" cm="1">
        <f t="array" aca="1" ref="O257" ca="1">SUM(IF('CHF M'!smo_id=Valori[[#This Row],[smo_id]],'CHF M'!Posizione))+SUM(IF('CHF MA'!smo_id=Valori[[#This Row],[smo_id]],'CHF MA'!Posizione))+SUM(IF('EUR MB'!smo_id=Valori[[#This Row],[smo_id]],'EUR MB'!Posizione))+SUM(IF('EUR M'!smo_id=Valori[[#This Row],[smo_id]],'EUR M'!Posizione))+SUM(IF(AGCO!smo_id=Valori[[#This Row],[smo_id]],AGCO!Posizione))</f>
        <v>0</v>
      </c>
      <c r="P257" s="1661" t="str">
        <f ca="1">HYPERLINK(Valori[[#This Row],[P_Source]],"è")</f>
        <v>è</v>
      </c>
      <c r="Q257" s="1663" t="str">
        <f>HYPERLINK(Valori[[#This Row],[Info_W]],"i")</f>
        <v>i</v>
      </c>
      <c r="R257" s="1664" t="str">
        <f>HYPERLINK(Valori[[#This Row],[FN_W]],"")</f>
        <v></v>
      </c>
      <c r="S257" s="1665" t="str">
        <f>HYPERLINK(Valori[[#This Row],[MS_Link]],"")</f>
        <v></v>
      </c>
      <c r="T257" s="1665" t="str">
        <f>HYPERLINK(Valori[[#This Row],[C_source]],"")</f>
        <v></v>
      </c>
      <c r="U257" s="142" t="str" cm="1">
        <f t="array" aca="1" ref="U257" ca="1">OFFSET(POrigin,MATCH(Valori[[#This Row],[LUKB_id]],PID,0),MATCH("M_CUR",PLabel,0)-1,1,1)</f>
        <v>EUR</v>
      </c>
      <c r="V257" s="1562">
        <f ca="1">(Valori[[#This Row],[Last]]+Valori[[#This Row],[Acc. Int]])/Valori[[#This Row],[Pr.Amt]]/IF(Valori[[#This Row],[P_Type]]="Pct",100,1)</f>
        <v>1747.4795000000001</v>
      </c>
      <c r="W257" s="1591" cm="1">
        <f t="array" aca="1" ref="W257" ca="1">OFFSET(POrigin,MATCH(Valori[[#This Row],[LUKB_id]],PID,0),MATCH("NC2_PR",PLabel,0)-1,1,1)/100</f>
        <v>-3.3822665548844466E-3</v>
      </c>
      <c r="X257" s="1592" cm="1">
        <f t="array" aca="1" ref="X257" ca="1">OFFSET(POrigin,MATCH(Valori[[#This Row],[LUKB_id]],PID,0),MATCH("LVAL",PLabel,0)-1,1,1)</f>
        <v>1747.4795000000001</v>
      </c>
      <c r="Y257" s="1593" cm="1">
        <f t="array" aca="1" ref="Y257" ca="1">OFFSET(POrigin,MATCH(Valori[[#This Row],[LUKB_id]],PID,0),MATCH("LVAL:datetime",PLabel,0)-1,1,1)</f>
        <v>46083.4065162037</v>
      </c>
      <c r="Z257" s="1594" cm="1">
        <f t="array" aca="1" ref="Z257" ca="1">OFFSET(POrigin,MATCH(Valori[[#This Row],[LUKB_id]],PID,0),MATCH("BID:volume",PLabel,0)-1,1,1)</f>
        <v>0</v>
      </c>
      <c r="AA257" s="1595" cm="1">
        <f t="array" aca="1" ref="AA257" ca="1">OFFSET(POrigin,MATCH(Valori[[#This Row],[LUKB_id]],PID,0),MATCH("BID",PLabel,0)-1,1,1)</f>
        <v>0</v>
      </c>
      <c r="AB257" s="1595" cm="1">
        <f t="array" aca="1" ref="AB257" ca="1">OFFSET(POrigin,MATCH(Valori[[#This Row],[LUKB_id]],PID,0),MATCH("ASK",PLabel,0)-1,1,1)</f>
        <v>0</v>
      </c>
      <c r="AC257" s="1594" cm="1">
        <f t="array" aca="1" ref="AC257" ca="1">OFFSET(POrigin,MATCH(Valori[[#This Row],[LUKB_id]],PID,0),MATCH("ASK:volume",PLabel,0)-1,1,1)</f>
        <v>0</v>
      </c>
      <c r="AD257" s="1596" cm="1">
        <f t="array" aca="1" ref="AD257" ca="1">OFFSET(POrigin,MATCH(Valori[[#This Row],[LUKB_id]],PID,0),MATCH("BID-ASK Spread %",PLabel,0)-1,1,1)</f>
        <v>0</v>
      </c>
      <c r="AE257" s="1597" t="str" cm="1">
        <f t="array" aca="1" ref="AE257" ca="1">IF(OFFSET(POrigin,MATCH(Valori[[#This Row],[LUKB_id]],PID,0),MATCH("MATURITY",PLabel,0)-1,1,1)&gt;0,OFFSET(POrigin,MATCH(Valori[[#This Row],[LUKB_id]],PID,0),MATCH("MATURITY",PLabel,0)-1,1,1),"")</f>
        <v/>
      </c>
      <c r="AF257" s="1598" cm="1">
        <f t="array" aca="1" ref="AF257" ca="1">OFFSET(POrigin,MATCH(Valori[[#This Row],[LUKB_id]],PID,0),MATCH("ACCINT",PLabel,0)-1,1,1)</f>
        <v>0</v>
      </c>
      <c r="AG257" s="1594" cm="1">
        <f t="array" aca="1" ref="AG257" ca="1">OFFSET(POrigin,MATCH(Valori[[#This Row],[LUKB_id]],PID,0),MATCH("DENOM",PLabel,0)-1,1,1)</f>
        <v>0</v>
      </c>
      <c r="AH257" s="1599" cm="1">
        <f t="array" aca="1" ref="AH257" ca="1">(OFFSET(POrigin,MATCH(Valori[[#This Row],[LUKB_id]],PID,0),MATCH("YIELD",PLabel,0)-1,1,1)+OFFSET(POrigin,MATCH(Valori[[#This Row],[LUKB_id]],PID,0),MATCH("YLDEQ",PLabel,0)-1,1,1))/100</f>
        <v>0</v>
      </c>
      <c r="AI257" s="1600">
        <f ca="1">OFFSET(POrigin,MATCH(Valori[[#This Row],[LUKB_id]],PID,0),MATCH("DIVIDEND",PLabel,0)-1,1,1)</f>
        <v>0</v>
      </c>
      <c r="AJ257" s="1601">
        <f ca="1">OFFSET(POrigin,MATCH(Valori[[#This Row],[LUKB_id]],PID,0),MATCH("DIVIDEND:datetime",PLabel,0)-1,1,1)</f>
        <v>0</v>
      </c>
      <c r="AK257" s="1602">
        <f ca="1">OFFSET(POrigin,MATCH(Valori[[#This Row],[LUKB_id]],PID,0),MATCH("INTEREST",PLabel,0)-1,1,1)</f>
        <v>0</v>
      </c>
      <c r="AL257" s="1603">
        <f ca="1">OFFSET(POrigin,MATCH(Valori[[#This Row],[LUKB_id]],PID,0),MATCH("4W_PERF_PR",PLabel,0)-1,1,1)/100</f>
        <v>6.5364522939106801E-2</v>
      </c>
      <c r="AM257" s="1603">
        <f ca="1">OFFSET(POrigin,MATCH(Valori[[#This Row],[LUKB_id]],PID,0),MATCH("12W_PERF_PR",PLabel,0)-1,1,1)/100</f>
        <v>0.12596083118082801</v>
      </c>
      <c r="AN257" s="1603">
        <f ca="1">OFFSET(POrigin,MATCH(Valori[[#This Row],[LUKB_id]],PID,0),MATCH("YTD_PERF_PR",PLabel,0)-1,1,1)/100</f>
        <v>0.11176255399825692</v>
      </c>
      <c r="AO257" s="1591"/>
      <c r="AP257" s="1591"/>
      <c r="AQ257" s="1591"/>
      <c r="AR257" s="1591"/>
      <c r="AS257" s="1890" t="s">
        <v>1641</v>
      </c>
      <c r="AT257" s="1890" t="s">
        <v>1642</v>
      </c>
      <c r="AU257" s="610" t="s">
        <v>1643</v>
      </c>
      <c r="AV257" s="1891" t="s">
        <v>1641</v>
      </c>
      <c r="AW257" s="1604" t="str">
        <f ca="1">"https://boersenundmaerkte.lukb.ch/lukb/details/"&amp;Valori[[#This Row],[LUKB_id]]</f>
        <v>https://boersenundmaerkte.lukb.ch/lukb/details/22660985,3230,814</v>
      </c>
      <c r="AX257" s="1605" t="str">
        <f>"https://www.marketscreener.com/mods_a/charts/TV/inc_dyna_graph.php?c="&amp;Valori[[#This Row],[MS_Code]]&amp;"&amp;style=TradingView.CANDLES&amp;interval=(null)&amp;mobile=(null)&amp;showAT=1"</f>
        <v>https://www.marketscreener.com/mods_a/charts/TV/inc_dyna_graph.php?c=32672313&amp;style=TradingView.CANDLES&amp;interval=(null)&amp;mobile=(null)&amp;showAT=1</v>
      </c>
      <c r="AY257" s="142"/>
      <c r="AZ257" s="142"/>
      <c r="BA257" s="142"/>
      <c r="BB257" s="142"/>
    </row>
    <row r="258" spans="1:54" ht="15" customHeight="1" x14ac:dyDescent="0.2">
      <c r="A258" s="142" t="s">
        <v>1644</v>
      </c>
      <c r="B258" s="142" t="str" cm="1">
        <f t="array" aca="1" ref="B258" ca="1">OFFSET(POrigin,MATCH(Valori[[#This Row],[smo_id]],Posizioni[smo_id],0),MATCH("LUKB_id",PIntestazioni,0)-1,1,1)</f>
        <v>3913456,3231,333</v>
      </c>
      <c r="C258" s="1668" t="str">
        <f ca="1">HYPERLINK("https://boersenundmaerkte.lukb.ch/lukb/details/"&amp;Valori[[#This Row],[LUKB_id]],"è")</f>
        <v>è</v>
      </c>
      <c r="D258" s="142" t="str" cm="1">
        <f t="array" aca="1" ref="D258" ca="1">OFFSET(POrigin,MATCH(Valori[[#This Row],[LUKB_id]],PID,0),MATCH("SC_GROUPED",PIntestazioni,0)-1,1,1)</f>
        <v>FON</v>
      </c>
      <c r="E258" s="413" t="str" cm="1">
        <f t="array" aca="1" ref="E258" ca="1">OFFSET(POrigin,MATCH(Valori[[#This Row],[LUKB_id]],PID,0),MATCH("isin",PIntestazioni,0)-1,1,1)</f>
        <v>LU0346390940</v>
      </c>
      <c r="F258" s="34" t="str" cm="1">
        <f t="array" aca="1" ref="F258" ca="1">OFFSET(POrigin,MATCH(Valori[[#This Row],[LUKB_id]],PID,0),MATCH("NSIN_CH",PLabel,0)-1,1,1)</f>
        <v>3913456</v>
      </c>
      <c r="G258" s="95" t="str" cm="1">
        <f t="array" aca="1" ref="G258" ca="1">IF(OFFSET(POrigin,MATCH(Valori[[#This Row],[LUKB_id]],PID,0),MATCH("INSTRUNIT",PLabel,0)-1,1,1)="Nominal","Pct","Unit")</f>
        <v>Unit</v>
      </c>
      <c r="H258" s="612">
        <f ca="1">MAX(OFFSET(POrigin,MATCH(Valori[[#This Row],[LUKB_id]],PID,0),MATCH("PRICINGAMT",PLabel,0)-1,1,1),1)</f>
        <v>1</v>
      </c>
      <c r="I258" s="615" t="str" cm="1">
        <f t="array" aca="1" ref="I258" ca="1">OFFSET(POrigin,MATCH(Valori[[#This Row],[LUKB_id]],PID,0),MATCH("M_NAME",PLabel,0)-1,1,1)</f>
        <v>Fidelity Funds SICAV - Emerging Markets Fund</v>
      </c>
      <c r="J258" s="142" t="s">
        <v>860</v>
      </c>
      <c r="M258" s="142" t="str" cm="1">
        <f t="array" aca="1" ref="M2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Emerging Markets Fund Y-Acc-USD</v>
      </c>
      <c r="N258" s="1563">
        <f ca="1">COUNTIF('CHF M'!smo_id,Valori[[#This Row],[smo_id]])+COUNTIF('CHF MA'!smo_id,Valori[[#This Row],[smo_id]])+COUNTIF('EUR MB'!smo_id,Valori[[#This Row],[smo_id]])+COUNTIF('EUR M'!smo_id,Valori[[#This Row],[smo_id]])+COUNTIF(AGCO!smo_id,Valori[[#This Row],[smo_id]])</f>
        <v>1</v>
      </c>
      <c r="O258" s="1590" cm="1">
        <f t="array" aca="1" ref="O258" ca="1">SUM(IF('CHF M'!smo_id=Valori[[#This Row],[smo_id]],'CHF M'!Posizione))+SUM(IF('CHF MA'!smo_id=Valori[[#This Row],[smo_id]],'CHF MA'!Posizione))+SUM(IF('EUR MB'!smo_id=Valori[[#This Row],[smo_id]],'EUR MB'!Posizione))+SUM(IF('EUR M'!smo_id=Valori[[#This Row],[smo_id]],'EUR M'!Posizione))+SUM(IF(AGCO!smo_id=Valori[[#This Row],[smo_id]],AGCO!Posizione))</f>
        <v>0</v>
      </c>
      <c r="P258" s="1661" t="str">
        <f ca="1">HYPERLINK(Valori[[#This Row],[P_Source]],"è")</f>
        <v>è</v>
      </c>
      <c r="Q258" s="1663" t="str">
        <f>HYPERLINK(Valori[[#This Row],[Info_W]],"i")</f>
        <v>i</v>
      </c>
      <c r="R258" s="1664" t="str">
        <f>HYPERLINK(Valori[[#This Row],[FN_W]],"")</f>
        <v></v>
      </c>
      <c r="S258" s="1665" t="str">
        <f>HYPERLINK(Valori[[#This Row],[MS_Link]],"")</f>
        <v></v>
      </c>
      <c r="T258" s="1665" t="str">
        <f>HYPERLINK(Valori[[#This Row],[C_source]],"")</f>
        <v></v>
      </c>
      <c r="U258" s="142" t="str" cm="1">
        <f t="array" aca="1" ref="U258" ca="1">OFFSET(POrigin,MATCH(Valori[[#This Row],[LUKB_id]],PID,0),MATCH("M_CUR",PLabel,0)-1,1,1)</f>
        <v>USD</v>
      </c>
      <c r="V258" s="1562">
        <f ca="1">(Valori[[#This Row],[Last]]+Valori[[#This Row],[Acc. Int]])/Valori[[#This Row],[Pr.Amt]]/IF(Valori[[#This Row],[P_Type]]="Pct",100,1)</f>
        <v>24.41</v>
      </c>
      <c r="W258" s="1591" cm="1">
        <f t="array" aca="1" ref="W258" ca="1">OFFSET(POrigin,MATCH(Valori[[#This Row],[LUKB_id]],PID,0),MATCH("NC2_PR",PLabel,0)-1,1,1)/100</f>
        <v>-1.1340623734305433E-2</v>
      </c>
      <c r="X258" s="1592" cm="1">
        <f t="array" aca="1" ref="X258" ca="1">OFFSET(POrigin,MATCH(Valori[[#This Row],[LUKB_id]],PID,0),MATCH("LVAL",PLabel,0)-1,1,1)</f>
        <v>24.41</v>
      </c>
      <c r="Y258" s="1593" cm="1">
        <f t="array" aca="1" ref="Y258" ca="1">OFFSET(POrigin,MATCH(Valori[[#This Row],[LUKB_id]],PID,0),MATCH("LVAL:datetime",PLabel,0)-1,1,1)</f>
        <v>46083.947974537034</v>
      </c>
      <c r="Z258" s="1594" cm="1">
        <f t="array" aca="1" ref="Z258" ca="1">OFFSET(POrigin,MATCH(Valori[[#This Row],[LUKB_id]],PID,0),MATCH("BID:volume",PLabel,0)-1,1,1)</f>
        <v>0</v>
      </c>
      <c r="AA258" s="1595" cm="1">
        <f t="array" aca="1" ref="AA258" ca="1">OFFSET(POrigin,MATCH(Valori[[#This Row],[LUKB_id]],PID,0),MATCH("BID",PLabel,0)-1,1,1)</f>
        <v>0</v>
      </c>
      <c r="AB258" s="1595" cm="1">
        <f t="array" aca="1" ref="AB258" ca="1">OFFSET(POrigin,MATCH(Valori[[#This Row],[LUKB_id]],PID,0),MATCH("ASK",PLabel,0)-1,1,1)</f>
        <v>0</v>
      </c>
      <c r="AC258" s="1594" cm="1">
        <f t="array" aca="1" ref="AC258" ca="1">OFFSET(POrigin,MATCH(Valori[[#This Row],[LUKB_id]],PID,0),MATCH("ASK:volume",PLabel,0)-1,1,1)</f>
        <v>0</v>
      </c>
      <c r="AD258" s="1596" cm="1">
        <f t="array" aca="1" ref="AD258" ca="1">OFFSET(POrigin,MATCH(Valori[[#This Row],[LUKB_id]],PID,0),MATCH("BID-ASK Spread %",PLabel,0)-1,1,1)</f>
        <v>0</v>
      </c>
      <c r="AE258" s="1597" t="str" cm="1">
        <f t="array" aca="1" ref="AE258" ca="1">IF(OFFSET(POrigin,MATCH(Valori[[#This Row],[LUKB_id]],PID,0),MATCH("MATURITY",PLabel,0)-1,1,1)&gt;0,OFFSET(POrigin,MATCH(Valori[[#This Row],[LUKB_id]],PID,0),MATCH("MATURITY",PLabel,0)-1,1,1),"")</f>
        <v/>
      </c>
      <c r="AF258" s="1598" cm="1">
        <f t="array" aca="1" ref="AF258" ca="1">OFFSET(POrigin,MATCH(Valori[[#This Row],[LUKB_id]],PID,0),MATCH("ACCINT",PLabel,0)-1,1,1)</f>
        <v>0</v>
      </c>
      <c r="AG258" s="1594" cm="1">
        <f t="array" aca="1" ref="AG258" ca="1">OFFSET(POrigin,MATCH(Valori[[#This Row],[LUKB_id]],PID,0),MATCH("DENOM",PLabel,0)-1,1,1)</f>
        <v>0</v>
      </c>
      <c r="AH258" s="1599" cm="1">
        <f t="array" aca="1" ref="AH258" ca="1">(OFFSET(POrigin,MATCH(Valori[[#This Row],[LUKB_id]],PID,0),MATCH("YIELD",PLabel,0)-1,1,1)+OFFSET(POrigin,MATCH(Valori[[#This Row],[LUKB_id]],PID,0),MATCH("YLDEQ",PLabel,0)-1,1,1))/100</f>
        <v>0</v>
      </c>
      <c r="AI258" s="1600">
        <f ca="1">OFFSET(POrigin,MATCH(Valori[[#This Row],[LUKB_id]],PID,0),MATCH("DIVIDEND",PLabel,0)-1,1,1)</f>
        <v>0</v>
      </c>
      <c r="AJ258" s="1601">
        <f ca="1">OFFSET(POrigin,MATCH(Valori[[#This Row],[LUKB_id]],PID,0),MATCH("DIVIDEND:datetime",PLabel,0)-1,1,1)</f>
        <v>0</v>
      </c>
      <c r="AK258" s="1602">
        <f ca="1">OFFSET(POrigin,MATCH(Valori[[#This Row],[LUKB_id]],PID,0),MATCH("INTEREST",PLabel,0)-1,1,1)</f>
        <v>0</v>
      </c>
      <c r="AL258" s="1603">
        <f ca="1">OFFSET(POrigin,MATCH(Valori[[#This Row],[LUKB_id]],PID,0),MATCH("4W_PERF_PR",PLabel,0)-1,1,1)/100</f>
        <v>6.9675723049956201E-2</v>
      </c>
      <c r="AM258" s="1603">
        <f ca="1">OFFSET(POrigin,MATCH(Valori[[#This Row],[LUKB_id]],PID,0),MATCH("12W_PERF_PR",PLabel,0)-1,1,1)/100</f>
        <v>0.20722057368941701</v>
      </c>
      <c r="AN258" s="1603">
        <f ca="1">OFFSET(POrigin,MATCH(Valori[[#This Row],[LUKB_id]],PID,0),MATCH("YTD_PERF_PR",PLabel,0)-1,1,1)/100</f>
        <v>0.15742057847321006</v>
      </c>
      <c r="AO258" s="1591"/>
      <c r="AP258" s="1591"/>
      <c r="AQ258" s="1591"/>
      <c r="AR258" s="1591"/>
      <c r="AS258" s="1890" t="s">
        <v>1645</v>
      </c>
      <c r="AT258" s="1890" t="s">
        <v>1646</v>
      </c>
      <c r="AU258" s="610" t="s">
        <v>1647</v>
      </c>
      <c r="AV258" s="1891" t="s">
        <v>1648</v>
      </c>
      <c r="AW258" s="1604" t="str">
        <f ca="1">"https://boersenundmaerkte.lukb.ch/lukb/details/"&amp;Valori[[#This Row],[LUKB_id]]</f>
        <v>https://boersenundmaerkte.lukb.ch/lukb/details/3913456,3231,333</v>
      </c>
      <c r="AX258" s="1605" t="str">
        <f>"https://www.marketscreener.com/mods_a/charts/TV/inc_dyna_graph.php?c="&amp;Valori[[#This Row],[MS_Code]]&amp;"&amp;style=TradingView.CANDLES&amp;interval=(null)&amp;mobile=(null)&amp;showAT=1"</f>
        <v>https://www.marketscreener.com/mods_a/charts/TV/inc_dyna_graph.php?c=41561930&amp;style=TradingView.CANDLES&amp;interval=(null)&amp;mobile=(null)&amp;showAT=1</v>
      </c>
      <c r="AY258" s="142"/>
      <c r="AZ258" s="142"/>
      <c r="BA258" s="142"/>
      <c r="BB258" s="142"/>
    </row>
    <row r="259" spans="1:54" ht="15" customHeight="1" x14ac:dyDescent="0.2">
      <c r="A259" s="142" t="s">
        <v>1649</v>
      </c>
      <c r="B259" s="142" t="s">
        <v>1650</v>
      </c>
      <c r="C259" s="1668" t="str">
        <f>HYPERLINK("https://boersenundmaerkte.lukb.ch/lukb/details/"&amp;Valori[[#This Row],[LUKB_id]],"è")</f>
        <v>è</v>
      </c>
      <c r="D259" s="142" t="str" cm="1">
        <f t="array" aca="1" ref="D259" ca="1">OFFSET(POrigin,MATCH(Valori[[#This Row],[LUKB_id]],PID,0),MATCH("SC_GROUPED",PIntestazioni,0)-1,1,1)</f>
        <v>FON</v>
      </c>
      <c r="E259" s="413" t="str" cm="1">
        <f t="array" aca="1" ref="E259" ca="1">OFFSET(POrigin,MATCH(Valori[[#This Row],[LUKB_id]],PID,0),MATCH("isin",PIntestazioni,0)-1,1,1)</f>
        <v>LU0922334643</v>
      </c>
      <c r="F259" s="34" t="str" cm="1">
        <f t="array" aca="1" ref="F259" ca="1">OFFSET(POrigin,MATCH(Valori[[#This Row],[LUKB_id]],PID,0),MATCH("NSIN_CH",PLabel,0)-1,1,1)</f>
        <v>21363489</v>
      </c>
      <c r="G259" s="95" t="str" cm="1">
        <f t="array" aca="1" ref="G259" ca="1">IF(OFFSET(POrigin,MATCH(Valori[[#This Row],[LUKB_id]],PID,0),MATCH("INSTRUNIT",PLabel,0)-1,1,1)="Nominal","Pct","Unit")</f>
        <v>Unit</v>
      </c>
      <c r="H259" s="612">
        <f ca="1">MAX(OFFSET(POrigin,MATCH(Valori[[#This Row],[LUKB_id]],PID,0),MATCH("PRICINGAMT",PLabel,0)-1,1,1),1)</f>
        <v>1</v>
      </c>
      <c r="I259" s="615" t="str" cm="1">
        <f t="array" aca="1" ref="I259" ca="1">OFFSET(POrigin,MATCH(Valori[[#This Row],[LUKB_id]],PID,0),MATCH("M_NAME",PLabel,0)-1,1,1)</f>
        <v>Fidelity Funds SICAV - Nordic Fund</v>
      </c>
      <c r="J259" s="142" t="s">
        <v>760</v>
      </c>
      <c r="M259" s="142" t="str" cm="1">
        <f t="array" aca="1" ref="M2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A-Acc-EUR</v>
      </c>
      <c r="N259" s="1563">
        <f ca="1">COUNTIF('CHF M'!smo_id,Valori[[#This Row],[smo_id]])+COUNTIF('CHF MA'!smo_id,Valori[[#This Row],[smo_id]])+COUNTIF('EUR MB'!smo_id,Valori[[#This Row],[smo_id]])+COUNTIF('EUR M'!smo_id,Valori[[#This Row],[smo_id]])+COUNTIF(AGCO!smo_id,Valori[[#This Row],[smo_id]])</f>
        <v>3</v>
      </c>
      <c r="O259" s="1590" cm="1">
        <f t="array" aca="1" ref="O259" ca="1">SUM(IF('CHF M'!smo_id=Valori[[#This Row],[smo_id]],'CHF M'!Posizione))+SUM(IF('CHF MA'!smo_id=Valori[[#This Row],[smo_id]],'CHF MA'!Posizione))+SUM(IF('EUR MB'!smo_id=Valori[[#This Row],[smo_id]],'EUR MB'!Posizione))+SUM(IF('EUR M'!smo_id=Valori[[#This Row],[smo_id]],'EUR M'!Posizione))+SUM(IF(AGCO!smo_id=Valori[[#This Row],[smo_id]],AGCO!Posizione))</f>
        <v>0</v>
      </c>
      <c r="P259" s="1661" t="str">
        <f>HYPERLINK(Valori[[#This Row],[P_Source]],"è")</f>
        <v>è</v>
      </c>
      <c r="Q259" s="1663" t="str">
        <f>HYPERLINK(Valori[[#This Row],[Info_W]],"i")</f>
        <v>i</v>
      </c>
      <c r="R259" s="1664" t="str">
        <f>HYPERLINK(Valori[[#This Row],[FN_W]],"")</f>
        <v></v>
      </c>
      <c r="S259" s="1665" t="str">
        <f>HYPERLINK(Valori[[#This Row],[MS_Link]],"")</f>
        <v></v>
      </c>
      <c r="T259" s="1665" t="str">
        <f>HYPERLINK(Valori[[#This Row],[C_source]],"")</f>
        <v></v>
      </c>
      <c r="U259" s="142" t="str" cm="1">
        <f t="array" aca="1" ref="U259" ca="1">OFFSET(POrigin,MATCH(Valori[[#This Row],[LUKB_id]],PID,0),MATCH("M_CUR",PLabel,0)-1,1,1)</f>
        <v>EUR</v>
      </c>
      <c r="V259" s="1562">
        <f ca="1">(Valori[[#This Row],[Last]]+Valori[[#This Row],[Acc. Int]])/Valori[[#This Row],[Pr.Amt]]/IF(Valori[[#This Row],[P_Type]]="Pct",100,1)</f>
        <v>38.08</v>
      </c>
      <c r="W259" s="1591" cm="1">
        <f t="array" aca="1" ref="W259" ca="1">OFFSET(POrigin,MATCH(Valori[[#This Row],[LUKB_id]],PID,0),MATCH("NC2_PR",PLabel,0)-1,1,1)/100</f>
        <v>-3.9236201935654112E-3</v>
      </c>
      <c r="X259" s="1592" cm="1">
        <f t="array" aca="1" ref="X259" ca="1">OFFSET(POrigin,MATCH(Valori[[#This Row],[LUKB_id]],PID,0),MATCH("LVAL",PLabel,0)-1,1,1)</f>
        <v>38.08</v>
      </c>
      <c r="Y259" s="1593" cm="1">
        <f t="array" aca="1" ref="Y259" ca="1">OFFSET(POrigin,MATCH(Valori[[#This Row],[LUKB_id]],PID,0),MATCH("LVAL:datetime",PLabel,0)-1,1,1)</f>
        <v>46083.947974537034</v>
      </c>
      <c r="Z259" s="1594" cm="1">
        <f t="array" aca="1" ref="Z259" ca="1">OFFSET(POrigin,MATCH(Valori[[#This Row],[LUKB_id]],PID,0),MATCH("BID:volume",PLabel,0)-1,1,1)</f>
        <v>0</v>
      </c>
      <c r="AA259" s="1595" cm="1">
        <f t="array" aca="1" ref="AA259" ca="1">OFFSET(POrigin,MATCH(Valori[[#This Row],[LUKB_id]],PID,0),MATCH("BID",PLabel,0)-1,1,1)</f>
        <v>0</v>
      </c>
      <c r="AB259" s="1595" cm="1">
        <f t="array" aca="1" ref="AB259" ca="1">OFFSET(POrigin,MATCH(Valori[[#This Row],[LUKB_id]],PID,0),MATCH("ASK",PLabel,0)-1,1,1)</f>
        <v>0</v>
      </c>
      <c r="AC259" s="1594" cm="1">
        <f t="array" aca="1" ref="AC259" ca="1">OFFSET(POrigin,MATCH(Valori[[#This Row],[LUKB_id]],PID,0),MATCH("ASK:volume",PLabel,0)-1,1,1)</f>
        <v>0</v>
      </c>
      <c r="AD259" s="1596" cm="1">
        <f t="array" aca="1" ref="AD259" ca="1">OFFSET(POrigin,MATCH(Valori[[#This Row],[LUKB_id]],PID,0),MATCH("BID-ASK Spread %",PLabel,0)-1,1,1)</f>
        <v>0</v>
      </c>
      <c r="AE259" s="1597" t="str" cm="1">
        <f t="array" aca="1" ref="AE259" ca="1">IF(OFFSET(POrigin,MATCH(Valori[[#This Row],[LUKB_id]],PID,0),MATCH("MATURITY",PLabel,0)-1,1,1)&gt;0,OFFSET(POrigin,MATCH(Valori[[#This Row],[LUKB_id]],PID,0),MATCH("MATURITY",PLabel,0)-1,1,1),"")</f>
        <v/>
      </c>
      <c r="AF259" s="1598" cm="1">
        <f t="array" aca="1" ref="AF259" ca="1">OFFSET(POrigin,MATCH(Valori[[#This Row],[LUKB_id]],PID,0),MATCH("ACCINT",PLabel,0)-1,1,1)</f>
        <v>0</v>
      </c>
      <c r="AG259" s="1594" cm="1">
        <f t="array" aca="1" ref="AG259" ca="1">OFFSET(POrigin,MATCH(Valori[[#This Row],[LUKB_id]],PID,0),MATCH("DENOM",PLabel,0)-1,1,1)</f>
        <v>0</v>
      </c>
      <c r="AH259" s="1599" cm="1">
        <f t="array" aca="1" ref="AH259" ca="1">(OFFSET(POrigin,MATCH(Valori[[#This Row],[LUKB_id]],PID,0),MATCH("YIELD",PLabel,0)-1,1,1)+OFFSET(POrigin,MATCH(Valori[[#This Row],[LUKB_id]],PID,0),MATCH("YLDEQ",PLabel,0)-1,1,1))/100</f>
        <v>0</v>
      </c>
      <c r="AI259" s="1600">
        <f ca="1">OFFSET(POrigin,MATCH(Valori[[#This Row],[LUKB_id]],PID,0),MATCH("DIVIDEND",PLabel,0)-1,1,1)</f>
        <v>0</v>
      </c>
      <c r="AJ259" s="1601">
        <f ca="1">OFFSET(POrigin,MATCH(Valori[[#This Row],[LUKB_id]],PID,0),MATCH("DIVIDEND:datetime",PLabel,0)-1,1,1)</f>
        <v>0</v>
      </c>
      <c r="AK259" s="1602">
        <f ca="1">OFFSET(POrigin,MATCH(Valori[[#This Row],[LUKB_id]],PID,0),MATCH("INTEREST",PLabel,0)-1,1,1)</f>
        <v>0</v>
      </c>
      <c r="AL259" s="1603">
        <f ca="1">OFFSET(POrigin,MATCH(Valori[[#This Row],[LUKB_id]],PID,0),MATCH("4W_PERF_PR",PLabel,0)-1,1,1)/100</f>
        <v>3.9868924085199403E-2</v>
      </c>
      <c r="AM259" s="1603">
        <f ca="1">OFFSET(POrigin,MATCH(Valori[[#This Row],[LUKB_id]],PID,0),MATCH("12W_PERF_PR",PLabel,0)-1,1,1)/100</f>
        <v>0.133333333333334</v>
      </c>
      <c r="AN259" s="1603">
        <f ca="1">OFFSET(POrigin,MATCH(Valori[[#This Row],[LUKB_id]],PID,0),MATCH("YTD_PERF_PR",PLabel,0)-1,1,1)/100</f>
        <v>9.488211615871181E-2</v>
      </c>
      <c r="AO259" s="1591"/>
      <c r="AP259" s="1591"/>
      <c r="AQ259" s="1591"/>
      <c r="AR259" s="1591"/>
      <c r="AS259" s="1890" t="s">
        <v>1651</v>
      </c>
      <c r="AT259" s="1890" t="s">
        <v>1652</v>
      </c>
      <c r="AU259" s="610" t="s">
        <v>1653</v>
      </c>
      <c r="AV259" s="1891" t="s">
        <v>1654</v>
      </c>
      <c r="AW259" s="1604" t="str">
        <f>"https://boersenundmaerkte.lukb.ch/lukb/details/"&amp;Valori[[#This Row],[LUKB_id]]</f>
        <v>https://boersenundmaerkte.lukb.ch/lukb/details/21363489,3230,814</v>
      </c>
      <c r="AX259" s="1605" t="str">
        <f>"https://www.marketscreener.com/mods_a/charts/TV/inc_dyna_graph.php?c="&amp;Valori[[#This Row],[MS_Code]]&amp;"&amp;style=TradingView.CANDLES&amp;interval=(null)&amp;mobile=(null)&amp;showAT=1"</f>
        <v>https://www.marketscreener.com/mods_a/charts/TV/inc_dyna_graph.php?c=103248635&amp;style=TradingView.CANDLES&amp;interval=(null)&amp;mobile=(null)&amp;showAT=1</v>
      </c>
      <c r="AY259" s="142"/>
      <c r="AZ259" s="142"/>
      <c r="BA259" s="142"/>
      <c r="BB259" s="142"/>
    </row>
    <row r="260" spans="1:54" ht="15" customHeight="1" x14ac:dyDescent="0.2">
      <c r="A260" s="142" t="s">
        <v>1655</v>
      </c>
      <c r="B260" s="142" t="str" cm="1">
        <f t="array" aca="1" ref="B260" ca="1">OFFSET(POrigin,MATCH(Valori[[#This Row],[smo_id]],Posizioni[smo_id],0),MATCH("LUKB_id",PIntestazioni,0)-1,1,1)</f>
        <v>38956329,3230,814</v>
      </c>
      <c r="C260" s="1668" t="str">
        <f ca="1">HYPERLINK("https://boersenundmaerkte.lukb.ch/lukb/details/"&amp;Valori[[#This Row],[LUKB_id]],"è")</f>
        <v>è</v>
      </c>
      <c r="D260" s="142" t="str" cm="1">
        <f t="array" aca="1" ref="D260" ca="1">OFFSET(POrigin,MATCH(Valori[[#This Row],[LUKB_id]],PID,0),MATCH("SC_GROUPED",PIntestazioni,0)-1,1,1)</f>
        <v>FON</v>
      </c>
      <c r="E260" s="413" t="str" cm="1">
        <f t="array" aca="1" ref="E260" ca="1">OFFSET(POrigin,MATCH(Valori[[#This Row],[LUKB_id]],PID,0),MATCH("isin",PIntestazioni,0)-1,1,1)</f>
        <v>LU1711971983</v>
      </c>
      <c r="F260" s="34" t="str" cm="1">
        <f t="array" aca="1" ref="F260" ca="1">OFFSET(POrigin,MATCH(Valori[[#This Row],[LUKB_id]],PID,0),MATCH("NSIN_CH",PLabel,0)-1,1,1)</f>
        <v>38956329</v>
      </c>
      <c r="G260" s="95" t="str" cm="1">
        <f t="array" aca="1" ref="G260" ca="1">IF(OFFSET(POrigin,MATCH(Valori[[#This Row],[LUKB_id]],PID,0),MATCH("INSTRUNIT",PLabel,0)-1,1,1)="Nominal","Pct","Unit")</f>
        <v>Unit</v>
      </c>
      <c r="H260" s="612">
        <f ca="1">MAX(OFFSET(POrigin,MATCH(Valori[[#This Row],[LUKB_id]],PID,0),MATCH("PRICINGAMT",PLabel,0)-1,1,1),1)</f>
        <v>1</v>
      </c>
      <c r="I260" s="615" t="str" cm="1">
        <f t="array" aca="1" ref="I260" ca="1">OFFSET(POrigin,MATCH(Valori[[#This Row],[LUKB_id]],PID,0),MATCH("M_NAME",PLabel,0)-1,1,1)</f>
        <v>Fidelity Funds SICAV - Nordic Fund</v>
      </c>
      <c r="J260" s="142" t="s">
        <v>761</v>
      </c>
      <c r="M260" s="142" t="str" cm="1">
        <f t="array" aca="1" ref="M2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Y-Acc-EUR (hedged)</v>
      </c>
      <c r="N260" s="1563">
        <f ca="1">COUNTIF('CHF M'!smo_id,Valori[[#This Row],[smo_id]])+COUNTIF('CHF MA'!smo_id,Valori[[#This Row],[smo_id]])+COUNTIF('EUR MB'!smo_id,Valori[[#This Row],[smo_id]])+COUNTIF('EUR M'!smo_id,Valori[[#This Row],[smo_id]])+COUNTIF(AGCO!smo_id,Valori[[#This Row],[smo_id]])</f>
        <v>4</v>
      </c>
      <c r="O260" s="1590" cm="1">
        <f t="array" aca="1" ref="O260" ca="1">SUM(IF('CHF M'!smo_id=Valori[[#This Row],[smo_id]],'CHF M'!Posizione))+SUM(IF('CHF MA'!smo_id=Valori[[#This Row],[smo_id]],'CHF MA'!Posizione))+SUM(IF('EUR MB'!smo_id=Valori[[#This Row],[smo_id]],'EUR MB'!Posizione))+SUM(IF('EUR M'!smo_id=Valori[[#This Row],[smo_id]],'EUR M'!Posizione))+SUM(IF(AGCO!smo_id=Valori[[#This Row],[smo_id]],AGCO!Posizione))</f>
        <v>0</v>
      </c>
      <c r="P260" s="1661" t="str">
        <f ca="1">HYPERLINK(Valori[[#This Row],[P_Source]],"è")</f>
        <v>è</v>
      </c>
      <c r="Q260" s="1663" t="str">
        <f>HYPERLINK(Valori[[#This Row],[Info_W]],"i")</f>
        <v>i</v>
      </c>
      <c r="R260" s="1664" t="str">
        <f>HYPERLINK(Valori[[#This Row],[FN_W]],"")</f>
        <v></v>
      </c>
      <c r="S260" s="1665" t="str">
        <f>HYPERLINK(Valori[[#This Row],[MS_Link]],"")</f>
        <v></v>
      </c>
      <c r="T260" s="1665" t="str">
        <f>HYPERLINK(Valori[[#This Row],[C_source]],"")</f>
        <v></v>
      </c>
      <c r="U260" s="142" t="str" cm="1">
        <f t="array" aca="1" ref="U260" ca="1">OFFSET(POrigin,MATCH(Valori[[#This Row],[LUKB_id]],PID,0),MATCH("M_CUR",PLabel,0)-1,1,1)</f>
        <v>EUR</v>
      </c>
      <c r="V260" s="1562">
        <f ca="1">(Valori[[#This Row],[Last]]+Valori[[#This Row],[Acc. Int]])/Valori[[#This Row],[Pr.Amt]]/IF(Valori[[#This Row],[P_Type]]="Pct",100,1)</f>
        <v>23.6</v>
      </c>
      <c r="W260" s="1591" cm="1">
        <f t="array" aca="1" ref="W260" ca="1">OFFSET(POrigin,MATCH(Valori[[#This Row],[LUKB_id]],PID,0),MATCH("NC2_PR",PLabel,0)-1,1,1)/100</f>
        <v>5.1107325383305362E-3</v>
      </c>
      <c r="X260" s="1592" cm="1">
        <f t="array" aca="1" ref="X260" ca="1">OFFSET(POrigin,MATCH(Valori[[#This Row],[LUKB_id]],PID,0),MATCH("LVAL",PLabel,0)-1,1,1)</f>
        <v>23.6</v>
      </c>
      <c r="Y260" s="1593" cm="1">
        <f t="array" aca="1" ref="Y260" ca="1">OFFSET(POrigin,MATCH(Valori[[#This Row],[LUKB_id]],PID,0),MATCH("LVAL:datetime",PLabel,0)-1,1,1)</f>
        <v>46083.947974537034</v>
      </c>
      <c r="Z260" s="1594" cm="1">
        <f t="array" aca="1" ref="Z260" ca="1">OFFSET(POrigin,MATCH(Valori[[#This Row],[LUKB_id]],PID,0),MATCH("BID:volume",PLabel,0)-1,1,1)</f>
        <v>0</v>
      </c>
      <c r="AA260" s="1595" cm="1">
        <f t="array" aca="1" ref="AA260" ca="1">OFFSET(POrigin,MATCH(Valori[[#This Row],[LUKB_id]],PID,0),MATCH("BID",PLabel,0)-1,1,1)</f>
        <v>0</v>
      </c>
      <c r="AB260" s="1595" cm="1">
        <f t="array" aca="1" ref="AB260" ca="1">OFFSET(POrigin,MATCH(Valori[[#This Row],[LUKB_id]],PID,0),MATCH("ASK",PLabel,0)-1,1,1)</f>
        <v>0</v>
      </c>
      <c r="AC260" s="1594" cm="1">
        <f t="array" aca="1" ref="AC260" ca="1">OFFSET(POrigin,MATCH(Valori[[#This Row],[LUKB_id]],PID,0),MATCH("ASK:volume",PLabel,0)-1,1,1)</f>
        <v>0</v>
      </c>
      <c r="AD260" s="1596" cm="1">
        <f t="array" aca="1" ref="AD260" ca="1">OFFSET(POrigin,MATCH(Valori[[#This Row],[LUKB_id]],PID,0),MATCH("BID-ASK Spread %",PLabel,0)-1,1,1)</f>
        <v>0</v>
      </c>
      <c r="AE260" s="1597" t="str" cm="1">
        <f t="array" aca="1" ref="AE260" ca="1">IF(OFFSET(POrigin,MATCH(Valori[[#This Row],[LUKB_id]],PID,0),MATCH("MATURITY",PLabel,0)-1,1,1)&gt;0,OFFSET(POrigin,MATCH(Valori[[#This Row],[LUKB_id]],PID,0),MATCH("MATURITY",PLabel,0)-1,1,1),"")</f>
        <v/>
      </c>
      <c r="AF260" s="1598" cm="1">
        <f t="array" aca="1" ref="AF260" ca="1">OFFSET(POrigin,MATCH(Valori[[#This Row],[LUKB_id]],PID,0),MATCH("ACCINT",PLabel,0)-1,1,1)</f>
        <v>0</v>
      </c>
      <c r="AG260" s="1594" cm="1">
        <f t="array" aca="1" ref="AG260" ca="1">OFFSET(POrigin,MATCH(Valori[[#This Row],[LUKB_id]],PID,0),MATCH("DENOM",PLabel,0)-1,1,1)</f>
        <v>0</v>
      </c>
      <c r="AH260" s="1599" cm="1">
        <f t="array" aca="1" ref="AH260" ca="1">(OFFSET(POrigin,MATCH(Valori[[#This Row],[LUKB_id]],PID,0),MATCH("YIELD",PLabel,0)-1,1,1)+OFFSET(POrigin,MATCH(Valori[[#This Row],[LUKB_id]],PID,0),MATCH("YLDEQ",PLabel,0)-1,1,1))/100</f>
        <v>0</v>
      </c>
      <c r="AI260" s="1600">
        <f ca="1">OFFSET(POrigin,MATCH(Valori[[#This Row],[LUKB_id]],PID,0),MATCH("DIVIDEND",PLabel,0)-1,1,1)</f>
        <v>0</v>
      </c>
      <c r="AJ260" s="1601">
        <f ca="1">OFFSET(POrigin,MATCH(Valori[[#This Row],[LUKB_id]],PID,0),MATCH("DIVIDEND:datetime",PLabel,0)-1,1,1)</f>
        <v>0</v>
      </c>
      <c r="AK260" s="1602">
        <f ca="1">OFFSET(POrigin,MATCH(Valori[[#This Row],[LUKB_id]],PID,0),MATCH("INTEREST",PLabel,0)-1,1,1)</f>
        <v>0</v>
      </c>
      <c r="AL260" s="1603">
        <f ca="1">OFFSET(POrigin,MATCH(Valori[[#This Row],[LUKB_id]],PID,0),MATCH("4W_PERF_PR",PLabel,0)-1,1,1)/100</f>
        <v>4.0105773468488398E-2</v>
      </c>
      <c r="AM260" s="1603">
        <f ca="1">OFFSET(POrigin,MATCH(Valori[[#This Row],[LUKB_id]],PID,0),MATCH("12W_PERF_PR",PLabel,0)-1,1,1)/100</f>
        <v>0.11006585136406401</v>
      </c>
      <c r="AN260" s="1603">
        <f ca="1">OFFSET(POrigin,MATCH(Valori[[#This Row],[LUKB_id]],PID,0),MATCH("YTD_PERF_PR",PLabel,0)-1,1,1)/100</f>
        <v>7.5660893345487687E-2</v>
      </c>
      <c r="AO260" s="1591"/>
      <c r="AP260" s="1591"/>
      <c r="AQ260" s="1591"/>
      <c r="AR260" s="1591"/>
      <c r="AS260" s="1890" t="s">
        <v>1656</v>
      </c>
      <c r="AT260" s="1890" t="s">
        <v>1657</v>
      </c>
      <c r="AU260" s="610" t="s">
        <v>1658</v>
      </c>
      <c r="AV260" s="1891" t="s">
        <v>1659</v>
      </c>
      <c r="AW260" s="1604" t="str">
        <f ca="1">"https://boersenundmaerkte.lukb.ch/lukb/details/"&amp;Valori[[#This Row],[LUKB_id]]</f>
        <v>https://boersenundmaerkte.lukb.ch/lukb/details/38956329,3230,814</v>
      </c>
      <c r="AX260" s="1605" t="str">
        <f>"https://www.marketscreener.com/mods_a/charts/TV/inc_dyna_graph.php?c="&amp;Valori[[#This Row],[MS_Code]]&amp;"&amp;style=TradingView.CANDLES&amp;interval=(null)&amp;mobile=(null)&amp;showAT=1"</f>
        <v>https://www.marketscreener.com/mods_a/charts/TV/inc_dyna_graph.php?c=41583110&amp;style=TradingView.CANDLES&amp;interval=(null)&amp;mobile=(null)&amp;showAT=1</v>
      </c>
      <c r="AY260" s="142"/>
      <c r="AZ260" s="142"/>
      <c r="BA260" s="142"/>
      <c r="BB260" s="142"/>
    </row>
    <row r="261" spans="1:54" ht="15" customHeight="1" x14ac:dyDescent="0.2">
      <c r="A261" s="142" t="s">
        <v>1660</v>
      </c>
      <c r="B261" s="142" t="s">
        <v>1661</v>
      </c>
      <c r="C261" s="1668" t="str">
        <f>HYPERLINK("https://boersenundmaerkte.lukb.ch/lukb/details/"&amp;Valori[[#This Row],[LUKB_id]],"è")</f>
        <v>è</v>
      </c>
      <c r="D261" s="142" t="str" cm="1">
        <f t="array" aca="1" ref="D261" ca="1">OFFSET(POrigin,MATCH(Valori[[#This Row],[LUKB_id]],PID,0),MATCH("SC_GROUPED",PIntestazioni,0)-1,1,1)</f>
        <v>FON</v>
      </c>
      <c r="E261" s="413" t="str" cm="1">
        <f t="array" aca="1" ref="E261" ca="1">OFFSET(POrigin,MATCH(Valori[[#This Row],[LUKB_id]],PID,0),MATCH("isin",PIntestazioni,0)-1,1,1)</f>
        <v>LU0972649379</v>
      </c>
      <c r="F261" s="34" t="str" cm="1">
        <f t="array" aca="1" ref="F261" ca="1">OFFSET(POrigin,MATCH(Valori[[#This Row],[LUKB_id]],PID,0),MATCH("NSIN_CH",PLabel,0)-1,1,1)</f>
        <v>22352865</v>
      </c>
      <c r="G261" s="95" t="str" cm="1">
        <f t="array" aca="1" ref="G261" ca="1">IF(OFFSET(POrigin,MATCH(Valori[[#This Row],[LUKB_id]],PID,0),MATCH("INSTRUNIT",PLabel,0)-1,1,1)="Nominal","Pct","Unit")</f>
        <v>Unit</v>
      </c>
      <c r="H261" s="612">
        <f ca="1">MAX(OFFSET(POrigin,MATCH(Valori[[#This Row],[LUKB_id]],PID,0),MATCH("PRICINGAMT",PLabel,0)-1,1,1),1)</f>
        <v>1</v>
      </c>
      <c r="I261" s="615" t="str" cm="1">
        <f t="array" aca="1" ref="I261" ca="1">OFFSET(POrigin,MATCH(Valori[[#This Row],[LUKB_id]],PID,0),MATCH("M_NAME",PLabel,0)-1,1,1)</f>
        <v>Goldman Sachs Funds SICAV - Goldman Sachs Global High Yield Portfolio</v>
      </c>
      <c r="J261" s="142" t="s">
        <v>1662</v>
      </c>
      <c r="M261" s="142" t="str" cm="1">
        <f t="array" aca="1" ref="M2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GS - Global High Yield Bonds - R CHF-Hedged (Acc)</v>
      </c>
      <c r="N261" s="1563">
        <f ca="1">COUNTIF('CHF M'!smo_id,Valori[[#This Row],[smo_id]])+COUNTIF('CHF MA'!smo_id,Valori[[#This Row],[smo_id]])+COUNTIF('EUR MB'!smo_id,Valori[[#This Row],[smo_id]])+COUNTIF('EUR M'!smo_id,Valori[[#This Row],[smo_id]])+COUNTIF(AGCO!smo_id,Valori[[#This Row],[smo_id]])</f>
        <v>0</v>
      </c>
      <c r="O261" s="1590" cm="1">
        <f t="array" aca="1" ref="O261" ca="1">SUM(IF('CHF M'!smo_id=Valori[[#This Row],[smo_id]],'CHF M'!Posizione))+SUM(IF('CHF MA'!smo_id=Valori[[#This Row],[smo_id]],'CHF MA'!Posizione))+SUM(IF('EUR MB'!smo_id=Valori[[#This Row],[smo_id]],'EUR MB'!Posizione))+SUM(IF('EUR M'!smo_id=Valori[[#This Row],[smo_id]],'EUR M'!Posizione))+SUM(IF(AGCO!smo_id=Valori[[#This Row],[smo_id]],AGCO!Posizione))</f>
        <v>0</v>
      </c>
      <c r="P261" s="1661" t="str">
        <f>HYPERLINK(Valori[[#This Row],[P_Source]],"è")</f>
        <v>è</v>
      </c>
      <c r="Q261" s="1663" t="str">
        <f>HYPERLINK(Valori[[#This Row],[Info_W]],"i")</f>
        <v>i</v>
      </c>
      <c r="R261" s="1664" t="str">
        <f>HYPERLINK(Valori[[#This Row],[FN_W]],"")</f>
        <v></v>
      </c>
      <c r="S261" s="1665" t="str">
        <f>HYPERLINK(Valori[[#This Row],[MS_Link]],"")</f>
        <v></v>
      </c>
      <c r="T261" s="1665" t="str">
        <f>HYPERLINK(Valori[[#This Row],[C_source]],"")</f>
        <v></v>
      </c>
      <c r="U261" s="142" t="str" cm="1">
        <f t="array" aca="1" ref="U261" ca="1">OFFSET(POrigin,MATCH(Valori[[#This Row],[LUKB_id]],PID,0),MATCH("M_CUR",PLabel,0)-1,1,1)</f>
        <v>CHF</v>
      </c>
      <c r="V261" s="1562">
        <f ca="1">(Valori[[#This Row],[Last]]+Valori[[#This Row],[Acc. Int]])/Valori[[#This Row],[Pr.Amt]]/IF(Valori[[#This Row],[P_Type]]="Pct",100,1)</f>
        <v>12.600000000000001</v>
      </c>
      <c r="W261" s="1591" cm="1">
        <f t="array" aca="1" ref="W261" ca="1">OFFSET(POrigin,MATCH(Valori[[#This Row],[LUKB_id]],PID,0),MATCH("NC2_PR",PLabel,0)-1,1,1)/100</f>
        <v>-4.7393364928908941E-3</v>
      </c>
      <c r="X261" s="1592" cm="1">
        <f t="array" aca="1" ref="X261" ca="1">OFFSET(POrigin,MATCH(Valori[[#This Row],[LUKB_id]],PID,0),MATCH("LVAL",PLabel,0)-1,1,1)</f>
        <v>12.600000000000001</v>
      </c>
      <c r="Y261" s="1593" cm="1">
        <f t="array" aca="1" ref="Y261" ca="1">OFFSET(POrigin,MATCH(Valori[[#This Row],[LUKB_id]],PID,0),MATCH("LVAL:datetime",PLabel,0)-1,1,1)</f>
        <v>46083.052152777775</v>
      </c>
      <c r="Z261" s="1594" cm="1">
        <f t="array" aca="1" ref="Z261" ca="1">OFFSET(POrigin,MATCH(Valori[[#This Row],[LUKB_id]],PID,0),MATCH("BID:volume",PLabel,0)-1,1,1)</f>
        <v>0</v>
      </c>
      <c r="AA261" s="1595" cm="1">
        <f t="array" aca="1" ref="AA261" ca="1">OFFSET(POrigin,MATCH(Valori[[#This Row],[LUKB_id]],PID,0),MATCH("BID",PLabel,0)-1,1,1)</f>
        <v>0</v>
      </c>
      <c r="AB261" s="1595" cm="1">
        <f t="array" aca="1" ref="AB261" ca="1">OFFSET(POrigin,MATCH(Valori[[#This Row],[LUKB_id]],PID,0),MATCH("ASK",PLabel,0)-1,1,1)</f>
        <v>0</v>
      </c>
      <c r="AC261" s="1594" cm="1">
        <f t="array" aca="1" ref="AC261" ca="1">OFFSET(POrigin,MATCH(Valori[[#This Row],[LUKB_id]],PID,0),MATCH("ASK:volume",PLabel,0)-1,1,1)</f>
        <v>0</v>
      </c>
      <c r="AD261" s="1596" cm="1">
        <f t="array" aca="1" ref="AD261" ca="1">OFFSET(POrigin,MATCH(Valori[[#This Row],[LUKB_id]],PID,0),MATCH("BID-ASK Spread %",PLabel,0)-1,1,1)</f>
        <v>0</v>
      </c>
      <c r="AE261" s="1597" t="str" cm="1">
        <f t="array" aca="1" ref="AE261" ca="1">IF(OFFSET(POrigin,MATCH(Valori[[#This Row],[LUKB_id]],PID,0),MATCH("MATURITY",PLabel,0)-1,1,1)&gt;0,OFFSET(POrigin,MATCH(Valori[[#This Row],[LUKB_id]],PID,0),MATCH("MATURITY",PLabel,0)-1,1,1),"")</f>
        <v/>
      </c>
      <c r="AF261" s="1598" cm="1">
        <f t="array" aca="1" ref="AF261" ca="1">OFFSET(POrigin,MATCH(Valori[[#This Row],[LUKB_id]],PID,0),MATCH("ACCINT",PLabel,0)-1,1,1)</f>
        <v>0</v>
      </c>
      <c r="AG261" s="1594" cm="1">
        <f t="array" aca="1" ref="AG261" ca="1">OFFSET(POrigin,MATCH(Valori[[#This Row],[LUKB_id]],PID,0),MATCH("DENOM",PLabel,0)-1,1,1)</f>
        <v>0</v>
      </c>
      <c r="AH261" s="1599" cm="1">
        <f t="array" aca="1" ref="AH261" ca="1">(OFFSET(POrigin,MATCH(Valori[[#This Row],[LUKB_id]],PID,0),MATCH("YIELD",PLabel,0)-1,1,1)+OFFSET(POrigin,MATCH(Valori[[#This Row],[LUKB_id]],PID,0),MATCH("YLDEQ",PLabel,0)-1,1,1))/100</f>
        <v>0</v>
      </c>
      <c r="AI261" s="1600">
        <f ca="1">OFFSET(POrigin,MATCH(Valori[[#This Row],[LUKB_id]],PID,0),MATCH("DIVIDEND",PLabel,0)-1,1,1)</f>
        <v>0</v>
      </c>
      <c r="AJ261" s="1601">
        <f ca="1">OFFSET(POrigin,MATCH(Valori[[#This Row],[LUKB_id]],PID,0),MATCH("DIVIDEND:datetime",PLabel,0)-1,1,1)</f>
        <v>0</v>
      </c>
      <c r="AK261" s="1602">
        <f ca="1">OFFSET(POrigin,MATCH(Valori[[#This Row],[LUKB_id]],PID,0),MATCH("INTEREST",PLabel,0)-1,1,1)</f>
        <v>0</v>
      </c>
      <c r="AL261" s="1603">
        <f ca="1">OFFSET(POrigin,MATCH(Valori[[#This Row],[LUKB_id]],PID,0),MATCH("4W_PERF_PR",PLabel,0)-1,1,1)/100</f>
        <v>-1.02120974076983E-2</v>
      </c>
      <c r="AM261" s="1603">
        <f ca="1">OFFSET(POrigin,MATCH(Valori[[#This Row],[LUKB_id]],PID,0),MATCH("12W_PERF_PR",PLabel,0)-1,1,1)/100</f>
        <v>-4.7393364928909002E-3</v>
      </c>
      <c r="AN261" s="1603">
        <f ca="1">OFFSET(POrigin,MATCH(Valori[[#This Row],[LUKB_id]],PID,0),MATCH("YTD_PERF_PR",PLabel,0)-1,1,1)/100</f>
        <v>-5.5248618784529214E-3</v>
      </c>
      <c r="AO261" s="1591"/>
      <c r="AP261" s="1591"/>
      <c r="AQ261" s="1591">
        <v>7.4000000000000003E-3</v>
      </c>
      <c r="AR261" s="1591">
        <v>0</v>
      </c>
      <c r="AS261" s="1890"/>
      <c r="AT261" s="1890" t="s">
        <v>877</v>
      </c>
      <c r="AU261" s="610"/>
      <c r="AV261" s="1891"/>
      <c r="AW261" s="1604" t="str">
        <f>"https://boersenundmaerkte.lukb.ch/lukb/details/"&amp;Valori[[#This Row],[LUKB_id]]</f>
        <v>https://boersenundmaerkte.lukb.ch/lukb/details/22352865,3233,1</v>
      </c>
      <c r="AX261"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1" s="142"/>
      <c r="AZ261" s="142"/>
      <c r="BA261" s="142"/>
      <c r="BB261" s="142"/>
    </row>
    <row r="262" spans="1:54" ht="15" customHeight="1" x14ac:dyDescent="0.2">
      <c r="A262" s="142" t="s">
        <v>1663</v>
      </c>
      <c r="B262" s="142" t="str" cm="1">
        <f t="array" aca="1" ref="B262" ca="1">OFFSET(POrigin,MATCH(Valori[[#This Row],[smo_id]],Posizioni[smo_id],0),MATCH("LUKB_id",PIntestazioni,0)-1,1,1)</f>
        <v>28738500,3230,814</v>
      </c>
      <c r="C262" s="1668" t="str">
        <f ca="1">HYPERLINK("https://boersenundmaerkte.lukb.ch/lukb/details/"&amp;Valori[[#This Row],[LUKB_id]],"è")</f>
        <v>è</v>
      </c>
      <c r="D262" s="142" t="str" cm="1">
        <f t="array" aca="1" ref="D262" ca="1">OFFSET(POrigin,MATCH(Valori[[#This Row],[LUKB_id]],PID,0),MATCH("SC_GROUPED",PIntestazioni,0)-1,1,1)</f>
        <v>FON</v>
      </c>
      <c r="E262" s="413" t="str" cm="1">
        <f t="array" aca="1" ref="E262" ca="1">OFFSET(POrigin,MATCH(Valori[[#This Row],[LUKB_id]],PID,0),MATCH("isin",PIntestazioni,0)-1,1,1)</f>
        <v>LU1255011410</v>
      </c>
      <c r="F262" s="34" t="str" cm="1">
        <f t="array" aca="1" ref="F262" ca="1">OFFSET(POrigin,MATCH(Valori[[#This Row],[LUKB_id]],PID,0),MATCH("NSIN_CH",PLabel,0)-1,1,1)</f>
        <v>28738500</v>
      </c>
      <c r="G262" s="95" t="str" cm="1">
        <f t="array" aca="1" ref="G262" ca="1">IF(OFFSET(POrigin,MATCH(Valori[[#This Row],[LUKB_id]],PID,0),MATCH("INSTRUNIT",PLabel,0)-1,1,1)="Nominal","Pct","Unit")</f>
        <v>Unit</v>
      </c>
      <c r="H262" s="612">
        <f ca="1">MAX(OFFSET(POrigin,MATCH(Valori[[#This Row],[LUKB_id]],PID,0),MATCH("PRICINGAMT",PLabel,0)-1,1,1),1)</f>
        <v>1</v>
      </c>
      <c r="I262" s="615" t="str" cm="1">
        <f t="array" aca="1" ref="I262" ca="1">OFFSET(POrigin,MATCH(Valori[[#This Row],[LUKB_id]],PID,0),MATCH("M_NAME",PLabel,0)-1,1,1)</f>
        <v>JPMorgan Funds SICAV -  China A-Share Opportunities Fund</v>
      </c>
      <c r="M262" s="142" t="str" cm="1">
        <f t="array" aca="1" ref="M2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China A-Share Opportunities Fund</v>
      </c>
      <c r="N262" s="1563">
        <f ca="1">COUNTIF('CHF M'!smo_id,Valori[[#This Row],[smo_id]])+COUNTIF('CHF MA'!smo_id,Valori[[#This Row],[smo_id]])+COUNTIF('EUR MB'!smo_id,Valori[[#This Row],[smo_id]])+COUNTIF('EUR M'!smo_id,Valori[[#This Row],[smo_id]])+COUNTIF(AGCO!smo_id,Valori[[#This Row],[smo_id]])</f>
        <v>1</v>
      </c>
      <c r="O262" s="1590" cm="1">
        <f t="array" aca="1" ref="O262" ca="1">SUM(IF('CHF M'!smo_id=Valori[[#This Row],[smo_id]],'CHF M'!Posizione))+SUM(IF('CHF MA'!smo_id=Valori[[#This Row],[smo_id]],'CHF MA'!Posizione))+SUM(IF('EUR MB'!smo_id=Valori[[#This Row],[smo_id]],'EUR MB'!Posizione))+SUM(IF('EUR M'!smo_id=Valori[[#This Row],[smo_id]],'EUR M'!Posizione))+SUM(IF(AGCO!smo_id=Valori[[#This Row],[smo_id]],AGCO!Posizione))</f>
        <v>676.95600000000002</v>
      </c>
      <c r="P262" s="1661" t="str">
        <f ca="1">HYPERLINK(Valori[[#This Row],[P_Source]],"è")</f>
        <v>è</v>
      </c>
      <c r="Q262" s="1663" t="str">
        <f>HYPERLINK(Valori[[#This Row],[Info_W]],"i")</f>
        <v>i</v>
      </c>
      <c r="R262" s="1664" t="str">
        <f>HYPERLINK(Valori[[#This Row],[FN_W]],"")</f>
        <v></v>
      </c>
      <c r="S262" s="1665" t="str">
        <f>HYPERLINK(Valori[[#This Row],[MS_Link]],"")</f>
        <v></v>
      </c>
      <c r="T262" s="1665" t="str">
        <f>HYPERLINK(Valori[[#This Row],[C_source]],"")</f>
        <v></v>
      </c>
      <c r="U262" s="142" t="str" cm="1">
        <f t="array" aca="1" ref="U262" ca="1">OFFSET(POrigin,MATCH(Valori[[#This Row],[LUKB_id]],PID,0),MATCH("M_CUR",PLabel,0)-1,1,1)</f>
        <v>EUR</v>
      </c>
      <c r="V262" s="1562">
        <f ca="1">(Valori[[#This Row],[Last]]+Valori[[#This Row],[Acc. Int]])/Valori[[#This Row],[Pr.Amt]]/IF(Valori[[#This Row],[P_Type]]="Pct",100,1)</f>
        <v>29.17</v>
      </c>
      <c r="W262" s="1591" cm="1">
        <f t="array" aca="1" ref="W262" ca="1">OFFSET(POrigin,MATCH(Valori[[#This Row],[LUKB_id]],PID,0),MATCH("NC2_PR",PLabel,0)-1,1,1)/100</f>
        <v>-1.7111567419574661E-3</v>
      </c>
      <c r="X262" s="1592" cm="1">
        <f t="array" aca="1" ref="X262" ca="1">OFFSET(POrigin,MATCH(Valori[[#This Row],[LUKB_id]],PID,0),MATCH("LVAL",PLabel,0)-1,1,1)</f>
        <v>29.17</v>
      </c>
      <c r="Y262" s="1593" cm="1">
        <f t="array" aca="1" ref="Y262" ca="1">OFFSET(POrigin,MATCH(Valori[[#This Row],[LUKB_id]],PID,0),MATCH("LVAL:datetime",PLabel,0)-1,1,1)</f>
        <v>46083.885474537034</v>
      </c>
      <c r="Z262" s="1594" cm="1">
        <f t="array" aca="1" ref="Z262" ca="1">OFFSET(POrigin,MATCH(Valori[[#This Row],[LUKB_id]],PID,0),MATCH("BID:volume",PLabel,0)-1,1,1)</f>
        <v>0</v>
      </c>
      <c r="AA262" s="1595" cm="1">
        <f t="array" aca="1" ref="AA262" ca="1">OFFSET(POrigin,MATCH(Valori[[#This Row],[LUKB_id]],PID,0),MATCH("BID",PLabel,0)-1,1,1)</f>
        <v>0</v>
      </c>
      <c r="AB262" s="1595" cm="1">
        <f t="array" aca="1" ref="AB262" ca="1">OFFSET(POrigin,MATCH(Valori[[#This Row],[LUKB_id]],PID,0),MATCH("ASK",PLabel,0)-1,1,1)</f>
        <v>0</v>
      </c>
      <c r="AC262" s="1594" cm="1">
        <f t="array" aca="1" ref="AC262" ca="1">OFFSET(POrigin,MATCH(Valori[[#This Row],[LUKB_id]],PID,0),MATCH("ASK:volume",PLabel,0)-1,1,1)</f>
        <v>0</v>
      </c>
      <c r="AD262" s="1596" cm="1">
        <f t="array" aca="1" ref="AD262" ca="1">OFFSET(POrigin,MATCH(Valori[[#This Row],[LUKB_id]],PID,0),MATCH("BID-ASK Spread %",PLabel,0)-1,1,1)</f>
        <v>0</v>
      </c>
      <c r="AE262" s="1597" t="str" cm="1">
        <f t="array" aca="1" ref="AE262" ca="1">IF(OFFSET(POrigin,MATCH(Valori[[#This Row],[LUKB_id]],PID,0),MATCH("MATURITY",PLabel,0)-1,1,1)&gt;0,OFFSET(POrigin,MATCH(Valori[[#This Row],[LUKB_id]],PID,0),MATCH("MATURITY",PLabel,0)-1,1,1),"")</f>
        <v/>
      </c>
      <c r="AF262" s="1598" cm="1">
        <f t="array" aca="1" ref="AF262" ca="1">OFFSET(POrigin,MATCH(Valori[[#This Row],[LUKB_id]],PID,0),MATCH("ACCINT",PLabel,0)-1,1,1)</f>
        <v>0</v>
      </c>
      <c r="AG262" s="1594" cm="1">
        <f t="array" aca="1" ref="AG262" ca="1">OFFSET(POrigin,MATCH(Valori[[#This Row],[LUKB_id]],PID,0),MATCH("DENOM",PLabel,0)-1,1,1)</f>
        <v>0</v>
      </c>
      <c r="AH262" s="1599" cm="1">
        <f t="array" aca="1" ref="AH262" ca="1">(OFFSET(POrigin,MATCH(Valori[[#This Row],[LUKB_id]],PID,0),MATCH("YIELD",PLabel,0)-1,1,1)+OFFSET(POrigin,MATCH(Valori[[#This Row],[LUKB_id]],PID,0),MATCH("YLDEQ",PLabel,0)-1,1,1))/100</f>
        <v>0</v>
      </c>
      <c r="AI262" s="1600">
        <f ca="1">OFFSET(POrigin,MATCH(Valori[[#This Row],[LUKB_id]],PID,0),MATCH("DIVIDEND",PLabel,0)-1,1,1)</f>
        <v>0</v>
      </c>
      <c r="AJ262" s="1601">
        <f ca="1">OFFSET(POrigin,MATCH(Valori[[#This Row],[LUKB_id]],PID,0),MATCH("DIVIDEND:datetime",PLabel,0)-1,1,1)</f>
        <v>0</v>
      </c>
      <c r="AK262" s="1602">
        <f ca="1">OFFSET(POrigin,MATCH(Valori[[#This Row],[LUKB_id]],PID,0),MATCH("INTEREST",PLabel,0)-1,1,1)</f>
        <v>0</v>
      </c>
      <c r="AL262" s="1603">
        <f ca="1">OFFSET(POrigin,MATCH(Valori[[#This Row],[LUKB_id]],PID,0),MATCH("4W_PERF_PR",PLabel,0)-1,1,1)/100</f>
        <v>5.0414115952466795E-2</v>
      </c>
      <c r="AM262" s="1603">
        <f ca="1">OFFSET(POrigin,MATCH(Valori[[#This Row],[LUKB_id]],PID,0),MATCH("12W_PERF_PR",PLabel,0)-1,1,1)/100</f>
        <v>6.8498168498168602E-2</v>
      </c>
      <c r="AN262" s="1603">
        <f ca="1">OFFSET(POrigin,MATCH(Valori[[#This Row],[LUKB_id]],PID,0),MATCH("YTD_PERF_PR",PLabel,0)-1,1,1)/100</f>
        <v>6.4210142283838076E-2</v>
      </c>
      <c r="AO262" s="1591"/>
      <c r="AP262" s="1591"/>
      <c r="AQ262" s="1591"/>
      <c r="AR262" s="1591"/>
      <c r="AS262" s="1890"/>
      <c r="AT262" s="1890"/>
      <c r="AU262" s="610"/>
      <c r="AV262" s="1891"/>
      <c r="AW262" s="1604" t="str">
        <f ca="1">"https://boersenundmaerkte.lukb.ch/lukb/details/"&amp;Valori[[#This Row],[LUKB_id]]</f>
        <v>https://boersenundmaerkte.lukb.ch/lukb/details/28738500,3230,814</v>
      </c>
      <c r="AX262"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2" s="142"/>
      <c r="AZ262" s="142"/>
      <c r="BA262" s="142"/>
      <c r="BB262" s="142"/>
    </row>
    <row r="263" spans="1:54" ht="15" customHeight="1" x14ac:dyDescent="0.2">
      <c r="A263" s="142" t="s">
        <v>1664</v>
      </c>
      <c r="B263" s="142" t="str" cm="1">
        <f t="array" aca="1" ref="B263" ca="1">OFFSET(POrigin,MATCH(Valori[[#This Row],[smo_id]],Posizioni[smo_id],0),MATCH("LUKB_id",PIntestazioni,0)-1,1,1)</f>
        <v>11358600,3231,333</v>
      </c>
      <c r="C263" s="1668" t="str">
        <f ca="1">HYPERLINK("https://boersenundmaerkte.lukb.ch/lukb/details/"&amp;Valori[[#This Row],[LUKB_id]],"è")</f>
        <v>è</v>
      </c>
      <c r="D263" s="142" t="str" cm="1">
        <f t="array" aca="1" ref="D263" ca="1">OFFSET(POrigin,MATCH(Valori[[#This Row],[LUKB_id]],PID,0),MATCH("SC_GROUPED",PIntestazioni,0)-1,1,1)</f>
        <v>FON</v>
      </c>
      <c r="E263" s="413" t="str" cm="1">
        <f t="array" aca="1" ref="E263" ca="1">OFFSET(POrigin,MATCH(Valori[[#This Row],[LUKB_id]],PID,0),MATCH("isin",PIntestazioni,0)-1,1,1)</f>
        <v>LU0512127977</v>
      </c>
      <c r="F263" s="34" t="str" cm="1">
        <f t="array" aca="1" ref="F263" ca="1">OFFSET(POrigin,MATCH(Valori[[#This Row],[LUKB_id]],PID,0),MATCH("NSIN_CH",PLabel,0)-1,1,1)</f>
        <v>11358600</v>
      </c>
      <c r="G263" s="95" t="str" cm="1">
        <f t="array" aca="1" ref="G263" ca="1">IF(OFFSET(POrigin,MATCH(Valori[[#This Row],[LUKB_id]],PID,0),MATCH("INSTRUNIT",PLabel,0)-1,1,1)="Nominal","Pct","Unit")</f>
        <v>Unit</v>
      </c>
      <c r="H263" s="612">
        <f ca="1">MAX(OFFSET(POrigin,MATCH(Valori[[#This Row],[LUKB_id]],PID,0),MATCH("PRICINGAMT",PLabel,0)-1,1,1),1)</f>
        <v>1</v>
      </c>
      <c r="I263" s="615" t="str" cm="1">
        <f t="array" aca="1" ref="I263" ca="1">OFFSET(POrigin,MATCH(Valori[[#This Row],[LUKB_id]],PID,0),MATCH("M_NAME",PLabel,0)-1,1,1)</f>
        <v>JPMorgan Funds SICAV - Emerging Markets Corporate Bond Fund</v>
      </c>
      <c r="M263" s="142" t="str" cm="1">
        <f t="array" aca="1" ref="M2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Emerging Markets Corporate Bond Fund</v>
      </c>
      <c r="N263" s="1563">
        <f ca="1">COUNTIF('CHF M'!smo_id,Valori[[#This Row],[smo_id]])+COUNTIF('CHF MA'!smo_id,Valori[[#This Row],[smo_id]])+COUNTIF('EUR MB'!smo_id,Valori[[#This Row],[smo_id]])+COUNTIF('EUR M'!smo_id,Valori[[#This Row],[smo_id]])+COUNTIF(AGCO!smo_id,Valori[[#This Row],[smo_id]])</f>
        <v>1</v>
      </c>
      <c r="O263" s="1590" cm="1">
        <f t="array" aca="1" ref="O263" ca="1">SUM(IF('CHF M'!smo_id=Valori[[#This Row],[smo_id]],'CHF M'!Posizione))+SUM(IF('CHF MA'!smo_id=Valori[[#This Row],[smo_id]],'CHF MA'!Posizione))+SUM(IF('EUR MB'!smo_id=Valori[[#This Row],[smo_id]],'EUR MB'!Posizione))+SUM(IF('EUR M'!smo_id=Valori[[#This Row],[smo_id]],'EUR M'!Posizione))+SUM(IF(AGCO!smo_id=Valori[[#This Row],[smo_id]],AGCO!Posizione))</f>
        <v>0</v>
      </c>
      <c r="P263" s="1661" t="str">
        <f ca="1">HYPERLINK(Valori[[#This Row],[P_Source]],"è")</f>
        <v>è</v>
      </c>
      <c r="Q263" s="1663" t="str">
        <f>HYPERLINK(Valori[[#This Row],[Info_W]],"i")</f>
        <v>i</v>
      </c>
      <c r="R263" s="1664" t="str">
        <f>HYPERLINK(Valori[[#This Row],[FN_W]],"")</f>
        <v></v>
      </c>
      <c r="S263" s="1665" t="str">
        <f>HYPERLINK(Valori[[#This Row],[MS_Link]],"")</f>
        <v></v>
      </c>
      <c r="T263" s="1665" t="str">
        <f>HYPERLINK(Valori[[#This Row],[C_source]],"")</f>
        <v></v>
      </c>
      <c r="U263" s="142" t="str" cm="1">
        <f t="array" aca="1" ref="U263" ca="1">OFFSET(POrigin,MATCH(Valori[[#This Row],[LUKB_id]],PID,0),MATCH("M_CUR",PLabel,0)-1,1,1)</f>
        <v>USD</v>
      </c>
      <c r="V263" s="1562">
        <f ca="1">(Valori[[#This Row],[Last]]+Valori[[#This Row],[Acc. Int]])/Valori[[#This Row],[Pr.Amt]]/IF(Valori[[#This Row],[P_Type]]="Pct",100,1)</f>
        <v>197.89000000000001</v>
      </c>
      <c r="W263" s="1591" cm="1">
        <f t="array" aca="1" ref="W263" ca="1">OFFSET(POrigin,MATCH(Valori[[#This Row],[LUKB_id]],PID,0),MATCH("NC2_PR",PLabel,0)-1,1,1)/100</f>
        <v>-1.765536723163813E-3</v>
      </c>
      <c r="X263" s="1592" cm="1">
        <f t="array" aca="1" ref="X263" ca="1">OFFSET(POrigin,MATCH(Valori[[#This Row],[LUKB_id]],PID,0),MATCH("LVAL",PLabel,0)-1,1,1)</f>
        <v>197.89000000000001</v>
      </c>
      <c r="Y263" s="1593" cm="1">
        <f t="array" aca="1" ref="Y263" ca="1">OFFSET(POrigin,MATCH(Valori[[#This Row],[LUKB_id]],PID,0),MATCH("LVAL:datetime",PLabel,0)-1,1,1)</f>
        <v>46083.885474537034</v>
      </c>
      <c r="Z263" s="1594" cm="1">
        <f t="array" aca="1" ref="Z263" ca="1">OFFSET(POrigin,MATCH(Valori[[#This Row],[LUKB_id]],PID,0),MATCH("BID:volume",PLabel,0)-1,1,1)</f>
        <v>0</v>
      </c>
      <c r="AA263" s="1595" cm="1">
        <f t="array" aca="1" ref="AA263" ca="1">OFFSET(POrigin,MATCH(Valori[[#This Row],[LUKB_id]],PID,0),MATCH("BID",PLabel,0)-1,1,1)</f>
        <v>0</v>
      </c>
      <c r="AB263" s="1595" cm="1">
        <f t="array" aca="1" ref="AB263" ca="1">OFFSET(POrigin,MATCH(Valori[[#This Row],[LUKB_id]],PID,0),MATCH("ASK",PLabel,0)-1,1,1)</f>
        <v>0</v>
      </c>
      <c r="AC263" s="1594" cm="1">
        <f t="array" aca="1" ref="AC263" ca="1">OFFSET(POrigin,MATCH(Valori[[#This Row],[LUKB_id]],PID,0),MATCH("ASK:volume",PLabel,0)-1,1,1)</f>
        <v>0</v>
      </c>
      <c r="AD263" s="1596" cm="1">
        <f t="array" aca="1" ref="AD263" ca="1">OFFSET(POrigin,MATCH(Valori[[#This Row],[LUKB_id]],PID,0),MATCH("BID-ASK Spread %",PLabel,0)-1,1,1)</f>
        <v>0</v>
      </c>
      <c r="AE263" s="1597" t="str" cm="1">
        <f t="array" aca="1" ref="AE263" ca="1">IF(OFFSET(POrigin,MATCH(Valori[[#This Row],[LUKB_id]],PID,0),MATCH("MATURITY",PLabel,0)-1,1,1)&gt;0,OFFSET(POrigin,MATCH(Valori[[#This Row],[LUKB_id]],PID,0),MATCH("MATURITY",PLabel,0)-1,1,1),"")</f>
        <v/>
      </c>
      <c r="AF263" s="1598" cm="1">
        <f t="array" aca="1" ref="AF263" ca="1">OFFSET(POrigin,MATCH(Valori[[#This Row],[LUKB_id]],PID,0),MATCH("ACCINT",PLabel,0)-1,1,1)</f>
        <v>0</v>
      </c>
      <c r="AG263" s="1594" cm="1">
        <f t="array" aca="1" ref="AG263" ca="1">OFFSET(POrigin,MATCH(Valori[[#This Row],[LUKB_id]],PID,0),MATCH("DENOM",PLabel,0)-1,1,1)</f>
        <v>0</v>
      </c>
      <c r="AH263" s="1599" cm="1">
        <f t="array" aca="1" ref="AH263" ca="1">(OFFSET(POrigin,MATCH(Valori[[#This Row],[LUKB_id]],PID,0),MATCH("YIELD",PLabel,0)-1,1,1)+OFFSET(POrigin,MATCH(Valori[[#This Row],[LUKB_id]],PID,0),MATCH("YLDEQ",PLabel,0)-1,1,1))/100</f>
        <v>0</v>
      </c>
      <c r="AI263" s="1600">
        <f ca="1">OFFSET(POrigin,MATCH(Valori[[#This Row],[LUKB_id]],PID,0),MATCH("DIVIDEND",PLabel,0)-1,1,1)</f>
        <v>0</v>
      </c>
      <c r="AJ263" s="1601">
        <f ca="1">OFFSET(POrigin,MATCH(Valori[[#This Row],[LUKB_id]],PID,0),MATCH("DIVIDEND:datetime",PLabel,0)-1,1,1)</f>
        <v>0</v>
      </c>
      <c r="AK263" s="1602">
        <f ca="1">OFFSET(POrigin,MATCH(Valori[[#This Row],[LUKB_id]],PID,0),MATCH("INTEREST",PLabel,0)-1,1,1)</f>
        <v>0</v>
      </c>
      <c r="AL263" s="1603">
        <f ca="1">OFFSET(POrigin,MATCH(Valori[[#This Row],[LUKB_id]],PID,0),MATCH("4W_PERF_PR",PLabel,0)-1,1,1)/100</f>
        <v>5.9475396502644993E-3</v>
      </c>
      <c r="AM263" s="1603">
        <f ca="1">OFFSET(POrigin,MATCH(Valori[[#This Row],[LUKB_id]],PID,0),MATCH("12W_PERF_PR",PLabel,0)-1,1,1)/100</f>
        <v>2.0051546391752703E-2</v>
      </c>
      <c r="AN263" s="1603">
        <f ca="1">OFFSET(POrigin,MATCH(Valori[[#This Row],[LUKB_id]],PID,0),MATCH("YTD_PERF_PR",PLabel,0)-1,1,1)/100</f>
        <v>1.3573038311821377E-2</v>
      </c>
      <c r="AO263" s="1591"/>
      <c r="AP263" s="1591"/>
      <c r="AQ263" s="1591"/>
      <c r="AR263" s="1591"/>
      <c r="AS263" s="1890"/>
      <c r="AT263" s="1890"/>
      <c r="AU263" s="610"/>
      <c r="AV263" s="1891"/>
      <c r="AW263" s="1604" t="str">
        <f ca="1">"https://boersenundmaerkte.lukb.ch/lukb/details/"&amp;Valori[[#This Row],[LUKB_id]]</f>
        <v>https://boersenundmaerkte.lukb.ch/lukb/details/11358600,3231,333</v>
      </c>
      <c r="AX26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3" s="142"/>
      <c r="AZ263" s="142"/>
      <c r="BA263" s="142"/>
      <c r="BB263" s="142"/>
    </row>
    <row r="264" spans="1:54" ht="15" customHeight="1" x14ac:dyDescent="0.2">
      <c r="A264" s="142" t="s">
        <v>1665</v>
      </c>
      <c r="B264" s="142" t="str" cm="1">
        <f t="array" aca="1" ref="B264" ca="1">OFFSET(POrigin,MATCH(Valori[[#This Row],[smo_id]],Posizioni[smo_id],0),MATCH("LUKB_id",PIntestazioni,0)-1,1,1)</f>
        <v>2510965,3231,333</v>
      </c>
      <c r="C264" s="1668" t="str">
        <f ca="1">HYPERLINK("https://boersenundmaerkte.lukb.ch/lukb/details/"&amp;Valori[[#This Row],[LUKB_id]],"è")</f>
        <v>è</v>
      </c>
      <c r="D264" s="142" t="str" cm="1">
        <f t="array" aca="1" ref="D264" ca="1">OFFSET(POrigin,MATCH(Valori[[#This Row],[LUKB_id]],PID,0),MATCH("SC_GROUPED",PIntestazioni,0)-1,1,1)</f>
        <v>FON</v>
      </c>
      <c r="E264" s="413" t="str" cm="1">
        <f t="array" aca="1" ref="E264" ca="1">OFFSET(POrigin,MATCH(Valori[[#This Row],[LUKB_id]],PID,0),MATCH("isin",PIntestazioni,0)-1,1,1)</f>
        <v>LI0025109658</v>
      </c>
      <c r="F264" s="34" t="str" cm="1">
        <f t="array" aca="1" ref="F264" ca="1">OFFSET(POrigin,MATCH(Valori[[#This Row],[LUKB_id]],PID,0),MATCH("NSIN_CH",PLabel,0)-1,1,1)</f>
        <v>2510965</v>
      </c>
      <c r="G264" s="95" t="str" cm="1">
        <f t="array" aca="1" ref="G264" ca="1">IF(OFFSET(POrigin,MATCH(Valori[[#This Row],[LUKB_id]],PID,0),MATCH("INSTRUNIT",PLabel,0)-1,1,1)="Nominal","Pct","Unit")</f>
        <v>Unit</v>
      </c>
      <c r="H264" s="612">
        <f ca="1">MAX(OFFSET(POrigin,MATCH(Valori[[#This Row],[LUKB_id]],PID,0),MATCH("PRICINGAMT",PLabel,0)-1,1,1),1)</f>
        <v>1</v>
      </c>
      <c r="I264" s="615" t="str" cm="1">
        <f t="array" aca="1" ref="I264" ca="1">OFFSET(POrigin,MATCH(Valori[[#This Row],[LUKB_id]],PID,0),MATCH("M_NAME",PLabel,0)-1,1,1)</f>
        <v>Mistral Value Fund</v>
      </c>
      <c r="J264" s="142" t="s">
        <v>1666</v>
      </c>
      <c r="M264" s="142" t="str" cm="1">
        <f t="array" aca="1" ref="M2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Mistral Value Fund P - USD</v>
      </c>
      <c r="N264" s="1563">
        <f ca="1">COUNTIF('CHF M'!smo_id,Valori[[#This Row],[smo_id]])+COUNTIF('CHF MA'!smo_id,Valori[[#This Row],[smo_id]])+COUNTIF('EUR MB'!smo_id,Valori[[#This Row],[smo_id]])+COUNTIF('EUR M'!smo_id,Valori[[#This Row],[smo_id]])+COUNTIF(AGCO!smo_id,Valori[[#This Row],[smo_id]])</f>
        <v>0</v>
      </c>
      <c r="O264" s="1590" cm="1">
        <f t="array" aca="1" ref="O264" ca="1">SUM(IF('CHF M'!smo_id=Valori[[#This Row],[smo_id]],'CHF M'!Posizione))+SUM(IF('CHF MA'!smo_id=Valori[[#This Row],[smo_id]],'CHF MA'!Posizione))+SUM(IF('EUR MB'!smo_id=Valori[[#This Row],[smo_id]],'EUR MB'!Posizione))+SUM(IF('EUR M'!smo_id=Valori[[#This Row],[smo_id]],'EUR M'!Posizione))+SUM(IF(AGCO!smo_id=Valori[[#This Row],[smo_id]],AGCO!Posizione))</f>
        <v>0</v>
      </c>
      <c r="P264" s="1661" t="str">
        <f ca="1">HYPERLINK(Valori[[#This Row],[P_Source]],"è")</f>
        <v>è</v>
      </c>
      <c r="Q264" s="1663" t="str">
        <f>HYPERLINK(Valori[[#This Row],[Info_W]],"i")</f>
        <v>i</v>
      </c>
      <c r="R264" s="1664" t="str">
        <f>HYPERLINK(Valori[[#This Row],[FN_W]],"")</f>
        <v></v>
      </c>
      <c r="S264" s="1665" t="str">
        <f>HYPERLINK(Valori[[#This Row],[MS_Link]],"")</f>
        <v></v>
      </c>
      <c r="T264" s="1665" t="str">
        <f>HYPERLINK(Valori[[#This Row],[C_source]],"")</f>
        <v></v>
      </c>
      <c r="U264" s="142" t="str" cm="1">
        <f t="array" aca="1" ref="U264" ca="1">OFFSET(POrigin,MATCH(Valori[[#This Row],[LUKB_id]],PID,0),MATCH("M_CUR",PLabel,0)-1,1,1)</f>
        <v>USD</v>
      </c>
      <c r="V264" s="1562">
        <f ca="1">(Valori[[#This Row],[Last]]+Valori[[#This Row],[Acc. Int]])/Valori[[#This Row],[Pr.Amt]]/IF(Valori[[#This Row],[P_Type]]="Pct",100,1)</f>
        <v>2075.08</v>
      </c>
      <c r="W264" s="1591" cm="1">
        <f t="array" aca="1" ref="W264" ca="1">OFFSET(POrigin,MATCH(Valori[[#This Row],[LUKB_id]],PID,0),MATCH("NC2_PR",PLabel,0)-1,1,1)/100</f>
        <v>-1.5154175822611325E-2</v>
      </c>
      <c r="X264" s="1592" cm="1">
        <f t="array" aca="1" ref="X264" ca="1">OFFSET(POrigin,MATCH(Valori[[#This Row],[LUKB_id]],PID,0),MATCH("LVAL",PLabel,0)-1,1,1)</f>
        <v>2075.08</v>
      </c>
      <c r="Y264" s="1593" cm="1">
        <f t="array" aca="1" ref="Y264" ca="1">OFFSET(POrigin,MATCH(Valori[[#This Row],[LUKB_id]],PID,0),MATCH("LVAL:datetime",PLabel,0)-1,1,1)</f>
        <v>46083.76048611111</v>
      </c>
      <c r="Z264" s="1594" cm="1">
        <f t="array" aca="1" ref="Z264" ca="1">OFFSET(POrigin,MATCH(Valori[[#This Row],[LUKB_id]],PID,0),MATCH("BID:volume",PLabel,0)-1,1,1)</f>
        <v>0</v>
      </c>
      <c r="AA264" s="1595" cm="1">
        <f t="array" aca="1" ref="AA264" ca="1">OFFSET(POrigin,MATCH(Valori[[#This Row],[LUKB_id]],PID,0),MATCH("BID",PLabel,0)-1,1,1)</f>
        <v>0</v>
      </c>
      <c r="AB264" s="1595" cm="1">
        <f t="array" aca="1" ref="AB264" ca="1">OFFSET(POrigin,MATCH(Valori[[#This Row],[LUKB_id]],PID,0),MATCH("ASK",PLabel,0)-1,1,1)</f>
        <v>0</v>
      </c>
      <c r="AC264" s="1594" cm="1">
        <f t="array" aca="1" ref="AC264" ca="1">OFFSET(POrigin,MATCH(Valori[[#This Row],[LUKB_id]],PID,0),MATCH("ASK:volume",PLabel,0)-1,1,1)</f>
        <v>0</v>
      </c>
      <c r="AD264" s="1596" cm="1">
        <f t="array" aca="1" ref="AD264" ca="1">OFFSET(POrigin,MATCH(Valori[[#This Row],[LUKB_id]],PID,0),MATCH("BID-ASK Spread %",PLabel,0)-1,1,1)</f>
        <v>0</v>
      </c>
      <c r="AE264" s="1597" t="str" cm="1">
        <f t="array" aca="1" ref="AE264" ca="1">IF(OFFSET(POrigin,MATCH(Valori[[#This Row],[LUKB_id]],PID,0),MATCH("MATURITY",PLabel,0)-1,1,1)&gt;0,OFFSET(POrigin,MATCH(Valori[[#This Row],[LUKB_id]],PID,0),MATCH("MATURITY",PLabel,0)-1,1,1),"")</f>
        <v/>
      </c>
      <c r="AF264" s="1598" cm="1">
        <f t="array" aca="1" ref="AF264" ca="1">OFFSET(POrigin,MATCH(Valori[[#This Row],[LUKB_id]],PID,0),MATCH("ACCINT",PLabel,0)-1,1,1)</f>
        <v>0</v>
      </c>
      <c r="AG264" s="1594" cm="1">
        <f t="array" aca="1" ref="AG264" ca="1">OFFSET(POrigin,MATCH(Valori[[#This Row],[LUKB_id]],PID,0),MATCH("DENOM",PLabel,0)-1,1,1)</f>
        <v>0</v>
      </c>
      <c r="AH264" s="1599" cm="1">
        <f t="array" aca="1" ref="AH264" ca="1">(OFFSET(POrigin,MATCH(Valori[[#This Row],[LUKB_id]],PID,0),MATCH("YIELD",PLabel,0)-1,1,1)+OFFSET(POrigin,MATCH(Valori[[#This Row],[LUKB_id]],PID,0),MATCH("YLDEQ",PLabel,0)-1,1,1))/100</f>
        <v>0</v>
      </c>
      <c r="AI264" s="1600">
        <f ca="1">OFFSET(POrigin,MATCH(Valori[[#This Row],[LUKB_id]],PID,0),MATCH("DIVIDEND",PLabel,0)-1,1,1)</f>
        <v>0</v>
      </c>
      <c r="AJ264" s="1601">
        <f ca="1">OFFSET(POrigin,MATCH(Valori[[#This Row],[LUKB_id]],PID,0),MATCH("DIVIDEND:datetime",PLabel,0)-1,1,1)</f>
        <v>0</v>
      </c>
      <c r="AK264" s="1602">
        <f ca="1">OFFSET(POrigin,MATCH(Valori[[#This Row],[LUKB_id]],PID,0),MATCH("INTEREST",PLabel,0)-1,1,1)</f>
        <v>0</v>
      </c>
      <c r="AL264" s="1603">
        <f ca="1">OFFSET(POrigin,MATCH(Valori[[#This Row],[LUKB_id]],PID,0),MATCH("4W_PERF_PR",PLabel,0)-1,1,1)/100</f>
        <v>-1.9435689274694003E-2</v>
      </c>
      <c r="AM264" s="1603">
        <f ca="1">OFFSET(POrigin,MATCH(Valori[[#This Row],[LUKB_id]],PID,0),MATCH("12W_PERF_PR",PLabel,0)-1,1,1)/100</f>
        <v>-1.9472756569279298E-2</v>
      </c>
      <c r="AN264" s="1603">
        <f ca="1">OFFSET(POrigin,MATCH(Valori[[#This Row],[LUKB_id]],PID,0),MATCH("YTD_PERF_PR",PLabel,0)-1,1,1)/100</f>
        <v>-2.4244818116841566E-2</v>
      </c>
      <c r="AO264" s="1591">
        <v>0.03</v>
      </c>
      <c r="AP264" s="1591">
        <v>0</v>
      </c>
      <c r="AQ264" s="1591">
        <v>2.41E-2</v>
      </c>
      <c r="AR264" s="1591">
        <v>0</v>
      </c>
      <c r="AS264" s="1890"/>
      <c r="AT264" s="1890"/>
      <c r="AU264" s="610"/>
      <c r="AV264" s="1891"/>
      <c r="AW264" s="1604" t="str">
        <f ca="1">"https://boersenundmaerkte.lukb.ch/lukb/details/"&amp;Valori[[#This Row],[LUKB_id]]</f>
        <v>https://boersenundmaerkte.lukb.ch/lukb/details/2510965,3231,333</v>
      </c>
      <c r="AX26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4" s="142"/>
      <c r="AZ264" s="142"/>
      <c r="BA264" s="142"/>
      <c r="BB264" s="142"/>
    </row>
    <row r="265" spans="1:54" ht="15" customHeight="1" x14ac:dyDescent="0.2">
      <c r="A265" s="142" t="s">
        <v>1667</v>
      </c>
      <c r="B265" s="142" t="s">
        <v>1668</v>
      </c>
      <c r="C265" s="1668" t="str">
        <f>HYPERLINK("https://boersenundmaerkte.lukb.ch/lukb/details/"&amp;Valori[[#This Row],[LUKB_id]],"è")</f>
        <v>è</v>
      </c>
      <c r="D265" s="142" t="str" cm="1">
        <f t="array" aca="1" ref="D265" ca="1">OFFSET(POrigin,MATCH(Valori[[#This Row],[LUKB_id]],PID,0),MATCH("SC_GROUPED",PIntestazioni,0)-1,1,1)</f>
        <v>FON</v>
      </c>
      <c r="E265" s="413" t="str" cm="1">
        <f t="array" aca="1" ref="E265" ca="1">OFFSET(POrigin,MATCH(Valori[[#This Row],[LUKB_id]],PID,0),MATCH("isin",PIntestazioni,0)-1,1,1)</f>
        <v>IE00BJ847509</v>
      </c>
      <c r="F265" s="34" t="str" cm="1">
        <f t="array" aca="1" ref="F265" ca="1">OFFSET(POrigin,MATCH(Valori[[#This Row],[LUKB_id]],PID,0),MATCH("NSIN_CH",PLabel,0)-1,1,1)</f>
        <v>51316555</v>
      </c>
      <c r="G265" s="95" t="str" cm="1">
        <f t="array" aca="1" ref="G265" ca="1">IF(OFFSET(POrigin,MATCH(Valori[[#This Row],[LUKB_id]],PID,0),MATCH("INSTRUNIT",PLabel,0)-1,1,1)="Nominal","Pct","Unit")</f>
        <v>Unit</v>
      </c>
      <c r="H265" s="612">
        <f ca="1">MAX(OFFSET(POrigin,MATCH(Valori[[#This Row],[LUKB_id]],PID,0),MATCH("PRICINGAMT",PLabel,0)-1,1,1),1)</f>
        <v>1</v>
      </c>
      <c r="I265" s="615" t="str" cm="1">
        <f t="array" aca="1" ref="I265" ca="1">OFFSET(POrigin,MATCH(Valori[[#This Row],[LUKB_id]],PID,0),MATCH("M_NAME",PLabel,0)-1,1,1)</f>
        <v>Muzinich Funds - Muzinich Enhancedyield Short-Term Fund</v>
      </c>
      <c r="J265" s="142" t="s">
        <v>1669</v>
      </c>
      <c r="M265" s="142" t="str" cm="1">
        <f t="array" aca="1" ref="M2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 Enhancedyield Short-Term Fund - A1 - CHF Hedged (Acc)</v>
      </c>
      <c r="N265" s="1563">
        <f ca="1">COUNTIF('CHF M'!smo_id,Valori[[#This Row],[smo_id]])+COUNTIF('CHF MA'!smo_id,Valori[[#This Row],[smo_id]])+COUNTIF('EUR MB'!smo_id,Valori[[#This Row],[smo_id]])+COUNTIF('EUR M'!smo_id,Valori[[#This Row],[smo_id]])+COUNTIF(AGCO!smo_id,Valori[[#This Row],[smo_id]])</f>
        <v>0</v>
      </c>
      <c r="O265" s="1590" cm="1">
        <f t="array" aca="1" ref="O265" ca="1">SUM(IF('CHF M'!smo_id=Valori[[#This Row],[smo_id]],'CHF M'!Posizione))+SUM(IF('CHF MA'!smo_id=Valori[[#This Row],[smo_id]],'CHF MA'!Posizione))+SUM(IF('EUR MB'!smo_id=Valori[[#This Row],[smo_id]],'EUR MB'!Posizione))+SUM(IF('EUR M'!smo_id=Valori[[#This Row],[smo_id]],'EUR M'!Posizione))+SUM(IF(AGCO!smo_id=Valori[[#This Row],[smo_id]],AGCO!Posizione))</f>
        <v>0</v>
      </c>
      <c r="P265" s="1661" t="str">
        <f>HYPERLINK(Valori[[#This Row],[P_Source]],"è")</f>
        <v>è</v>
      </c>
      <c r="Q265" s="1663" t="str">
        <f>HYPERLINK(Valori[[#This Row],[Info_W]],"i")</f>
        <v>i</v>
      </c>
      <c r="R265" s="1664" t="str">
        <f>HYPERLINK(Valori[[#This Row],[FN_W]],"")</f>
        <v></v>
      </c>
      <c r="S265" s="1665" t="str">
        <f>HYPERLINK(Valori[[#This Row],[MS_Link]],"")</f>
        <v></v>
      </c>
      <c r="T265" s="1665" t="str">
        <f>HYPERLINK(Valori[[#This Row],[C_source]],"")</f>
        <v></v>
      </c>
      <c r="U265" s="142" t="str" cm="1">
        <f t="array" aca="1" ref="U265" ca="1">OFFSET(POrigin,MATCH(Valori[[#This Row],[LUKB_id]],PID,0),MATCH("M_CUR",PLabel,0)-1,1,1)</f>
        <v>CHF</v>
      </c>
      <c r="V265" s="1562">
        <f ca="1">(Valori[[#This Row],[Last]]+Valori[[#This Row],[Acc. Int]])/Valori[[#This Row],[Pr.Amt]]/IF(Valori[[#This Row],[P_Type]]="Pct",100,1)</f>
        <v>103.29</v>
      </c>
      <c r="W265" s="1591" cm="1">
        <f t="array" aca="1" ref="W265" ca="1">OFFSET(POrigin,MATCH(Valori[[#This Row],[LUKB_id]],PID,0),MATCH("NC2_PR",PLabel,0)-1,1,1)/100</f>
        <v>-1.7396346767178182E-3</v>
      </c>
      <c r="X265" s="1592" cm="1">
        <f t="array" aca="1" ref="X265" ca="1">OFFSET(POrigin,MATCH(Valori[[#This Row],[LUKB_id]],PID,0),MATCH("LVAL",PLabel,0)-1,1,1)</f>
        <v>103.29</v>
      </c>
      <c r="Y265" s="1593" cm="1">
        <f t="array" aca="1" ref="Y265" ca="1">OFFSET(POrigin,MATCH(Valori[[#This Row],[LUKB_id]],PID,0),MATCH("LVAL:datetime",PLabel,0)-1,1,1)</f>
        <v>46083.125057870369</v>
      </c>
      <c r="Z265" s="1594" cm="1">
        <f t="array" aca="1" ref="Z265" ca="1">OFFSET(POrigin,MATCH(Valori[[#This Row],[LUKB_id]],PID,0),MATCH("BID:volume",PLabel,0)-1,1,1)</f>
        <v>0</v>
      </c>
      <c r="AA265" s="1595" cm="1">
        <f t="array" aca="1" ref="AA265" ca="1">OFFSET(POrigin,MATCH(Valori[[#This Row],[LUKB_id]],PID,0),MATCH("BID",PLabel,0)-1,1,1)</f>
        <v>0</v>
      </c>
      <c r="AB265" s="1595" cm="1">
        <f t="array" aca="1" ref="AB265" ca="1">OFFSET(POrigin,MATCH(Valori[[#This Row],[LUKB_id]],PID,0),MATCH("ASK",PLabel,0)-1,1,1)</f>
        <v>0</v>
      </c>
      <c r="AC265" s="1594" cm="1">
        <f t="array" aca="1" ref="AC265" ca="1">OFFSET(POrigin,MATCH(Valori[[#This Row],[LUKB_id]],PID,0),MATCH("ASK:volume",PLabel,0)-1,1,1)</f>
        <v>0</v>
      </c>
      <c r="AD265" s="1596" cm="1">
        <f t="array" aca="1" ref="AD265" ca="1">OFFSET(POrigin,MATCH(Valori[[#This Row],[LUKB_id]],PID,0),MATCH("BID-ASK Spread %",PLabel,0)-1,1,1)</f>
        <v>0</v>
      </c>
      <c r="AE265" s="1597" t="str" cm="1">
        <f t="array" aca="1" ref="AE265" ca="1">IF(OFFSET(POrigin,MATCH(Valori[[#This Row],[LUKB_id]],PID,0),MATCH("MATURITY",PLabel,0)-1,1,1)&gt;0,OFFSET(POrigin,MATCH(Valori[[#This Row],[LUKB_id]],PID,0),MATCH("MATURITY",PLabel,0)-1,1,1),"")</f>
        <v/>
      </c>
      <c r="AF265" s="1598" cm="1">
        <f t="array" aca="1" ref="AF265" ca="1">OFFSET(POrigin,MATCH(Valori[[#This Row],[LUKB_id]],PID,0),MATCH("ACCINT",PLabel,0)-1,1,1)</f>
        <v>0</v>
      </c>
      <c r="AG265" s="1594" cm="1">
        <f t="array" aca="1" ref="AG265" ca="1">OFFSET(POrigin,MATCH(Valori[[#This Row],[LUKB_id]],PID,0),MATCH("DENOM",PLabel,0)-1,1,1)</f>
        <v>0</v>
      </c>
      <c r="AH265" s="1599" cm="1">
        <f t="array" aca="1" ref="AH265" ca="1">(OFFSET(POrigin,MATCH(Valori[[#This Row],[LUKB_id]],PID,0),MATCH("YIELD",PLabel,0)-1,1,1)+OFFSET(POrigin,MATCH(Valori[[#This Row],[LUKB_id]],PID,0),MATCH("YLDEQ",PLabel,0)-1,1,1))/100</f>
        <v>0</v>
      </c>
      <c r="AI265" s="1600">
        <f ca="1">OFFSET(POrigin,MATCH(Valori[[#This Row],[LUKB_id]],PID,0),MATCH("DIVIDEND",PLabel,0)-1,1,1)</f>
        <v>0</v>
      </c>
      <c r="AJ265" s="1601">
        <f ca="1">OFFSET(POrigin,MATCH(Valori[[#This Row],[LUKB_id]],PID,0),MATCH("DIVIDEND:datetime",PLabel,0)-1,1,1)</f>
        <v>0</v>
      </c>
      <c r="AK265" s="1602">
        <f ca="1">OFFSET(POrigin,MATCH(Valori[[#This Row],[LUKB_id]],PID,0),MATCH("INTEREST",PLabel,0)-1,1,1)</f>
        <v>0</v>
      </c>
      <c r="AL265" s="1603">
        <f ca="1">OFFSET(POrigin,MATCH(Valori[[#This Row],[LUKB_id]],PID,0),MATCH("4W_PERF_PR",PLabel,0)-1,1,1)/100</f>
        <v>-1.0638297872340001E-3</v>
      </c>
      <c r="AM265" s="1603">
        <f ca="1">OFFSET(POrigin,MATCH(Valori[[#This Row],[LUKB_id]],PID,0),MATCH("12W_PERF_PR",PLabel,0)-1,1,1)/100</f>
        <v>8.7209302325590003E-4</v>
      </c>
      <c r="AN265" s="1603">
        <f ca="1">OFFSET(POrigin,MATCH(Valori[[#This Row],[LUKB_id]],PID,0),MATCH("YTD_PERF_PR",PLabel,0)-1,1,1)/100</f>
        <v>0</v>
      </c>
      <c r="AO265" s="1591">
        <v>0.01</v>
      </c>
      <c r="AP265" s="1591">
        <v>0.01</v>
      </c>
      <c r="AQ265" s="1591">
        <v>4.7000000000000002E-3</v>
      </c>
      <c r="AR265" s="1591">
        <v>0</v>
      </c>
      <c r="AS265" s="1890"/>
      <c r="AT265" s="1890"/>
      <c r="AU265" s="610"/>
      <c r="AV265" s="1891"/>
      <c r="AW265" s="1604" t="str">
        <f>"https://boersenundmaerkte.lukb.ch/lukb/details/"&amp;Valori[[#This Row],[LUKB_id]]</f>
        <v>https://boersenundmaerkte.lukb.ch/lukb/details/51316555,3233,1</v>
      </c>
      <c r="AX265"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5" s="142"/>
      <c r="AZ265" s="142"/>
      <c r="BA265" s="142"/>
      <c r="BB265" s="142"/>
    </row>
    <row r="266" spans="1:54" ht="15" customHeight="1" x14ac:dyDescent="0.2">
      <c r="A266" s="142" t="s">
        <v>1670</v>
      </c>
      <c r="B266" s="142" t="s">
        <v>1671</v>
      </c>
      <c r="C266" s="1668" t="str">
        <f>HYPERLINK("https://boersenundmaerkte.lukb.ch/lukb/details/"&amp;Valori[[#This Row],[LUKB_id]],"è")</f>
        <v>è</v>
      </c>
      <c r="D266" s="142" t="str" cm="1">
        <f t="array" aca="1" ref="D266" ca="1">OFFSET(POrigin,MATCH(Valori[[#This Row],[LUKB_id]],PID,0),MATCH("SC_GROUPED",PIntestazioni,0)-1,1,1)</f>
        <v>FON</v>
      </c>
      <c r="E266" s="413" t="str" cm="1">
        <f t="array" aca="1" ref="E266" ca="1">OFFSET(POrigin,MATCH(Valori[[#This Row],[LUKB_id]],PID,0),MATCH("isin",PIntestazioni,0)-1,1,1)</f>
        <v>IE00B92LSQ52</v>
      </c>
      <c r="F266" s="34" t="str" cm="1">
        <f t="array" aca="1" ref="F266" ca="1">OFFSET(POrigin,MATCH(Valori[[#This Row],[LUKB_id]],PID,0),MATCH("NSIN_CH",PLabel,0)-1,1,1)</f>
        <v>21348322</v>
      </c>
      <c r="G266" s="95" t="str" cm="1">
        <f t="array" aca="1" ref="G266" ca="1">IF(OFFSET(POrigin,MATCH(Valori[[#This Row],[LUKB_id]],PID,0),MATCH("INSTRUNIT",PLabel,0)-1,1,1)="Nominal","Pct","Unit")</f>
        <v>Unit</v>
      </c>
      <c r="H266" s="612">
        <f ca="1">MAX(OFFSET(POrigin,MATCH(Valori[[#This Row],[LUKB_id]],PID,0),MATCH("PRICINGAMT",PLabel,0)-1,1,1),1)</f>
        <v>1</v>
      </c>
      <c r="I266" s="615" t="str" cm="1">
        <f t="array" aca="1" ref="I266" ca="1">OFFSET(POrigin,MATCH(Valori[[#This Row],[LUKB_id]],PID,0),MATCH("M_NAME",PLabel,0)-1,1,1)</f>
        <v>Muzinich Funds - Muzinich Enhancedyield Short-Term Fund</v>
      </c>
      <c r="J266" s="142" t="s">
        <v>392</v>
      </c>
      <c r="M266" s="142" t="str" cm="1">
        <f t="array" aca="1" ref="M2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Enhancedyield Short-Term Fund - A - CHF Hedged - Acc</v>
      </c>
      <c r="N266" s="1563">
        <f ca="1">COUNTIF('CHF M'!smo_id,Valori[[#This Row],[smo_id]])+COUNTIF('CHF MA'!smo_id,Valori[[#This Row],[smo_id]])+COUNTIF('EUR MB'!smo_id,Valori[[#This Row],[smo_id]])+COUNTIF('EUR M'!smo_id,Valori[[#This Row],[smo_id]])+COUNTIF(AGCO!smo_id,Valori[[#This Row],[smo_id]])</f>
        <v>1</v>
      </c>
      <c r="O266" s="1590" cm="1">
        <f t="array" aca="1" ref="O266" ca="1">SUM(IF('CHF M'!smo_id=Valori[[#This Row],[smo_id]],'CHF M'!Posizione))+SUM(IF('CHF MA'!smo_id=Valori[[#This Row],[smo_id]],'CHF MA'!Posizione))+SUM(IF('EUR MB'!smo_id=Valori[[#This Row],[smo_id]],'EUR MB'!Posizione))+SUM(IF('EUR M'!smo_id=Valori[[#This Row],[smo_id]],'EUR M'!Posizione))+SUM(IF(AGCO!smo_id=Valori[[#This Row],[smo_id]],AGCO!Posizione))</f>
        <v>1400</v>
      </c>
      <c r="P266" s="1661" t="str">
        <f>HYPERLINK(Valori[[#This Row],[P_Source]],"è")</f>
        <v>è</v>
      </c>
      <c r="Q266" s="1663" t="str">
        <f>HYPERLINK(Valori[[#This Row],[Info_W]],"i")</f>
        <v>i</v>
      </c>
      <c r="R266" s="1664" t="str">
        <f>HYPERLINK(Valori[[#This Row],[FN_W]],"")</f>
        <v></v>
      </c>
      <c r="S266" s="1665" t="str">
        <f>HYPERLINK(Valori[[#This Row],[MS_Link]],"")</f>
        <v></v>
      </c>
      <c r="T266" s="1665" t="str">
        <f>HYPERLINK(Valori[[#This Row],[C_source]],"")</f>
        <v></v>
      </c>
      <c r="U266" s="142" t="str" cm="1">
        <f t="array" aca="1" ref="U266" ca="1">OFFSET(POrigin,MATCH(Valori[[#This Row],[LUKB_id]],PID,0),MATCH("M_CUR",PLabel,0)-1,1,1)</f>
        <v>CHF</v>
      </c>
      <c r="V266" s="1562">
        <f ca="1">(Valori[[#This Row],[Last]]+Valori[[#This Row],[Acc. Int]])/Valori[[#This Row],[Pr.Amt]]/IF(Valori[[#This Row],[P_Type]]="Pct",100,1)</f>
        <v>111.39</v>
      </c>
      <c r="W266" s="1591" cm="1">
        <f t="array" aca="1" ref="W266" ca="1">OFFSET(POrigin,MATCH(Valori[[#This Row],[LUKB_id]],PID,0),MATCH("NC2_PR",PLabel,0)-1,1,1)/100</f>
        <v>-1.9711495385718023E-3</v>
      </c>
      <c r="X266" s="1592" cm="1">
        <f t="array" aca="1" ref="X266" ca="1">OFFSET(POrigin,MATCH(Valori[[#This Row],[LUKB_id]],PID,0),MATCH("LVAL",PLabel,0)-1,1,1)</f>
        <v>111.39</v>
      </c>
      <c r="Y266" s="1593" cm="1">
        <f t="array" aca="1" ref="Y266" ca="1">OFFSET(POrigin,MATCH(Valori[[#This Row],[LUKB_id]],PID,0),MATCH("LVAL:datetime",PLabel,0)-1,1,1)</f>
        <v>46083.4065162037</v>
      </c>
      <c r="Z266" s="1594" cm="1">
        <f t="array" aca="1" ref="Z266" ca="1">OFFSET(POrigin,MATCH(Valori[[#This Row],[LUKB_id]],PID,0),MATCH("BID:volume",PLabel,0)-1,1,1)</f>
        <v>0</v>
      </c>
      <c r="AA266" s="1595" cm="1">
        <f t="array" aca="1" ref="AA266" ca="1">OFFSET(POrigin,MATCH(Valori[[#This Row],[LUKB_id]],PID,0),MATCH("BID",PLabel,0)-1,1,1)</f>
        <v>0</v>
      </c>
      <c r="AB266" s="1595" cm="1">
        <f t="array" aca="1" ref="AB266" ca="1">OFFSET(POrigin,MATCH(Valori[[#This Row],[LUKB_id]],PID,0),MATCH("ASK",PLabel,0)-1,1,1)</f>
        <v>0</v>
      </c>
      <c r="AC266" s="1594" cm="1">
        <f t="array" aca="1" ref="AC266" ca="1">OFFSET(POrigin,MATCH(Valori[[#This Row],[LUKB_id]],PID,0),MATCH("ASK:volume",PLabel,0)-1,1,1)</f>
        <v>0</v>
      </c>
      <c r="AD266" s="1596" cm="1">
        <f t="array" aca="1" ref="AD266" ca="1">OFFSET(POrigin,MATCH(Valori[[#This Row],[LUKB_id]],PID,0),MATCH("BID-ASK Spread %",PLabel,0)-1,1,1)</f>
        <v>0</v>
      </c>
      <c r="AE266" s="1597" t="str" cm="1">
        <f t="array" aca="1" ref="AE266" ca="1">IF(OFFSET(POrigin,MATCH(Valori[[#This Row],[LUKB_id]],PID,0),MATCH("MATURITY",PLabel,0)-1,1,1)&gt;0,OFFSET(POrigin,MATCH(Valori[[#This Row],[LUKB_id]],PID,0),MATCH("MATURITY",PLabel,0)-1,1,1),"")</f>
        <v/>
      </c>
      <c r="AF266" s="1598" cm="1">
        <f t="array" aca="1" ref="AF266" ca="1">OFFSET(POrigin,MATCH(Valori[[#This Row],[LUKB_id]],PID,0),MATCH("ACCINT",PLabel,0)-1,1,1)</f>
        <v>0</v>
      </c>
      <c r="AG266" s="1594" cm="1">
        <f t="array" aca="1" ref="AG266" ca="1">OFFSET(POrigin,MATCH(Valori[[#This Row],[LUKB_id]],PID,0),MATCH("DENOM",PLabel,0)-1,1,1)</f>
        <v>0</v>
      </c>
      <c r="AH266" s="1599" cm="1">
        <f t="array" aca="1" ref="AH266" ca="1">(OFFSET(POrigin,MATCH(Valori[[#This Row],[LUKB_id]],PID,0),MATCH("YIELD",PLabel,0)-1,1,1)+OFFSET(POrigin,MATCH(Valori[[#This Row],[LUKB_id]],PID,0),MATCH("YLDEQ",PLabel,0)-1,1,1))/100</f>
        <v>0</v>
      </c>
      <c r="AI266" s="1600">
        <f ca="1">OFFSET(POrigin,MATCH(Valori[[#This Row],[LUKB_id]],PID,0),MATCH("DIVIDEND",PLabel,0)-1,1,1)</f>
        <v>0</v>
      </c>
      <c r="AJ266" s="1601">
        <f ca="1">OFFSET(POrigin,MATCH(Valori[[#This Row],[LUKB_id]],PID,0),MATCH("DIVIDEND:datetime",PLabel,0)-1,1,1)</f>
        <v>0</v>
      </c>
      <c r="AK266" s="1602">
        <f ca="1">OFFSET(POrigin,MATCH(Valori[[#This Row],[LUKB_id]],PID,0),MATCH("INTEREST",PLabel,0)-1,1,1)</f>
        <v>0</v>
      </c>
      <c r="AL266" s="1603">
        <f ca="1">OFFSET(POrigin,MATCH(Valori[[#This Row],[LUKB_id]],PID,0),MATCH("4W_PERF_PR",PLabel,0)-1,1,1)/100</f>
        <v>-1.1657101865136001E-3</v>
      </c>
      <c r="AM266" s="1603">
        <f ca="1">OFFSET(POrigin,MATCH(Valori[[#This Row],[LUKB_id]],PID,0),MATCH("12W_PERF_PR",PLabel,0)-1,1,1)/100</f>
        <v>6.2881782249369993E-4</v>
      </c>
      <c r="AN266" s="1603">
        <f ca="1">OFFSET(POrigin,MATCH(Valori[[#This Row],[LUKB_id]],PID,0),MATCH("YTD_PERF_PR",PLabel,0)-1,1,1)/100</f>
        <v>-1.7951709900364439E-4</v>
      </c>
      <c r="AO266" s="1591">
        <v>0.03</v>
      </c>
      <c r="AP266" s="1591">
        <v>0</v>
      </c>
      <c r="AQ266" s="1591">
        <v>5.5999999999999999E-3</v>
      </c>
      <c r="AR266" s="1591">
        <v>0</v>
      </c>
      <c r="AS266" s="1890" t="s">
        <v>1672</v>
      </c>
      <c r="AT266" s="1890" t="s">
        <v>1673</v>
      </c>
      <c r="AU266" s="610" t="s">
        <v>1674</v>
      </c>
      <c r="AV266" s="1891" t="s">
        <v>1675</v>
      </c>
      <c r="AW266" s="1604" t="str">
        <f>"https://boersenundmaerkte.lukb.ch/lukb/details/"&amp;Valori[[#This Row],[LUKB_id]]</f>
        <v>https://boersenundmaerkte.lukb.ch/lukb/details/21348322,3233,1</v>
      </c>
      <c r="AX266" s="1605" t="str">
        <f>"https://www.zonebourse.com/mods_a/charts/TV/inc_dyna_graph.php?c="&amp;Valori[[#This Row],[MS_Code]]&amp;"&amp;style=TradingView.CANDLES&amp;interval=(null)&amp;mobile=(null)&amp;showAT=1"</f>
        <v>https://www.zonebourse.com/mods_a/charts/TV/inc_dyna_graph.php?c=41572165&amp;style=TradingView.CANDLES&amp;interval=(null)&amp;mobile=(null)&amp;showAT=1</v>
      </c>
      <c r="AY266" s="142"/>
      <c r="AZ266" s="142"/>
      <c r="BA266" s="142"/>
      <c r="BB266" s="142"/>
    </row>
    <row r="267" spans="1:54" ht="15" customHeight="1" x14ac:dyDescent="0.2">
      <c r="A267" s="142" t="s">
        <v>1676</v>
      </c>
      <c r="B267" s="142" t="str" cm="1">
        <f t="array" aca="1" ref="B267" ca="1">OFFSET(POrigin,MATCH(Valori[[#This Row],[smo_id]],Posizioni[smo_id],0),MATCH("LUKB_id",PIntestazioni,0)-1,1,1)</f>
        <v>4937198,3230,814</v>
      </c>
      <c r="C267" s="1668" t="str">
        <f ca="1">HYPERLINK("https://boersenundmaerkte.lukb.ch/lukb/details/"&amp;Valori[[#This Row],[LUKB_id]],"è")</f>
        <v>è</v>
      </c>
      <c r="D267" s="142" t="str" cm="1">
        <f t="array" aca="1" ref="D267" ca="1">OFFSET(POrigin,MATCH(Valori[[#This Row],[LUKB_id]],PID,0),MATCH("SC_GROUPED",PIntestazioni,0)-1,1,1)</f>
        <v>FON</v>
      </c>
      <c r="E267" s="413" t="str" cm="1">
        <f t="array" aca="1" ref="E267" ca="1">OFFSET(POrigin,MATCH(Valori[[#This Row],[LUKB_id]],PID,0),MATCH("isin",PIntestazioni,0)-1,1,1)</f>
        <v>LU0407233740</v>
      </c>
      <c r="F267" s="34" t="str" cm="1">
        <f t="array" aca="1" ref="F267" ca="1">OFFSET(POrigin,MATCH(Valori[[#This Row],[LUKB_id]],PID,0),MATCH("NSIN_CH",PLabel,0)-1,1,1)</f>
        <v>4937198</v>
      </c>
      <c r="G267" s="95" t="str" cm="1">
        <f t="array" aca="1" ref="G267" ca="1">IF(OFFSET(POrigin,MATCH(Valori[[#This Row],[LUKB_id]],PID,0),MATCH("INSTRUNIT",PLabel,0)-1,1,1)="Nominal","Pct","Unit")</f>
        <v>Unit</v>
      </c>
      <c r="H267" s="612">
        <f ca="1">MAX(OFFSET(POrigin,MATCH(Valori[[#This Row],[LUKB_id]],PID,0),MATCH("PRICINGAMT",PLabel,0)-1,1,1),1)</f>
        <v>1</v>
      </c>
      <c r="I267" s="615" t="str" cm="1">
        <f t="array" aca="1" ref="I267" ca="1">OFFSET(POrigin,MATCH(Valori[[#This Row],[LUKB_id]],PID,0),MATCH("M_NAME",PLabel,0)-1,1,1)</f>
        <v>Pictet SICAV - Pictet-Emerging Markets</v>
      </c>
      <c r="J267" s="142" t="s">
        <v>848</v>
      </c>
      <c r="M267" s="142" t="str" cm="1">
        <f t="array" aca="1" ref="M2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Pictet - Emerging Markets High Dividend - HP EUR</v>
      </c>
      <c r="N267" s="1563">
        <f ca="1">COUNTIF('CHF M'!smo_id,Valori[[#This Row],[smo_id]])+COUNTIF('CHF MA'!smo_id,Valori[[#This Row],[smo_id]])+COUNTIF('EUR MB'!smo_id,Valori[[#This Row],[smo_id]])+COUNTIF('EUR M'!smo_id,Valori[[#This Row],[smo_id]])+COUNTIF(AGCO!smo_id,Valori[[#This Row],[smo_id]])</f>
        <v>2</v>
      </c>
      <c r="O267" s="1590" cm="1">
        <f t="array" aca="1" ref="O267" ca="1">SUM(IF('CHF M'!smo_id=Valori[[#This Row],[smo_id]],'CHF M'!Posizione))+SUM(IF('CHF MA'!smo_id=Valori[[#This Row],[smo_id]],'CHF MA'!Posizione))+SUM(IF('EUR MB'!smo_id=Valori[[#This Row],[smo_id]],'EUR MB'!Posizione))+SUM(IF('EUR M'!smo_id=Valori[[#This Row],[smo_id]],'EUR M'!Posizione))+SUM(IF(AGCO!smo_id=Valori[[#This Row],[smo_id]],AGCO!Posizione))</f>
        <v>124.90299999999999</v>
      </c>
      <c r="P267" s="1661" t="str">
        <f ca="1">HYPERLINK(Valori[[#This Row],[P_Source]],"è")</f>
        <v>è</v>
      </c>
      <c r="Q267" s="1663" t="str">
        <f>HYPERLINK(Valori[[#This Row],[Info_W]],"i")</f>
        <v>i</v>
      </c>
      <c r="R267" s="1664" t="str">
        <f>HYPERLINK(Valori[[#This Row],[FN_W]],"")</f>
        <v></v>
      </c>
      <c r="S267" s="1665" t="str">
        <f>HYPERLINK(Valori[[#This Row],[MS_Link]],"")</f>
        <v></v>
      </c>
      <c r="T267" s="1665" t="str">
        <f>HYPERLINK(Valori[[#This Row],[C_source]],"")</f>
        <v></v>
      </c>
      <c r="U267" s="142" t="str" cm="1">
        <f t="array" aca="1" ref="U267" ca="1">OFFSET(POrigin,MATCH(Valori[[#This Row],[LUKB_id]],PID,0),MATCH("M_CUR",PLabel,0)-1,1,1)</f>
        <v>EUR</v>
      </c>
      <c r="V267" s="1562">
        <f ca="1">(Valori[[#This Row],[Last]]+Valori[[#This Row],[Acc. Int]])/Valori[[#This Row],[Pr.Amt]]/IF(Valori[[#This Row],[P_Type]]="Pct",100,1)</f>
        <v>440.58</v>
      </c>
      <c r="W267" s="1591" cm="1">
        <f t="array" aca="1" ref="W267" ca="1">OFFSET(POrigin,MATCH(Valori[[#This Row],[LUKB_id]],PID,0),MATCH("NC2_PR",PLabel,0)-1,1,1)/100</f>
        <v>-8.8411959236012836E-3</v>
      </c>
      <c r="X267" s="1592" cm="1">
        <f t="array" aca="1" ref="X267" ca="1">OFFSET(POrigin,MATCH(Valori[[#This Row],[LUKB_id]],PID,0),MATCH("LVAL",PLabel,0)-1,1,1)</f>
        <v>440.58</v>
      </c>
      <c r="Y267" s="1593" cm="1">
        <f t="array" aca="1" ref="Y267" ca="1">OFFSET(POrigin,MATCH(Valori[[#This Row],[LUKB_id]],PID,0),MATCH("LVAL:datetime",PLabel,0)-1,1,1)</f>
        <v>46083.052152777775</v>
      </c>
      <c r="Z267" s="1594" cm="1">
        <f t="array" aca="1" ref="Z267" ca="1">OFFSET(POrigin,MATCH(Valori[[#This Row],[LUKB_id]],PID,0),MATCH("BID:volume",PLabel,0)-1,1,1)</f>
        <v>0</v>
      </c>
      <c r="AA267" s="1595" cm="1">
        <f t="array" aca="1" ref="AA267" ca="1">OFFSET(POrigin,MATCH(Valori[[#This Row],[LUKB_id]],PID,0),MATCH("BID",PLabel,0)-1,1,1)</f>
        <v>0</v>
      </c>
      <c r="AB267" s="1595" cm="1">
        <f t="array" aca="1" ref="AB267" ca="1">OFFSET(POrigin,MATCH(Valori[[#This Row],[LUKB_id]],PID,0),MATCH("ASK",PLabel,0)-1,1,1)</f>
        <v>0</v>
      </c>
      <c r="AC267" s="1594" cm="1">
        <f t="array" aca="1" ref="AC267" ca="1">OFFSET(POrigin,MATCH(Valori[[#This Row],[LUKB_id]],PID,0),MATCH("ASK:volume",PLabel,0)-1,1,1)</f>
        <v>0</v>
      </c>
      <c r="AD267" s="1596" cm="1">
        <f t="array" aca="1" ref="AD267" ca="1">OFFSET(POrigin,MATCH(Valori[[#This Row],[LUKB_id]],PID,0),MATCH("BID-ASK Spread %",PLabel,0)-1,1,1)</f>
        <v>0</v>
      </c>
      <c r="AE267" s="1597" t="str" cm="1">
        <f t="array" aca="1" ref="AE267" ca="1">IF(OFFSET(POrigin,MATCH(Valori[[#This Row],[LUKB_id]],PID,0),MATCH("MATURITY",PLabel,0)-1,1,1)&gt;0,OFFSET(POrigin,MATCH(Valori[[#This Row],[LUKB_id]],PID,0),MATCH("MATURITY",PLabel,0)-1,1,1),"")</f>
        <v/>
      </c>
      <c r="AF267" s="1598" cm="1">
        <f t="array" aca="1" ref="AF267" ca="1">OFFSET(POrigin,MATCH(Valori[[#This Row],[LUKB_id]],PID,0),MATCH("ACCINT",PLabel,0)-1,1,1)</f>
        <v>0</v>
      </c>
      <c r="AG267" s="1594" cm="1">
        <f t="array" aca="1" ref="AG267" ca="1">OFFSET(POrigin,MATCH(Valori[[#This Row],[LUKB_id]],PID,0),MATCH("DENOM",PLabel,0)-1,1,1)</f>
        <v>0</v>
      </c>
      <c r="AH267" s="1599" cm="1">
        <f t="array" aca="1" ref="AH267" ca="1">(OFFSET(POrigin,MATCH(Valori[[#This Row],[LUKB_id]],PID,0),MATCH("YIELD",PLabel,0)-1,1,1)+OFFSET(POrigin,MATCH(Valori[[#This Row],[LUKB_id]],PID,0),MATCH("YLDEQ",PLabel,0)-1,1,1))/100</f>
        <v>0</v>
      </c>
      <c r="AI267" s="1600">
        <f ca="1">OFFSET(POrigin,MATCH(Valori[[#This Row],[LUKB_id]],PID,0),MATCH("DIVIDEND",PLabel,0)-1,1,1)</f>
        <v>0</v>
      </c>
      <c r="AJ267" s="1601">
        <f ca="1">OFFSET(POrigin,MATCH(Valori[[#This Row],[LUKB_id]],PID,0),MATCH("DIVIDEND:datetime",PLabel,0)-1,1,1)</f>
        <v>0</v>
      </c>
      <c r="AK267" s="1602">
        <f ca="1">OFFSET(POrigin,MATCH(Valori[[#This Row],[LUKB_id]],PID,0),MATCH("INTEREST",PLabel,0)-1,1,1)</f>
        <v>0</v>
      </c>
      <c r="AL267" s="1603">
        <f ca="1">OFFSET(POrigin,MATCH(Valori[[#This Row],[LUKB_id]],PID,0),MATCH("4W_PERF_PR",PLabel,0)-1,1,1)/100</f>
        <v>4.7055468415799204E-2</v>
      </c>
      <c r="AM267" s="1603">
        <f ca="1">OFFSET(POrigin,MATCH(Valori[[#This Row],[LUKB_id]],PID,0),MATCH("12W_PERF_PR",PLabel,0)-1,1,1)/100</f>
        <v>0.15326021516634902</v>
      </c>
      <c r="AN267" s="1603">
        <f ca="1">OFFSET(POrigin,MATCH(Valori[[#This Row],[LUKB_id]],PID,0),MATCH("YTD_PERF_PR",PLabel,0)-1,1,1)/100</f>
        <v>0.13554473053429203</v>
      </c>
      <c r="AO267" s="1591"/>
      <c r="AP267" s="1591"/>
      <c r="AQ267" s="1591"/>
      <c r="AR267" s="1591"/>
      <c r="AS267" s="1890" t="s">
        <v>1677</v>
      </c>
      <c r="AT267" s="1890" t="s">
        <v>1678</v>
      </c>
      <c r="AU267" s="610" t="s">
        <v>1679</v>
      </c>
      <c r="AV267" s="1891" t="s">
        <v>1680</v>
      </c>
      <c r="AW267" s="1604" t="str">
        <f ca="1">"https://boersenundmaerkte.lukb.ch/lukb/details/"&amp;Valori[[#This Row],[LUKB_id]]</f>
        <v>https://boersenundmaerkte.lukb.ch/lukb/details/4937198,3230,814</v>
      </c>
      <c r="AX267" s="1605" t="str">
        <f>"https://www.zonebourse.com/mods_a/charts/TV/inc_dyna_graph.php?c="&amp;Valori[[#This Row],[MS_Code]]&amp;"&amp;style=TradingView.CANDLES&amp;interval=(null)&amp;mobile=(null)&amp;showAT=1"</f>
        <v>https://www.zonebourse.com/mods_a/charts/TV/inc_dyna_graph.php?c=103241100&amp;style=TradingView.CANDLES&amp;interval=(null)&amp;mobile=(null)&amp;showAT=1</v>
      </c>
      <c r="AY267" s="142"/>
      <c r="AZ267" s="142"/>
      <c r="BA267" s="142"/>
      <c r="BB267" s="142"/>
    </row>
    <row r="268" spans="1:54" ht="15" customHeight="1" x14ac:dyDescent="0.2">
      <c r="A268" s="142" t="s">
        <v>1681</v>
      </c>
      <c r="B268" s="142" t="s">
        <v>1682</v>
      </c>
      <c r="C268" s="1668" t="str">
        <f>HYPERLINK("https://boersenundmaerkte.lukb.ch/lukb/details/"&amp;Valori[[#This Row],[LUKB_id]],"è")</f>
        <v>è</v>
      </c>
      <c r="D268" s="142" t="str" cm="1">
        <f t="array" aca="1" ref="D268" ca="1">OFFSET(POrigin,MATCH(Valori[[#This Row],[LUKB_id]],PID,0),MATCH("SC_GROUPED",PIntestazioni,0)-1,1,1)</f>
        <v>FON</v>
      </c>
      <c r="E268" s="413" t="str" cm="1">
        <f t="array" aca="1" ref="E268" ca="1">OFFSET(POrigin,MATCH(Valori[[#This Row],[LUKB_id]],PID,0),MATCH("isin",PIntestazioni,0)-1,1,1)</f>
        <v>IE00B88G6526</v>
      </c>
      <c r="F268" s="34" t="str" cm="1">
        <f t="array" aca="1" ref="F268" ca="1">OFFSET(POrigin,MATCH(Valori[[#This Row],[LUKB_id]],PID,0),MATCH("NSIN_CH",PLabel,0)-1,1,1)</f>
        <v>20031577</v>
      </c>
      <c r="G268" s="95" t="str" cm="1">
        <f t="array" aca="1" ref="G268" ca="1">IF(OFFSET(POrigin,MATCH(Valori[[#This Row],[LUKB_id]],PID,0),MATCH("INSTRUNIT",PLabel,0)-1,1,1)="Nominal","Pct","Unit")</f>
        <v>Unit</v>
      </c>
      <c r="H268" s="612">
        <f ca="1">MAX(OFFSET(POrigin,MATCH(Valori[[#This Row],[LUKB_id]],PID,0),MATCH("PRICINGAMT",PLabel,0)-1,1,1),1)</f>
        <v>1</v>
      </c>
      <c r="I268" s="615" t="str" cm="1">
        <f t="array" aca="1" ref="I268" ca="1">OFFSET(POrigin,MATCH(Valori[[#This Row],[LUKB_id]],PID,0),MATCH("M_NAME",PLabel,0)-1,1,1)</f>
        <v>PIMCO Funds Global Investors Series PLC - Global Bond Fund</v>
      </c>
      <c r="J268" s="142" t="s">
        <v>649</v>
      </c>
      <c r="M268" s="142" t="str" cm="1">
        <f t="array" aca="1" ref="M2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PIMCO Funds GIS plc - Global Bond - R EUR Hedged Accumulation</v>
      </c>
      <c r="N268" s="1563">
        <f ca="1">COUNTIF('CHF M'!smo_id,Valori[[#This Row],[smo_id]])+COUNTIF('CHF MA'!smo_id,Valori[[#This Row],[smo_id]])+COUNTIF('EUR MB'!smo_id,Valori[[#This Row],[smo_id]])+COUNTIF('EUR M'!smo_id,Valori[[#This Row],[smo_id]])+COUNTIF(AGCO!smo_id,Valori[[#This Row],[smo_id]])</f>
        <v>2</v>
      </c>
      <c r="O268" s="1590" cm="1">
        <f t="array" aca="1" ref="O268" ca="1">SUM(IF('CHF M'!smo_id=Valori[[#This Row],[smo_id]],'CHF M'!Posizione))+SUM(IF('CHF MA'!smo_id=Valori[[#This Row],[smo_id]],'CHF MA'!Posizione))+SUM(IF('EUR MB'!smo_id=Valori[[#This Row],[smo_id]],'EUR MB'!Posizione))+SUM(IF('EUR M'!smo_id=Valori[[#This Row],[smo_id]],'EUR M'!Posizione))+SUM(IF(AGCO!smo_id=Valori[[#This Row],[smo_id]],AGCO!Posizione))</f>
        <v>9615</v>
      </c>
      <c r="P268" s="1661" t="str">
        <f>HYPERLINK(Valori[[#This Row],[P_Source]],"è")</f>
        <v>è</v>
      </c>
      <c r="Q268" s="1663" t="str">
        <f>HYPERLINK(Valori[[#This Row],[Info_W]],"i")</f>
        <v>i</v>
      </c>
      <c r="R268" s="1664" t="str">
        <f>HYPERLINK(Valori[[#This Row],[FN_W]],"")</f>
        <v></v>
      </c>
      <c r="S268" s="1665" t="str">
        <f>HYPERLINK(Valori[[#This Row],[MS_Link]],"")</f>
        <v></v>
      </c>
      <c r="T268" s="1665" t="str">
        <f>HYPERLINK(Valori[[#This Row],[C_source]],"")</f>
        <v></v>
      </c>
      <c r="U268" s="142" t="str" cm="1">
        <f t="array" aca="1" ref="U268" ca="1">OFFSET(POrigin,MATCH(Valori[[#This Row],[LUKB_id]],PID,0),MATCH("M_CUR",PLabel,0)-1,1,1)</f>
        <v>EUR</v>
      </c>
      <c r="V268" s="1562">
        <f ca="1">(Valori[[#This Row],[Last]]+Valori[[#This Row],[Acc. Int]])/Valori[[#This Row],[Pr.Amt]]/IF(Valori[[#This Row],[P_Type]]="Pct",100,1)</f>
        <v>11.94</v>
      </c>
      <c r="W268" s="1591" cm="1">
        <f t="array" aca="1" ref="W268" ca="1">OFFSET(POrigin,MATCH(Valori[[#This Row],[LUKB_id]],PID,0),MATCH("NC2_PR",PLabel,0)-1,1,1)/100</f>
        <v>-5.0000000000000426E-3</v>
      </c>
      <c r="X268" s="1592" cm="1">
        <f t="array" aca="1" ref="X268" ca="1">OFFSET(POrigin,MATCH(Valori[[#This Row],[LUKB_id]],PID,0),MATCH("LVAL",PLabel,0)-1,1,1)</f>
        <v>11.94</v>
      </c>
      <c r="Y268" s="1593" cm="1">
        <f t="array" aca="1" ref="Y268" ca="1">OFFSET(POrigin,MATCH(Valori[[#This Row],[LUKB_id]],PID,0),MATCH("LVAL:datetime",PLabel,0)-1,1,1)</f>
        <v>46083.125057870369</v>
      </c>
      <c r="Z268" s="1594" cm="1">
        <f t="array" aca="1" ref="Z268" ca="1">OFFSET(POrigin,MATCH(Valori[[#This Row],[LUKB_id]],PID,0),MATCH("BID:volume",PLabel,0)-1,1,1)</f>
        <v>0</v>
      </c>
      <c r="AA268" s="1595" cm="1">
        <f t="array" aca="1" ref="AA268" ca="1">OFFSET(POrigin,MATCH(Valori[[#This Row],[LUKB_id]],PID,0),MATCH("BID",PLabel,0)-1,1,1)</f>
        <v>0</v>
      </c>
      <c r="AB268" s="1595" cm="1">
        <f t="array" aca="1" ref="AB268" ca="1">OFFSET(POrigin,MATCH(Valori[[#This Row],[LUKB_id]],PID,0),MATCH("ASK",PLabel,0)-1,1,1)</f>
        <v>0</v>
      </c>
      <c r="AC268" s="1594" cm="1">
        <f t="array" aca="1" ref="AC268" ca="1">OFFSET(POrigin,MATCH(Valori[[#This Row],[LUKB_id]],PID,0),MATCH("ASK:volume",PLabel,0)-1,1,1)</f>
        <v>0</v>
      </c>
      <c r="AD268" s="1596" cm="1">
        <f t="array" aca="1" ref="AD268" ca="1">OFFSET(POrigin,MATCH(Valori[[#This Row],[LUKB_id]],PID,0),MATCH("BID-ASK Spread %",PLabel,0)-1,1,1)</f>
        <v>0</v>
      </c>
      <c r="AE268" s="1597" t="str" cm="1">
        <f t="array" aca="1" ref="AE268" ca="1">IF(OFFSET(POrigin,MATCH(Valori[[#This Row],[LUKB_id]],PID,0),MATCH("MATURITY",PLabel,0)-1,1,1)&gt;0,OFFSET(POrigin,MATCH(Valori[[#This Row],[LUKB_id]],PID,0),MATCH("MATURITY",PLabel,0)-1,1,1),"")</f>
        <v/>
      </c>
      <c r="AF268" s="1598" cm="1">
        <f t="array" aca="1" ref="AF268" ca="1">OFFSET(POrigin,MATCH(Valori[[#This Row],[LUKB_id]],PID,0),MATCH("ACCINT",PLabel,0)-1,1,1)</f>
        <v>0</v>
      </c>
      <c r="AG268" s="1594" cm="1">
        <f t="array" aca="1" ref="AG268" ca="1">OFFSET(POrigin,MATCH(Valori[[#This Row],[LUKB_id]],PID,0),MATCH("DENOM",PLabel,0)-1,1,1)</f>
        <v>0</v>
      </c>
      <c r="AH268" s="1599" cm="1">
        <f t="array" aca="1" ref="AH268" ca="1">(OFFSET(POrigin,MATCH(Valori[[#This Row],[LUKB_id]],PID,0),MATCH("YIELD",PLabel,0)-1,1,1)+OFFSET(POrigin,MATCH(Valori[[#This Row],[LUKB_id]],PID,0),MATCH("YLDEQ",PLabel,0)-1,1,1))/100</f>
        <v>0</v>
      </c>
      <c r="AI268" s="1600">
        <f ca="1">OFFSET(POrigin,MATCH(Valori[[#This Row],[LUKB_id]],PID,0),MATCH("DIVIDEND",PLabel,0)-1,1,1)</f>
        <v>0</v>
      </c>
      <c r="AJ268" s="1601">
        <f ca="1">OFFSET(POrigin,MATCH(Valori[[#This Row],[LUKB_id]],PID,0),MATCH("DIVIDEND:datetime",PLabel,0)-1,1,1)</f>
        <v>0</v>
      </c>
      <c r="AK268" s="1602">
        <f ca="1">OFFSET(POrigin,MATCH(Valori[[#This Row],[LUKB_id]],PID,0),MATCH("INTEREST",PLabel,0)-1,1,1)</f>
        <v>0</v>
      </c>
      <c r="AL268" s="1603">
        <f ca="1">OFFSET(POrigin,MATCH(Valori[[#This Row],[LUKB_id]],PID,0),MATCH("4W_PERF_PR",PLabel,0)-1,1,1)/100</f>
        <v>6.7453625632377997E-3</v>
      </c>
      <c r="AM268" s="1603">
        <f ca="1">OFFSET(POrigin,MATCH(Valori[[#This Row],[LUKB_id]],PID,0),MATCH("12W_PERF_PR",PLabel,0)-1,1,1)/100</f>
        <v>1.44435004248089E-2</v>
      </c>
      <c r="AN268" s="1603">
        <f ca="1">OFFSET(POrigin,MATCH(Valori[[#This Row],[LUKB_id]],PID,0),MATCH("YTD_PERF_PR",PLabel,0)-1,1,1)/100</f>
        <v>8.4459459459459169E-3</v>
      </c>
      <c r="AO268" s="1591"/>
      <c r="AP268" s="1591"/>
      <c r="AQ268" s="1591"/>
      <c r="AR268" s="1591"/>
      <c r="AS268" s="1890" t="s">
        <v>1683</v>
      </c>
      <c r="AT268" s="1890" t="s">
        <v>1684</v>
      </c>
      <c r="AU268" s="610" t="s">
        <v>1685</v>
      </c>
      <c r="AV268" s="1891" t="s">
        <v>1686</v>
      </c>
      <c r="AW268" s="1604" t="str">
        <f>"https://boersenundmaerkte.lukb.ch/lukb/details/"&amp;Valori[[#This Row],[LUKB_id]]</f>
        <v>https://boersenundmaerkte.lukb.ch/lukb/details/20031577,3230,814</v>
      </c>
      <c r="AX268" s="1605" t="str">
        <f>"https://www.zonebourse.com/mods_a/charts/TV/inc_dyna_graph.php?c="&amp;Valori[[#This Row],[MS_Code]]&amp;"&amp;style=TradingView.CANDLES&amp;interval=(null)&amp;mobile=(null)&amp;showAT=1"</f>
        <v>https://www.zonebourse.com/mods_a/charts/TV/inc_dyna_graph.php?c=12635301&amp;style=TradingView.CANDLES&amp;interval=(null)&amp;mobile=(null)&amp;showAT=1</v>
      </c>
      <c r="AY268" s="142"/>
      <c r="AZ268" s="142"/>
      <c r="BA268" s="142"/>
      <c r="BB268" s="142"/>
    </row>
    <row r="269" spans="1:54" ht="15" customHeight="1" x14ac:dyDescent="0.2">
      <c r="A269" s="142" t="s">
        <v>1687</v>
      </c>
      <c r="B269" s="142" t="s">
        <v>1688</v>
      </c>
      <c r="C269" s="1668" t="str">
        <f>HYPERLINK("https://boersenundmaerkte.lukb.ch/lukb/details/"&amp;Valori[[#This Row],[LUKB_id]],"è")</f>
        <v>è</v>
      </c>
      <c r="D269" s="142" t="str" cm="1">
        <f t="array" aca="1" ref="D269" ca="1">OFFSET(POrigin,MATCH(Valori[[#This Row],[LUKB_id]],PID,0),MATCH("SC_GROUPED",PIntestazioni,0)-1,1,1)</f>
        <v>FON</v>
      </c>
      <c r="E269" s="413" t="str" cm="1">
        <f t="array" aca="1" ref="E269" ca="1">OFFSET(POrigin,MATCH(Valori[[#This Row],[LUKB_id]],PID,0),MATCH("isin",PIntestazioni,0)-1,1,1)</f>
        <v>IE00BKPWG137</v>
      </c>
      <c r="F269" s="34" t="str" cm="1">
        <f t="array" aca="1" ref="F269" ca="1">OFFSET(POrigin,MATCH(Valori[[#This Row],[LUKB_id]],PID,0),MATCH("NSIN_CH",PLabel,0)-1,1,1)</f>
        <v>49473281</v>
      </c>
      <c r="G269" s="95" t="str" cm="1">
        <f t="array" aca="1" ref="G269" ca="1">IF(OFFSET(POrigin,MATCH(Valori[[#This Row],[LUKB_id]],PID,0),MATCH("INSTRUNIT",PLabel,0)-1,1,1)="Nominal","Pct","Unit")</f>
        <v>Unit</v>
      </c>
      <c r="H269" s="612">
        <f ca="1">MAX(OFFSET(POrigin,MATCH(Valori[[#This Row],[LUKB_id]],PID,0),MATCH("PRICINGAMT",PLabel,0)-1,1,1),1)</f>
        <v>1</v>
      </c>
      <c r="I269" s="615" t="str" cm="1">
        <f t="array" aca="1" ref="I269" ca="1">OFFSET(POrigin,MATCH(Valori[[#This Row],[LUKB_id]],PID,0),MATCH("M_NAME",PLabel,0)-1,1,1)</f>
        <v>Polar Capital Funds PLC - Japan Value Fund</v>
      </c>
      <c r="J269" s="142" t="s">
        <v>1689</v>
      </c>
      <c r="M269" s="142" t="str" cm="1">
        <f t="array" aca="1" ref="M2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Polar Capital Japan Value Fund - S - CHF (Dist)</v>
      </c>
      <c r="N269" s="1563">
        <f ca="1">COUNTIF('CHF M'!smo_id,Valori[[#This Row],[smo_id]])+COUNTIF('CHF MA'!smo_id,Valori[[#This Row],[smo_id]])+COUNTIF('EUR MB'!smo_id,Valori[[#This Row],[smo_id]])+COUNTIF('EUR M'!smo_id,Valori[[#This Row],[smo_id]])+COUNTIF(AGCO!smo_id,Valori[[#This Row],[smo_id]])</f>
        <v>0</v>
      </c>
      <c r="O269" s="1590" cm="1">
        <f t="array" aca="1" ref="O269" ca="1">SUM(IF('CHF M'!smo_id=Valori[[#This Row],[smo_id]],'CHF M'!Posizione))+SUM(IF('CHF MA'!smo_id=Valori[[#This Row],[smo_id]],'CHF MA'!Posizione))+SUM(IF('EUR MB'!smo_id=Valori[[#This Row],[smo_id]],'EUR MB'!Posizione))+SUM(IF('EUR M'!smo_id=Valori[[#This Row],[smo_id]],'EUR M'!Posizione))+SUM(IF(AGCO!smo_id=Valori[[#This Row],[smo_id]],AGCO!Posizione))</f>
        <v>0</v>
      </c>
      <c r="P269" s="1661" t="str">
        <f>HYPERLINK(Valori[[#This Row],[P_Source]],"è")</f>
        <v>è</v>
      </c>
      <c r="Q269" s="1663" t="str">
        <f>HYPERLINK(Valori[[#This Row],[Info_W]],"i")</f>
        <v>i</v>
      </c>
      <c r="R269" s="1664" t="str">
        <f>HYPERLINK(Valori[[#This Row],[FN_W]],"")</f>
        <v></v>
      </c>
      <c r="S269" s="1665" t="str">
        <f>HYPERLINK(Valori[[#This Row],[MS_Link]],"")</f>
        <v></v>
      </c>
      <c r="T269" s="1665" t="str">
        <f>HYPERLINK(Valori[[#This Row],[C_source]],"")</f>
        <v></v>
      </c>
      <c r="U269" s="142" t="str" cm="1">
        <f t="array" aca="1" ref="U269" ca="1">OFFSET(POrigin,MATCH(Valori[[#This Row],[LUKB_id]],PID,0),MATCH("M_CUR",PLabel,0)-1,1,1)</f>
        <v>CHF</v>
      </c>
      <c r="V269" s="1562">
        <f ca="1">(Valori[[#This Row],[Last]]+Valori[[#This Row],[Acc. Int]])/Valori[[#This Row],[Pr.Amt]]/IF(Valori[[#This Row],[P_Type]]="Pct",100,1)</f>
        <v>25.922900000000002</v>
      </c>
      <c r="W269" s="1591" cm="1">
        <f t="array" aca="1" ref="W269" ca="1">OFFSET(POrigin,MATCH(Valori[[#This Row],[LUKB_id]],PID,0),MATCH("NC2_PR",PLabel,0)-1,1,1)/100</f>
        <v>-2.8861174901567012E-2</v>
      </c>
      <c r="X269" s="1592" cm="1">
        <f t="array" aca="1" ref="X269" ca="1">OFFSET(POrigin,MATCH(Valori[[#This Row],[LUKB_id]],PID,0),MATCH("LVAL",PLabel,0)-1,1,1)</f>
        <v>25.922900000000002</v>
      </c>
      <c r="Y269" s="1593" cm="1">
        <f t="array" aca="1" ref="Y269" ca="1">OFFSET(POrigin,MATCH(Valori[[#This Row],[LUKB_id]],PID,0),MATCH("LVAL:datetime",PLabel,0)-1,1,1)</f>
        <v>46084.76048611111</v>
      </c>
      <c r="Z269" s="1594" cm="1">
        <f t="array" aca="1" ref="Z269" ca="1">OFFSET(POrigin,MATCH(Valori[[#This Row],[LUKB_id]],PID,0),MATCH("BID:volume",PLabel,0)-1,1,1)</f>
        <v>0</v>
      </c>
      <c r="AA269" s="1595" cm="1">
        <f t="array" aca="1" ref="AA269" ca="1">OFFSET(POrigin,MATCH(Valori[[#This Row],[LUKB_id]],PID,0),MATCH("BID",PLabel,0)-1,1,1)</f>
        <v>0</v>
      </c>
      <c r="AB269" s="1595" cm="1">
        <f t="array" aca="1" ref="AB269" ca="1">OFFSET(POrigin,MATCH(Valori[[#This Row],[LUKB_id]],PID,0),MATCH("ASK",PLabel,0)-1,1,1)</f>
        <v>0</v>
      </c>
      <c r="AC269" s="1594" cm="1">
        <f t="array" aca="1" ref="AC269" ca="1">OFFSET(POrigin,MATCH(Valori[[#This Row],[LUKB_id]],PID,0),MATCH("ASK:volume",PLabel,0)-1,1,1)</f>
        <v>0</v>
      </c>
      <c r="AD269" s="1596" cm="1">
        <f t="array" aca="1" ref="AD269" ca="1">OFFSET(POrigin,MATCH(Valori[[#This Row],[LUKB_id]],PID,0),MATCH("BID-ASK Spread %",PLabel,0)-1,1,1)</f>
        <v>0</v>
      </c>
      <c r="AE269" s="1597" t="str" cm="1">
        <f t="array" aca="1" ref="AE269" ca="1">IF(OFFSET(POrigin,MATCH(Valori[[#This Row],[LUKB_id]],PID,0),MATCH("MATURITY",PLabel,0)-1,1,1)&gt;0,OFFSET(POrigin,MATCH(Valori[[#This Row],[LUKB_id]],PID,0),MATCH("MATURITY",PLabel,0)-1,1,1),"")</f>
        <v/>
      </c>
      <c r="AF269" s="1598" cm="1">
        <f t="array" aca="1" ref="AF269" ca="1">OFFSET(POrigin,MATCH(Valori[[#This Row],[LUKB_id]],PID,0),MATCH("ACCINT",PLabel,0)-1,1,1)</f>
        <v>0</v>
      </c>
      <c r="AG269" s="1594" cm="1">
        <f t="array" aca="1" ref="AG269" ca="1">OFFSET(POrigin,MATCH(Valori[[#This Row],[LUKB_id]],PID,0),MATCH("DENOM",PLabel,0)-1,1,1)</f>
        <v>0</v>
      </c>
      <c r="AH269" s="1599" cm="1">
        <f t="array" aca="1" ref="AH269" ca="1">(OFFSET(POrigin,MATCH(Valori[[#This Row],[LUKB_id]],PID,0),MATCH("YIELD",PLabel,0)-1,1,1)+OFFSET(POrigin,MATCH(Valori[[#This Row],[LUKB_id]],PID,0),MATCH("YLDEQ",PLabel,0)-1,1,1))/100</f>
        <v>0</v>
      </c>
      <c r="AI269" s="1600">
        <f ca="1">OFFSET(POrigin,MATCH(Valori[[#This Row],[LUKB_id]],PID,0),MATCH("DIVIDEND",PLabel,0)-1,1,1)</f>
        <v>0.25530000000000003</v>
      </c>
      <c r="AJ269" s="1601">
        <f ca="1">OFFSET(POrigin,MATCH(Valori[[#This Row],[LUKB_id]],PID,0),MATCH("DIVIDEND:datetime",PLabel,0)-1,1,1)</f>
        <v>45663</v>
      </c>
      <c r="AK269" s="1602">
        <f ca="1">OFFSET(POrigin,MATCH(Valori[[#This Row],[LUKB_id]],PID,0),MATCH("INTEREST",PLabel,0)-1,1,1)</f>
        <v>0</v>
      </c>
      <c r="AL269" s="1603">
        <f ca="1">OFFSET(POrigin,MATCH(Valori[[#This Row],[LUKB_id]],PID,0),MATCH("4W_PERF_PR",PLabel,0)-1,1,1)/100</f>
        <v>7.9136312551039409E-2</v>
      </c>
      <c r="AM269" s="1603">
        <f ca="1">OFFSET(POrigin,MATCH(Valori[[#This Row],[LUKB_id]],PID,0),MATCH("12W_PERF_PR",PLabel,0)-1,1,1)/100</f>
        <v>0.12356414972829902</v>
      </c>
      <c r="AN269" s="1603">
        <f ca="1">OFFSET(POrigin,MATCH(Valori[[#This Row],[LUKB_id]],PID,0),MATCH("YTD_PERF_PR",PLabel,0)-1,1,1)/100</f>
        <v>5.6813688119921851E-2</v>
      </c>
      <c r="AO269" s="1591">
        <v>0.05</v>
      </c>
      <c r="AP269" s="1591">
        <v>0</v>
      </c>
      <c r="AQ269" s="1591">
        <v>6.8999999999999999E-3</v>
      </c>
      <c r="AR269" s="1591">
        <v>0.1</v>
      </c>
      <c r="AS269" s="1890"/>
      <c r="AT269" s="1890"/>
      <c r="AU269" s="610"/>
      <c r="AV269" s="1891"/>
      <c r="AW269" s="1604" t="str">
        <f>"https://boersenundmaerkte.lukb.ch/lukb/details/"&amp;Valori[[#This Row],[LUKB_id]]</f>
        <v>https://boersenundmaerkte.lukb.ch/lukb/details/49473281,3233,1</v>
      </c>
      <c r="AX269"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9" s="142"/>
      <c r="AZ269" s="142"/>
      <c r="BA269" s="142"/>
      <c r="BB269" s="142"/>
    </row>
    <row r="270" spans="1:54" ht="15" customHeight="1" x14ac:dyDescent="0.2">
      <c r="A270" s="142" t="s">
        <v>1690</v>
      </c>
      <c r="B270" s="142" t="str" cm="1">
        <f t="array" aca="1" ref="B270" ca="1">OFFSET(POrigin,MATCH(Valori[[#This Row],[smo_id]],Posizioni[smo_id],0),MATCH("LUKB_id",PIntestazioni,0)-1,1,1)</f>
        <v>56356692,3231,333</v>
      </c>
      <c r="C270" s="1668" t="str">
        <f ca="1">HYPERLINK("https://boersenundmaerkte.lukb.ch/lukb/details/"&amp;Valori[[#This Row],[LUKB_id]],"è")</f>
        <v>è</v>
      </c>
      <c r="D270" s="142" t="str" cm="1">
        <f t="array" aca="1" ref="D270" ca="1">OFFSET(POrigin,MATCH(Valori[[#This Row],[LUKB_id]],PID,0),MATCH("SC_GROUPED",PIntestazioni,0)-1,1,1)</f>
        <v>FON</v>
      </c>
      <c r="E270" s="413" t="str" cm="1">
        <f t="array" aca="1" ref="E270" ca="1">OFFSET(POrigin,MATCH(Valori[[#This Row],[LUKB_id]],PID,0),MATCH("isin",PIntestazioni,0)-1,1,1)</f>
        <v>LU2128486979</v>
      </c>
      <c r="F270" s="34" t="str" cm="1">
        <f t="array" aca="1" ref="F270" ca="1">OFFSET(POrigin,MATCH(Valori[[#This Row],[LUKB_id]],PID,0),MATCH("NSIN_CH",PLabel,0)-1,1,1)</f>
        <v>56356692</v>
      </c>
      <c r="G270" s="95" t="str" cm="1">
        <f t="array" aca="1" ref="G270" ca="1">IF(OFFSET(POrigin,MATCH(Valori[[#This Row],[LUKB_id]],PID,0),MATCH("INSTRUNIT",PLabel,0)-1,1,1)="Nominal","Pct","Unit")</f>
        <v>Unit</v>
      </c>
      <c r="H270" s="612">
        <f ca="1">MAX(OFFSET(POrigin,MATCH(Valori[[#This Row],[LUKB_id]],PID,0),MATCH("PRICINGAMT",PLabel,0)-1,1,1),1)</f>
        <v>1</v>
      </c>
      <c r="I270" s="615" t="str" cm="1">
        <f t="array" aca="1" ref="I270" ca="1">OFFSET(POrigin,MATCH(Valori[[#This Row],[LUKB_id]],PID,0),MATCH("M_NAME",PLabel,0)-1,1,1)</f>
        <v>Redwheel Funds SICAV - Redwheel Next Generation Emerging Markets Equity Fund</v>
      </c>
      <c r="J270" s="142" t="s">
        <v>777</v>
      </c>
      <c r="M270" s="142" t="str" cm="1">
        <f t="array" aca="1" ref="M2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Redwheel Next Generation Emerging Markets Equity Fund</v>
      </c>
      <c r="N270" s="1563">
        <f ca="1">COUNTIF('CHF M'!smo_id,Valori[[#This Row],[smo_id]])+COUNTIF('CHF MA'!smo_id,Valori[[#This Row],[smo_id]])+COUNTIF('EUR MB'!smo_id,Valori[[#This Row],[smo_id]])+COUNTIF('EUR M'!smo_id,Valori[[#This Row],[smo_id]])+COUNTIF(AGCO!smo_id,Valori[[#This Row],[smo_id]])</f>
        <v>5</v>
      </c>
      <c r="O270" s="1590" cm="1">
        <f t="array" aca="1" ref="O270" ca="1">SUM(IF('CHF M'!smo_id=Valori[[#This Row],[smo_id]],'CHF M'!Posizione))+SUM(IF('CHF MA'!smo_id=Valori[[#This Row],[smo_id]],'CHF MA'!Posizione))+SUM(IF('EUR MB'!smo_id=Valori[[#This Row],[smo_id]],'EUR MB'!Posizione))+SUM(IF('EUR M'!smo_id=Valori[[#This Row],[smo_id]],'EUR M'!Posizione))+SUM(IF(AGCO!smo_id=Valori[[#This Row],[smo_id]],AGCO!Posizione))</f>
        <v>0</v>
      </c>
      <c r="P270" s="1661" t="str">
        <f ca="1">HYPERLINK(Valori[[#This Row],[P_Source]],"è")</f>
        <v>è</v>
      </c>
      <c r="Q270" s="1663" t="str">
        <f>HYPERLINK(Valori[[#This Row],[Info_W]],"i")</f>
        <v>i</v>
      </c>
      <c r="R270" s="1664" t="str">
        <f>HYPERLINK(Valori[[#This Row],[FN_W]],"")</f>
        <v></v>
      </c>
      <c r="S270" s="1665" t="str">
        <f>HYPERLINK(Valori[[#This Row],[MS_Link]],"")</f>
        <v></v>
      </c>
      <c r="T270" s="1665" t="str">
        <f>HYPERLINK(Valori[[#This Row],[C_source]],"")</f>
        <v></v>
      </c>
      <c r="U270" s="142" t="str" cm="1">
        <f t="array" aca="1" ref="U270" ca="1">OFFSET(POrigin,MATCH(Valori[[#This Row],[LUKB_id]],PID,0),MATCH("M_CUR",PLabel,0)-1,1,1)</f>
        <v>USD</v>
      </c>
      <c r="V270" s="1562">
        <f ca="1">(Valori[[#This Row],[Last]]+Valori[[#This Row],[Acc. Int]])/Valori[[#This Row],[Pr.Amt]]/IF(Valori[[#This Row],[P_Type]]="Pct",100,1)</f>
        <v>408.06130000000002</v>
      </c>
      <c r="W270" s="1591" cm="1">
        <f t="array" aca="1" ref="W270" ca="1">OFFSET(POrigin,MATCH(Valori[[#This Row],[LUKB_id]],PID,0),MATCH("NC2_PR",PLabel,0)-1,1,1)/100</f>
        <v>-3.1762667529723752E-2</v>
      </c>
      <c r="X270" s="1592" cm="1">
        <f t="array" aca="1" ref="X270" ca="1">OFFSET(POrigin,MATCH(Valori[[#This Row],[LUKB_id]],PID,0),MATCH("LVAL",PLabel,0)-1,1,1)</f>
        <v>408.06130000000002</v>
      </c>
      <c r="Y270" s="1593" cm="1">
        <f t="array" aca="1" ref="Y270" ca="1">OFFSET(POrigin,MATCH(Valori[[#This Row],[LUKB_id]],PID,0),MATCH("LVAL:datetime",PLabel,0)-1,1,1)</f>
        <v>46083.76048611111</v>
      </c>
      <c r="Z270" s="1594" cm="1">
        <f t="array" aca="1" ref="Z270" ca="1">OFFSET(POrigin,MATCH(Valori[[#This Row],[LUKB_id]],PID,0),MATCH("BID:volume",PLabel,0)-1,1,1)</f>
        <v>0</v>
      </c>
      <c r="AA270" s="1595" cm="1">
        <f t="array" aca="1" ref="AA270" ca="1">OFFSET(POrigin,MATCH(Valori[[#This Row],[LUKB_id]],PID,0),MATCH("BID",PLabel,0)-1,1,1)</f>
        <v>0</v>
      </c>
      <c r="AB270" s="1595" cm="1">
        <f t="array" aca="1" ref="AB270" ca="1">OFFSET(POrigin,MATCH(Valori[[#This Row],[LUKB_id]],PID,0),MATCH("ASK",PLabel,0)-1,1,1)</f>
        <v>0</v>
      </c>
      <c r="AC270" s="1594" cm="1">
        <f t="array" aca="1" ref="AC270" ca="1">OFFSET(POrigin,MATCH(Valori[[#This Row],[LUKB_id]],PID,0),MATCH("ASK:volume",PLabel,0)-1,1,1)</f>
        <v>0</v>
      </c>
      <c r="AD270" s="1596" cm="1">
        <f t="array" aca="1" ref="AD270" ca="1">OFFSET(POrigin,MATCH(Valori[[#This Row],[LUKB_id]],PID,0),MATCH("BID-ASK Spread %",PLabel,0)-1,1,1)</f>
        <v>0</v>
      </c>
      <c r="AE270" s="1597" t="str" cm="1">
        <f t="array" aca="1" ref="AE270" ca="1">IF(OFFSET(POrigin,MATCH(Valori[[#This Row],[LUKB_id]],PID,0),MATCH("MATURITY",PLabel,0)-1,1,1)&gt;0,OFFSET(POrigin,MATCH(Valori[[#This Row],[LUKB_id]],PID,0),MATCH("MATURITY",PLabel,0)-1,1,1),"")</f>
        <v/>
      </c>
      <c r="AF270" s="1598" cm="1">
        <f t="array" aca="1" ref="AF270" ca="1">OFFSET(POrigin,MATCH(Valori[[#This Row],[LUKB_id]],PID,0),MATCH("ACCINT",PLabel,0)-1,1,1)</f>
        <v>0</v>
      </c>
      <c r="AG270" s="1594" cm="1">
        <f t="array" aca="1" ref="AG270" ca="1">OFFSET(POrigin,MATCH(Valori[[#This Row],[LUKB_id]],PID,0),MATCH("DENOM",PLabel,0)-1,1,1)</f>
        <v>0</v>
      </c>
      <c r="AH270" s="1599" cm="1">
        <f t="array" aca="1" ref="AH270" ca="1">(OFFSET(POrigin,MATCH(Valori[[#This Row],[LUKB_id]],PID,0),MATCH("YIELD",PLabel,0)-1,1,1)+OFFSET(POrigin,MATCH(Valori[[#This Row],[LUKB_id]],PID,0),MATCH("YLDEQ",PLabel,0)-1,1,1))/100</f>
        <v>0</v>
      </c>
      <c r="AI270" s="1600">
        <f ca="1">OFFSET(POrigin,MATCH(Valori[[#This Row],[LUKB_id]],PID,0),MATCH("DIVIDEND",PLabel,0)-1,1,1)</f>
        <v>0</v>
      </c>
      <c r="AJ270" s="1601">
        <f ca="1">OFFSET(POrigin,MATCH(Valori[[#This Row],[LUKB_id]],PID,0),MATCH("DIVIDEND:datetime",PLabel,0)-1,1,1)</f>
        <v>0</v>
      </c>
      <c r="AK270" s="1602">
        <f ca="1">OFFSET(POrigin,MATCH(Valori[[#This Row],[LUKB_id]],PID,0),MATCH("INTEREST",PLabel,0)-1,1,1)</f>
        <v>0</v>
      </c>
      <c r="AL270" s="1603">
        <f ca="1">OFFSET(POrigin,MATCH(Valori[[#This Row],[LUKB_id]],PID,0),MATCH("4W_PERF_PR",PLabel,0)-1,1,1)/100</f>
        <v>2.4487519791089999E-3</v>
      </c>
      <c r="AM270" s="1603">
        <f ca="1">OFFSET(POrigin,MATCH(Valori[[#This Row],[LUKB_id]],PID,0),MATCH("12W_PERF_PR",PLabel,0)-1,1,1)/100</f>
        <v>0.13813391927268601</v>
      </c>
      <c r="AN270" s="1603">
        <f ca="1">OFFSET(POrigin,MATCH(Valori[[#This Row],[LUKB_id]],PID,0),MATCH("YTD_PERF_PR",PLabel,0)-1,1,1)/100</f>
        <v>9.0977898717919281E-2</v>
      </c>
      <c r="AO270" s="1591">
        <v>5.7500000000000002E-2</v>
      </c>
      <c r="AP270" s="1591">
        <v>0</v>
      </c>
      <c r="AQ270" s="1591">
        <v>2.5399999999999999E-2</v>
      </c>
      <c r="AR270" s="1591">
        <v>0</v>
      </c>
      <c r="AS270" s="1890" t="s">
        <v>1691</v>
      </c>
      <c r="AT270" s="1890"/>
      <c r="AU270" s="610"/>
      <c r="AV270" s="1891" t="s">
        <v>1691</v>
      </c>
      <c r="AW270" s="1604" t="str">
        <f ca="1">"https://boersenundmaerkte.lukb.ch/lukb/details/"&amp;Valori[[#This Row],[LUKB_id]]</f>
        <v>https://boersenundmaerkte.lukb.ch/lukb/details/56356692,3231,333</v>
      </c>
      <c r="AX27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0" s="142"/>
      <c r="AZ270" s="142"/>
      <c r="BA270" s="142"/>
      <c r="BB270" s="142"/>
    </row>
    <row r="271" spans="1:54" ht="15" customHeight="1" x14ac:dyDescent="0.2">
      <c r="A271" s="142" t="s">
        <v>1692</v>
      </c>
      <c r="B271" s="142" t="s">
        <v>1693</v>
      </c>
      <c r="C271" s="1668" t="str">
        <f>HYPERLINK("https://boersenundmaerkte.lukb.ch/lukb/details/"&amp;Valori[[#This Row],[LUKB_id]],"è")</f>
        <v>è</v>
      </c>
      <c r="D271" s="142" t="str" cm="1">
        <f t="array" aca="1" ref="D271" ca="1">OFFSET(POrigin,MATCH(Valori[[#This Row],[LUKB_id]],PID,0),MATCH("SC_GROUPED",PIntestazioni,0)-1,1,1)</f>
        <v>FON</v>
      </c>
      <c r="E271" s="413" t="str" cm="1">
        <f t="array" aca="1" ref="E271" ca="1">OFFSET(POrigin,MATCH(Valori[[#This Row],[LUKB_id]],PID,0),MATCH("isin",PIntestazioni,0)-1,1,1)</f>
        <v>LU0821169405</v>
      </c>
      <c r="F271" s="34" t="str" cm="1">
        <f t="array" aca="1" ref="F271" ca="1">OFFSET(POrigin,MATCH(Valori[[#This Row],[LUKB_id]],PID,0),MATCH("NSIN_CH",PLabel,0)-1,1,1)</f>
        <v>19336939</v>
      </c>
      <c r="G271" s="95" t="str" cm="1">
        <f t="array" aca="1" ref="G271" ca="1">IF(OFFSET(POrigin,MATCH(Valori[[#This Row],[LUKB_id]],PID,0),MATCH("INSTRUNIT",PLabel,0)-1,1,1)="Nominal","Pct","Unit")</f>
        <v>Unit</v>
      </c>
      <c r="H271" s="612">
        <f ca="1">MAX(OFFSET(POrigin,MATCH(Valori[[#This Row],[LUKB_id]],PID,0),MATCH("PRICINGAMT",PLabel,0)-1,1,1),1)</f>
        <v>1</v>
      </c>
      <c r="I271" s="615" t="str" cm="1">
        <f t="array" aca="1" ref="I271" ca="1">OFFSET(POrigin,MATCH(Valori[[#This Row],[LUKB_id]],PID,0),MATCH("M_NAME",PLabel,0)-1,1,1)</f>
        <v>Robeco Capital Growth Funds SICAV - Robeco High Yield Bonds</v>
      </c>
      <c r="J271" s="142" t="s">
        <v>817</v>
      </c>
      <c r="M271" s="142" t="str" cm="1">
        <f t="array" aca="1" ref="M2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CGF - High Yield Bonds - IH CHF Hedged (Acc)</v>
      </c>
      <c r="N271" s="1563">
        <f ca="1">COUNTIF('CHF M'!smo_id,Valori[[#This Row],[smo_id]])+COUNTIF('CHF MA'!smo_id,Valori[[#This Row],[smo_id]])+COUNTIF('EUR MB'!smo_id,Valori[[#This Row],[smo_id]])+COUNTIF('EUR M'!smo_id,Valori[[#This Row],[smo_id]])+COUNTIF(AGCO!smo_id,Valori[[#This Row],[smo_id]])</f>
        <v>1</v>
      </c>
      <c r="O271" s="1590" cm="1">
        <f t="array" aca="1" ref="O271" ca="1">SUM(IF('CHF M'!smo_id=Valori[[#This Row],[smo_id]],'CHF M'!Posizione))+SUM(IF('CHF MA'!smo_id=Valori[[#This Row],[smo_id]],'CHF MA'!Posizione))+SUM(IF('EUR MB'!smo_id=Valori[[#This Row],[smo_id]],'EUR MB'!Posizione))+SUM(IF('EUR M'!smo_id=Valori[[#This Row],[smo_id]],'EUR M'!Posizione))+SUM(IF(AGCO!smo_id=Valori[[#This Row],[smo_id]],AGCO!Posizione))</f>
        <v>0</v>
      </c>
      <c r="P271" s="1661" t="str">
        <f>HYPERLINK(Valori[[#This Row],[P_Source]],"è")</f>
        <v>è</v>
      </c>
      <c r="Q271" s="1663" t="str">
        <f>HYPERLINK(Valori[[#This Row],[Info_W]],"i")</f>
        <v>i</v>
      </c>
      <c r="R271" s="1664" t="str">
        <f>HYPERLINK(Valori[[#This Row],[FN_W]],"")</f>
        <v></v>
      </c>
      <c r="S271" s="1665" t="str">
        <f>HYPERLINK(Valori[[#This Row],[MS_Link]],"")</f>
        <v></v>
      </c>
      <c r="T271" s="1665" t="str">
        <f>HYPERLINK(Valori[[#This Row],[C_source]],"")</f>
        <v></v>
      </c>
      <c r="U271" s="142" t="str" cm="1">
        <f t="array" aca="1" ref="U271" ca="1">OFFSET(POrigin,MATCH(Valori[[#This Row],[LUKB_id]],PID,0),MATCH("M_CUR",PLabel,0)-1,1,1)</f>
        <v>CHF</v>
      </c>
      <c r="V271" s="1562">
        <f ca="1">(Valori[[#This Row],[Last]]+Valori[[#This Row],[Acc. Int]])/Valori[[#This Row],[Pr.Amt]]/IF(Valori[[#This Row],[P_Type]]="Pct",100,1)</f>
        <v>154.46</v>
      </c>
      <c r="W271" s="1591" cm="1">
        <f t="array" aca="1" ref="W271" ca="1">OFFSET(POrigin,MATCH(Valori[[#This Row],[LUKB_id]],PID,0),MATCH("NC2_PR",PLabel,0)-1,1,1)/100</f>
        <v>-1.7449751179472747E-3</v>
      </c>
      <c r="X271" s="1592" cm="1">
        <f t="array" aca="1" ref="X271" ca="1">OFFSET(POrigin,MATCH(Valori[[#This Row],[LUKB_id]],PID,0),MATCH("LVAL",PLabel,0)-1,1,1)</f>
        <v>154.46</v>
      </c>
      <c r="Y271" s="1593" cm="1">
        <f t="array" aca="1" ref="Y271" ca="1">OFFSET(POrigin,MATCH(Valori[[#This Row],[LUKB_id]],PID,0),MATCH("LVAL:datetime",PLabel,0)-1,1,1)</f>
        <v>46083.531458333331</v>
      </c>
      <c r="Z271" s="1594" cm="1">
        <f t="array" aca="1" ref="Z271" ca="1">OFFSET(POrigin,MATCH(Valori[[#This Row],[LUKB_id]],PID,0),MATCH("BID:volume",PLabel,0)-1,1,1)</f>
        <v>0</v>
      </c>
      <c r="AA271" s="1595" cm="1">
        <f t="array" aca="1" ref="AA271" ca="1">OFFSET(POrigin,MATCH(Valori[[#This Row],[LUKB_id]],PID,0),MATCH("BID",PLabel,0)-1,1,1)</f>
        <v>0</v>
      </c>
      <c r="AB271" s="1595" cm="1">
        <f t="array" aca="1" ref="AB271" ca="1">OFFSET(POrigin,MATCH(Valori[[#This Row],[LUKB_id]],PID,0),MATCH("ASK",PLabel,0)-1,1,1)</f>
        <v>0</v>
      </c>
      <c r="AC271" s="1594" cm="1">
        <f t="array" aca="1" ref="AC271" ca="1">OFFSET(POrigin,MATCH(Valori[[#This Row],[LUKB_id]],PID,0),MATCH("ASK:volume",PLabel,0)-1,1,1)</f>
        <v>0</v>
      </c>
      <c r="AD271" s="1596" cm="1">
        <f t="array" aca="1" ref="AD271" ca="1">OFFSET(POrigin,MATCH(Valori[[#This Row],[LUKB_id]],PID,0),MATCH("BID-ASK Spread %",PLabel,0)-1,1,1)</f>
        <v>0</v>
      </c>
      <c r="AE271" s="1597" t="str" cm="1">
        <f t="array" aca="1" ref="AE271" ca="1">IF(OFFSET(POrigin,MATCH(Valori[[#This Row],[LUKB_id]],PID,0),MATCH("MATURITY",PLabel,0)-1,1,1)&gt;0,OFFSET(POrigin,MATCH(Valori[[#This Row],[LUKB_id]],PID,0),MATCH("MATURITY",PLabel,0)-1,1,1),"")</f>
        <v/>
      </c>
      <c r="AF271" s="1598" cm="1">
        <f t="array" aca="1" ref="AF271" ca="1">OFFSET(POrigin,MATCH(Valori[[#This Row],[LUKB_id]],PID,0),MATCH("ACCINT",PLabel,0)-1,1,1)</f>
        <v>0</v>
      </c>
      <c r="AG271" s="1594" cm="1">
        <f t="array" aca="1" ref="AG271" ca="1">OFFSET(POrigin,MATCH(Valori[[#This Row],[LUKB_id]],PID,0),MATCH("DENOM",PLabel,0)-1,1,1)</f>
        <v>0</v>
      </c>
      <c r="AH271" s="1599" cm="1">
        <f t="array" aca="1" ref="AH271" ca="1">(OFFSET(POrigin,MATCH(Valori[[#This Row],[LUKB_id]],PID,0),MATCH("YIELD",PLabel,0)-1,1,1)+OFFSET(POrigin,MATCH(Valori[[#This Row],[LUKB_id]],PID,0),MATCH("YLDEQ",PLabel,0)-1,1,1))/100</f>
        <v>0</v>
      </c>
      <c r="AI271" s="1600">
        <f ca="1">OFFSET(POrigin,MATCH(Valori[[#This Row],[LUKB_id]],PID,0),MATCH("DIVIDEND",PLabel,0)-1,1,1)</f>
        <v>0</v>
      </c>
      <c r="AJ271" s="1601">
        <f ca="1">OFFSET(POrigin,MATCH(Valori[[#This Row],[LUKB_id]],PID,0),MATCH("DIVIDEND:datetime",PLabel,0)-1,1,1)</f>
        <v>0</v>
      </c>
      <c r="AK271" s="1602">
        <f ca="1">OFFSET(POrigin,MATCH(Valori[[#This Row],[LUKB_id]],PID,0),MATCH("INTEREST",PLabel,0)-1,1,1)</f>
        <v>0</v>
      </c>
      <c r="AL271" s="1603">
        <f ca="1">OFFSET(POrigin,MATCH(Valori[[#This Row],[LUKB_id]],PID,0),MATCH("4W_PERF_PR",PLabel,0)-1,1,1)/100</f>
        <v>5.8301483448859994E-4</v>
      </c>
      <c r="AM271" s="1603">
        <f ca="1">OFFSET(POrigin,MATCH(Valori[[#This Row],[LUKB_id]],PID,0),MATCH("12W_PERF_PR",PLabel,0)-1,1,1)/100</f>
        <v>6.1229807191246002E-3</v>
      </c>
      <c r="AN271" s="1603">
        <f ca="1">OFFSET(POrigin,MATCH(Valori[[#This Row],[LUKB_id]],PID,0),MATCH("YTD_PERF_PR",PLabel,0)-1,1,1)/100</f>
        <v>3.7691707824279476E-3</v>
      </c>
      <c r="AO271" s="1591"/>
      <c r="AP271" s="1591"/>
      <c r="AQ271" s="1591"/>
      <c r="AR271" s="1591"/>
      <c r="AS271" s="1890" t="s">
        <v>1694</v>
      </c>
      <c r="AT271" s="1890" t="s">
        <v>877</v>
      </c>
      <c r="AU271" s="610"/>
      <c r="AV271" s="1891" t="s">
        <v>1695</v>
      </c>
      <c r="AW271" s="1604" t="str">
        <f>"https://boersenundmaerkte.lukb.ch/lukb/details/"&amp;Valori[[#This Row],[LUKB_id]]</f>
        <v>https://boersenundmaerkte.lukb.ch/lukb/details/19336939,3233,1</v>
      </c>
      <c r="AX27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1" s="142"/>
      <c r="AZ271" s="142"/>
      <c r="BA271" s="142"/>
      <c r="BB271" s="142"/>
    </row>
    <row r="272" spans="1:54" ht="15" customHeight="1" x14ac:dyDescent="0.2">
      <c r="A272" s="142" t="s">
        <v>1696</v>
      </c>
      <c r="B272" s="142" t="str" cm="1">
        <f t="array" aca="1" ref="B272" ca="1">OFFSET(POrigin,MATCH(Valori[[#This Row],[smo_id]],Posizioni[smo_id],0),MATCH("LUKB_id",PIntestazioni,0)-1,1,1)</f>
        <v>137100293,430,1</v>
      </c>
      <c r="C272" s="1668" t="str">
        <f ca="1">HYPERLINK("https://boersenundmaerkte.lukb.ch/lukb/details/"&amp;Valori[[#This Row],[LUKB_id]],"è")</f>
        <v>è</v>
      </c>
      <c r="D272" s="142" t="str" cm="1">
        <f t="array" aca="1" ref="D272" ca="1">OFFSET(POrigin,MATCH(Valori[[#This Row],[LUKB_id]],PID,0),MATCH("SC_GROUPED",PIntestazioni,0)-1,1,1)</f>
        <v>FON</v>
      </c>
      <c r="E272" s="413" t="str" cm="1">
        <f t="array" aca="1" ref="E272" ca="1">OFFSET(POrigin,MATCH(Valori[[#This Row],[LUKB_id]],PID,0),MATCH("isin",PIntestazioni,0)-1,1,1)</f>
        <v>LU2819789186</v>
      </c>
      <c r="F272" s="34" t="str" cm="1">
        <f t="array" aca="1" ref="F272" ca="1">OFFSET(POrigin,MATCH(Valori[[#This Row],[LUKB_id]],PID,0),MATCH("NSIN_CH",PLabel,0)-1,1,1)</f>
        <v>137100293</v>
      </c>
      <c r="G272" s="95" t="str" cm="1">
        <f t="array" aca="1" ref="G272" ca="1">IF(OFFSET(POrigin,MATCH(Valori[[#This Row],[LUKB_id]],PID,0),MATCH("INSTRUNIT",PLabel,0)-1,1,1)="Nominal","Pct","Unit")</f>
        <v>Unit</v>
      </c>
      <c r="H272" s="612">
        <f ca="1">MAX(OFFSET(POrigin,MATCH(Valori[[#This Row],[LUKB_id]],PID,0),MATCH("PRICINGAMT",PLabel,0)-1,1,1),1)</f>
        <v>1</v>
      </c>
      <c r="I272" s="615" t="str" cm="1">
        <f t="array" aca="1" ref="I272" ca="1">OFFSET(POrigin,MATCH(Valori[[#This Row],[LUKB_id]],PID,0),MATCH("M_NAME",PLabel,0)-1,1,1)</f>
        <v>Robeco Capital Growth Funds SICAV - Robeco QI Global Dynamic Duration</v>
      </c>
      <c r="J272" s="142" t="s">
        <v>1697</v>
      </c>
      <c r="M272" s="142" t="str" cm="1">
        <f t="array" aca="1" ref="M2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CHF Hedged</v>
      </c>
      <c r="N272" s="1563">
        <f ca="1">COUNTIF('CHF M'!smo_id,Valori[[#This Row],[smo_id]])+COUNTIF('CHF MA'!smo_id,Valori[[#This Row],[smo_id]])+COUNTIF('EUR MB'!smo_id,Valori[[#This Row],[smo_id]])+COUNTIF('EUR M'!smo_id,Valori[[#This Row],[smo_id]])+COUNTIF(AGCO!smo_id,Valori[[#This Row],[smo_id]])</f>
        <v>0</v>
      </c>
      <c r="O272" s="1590" cm="1">
        <f t="array" aca="1" ref="O272" ca="1">SUM(IF('CHF M'!smo_id=Valori[[#This Row],[smo_id]],'CHF M'!Posizione))+SUM(IF('CHF MA'!smo_id=Valori[[#This Row],[smo_id]],'CHF MA'!Posizione))+SUM(IF('EUR MB'!smo_id=Valori[[#This Row],[smo_id]],'EUR MB'!Posizione))+SUM(IF('EUR M'!smo_id=Valori[[#This Row],[smo_id]],'EUR M'!Posizione))+SUM(IF(AGCO!smo_id=Valori[[#This Row],[smo_id]],AGCO!Posizione))</f>
        <v>0</v>
      </c>
      <c r="P272" s="1661" t="str">
        <f ca="1">HYPERLINK(Valori[[#This Row],[P_Source]],"è")</f>
        <v>è</v>
      </c>
      <c r="Q272" s="1663" t="str">
        <f>HYPERLINK(Valori[[#This Row],[Info_W]],"i")</f>
        <v>i</v>
      </c>
      <c r="R272" s="1664" t="str">
        <f>HYPERLINK(Valori[[#This Row],[FN_W]],"")</f>
        <v></v>
      </c>
      <c r="S272" s="1665" t="str">
        <f>HYPERLINK(Valori[[#This Row],[MS_Link]],"")</f>
        <v></v>
      </c>
      <c r="T272" s="1665" t="str">
        <f>HYPERLINK(Valori[[#This Row],[C_source]],"")</f>
        <v></v>
      </c>
      <c r="U272" s="142" t="str" cm="1">
        <f t="array" aca="1" ref="U272" ca="1">OFFSET(POrigin,MATCH(Valori[[#This Row],[LUKB_id]],PID,0),MATCH("M_CUR",PLabel,0)-1,1,1)</f>
        <v>CHF</v>
      </c>
      <c r="V272" s="1562">
        <f ca="1">(Valori[[#This Row],[Last]]+Valori[[#This Row],[Acc. Int]])/Valori[[#This Row],[Pr.Amt]]/IF(Valori[[#This Row],[P_Type]]="Pct",100,1)</f>
        <v>92.960000000000008</v>
      </c>
      <c r="W272" s="1591" cm="1">
        <f t="array" aca="1" ref="W272" ca="1">OFFSET(POrigin,MATCH(Valori[[#This Row],[LUKB_id]],PID,0),MATCH("NC2_PR",PLabel,0)-1,1,1)/100</f>
        <v>-2.4680759738168233E-3</v>
      </c>
      <c r="X272" s="1592" cm="1">
        <f t="array" aca="1" ref="X272" ca="1">OFFSET(POrigin,MATCH(Valori[[#This Row],[LUKB_id]],PID,0),MATCH("LVAL",PLabel,0)-1,1,1)</f>
        <v>92.960000000000008</v>
      </c>
      <c r="Y272" s="1593" cm="1">
        <f t="array" aca="1" ref="Y272" ca="1">OFFSET(POrigin,MATCH(Valori[[#This Row],[LUKB_id]],PID,0),MATCH("LVAL:datetime",PLabel,0)-1,1,1)</f>
        <v>46083.461701388886</v>
      </c>
      <c r="Z272" s="1594" cm="1">
        <f t="array" aca="1" ref="Z272" ca="1">OFFSET(POrigin,MATCH(Valori[[#This Row],[LUKB_id]],PID,0),MATCH("BID:volume",PLabel,0)-1,1,1)</f>
        <v>0</v>
      </c>
      <c r="AA272" s="1595" cm="1">
        <f t="array" aca="1" ref="AA272" ca="1">OFFSET(POrigin,MATCH(Valori[[#This Row],[LUKB_id]],PID,0),MATCH("BID",PLabel,0)-1,1,1)</f>
        <v>0</v>
      </c>
      <c r="AB272" s="1595" cm="1">
        <f t="array" aca="1" ref="AB272" ca="1">OFFSET(POrigin,MATCH(Valori[[#This Row],[LUKB_id]],PID,0),MATCH("ASK",PLabel,0)-1,1,1)</f>
        <v>0</v>
      </c>
      <c r="AC272" s="1594" cm="1">
        <f t="array" aca="1" ref="AC272" ca="1">OFFSET(POrigin,MATCH(Valori[[#This Row],[LUKB_id]],PID,0),MATCH("ASK:volume",PLabel,0)-1,1,1)</f>
        <v>0</v>
      </c>
      <c r="AD272" s="1596" cm="1">
        <f t="array" aca="1" ref="AD272" ca="1">OFFSET(POrigin,MATCH(Valori[[#This Row],[LUKB_id]],PID,0),MATCH("BID-ASK Spread %",PLabel,0)-1,1,1)</f>
        <v>0</v>
      </c>
      <c r="AE272" s="1597" t="str" cm="1">
        <f t="array" aca="1" ref="AE272" ca="1">IF(OFFSET(POrigin,MATCH(Valori[[#This Row],[LUKB_id]],PID,0),MATCH("MATURITY",PLabel,0)-1,1,1)&gt;0,OFFSET(POrigin,MATCH(Valori[[#This Row],[LUKB_id]],PID,0),MATCH("MATURITY",PLabel,0)-1,1,1),"")</f>
        <v/>
      </c>
      <c r="AF272" s="1598" cm="1">
        <f t="array" aca="1" ref="AF272" ca="1">OFFSET(POrigin,MATCH(Valori[[#This Row],[LUKB_id]],PID,0),MATCH("ACCINT",PLabel,0)-1,1,1)</f>
        <v>0</v>
      </c>
      <c r="AG272" s="1594" cm="1">
        <f t="array" aca="1" ref="AG272" ca="1">OFFSET(POrigin,MATCH(Valori[[#This Row],[LUKB_id]],PID,0),MATCH("DENOM",PLabel,0)-1,1,1)</f>
        <v>0</v>
      </c>
      <c r="AH272" s="1599" cm="1">
        <f t="array" aca="1" ref="AH272" ca="1">(OFFSET(POrigin,MATCH(Valori[[#This Row],[LUKB_id]],PID,0),MATCH("YIELD",PLabel,0)-1,1,1)+OFFSET(POrigin,MATCH(Valori[[#This Row],[LUKB_id]],PID,0),MATCH("YLDEQ",PLabel,0)-1,1,1))/100</f>
        <v>0</v>
      </c>
      <c r="AI272" s="1600">
        <f ca="1">OFFSET(POrigin,MATCH(Valori[[#This Row],[LUKB_id]],PID,0),MATCH("DIVIDEND",PLabel,0)-1,1,1)</f>
        <v>0</v>
      </c>
      <c r="AJ272" s="1601">
        <f ca="1">OFFSET(POrigin,MATCH(Valori[[#This Row],[LUKB_id]],PID,0),MATCH("DIVIDEND:datetime",PLabel,0)-1,1,1)</f>
        <v>0</v>
      </c>
      <c r="AK272" s="1602">
        <f ca="1">OFFSET(POrigin,MATCH(Valori[[#This Row],[LUKB_id]],PID,0),MATCH("INTEREST",PLabel,0)-1,1,1)</f>
        <v>0</v>
      </c>
      <c r="AL272" s="1603">
        <f ca="1">OFFSET(POrigin,MATCH(Valori[[#This Row],[LUKB_id]],PID,0),MATCH("4W_PERF_PR",PLabel,0)-1,1,1)/100</f>
        <v>4.6471414676321999E-3</v>
      </c>
      <c r="AM272" s="1603">
        <f ca="1">OFFSET(POrigin,MATCH(Valori[[#This Row],[LUKB_id]],PID,0),MATCH("12W_PERF_PR",PLabel,0)-1,1,1)/100</f>
        <v>2.8047464940670003E-3</v>
      </c>
      <c r="AN272" s="1603">
        <f ca="1">OFFSET(POrigin,MATCH(Valori[[#This Row],[LUKB_id]],PID,0),MATCH("YTD_PERF_PR",PLabel,0)-1,1,1)/100</f>
        <v>3.2376429958991082E-3</v>
      </c>
      <c r="AO272" s="1591"/>
      <c r="AP272" s="1591"/>
      <c r="AQ272" s="1591"/>
      <c r="AR272" s="1591"/>
      <c r="AS272" s="1890"/>
      <c r="AT272" s="1890"/>
      <c r="AU272" s="610"/>
      <c r="AV272" s="1891"/>
      <c r="AW272" s="1604" t="str">
        <f ca="1">"https://boersenundmaerkte.lukb.ch/lukb/details/"&amp;Valori[[#This Row],[LUKB_id]]</f>
        <v>https://boersenundmaerkte.lukb.ch/lukb/details/137100293,430,1</v>
      </c>
      <c r="AX272"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2" s="142"/>
      <c r="AZ272" s="142"/>
      <c r="BA272" s="142"/>
      <c r="BB272" s="142"/>
    </row>
    <row r="273" spans="1:54" ht="15" customHeight="1" x14ac:dyDescent="0.2">
      <c r="A273" s="142" t="s">
        <v>1698</v>
      </c>
      <c r="B273" s="142" t="str" cm="1">
        <f t="array" aca="1" ref="B273" ca="1">OFFSET(POrigin,MATCH(Valori[[#This Row],[smo_id]],Posizioni[smo_id],0),MATCH("LUKB_id",PIntestazioni,0)-1,1,1)</f>
        <v>137100271,430,814</v>
      </c>
      <c r="C273" s="1668" t="str">
        <f ca="1">HYPERLINK("https://boersenundmaerkte.lukb.ch/lukb/details/"&amp;Valori[[#This Row],[LUKB_id]],"è")</f>
        <v>è</v>
      </c>
      <c r="D273" s="142" t="str" cm="1">
        <f t="array" aca="1" ref="D273" ca="1">OFFSET(POrigin,MATCH(Valori[[#This Row],[LUKB_id]],PID,0),MATCH("SC_GROUPED",PIntestazioni,0)-1,1,1)</f>
        <v>FON</v>
      </c>
      <c r="E273" s="413" t="str" cm="1">
        <f t="array" aca="1" ref="E273" ca="1">OFFSET(POrigin,MATCH(Valori[[#This Row],[LUKB_id]],PID,0),MATCH("isin",PIntestazioni,0)-1,1,1)</f>
        <v>LU2819788709</v>
      </c>
      <c r="F273" s="34" t="str" cm="1">
        <f t="array" aca="1" ref="F273" ca="1">OFFSET(POrigin,MATCH(Valori[[#This Row],[LUKB_id]],PID,0),MATCH("NSIN_CH",PLabel,0)-1,1,1)</f>
        <v>137100271</v>
      </c>
      <c r="G273" s="95" t="str" cm="1">
        <f t="array" aca="1" ref="G273" ca="1">IF(OFFSET(POrigin,MATCH(Valori[[#This Row],[LUKB_id]],PID,0),MATCH("INSTRUNIT",PLabel,0)-1,1,1)="Nominal","Pct","Unit")</f>
        <v>Unit</v>
      </c>
      <c r="H273" s="612">
        <f ca="1">MAX(OFFSET(POrigin,MATCH(Valori[[#This Row],[LUKB_id]],PID,0),MATCH("PRICINGAMT",PLabel,0)-1,1,1),1)</f>
        <v>1</v>
      </c>
      <c r="I273" s="615" t="str" cm="1">
        <f t="array" aca="1" ref="I273" ca="1">OFFSET(POrigin,MATCH(Valori[[#This Row],[LUKB_id]],PID,0),MATCH("M_NAME",PLabel,0)-1,1,1)</f>
        <v>Robeco Capital Growth Funds SICAV - Robeco QI Global Dynamic Duration</v>
      </c>
      <c r="J273" s="142" t="s">
        <v>857</v>
      </c>
      <c r="M273" s="142" t="str" cm="1">
        <f t="array" aca="1" ref="M2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EUR Hedged</v>
      </c>
      <c r="N273" s="1563">
        <f ca="1">COUNTIF('CHF M'!smo_id,Valori[[#This Row],[smo_id]])+COUNTIF('CHF MA'!smo_id,Valori[[#This Row],[smo_id]])+COUNTIF('EUR MB'!smo_id,Valori[[#This Row],[smo_id]])+COUNTIF('EUR M'!smo_id,Valori[[#This Row],[smo_id]])+COUNTIF(AGCO!smo_id,Valori[[#This Row],[smo_id]])</f>
        <v>1</v>
      </c>
      <c r="O273" s="1590" cm="1">
        <f t="array" aca="1" ref="O273" ca="1">SUM(IF('CHF M'!smo_id=Valori[[#This Row],[smo_id]],'CHF M'!Posizione))+SUM(IF('CHF MA'!smo_id=Valori[[#This Row],[smo_id]],'CHF MA'!Posizione))+SUM(IF('EUR MB'!smo_id=Valori[[#This Row],[smo_id]],'EUR MB'!Posizione))+SUM(IF('EUR M'!smo_id=Valori[[#This Row],[smo_id]],'EUR M'!Posizione))+SUM(IF(AGCO!smo_id=Valori[[#This Row],[smo_id]],AGCO!Posizione))</f>
        <v>0</v>
      </c>
      <c r="P273" s="1661" t="str">
        <f ca="1">HYPERLINK(Valori[[#This Row],[P_Source]],"è")</f>
        <v>è</v>
      </c>
      <c r="Q273" s="1663" t="str">
        <f>HYPERLINK(Valori[[#This Row],[Info_W]],"i")</f>
        <v>i</v>
      </c>
      <c r="R273" s="1664" t="str">
        <f>HYPERLINK(Valori[[#This Row],[FN_W]],"")</f>
        <v></v>
      </c>
      <c r="S273" s="1665" t="str">
        <f>HYPERLINK(Valori[[#This Row],[MS_Link]],"")</f>
        <v></v>
      </c>
      <c r="T273" s="1665" t="str">
        <f>HYPERLINK(Valori[[#This Row],[C_source]],"")</f>
        <v></v>
      </c>
      <c r="U273" s="142" t="str" cm="1">
        <f t="array" aca="1" ref="U273" ca="1">OFFSET(POrigin,MATCH(Valori[[#This Row],[LUKB_id]],PID,0),MATCH("M_CUR",PLabel,0)-1,1,1)</f>
        <v>EUR</v>
      </c>
      <c r="V273" s="1562">
        <f ca="1">(Valori[[#This Row],[Last]]+Valori[[#This Row],[Acc. Int]])/Valori[[#This Row],[Pr.Amt]]/IF(Valori[[#This Row],[P_Type]]="Pct",100,1)</f>
        <v>105.21000000000001</v>
      </c>
      <c r="W273" s="1591" cm="1">
        <f t="array" aca="1" ref="W273" ca="1">OFFSET(POrigin,MATCH(Valori[[#This Row],[LUKB_id]],PID,0),MATCH("NC2_PR",PLabel,0)-1,1,1)/100</f>
        <v>-2.6542800265428107E-3</v>
      </c>
      <c r="X273" s="1592" cm="1">
        <f t="array" aca="1" ref="X273" ca="1">OFFSET(POrigin,MATCH(Valori[[#This Row],[LUKB_id]],PID,0),MATCH("LVAL",PLabel,0)-1,1,1)</f>
        <v>105.21000000000001</v>
      </c>
      <c r="Y273" s="1593" cm="1">
        <f t="array" aca="1" ref="Y273" ca="1">OFFSET(POrigin,MATCH(Valori[[#This Row],[LUKB_id]],PID,0),MATCH("LVAL:datetime",PLabel,0)-1,1,1)</f>
        <v>46083.461701388886</v>
      </c>
      <c r="Z273" s="1594" cm="1">
        <f t="array" aca="1" ref="Z273" ca="1">OFFSET(POrigin,MATCH(Valori[[#This Row],[LUKB_id]],PID,0),MATCH("BID:volume",PLabel,0)-1,1,1)</f>
        <v>0</v>
      </c>
      <c r="AA273" s="1595" cm="1">
        <f t="array" aca="1" ref="AA273" ca="1">OFFSET(POrigin,MATCH(Valori[[#This Row],[LUKB_id]],PID,0),MATCH("BID",PLabel,0)-1,1,1)</f>
        <v>0</v>
      </c>
      <c r="AB273" s="1595" cm="1">
        <f t="array" aca="1" ref="AB273" ca="1">OFFSET(POrigin,MATCH(Valori[[#This Row],[LUKB_id]],PID,0),MATCH("ASK",PLabel,0)-1,1,1)</f>
        <v>0</v>
      </c>
      <c r="AC273" s="1594" cm="1">
        <f t="array" aca="1" ref="AC273" ca="1">OFFSET(POrigin,MATCH(Valori[[#This Row],[LUKB_id]],PID,0),MATCH("ASK:volume",PLabel,0)-1,1,1)</f>
        <v>0</v>
      </c>
      <c r="AD273" s="1596" cm="1">
        <f t="array" aca="1" ref="AD273" ca="1">OFFSET(POrigin,MATCH(Valori[[#This Row],[LUKB_id]],PID,0),MATCH("BID-ASK Spread %",PLabel,0)-1,1,1)</f>
        <v>0</v>
      </c>
      <c r="AE273" s="1597" t="str" cm="1">
        <f t="array" aca="1" ref="AE273" ca="1">IF(OFFSET(POrigin,MATCH(Valori[[#This Row],[LUKB_id]],PID,0),MATCH("MATURITY",PLabel,0)-1,1,1)&gt;0,OFFSET(POrigin,MATCH(Valori[[#This Row],[LUKB_id]],PID,0),MATCH("MATURITY",PLabel,0)-1,1,1),"")</f>
        <v/>
      </c>
      <c r="AF273" s="1598" cm="1">
        <f t="array" aca="1" ref="AF273" ca="1">OFFSET(POrigin,MATCH(Valori[[#This Row],[LUKB_id]],PID,0),MATCH("ACCINT",PLabel,0)-1,1,1)</f>
        <v>0</v>
      </c>
      <c r="AG273" s="1594" cm="1">
        <f t="array" aca="1" ref="AG273" ca="1">OFFSET(POrigin,MATCH(Valori[[#This Row],[LUKB_id]],PID,0),MATCH("DENOM",PLabel,0)-1,1,1)</f>
        <v>0</v>
      </c>
      <c r="AH273" s="1599" cm="1">
        <f t="array" aca="1" ref="AH273" ca="1">(OFFSET(POrigin,MATCH(Valori[[#This Row],[LUKB_id]],PID,0),MATCH("YIELD",PLabel,0)-1,1,1)+OFFSET(POrigin,MATCH(Valori[[#This Row],[LUKB_id]],PID,0),MATCH("YLDEQ",PLabel,0)-1,1,1))/100</f>
        <v>0</v>
      </c>
      <c r="AI273" s="1600">
        <f ca="1">OFFSET(POrigin,MATCH(Valori[[#This Row],[LUKB_id]],PID,0),MATCH("DIVIDEND",PLabel,0)-1,1,1)</f>
        <v>0</v>
      </c>
      <c r="AJ273" s="1601">
        <f ca="1">OFFSET(POrigin,MATCH(Valori[[#This Row],[LUKB_id]],PID,0),MATCH("DIVIDEND:datetime",PLabel,0)-1,1,1)</f>
        <v>0</v>
      </c>
      <c r="AK273" s="1602">
        <f ca="1">OFFSET(POrigin,MATCH(Valori[[#This Row],[LUKB_id]],PID,0),MATCH("INTEREST",PLabel,0)-1,1,1)</f>
        <v>0</v>
      </c>
      <c r="AL273" s="1603">
        <f ca="1">OFFSET(POrigin,MATCH(Valori[[#This Row],[LUKB_id]],PID,0),MATCH("4W_PERF_PR",PLabel,0)-1,1,1)/100</f>
        <v>6.2165263963275992E-3</v>
      </c>
      <c r="AM273" s="1603">
        <f ca="1">OFFSET(POrigin,MATCH(Valori[[#This Row],[LUKB_id]],PID,0),MATCH("12W_PERF_PR",PLabel,0)-1,1,1)/100</f>
        <v>7.855158540090201E-3</v>
      </c>
      <c r="AN273" s="1603">
        <f ca="1">OFFSET(POrigin,MATCH(Valori[[#This Row],[LUKB_id]],PID,0),MATCH("YTD_PERF_PR",PLabel,0)-1,1,1)/100</f>
        <v>6.697923643670489E-3</v>
      </c>
      <c r="AO273" s="1591"/>
      <c r="AP273" s="1591"/>
      <c r="AQ273" s="1591"/>
      <c r="AR273" s="1591"/>
      <c r="AS273" s="1890"/>
      <c r="AT273" s="1890"/>
      <c r="AU273" s="610"/>
      <c r="AV273" s="1891"/>
      <c r="AW273" s="1604" t="str">
        <f ca="1">"https://boersenundmaerkte.lukb.ch/lukb/details/"&amp;Valori[[#This Row],[LUKB_id]]</f>
        <v>https://boersenundmaerkte.lukb.ch/lukb/details/137100271,430,814</v>
      </c>
      <c r="AX27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3" s="142"/>
      <c r="AZ273" s="142"/>
      <c r="BA273" s="142"/>
      <c r="BB273" s="142"/>
    </row>
    <row r="274" spans="1:54" ht="15" customHeight="1" x14ac:dyDescent="0.2">
      <c r="A274" s="142" t="s">
        <v>1699</v>
      </c>
      <c r="B274" s="142" t="s">
        <v>1700</v>
      </c>
      <c r="C274" s="1668" t="str">
        <f>HYPERLINK("https://boersenundmaerkte.lukb.ch/lukb/details/"&amp;Valori[[#This Row],[LUKB_id]],"è")</f>
        <v>è</v>
      </c>
      <c r="D274" s="142" t="str" cm="1">
        <f t="array" aca="1" ref="D274" ca="1">OFFSET(POrigin,MATCH(Valori[[#This Row],[LUKB_id]],PID,0),MATCH("SC_GROUPED",PIntestazioni,0)-1,1,1)</f>
        <v>FON</v>
      </c>
      <c r="E274" s="413" t="str" cm="1">
        <f t="array" aca="1" ref="E274" ca="1">OFFSET(POrigin,MATCH(Valori[[#This Row],[LUKB_id]],PID,0),MATCH("isin",PIntestazioni,0)-1,1,1)</f>
        <v>LU1309082177</v>
      </c>
      <c r="F274" s="34" t="str" cm="1">
        <f t="array" aca="1" ref="F274" ca="1">OFFSET(POrigin,MATCH(Valori[[#This Row],[LUKB_id]],PID,0),MATCH("NSIN_CH",PLabel,0)-1,1,1)</f>
        <v>30229186</v>
      </c>
      <c r="G274" s="95" t="str" cm="1">
        <f t="array" aca="1" ref="G274" ca="1">IF(OFFSET(POrigin,MATCH(Valori[[#This Row],[LUKB_id]],PID,0),MATCH("INSTRUNIT",PLabel,0)-1,1,1)="Nominal","Pct","Unit")</f>
        <v>Unit</v>
      </c>
      <c r="H274" s="612">
        <f ca="1">MAX(OFFSET(POrigin,MATCH(Valori[[#This Row],[LUKB_id]],PID,0),MATCH("PRICINGAMT",PLabel,0)-1,1,1),1)</f>
        <v>1</v>
      </c>
      <c r="I274" s="615" t="str" cm="1">
        <f t="array" aca="1" ref="I274" ca="1">OFFSET(POrigin,MATCH(Valori[[#This Row],[LUKB_id]],PID,0),MATCH("M_NAME",PLabel,0)-1,1,1)</f>
        <v>Schroder GAIA SICAV - Schroder GAIA Sirios US Equity</v>
      </c>
      <c r="J274" s="142" t="s">
        <v>902</v>
      </c>
      <c r="M274" s="142" t="str" cm="1">
        <f t="array" aca="1" ref="M2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Schroder GAIA - US Equity - C - CHF hedged (Acc)</v>
      </c>
      <c r="N274" s="1563">
        <f ca="1">COUNTIF('CHF M'!smo_id,Valori[[#This Row],[smo_id]])+COUNTIF('CHF MA'!smo_id,Valori[[#This Row],[smo_id]])+COUNTIF('EUR MB'!smo_id,Valori[[#This Row],[smo_id]])+COUNTIF('EUR M'!smo_id,Valori[[#This Row],[smo_id]])+COUNTIF(AGCO!smo_id,Valori[[#This Row],[smo_id]])</f>
        <v>1</v>
      </c>
      <c r="O274" s="1590" cm="1">
        <f t="array" aca="1" ref="O274" ca="1">SUM(IF('CHF M'!smo_id=Valori[[#This Row],[smo_id]],'CHF M'!Posizione))+SUM(IF('CHF MA'!smo_id=Valori[[#This Row],[smo_id]],'CHF MA'!Posizione))+SUM(IF('EUR MB'!smo_id=Valori[[#This Row],[smo_id]],'EUR MB'!Posizione))+SUM(IF('EUR M'!smo_id=Valori[[#This Row],[smo_id]],'EUR M'!Posizione))+SUM(IF(AGCO!smo_id=Valori[[#This Row],[smo_id]],AGCO!Posizione))</f>
        <v>199.08</v>
      </c>
      <c r="P274" s="1661" t="str">
        <f>HYPERLINK(Valori[[#This Row],[P_Source]],"è")</f>
        <v>è</v>
      </c>
      <c r="Q274" s="1663" t="str">
        <f>HYPERLINK(Valori[[#This Row],[Info_W]],"i")</f>
        <v>i</v>
      </c>
      <c r="R274" s="1664" t="str">
        <f>HYPERLINK(Valori[[#This Row],[FN_W]],"")</f>
        <v></v>
      </c>
      <c r="S274" s="1665" t="str">
        <f>HYPERLINK(Valori[[#This Row],[MS_Link]],"")</f>
        <v></v>
      </c>
      <c r="T274" s="1665" t="str">
        <f>HYPERLINK(Valori[[#This Row],[C_source]],"")</f>
        <v></v>
      </c>
      <c r="U274" s="142" t="str" cm="1">
        <f t="array" aca="1" ref="U274" ca="1">OFFSET(POrigin,MATCH(Valori[[#This Row],[LUKB_id]],PID,0),MATCH("M_CUR",PLabel,0)-1,1,1)</f>
        <v>CHF</v>
      </c>
      <c r="V274" s="1562">
        <f ca="1">(Valori[[#This Row],[Last]]+Valori[[#This Row],[Acc. Int]])/Valori[[#This Row],[Pr.Amt]]/IF(Valori[[#This Row],[P_Type]]="Pct",100,1)</f>
        <v>246.87</v>
      </c>
      <c r="W274" s="1591" cm="1">
        <f t="array" aca="1" ref="W274" ca="1">OFFSET(POrigin,MATCH(Valori[[#This Row],[LUKB_id]],PID,0),MATCH("NC2_PR",PLabel,0)-1,1,1)/100</f>
        <v>-3.8334274876926345E-3</v>
      </c>
      <c r="X274" s="1592" cm="1">
        <f t="array" aca="1" ref="X274" ca="1">OFFSET(POrigin,MATCH(Valori[[#This Row],[LUKB_id]],PID,0),MATCH("LVAL",PLabel,0)-1,1,1)</f>
        <v>246.87</v>
      </c>
      <c r="Y274" s="1593" cm="1">
        <f t="array" aca="1" ref="Y274" ca="1">OFFSET(POrigin,MATCH(Valori[[#This Row],[LUKB_id]],PID,0),MATCH("LVAL:datetime",PLabel,0)-1,1,1)</f>
        <v>46083.76048611111</v>
      </c>
      <c r="Z274" s="1594" cm="1">
        <f t="array" aca="1" ref="Z274" ca="1">OFFSET(POrigin,MATCH(Valori[[#This Row],[LUKB_id]],PID,0),MATCH("BID:volume",PLabel,0)-1,1,1)</f>
        <v>0</v>
      </c>
      <c r="AA274" s="1595" cm="1">
        <f t="array" aca="1" ref="AA274" ca="1">OFFSET(POrigin,MATCH(Valori[[#This Row],[LUKB_id]],PID,0),MATCH("BID",PLabel,0)-1,1,1)</f>
        <v>0</v>
      </c>
      <c r="AB274" s="1595" cm="1">
        <f t="array" aca="1" ref="AB274" ca="1">OFFSET(POrigin,MATCH(Valori[[#This Row],[LUKB_id]],PID,0),MATCH("ASK",PLabel,0)-1,1,1)</f>
        <v>0</v>
      </c>
      <c r="AC274" s="1594" cm="1">
        <f t="array" aca="1" ref="AC274" ca="1">OFFSET(POrigin,MATCH(Valori[[#This Row],[LUKB_id]],PID,0),MATCH("ASK:volume",PLabel,0)-1,1,1)</f>
        <v>0</v>
      </c>
      <c r="AD274" s="1596" cm="1">
        <f t="array" aca="1" ref="AD274" ca="1">OFFSET(POrigin,MATCH(Valori[[#This Row],[LUKB_id]],PID,0),MATCH("BID-ASK Spread %",PLabel,0)-1,1,1)</f>
        <v>0</v>
      </c>
      <c r="AE274" s="1597" t="str" cm="1">
        <f t="array" aca="1" ref="AE274" ca="1">IF(OFFSET(POrigin,MATCH(Valori[[#This Row],[LUKB_id]],PID,0),MATCH("MATURITY",PLabel,0)-1,1,1)&gt;0,OFFSET(POrigin,MATCH(Valori[[#This Row],[LUKB_id]],PID,0),MATCH("MATURITY",PLabel,0)-1,1,1),"")</f>
        <v/>
      </c>
      <c r="AF274" s="1598" cm="1">
        <f t="array" aca="1" ref="AF274" ca="1">OFFSET(POrigin,MATCH(Valori[[#This Row],[LUKB_id]],PID,0),MATCH("ACCINT",PLabel,0)-1,1,1)</f>
        <v>0</v>
      </c>
      <c r="AG274" s="1594" cm="1">
        <f t="array" aca="1" ref="AG274" ca="1">OFFSET(POrigin,MATCH(Valori[[#This Row],[LUKB_id]],PID,0),MATCH("DENOM",PLabel,0)-1,1,1)</f>
        <v>0</v>
      </c>
      <c r="AH274" s="1599" cm="1">
        <f t="array" aca="1" ref="AH274" ca="1">(OFFSET(POrigin,MATCH(Valori[[#This Row],[LUKB_id]],PID,0),MATCH("YIELD",PLabel,0)-1,1,1)+OFFSET(POrigin,MATCH(Valori[[#This Row],[LUKB_id]],PID,0),MATCH("YLDEQ",PLabel,0)-1,1,1))/100</f>
        <v>0</v>
      </c>
      <c r="AI274" s="1600">
        <f ca="1">OFFSET(POrigin,MATCH(Valori[[#This Row],[LUKB_id]],PID,0),MATCH("DIVIDEND",PLabel,0)-1,1,1)</f>
        <v>0</v>
      </c>
      <c r="AJ274" s="1601">
        <f ca="1">OFFSET(POrigin,MATCH(Valori[[#This Row],[LUKB_id]],PID,0),MATCH("DIVIDEND:datetime",PLabel,0)-1,1,1)</f>
        <v>0</v>
      </c>
      <c r="AK274" s="1602">
        <f ca="1">OFFSET(POrigin,MATCH(Valori[[#This Row],[LUKB_id]],PID,0),MATCH("INTEREST",PLabel,0)-1,1,1)</f>
        <v>0</v>
      </c>
      <c r="AL274" s="1603">
        <f ca="1">OFFSET(POrigin,MATCH(Valori[[#This Row],[LUKB_id]],PID,0),MATCH("4W_PERF_PR",PLabel,0)-1,1,1)/100</f>
        <v>-1.5772870662461998E-3</v>
      </c>
      <c r="AM274" s="1603">
        <f ca="1">OFFSET(POrigin,MATCH(Valori[[#This Row],[LUKB_id]],PID,0),MATCH("12W_PERF_PR",PLabel,0)-1,1,1)/100</f>
        <v>2.08833016293112E-2</v>
      </c>
      <c r="AN274" s="1603">
        <f ca="1">OFFSET(POrigin,MATCH(Valori[[#This Row],[LUKB_id]],PID,0),MATCH("YTD_PERF_PR",PLabel,0)-1,1,1)/100</f>
        <v>1.588411999506199E-2</v>
      </c>
      <c r="AO274" s="1591">
        <v>0.03</v>
      </c>
      <c r="AP274" s="1591">
        <v>0</v>
      </c>
      <c r="AQ274" s="1591">
        <v>1.7000000000000001E-2</v>
      </c>
      <c r="AR274" s="1591">
        <v>0.2</v>
      </c>
      <c r="AS274" s="1890"/>
      <c r="AT274" s="1890"/>
      <c r="AU274" s="610"/>
      <c r="AV274" s="1891"/>
      <c r="AW274" s="1604" t="str">
        <f>"https://boersenundmaerkte.lukb.ch/lukb/details/"&amp;Valori[[#This Row],[LUKB_id]]</f>
        <v>https://boersenundmaerkte.lukb.ch/lukb/details/30229186,3233,1</v>
      </c>
      <c r="AX27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4" s="142"/>
      <c r="AZ274" s="142"/>
      <c r="BA274" s="142"/>
      <c r="BB274" s="142"/>
    </row>
    <row r="275" spans="1:54" ht="15" customHeight="1" x14ac:dyDescent="0.2">
      <c r="A275" s="142" t="s">
        <v>1701</v>
      </c>
      <c r="B275" s="142" t="str" cm="1">
        <f t="array" aca="1" ref="B275" ca="1">OFFSET(POrigin,MATCH(Valori[[#This Row],[smo_id]],Posizioni[smo_id],0),MATCH("LUKB_id",PIntestazioni,0)-1,1,1)</f>
        <v>113422565,3230,814</v>
      </c>
      <c r="C275" s="1668" t="str">
        <f ca="1">HYPERLINK("https://boersenundmaerkte.lukb.ch/lukb/details/"&amp;Valori[[#This Row],[LUKB_id]],"è")</f>
        <v>è</v>
      </c>
      <c r="D275" s="142" t="str" cm="1">
        <f t="array" aca="1" ref="D275" ca="1">OFFSET(POrigin,MATCH(Valori[[#This Row],[LUKB_id]],PID,0),MATCH("SC_GROUPED",PIntestazioni,0)-1,1,1)</f>
        <v>FON</v>
      </c>
      <c r="E275" s="413" t="str" cm="1">
        <f t="array" aca="1" ref="E275" ca="1">OFFSET(POrigin,MATCH(Valori[[#This Row],[LUKB_id]],PID,0),MATCH("isin",PIntestazioni,0)-1,1,1)</f>
        <v>LU2373031488</v>
      </c>
      <c r="F275" s="34" t="str" cm="1">
        <f t="array" aca="1" ref="F275" ca="1">OFFSET(POrigin,MATCH(Valori[[#This Row],[LUKB_id]],PID,0),MATCH("NSIN_CH",PLabel,0)-1,1,1)</f>
        <v>113422565</v>
      </c>
      <c r="G275" s="95" t="str" cm="1">
        <f t="array" aca="1" ref="G275" ca="1">IF(OFFSET(POrigin,MATCH(Valori[[#This Row],[LUKB_id]],PID,0),MATCH("INSTRUNIT",PLabel,0)-1,1,1)="Nominal","Pct","Unit")</f>
        <v>Unit</v>
      </c>
      <c r="H275" s="612">
        <f ca="1">MAX(OFFSET(POrigin,MATCH(Valori[[#This Row],[LUKB_id]],PID,0),MATCH("PRICINGAMT",PLabel,0)-1,1,1),1)</f>
        <v>1</v>
      </c>
      <c r="I275" s="615" t="str" cm="1">
        <f t="array" aca="1" ref="I275" ca="1">OFFSET(POrigin,MATCH(Valori[[#This Row],[LUKB_id]],PID,0),MATCH("M_NAME",PLabel,0)-1,1,1)</f>
        <v>State Street Global Advisors Luxembourg SICAV- State Street Emerging Markets Opportunities Equity Fund</v>
      </c>
      <c r="J275" s="142" t="s">
        <v>775</v>
      </c>
      <c r="M275" s="142" t="str" cm="1">
        <f t="array" aca="1" ref="M2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SSGA Emerging Markets Opportunities Equity Fund P (EUR)</v>
      </c>
      <c r="N275" s="1563">
        <f ca="1">COUNTIF('CHF M'!smo_id,Valori[[#This Row],[smo_id]])+COUNTIF('CHF MA'!smo_id,Valori[[#This Row],[smo_id]])+COUNTIF('EUR MB'!smo_id,Valori[[#This Row],[smo_id]])+COUNTIF('EUR M'!smo_id,Valori[[#This Row],[smo_id]])+COUNTIF(AGCO!smo_id,Valori[[#This Row],[smo_id]])</f>
        <v>1</v>
      </c>
      <c r="O275" s="1590" cm="1">
        <f t="array" aca="1" ref="O275" ca="1">SUM(IF('CHF M'!smo_id=Valori[[#This Row],[smo_id]],'CHF M'!Posizione))+SUM(IF('CHF MA'!smo_id=Valori[[#This Row],[smo_id]],'CHF MA'!Posizione))+SUM(IF('EUR MB'!smo_id=Valori[[#This Row],[smo_id]],'EUR MB'!Posizione))+SUM(IF('EUR M'!smo_id=Valori[[#This Row],[smo_id]],'EUR M'!Posizione))+SUM(IF(AGCO!smo_id=Valori[[#This Row],[smo_id]],AGCO!Posizione))</f>
        <v>2061.069</v>
      </c>
      <c r="P275" s="1661" t="str">
        <f ca="1">HYPERLINK(Valori[[#This Row],[P_Source]],"è")</f>
        <v>è</v>
      </c>
      <c r="Q275" s="1663" t="str">
        <f>HYPERLINK(Valori[[#This Row],[Info_W]],"i")</f>
        <v>i</v>
      </c>
      <c r="R275" s="1664" t="str">
        <f>HYPERLINK(Valori[[#This Row],[FN_W]],"")</f>
        <v></v>
      </c>
      <c r="S275" s="1665" t="str">
        <f>HYPERLINK(Valori[[#This Row],[MS_Link]],"")</f>
        <v></v>
      </c>
      <c r="T275" s="1665" t="str">
        <f>HYPERLINK(Valori[[#This Row],[C_source]],"")</f>
        <v></v>
      </c>
      <c r="U275" s="142" t="str" cm="1">
        <f t="array" aca="1" ref="U275" ca="1">OFFSET(POrigin,MATCH(Valori[[#This Row],[LUKB_id]],PID,0),MATCH("M_CUR",PLabel,0)-1,1,1)</f>
        <v>EUR</v>
      </c>
      <c r="V275" s="1562">
        <f ca="1">(Valori[[#This Row],[Last]]+Valori[[#This Row],[Acc. Int]])/Valori[[#This Row],[Pr.Amt]]/IF(Valori[[#This Row],[P_Type]]="Pct",100,1)</f>
        <v>12.633800000000001</v>
      </c>
      <c r="W275" s="1591" cm="1">
        <f t="array" aca="1" ref="W275" ca="1">OFFSET(POrigin,MATCH(Valori[[#This Row],[LUKB_id]],PID,0),MATCH("NC2_PR",PLabel,0)-1,1,1)/100</f>
        <v>-1.2498339026239506E-2</v>
      </c>
      <c r="X275" s="1592" cm="1">
        <f t="array" aca="1" ref="X275" ca="1">OFFSET(POrigin,MATCH(Valori[[#This Row],[LUKB_id]],PID,0),MATCH("LVAL",PLabel,0)-1,1,1)</f>
        <v>12.633800000000001</v>
      </c>
      <c r="Y275" s="1593" cm="1">
        <f t="array" aca="1" ref="Y275" ca="1">OFFSET(POrigin,MATCH(Valori[[#This Row],[LUKB_id]],PID,0),MATCH("LVAL:datetime",PLabel,0)-1,1,1)</f>
        <v>46083.4065162037</v>
      </c>
      <c r="Z275" s="1594" cm="1">
        <f t="array" aca="1" ref="Z275" ca="1">OFFSET(POrigin,MATCH(Valori[[#This Row],[LUKB_id]],PID,0),MATCH("BID:volume",PLabel,0)-1,1,1)</f>
        <v>0</v>
      </c>
      <c r="AA275" s="1595" cm="1">
        <f t="array" aca="1" ref="AA275" ca="1">OFFSET(POrigin,MATCH(Valori[[#This Row],[LUKB_id]],PID,0),MATCH("BID",PLabel,0)-1,1,1)</f>
        <v>0</v>
      </c>
      <c r="AB275" s="1595" cm="1">
        <f t="array" aca="1" ref="AB275" ca="1">OFFSET(POrigin,MATCH(Valori[[#This Row],[LUKB_id]],PID,0),MATCH("ASK",PLabel,0)-1,1,1)</f>
        <v>0</v>
      </c>
      <c r="AC275" s="1594" cm="1">
        <f t="array" aca="1" ref="AC275" ca="1">OFFSET(POrigin,MATCH(Valori[[#This Row],[LUKB_id]],PID,0),MATCH("ASK:volume",PLabel,0)-1,1,1)</f>
        <v>0</v>
      </c>
      <c r="AD275" s="1596" cm="1">
        <f t="array" aca="1" ref="AD275" ca="1">OFFSET(POrigin,MATCH(Valori[[#This Row],[LUKB_id]],PID,0),MATCH("BID-ASK Spread %",PLabel,0)-1,1,1)</f>
        <v>0</v>
      </c>
      <c r="AE275" s="1597" t="str" cm="1">
        <f t="array" aca="1" ref="AE275" ca="1">IF(OFFSET(POrigin,MATCH(Valori[[#This Row],[LUKB_id]],PID,0),MATCH("MATURITY",PLabel,0)-1,1,1)&gt;0,OFFSET(POrigin,MATCH(Valori[[#This Row],[LUKB_id]],PID,0),MATCH("MATURITY",PLabel,0)-1,1,1),"")</f>
        <v/>
      </c>
      <c r="AF275" s="1598" cm="1">
        <f t="array" aca="1" ref="AF275" ca="1">OFFSET(POrigin,MATCH(Valori[[#This Row],[LUKB_id]],PID,0),MATCH("ACCINT",PLabel,0)-1,1,1)</f>
        <v>0</v>
      </c>
      <c r="AG275" s="1594" cm="1">
        <f t="array" aca="1" ref="AG275" ca="1">OFFSET(POrigin,MATCH(Valori[[#This Row],[LUKB_id]],PID,0),MATCH("DENOM",PLabel,0)-1,1,1)</f>
        <v>0</v>
      </c>
      <c r="AH275" s="1599" cm="1">
        <f t="array" aca="1" ref="AH275" ca="1">(OFFSET(POrigin,MATCH(Valori[[#This Row],[LUKB_id]],PID,0),MATCH("YIELD",PLabel,0)-1,1,1)+OFFSET(POrigin,MATCH(Valori[[#This Row],[LUKB_id]],PID,0),MATCH("YLDEQ",PLabel,0)-1,1,1))/100</f>
        <v>0</v>
      </c>
      <c r="AI275" s="1600">
        <f ca="1">OFFSET(POrigin,MATCH(Valori[[#This Row],[LUKB_id]],PID,0),MATCH("DIVIDEND",PLabel,0)-1,1,1)</f>
        <v>0</v>
      </c>
      <c r="AJ275" s="1601">
        <f ca="1">OFFSET(POrigin,MATCH(Valori[[#This Row],[LUKB_id]],PID,0),MATCH("DIVIDEND:datetime",PLabel,0)-1,1,1)</f>
        <v>0</v>
      </c>
      <c r="AK275" s="1602">
        <f ca="1">OFFSET(POrigin,MATCH(Valori[[#This Row],[LUKB_id]],PID,0),MATCH("INTEREST",PLabel,0)-1,1,1)</f>
        <v>0</v>
      </c>
      <c r="AL275" s="1603">
        <f ca="1">OFFSET(POrigin,MATCH(Valori[[#This Row],[LUKB_id]],PID,0),MATCH("4W_PERF_PR",PLabel,0)-1,1,1)/100</f>
        <v>5.8701281288495305E-2</v>
      </c>
      <c r="AM275" s="1603">
        <f ca="1">OFFSET(POrigin,MATCH(Valori[[#This Row],[LUKB_id]],PID,0),MATCH("12W_PERF_PR",PLabel,0)-1,1,1)/100</f>
        <v>0.12865272430027699</v>
      </c>
      <c r="AN275" s="1603">
        <f ca="1">OFFSET(POrigin,MATCH(Valori[[#This Row],[LUKB_id]],PID,0),MATCH("YTD_PERF_PR",PLabel,0)-1,1,1)/100</f>
        <v>0.12871322511189925</v>
      </c>
      <c r="AO275" s="1591"/>
      <c r="AP275" s="1591"/>
      <c r="AQ275" s="1591"/>
      <c r="AR275" s="1591"/>
      <c r="AS275" s="1890"/>
      <c r="AT275" s="1890"/>
      <c r="AU275" s="610"/>
      <c r="AV275" s="1891" t="s">
        <v>1702</v>
      </c>
      <c r="AW275" s="1604" t="str">
        <f ca="1">"https://boersenundmaerkte.lukb.ch/lukb/details/"&amp;Valori[[#This Row],[LUKB_id]]</f>
        <v>https://boersenundmaerkte.lukb.ch/lukb/details/113422565,3230,814</v>
      </c>
      <c r="AX275"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5" s="142"/>
      <c r="AZ275" s="142"/>
      <c r="BA275" s="142"/>
      <c r="BB275" s="142"/>
    </row>
    <row r="276" spans="1:54" ht="15" customHeight="1" x14ac:dyDescent="0.2">
      <c r="A276" s="142" t="s">
        <v>1703</v>
      </c>
      <c r="B276" s="142" t="str" cm="1">
        <f t="array" aca="1" ref="B276" ca="1">OFFSET(POrigin,MATCH(Valori[[#This Row],[smo_id]],Posizioni[smo_id],0),MATCH("LUKB_id",PIntestazioni,0)-1,1,1)</f>
        <v>4613240,3231,333</v>
      </c>
      <c r="C276" s="1668" t="str">
        <f ca="1">HYPERLINK("https://boersenundmaerkte.lukb.ch/lukb/details/"&amp;Valori[[#This Row],[LUKB_id]],"è")</f>
        <v>è</v>
      </c>
      <c r="D276" s="142" t="str" cm="1">
        <f t="array" aca="1" ref="D276" ca="1">OFFSET(POrigin,MATCH(Valori[[#This Row],[LUKB_id]],PID,0),MATCH("SC_GROUPED",PIntestazioni,0)-1,1,1)</f>
        <v>FON</v>
      </c>
      <c r="E276" s="413" t="str" cm="1">
        <f t="array" aca="1" ref="E276" ca="1">OFFSET(POrigin,MATCH(Valori[[#This Row],[LUKB_id]],PID,0),MATCH("isin",PIntestazioni,0)-1,1,1)</f>
        <v>LU0390135332</v>
      </c>
      <c r="F276" s="34" t="str" cm="1">
        <f t="array" aca="1" ref="F276" ca="1">OFFSET(POrigin,MATCH(Valori[[#This Row],[LUKB_id]],PID,0),MATCH("NSIN_CH",PLabel,0)-1,1,1)</f>
        <v>4613240</v>
      </c>
      <c r="G276" s="95" t="str" cm="1">
        <f t="array" aca="1" ref="G276" ca="1">IF(OFFSET(POrigin,MATCH(Valori[[#This Row],[LUKB_id]],PID,0),MATCH("INSTRUNIT",PLabel,0)-1,1,1)="Nominal","Pct","Unit")</f>
        <v>Unit</v>
      </c>
      <c r="H276" s="612">
        <f ca="1">MAX(OFFSET(POrigin,MATCH(Valori[[#This Row],[LUKB_id]],PID,0),MATCH("PRICINGAMT",PLabel,0)-1,1,1),1)</f>
        <v>1</v>
      </c>
      <c r="I276" s="615" t="str" cm="1">
        <f t="array" aca="1" ref="I276" ca="1">OFFSET(POrigin,MATCH(Valori[[#This Row],[LUKB_id]],PID,0),MATCH("M_NAME",PLabel,0)-1,1,1)</f>
        <v>Franklin Templeton Investment Funds SICAV - Templeton Asian Smaller Companies Fund</v>
      </c>
      <c r="J276" s="142" t="s">
        <v>422</v>
      </c>
      <c r="M276" s="142" t="str" cm="1">
        <f t="array" aca="1" ref="M2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A (Acc)</v>
      </c>
      <c r="N276" s="1563">
        <f ca="1">COUNTIF('CHF M'!smo_id,Valori[[#This Row],[smo_id]])+COUNTIF('CHF MA'!smo_id,Valori[[#This Row],[smo_id]])+COUNTIF('EUR MB'!smo_id,Valori[[#This Row],[smo_id]])+COUNTIF('EUR M'!smo_id,Valori[[#This Row],[smo_id]])+COUNTIF(AGCO!smo_id,Valori[[#This Row],[smo_id]])</f>
        <v>4</v>
      </c>
      <c r="O276" s="1590" cm="1">
        <f t="array" aca="1" ref="O276" ca="1">SUM(IF('CHF M'!smo_id=Valori[[#This Row],[smo_id]],'CHF M'!Posizione))+SUM(IF('CHF MA'!smo_id=Valori[[#This Row],[smo_id]],'CHF MA'!Posizione))+SUM(IF('EUR MB'!smo_id=Valori[[#This Row],[smo_id]],'EUR MB'!Posizione))+SUM(IF('EUR M'!smo_id=Valori[[#This Row],[smo_id]],'EUR M'!Posizione))+SUM(IF(AGCO!smo_id=Valori[[#This Row],[smo_id]],AGCO!Posizione))</f>
        <v>5560</v>
      </c>
      <c r="P276" s="1661" t="str">
        <f ca="1">HYPERLINK(Valori[[#This Row],[P_Source]],"è")</f>
        <v>è</v>
      </c>
      <c r="Q276" s="1663" t="str">
        <f>HYPERLINK(Valori[[#This Row],[Info_W]],"i")</f>
        <v>i</v>
      </c>
      <c r="R276" s="1664" t="str">
        <f>HYPERLINK(Valori[[#This Row],[FN_W]],"")</f>
        <v></v>
      </c>
      <c r="S276" s="1665" t="str">
        <f>HYPERLINK(Valori[[#This Row],[MS_Link]],"")</f>
        <v></v>
      </c>
      <c r="T276" s="1665" t="str">
        <f>HYPERLINK(Valori[[#This Row],[C_source]],"")</f>
        <v></v>
      </c>
      <c r="U276" s="142" t="str" cm="1">
        <f t="array" aca="1" ref="U276" ca="1">OFFSET(POrigin,MATCH(Valori[[#This Row],[LUKB_id]],PID,0),MATCH("M_CUR",PLabel,0)-1,1,1)</f>
        <v>USD</v>
      </c>
      <c r="V276" s="1562">
        <f ca="1">(Valori[[#This Row],[Last]]+Valori[[#This Row],[Acc. Int]])/Valori[[#This Row],[Pr.Amt]]/IF(Valori[[#This Row],[P_Type]]="Pct",100,1)</f>
        <v>71.75</v>
      </c>
      <c r="W276" s="1591" cm="1">
        <f t="array" aca="1" ref="W276" ca="1">OFFSET(POrigin,MATCH(Valori[[#This Row],[LUKB_id]],PID,0),MATCH("NC2_PR",PLabel,0)-1,1,1)/100</f>
        <v>-1.9272826681246538E-2</v>
      </c>
      <c r="X276" s="1592" cm="1">
        <f t="array" aca="1" ref="X276" ca="1">OFFSET(POrigin,MATCH(Valori[[#This Row],[LUKB_id]],PID,0),MATCH("LVAL",PLabel,0)-1,1,1)</f>
        <v>71.75</v>
      </c>
      <c r="Y276" s="1593" cm="1">
        <f t="array" aca="1" ref="Y276" ca="1">OFFSET(POrigin,MATCH(Valori[[#This Row],[LUKB_id]],PID,0),MATCH("LVAL:datetime",PLabel,0)-1,1,1)</f>
        <v>46083.260474537034</v>
      </c>
      <c r="Z276" s="1594" cm="1">
        <f t="array" aca="1" ref="Z276" ca="1">OFFSET(POrigin,MATCH(Valori[[#This Row],[LUKB_id]],PID,0),MATCH("BID:volume",PLabel,0)-1,1,1)</f>
        <v>0</v>
      </c>
      <c r="AA276" s="1595" cm="1">
        <f t="array" aca="1" ref="AA276" ca="1">OFFSET(POrigin,MATCH(Valori[[#This Row],[LUKB_id]],PID,0),MATCH("BID",PLabel,0)-1,1,1)</f>
        <v>0</v>
      </c>
      <c r="AB276" s="1595" cm="1">
        <f t="array" aca="1" ref="AB276" ca="1">OFFSET(POrigin,MATCH(Valori[[#This Row],[LUKB_id]],PID,0),MATCH("ASK",PLabel,0)-1,1,1)</f>
        <v>0</v>
      </c>
      <c r="AC276" s="1594" cm="1">
        <f t="array" aca="1" ref="AC276" ca="1">OFFSET(POrigin,MATCH(Valori[[#This Row],[LUKB_id]],PID,0),MATCH("ASK:volume",PLabel,0)-1,1,1)</f>
        <v>0</v>
      </c>
      <c r="AD276" s="1596" cm="1">
        <f t="array" aca="1" ref="AD276" ca="1">OFFSET(POrigin,MATCH(Valori[[#This Row],[LUKB_id]],PID,0),MATCH("BID-ASK Spread %",PLabel,0)-1,1,1)</f>
        <v>0</v>
      </c>
      <c r="AE276" s="1597" t="str" cm="1">
        <f t="array" aca="1" ref="AE276" ca="1">IF(OFFSET(POrigin,MATCH(Valori[[#This Row],[LUKB_id]],PID,0),MATCH("MATURITY",PLabel,0)-1,1,1)&gt;0,OFFSET(POrigin,MATCH(Valori[[#This Row],[LUKB_id]],PID,0),MATCH("MATURITY",PLabel,0)-1,1,1),"")</f>
        <v/>
      </c>
      <c r="AF276" s="1598" cm="1">
        <f t="array" aca="1" ref="AF276" ca="1">OFFSET(POrigin,MATCH(Valori[[#This Row],[LUKB_id]],PID,0),MATCH("ACCINT",PLabel,0)-1,1,1)</f>
        <v>0</v>
      </c>
      <c r="AG276" s="1594" cm="1">
        <f t="array" aca="1" ref="AG276" ca="1">OFFSET(POrigin,MATCH(Valori[[#This Row],[LUKB_id]],PID,0),MATCH("DENOM",PLabel,0)-1,1,1)</f>
        <v>0</v>
      </c>
      <c r="AH276" s="1599" cm="1">
        <f t="array" aca="1" ref="AH276" ca="1">(OFFSET(POrigin,MATCH(Valori[[#This Row],[LUKB_id]],PID,0),MATCH("YIELD",PLabel,0)-1,1,1)+OFFSET(POrigin,MATCH(Valori[[#This Row],[LUKB_id]],PID,0),MATCH("YLDEQ",PLabel,0)-1,1,1))/100</f>
        <v>0</v>
      </c>
      <c r="AI276" s="1600">
        <f ca="1">OFFSET(POrigin,MATCH(Valori[[#This Row],[LUKB_id]],PID,0),MATCH("DIVIDEND",PLabel,0)-1,1,1)</f>
        <v>0</v>
      </c>
      <c r="AJ276" s="1601">
        <f ca="1">OFFSET(POrigin,MATCH(Valori[[#This Row],[LUKB_id]],PID,0),MATCH("DIVIDEND:datetime",PLabel,0)-1,1,1)</f>
        <v>0</v>
      </c>
      <c r="AK276" s="1602">
        <f ca="1">OFFSET(POrigin,MATCH(Valori[[#This Row],[LUKB_id]],PID,0),MATCH("INTEREST",PLabel,0)-1,1,1)</f>
        <v>0</v>
      </c>
      <c r="AL276" s="1603">
        <f ca="1">OFFSET(POrigin,MATCH(Valori[[#This Row],[LUKB_id]],PID,0),MATCH("4W_PERF_PR",PLabel,0)-1,1,1)/100</f>
        <v>1.9755542922114899E-2</v>
      </c>
      <c r="AM276" s="1603">
        <f ca="1">OFFSET(POrigin,MATCH(Valori[[#This Row],[LUKB_id]],PID,0),MATCH("12W_PERF_PR",PLabel,0)-1,1,1)/100</f>
        <v>5.7791537667698699E-2</v>
      </c>
      <c r="AN276" s="1603">
        <f ca="1">OFFSET(POrigin,MATCH(Valori[[#This Row],[LUKB_id]],PID,0),MATCH("YTD_PERF_PR",PLabel,0)-1,1,1)/100</f>
        <v>5.0512445095168418E-2</v>
      </c>
      <c r="AO276" s="1591">
        <v>5.7500000000000002E-2</v>
      </c>
      <c r="AP276" s="1591"/>
      <c r="AQ276" s="1591">
        <v>2.2100000000000002E-2</v>
      </c>
      <c r="AR276" s="1591"/>
      <c r="AS276" s="1890" t="s">
        <v>1704</v>
      </c>
      <c r="AT276" s="1890" t="s">
        <v>1705</v>
      </c>
      <c r="AU276" s="610" t="s">
        <v>1706</v>
      </c>
      <c r="AV276" s="1891" t="s">
        <v>1707</v>
      </c>
      <c r="AW276" s="1604" t="str">
        <f ca="1">"https://boersenundmaerkte.lukb.ch/lukb/details/"&amp;Valori[[#This Row],[LUKB_id]]</f>
        <v>https://boersenundmaerkte.lukb.ch/lukb/details/4613240,3231,333</v>
      </c>
      <c r="AX276" s="1605" t="str">
        <f>"https://www.zonebourse.com/mods_a/charts/TV/inc_dyna_graph.php?c="&amp;Valori[[#This Row],[MS_Code]]&amp;"&amp;style=TradingView.CANDLES&amp;interval=(null)&amp;mobile=(null)&amp;showAT=1"</f>
        <v>https://www.zonebourse.com/mods_a/charts/TV/inc_dyna_graph.php?c=41562610&amp;style=TradingView.CANDLES&amp;interval=(null)&amp;mobile=(null)&amp;showAT=1</v>
      </c>
      <c r="AY276" s="142"/>
      <c r="AZ276" s="142"/>
      <c r="BA276" s="142"/>
      <c r="BB276" s="142"/>
    </row>
    <row r="277" spans="1:54" ht="15" customHeight="1" x14ac:dyDescent="0.2">
      <c r="A277" s="142" t="s">
        <v>1708</v>
      </c>
      <c r="B277" s="142" t="str" cm="1">
        <f t="array" aca="1" ref="B277" ca="1">OFFSET(POrigin,MATCH(Valori[[#This Row],[smo_id]],Posizioni[smo_id],0),MATCH("LUKB_id",PIntestazioni,0)-1,1,1)</f>
        <v>4613654,3231,333</v>
      </c>
      <c r="C277" s="1668" t="str">
        <f ca="1">HYPERLINK("https://boersenundmaerkte.lukb.ch/lukb/details/"&amp;Valori[[#This Row],[LUKB_id]],"è")</f>
        <v>è</v>
      </c>
      <c r="D277" s="142" t="str" cm="1">
        <f t="array" aca="1" ref="D277" ca="1">OFFSET(POrigin,MATCH(Valori[[#This Row],[LUKB_id]],PID,0),MATCH("SC_GROUPED",PIntestazioni,0)-1,1,1)</f>
        <v>FON</v>
      </c>
      <c r="E277" s="413" t="str" cm="1">
        <f t="array" aca="1" ref="E277" ca="1">OFFSET(POrigin,MATCH(Valori[[#This Row],[LUKB_id]],PID,0),MATCH("isin",PIntestazioni,0)-1,1,1)</f>
        <v>LU0390136223</v>
      </c>
      <c r="F277" s="34" t="str" cm="1">
        <f t="array" aca="1" ref="F277" ca="1">OFFSET(POrigin,MATCH(Valori[[#This Row],[LUKB_id]],PID,0),MATCH("NSIN_CH",PLabel,0)-1,1,1)</f>
        <v>4613654</v>
      </c>
      <c r="G277" s="95" t="str" cm="1">
        <f t="array" aca="1" ref="G277" ca="1">IF(OFFSET(POrigin,MATCH(Valori[[#This Row],[LUKB_id]],PID,0),MATCH("INSTRUNIT",PLabel,0)-1,1,1)="Nominal","Pct","Unit")</f>
        <v>Unit</v>
      </c>
      <c r="H277" s="612">
        <f ca="1">MAX(OFFSET(POrigin,MATCH(Valori[[#This Row],[LUKB_id]],PID,0),MATCH("PRICINGAMT",PLabel,0)-1,1,1),1)</f>
        <v>1</v>
      </c>
      <c r="I277" s="615" t="str" cm="1">
        <f t="array" aca="1" ref="I277" ca="1">OFFSET(POrigin,MATCH(Valori[[#This Row],[LUKB_id]],PID,0),MATCH("M_NAME",PLabel,0)-1,1,1)</f>
        <v>Franklin Templeton Investment Funds SICAV - Templeton Asian Smaller Companies Fund</v>
      </c>
      <c r="J277" s="142" t="s">
        <v>421</v>
      </c>
      <c r="M277" s="142" t="str" cm="1">
        <f t="array" aca="1" ref="M2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I</v>
      </c>
      <c r="N277" s="1563">
        <f ca="1">COUNTIF('CHF M'!smo_id,Valori[[#This Row],[smo_id]])+COUNTIF('CHF MA'!smo_id,Valori[[#This Row],[smo_id]])+COUNTIF('EUR MB'!smo_id,Valori[[#This Row],[smo_id]])+COUNTIF('EUR M'!smo_id,Valori[[#This Row],[smo_id]])+COUNTIF(AGCO!smo_id,Valori[[#This Row],[smo_id]])</f>
        <v>1</v>
      </c>
      <c r="O277" s="1590" cm="1">
        <f t="array" aca="1" ref="O277" ca="1">SUM(IF('CHF M'!smo_id=Valori[[#This Row],[smo_id]],'CHF M'!Posizione))+SUM(IF('CHF MA'!smo_id=Valori[[#This Row],[smo_id]],'CHF MA'!Posizione))+SUM(IF('EUR MB'!smo_id=Valori[[#This Row],[smo_id]],'EUR MB'!Posizione))+SUM(IF('EUR M'!smo_id=Valori[[#This Row],[smo_id]],'EUR M'!Posizione))+SUM(IF(AGCO!smo_id=Valori[[#This Row],[smo_id]],AGCO!Posizione))</f>
        <v>610</v>
      </c>
      <c r="P277" s="1661" t="str">
        <f ca="1">HYPERLINK(Valori[[#This Row],[P_Source]],"è")</f>
        <v>è</v>
      </c>
      <c r="Q277" s="1663" t="str">
        <f>HYPERLINK(Valori[[#This Row],[Info_W]],"i")</f>
        <v>i</v>
      </c>
      <c r="R277" s="1664" t="str">
        <f>HYPERLINK(Valori[[#This Row],[FN_W]],"")</f>
        <v></v>
      </c>
      <c r="S277" s="1665" t="str">
        <f>HYPERLINK(Valori[[#This Row],[MS_Link]],"")</f>
        <v></v>
      </c>
      <c r="T277" s="1665" t="str">
        <f>HYPERLINK(Valori[[#This Row],[C_source]],"")</f>
        <v></v>
      </c>
      <c r="U277" s="142" t="str" cm="1">
        <f t="array" aca="1" ref="U277" ca="1">OFFSET(POrigin,MATCH(Valori[[#This Row],[LUKB_id]],PID,0),MATCH("M_CUR",PLabel,0)-1,1,1)</f>
        <v>USD</v>
      </c>
      <c r="V277" s="1562">
        <f ca="1">(Valori[[#This Row],[Last]]+Valori[[#This Row],[Acc. Int]])/Valori[[#This Row],[Pr.Amt]]/IF(Valori[[#This Row],[P_Type]]="Pct",100,1)</f>
        <v>85.94</v>
      </c>
      <c r="W277" s="1591" cm="1">
        <f t="array" aca="1" ref="W277" ca="1">OFFSET(POrigin,MATCH(Valori[[#This Row],[LUKB_id]],PID,0),MATCH("NC2_PR",PLabel,0)-1,1,1)/100</f>
        <v>-1.9285632774164074E-2</v>
      </c>
      <c r="X277" s="1592" cm="1">
        <f t="array" aca="1" ref="X277" ca="1">OFFSET(POrigin,MATCH(Valori[[#This Row],[LUKB_id]],PID,0),MATCH("LVAL",PLabel,0)-1,1,1)</f>
        <v>85.94</v>
      </c>
      <c r="Y277" s="1593" cm="1">
        <f t="array" aca="1" ref="Y277" ca="1">OFFSET(POrigin,MATCH(Valori[[#This Row],[LUKB_id]],PID,0),MATCH("LVAL:datetime",PLabel,0)-1,1,1)</f>
        <v>46083.260474537034</v>
      </c>
      <c r="Z277" s="1594" cm="1">
        <f t="array" aca="1" ref="Z277" ca="1">OFFSET(POrigin,MATCH(Valori[[#This Row],[LUKB_id]],PID,0),MATCH("BID:volume",PLabel,0)-1,1,1)</f>
        <v>0</v>
      </c>
      <c r="AA277" s="1595" cm="1">
        <f t="array" aca="1" ref="AA277" ca="1">OFFSET(POrigin,MATCH(Valori[[#This Row],[LUKB_id]],PID,0),MATCH("BID",PLabel,0)-1,1,1)</f>
        <v>0</v>
      </c>
      <c r="AB277" s="1595" cm="1">
        <f t="array" aca="1" ref="AB277" ca="1">OFFSET(POrigin,MATCH(Valori[[#This Row],[LUKB_id]],PID,0),MATCH("ASK",PLabel,0)-1,1,1)</f>
        <v>0</v>
      </c>
      <c r="AC277" s="1594" cm="1">
        <f t="array" aca="1" ref="AC277" ca="1">OFFSET(POrigin,MATCH(Valori[[#This Row],[LUKB_id]],PID,0),MATCH("ASK:volume",PLabel,0)-1,1,1)</f>
        <v>0</v>
      </c>
      <c r="AD277" s="1596" cm="1">
        <f t="array" aca="1" ref="AD277" ca="1">OFFSET(POrigin,MATCH(Valori[[#This Row],[LUKB_id]],PID,0),MATCH("BID-ASK Spread %",PLabel,0)-1,1,1)</f>
        <v>0</v>
      </c>
      <c r="AE277" s="1597" t="str" cm="1">
        <f t="array" aca="1" ref="AE277" ca="1">IF(OFFSET(POrigin,MATCH(Valori[[#This Row],[LUKB_id]],PID,0),MATCH("MATURITY",PLabel,0)-1,1,1)&gt;0,OFFSET(POrigin,MATCH(Valori[[#This Row],[LUKB_id]],PID,0),MATCH("MATURITY",PLabel,0)-1,1,1),"")</f>
        <v/>
      </c>
      <c r="AF277" s="1598" cm="1">
        <f t="array" aca="1" ref="AF277" ca="1">OFFSET(POrigin,MATCH(Valori[[#This Row],[LUKB_id]],PID,0),MATCH("ACCINT",PLabel,0)-1,1,1)</f>
        <v>0</v>
      </c>
      <c r="AG277" s="1594" cm="1">
        <f t="array" aca="1" ref="AG277" ca="1">OFFSET(POrigin,MATCH(Valori[[#This Row],[LUKB_id]],PID,0),MATCH("DENOM",PLabel,0)-1,1,1)</f>
        <v>0</v>
      </c>
      <c r="AH277" s="1599" cm="1">
        <f t="array" aca="1" ref="AH277" ca="1">(OFFSET(POrigin,MATCH(Valori[[#This Row],[LUKB_id]],PID,0),MATCH("YIELD",PLabel,0)-1,1,1)+OFFSET(POrigin,MATCH(Valori[[#This Row],[LUKB_id]],PID,0),MATCH("YLDEQ",PLabel,0)-1,1,1))/100</f>
        <v>0</v>
      </c>
      <c r="AI277" s="1600">
        <f ca="1">OFFSET(POrigin,MATCH(Valori[[#This Row],[LUKB_id]],PID,0),MATCH("DIVIDEND",PLabel,0)-1,1,1)</f>
        <v>0</v>
      </c>
      <c r="AJ277" s="1601">
        <f ca="1">OFFSET(POrigin,MATCH(Valori[[#This Row],[LUKB_id]],PID,0),MATCH("DIVIDEND:datetime",PLabel,0)-1,1,1)</f>
        <v>0</v>
      </c>
      <c r="AK277" s="1602">
        <f ca="1">OFFSET(POrigin,MATCH(Valori[[#This Row],[LUKB_id]],PID,0),MATCH("INTEREST",PLabel,0)-1,1,1)</f>
        <v>0</v>
      </c>
      <c r="AL277" s="1603">
        <f ca="1">OFFSET(POrigin,MATCH(Valori[[#This Row],[LUKB_id]],PID,0),MATCH("4W_PERF_PR",PLabel,0)-1,1,1)/100</f>
        <v>2.04227024459749E-2</v>
      </c>
      <c r="AM277" s="1603">
        <f ca="1">OFFSET(POrigin,MATCH(Valori[[#This Row],[LUKB_id]],PID,0),MATCH("12W_PERF_PR",PLabel,0)-1,1,1)/100</f>
        <v>6.0071543110891801E-2</v>
      </c>
      <c r="AN277" s="1603">
        <f ca="1">OFFSET(POrigin,MATCH(Valori[[#This Row],[LUKB_id]],PID,0),MATCH("YTD_PERF_PR",PLabel,0)-1,1,1)/100</f>
        <v>5.2154750244857863E-2</v>
      </c>
      <c r="AO277" s="1591">
        <v>0</v>
      </c>
      <c r="AP277" s="1591"/>
      <c r="AQ277" s="1591">
        <v>1.18E-2</v>
      </c>
      <c r="AR277" s="1591"/>
      <c r="AS277" s="1890" t="s">
        <v>1709</v>
      </c>
      <c r="AT277" s="1890" t="s">
        <v>877</v>
      </c>
      <c r="AU277" s="610">
        <v>41562603</v>
      </c>
      <c r="AV277" s="1891" t="s">
        <v>1710</v>
      </c>
      <c r="AW277" s="1604" t="str">
        <f ca="1">"https://boersenundmaerkte.lukb.ch/lukb/details/"&amp;Valori[[#This Row],[LUKB_id]]</f>
        <v>https://boersenundmaerkte.lukb.ch/lukb/details/4613654,3231,333</v>
      </c>
      <c r="AX277" s="1605" t="str">
        <f>"https://www.zonebourse.com/mods_a/charts/TV/inc_dyna_graph.php?c="&amp;Valori[[#This Row],[MS_Code]]&amp;"&amp;style=TradingView.CANDLES&amp;interval=(null)&amp;mobile=(null)&amp;showAT=1"</f>
        <v>https://www.zonebourse.com/mods_a/charts/TV/inc_dyna_graph.php?c=41562603&amp;style=TradingView.CANDLES&amp;interval=(null)&amp;mobile=(null)&amp;showAT=1</v>
      </c>
      <c r="AY277" s="142"/>
      <c r="AZ277" s="142"/>
      <c r="BA277" s="142"/>
      <c r="BB277" s="142"/>
    </row>
    <row r="278" spans="1:54" ht="15" customHeight="1" x14ac:dyDescent="0.2">
      <c r="A278" s="142" t="s">
        <v>1711</v>
      </c>
      <c r="B278" s="142" t="s">
        <v>1712</v>
      </c>
      <c r="C278" s="1668" t="str">
        <f>HYPERLINK("https://boersenundmaerkte.lukb.ch/lukb/details/"&amp;Valori[[#This Row],[LUKB_id]],"è")</f>
        <v>è</v>
      </c>
      <c r="D278" s="142" t="str" cm="1">
        <f t="array" aca="1" ref="D278" ca="1">OFFSET(POrigin,MATCH(Valori[[#This Row],[LUKB_id]],PID,0),MATCH("SC_GROUPED",PIntestazioni,0)-1,1,1)</f>
        <v>FON</v>
      </c>
      <c r="E278" s="413" t="str" cm="1">
        <f t="array" aca="1" ref="E278" ca="1">OFFSET(POrigin,MATCH(Valori[[#This Row],[LUKB_id]],PID,0),MATCH("isin",PIntestazioni,0)-1,1,1)</f>
        <v>CH0502155648</v>
      </c>
      <c r="F278" s="34" t="str" cm="1">
        <f t="array" aca="1" ref="F278" ca="1">OFFSET(POrigin,MATCH(Valori[[#This Row],[LUKB_id]],PID,0),MATCH("NSIN_CH",PLabel,0)-1,1,1)</f>
        <v>50215564</v>
      </c>
      <c r="G278" s="95" t="str" cm="1">
        <f t="array" aca="1" ref="G278" ca="1">IF(OFFSET(POrigin,MATCH(Valori[[#This Row],[LUKB_id]],PID,0),MATCH("INSTRUNIT",PLabel,0)-1,1,1)="Nominal","Pct","Unit")</f>
        <v>Unit</v>
      </c>
      <c r="H278" s="612">
        <f ca="1">MAX(OFFSET(POrigin,MATCH(Valori[[#This Row],[LUKB_id]],PID,0),MATCH("PRICINGAMT",PLabel,0)-1,1,1),1)</f>
        <v>1</v>
      </c>
      <c r="I278" s="615" t="str" cm="1">
        <f t="array" aca="1" ref="I278" ca="1">OFFSET(POrigin,MATCH(Valori[[#This Row],[LUKB_id]],PID,0),MATCH("M_NAME",PLabel,0)-1,1,1)</f>
        <v>UBS (CH) Equity Fund - Swiss Income (CHF)</v>
      </c>
      <c r="J278" s="142" t="s">
        <v>621</v>
      </c>
      <c r="M278" s="142" t="str" cm="1">
        <f t="array" aca="1" ref="M2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QL</v>
      </c>
      <c r="N278" s="1563">
        <f ca="1">COUNTIF('CHF M'!smo_id,Valori[[#This Row],[smo_id]])+COUNTIF('CHF MA'!smo_id,Valori[[#This Row],[smo_id]])+COUNTIF('EUR MB'!smo_id,Valori[[#This Row],[smo_id]])+COUNTIF('EUR M'!smo_id,Valori[[#This Row],[smo_id]])+COUNTIF(AGCO!smo_id,Valori[[#This Row],[smo_id]])</f>
        <v>1</v>
      </c>
      <c r="O278" s="1590" cm="1">
        <f t="array" aca="1" ref="O278" ca="1">SUM(IF('CHF M'!smo_id=Valori[[#This Row],[smo_id]],'CHF M'!Posizione))+SUM(IF('CHF MA'!smo_id=Valori[[#This Row],[smo_id]],'CHF MA'!Posizione))+SUM(IF('EUR MB'!smo_id=Valori[[#This Row],[smo_id]],'EUR MB'!Posizione))+SUM(IF('EUR M'!smo_id=Valori[[#This Row],[smo_id]],'EUR M'!Posizione))+SUM(IF(AGCO!smo_id=Valori[[#This Row],[smo_id]],AGCO!Posizione))</f>
        <v>0</v>
      </c>
      <c r="P278" s="1661" t="str">
        <f>HYPERLINK(Valori[[#This Row],[P_Source]],"è")</f>
        <v>è</v>
      </c>
      <c r="Q278" s="1663" t="str">
        <f>HYPERLINK(Valori[[#This Row],[Info_W]],"i")</f>
        <v>i</v>
      </c>
      <c r="R278" s="1664" t="str">
        <f>HYPERLINK(Valori[[#This Row],[FN_W]],"")</f>
        <v></v>
      </c>
      <c r="S278" s="1665" t="str">
        <f>HYPERLINK(Valori[[#This Row],[MS_Link]],"")</f>
        <v></v>
      </c>
      <c r="T278" s="1665" t="str">
        <f>HYPERLINK(Valori[[#This Row],[C_source]],"")</f>
        <v></v>
      </c>
      <c r="U278" s="142" t="str" cm="1">
        <f t="array" aca="1" ref="U278" ca="1">OFFSET(POrigin,MATCH(Valori[[#This Row],[LUKB_id]],PID,0),MATCH("M_CUR",PLabel,0)-1,1,1)</f>
        <v>CHF</v>
      </c>
      <c r="V278" s="1562">
        <f ca="1">(Valori[[#This Row],[Last]]+Valori[[#This Row],[Acc. Int]])/Valori[[#This Row],[Pr.Amt]]/IF(Valori[[#This Row],[P_Type]]="Pct",100,1)</f>
        <v>96.2</v>
      </c>
      <c r="W278" s="1591" cm="1">
        <f t="array" aca="1" ref="W278" ca="1">OFFSET(POrigin,MATCH(Valori[[#This Row],[LUKB_id]],PID,0),MATCH("NC2_PR",PLabel,0)-1,1,1)/100</f>
        <v>-1.0186233151558749E-2</v>
      </c>
      <c r="X278" s="1592" cm="1">
        <f t="array" aca="1" ref="X278" ca="1">OFFSET(POrigin,MATCH(Valori[[#This Row],[LUKB_id]],PID,0),MATCH("LVAL",PLabel,0)-1,1,1)</f>
        <v>96.2</v>
      </c>
      <c r="Y278" s="1593" cm="1">
        <f t="array" aca="1" ref="Y278" ca="1">OFFSET(POrigin,MATCH(Valori[[#This Row],[LUKB_id]],PID,0),MATCH("LVAL:datetime",PLabel,0)-1,1,1)</f>
        <v>46083.4065162037</v>
      </c>
      <c r="Z278" s="1594" cm="1">
        <f t="array" aca="1" ref="Z278" ca="1">OFFSET(POrigin,MATCH(Valori[[#This Row],[LUKB_id]],PID,0),MATCH("BID:volume",PLabel,0)-1,1,1)</f>
        <v>0</v>
      </c>
      <c r="AA278" s="1595" cm="1">
        <f t="array" aca="1" ref="AA278" ca="1">OFFSET(POrigin,MATCH(Valori[[#This Row],[LUKB_id]],PID,0),MATCH("BID",PLabel,0)-1,1,1)</f>
        <v>0</v>
      </c>
      <c r="AB278" s="1595" cm="1">
        <f t="array" aca="1" ref="AB278" ca="1">OFFSET(POrigin,MATCH(Valori[[#This Row],[LUKB_id]],PID,0),MATCH("ASK",PLabel,0)-1,1,1)</f>
        <v>0</v>
      </c>
      <c r="AC278" s="1594" cm="1">
        <f t="array" aca="1" ref="AC278" ca="1">OFFSET(POrigin,MATCH(Valori[[#This Row],[LUKB_id]],PID,0),MATCH("ASK:volume",PLabel,0)-1,1,1)</f>
        <v>0</v>
      </c>
      <c r="AD278" s="1596" cm="1">
        <f t="array" aca="1" ref="AD278" ca="1">OFFSET(POrigin,MATCH(Valori[[#This Row],[LUKB_id]],PID,0),MATCH("BID-ASK Spread %",PLabel,0)-1,1,1)</f>
        <v>0</v>
      </c>
      <c r="AE278" s="1597" t="str" cm="1">
        <f t="array" aca="1" ref="AE278" ca="1">IF(OFFSET(POrigin,MATCH(Valori[[#This Row],[LUKB_id]],PID,0),MATCH("MATURITY",PLabel,0)-1,1,1)&gt;0,OFFSET(POrigin,MATCH(Valori[[#This Row],[LUKB_id]],PID,0),MATCH("MATURITY",PLabel,0)-1,1,1),"")</f>
        <v/>
      </c>
      <c r="AF278" s="1598" cm="1">
        <f t="array" aca="1" ref="AF278" ca="1">OFFSET(POrigin,MATCH(Valori[[#This Row],[LUKB_id]],PID,0),MATCH("ACCINT",PLabel,0)-1,1,1)</f>
        <v>0</v>
      </c>
      <c r="AG278" s="1594" cm="1">
        <f t="array" aca="1" ref="AG278" ca="1">OFFSET(POrigin,MATCH(Valori[[#This Row],[LUKB_id]],PID,0),MATCH("DENOM",PLabel,0)-1,1,1)</f>
        <v>0</v>
      </c>
      <c r="AH278" s="1599" cm="1">
        <f t="array" aca="1" ref="AH278" ca="1">(OFFSET(POrigin,MATCH(Valori[[#This Row],[LUKB_id]],PID,0),MATCH("YIELD",PLabel,0)-1,1,1)+OFFSET(POrigin,MATCH(Valori[[#This Row],[LUKB_id]],PID,0),MATCH("YLDEQ",PLabel,0)-1,1,1))/100</f>
        <v>0</v>
      </c>
      <c r="AI278" s="1600">
        <f ca="1">OFFSET(POrigin,MATCH(Valori[[#This Row],[LUKB_id]],PID,0),MATCH("DIVIDEND",PLabel,0)-1,1,1)</f>
        <v>7</v>
      </c>
      <c r="AJ278" s="1601">
        <f ca="1">OFFSET(POrigin,MATCH(Valori[[#This Row],[LUKB_id]],PID,0),MATCH("DIVIDEND:datetime",PLabel,0)-1,1,1)</f>
        <v>46036</v>
      </c>
      <c r="AK278" s="1602">
        <f ca="1">OFFSET(POrigin,MATCH(Valori[[#This Row],[LUKB_id]],PID,0),MATCH("INTEREST",PLabel,0)-1,1,1)</f>
        <v>0</v>
      </c>
      <c r="AL278" s="1603">
        <f ca="1">OFFSET(POrigin,MATCH(Valori[[#This Row],[LUKB_id]],PID,0),MATCH("4W_PERF_PR",PLabel,0)-1,1,1)/100</f>
        <v>1.1885978752498201E-2</v>
      </c>
      <c r="AM278" s="1603">
        <f ca="1">OFFSET(POrigin,MATCH(Valori[[#This Row],[LUKB_id]],PID,0),MATCH("12W_PERF_PR",PLabel,0)-1,1,1)/100</f>
        <v>-3.12185297079558E-2</v>
      </c>
      <c r="AN278" s="1603">
        <f ca="1">OFFSET(POrigin,MATCH(Valori[[#This Row],[LUKB_id]],PID,0),MATCH("YTD_PERF_PR",PLabel,0)-1,1,1)/100</f>
        <v>1.8042710427754679E-2</v>
      </c>
      <c r="AO278" s="1591"/>
      <c r="AP278" s="1591"/>
      <c r="AQ278" s="1591"/>
      <c r="AR278" s="1591"/>
      <c r="AS278" s="1890"/>
      <c r="AT278" s="1890"/>
      <c r="AU278" s="610"/>
      <c r="AV278" s="1891"/>
      <c r="AW278" s="1604" t="str">
        <f>"https://boersenundmaerkte.lukb.ch/lukb/details/"&amp;Valori[[#This Row],[LUKB_id]]</f>
        <v>https://boersenundmaerkte.lukb.ch/lukb/details/50215564,3233,1</v>
      </c>
      <c r="AX27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8" s="142"/>
      <c r="AZ278" s="142"/>
      <c r="BA278" s="142"/>
      <c r="BB278" s="142"/>
    </row>
    <row r="279" spans="1:54" ht="15" customHeight="1" x14ac:dyDescent="0.2">
      <c r="A279" s="142" t="s">
        <v>1713</v>
      </c>
      <c r="B279" s="142" t="s">
        <v>1714</v>
      </c>
      <c r="C279" s="1668" t="str">
        <f>HYPERLINK("https://boersenundmaerkte.lukb.ch/lukb/details/"&amp;Valori[[#This Row],[LUKB_id]],"è")</f>
        <v>è</v>
      </c>
      <c r="D279" s="142" t="str" cm="1">
        <f t="array" aca="1" ref="D279" ca="1">OFFSET(POrigin,MATCH(Valori[[#This Row],[LUKB_id]],PID,0),MATCH("SC_GROUPED",PIntestazioni,0)-1,1,1)</f>
        <v>FON</v>
      </c>
      <c r="E279" s="413" t="str" cm="1">
        <f t="array" aca="1" ref="E279" ca="1">OFFSET(POrigin,MATCH(Valori[[#This Row],[LUKB_id]],PID,0),MATCH("isin",PIntestazioni,0)-1,1,1)</f>
        <v>LU1953056766</v>
      </c>
      <c r="F279" s="34" t="str" cm="1">
        <f t="array" aca="1" ref="F279" ca="1">OFFSET(POrigin,MATCH(Valori[[#This Row],[LUKB_id]],PID,0),MATCH("NSIN_CH",PLabel,0)-1,1,1)</f>
        <v>46424244</v>
      </c>
      <c r="G279" s="95" t="str" cm="1">
        <f t="array" aca="1" ref="G279" ca="1">IF(OFFSET(POrigin,MATCH(Valori[[#This Row],[LUKB_id]],PID,0),MATCH("INSTRUNIT",PLabel,0)-1,1,1)="Nominal","Pct","Unit")</f>
        <v>Unit</v>
      </c>
      <c r="H279" s="612">
        <f ca="1">MAX(OFFSET(POrigin,MATCH(Valori[[#This Row],[LUKB_id]],PID,0),MATCH("PRICINGAMT",PLabel,0)-1,1,1),1)</f>
        <v>1</v>
      </c>
      <c r="I279" s="615" t="str" cm="1">
        <f t="array" aca="1" ref="I279" ca="1">OFFSET(POrigin,MATCH(Valori[[#This Row],[LUKB_id]],PID,0),MATCH("M_NAME",PLabel,0)-1,1,1)</f>
        <v>UBS (Lux) Equity SICAV - Global Emerging Markets Opportunity (USD)</v>
      </c>
      <c r="J279" s="142" t="s">
        <v>776</v>
      </c>
      <c r="M279" s="142" t="str" cm="1">
        <f t="array" aca="1" ref="M2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Global Emerging Markets Opportunity  (USD) - (CHF hedged) P-acc</v>
      </c>
      <c r="N279" s="1563">
        <f ca="1">COUNTIF('CHF M'!smo_id,Valori[[#This Row],[smo_id]])+COUNTIF('CHF MA'!smo_id,Valori[[#This Row],[smo_id]])+COUNTIF('EUR MB'!smo_id,Valori[[#This Row],[smo_id]])+COUNTIF('EUR M'!smo_id,Valori[[#This Row],[smo_id]])+COUNTIF(AGCO!smo_id,Valori[[#This Row],[smo_id]])</f>
        <v>3</v>
      </c>
      <c r="O279" s="1590" cm="1">
        <f t="array" aca="1" ref="O279" ca="1">SUM(IF('CHF M'!smo_id=Valori[[#This Row],[smo_id]],'CHF M'!Posizione))+SUM(IF('CHF MA'!smo_id=Valori[[#This Row],[smo_id]],'CHF MA'!Posizione))+SUM(IF('EUR MB'!smo_id=Valori[[#This Row],[smo_id]],'EUR MB'!Posizione))+SUM(IF('EUR M'!smo_id=Valori[[#This Row],[smo_id]],'EUR M'!Posizione))+SUM(IF(AGCO!smo_id=Valori[[#This Row],[smo_id]],AGCO!Posizione))</f>
        <v>800</v>
      </c>
      <c r="P279" s="1661" t="str">
        <f>HYPERLINK(Valori[[#This Row],[P_Source]],"è")</f>
        <v>è</v>
      </c>
      <c r="Q279" s="1663" t="str">
        <f>HYPERLINK(Valori[[#This Row],[Info_W]],"i")</f>
        <v>i</v>
      </c>
      <c r="R279" s="1664" t="str">
        <f>HYPERLINK(Valori[[#This Row],[FN_W]],"")</f>
        <v></v>
      </c>
      <c r="S279" s="1665" t="str">
        <f>HYPERLINK(Valori[[#This Row],[MS_Link]],"")</f>
        <v></v>
      </c>
      <c r="T279" s="1665" t="str">
        <f>HYPERLINK(Valori[[#This Row],[C_source]],"")</f>
        <v></v>
      </c>
      <c r="U279" s="142" t="str" cm="1">
        <f t="array" aca="1" ref="U279" ca="1">OFFSET(POrigin,MATCH(Valori[[#This Row],[LUKB_id]],PID,0),MATCH("M_CUR",PLabel,0)-1,1,1)</f>
        <v>CHF</v>
      </c>
      <c r="V279" s="1562">
        <f ca="1">(Valori[[#This Row],[Last]]+Valori[[#This Row],[Acc. Int]])/Valori[[#This Row],[Pr.Amt]]/IF(Valori[[#This Row],[P_Type]]="Pct",100,1)</f>
        <v>123.21000000000001</v>
      </c>
      <c r="W279" s="1591" cm="1">
        <f t="array" aca="1" ref="W279" ca="1">OFFSET(POrigin,MATCH(Valori[[#This Row],[LUKB_id]],PID,0),MATCH("NC2_PR",PLabel,0)-1,1,1)/100</f>
        <v>-2.9307492318600793E-2</v>
      </c>
      <c r="X279" s="1592" cm="1">
        <f t="array" aca="1" ref="X279" ca="1">OFFSET(POrigin,MATCH(Valori[[#This Row],[LUKB_id]],PID,0),MATCH("LVAL",PLabel,0)-1,1,1)</f>
        <v>123.21000000000001</v>
      </c>
      <c r="Y279" s="1593" cm="1">
        <f t="array" aca="1" ref="Y279" ca="1">OFFSET(POrigin,MATCH(Valori[[#This Row],[LUKB_id]],PID,0),MATCH("LVAL:datetime",PLabel,0)-1,1,1)</f>
        <v>46083.657824074071</v>
      </c>
      <c r="Z279" s="1594" cm="1">
        <f t="array" aca="1" ref="Z279" ca="1">OFFSET(POrigin,MATCH(Valori[[#This Row],[LUKB_id]],PID,0),MATCH("BID:volume",PLabel,0)-1,1,1)</f>
        <v>0</v>
      </c>
      <c r="AA279" s="1595" cm="1">
        <f t="array" aca="1" ref="AA279" ca="1">OFFSET(POrigin,MATCH(Valori[[#This Row],[LUKB_id]],PID,0),MATCH("BID",PLabel,0)-1,1,1)</f>
        <v>0</v>
      </c>
      <c r="AB279" s="1595" cm="1">
        <f t="array" aca="1" ref="AB279" ca="1">OFFSET(POrigin,MATCH(Valori[[#This Row],[LUKB_id]],PID,0),MATCH("ASK",PLabel,0)-1,1,1)</f>
        <v>0</v>
      </c>
      <c r="AC279" s="1594" cm="1">
        <f t="array" aca="1" ref="AC279" ca="1">OFFSET(POrigin,MATCH(Valori[[#This Row],[LUKB_id]],PID,0),MATCH("ASK:volume",PLabel,0)-1,1,1)</f>
        <v>0</v>
      </c>
      <c r="AD279" s="1596" cm="1">
        <f t="array" aca="1" ref="AD279" ca="1">OFFSET(POrigin,MATCH(Valori[[#This Row],[LUKB_id]],PID,0),MATCH("BID-ASK Spread %",PLabel,0)-1,1,1)</f>
        <v>0</v>
      </c>
      <c r="AE279" s="1597" t="str" cm="1">
        <f t="array" aca="1" ref="AE279" ca="1">IF(OFFSET(POrigin,MATCH(Valori[[#This Row],[LUKB_id]],PID,0),MATCH("MATURITY",PLabel,0)-1,1,1)&gt;0,OFFSET(POrigin,MATCH(Valori[[#This Row],[LUKB_id]],PID,0),MATCH("MATURITY",PLabel,0)-1,1,1),"")</f>
        <v/>
      </c>
      <c r="AF279" s="1598" cm="1">
        <f t="array" aca="1" ref="AF279" ca="1">OFFSET(POrigin,MATCH(Valori[[#This Row],[LUKB_id]],PID,0),MATCH("ACCINT",PLabel,0)-1,1,1)</f>
        <v>0</v>
      </c>
      <c r="AG279" s="1594" cm="1">
        <f t="array" aca="1" ref="AG279" ca="1">OFFSET(POrigin,MATCH(Valori[[#This Row],[LUKB_id]],PID,0),MATCH("DENOM",PLabel,0)-1,1,1)</f>
        <v>0</v>
      </c>
      <c r="AH279" s="1599" cm="1">
        <f t="array" aca="1" ref="AH279" ca="1">(OFFSET(POrigin,MATCH(Valori[[#This Row],[LUKB_id]],PID,0),MATCH("YIELD",PLabel,0)-1,1,1)+OFFSET(POrigin,MATCH(Valori[[#This Row],[LUKB_id]],PID,0),MATCH("YLDEQ",PLabel,0)-1,1,1))/100</f>
        <v>0</v>
      </c>
      <c r="AI279" s="1600">
        <f ca="1">OFFSET(POrigin,MATCH(Valori[[#This Row],[LUKB_id]],PID,0),MATCH("DIVIDEND",PLabel,0)-1,1,1)</f>
        <v>0</v>
      </c>
      <c r="AJ279" s="1601">
        <f ca="1">OFFSET(POrigin,MATCH(Valori[[#This Row],[LUKB_id]],PID,0),MATCH("DIVIDEND:datetime",PLabel,0)-1,1,1)</f>
        <v>0</v>
      </c>
      <c r="AK279" s="1602">
        <f ca="1">OFFSET(POrigin,MATCH(Valori[[#This Row],[LUKB_id]],PID,0),MATCH("INTEREST",PLabel,0)-1,1,1)</f>
        <v>0</v>
      </c>
      <c r="AL279" s="1603">
        <f ca="1">OFFSET(POrigin,MATCH(Valori[[#This Row],[LUKB_id]],PID,0),MATCH("4W_PERF_PR",PLabel,0)-1,1,1)/100</f>
        <v>6.2066149448756006E-3</v>
      </c>
      <c r="AM279" s="1603">
        <f ca="1">OFFSET(POrigin,MATCH(Valori[[#This Row],[LUKB_id]],PID,0),MATCH("12W_PERF_PR",PLabel,0)-1,1,1)/100</f>
        <v>0.141467481934409</v>
      </c>
      <c r="AN279" s="1603">
        <f ca="1">OFFSET(POrigin,MATCH(Valori[[#This Row],[LUKB_id]],PID,0),MATCH("YTD_PERF_PR",PLabel,0)-1,1,1)/100</f>
        <v>9.3159435719989345E-2</v>
      </c>
      <c r="AO279" s="1591">
        <v>0.05</v>
      </c>
      <c r="AP279" s="1591">
        <v>0</v>
      </c>
      <c r="AQ279" s="1591">
        <v>2.0299999999999999E-2</v>
      </c>
      <c r="AR279" s="1591">
        <v>0</v>
      </c>
      <c r="AS279" s="1890" t="s">
        <v>1715</v>
      </c>
      <c r="AT279" s="1890" t="s">
        <v>877</v>
      </c>
      <c r="AU279" s="610"/>
      <c r="AV279" s="1891" t="s">
        <v>1716</v>
      </c>
      <c r="AW279" s="1604" t="str">
        <f>"https://boersenundmaerkte.lukb.ch/lukb/details/"&amp;Valori[[#This Row],[LUKB_id]]</f>
        <v>https://boersenundmaerkte.lukb.ch/lukb/details/46424244,3233,1</v>
      </c>
      <c r="AX279"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9" s="142"/>
      <c r="AZ279" s="142"/>
      <c r="BA279" s="142"/>
      <c r="BB279" s="142"/>
    </row>
    <row r="280" spans="1:54" ht="15" customHeight="1" x14ac:dyDescent="0.2">
      <c r="A280" s="142" t="s">
        <v>1717</v>
      </c>
      <c r="B280" s="142" t="s">
        <v>1718</v>
      </c>
      <c r="C280" s="1668" t="str">
        <f>HYPERLINK("https://boersenundmaerkte.lukb.ch/lukb/details/"&amp;Valori[[#This Row],[LUKB_id]],"è")</f>
        <v>è</v>
      </c>
      <c r="D280" s="142" t="str" cm="1">
        <f t="array" aca="1" ref="D280" ca="1">OFFSET(POrigin,MATCH(Valori[[#This Row],[LUKB_id]],PID,0),MATCH("SC_GROUPED",PIntestazioni,0)-1,1,1)</f>
        <v>FON</v>
      </c>
      <c r="E280" s="413" t="str" cm="1">
        <f t="array" aca="1" ref="E280" ca="1">OFFSET(POrigin,MATCH(Valori[[#This Row],[LUKB_id]],PID,0),MATCH("isin",PIntestazioni,0)-1,1,1)</f>
        <v>LU0071006638</v>
      </c>
      <c r="F280" s="34" t="str" cm="1">
        <f t="array" aca="1" ref="F280" ca="1">OFFSET(POrigin,MATCH(Valori[[#This Row],[LUKB_id]],PID,0),MATCH("NSIN_CH",PLabel,0)-1,1,1)</f>
        <v>529250</v>
      </c>
      <c r="G280" s="95" t="str" cm="1">
        <f t="array" aca="1" ref="G280" ca="1">IF(OFFSET(POrigin,MATCH(Valori[[#This Row],[LUKB_id]],PID,0),MATCH("INSTRUNIT",PLabel,0)-1,1,1)="Nominal","Pct","Unit")</f>
        <v>Unit</v>
      </c>
      <c r="H280" s="612">
        <f ca="1">MAX(OFFSET(POrigin,MATCH(Valori[[#This Row],[LUKB_id]],PID,0),MATCH("PRICINGAMT",PLabel,0)-1,1,1),1)</f>
        <v>1</v>
      </c>
      <c r="I280" s="615" t="str" cm="1">
        <f t="array" aca="1" ref="I280" ca="1">OFFSET(POrigin,MATCH(Valori[[#This Row],[LUKB_id]],PID,0),MATCH("M_NAME",PLabel,0)-1,1,1)</f>
        <v>UBS (Lux) Bond Fund FCP - Global Flexible</v>
      </c>
      <c r="J280" s="142" t="s">
        <v>748</v>
      </c>
      <c r="M280" s="142" t="str" cm="1">
        <f t="array" aca="1" ref="M2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Bond Fund - Global - (CHF) P-acc</v>
      </c>
      <c r="N280" s="1563">
        <f ca="1">COUNTIF('CHF M'!smo_id,Valori[[#This Row],[smo_id]])+COUNTIF('CHF MA'!smo_id,Valori[[#This Row],[smo_id]])+COUNTIF('EUR MB'!smo_id,Valori[[#This Row],[smo_id]])+COUNTIF('EUR M'!smo_id,Valori[[#This Row],[smo_id]])+COUNTIF(AGCO!smo_id,Valori[[#This Row],[smo_id]])</f>
        <v>2</v>
      </c>
      <c r="O280" s="1590" cm="1">
        <f t="array" aca="1" ref="O280" ca="1">SUM(IF('CHF M'!smo_id=Valori[[#This Row],[smo_id]],'CHF M'!Posizione))+SUM(IF('CHF MA'!smo_id=Valori[[#This Row],[smo_id]],'CHF MA'!Posizione))+SUM(IF('EUR MB'!smo_id=Valori[[#This Row],[smo_id]],'EUR MB'!Posizione))+SUM(IF('EUR M'!smo_id=Valori[[#This Row],[smo_id]],'EUR M'!Posizione))+SUM(IF(AGCO!smo_id=Valori[[#This Row],[smo_id]],AGCO!Posizione))</f>
        <v>0</v>
      </c>
      <c r="P280" s="1661" t="str">
        <f>HYPERLINK(Valori[[#This Row],[P_Source]],"è")</f>
        <v>è</v>
      </c>
      <c r="Q280" s="1663" t="str">
        <f>HYPERLINK(Valori[[#This Row],[Info_W]],"i")</f>
        <v>i</v>
      </c>
      <c r="R280" s="1664" t="str">
        <f>HYPERLINK(Valori[[#This Row],[FN_W]],"")</f>
        <v></v>
      </c>
      <c r="S280" s="1665" t="str">
        <f>HYPERLINK(Valori[[#This Row],[MS_Link]],"")</f>
        <v></v>
      </c>
      <c r="T280" s="1665" t="str">
        <f>HYPERLINK(Valori[[#This Row],[C_source]],"")</f>
        <v></v>
      </c>
      <c r="U280" s="142" t="str" cm="1">
        <f t="array" aca="1" ref="U280" ca="1">OFFSET(POrigin,MATCH(Valori[[#This Row],[LUKB_id]],PID,0),MATCH("M_CUR",PLabel,0)-1,1,1)</f>
        <v>CHF</v>
      </c>
      <c r="V280" s="1562">
        <f ca="1">(Valori[[#This Row],[Last]]+Valori[[#This Row],[Acc. Int]])/Valori[[#This Row],[Pr.Amt]]/IF(Valori[[#This Row],[P_Type]]="Pct",100,1)</f>
        <v>758.95</v>
      </c>
      <c r="W280" s="1591" cm="1">
        <f t="array" aca="1" ref="W280" ca="1">OFFSET(POrigin,MATCH(Valori[[#This Row],[LUKB_id]],PID,0),MATCH("NC2_PR",PLabel,0)-1,1,1)/100</f>
        <v>-3.8195994014647936E-3</v>
      </c>
      <c r="X280" s="1592" cm="1">
        <f t="array" aca="1" ref="X280" ca="1">OFFSET(POrigin,MATCH(Valori[[#This Row],[LUKB_id]],PID,0),MATCH("LVAL",PLabel,0)-1,1,1)</f>
        <v>758.95</v>
      </c>
      <c r="Y280" s="1593" cm="1">
        <f t="array" aca="1" ref="Y280" ca="1">OFFSET(POrigin,MATCH(Valori[[#This Row],[LUKB_id]],PID,0),MATCH("LVAL:datetime",PLabel,0)-1,1,1)</f>
        <v>46083.657824074071</v>
      </c>
      <c r="Z280" s="1594" cm="1">
        <f t="array" aca="1" ref="Z280" ca="1">OFFSET(POrigin,MATCH(Valori[[#This Row],[LUKB_id]],PID,0),MATCH("BID:volume",PLabel,0)-1,1,1)</f>
        <v>0</v>
      </c>
      <c r="AA280" s="1595" cm="1">
        <f t="array" aca="1" ref="AA280" ca="1">OFFSET(POrigin,MATCH(Valori[[#This Row],[LUKB_id]],PID,0),MATCH("BID",PLabel,0)-1,1,1)</f>
        <v>0</v>
      </c>
      <c r="AB280" s="1595" cm="1">
        <f t="array" aca="1" ref="AB280" ca="1">OFFSET(POrigin,MATCH(Valori[[#This Row],[LUKB_id]],PID,0),MATCH("ASK",PLabel,0)-1,1,1)</f>
        <v>0</v>
      </c>
      <c r="AC280" s="1594" cm="1">
        <f t="array" aca="1" ref="AC280" ca="1">OFFSET(POrigin,MATCH(Valori[[#This Row],[LUKB_id]],PID,0),MATCH("ASK:volume",PLabel,0)-1,1,1)</f>
        <v>0</v>
      </c>
      <c r="AD280" s="1596" cm="1">
        <f t="array" aca="1" ref="AD280" ca="1">OFFSET(POrigin,MATCH(Valori[[#This Row],[LUKB_id]],PID,0),MATCH("BID-ASK Spread %",PLabel,0)-1,1,1)</f>
        <v>0</v>
      </c>
      <c r="AE280" s="1597" t="str" cm="1">
        <f t="array" aca="1" ref="AE280" ca="1">IF(OFFSET(POrigin,MATCH(Valori[[#This Row],[LUKB_id]],PID,0),MATCH("MATURITY",PLabel,0)-1,1,1)&gt;0,OFFSET(POrigin,MATCH(Valori[[#This Row],[LUKB_id]],PID,0),MATCH("MATURITY",PLabel,0)-1,1,1),"")</f>
        <v/>
      </c>
      <c r="AF280" s="1598" cm="1">
        <f t="array" aca="1" ref="AF280" ca="1">OFFSET(POrigin,MATCH(Valori[[#This Row],[LUKB_id]],PID,0),MATCH("ACCINT",PLabel,0)-1,1,1)</f>
        <v>0</v>
      </c>
      <c r="AG280" s="1594" cm="1">
        <f t="array" aca="1" ref="AG280" ca="1">OFFSET(POrigin,MATCH(Valori[[#This Row],[LUKB_id]],PID,0),MATCH("DENOM",PLabel,0)-1,1,1)</f>
        <v>0</v>
      </c>
      <c r="AH280" s="1599" cm="1">
        <f t="array" aca="1" ref="AH280" ca="1">(OFFSET(POrigin,MATCH(Valori[[#This Row],[LUKB_id]],PID,0),MATCH("YIELD",PLabel,0)-1,1,1)+OFFSET(POrigin,MATCH(Valori[[#This Row],[LUKB_id]],PID,0),MATCH("YLDEQ",PLabel,0)-1,1,1))/100</f>
        <v>0</v>
      </c>
      <c r="AI280" s="1600">
        <f ca="1">OFFSET(POrigin,MATCH(Valori[[#This Row],[LUKB_id]],PID,0),MATCH("DIVIDEND",PLabel,0)-1,1,1)</f>
        <v>0</v>
      </c>
      <c r="AJ280" s="1601">
        <f ca="1">OFFSET(POrigin,MATCH(Valori[[#This Row],[LUKB_id]],PID,0),MATCH("DIVIDEND:datetime",PLabel,0)-1,1,1)</f>
        <v>0</v>
      </c>
      <c r="AK280" s="1602">
        <f ca="1">OFFSET(POrigin,MATCH(Valori[[#This Row],[LUKB_id]],PID,0),MATCH("INTEREST",PLabel,0)-1,1,1)</f>
        <v>0</v>
      </c>
      <c r="AL280" s="1603">
        <f ca="1">OFFSET(POrigin,MATCH(Valori[[#This Row],[LUKB_id]],PID,0),MATCH("4W_PERF_PR",PLabel,0)-1,1,1)/100</f>
        <v>6.7519168015282007E-3</v>
      </c>
      <c r="AM280" s="1603">
        <f ca="1">OFFSET(POrigin,MATCH(Valori[[#This Row],[LUKB_id]],PID,0),MATCH("12W_PERF_PR",PLabel,0)-1,1,1)/100</f>
        <v>1.4259368150959699E-2</v>
      </c>
      <c r="AN280" s="1603">
        <f ca="1">OFFSET(POrigin,MATCH(Valori[[#This Row],[LUKB_id]],PID,0),MATCH("YTD_PERF_PR",PLabel,0)-1,1,1)/100</f>
        <v>1.3934163415807279E-2</v>
      </c>
      <c r="AO280" s="1591"/>
      <c r="AP280" s="1591"/>
      <c r="AQ280" s="1591"/>
      <c r="AR280" s="1591"/>
      <c r="AS280" s="1890" t="s">
        <v>1719</v>
      </c>
      <c r="AT280" s="1890" t="s">
        <v>877</v>
      </c>
      <c r="AU280" s="610"/>
      <c r="AV280" s="1891" t="s">
        <v>1720</v>
      </c>
      <c r="AW280" s="1604" t="str">
        <f>"https://boersenundmaerkte.lukb.ch/lukb/details/"&amp;Valori[[#This Row],[LUKB_id]]</f>
        <v>https://boersenundmaerkte.lukb.ch/lukb/details/529250,3233,1</v>
      </c>
      <c r="AX28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0" s="142"/>
      <c r="AZ280" s="142"/>
      <c r="BA280" s="142"/>
      <c r="BB280" s="142"/>
    </row>
    <row r="281" spans="1:54" ht="15" customHeight="1" x14ac:dyDescent="0.2">
      <c r="A281" s="142" t="s">
        <v>1721</v>
      </c>
      <c r="B281" s="142" t="s">
        <v>1722</v>
      </c>
      <c r="C281" s="1668" t="str">
        <f>HYPERLINK("https://boersenundmaerkte.lukb.ch/lukb/details/"&amp;Valori[[#This Row],[LUKB_id]],"è")</f>
        <v>è</v>
      </c>
      <c r="D281" s="142" t="str" cm="1">
        <f t="array" aca="1" ref="D281" ca="1">OFFSET(POrigin,MATCH(Valori[[#This Row],[LUKB_id]],PID,0),MATCH("SC_GROUPED",PIntestazioni,0)-1,1,1)</f>
        <v>FON</v>
      </c>
      <c r="E281" s="413" t="str" cm="1">
        <f t="array" aca="1" ref="E281" ca="1">OFFSET(POrigin,MATCH(Valori[[#This Row],[LUKB_id]],PID,0),MATCH("isin",PIntestazioni,0)-1,1,1)</f>
        <v>LU1240788148</v>
      </c>
      <c r="F281" s="34" t="str" cm="1">
        <f t="array" aca="1" ref="F281" ca="1">OFFSET(POrigin,MATCH(Valori[[#This Row],[LUKB_id]],PID,0),MATCH("NSIN_CH",PLabel,0)-1,1,1)</f>
        <v>28364651</v>
      </c>
      <c r="G281" s="95" t="str" cm="1">
        <f t="array" aca="1" ref="G281" ca="1">IF(OFFSET(POrigin,MATCH(Valori[[#This Row],[LUKB_id]],PID,0),MATCH("INSTRUNIT",PLabel,0)-1,1,1)="Nominal","Pct","Unit")</f>
        <v>Unit</v>
      </c>
      <c r="H281" s="612">
        <f ca="1">MAX(OFFSET(POrigin,MATCH(Valori[[#This Row],[LUKB_id]],PID,0),MATCH("PRICINGAMT",PLabel,0)-1,1,1),1)</f>
        <v>1</v>
      </c>
      <c r="I281" s="615" t="str" cm="1">
        <f t="array" aca="1" ref="I281" ca="1">OFFSET(POrigin,MATCH(Valori[[#This Row],[LUKB_id]],PID,0),MATCH("M_NAME",PLabel,0)-1,1,1)</f>
        <v>UBS (Lux) Equity SICAV - Swiss Opportunity (CHF)</v>
      </c>
      <c r="M281" s="142" t="str" cm="1">
        <f t="array" aca="1" ref="M2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Equity SICAV - Swiss Opportunity (CHF)</v>
      </c>
      <c r="N281" s="1563">
        <f ca="1">COUNTIF('CHF M'!smo_id,Valori[[#This Row],[smo_id]])+COUNTIF('CHF MA'!smo_id,Valori[[#This Row],[smo_id]])+COUNTIF('EUR MB'!smo_id,Valori[[#This Row],[smo_id]])+COUNTIF('EUR M'!smo_id,Valori[[#This Row],[smo_id]])+COUNTIF(AGCO!smo_id,Valori[[#This Row],[smo_id]])</f>
        <v>1</v>
      </c>
      <c r="O281" s="1590" cm="1">
        <f t="array" aca="1" ref="O281" ca="1">SUM(IF('CHF M'!smo_id=Valori[[#This Row],[smo_id]],'CHF M'!Posizione))+SUM(IF('CHF MA'!smo_id=Valori[[#This Row],[smo_id]],'CHF MA'!Posizione))+SUM(IF('EUR MB'!smo_id=Valori[[#This Row],[smo_id]],'EUR MB'!Posizione))+SUM(IF('EUR M'!smo_id=Valori[[#This Row],[smo_id]],'EUR M'!Posizione))+SUM(IF(AGCO!smo_id=Valori[[#This Row],[smo_id]],AGCO!Posizione))</f>
        <v>0</v>
      </c>
      <c r="P281" s="1661" t="str">
        <f>HYPERLINK(Valori[[#This Row],[P_Source]],"è")</f>
        <v>è</v>
      </c>
      <c r="Q281" s="1663" t="str">
        <f>HYPERLINK(Valori[[#This Row],[Info_W]],"i")</f>
        <v>i</v>
      </c>
      <c r="R281" s="1664" t="str">
        <f>HYPERLINK(Valori[[#This Row],[FN_W]],"")</f>
        <v></v>
      </c>
      <c r="S281" s="1665" t="str">
        <f>HYPERLINK(Valori[[#This Row],[MS_Link]],"")</f>
        <v></v>
      </c>
      <c r="T281" s="1665" t="str">
        <f>HYPERLINK(Valori[[#This Row],[C_source]],"")</f>
        <v></v>
      </c>
      <c r="U281" s="142" t="str" cm="1">
        <f t="array" aca="1" ref="U281" ca="1">OFFSET(POrigin,MATCH(Valori[[#This Row],[LUKB_id]],PID,0),MATCH("M_CUR",PLabel,0)-1,1,1)</f>
        <v>CHF</v>
      </c>
      <c r="V281" s="1562">
        <f ca="1">(Valori[[#This Row],[Last]]+Valori[[#This Row],[Acc. Int]])/Valori[[#This Row],[Pr.Amt]]/IF(Valori[[#This Row],[P_Type]]="Pct",100,1)</f>
        <v>204.71</v>
      </c>
      <c r="W281" s="1591" cm="1">
        <f t="array" aca="1" ref="W281" ca="1">OFFSET(POrigin,MATCH(Valori[[#This Row],[LUKB_id]],PID,0),MATCH("NC2_PR",PLabel,0)-1,1,1)/100</f>
        <v>-1.2208067940552021E-2</v>
      </c>
      <c r="X281" s="1592" cm="1">
        <f t="array" aca="1" ref="X281" ca="1">OFFSET(POrigin,MATCH(Valori[[#This Row],[LUKB_id]],PID,0),MATCH("LVAL",PLabel,0)-1,1,1)</f>
        <v>204.71</v>
      </c>
      <c r="Y281" s="1593" cm="1">
        <f t="array" aca="1" ref="Y281" ca="1">OFFSET(POrigin,MATCH(Valori[[#This Row],[LUKB_id]],PID,0),MATCH("LVAL:datetime",PLabel,0)-1,1,1)</f>
        <v>46083.4065162037</v>
      </c>
      <c r="Z281" s="1594" cm="1">
        <f t="array" aca="1" ref="Z281" ca="1">OFFSET(POrigin,MATCH(Valori[[#This Row],[LUKB_id]],PID,0),MATCH("BID:volume",PLabel,0)-1,1,1)</f>
        <v>0</v>
      </c>
      <c r="AA281" s="1595" cm="1">
        <f t="array" aca="1" ref="AA281" ca="1">OFFSET(POrigin,MATCH(Valori[[#This Row],[LUKB_id]],PID,0),MATCH("BID",PLabel,0)-1,1,1)</f>
        <v>0</v>
      </c>
      <c r="AB281" s="1595" cm="1">
        <f t="array" aca="1" ref="AB281" ca="1">OFFSET(POrigin,MATCH(Valori[[#This Row],[LUKB_id]],PID,0),MATCH("ASK",PLabel,0)-1,1,1)</f>
        <v>0</v>
      </c>
      <c r="AC281" s="1594" cm="1">
        <f t="array" aca="1" ref="AC281" ca="1">OFFSET(POrigin,MATCH(Valori[[#This Row],[LUKB_id]],PID,0),MATCH("ASK:volume",PLabel,0)-1,1,1)</f>
        <v>0</v>
      </c>
      <c r="AD281" s="1596" cm="1">
        <f t="array" aca="1" ref="AD281" ca="1">OFFSET(POrigin,MATCH(Valori[[#This Row],[LUKB_id]],PID,0),MATCH("BID-ASK Spread %",PLabel,0)-1,1,1)</f>
        <v>0</v>
      </c>
      <c r="AE281" s="1597" t="str" cm="1">
        <f t="array" aca="1" ref="AE281" ca="1">IF(OFFSET(POrigin,MATCH(Valori[[#This Row],[LUKB_id]],PID,0),MATCH("MATURITY",PLabel,0)-1,1,1)&gt;0,OFFSET(POrigin,MATCH(Valori[[#This Row],[LUKB_id]],PID,0),MATCH("MATURITY",PLabel,0)-1,1,1),"")</f>
        <v/>
      </c>
      <c r="AF281" s="1598" cm="1">
        <f t="array" aca="1" ref="AF281" ca="1">OFFSET(POrigin,MATCH(Valori[[#This Row],[LUKB_id]],PID,0),MATCH("ACCINT",PLabel,0)-1,1,1)</f>
        <v>0</v>
      </c>
      <c r="AG281" s="1594" cm="1">
        <f t="array" aca="1" ref="AG281" ca="1">OFFSET(POrigin,MATCH(Valori[[#This Row],[LUKB_id]],PID,0),MATCH("DENOM",PLabel,0)-1,1,1)</f>
        <v>0</v>
      </c>
      <c r="AH281" s="1599" cm="1">
        <f t="array" aca="1" ref="AH281" ca="1">(OFFSET(POrigin,MATCH(Valori[[#This Row],[LUKB_id]],PID,0),MATCH("YIELD",PLabel,0)-1,1,1)+OFFSET(POrigin,MATCH(Valori[[#This Row],[LUKB_id]],PID,0),MATCH("YLDEQ",PLabel,0)-1,1,1))/100</f>
        <v>0</v>
      </c>
      <c r="AI281" s="1600">
        <f ca="1">OFFSET(POrigin,MATCH(Valori[[#This Row],[LUKB_id]],PID,0),MATCH("DIVIDEND",PLabel,0)-1,1,1)</f>
        <v>0</v>
      </c>
      <c r="AJ281" s="1601">
        <f ca="1">OFFSET(POrigin,MATCH(Valori[[#This Row],[LUKB_id]],PID,0),MATCH("DIVIDEND:datetime",PLabel,0)-1,1,1)</f>
        <v>0</v>
      </c>
      <c r="AK281" s="1602">
        <f ca="1">OFFSET(POrigin,MATCH(Valori[[#This Row],[LUKB_id]],PID,0),MATCH("INTEREST",PLabel,0)-1,1,1)</f>
        <v>0</v>
      </c>
      <c r="AL281" s="1603">
        <f ca="1">OFFSET(POrigin,MATCH(Valori[[#This Row],[LUKB_id]],PID,0),MATCH("4W_PERF_PR",PLabel,0)-1,1,1)/100</f>
        <v>3.3627871749558197E-2</v>
      </c>
      <c r="AM281" s="1603">
        <f ca="1">OFFSET(POrigin,MATCH(Valori[[#This Row],[LUKB_id]],PID,0),MATCH("12W_PERF_PR",PLabel,0)-1,1,1)/100</f>
        <v>6.6197916666666801E-2</v>
      </c>
      <c r="AN281" s="1603">
        <f ca="1">OFFSET(POrigin,MATCH(Valori[[#This Row],[LUKB_id]],PID,0),MATCH("YTD_PERF_PR",PLabel,0)-1,1,1)/100</f>
        <v>4.1516153650470594E-2</v>
      </c>
      <c r="AO281" s="1591"/>
      <c r="AP281" s="1591"/>
      <c r="AQ281" s="1591"/>
      <c r="AR281" s="1591"/>
      <c r="AS281" s="1890"/>
      <c r="AT281" s="1890"/>
      <c r="AU281" s="610"/>
      <c r="AV281" s="1891"/>
      <c r="AW281" s="1604" t="str">
        <f>"https://boersenundmaerkte.lukb.ch/lukb/details/"&amp;Valori[[#This Row],[LUKB_id]]</f>
        <v>https://boersenundmaerkte.lukb.ch/lukb/details/28364651,3233,1</v>
      </c>
      <c r="AX28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1" s="142"/>
      <c r="AZ281" s="142"/>
      <c r="BA281" s="142"/>
      <c r="BB281" s="142"/>
    </row>
    <row r="282" spans="1:54" ht="15" customHeight="1" x14ac:dyDescent="0.2">
      <c r="A282" s="142" t="s">
        <v>1723</v>
      </c>
      <c r="B282" s="142" t="str" cm="1">
        <f t="array" aca="1" ref="B282" ca="1">OFFSET(POrigin,MATCH(Valori[[#This Row],[smo_id]],Posizioni[smo_id],0),MATCH("LUKB_id",PIntestazioni,0)-1,1,1)</f>
        <v>28369104,190,1</v>
      </c>
      <c r="C282" s="1668" t="str">
        <f ca="1">HYPERLINK("https://boersenundmaerkte.lukb.ch/lukb/details/"&amp;Valori[[#This Row],[LUKB_id]],"è")</f>
        <v>è</v>
      </c>
      <c r="D282" s="142" t="str" cm="1">
        <f t="array" aca="1" ref="D282" ca="1">OFFSET(POrigin,MATCH(Valori[[#This Row],[LUKB_id]],PID,0),MATCH("SC_GROUPED",PIntestazioni,0)-1,1,1)</f>
        <v>FON</v>
      </c>
      <c r="E282" s="413" t="str" cm="1">
        <f t="array" aca="1" ref="E282" ca="1">OFFSET(POrigin,MATCH(Valori[[#This Row],[LUKB_id]],PID,0),MATCH("isin",PIntestazioni,0)-1,1,1)</f>
        <v>LU1240780590</v>
      </c>
      <c r="F282" s="34" t="str" cm="1">
        <f t="array" aca="1" ref="F282" ca="1">OFFSET(POrigin,MATCH(Valori[[#This Row],[LUKB_id]],PID,0),MATCH("NSIN_CH",PLabel,0)-1,1,1)</f>
        <v>28369104</v>
      </c>
      <c r="G282" s="95" t="str" cm="1">
        <f t="array" aca="1" ref="G282" ca="1">IF(OFFSET(POrigin,MATCH(Valori[[#This Row],[LUKB_id]],PID,0),MATCH("INSTRUNIT",PLabel,0)-1,1,1)="Nominal","Pct","Unit")</f>
        <v>Unit</v>
      </c>
      <c r="H282" s="612">
        <f ca="1">MAX(OFFSET(POrigin,MATCH(Valori[[#This Row],[LUKB_id]],PID,0),MATCH("PRICINGAMT",PLabel,0)-1,1,1),1)</f>
        <v>1</v>
      </c>
      <c r="I282" s="615" t="str" cm="1">
        <f t="array" aca="1" ref="I282" ca="1">OFFSET(POrigin,MATCH(Valori[[#This Row],[LUKB_id]],PID,0),MATCH("M_NAME",PLabel,0)-1,1,1)</f>
        <v>UBS (Lux) Equity Fund FCP - Greater China (USD)</v>
      </c>
      <c r="J282" s="142" t="s">
        <v>1724</v>
      </c>
      <c r="M282" s="142" t="str" cm="1">
        <f t="array" aca="1" ref="M2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Equity Greater China - CHF hedged - Q (Acc)</v>
      </c>
      <c r="N282" s="1563">
        <f ca="1">COUNTIF('CHF M'!smo_id,Valori[[#This Row],[smo_id]])+COUNTIF('CHF MA'!smo_id,Valori[[#This Row],[smo_id]])+COUNTIF('EUR MB'!smo_id,Valori[[#This Row],[smo_id]])+COUNTIF('EUR M'!smo_id,Valori[[#This Row],[smo_id]])+COUNTIF(AGCO!smo_id,Valori[[#This Row],[smo_id]])</f>
        <v>0</v>
      </c>
      <c r="O282" s="1590" cm="1">
        <f t="array" aca="1" ref="O282" ca="1">SUM(IF('CHF M'!smo_id=Valori[[#This Row],[smo_id]],'CHF M'!Posizione))+SUM(IF('CHF MA'!smo_id=Valori[[#This Row],[smo_id]],'CHF MA'!Posizione))+SUM(IF('EUR MB'!smo_id=Valori[[#This Row],[smo_id]],'EUR MB'!Posizione))+SUM(IF('EUR M'!smo_id=Valori[[#This Row],[smo_id]],'EUR M'!Posizione))+SUM(IF(AGCO!smo_id=Valori[[#This Row],[smo_id]],AGCO!Posizione))</f>
        <v>0</v>
      </c>
      <c r="P282" s="1661" t="str">
        <f ca="1">HYPERLINK(Valori[[#This Row],[P_Source]],"è")</f>
        <v>è</v>
      </c>
      <c r="Q282" s="1663" t="str">
        <f>HYPERLINK(Valori[[#This Row],[Info_W]],"i")</f>
        <v>i</v>
      </c>
      <c r="R282" s="1664" t="str">
        <f>HYPERLINK(Valori[[#This Row],[FN_W]],"")</f>
        <v></v>
      </c>
      <c r="S282" s="1665" t="str">
        <f>HYPERLINK(Valori[[#This Row],[MS_Link]],"")</f>
        <v></v>
      </c>
      <c r="T282" s="1665" t="str">
        <f>HYPERLINK(Valori[[#This Row],[C_source]],"")</f>
        <v></v>
      </c>
      <c r="U282" s="142" t="str" cm="1">
        <f t="array" aca="1" ref="U282" ca="1">OFFSET(POrigin,MATCH(Valori[[#This Row],[LUKB_id]],PID,0),MATCH("M_CUR",PLabel,0)-1,1,1)</f>
        <v>CHF</v>
      </c>
      <c r="V282" s="1562">
        <f ca="1">(Valori[[#This Row],[Last]]+Valori[[#This Row],[Acc. Int]])/Valori[[#This Row],[Pr.Amt]]/IF(Valori[[#This Row],[P_Type]]="Pct",100,1)</f>
        <v>194.74</v>
      </c>
      <c r="W282" s="1591" cm="1">
        <f t="array" aca="1" ref="W282" ca="1">OFFSET(POrigin,MATCH(Valori[[#This Row],[LUKB_id]],PID,0),MATCH("NC2_PR",PLabel,0)-1,1,1)/100</f>
        <v>-1.7209184960888198E-2</v>
      </c>
      <c r="X282" s="1592" cm="1">
        <f t="array" aca="1" ref="X282" ca="1">OFFSET(POrigin,MATCH(Valori[[#This Row],[LUKB_id]],PID,0),MATCH("LVAL",PLabel,0)-1,1,1)</f>
        <v>194.74</v>
      </c>
      <c r="Y282" s="1593" cm="1">
        <f t="array" aca="1" ref="Y282" ca="1">OFFSET(POrigin,MATCH(Valori[[#This Row],[LUKB_id]],PID,0),MATCH("LVAL:datetime",PLabel,0)-1,1,1)</f>
        <v>46083.881851851853</v>
      </c>
      <c r="Z282" s="1594" cm="1">
        <f t="array" aca="1" ref="Z282" ca="1">OFFSET(POrigin,MATCH(Valori[[#This Row],[LUKB_id]],PID,0),MATCH("BID:volume",PLabel,0)-1,1,1)</f>
        <v>0</v>
      </c>
      <c r="AA282" s="1595" cm="1">
        <f t="array" aca="1" ref="AA282" ca="1">OFFSET(POrigin,MATCH(Valori[[#This Row],[LUKB_id]],PID,0),MATCH("BID",PLabel,0)-1,1,1)</f>
        <v>0</v>
      </c>
      <c r="AB282" s="1595" cm="1">
        <f t="array" aca="1" ref="AB282" ca="1">OFFSET(POrigin,MATCH(Valori[[#This Row],[LUKB_id]],PID,0),MATCH("ASK",PLabel,0)-1,1,1)</f>
        <v>0</v>
      </c>
      <c r="AC282" s="1594" cm="1">
        <f t="array" aca="1" ref="AC282" ca="1">OFFSET(POrigin,MATCH(Valori[[#This Row],[LUKB_id]],PID,0),MATCH("ASK:volume",PLabel,0)-1,1,1)</f>
        <v>0</v>
      </c>
      <c r="AD282" s="1596" cm="1">
        <f t="array" aca="1" ref="AD282" ca="1">OFFSET(POrigin,MATCH(Valori[[#This Row],[LUKB_id]],PID,0),MATCH("BID-ASK Spread %",PLabel,0)-1,1,1)</f>
        <v>0</v>
      </c>
      <c r="AE282" s="1597" t="str" cm="1">
        <f t="array" aca="1" ref="AE282" ca="1">IF(OFFSET(POrigin,MATCH(Valori[[#This Row],[LUKB_id]],PID,0),MATCH("MATURITY",PLabel,0)-1,1,1)&gt;0,OFFSET(POrigin,MATCH(Valori[[#This Row],[LUKB_id]],PID,0),MATCH("MATURITY",PLabel,0)-1,1,1),"")</f>
        <v/>
      </c>
      <c r="AF282" s="1598" cm="1">
        <f t="array" aca="1" ref="AF282" ca="1">OFFSET(POrigin,MATCH(Valori[[#This Row],[LUKB_id]],PID,0),MATCH("ACCINT",PLabel,0)-1,1,1)</f>
        <v>0</v>
      </c>
      <c r="AG282" s="1594" cm="1">
        <f t="array" aca="1" ref="AG282" ca="1">OFFSET(POrigin,MATCH(Valori[[#This Row],[LUKB_id]],PID,0),MATCH("DENOM",PLabel,0)-1,1,1)</f>
        <v>0</v>
      </c>
      <c r="AH282" s="1599" cm="1">
        <f t="array" aca="1" ref="AH282" ca="1">(OFFSET(POrigin,MATCH(Valori[[#This Row],[LUKB_id]],PID,0),MATCH("YIELD",PLabel,0)-1,1,1)+OFFSET(POrigin,MATCH(Valori[[#This Row],[LUKB_id]],PID,0),MATCH("YLDEQ",PLabel,0)-1,1,1))/100</f>
        <v>0</v>
      </c>
      <c r="AI282" s="1600">
        <f ca="1">OFFSET(POrigin,MATCH(Valori[[#This Row],[LUKB_id]],PID,0),MATCH("DIVIDEND",PLabel,0)-1,1,1)</f>
        <v>0</v>
      </c>
      <c r="AJ282" s="1601">
        <f ca="1">OFFSET(POrigin,MATCH(Valori[[#This Row],[LUKB_id]],PID,0),MATCH("DIVIDEND:datetime",PLabel,0)-1,1,1)</f>
        <v>0</v>
      </c>
      <c r="AK282" s="1602">
        <f ca="1">OFFSET(POrigin,MATCH(Valori[[#This Row],[LUKB_id]],PID,0),MATCH("INTEREST",PLabel,0)-1,1,1)</f>
        <v>0</v>
      </c>
      <c r="AL282" s="1603">
        <f ca="1">OFFSET(POrigin,MATCH(Valori[[#This Row],[LUKB_id]],PID,0),MATCH("4W_PERF_PR",PLabel,0)-1,1,1)/100</f>
        <v>0</v>
      </c>
      <c r="AM282" s="1603">
        <f ca="1">OFFSET(POrigin,MATCH(Valori[[#This Row],[LUKB_id]],PID,0),MATCH("12W_PERF_PR",PLabel,0)-1,1,1)/100</f>
        <v>0</v>
      </c>
      <c r="AN282" s="1603">
        <f ca="1">OFFSET(POrigin,MATCH(Valori[[#This Row],[LUKB_id]],PID,0),MATCH("YTD_PERF_PR",PLabel,0)-1,1,1)/100</f>
        <v>-3.6326426195958448E-3</v>
      </c>
      <c r="AO282" s="1591">
        <v>0.05</v>
      </c>
      <c r="AP282" s="1591">
        <v>0</v>
      </c>
      <c r="AQ282" s="1591">
        <v>1.3100000000000001E-2</v>
      </c>
      <c r="AR282" s="1591">
        <v>0</v>
      </c>
      <c r="AS282" s="1890"/>
      <c r="AT282" s="1890"/>
      <c r="AU282" s="610"/>
      <c r="AV282" s="1891"/>
      <c r="AW282" s="1604" t="str">
        <f ca="1">"https://boersenundmaerkte.lukb.ch/lukb/details/"&amp;Valori[[#This Row],[LUKB_id]]</f>
        <v>https://boersenundmaerkte.lukb.ch/lukb/details/28369104,190,1</v>
      </c>
      <c r="AX282"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2" s="142"/>
      <c r="AZ282" s="142"/>
      <c r="BA282" s="142"/>
      <c r="BB282" s="142"/>
    </row>
    <row r="283" spans="1:54" ht="15" customHeight="1" x14ac:dyDescent="0.2">
      <c r="A283" s="142" t="s">
        <v>1725</v>
      </c>
      <c r="B283" s="142" t="s">
        <v>1726</v>
      </c>
      <c r="C283" s="1668" t="str">
        <f>HYPERLINK("https://boersenundmaerkte.lukb.ch/lukb/details/"&amp;Valori[[#This Row],[LUKB_id]],"è")</f>
        <v>è</v>
      </c>
      <c r="D283" s="142" t="str" cm="1">
        <f t="array" aca="1" ref="D283" ca="1">OFFSET(POrigin,MATCH(Valori[[#This Row],[LUKB_id]],PID,0),MATCH("SC_GROUPED",PIntestazioni,0)-1,1,1)</f>
        <v>FON</v>
      </c>
      <c r="E283" s="413" t="str" cm="1">
        <f t="array" aca="1" ref="E283" ca="1">OFFSET(POrigin,MATCH(Valori[[#This Row],[LUKB_id]],PID,0),MATCH("isin",PIntestazioni,0)-1,1,1)</f>
        <v>LU2049072007</v>
      </c>
      <c r="F283" s="34" t="str" cm="1">
        <f t="array" aca="1" ref="F283" ca="1">OFFSET(POrigin,MATCH(Valori[[#This Row],[LUKB_id]],PID,0),MATCH("NSIN_CH",PLabel,0)-1,1,1)</f>
        <v>49729495</v>
      </c>
      <c r="G283" s="95" t="str" cm="1">
        <f t="array" aca="1" ref="G283" ca="1">IF(OFFSET(POrigin,MATCH(Valori[[#This Row],[LUKB_id]],PID,0),MATCH("INSTRUNIT",PLabel,0)-1,1,1)="Nominal","Pct","Unit")</f>
        <v>Unit</v>
      </c>
      <c r="H283" s="612">
        <f ca="1">MAX(OFFSET(POrigin,MATCH(Valori[[#This Row],[LUKB_id]],PID,0),MATCH("PRICINGAMT",PLabel,0)-1,1,1),1)</f>
        <v>1</v>
      </c>
      <c r="I283" s="615" t="str" cm="1">
        <f t="array" aca="1" ref="I283" ca="1">OFFSET(POrigin,MATCH(Valori[[#This Row],[LUKB_id]],PID,0),MATCH("M_NAME",PLabel,0)-1,1,1)</f>
        <v>UBS (Lux) Equity SICAV - European High Dividend (EUR)</v>
      </c>
      <c r="J283" s="142" t="s">
        <v>892</v>
      </c>
      <c r="M283" s="142" t="str" cm="1">
        <f t="array" aca="1" ref="M2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European High Dividend Sust EUR -CHF hedged - QL (Dist)</v>
      </c>
      <c r="N283" s="1563">
        <f ca="1">COUNTIF('CHF M'!smo_id,Valori[[#This Row],[smo_id]])+COUNTIF('CHF MA'!smo_id,Valori[[#This Row],[smo_id]])+COUNTIF('EUR MB'!smo_id,Valori[[#This Row],[smo_id]])+COUNTIF('EUR M'!smo_id,Valori[[#This Row],[smo_id]])+COUNTIF(AGCO!smo_id,Valori[[#This Row],[smo_id]])</f>
        <v>1</v>
      </c>
      <c r="O283" s="1590" cm="1">
        <f t="array" aca="1" ref="O283" ca="1">SUM(IF('CHF M'!smo_id=Valori[[#This Row],[smo_id]],'CHF M'!Posizione))+SUM(IF('CHF MA'!smo_id=Valori[[#This Row],[smo_id]],'CHF MA'!Posizione))+SUM(IF('EUR MB'!smo_id=Valori[[#This Row],[smo_id]],'EUR MB'!Posizione))+SUM(IF('EUR M'!smo_id=Valori[[#This Row],[smo_id]],'EUR M'!Posizione))+SUM(IF(AGCO!smo_id=Valori[[#This Row],[smo_id]],AGCO!Posizione))</f>
        <v>200</v>
      </c>
      <c r="P283" s="1661" t="str">
        <f>HYPERLINK(Valori[[#This Row],[P_Source]],"è")</f>
        <v>è</v>
      </c>
      <c r="Q283" s="1663" t="str">
        <f>HYPERLINK(Valori[[#This Row],[Info_W]],"i")</f>
        <v>i</v>
      </c>
      <c r="R283" s="1664" t="str">
        <f>HYPERLINK(Valori[[#This Row],[FN_W]],"")</f>
        <v></v>
      </c>
      <c r="S283" s="1665" t="str">
        <f>HYPERLINK(Valori[[#This Row],[MS_Link]],"")</f>
        <v></v>
      </c>
      <c r="T283" s="1665" t="str">
        <f>HYPERLINK(Valori[[#This Row],[C_source]],"")</f>
        <v></v>
      </c>
      <c r="U283" s="142" t="str" cm="1">
        <f t="array" aca="1" ref="U283" ca="1">OFFSET(POrigin,MATCH(Valori[[#This Row],[LUKB_id]],PID,0),MATCH("M_CUR",PLabel,0)-1,1,1)</f>
        <v>CHF</v>
      </c>
      <c r="V283" s="1562">
        <f ca="1">(Valori[[#This Row],[Last]]+Valori[[#This Row],[Acc. Int]])/Valori[[#This Row],[Pr.Amt]]/IF(Valori[[#This Row],[P_Type]]="Pct",100,1)</f>
        <v>131.89000000000001</v>
      </c>
      <c r="W283" s="1591" cm="1">
        <f t="array" aca="1" ref="W283" ca="1">OFFSET(POrigin,MATCH(Valori[[#This Row],[LUKB_id]],PID,0),MATCH("NC2_PR",PLabel,0)-1,1,1)/100</f>
        <v>-1.2799401197604638E-2</v>
      </c>
      <c r="X283" s="1592" cm="1">
        <f t="array" aca="1" ref="X283" ca="1">OFFSET(POrigin,MATCH(Valori[[#This Row],[LUKB_id]],PID,0),MATCH("LVAL",PLabel,0)-1,1,1)</f>
        <v>131.89000000000001</v>
      </c>
      <c r="Y283" s="1593" cm="1">
        <f t="array" aca="1" ref="Y283" ca="1">OFFSET(POrigin,MATCH(Valori[[#This Row],[LUKB_id]],PID,0),MATCH("LVAL:datetime",PLabel,0)-1,1,1)</f>
        <v>46083.343865740739</v>
      </c>
      <c r="Z283" s="1594" cm="1">
        <f t="array" aca="1" ref="Z283" ca="1">OFFSET(POrigin,MATCH(Valori[[#This Row],[LUKB_id]],PID,0),MATCH("BID:volume",PLabel,0)-1,1,1)</f>
        <v>0</v>
      </c>
      <c r="AA283" s="1595" cm="1">
        <f t="array" aca="1" ref="AA283" ca="1">OFFSET(POrigin,MATCH(Valori[[#This Row],[LUKB_id]],PID,0),MATCH("BID",PLabel,0)-1,1,1)</f>
        <v>0</v>
      </c>
      <c r="AB283" s="1595" cm="1">
        <f t="array" aca="1" ref="AB283" ca="1">OFFSET(POrigin,MATCH(Valori[[#This Row],[LUKB_id]],PID,0),MATCH("ASK",PLabel,0)-1,1,1)</f>
        <v>0</v>
      </c>
      <c r="AC283" s="1594" cm="1">
        <f t="array" aca="1" ref="AC283" ca="1">OFFSET(POrigin,MATCH(Valori[[#This Row],[LUKB_id]],PID,0),MATCH("ASK:volume",PLabel,0)-1,1,1)</f>
        <v>0</v>
      </c>
      <c r="AD283" s="1596" cm="1">
        <f t="array" aca="1" ref="AD283" ca="1">OFFSET(POrigin,MATCH(Valori[[#This Row],[LUKB_id]],PID,0),MATCH("BID-ASK Spread %",PLabel,0)-1,1,1)</f>
        <v>0</v>
      </c>
      <c r="AE283" s="1597" t="str" cm="1">
        <f t="array" aca="1" ref="AE283" ca="1">IF(OFFSET(POrigin,MATCH(Valori[[#This Row],[LUKB_id]],PID,0),MATCH("MATURITY",PLabel,0)-1,1,1)&gt;0,OFFSET(POrigin,MATCH(Valori[[#This Row],[LUKB_id]],PID,0),MATCH("MATURITY",PLabel,0)-1,1,1),"")</f>
        <v/>
      </c>
      <c r="AF283" s="1598" cm="1">
        <f t="array" aca="1" ref="AF283" ca="1">OFFSET(POrigin,MATCH(Valori[[#This Row],[LUKB_id]],PID,0),MATCH("ACCINT",PLabel,0)-1,1,1)</f>
        <v>0</v>
      </c>
      <c r="AG283" s="1594" cm="1">
        <f t="array" aca="1" ref="AG283" ca="1">OFFSET(POrigin,MATCH(Valori[[#This Row],[LUKB_id]],PID,0),MATCH("DENOM",PLabel,0)-1,1,1)</f>
        <v>0</v>
      </c>
      <c r="AH283" s="1599" cm="1">
        <f t="array" aca="1" ref="AH283" ca="1">(OFFSET(POrigin,MATCH(Valori[[#This Row],[LUKB_id]],PID,0),MATCH("YIELD",PLabel,0)-1,1,1)+OFFSET(POrigin,MATCH(Valori[[#This Row],[LUKB_id]],PID,0),MATCH("YLDEQ",PLabel,0)-1,1,1))/100</f>
        <v>0</v>
      </c>
      <c r="AI283" s="1600">
        <f ca="1">OFFSET(POrigin,MATCH(Valori[[#This Row],[LUKB_id]],PID,0),MATCH("DIVIDEND",PLabel,0)-1,1,1)</f>
        <v>3.9382000000000001</v>
      </c>
      <c r="AJ283" s="1601">
        <f ca="1">OFFSET(POrigin,MATCH(Valori[[#This Row],[LUKB_id]],PID,0),MATCH("DIVIDEND:datetime",PLabel,0)-1,1,1)</f>
        <v>45505</v>
      </c>
      <c r="AK283" s="1602">
        <f ca="1">OFFSET(POrigin,MATCH(Valori[[#This Row],[LUKB_id]],PID,0),MATCH("INTEREST",PLabel,0)-1,1,1)</f>
        <v>0</v>
      </c>
      <c r="AL283" s="1603">
        <f ca="1">OFFSET(POrigin,MATCH(Valori[[#This Row],[LUKB_id]],PID,0),MATCH("4W_PERF_PR",PLabel,0)-1,1,1)/100</f>
        <v>3.1438179400954197E-2</v>
      </c>
      <c r="AM283" s="1603">
        <f ca="1">OFFSET(POrigin,MATCH(Valori[[#This Row],[LUKB_id]],PID,0),MATCH("12W_PERF_PR",PLabel,0)-1,1,1)/100</f>
        <v>8.89200792602379E-2</v>
      </c>
      <c r="AN283" s="1603">
        <f ca="1">OFFSET(POrigin,MATCH(Valori[[#This Row],[LUKB_id]],PID,0),MATCH("YTD_PERF_PR",PLabel,0)-1,1,1)/100</f>
        <v>6.3886424134871472E-2</v>
      </c>
      <c r="AO283" s="1591">
        <v>0.05</v>
      </c>
      <c r="AP283" s="1591">
        <v>0</v>
      </c>
      <c r="AQ283" s="1591">
        <v>7.7999999999999996E-3</v>
      </c>
      <c r="AR283" s="1591">
        <v>0</v>
      </c>
      <c r="AS283" s="1890"/>
      <c r="AT283" s="1890"/>
      <c r="AU283" s="610"/>
      <c r="AV283" s="1891"/>
      <c r="AW283" s="1604" t="str">
        <f>"https://boersenundmaerkte.lukb.ch/lukb/details/"&amp;Valori[[#This Row],[LUKB_id]]</f>
        <v>https://boersenundmaerkte.lukb.ch/lukb/details/49729495,3233,1</v>
      </c>
      <c r="AX283"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3" s="142"/>
      <c r="AZ283" s="142"/>
      <c r="BA283" s="142"/>
      <c r="BB283" s="142"/>
    </row>
    <row r="284" spans="1:54" ht="15" customHeight="1" x14ac:dyDescent="0.2">
      <c r="A284" s="142" t="s">
        <v>1727</v>
      </c>
      <c r="B284" s="142" t="s">
        <v>1728</v>
      </c>
      <c r="C284" s="1668" t="str">
        <f>HYPERLINK("https://boersenundmaerkte.lukb.ch/lukb/details/"&amp;Valori[[#This Row],[LUKB_id]],"è")</f>
        <v>è</v>
      </c>
      <c r="D284" s="142" t="str" cm="1">
        <f t="array" aca="1" ref="D284" ca="1">OFFSET(POrigin,MATCH(Valori[[#This Row],[LUKB_id]],PID,0),MATCH("SC_GROUPED",PIntestazioni,0)-1,1,1)</f>
        <v>FON</v>
      </c>
      <c r="E284" s="413" t="str" cm="1">
        <f t="array" aca="1" ref="E284" ca="1">OFFSET(POrigin,MATCH(Valori[[#This Row],[LUKB_id]],PID,0),MATCH("isin",PIntestazioni,0)-1,1,1)</f>
        <v>CH0560899525</v>
      </c>
      <c r="F284" s="34" t="str" cm="1">
        <f t="array" aca="1" ref="F284" ca="1">OFFSET(POrigin,MATCH(Valori[[#This Row],[LUKB_id]],PID,0),MATCH("NSIN_CH",PLabel,0)-1,1,1)</f>
        <v>56089952</v>
      </c>
      <c r="G284" s="95" t="str" cm="1">
        <f t="array" aca="1" ref="G284" ca="1">IF(OFFSET(POrigin,MATCH(Valori[[#This Row],[LUKB_id]],PID,0),MATCH("INSTRUNIT",PLabel,0)-1,1,1)="Nominal","Pct","Unit")</f>
        <v>Unit</v>
      </c>
      <c r="H284" s="612">
        <f ca="1">MAX(OFFSET(POrigin,MATCH(Valori[[#This Row],[LUKB_id]],PID,0),MATCH("PRICINGAMT",PLabel,0)-1,1,1),1)</f>
        <v>1</v>
      </c>
      <c r="I284" s="615" t="str" cm="1">
        <f t="array" aca="1" ref="I284" ca="1">OFFSET(POrigin,MATCH(Valori[[#This Row],[LUKB_id]],PID,0),MATCH("M_NAME",PLabel,0)-1,1,1)</f>
        <v>UBS (CH) Equity Fund - Mid Caps Switzerland (CHF)</v>
      </c>
      <c r="J284" s="142" t="s">
        <v>889</v>
      </c>
      <c r="M284" s="142" t="str" cm="1">
        <f t="array" aca="1" ref="M2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Mid Caps Switzerland -  QL (Dist)</v>
      </c>
      <c r="N284" s="1563">
        <f ca="1">COUNTIF('CHF M'!smo_id,Valori[[#This Row],[smo_id]])+COUNTIF('CHF MA'!smo_id,Valori[[#This Row],[smo_id]])+COUNTIF('EUR MB'!smo_id,Valori[[#This Row],[smo_id]])+COUNTIF('EUR M'!smo_id,Valori[[#This Row],[smo_id]])+COUNTIF(AGCO!smo_id,Valori[[#This Row],[smo_id]])</f>
        <v>1</v>
      </c>
      <c r="O284" s="1590" cm="1">
        <f t="array" aca="1" ref="O284" ca="1">SUM(IF('CHF M'!smo_id=Valori[[#This Row],[smo_id]],'CHF M'!Posizione))+SUM(IF('CHF MA'!smo_id=Valori[[#This Row],[smo_id]],'CHF MA'!Posizione))+SUM(IF('EUR MB'!smo_id=Valori[[#This Row],[smo_id]],'EUR MB'!Posizione))+SUM(IF('EUR M'!smo_id=Valori[[#This Row],[smo_id]],'EUR M'!Posizione))+SUM(IF(AGCO!smo_id=Valori[[#This Row],[smo_id]],AGCO!Posizione))</f>
        <v>0</v>
      </c>
      <c r="P284" s="1661" t="str">
        <f>HYPERLINK(Valori[[#This Row],[P_Source]],"è")</f>
        <v>è</v>
      </c>
      <c r="Q284" s="1663" t="str">
        <f>HYPERLINK(Valori[[#This Row],[Info_W]],"i")</f>
        <v>i</v>
      </c>
      <c r="R284" s="1664" t="str">
        <f>HYPERLINK(Valori[[#This Row],[FN_W]],"")</f>
        <v></v>
      </c>
      <c r="S284" s="1665" t="str">
        <f>HYPERLINK(Valori[[#This Row],[MS_Link]],"")</f>
        <v></v>
      </c>
      <c r="T284" s="1665" t="str">
        <f>HYPERLINK(Valori[[#This Row],[C_source]],"")</f>
        <v></v>
      </c>
      <c r="U284" s="142" t="str" cm="1">
        <f t="array" aca="1" ref="U284" ca="1">OFFSET(POrigin,MATCH(Valori[[#This Row],[LUKB_id]],PID,0),MATCH("M_CUR",PLabel,0)-1,1,1)</f>
        <v>CHF</v>
      </c>
      <c r="V284" s="1562">
        <f ca="1">(Valori[[#This Row],[Last]]+Valori[[#This Row],[Acc. Int]])/Valori[[#This Row],[Pr.Amt]]/IF(Valori[[#This Row],[P_Type]]="Pct",100,1)</f>
        <v>113.05</v>
      </c>
      <c r="W284" s="1591" cm="1">
        <f t="array" aca="1" ref="W284" ca="1">OFFSET(POrigin,MATCH(Valori[[#This Row],[LUKB_id]],PID,0),MATCH("NC2_PR",PLabel,0)-1,1,1)/100</f>
        <v>-7.6369382022472313E-3</v>
      </c>
      <c r="X284" s="1592" cm="1">
        <f t="array" aca="1" ref="X284" ca="1">OFFSET(POrigin,MATCH(Valori[[#This Row],[LUKB_id]],PID,0),MATCH("LVAL",PLabel,0)-1,1,1)</f>
        <v>113.05</v>
      </c>
      <c r="Y284" s="1593" cm="1">
        <f t="array" aca="1" ref="Y284" ca="1">OFFSET(POrigin,MATCH(Valori[[#This Row],[LUKB_id]],PID,0),MATCH("LVAL:datetime",PLabel,0)-1,1,1)</f>
        <v>46083.343865740739</v>
      </c>
      <c r="Z284" s="1594" cm="1">
        <f t="array" aca="1" ref="Z284" ca="1">OFFSET(POrigin,MATCH(Valori[[#This Row],[LUKB_id]],PID,0),MATCH("BID:volume",PLabel,0)-1,1,1)</f>
        <v>0</v>
      </c>
      <c r="AA284" s="1595" cm="1">
        <f t="array" aca="1" ref="AA284" ca="1">OFFSET(POrigin,MATCH(Valori[[#This Row],[LUKB_id]],PID,0),MATCH("BID",PLabel,0)-1,1,1)</f>
        <v>0</v>
      </c>
      <c r="AB284" s="1595" cm="1">
        <f t="array" aca="1" ref="AB284" ca="1">OFFSET(POrigin,MATCH(Valori[[#This Row],[LUKB_id]],PID,0),MATCH("ASK",PLabel,0)-1,1,1)</f>
        <v>0</v>
      </c>
      <c r="AC284" s="1594" cm="1">
        <f t="array" aca="1" ref="AC284" ca="1">OFFSET(POrigin,MATCH(Valori[[#This Row],[LUKB_id]],PID,0),MATCH("ASK:volume",PLabel,0)-1,1,1)</f>
        <v>0</v>
      </c>
      <c r="AD284" s="1596" cm="1">
        <f t="array" aca="1" ref="AD284" ca="1">OFFSET(POrigin,MATCH(Valori[[#This Row],[LUKB_id]],PID,0),MATCH("BID-ASK Spread %",PLabel,0)-1,1,1)</f>
        <v>0</v>
      </c>
      <c r="AE284" s="1597" t="str" cm="1">
        <f t="array" aca="1" ref="AE284" ca="1">IF(OFFSET(POrigin,MATCH(Valori[[#This Row],[LUKB_id]],PID,0),MATCH("MATURITY",PLabel,0)-1,1,1)&gt;0,OFFSET(POrigin,MATCH(Valori[[#This Row],[LUKB_id]],PID,0),MATCH("MATURITY",PLabel,0)-1,1,1),"")</f>
        <v/>
      </c>
      <c r="AF284" s="1598" cm="1">
        <f t="array" aca="1" ref="AF284" ca="1">OFFSET(POrigin,MATCH(Valori[[#This Row],[LUKB_id]],PID,0),MATCH("ACCINT",PLabel,0)-1,1,1)</f>
        <v>0</v>
      </c>
      <c r="AG284" s="1594" cm="1">
        <f t="array" aca="1" ref="AG284" ca="1">OFFSET(POrigin,MATCH(Valori[[#This Row],[LUKB_id]],PID,0),MATCH("DENOM",PLabel,0)-1,1,1)</f>
        <v>0</v>
      </c>
      <c r="AH284" s="1599" cm="1">
        <f t="array" aca="1" ref="AH284" ca="1">(OFFSET(POrigin,MATCH(Valori[[#This Row],[LUKB_id]],PID,0),MATCH("YIELD",PLabel,0)-1,1,1)+OFFSET(POrigin,MATCH(Valori[[#This Row],[LUKB_id]],PID,0),MATCH("YLDEQ",PLabel,0)-1,1,1))/100</f>
        <v>0</v>
      </c>
      <c r="AI284" s="1600">
        <f ca="1">OFFSET(POrigin,MATCH(Valori[[#This Row],[LUKB_id]],PID,0),MATCH("DIVIDEND",PLabel,0)-1,1,1)</f>
        <v>1.32</v>
      </c>
      <c r="AJ284" s="1601">
        <f ca="1">OFFSET(POrigin,MATCH(Valori[[#This Row],[LUKB_id]],PID,0),MATCH("DIVIDEND:datetime",PLabel,0)-1,1,1)</f>
        <v>46036</v>
      </c>
      <c r="AK284" s="1602">
        <f ca="1">OFFSET(POrigin,MATCH(Valori[[#This Row],[LUKB_id]],PID,0),MATCH("INTEREST",PLabel,0)-1,1,1)</f>
        <v>0</v>
      </c>
      <c r="AL284" s="1603">
        <f ca="1">OFFSET(POrigin,MATCH(Valori[[#This Row],[LUKB_id]],PID,0),MATCH("4W_PERF_PR",PLabel,0)-1,1,1)/100</f>
        <v>1.4447236180904599E-2</v>
      </c>
      <c r="AM284" s="1603">
        <f ca="1">OFFSET(POrigin,MATCH(Valori[[#This Row],[LUKB_id]],PID,0),MATCH("12W_PERF_PR",PLabel,0)-1,1,1)/100</f>
        <v>3.8585209003215402E-2</v>
      </c>
      <c r="AN284" s="1603">
        <f ca="1">OFFSET(POrigin,MATCH(Valori[[#This Row],[LUKB_id]],PID,0),MATCH("YTD_PERF_PR",PLabel,0)-1,1,1)/100</f>
        <v>3.4770016734509301E-2</v>
      </c>
      <c r="AO284" s="1591">
        <v>0.05</v>
      </c>
      <c r="AP284" s="1591">
        <v>0</v>
      </c>
      <c r="AQ284" s="1591">
        <v>8.3000000000000001E-3</v>
      </c>
      <c r="AR284" s="1591">
        <v>0</v>
      </c>
      <c r="AS284" s="1890"/>
      <c r="AT284" s="1890"/>
      <c r="AU284" s="610"/>
      <c r="AV284" s="1891"/>
      <c r="AW284" s="1604" t="str">
        <f>"https://boersenundmaerkte.lukb.ch/lukb/details/"&amp;Valori[[#This Row],[LUKB_id]]</f>
        <v>https://boersenundmaerkte.lukb.ch/lukb/details/56089952,3233,1</v>
      </c>
      <c r="AX28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4" s="142"/>
      <c r="AZ284" s="142"/>
      <c r="BA284" s="142"/>
      <c r="BB284" s="142"/>
    </row>
    <row r="285" spans="1:54" ht="15" customHeight="1" x14ac:dyDescent="0.2">
      <c r="A285" s="142" t="s">
        <v>1729</v>
      </c>
      <c r="B285" s="142" t="s">
        <v>1730</v>
      </c>
      <c r="C285" s="1668" t="str">
        <f>HYPERLINK("https://boersenundmaerkte.lukb.ch/lukb/details/"&amp;Valori[[#This Row],[LUKB_id]],"è")</f>
        <v>è</v>
      </c>
      <c r="D285" s="142" t="str" cm="1">
        <f t="array" aca="1" ref="D285" ca="1">OFFSET(POrigin,MATCH(Valori[[#This Row],[LUKB_id]],PID,0),MATCH("SC_GROUPED",PIntestazioni,0)-1,1,1)</f>
        <v>FON</v>
      </c>
      <c r="E285" s="413" t="str" cm="1">
        <f t="array" aca="1" ref="E285" ca="1">OFFSET(POrigin,MATCH(Valori[[#This Row],[LUKB_id]],PID,0),MATCH("isin",PIntestazioni,0)-1,1,1)</f>
        <v>CH0500707168</v>
      </c>
      <c r="F285" s="34" t="str" cm="1">
        <f t="array" aca="1" ref="F285" ca="1">OFFSET(POrigin,MATCH(Valori[[#This Row],[LUKB_id]],PID,0),MATCH("NSIN_CH",PLabel,0)-1,1,1)</f>
        <v>50070716</v>
      </c>
      <c r="G285" s="95" t="str" cm="1">
        <f t="array" aca="1" ref="G285" ca="1">IF(OFFSET(POrigin,MATCH(Valori[[#This Row],[LUKB_id]],PID,0),MATCH("INSTRUNIT",PLabel,0)-1,1,1)="Nominal","Pct","Unit")</f>
        <v>Unit</v>
      </c>
      <c r="H285" s="612">
        <f ca="1">MAX(OFFSET(POrigin,MATCH(Valori[[#This Row],[LUKB_id]],PID,0),MATCH("PRICINGAMT",PLabel,0)-1,1,1),1)</f>
        <v>1</v>
      </c>
      <c r="I285" s="615" t="str" cm="1">
        <f t="array" aca="1" ref="I285" ca="1">OFFSET(POrigin,MATCH(Valori[[#This Row],[LUKB_id]],PID,0),MATCH("M_NAME",PLabel,0)-1,1,1)</f>
        <v>UBS (CH) Equity Fund - Swiss High Dividend (CHF)</v>
      </c>
      <c r="J285" s="142" t="s">
        <v>890</v>
      </c>
      <c r="M285" s="142" t="str" cm="1">
        <f t="array" aca="1" ref="M2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Swiss High Dividend  - QL (Dist)</v>
      </c>
      <c r="N285" s="1563">
        <f ca="1">COUNTIF('CHF M'!smo_id,Valori[[#This Row],[smo_id]])+COUNTIF('CHF MA'!smo_id,Valori[[#This Row],[smo_id]])+COUNTIF('EUR MB'!smo_id,Valori[[#This Row],[smo_id]])+COUNTIF('EUR M'!smo_id,Valori[[#This Row],[smo_id]])+COUNTIF(AGCO!smo_id,Valori[[#This Row],[smo_id]])</f>
        <v>1</v>
      </c>
      <c r="O285" s="1590" cm="1">
        <f t="array" aca="1" ref="O285" ca="1">SUM(IF('CHF M'!smo_id=Valori[[#This Row],[smo_id]],'CHF M'!Posizione))+SUM(IF('CHF MA'!smo_id=Valori[[#This Row],[smo_id]],'CHF MA'!Posizione))+SUM(IF('EUR MB'!smo_id=Valori[[#This Row],[smo_id]],'EUR MB'!Posizione))+SUM(IF('EUR M'!smo_id=Valori[[#This Row],[smo_id]],'EUR M'!Posizione))+SUM(IF(AGCO!smo_id=Valori[[#This Row],[smo_id]],AGCO!Posizione))</f>
        <v>0</v>
      </c>
      <c r="P285" s="1661" t="str">
        <f>HYPERLINK(Valori[[#This Row],[P_Source]],"è")</f>
        <v>è</v>
      </c>
      <c r="Q285" s="1663" t="str">
        <f>HYPERLINK(Valori[[#This Row],[Info_W]],"i")</f>
        <v>i</v>
      </c>
      <c r="R285" s="1664" t="str">
        <f>HYPERLINK(Valori[[#This Row],[FN_W]],"")</f>
        <v></v>
      </c>
      <c r="S285" s="1665" t="str">
        <f>HYPERLINK(Valori[[#This Row],[MS_Link]],"")</f>
        <v></v>
      </c>
      <c r="T285" s="1665" t="str">
        <f>HYPERLINK(Valori[[#This Row],[C_source]],"")</f>
        <v></v>
      </c>
      <c r="U285" s="142" t="str" cm="1">
        <f t="array" aca="1" ref="U285" ca="1">OFFSET(POrigin,MATCH(Valori[[#This Row],[LUKB_id]],PID,0),MATCH("M_CUR",PLabel,0)-1,1,1)</f>
        <v>CHF</v>
      </c>
      <c r="V285" s="1562">
        <f ca="1">(Valori[[#This Row],[Last]]+Valori[[#This Row],[Acc. Int]])/Valori[[#This Row],[Pr.Amt]]/IF(Valori[[#This Row],[P_Type]]="Pct",100,1)</f>
        <v>144.67000000000002</v>
      </c>
      <c r="W285" s="1591" cm="1">
        <f t="array" aca="1" ref="W285" ca="1">OFFSET(POrigin,MATCH(Valori[[#This Row],[LUKB_id]],PID,0),MATCH("NC2_PR",PLabel,0)-1,1,1)/100</f>
        <v>-1.2086861513247622E-2</v>
      </c>
      <c r="X285" s="1592" cm="1">
        <f t="array" aca="1" ref="X285" ca="1">OFFSET(POrigin,MATCH(Valori[[#This Row],[LUKB_id]],PID,0),MATCH("LVAL",PLabel,0)-1,1,1)</f>
        <v>144.67000000000002</v>
      </c>
      <c r="Y285" s="1593" cm="1">
        <f t="array" aca="1" ref="Y285" ca="1">OFFSET(POrigin,MATCH(Valori[[#This Row],[LUKB_id]],PID,0),MATCH("LVAL:datetime",PLabel,0)-1,1,1)</f>
        <v>46083.343865740739</v>
      </c>
      <c r="Z285" s="1594" cm="1">
        <f t="array" aca="1" ref="Z285" ca="1">OFFSET(POrigin,MATCH(Valori[[#This Row],[LUKB_id]],PID,0),MATCH("BID:volume",PLabel,0)-1,1,1)</f>
        <v>0</v>
      </c>
      <c r="AA285" s="1595" cm="1">
        <f t="array" aca="1" ref="AA285" ca="1">OFFSET(POrigin,MATCH(Valori[[#This Row],[LUKB_id]],PID,0),MATCH("BID",PLabel,0)-1,1,1)</f>
        <v>0</v>
      </c>
      <c r="AB285" s="1595" cm="1">
        <f t="array" aca="1" ref="AB285" ca="1">OFFSET(POrigin,MATCH(Valori[[#This Row],[LUKB_id]],PID,0),MATCH("ASK",PLabel,0)-1,1,1)</f>
        <v>0</v>
      </c>
      <c r="AC285" s="1594" cm="1">
        <f t="array" aca="1" ref="AC285" ca="1">OFFSET(POrigin,MATCH(Valori[[#This Row],[LUKB_id]],PID,0),MATCH("ASK:volume",PLabel,0)-1,1,1)</f>
        <v>0</v>
      </c>
      <c r="AD285" s="1596" cm="1">
        <f t="array" aca="1" ref="AD285" ca="1">OFFSET(POrigin,MATCH(Valori[[#This Row],[LUKB_id]],PID,0),MATCH("BID-ASK Spread %",PLabel,0)-1,1,1)</f>
        <v>0</v>
      </c>
      <c r="AE285" s="1597" t="str" cm="1">
        <f t="array" aca="1" ref="AE285" ca="1">IF(OFFSET(POrigin,MATCH(Valori[[#This Row],[LUKB_id]],PID,0),MATCH("MATURITY",PLabel,0)-1,1,1)&gt;0,OFFSET(POrigin,MATCH(Valori[[#This Row],[LUKB_id]],PID,0),MATCH("MATURITY",PLabel,0)-1,1,1),"")</f>
        <v/>
      </c>
      <c r="AF285" s="1598" cm="1">
        <f t="array" aca="1" ref="AF285" ca="1">OFFSET(POrigin,MATCH(Valori[[#This Row],[LUKB_id]],PID,0),MATCH("ACCINT",PLabel,0)-1,1,1)</f>
        <v>0</v>
      </c>
      <c r="AG285" s="1594" cm="1">
        <f t="array" aca="1" ref="AG285" ca="1">OFFSET(POrigin,MATCH(Valori[[#This Row],[LUKB_id]],PID,0),MATCH("DENOM",PLabel,0)-1,1,1)</f>
        <v>0</v>
      </c>
      <c r="AH285" s="1599" cm="1">
        <f t="array" aca="1" ref="AH285" ca="1">(OFFSET(POrigin,MATCH(Valori[[#This Row],[LUKB_id]],PID,0),MATCH("YIELD",PLabel,0)-1,1,1)+OFFSET(POrigin,MATCH(Valori[[#This Row],[LUKB_id]],PID,0),MATCH("YLDEQ",PLabel,0)-1,1,1))/100</f>
        <v>0</v>
      </c>
      <c r="AI285" s="1600">
        <f ca="1">OFFSET(POrigin,MATCH(Valori[[#This Row],[LUKB_id]],PID,0),MATCH("DIVIDEND",PLabel,0)-1,1,1)</f>
        <v>0.65</v>
      </c>
      <c r="AJ285" s="1601">
        <f ca="1">OFFSET(POrigin,MATCH(Valori[[#This Row],[LUKB_id]],PID,0),MATCH("DIVIDEND:datetime",PLabel,0)-1,1,1)</f>
        <v>46036</v>
      </c>
      <c r="AK285" s="1602">
        <f ca="1">OFFSET(POrigin,MATCH(Valori[[#This Row],[LUKB_id]],PID,0),MATCH("INTEREST",PLabel,0)-1,1,1)</f>
        <v>0</v>
      </c>
      <c r="AL285" s="1603">
        <f ca="1">OFFSET(POrigin,MATCH(Valori[[#This Row],[LUKB_id]],PID,0),MATCH("4W_PERF_PR",PLabel,0)-1,1,1)/100</f>
        <v>1.7298361577948201E-2</v>
      </c>
      <c r="AM285" s="1603">
        <f ca="1">OFFSET(POrigin,MATCH(Valori[[#This Row],[LUKB_id]],PID,0),MATCH("12W_PERF_PR",PLabel,0)-1,1,1)/100</f>
        <v>5.0235934664247001E-2</v>
      </c>
      <c r="AN285" s="1603">
        <f ca="1">OFFSET(POrigin,MATCH(Valori[[#This Row],[LUKB_id]],PID,0),MATCH("YTD_PERF_PR",PLabel,0)-1,1,1)/100</f>
        <v>2.8706304289354341E-2</v>
      </c>
      <c r="AO285" s="1591">
        <v>0.05</v>
      </c>
      <c r="AP285" s="1591">
        <v>0</v>
      </c>
      <c r="AQ285" s="1591">
        <v>6.7000000000000002E-3</v>
      </c>
      <c r="AR285" s="1591">
        <v>0</v>
      </c>
      <c r="AS285" s="1890"/>
      <c r="AT285" s="1890"/>
      <c r="AU285" s="610"/>
      <c r="AV285" s="1891"/>
      <c r="AW285" s="1604" t="str">
        <f>"https://boersenundmaerkte.lukb.ch/lukb/details/"&amp;Valori[[#This Row],[LUKB_id]]</f>
        <v>https://boersenundmaerkte.lukb.ch/lukb/details/50070716,3233,1</v>
      </c>
      <c r="AX28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5" s="142"/>
      <c r="AZ285" s="142"/>
      <c r="BA285" s="142"/>
      <c r="BB285" s="142"/>
    </row>
    <row r="286" spans="1:54" ht="15" customHeight="1" x14ac:dyDescent="0.2">
      <c r="A286" s="142" t="s">
        <v>1731</v>
      </c>
      <c r="B286" s="142" t="s">
        <v>1732</v>
      </c>
      <c r="C286" s="1668" t="str">
        <f>HYPERLINK("https://boersenundmaerkte.lukb.ch/lukb/details/"&amp;Valori[[#This Row],[LUKB_id]],"è")</f>
        <v>è</v>
      </c>
      <c r="D286" s="142" t="str" cm="1">
        <f t="array" aca="1" ref="D286" ca="1">OFFSET(POrigin,MATCH(Valori[[#This Row],[LUKB_id]],PID,0),MATCH("SC_GROUPED",PIntestazioni,0)-1,1,1)</f>
        <v>FON</v>
      </c>
      <c r="E286" s="413" t="str" cm="1">
        <f t="array" aca="1" ref="E286" ca="1">OFFSET(POrigin,MATCH(Valori[[#This Row],[LUKB_id]],PID,0),MATCH("isin",PIntestazioni,0)-1,1,1)</f>
        <v>LU2049086726</v>
      </c>
      <c r="F286" s="34" t="str" cm="1">
        <f t="array" aca="1" ref="F286" ca="1">OFFSET(POrigin,MATCH(Valori[[#This Row],[LUKB_id]],PID,0),MATCH("NSIN_CH",PLabel,0)-1,1,1)</f>
        <v>49729577</v>
      </c>
      <c r="G286" s="95" t="str" cm="1">
        <f t="array" aca="1" ref="G286" ca="1">IF(OFFSET(POrigin,MATCH(Valori[[#This Row],[LUKB_id]],PID,0),MATCH("INSTRUNIT",PLabel,0)-1,1,1)="Nominal","Pct","Unit")</f>
        <v>Unit</v>
      </c>
      <c r="H286" s="612">
        <f ca="1">MAX(OFFSET(POrigin,MATCH(Valori[[#This Row],[LUKB_id]],PID,0),MATCH("PRICINGAMT",PLabel,0)-1,1,1),1)</f>
        <v>1</v>
      </c>
      <c r="I286" s="615" t="str" cm="1">
        <f t="array" aca="1" ref="I286" ca="1">OFFSET(POrigin,MATCH(Valori[[#This Row],[LUKB_id]],PID,0),MATCH("M_NAME",PLabel,0)-1,1,1)</f>
        <v>UBS (Lux) Equity SICAV - US Income (USD)</v>
      </c>
      <c r="J286" s="142" t="s">
        <v>898</v>
      </c>
      <c r="M286" s="142" t="str" cm="1">
        <f t="array" aca="1" ref="M2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US Income Sustainable USD - CHF hedged - QL (dist)</v>
      </c>
      <c r="N286" s="1563">
        <f ca="1">COUNTIF('CHF M'!smo_id,Valori[[#This Row],[smo_id]])+COUNTIF('CHF MA'!smo_id,Valori[[#This Row],[smo_id]])+COUNTIF('EUR MB'!smo_id,Valori[[#This Row],[smo_id]])+COUNTIF('EUR M'!smo_id,Valori[[#This Row],[smo_id]])+COUNTIF(AGCO!smo_id,Valori[[#This Row],[smo_id]])</f>
        <v>1</v>
      </c>
      <c r="O286" s="1590" cm="1">
        <f t="array" aca="1" ref="O286" ca="1">SUM(IF('CHF M'!smo_id=Valori[[#This Row],[smo_id]],'CHF M'!Posizione))+SUM(IF('CHF MA'!smo_id=Valori[[#This Row],[smo_id]],'CHF MA'!Posizione))+SUM(IF('EUR MB'!smo_id=Valori[[#This Row],[smo_id]],'EUR MB'!Posizione))+SUM(IF('EUR M'!smo_id=Valori[[#This Row],[smo_id]],'EUR M'!Posizione))+SUM(IF(AGCO!smo_id=Valori[[#This Row],[smo_id]],AGCO!Posizione))</f>
        <v>262.78300000000002</v>
      </c>
      <c r="P286" s="1661" t="str">
        <f>HYPERLINK(Valori[[#This Row],[P_Source]],"è")</f>
        <v>è</v>
      </c>
      <c r="Q286" s="1663" t="str">
        <f>HYPERLINK(Valori[[#This Row],[Info_W]],"i")</f>
        <v>i</v>
      </c>
      <c r="R286" s="1664" t="str">
        <f>HYPERLINK(Valori[[#This Row],[FN_W]],"")</f>
        <v></v>
      </c>
      <c r="S286" s="1665" t="str">
        <f>HYPERLINK(Valori[[#This Row],[MS_Link]],"")</f>
        <v></v>
      </c>
      <c r="T286" s="1665" t="str">
        <f>HYPERLINK(Valori[[#This Row],[C_source]],"")</f>
        <v></v>
      </c>
      <c r="U286" s="142" t="str" cm="1">
        <f t="array" aca="1" ref="U286" ca="1">OFFSET(POrigin,MATCH(Valori[[#This Row],[LUKB_id]],PID,0),MATCH("M_CUR",PLabel,0)-1,1,1)</f>
        <v>CHF</v>
      </c>
      <c r="V286" s="1562">
        <f ca="1">(Valori[[#This Row],[Last]]+Valori[[#This Row],[Acc. Int]])/Valori[[#This Row],[Pr.Amt]]/IF(Valori[[#This Row],[P_Type]]="Pct",100,1)</f>
        <v>89.95</v>
      </c>
      <c r="W286" s="1591" cm="1">
        <f t="array" aca="1" ref="W286" ca="1">OFFSET(POrigin,MATCH(Valori[[#This Row],[LUKB_id]],PID,0),MATCH("NC2_PR",PLabel,0)-1,1,1)/100</f>
        <v>-5.55555555555524E-4</v>
      </c>
      <c r="X286" s="1592" cm="1">
        <f t="array" aca="1" ref="X286" ca="1">OFFSET(POrigin,MATCH(Valori[[#This Row],[LUKB_id]],PID,0),MATCH("LVAL",PLabel,0)-1,1,1)</f>
        <v>89.95</v>
      </c>
      <c r="Y286" s="1593" cm="1">
        <f t="array" aca="1" ref="Y286" ca="1">OFFSET(POrigin,MATCH(Valori[[#This Row],[LUKB_id]],PID,0),MATCH("LVAL:datetime",PLabel,0)-1,1,1)</f>
        <v>46083.343865740739</v>
      </c>
      <c r="Z286" s="1594" cm="1">
        <f t="array" aca="1" ref="Z286" ca="1">OFFSET(POrigin,MATCH(Valori[[#This Row],[LUKB_id]],PID,0),MATCH("BID:volume",PLabel,0)-1,1,1)</f>
        <v>0</v>
      </c>
      <c r="AA286" s="1595" cm="1">
        <f t="array" aca="1" ref="AA286" ca="1">OFFSET(POrigin,MATCH(Valori[[#This Row],[LUKB_id]],PID,0),MATCH("BID",PLabel,0)-1,1,1)</f>
        <v>0</v>
      </c>
      <c r="AB286" s="1595" cm="1">
        <f t="array" aca="1" ref="AB286" ca="1">OFFSET(POrigin,MATCH(Valori[[#This Row],[LUKB_id]],PID,0),MATCH("ASK",PLabel,0)-1,1,1)</f>
        <v>0</v>
      </c>
      <c r="AC286" s="1594" cm="1">
        <f t="array" aca="1" ref="AC286" ca="1">OFFSET(POrigin,MATCH(Valori[[#This Row],[LUKB_id]],PID,0),MATCH("ASK:volume",PLabel,0)-1,1,1)</f>
        <v>0</v>
      </c>
      <c r="AD286" s="1596" cm="1">
        <f t="array" aca="1" ref="AD286" ca="1">OFFSET(POrigin,MATCH(Valori[[#This Row],[LUKB_id]],PID,0),MATCH("BID-ASK Spread %",PLabel,0)-1,1,1)</f>
        <v>0</v>
      </c>
      <c r="AE286" s="1597" t="str" cm="1">
        <f t="array" aca="1" ref="AE286" ca="1">IF(OFFSET(POrigin,MATCH(Valori[[#This Row],[LUKB_id]],PID,0),MATCH("MATURITY",PLabel,0)-1,1,1)&gt;0,OFFSET(POrigin,MATCH(Valori[[#This Row],[LUKB_id]],PID,0),MATCH("MATURITY",PLabel,0)-1,1,1),"")</f>
        <v/>
      </c>
      <c r="AF286" s="1598" cm="1">
        <f t="array" aca="1" ref="AF286" ca="1">OFFSET(POrigin,MATCH(Valori[[#This Row],[LUKB_id]],PID,0),MATCH("ACCINT",PLabel,0)-1,1,1)</f>
        <v>0</v>
      </c>
      <c r="AG286" s="1594" cm="1">
        <f t="array" aca="1" ref="AG286" ca="1">OFFSET(POrigin,MATCH(Valori[[#This Row],[LUKB_id]],PID,0),MATCH("DENOM",PLabel,0)-1,1,1)</f>
        <v>0</v>
      </c>
      <c r="AH286" s="1599" cm="1">
        <f t="array" aca="1" ref="AH286" ca="1">(OFFSET(POrigin,MATCH(Valori[[#This Row],[LUKB_id]],PID,0),MATCH("YIELD",PLabel,0)-1,1,1)+OFFSET(POrigin,MATCH(Valori[[#This Row],[LUKB_id]],PID,0),MATCH("YLDEQ",PLabel,0)-1,1,1))/100</f>
        <v>0</v>
      </c>
      <c r="AI286" s="1600">
        <f ca="1">OFFSET(POrigin,MATCH(Valori[[#This Row],[LUKB_id]],PID,0),MATCH("DIVIDEND",PLabel,0)-1,1,1)</f>
        <v>7.5984000000000007</v>
      </c>
      <c r="AJ286" s="1601">
        <f ca="1">OFFSET(POrigin,MATCH(Valori[[#This Row],[LUKB_id]],PID,0),MATCH("DIVIDEND:datetime",PLabel,0)-1,1,1)</f>
        <v>45505</v>
      </c>
      <c r="AK286" s="1602">
        <f ca="1">OFFSET(POrigin,MATCH(Valori[[#This Row],[LUKB_id]],PID,0),MATCH("INTEREST",PLabel,0)-1,1,1)</f>
        <v>0</v>
      </c>
      <c r="AL286" s="1603">
        <f ca="1">OFFSET(POrigin,MATCH(Valori[[#This Row],[LUKB_id]],PID,0),MATCH("4W_PERF_PR",PLabel,0)-1,1,1)/100</f>
        <v>-2.0899096549472002E-2</v>
      </c>
      <c r="AM286" s="1603">
        <f ca="1">OFFSET(POrigin,MATCH(Valori[[#This Row],[LUKB_id]],PID,0),MATCH("12W_PERF_PR",PLabel,0)-1,1,1)/100</f>
        <v>1.6154541346588499E-2</v>
      </c>
      <c r="AN286" s="1603">
        <f ca="1">OFFSET(POrigin,MATCH(Valori[[#This Row],[LUKB_id]],PID,0),MATCH("YTD_PERF_PR",PLabel,0)-1,1,1)/100</f>
        <v>4.3546225993747276E-3</v>
      </c>
      <c r="AO286" s="1591">
        <v>0.05</v>
      </c>
      <c r="AP286" s="1591">
        <v>0</v>
      </c>
      <c r="AQ286" s="1591">
        <v>8.8999999999999999E-3</v>
      </c>
      <c r="AR286" s="1591">
        <v>0</v>
      </c>
      <c r="AS286" s="1890"/>
      <c r="AT286" s="1890"/>
      <c r="AU286" s="610"/>
      <c r="AV286" s="1891"/>
      <c r="AW286" s="1604" t="str">
        <f>"https://boersenundmaerkte.lukb.ch/lukb/details/"&amp;Valori[[#This Row],[LUKB_id]]</f>
        <v>https://boersenundmaerkte.lukb.ch/lukb/details/49729577,3233,1</v>
      </c>
      <c r="AX286"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6" s="142"/>
      <c r="AZ286" s="142"/>
      <c r="BA286" s="142"/>
      <c r="BB286" s="142"/>
    </row>
    <row r="287" spans="1:54" ht="15" customHeight="1" x14ac:dyDescent="0.2">
      <c r="A287" s="142" t="s">
        <v>1733</v>
      </c>
      <c r="B287" s="142" t="str" cm="1">
        <f t="array" aca="1" ref="B287" ca="1">OFFSET(POrigin,MATCH(Valori[[#This Row],[smo_id]],Posizioni[smo_id],0),MATCH("LUKB_id",PIntestazioni,0)-1,1,1)</f>
        <v>2726117,361,333</v>
      </c>
      <c r="C287" s="1668" t="str">
        <f ca="1">HYPERLINK("https://boersenundmaerkte.lukb.ch/lukb/details/"&amp;Valori[[#This Row],[LUKB_id]],"è")</f>
        <v>è</v>
      </c>
      <c r="D287" s="142" t="str" cm="1">
        <f t="array" aca="1" ref="D287" ca="1">OFFSET(POrigin,MATCH(Valori[[#This Row],[LUKB_id]],PID,0),MATCH("SC_GROUPED",PIntestazioni,0)-1,1,1)</f>
        <v>DER</v>
      </c>
      <c r="E287" s="413" t="str" cm="1">
        <f t="array" aca="1" ref="E287" ca="1">OFFSET(POrigin,MATCH(Valori[[#This Row],[LUKB_id]],PID,0),MATCH("isin",PIntestazioni,0)-1,1,1)</f>
        <v>GB00B15KYH63</v>
      </c>
      <c r="F287" s="34" t="str" cm="1">
        <f t="array" aca="1" ref="F287" ca="1">OFFSET(POrigin,MATCH(Valori[[#This Row],[LUKB_id]],PID,0),MATCH("NSIN_CH",PLabel,0)-1,1,1)</f>
        <v>2726117</v>
      </c>
      <c r="G287" s="95" t="str" cm="1">
        <f t="array" aca="1" ref="G287" ca="1">IF(OFFSET(POrigin,MATCH(Valori[[#This Row],[LUKB_id]],PID,0),MATCH("INSTRUNIT",PLabel,0)-1,1,1)="Nominal","Pct","Unit")</f>
        <v>Unit</v>
      </c>
      <c r="H287" s="612">
        <f ca="1">MAX(OFFSET(POrigin,MATCH(Valori[[#This Row],[LUKB_id]],PID,0),MATCH("PRICINGAMT",PLabel,0)-1,1,1),1)</f>
        <v>1</v>
      </c>
      <c r="I287" s="615" t="str" cm="1">
        <f t="array" aca="1" ref="I287" ca="1">OFFSET(POrigin,MATCH(Valori[[#This Row],[LUKB_id]],PID,0),MATCH("M_NAME",PLabel,0)-1,1,1)</f>
        <v>AIGA/WTCS</v>
      </c>
      <c r="J287" s="142" t="s">
        <v>515</v>
      </c>
      <c r="M287" s="142" t="str" cm="1">
        <f t="array" aca="1" ref="M2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Agriculture (AIGA)</v>
      </c>
      <c r="N287" s="1563">
        <f ca="1">COUNTIF('CHF M'!smo_id,Valori[[#This Row],[smo_id]])+COUNTIF('CHF MA'!smo_id,Valori[[#This Row],[smo_id]])+COUNTIF('EUR MB'!smo_id,Valori[[#This Row],[smo_id]])+COUNTIF('EUR M'!smo_id,Valori[[#This Row],[smo_id]])+COUNTIF(AGCO!smo_id,Valori[[#This Row],[smo_id]])</f>
        <v>6</v>
      </c>
      <c r="O287" s="1590" cm="1">
        <f t="array" aca="1" ref="O287" ca="1">SUM(IF('CHF M'!smo_id=Valori[[#This Row],[smo_id]],'CHF M'!Posizione))+SUM(IF('CHF MA'!smo_id=Valori[[#This Row],[smo_id]],'CHF MA'!Posizione))+SUM(IF('EUR MB'!smo_id=Valori[[#This Row],[smo_id]],'EUR MB'!Posizione))+SUM(IF('EUR M'!smo_id=Valori[[#This Row],[smo_id]],'EUR M'!Posizione))+SUM(IF(AGCO!smo_id=Valori[[#This Row],[smo_id]],AGCO!Posizione))</f>
        <v>0</v>
      </c>
      <c r="P287" s="1661" t="str">
        <f ca="1">HYPERLINK(Valori[[#This Row],[P_Source]],"è")</f>
        <v>è</v>
      </c>
      <c r="Q287" s="1663" t="str">
        <f>HYPERLINK(Valori[[#This Row],[Info_W]],"i")</f>
        <v>i</v>
      </c>
      <c r="R287" s="1664" t="str">
        <f>HYPERLINK(Valori[[#This Row],[FN_W]],"")</f>
        <v></v>
      </c>
      <c r="S287" s="1665" t="str">
        <f>HYPERLINK(Valori[[#This Row],[MS_Link]],"")</f>
        <v></v>
      </c>
      <c r="T287" s="1665" t="str">
        <f>HYPERLINK(Valori[[#This Row],[C_source]],"")</f>
        <v></v>
      </c>
      <c r="U287" s="142" t="str" cm="1">
        <f t="array" aca="1" ref="U287" ca="1">OFFSET(POrigin,MATCH(Valori[[#This Row],[LUKB_id]],PID,0),MATCH("M_CUR",PLabel,0)-1,1,1)</f>
        <v>USD</v>
      </c>
      <c r="V287" s="1562">
        <f ca="1">(Valori[[#This Row],[Last]]+Valori[[#This Row],[Acc. Int]])/Valori[[#This Row],[Pr.Amt]]/IF(Valori[[#This Row],[P_Type]]="Pct",100,1)</f>
        <v>5.9637500000000001</v>
      </c>
      <c r="W287" s="1591" cm="1">
        <f t="array" aca="1" ref="W287" ca="1">OFFSET(POrigin,MATCH(Valori[[#This Row],[LUKB_id]],PID,0),MATCH("NC2_PR",PLabel,0)-1,1,1)/100</f>
        <v>-1.2560184216035999E-3</v>
      </c>
      <c r="X287" s="1592" cm="1">
        <f t="array" aca="1" ref="X287" ca="1">OFFSET(POrigin,MATCH(Valori[[#This Row],[LUKB_id]],PID,0),MATCH("LVAL",PLabel,0)-1,1,1)</f>
        <v>5.9637500000000001</v>
      </c>
      <c r="Y287" s="1593" cm="1">
        <f t="array" aca="1" ref="Y287" ca="1">OFFSET(POrigin,MATCH(Valori[[#This Row],[LUKB_id]],PID,0),MATCH("LVAL:datetime",PLabel,0)-1,1,1)</f>
        <v>46084.73265046296</v>
      </c>
      <c r="Z287" s="1594" cm="1">
        <f t="array" aca="1" ref="Z287" ca="1">OFFSET(POrigin,MATCH(Valori[[#This Row],[LUKB_id]],PID,0),MATCH("BID:volume",PLabel,0)-1,1,1)</f>
        <v>1500</v>
      </c>
      <c r="AA287" s="1595" cm="1">
        <f t="array" aca="1" ref="AA287" ca="1">OFFSET(POrigin,MATCH(Valori[[#This Row],[LUKB_id]],PID,0),MATCH("BID",PLabel,0)-1,1,1)</f>
        <v>5.76</v>
      </c>
      <c r="AB287" s="1595" cm="1">
        <f t="array" aca="1" ref="AB287" ca="1">OFFSET(POrigin,MATCH(Valori[[#This Row],[LUKB_id]],PID,0),MATCH("ASK",PLabel,0)-1,1,1)</f>
        <v>6.2</v>
      </c>
      <c r="AC287" s="1594" cm="1">
        <f t="array" aca="1" ref="AC287" ca="1">OFFSET(POrigin,MATCH(Valori[[#This Row],[LUKB_id]],PID,0),MATCH("ASK:volume",PLabel,0)-1,1,1)</f>
        <v>665</v>
      </c>
      <c r="AD287" s="1596" cm="1">
        <f t="array" aca="1" ref="AD287" ca="1">OFFSET(POrigin,MATCH(Valori[[#This Row],[LUKB_id]],PID,0),MATCH("BID-ASK Spread %",PLabel,0)-1,1,1)</f>
        <v>4.9661399548532777E-2</v>
      </c>
      <c r="AE287" s="1597" t="str" cm="1">
        <f t="array" aca="1" ref="AE287" ca="1">IF(OFFSET(POrigin,MATCH(Valori[[#This Row],[LUKB_id]],PID,0),MATCH("MATURITY",PLabel,0)-1,1,1)&gt;0,OFFSET(POrigin,MATCH(Valori[[#This Row],[LUKB_id]],PID,0),MATCH("MATURITY",PLabel,0)-1,1,1),"")</f>
        <v/>
      </c>
      <c r="AF287" s="1598" cm="1">
        <f t="array" aca="1" ref="AF287" ca="1">OFFSET(POrigin,MATCH(Valori[[#This Row],[LUKB_id]],PID,0),MATCH("ACCINT",PLabel,0)-1,1,1)</f>
        <v>0</v>
      </c>
      <c r="AG287" s="1594" cm="1">
        <f t="array" aca="1" ref="AG287" ca="1">OFFSET(POrigin,MATCH(Valori[[#This Row],[LUKB_id]],PID,0),MATCH("DENOM",PLabel,0)-1,1,1)</f>
        <v>0</v>
      </c>
      <c r="AH287" s="1599" cm="1">
        <f t="array" aca="1" ref="AH287" ca="1">(OFFSET(POrigin,MATCH(Valori[[#This Row],[LUKB_id]],PID,0),MATCH("YIELD",PLabel,0)-1,1,1)+OFFSET(POrigin,MATCH(Valori[[#This Row],[LUKB_id]],PID,0),MATCH("YLDEQ",PLabel,0)-1,1,1))/100</f>
        <v>0</v>
      </c>
      <c r="AI287" s="1600">
        <f ca="1">OFFSET(POrigin,MATCH(Valori[[#This Row],[LUKB_id]],PID,0),MATCH("DIVIDEND",PLabel,0)-1,1,1)</f>
        <v>0</v>
      </c>
      <c r="AJ287" s="1601">
        <f ca="1">OFFSET(POrigin,MATCH(Valori[[#This Row],[LUKB_id]],PID,0),MATCH("DIVIDEND:datetime",PLabel,0)-1,1,1)</f>
        <v>0</v>
      </c>
      <c r="AK287" s="1602">
        <f ca="1">OFFSET(POrigin,MATCH(Valori[[#This Row],[LUKB_id]],PID,0),MATCH("INTEREST",PLabel,0)-1,1,1)</f>
        <v>0</v>
      </c>
      <c r="AL287" s="1603">
        <f ca="1">OFFSET(POrigin,MATCH(Valori[[#This Row],[LUKB_id]],PID,0),MATCH("4W_PERF_PR",PLabel,0)-1,1,1)/100</f>
        <v>2.261233E-2</v>
      </c>
      <c r="AM287" s="1603">
        <f ca="1">OFFSET(POrigin,MATCH(Valori[[#This Row],[LUKB_id]],PID,0),MATCH("12W_PERF_PR",PLabel,0)-1,1,1)/100</f>
        <v>-1.2825819999999998E-2</v>
      </c>
      <c r="AN287" s="1603">
        <f ca="1">OFFSET(POrigin,MATCH(Valori[[#This Row],[LUKB_id]],PID,0),MATCH("YTD_PERF_PR",PLabel,0)-1,1,1)/100</f>
        <v>1.3576580398812002E-2</v>
      </c>
      <c r="AO287" s="1591">
        <v>0</v>
      </c>
      <c r="AP287" s="1591">
        <v>0</v>
      </c>
      <c r="AQ287" s="1591">
        <v>4.8999999999999998E-3</v>
      </c>
      <c r="AR287" s="1591">
        <v>0</v>
      </c>
      <c r="AS287" s="1890" t="s">
        <v>1734</v>
      </c>
      <c r="AT287" s="1890" t="s">
        <v>1735</v>
      </c>
      <c r="AU287" s="610" t="s">
        <v>1736</v>
      </c>
      <c r="AV287" s="1891" t="s">
        <v>1737</v>
      </c>
      <c r="AW287" s="1604" t="str">
        <f ca="1">"https://boersenundmaerkte.lukb.ch/lukb/details/"&amp;Valori[[#This Row],[LUKB_id]]</f>
        <v>https://boersenundmaerkte.lukb.ch/lukb/details/2726117,361,333</v>
      </c>
      <c r="AX287" s="1605" t="str">
        <f>"https://www.zonebourse.com/mods_a/charts/TV/inc_dyna_graph.php?c="&amp;Valori[[#This Row],[MS_Code]]&amp;"&amp;style=TradingView.CANDLES&amp;interval=(null)&amp;mobile=(null)&amp;showAT=1"</f>
        <v>https://www.zonebourse.com/mods_a/charts/TV/inc_dyna_graph.php?c=193118&amp;style=TradingView.CANDLES&amp;interval=(null)&amp;mobile=(null)&amp;showAT=1</v>
      </c>
      <c r="AY287" s="142"/>
      <c r="AZ287" s="142"/>
      <c r="BA287" s="142"/>
      <c r="BB287" s="142"/>
    </row>
    <row r="288" spans="1:54" ht="15" customHeight="1" x14ac:dyDescent="0.2">
      <c r="A288" s="142" t="s">
        <v>4403</v>
      </c>
      <c r="B288" s="142" t="s">
        <v>4398</v>
      </c>
      <c r="C288" s="1668" t="str">
        <f>HYPERLINK("https://boersenundmaerkte.lukb.ch/lukb/details/"&amp;Valori[[#This Row],[LUKB_id]],"è")</f>
        <v>è</v>
      </c>
      <c r="D288" s="142" t="str" cm="1">
        <f t="array" aca="1" ref="D288" ca="1">OFFSET(POrigin,MATCH(Valori[[#This Row],[LUKB_id]],PID,0),MATCH("SC_GROUPED",PIntestazioni,0)-1,1,1)</f>
        <v>DER</v>
      </c>
      <c r="E288" s="413" t="str" cm="1">
        <f t="array" aca="1" ref="E288" ca="1">OFFSET(POrigin,MATCH(Valori[[#This Row],[LUKB_id]],PID,0),MATCH("isin",PIntestazioni,0)-1,1,1)</f>
        <v>GB00B15KXQ89</v>
      </c>
      <c r="F288" s="34" t="str" cm="1">
        <f t="array" aca="1" ref="F288" ca="1">OFFSET(POrigin,MATCH(Valori[[#This Row],[LUKB_id]],PID,0),MATCH("NSIN_CH",PLabel,0)-1,1,1)</f>
        <v>2723229</v>
      </c>
      <c r="G288" s="95" t="str" cm="1">
        <f t="array" aca="1" ref="G288" ca="1">IF(OFFSET(POrigin,MATCH(Valori[[#This Row],[LUKB_id]],PID,0),MATCH("INSTRUNIT",PLabel,0)-1,1,1)="Nominal","Pct","Unit")</f>
        <v>Unit</v>
      </c>
      <c r="H288" s="612">
        <f ca="1">MAX(OFFSET(POrigin,MATCH(Valori[[#This Row],[LUKB_id]],PID,0),MATCH("PRICINGAMT",PLabel,0)-1,1,1),1)</f>
        <v>1</v>
      </c>
      <c r="I288" s="615" t="str" cm="1">
        <f t="array" aca="1" ref="I288" ca="1">OFFSET(POrigin,MATCH(Valori[[#This Row],[LUKB_id]],PID,0),MATCH("M_NAME",PLabel,0)-1,1,1)</f>
        <v>COPA/WTCS</v>
      </c>
      <c r="J288" s="142" t="s">
        <v>4402</v>
      </c>
      <c r="M288" s="142" t="str" cm="1">
        <f t="array" aca="1" ref="M2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Copper (USD)</v>
      </c>
      <c r="N288" s="1563">
        <f ca="1">COUNTIF('CHF M'!smo_id,Valori[[#This Row],[smo_id]])+COUNTIF('CHF MA'!smo_id,Valori[[#This Row],[smo_id]])+COUNTIF('EUR MB'!smo_id,Valori[[#This Row],[smo_id]])+COUNTIF('EUR M'!smo_id,Valori[[#This Row],[smo_id]])+COUNTIF(AGCO!smo_id,Valori[[#This Row],[smo_id]])</f>
        <v>1</v>
      </c>
      <c r="O288" s="1590" cm="1">
        <f t="array" aca="1" ref="O288" ca="1">SUM(IF('CHF M'!smo_id=Valori[[#This Row],[smo_id]],'CHF M'!Posizione))+SUM(IF('CHF MA'!smo_id=Valori[[#This Row],[smo_id]],'CHF MA'!Posizione))+SUM(IF('EUR MB'!smo_id=Valori[[#This Row],[smo_id]],'EUR MB'!Posizione))+SUM(IF('EUR M'!smo_id=Valori[[#This Row],[smo_id]],'EUR M'!Posizione))+SUM(IF(AGCO!smo_id=Valori[[#This Row],[smo_id]],AGCO!Posizione))</f>
        <v>1250</v>
      </c>
      <c r="P288" s="1661" t="str">
        <f>HYPERLINK(Valori[[#This Row],[P_Source]],"è")</f>
        <v>è</v>
      </c>
      <c r="Q288" s="1663" t="str">
        <f>HYPERLINK(Valori[[#This Row],[Info_W]],"i")</f>
        <v>i</v>
      </c>
      <c r="R288" s="1664" t="str">
        <f>HYPERLINK(Valori[[#This Row],[FN_W]],"")</f>
        <v></v>
      </c>
      <c r="S288" s="1665" t="str">
        <f>HYPERLINK(Valori[[#This Row],[MS_Link]],"")</f>
        <v></v>
      </c>
      <c r="T288" s="1665" t="str">
        <f>HYPERLINK(Valori[[#This Row],[C_source]],"")</f>
        <v></v>
      </c>
      <c r="U288" s="142" t="str" cm="1">
        <f t="array" aca="1" ref="U288" ca="1">OFFSET(POrigin,MATCH(Valori[[#This Row],[LUKB_id]],PID,0),MATCH("M_CUR",PLabel,0)-1,1,1)</f>
        <v>USD</v>
      </c>
      <c r="V288" s="1562">
        <f ca="1">(Valori[[#This Row],[Last]]+Valori[[#This Row],[Acc. Int]])/Valori[[#This Row],[Pr.Amt]]/IF(Valori[[#This Row],[P_Type]]="Pct",100,1)</f>
        <v>50.81</v>
      </c>
      <c r="W288" s="1591" cm="1">
        <f t="array" aca="1" ref="W288" ca="1">OFFSET(POrigin,MATCH(Valori[[#This Row],[LUKB_id]],PID,0),MATCH("NC2_PR",PLabel,0)-1,1,1)/100</f>
        <v>-1.53100775193799E-2</v>
      </c>
      <c r="X288" s="1592" cm="1">
        <f t="array" aca="1" ref="X288" ca="1">OFFSET(POrigin,MATCH(Valori[[#This Row],[LUKB_id]],PID,0),MATCH("LVAL",PLabel,0)-1,1,1)</f>
        <v>50.81</v>
      </c>
      <c r="Y288" s="1593" cm="1">
        <f t="array" aca="1" ref="Y288" ca="1">OFFSET(POrigin,MATCH(Valori[[#This Row],[LUKB_id]],PID,0),MATCH("LVAL:datetime",PLabel,0)-1,1,1)</f>
        <v>46084.732905092591</v>
      </c>
      <c r="Z288" s="1594" cm="1">
        <f t="array" aca="1" ref="Z288" ca="1">OFFSET(POrigin,MATCH(Valori[[#This Row],[LUKB_id]],PID,0),MATCH("BID:volume",PLabel,0)-1,1,1)</f>
        <v>1100</v>
      </c>
      <c r="AA288" s="1595" cm="1">
        <f t="array" aca="1" ref="AA288" ca="1">OFFSET(POrigin,MATCH(Valori[[#This Row],[LUKB_id]],PID,0),MATCH("BID",PLabel,0)-1,1,1)</f>
        <v>48</v>
      </c>
      <c r="AB288" s="1595" cm="1">
        <f t="array" aca="1" ref="AB288" ca="1">OFFSET(POrigin,MATCH(Valori[[#This Row],[LUKB_id]],PID,0),MATCH("ASK",PLabel,0)-1,1,1)</f>
        <v>60.5</v>
      </c>
      <c r="AC288" s="1594" cm="1">
        <f t="array" aca="1" ref="AC288" ca="1">OFFSET(POrigin,MATCH(Valori[[#This Row],[LUKB_id]],PID,0),MATCH("ASK:volume",PLabel,0)-1,1,1)</f>
        <v>9650</v>
      </c>
      <c r="AD288" s="1596" cm="1">
        <f t="array" aca="1" ref="AD288" ca="1">OFFSET(POrigin,MATCH(Valori[[#This Row],[LUKB_id]],PID,0),MATCH("BID-ASK Spread %",PLabel,0)-1,1,1)</f>
        <v>0.15974440894568689</v>
      </c>
      <c r="AE288" s="1597" t="str" cm="1">
        <f t="array" aca="1" ref="AE288" ca="1">IF(OFFSET(POrigin,MATCH(Valori[[#This Row],[LUKB_id]],PID,0),MATCH("MATURITY",PLabel,0)-1,1,1)&gt;0,OFFSET(POrigin,MATCH(Valori[[#This Row],[LUKB_id]],PID,0),MATCH("MATURITY",PLabel,0)-1,1,1),"")</f>
        <v/>
      </c>
      <c r="AF288" s="1598" cm="1">
        <f t="array" aca="1" ref="AF288" ca="1">OFFSET(POrigin,MATCH(Valori[[#This Row],[LUKB_id]],PID,0),MATCH("ACCINT",PLabel,0)-1,1,1)</f>
        <v>0</v>
      </c>
      <c r="AG288" s="1594" cm="1">
        <f t="array" aca="1" ref="AG288" ca="1">OFFSET(POrigin,MATCH(Valori[[#This Row],[LUKB_id]],PID,0),MATCH("DENOM",PLabel,0)-1,1,1)</f>
        <v>0</v>
      </c>
      <c r="AH288" s="1599" cm="1">
        <f t="array" aca="1" ref="AH288" ca="1">(OFFSET(POrigin,MATCH(Valori[[#This Row],[LUKB_id]],PID,0),MATCH("YIELD",PLabel,0)-1,1,1)+OFFSET(POrigin,MATCH(Valori[[#This Row],[LUKB_id]],PID,0),MATCH("YLDEQ",PLabel,0)-1,1,1))/100</f>
        <v>0</v>
      </c>
      <c r="AI288" s="1600">
        <f ca="1">OFFSET(POrigin,MATCH(Valori[[#This Row],[LUKB_id]],PID,0),MATCH("DIVIDEND",PLabel,0)-1,1,1)</f>
        <v>0</v>
      </c>
      <c r="AJ288" s="1601">
        <f ca="1">OFFSET(POrigin,MATCH(Valori[[#This Row],[LUKB_id]],PID,0),MATCH("DIVIDEND:datetime",PLabel,0)-1,1,1)</f>
        <v>0</v>
      </c>
      <c r="AK288" s="1602">
        <f ca="1">OFFSET(POrigin,MATCH(Valori[[#This Row],[LUKB_id]],PID,0),MATCH("INTEREST",PLabel,0)-1,1,1)</f>
        <v>0</v>
      </c>
      <c r="AL288" s="1603">
        <f ca="1">OFFSET(POrigin,MATCH(Valori[[#This Row],[LUKB_id]],PID,0),MATCH("4W_PERF_PR",PLabel,0)-1,1,1)/100</f>
        <v>-4.7431569999999999E-2</v>
      </c>
      <c r="AM288" s="1603">
        <f ca="1">OFFSET(POrigin,MATCH(Valori[[#This Row],[LUKB_id]],PID,0),MATCH("12W_PERF_PR",PLabel,0)-1,1,1)/100</f>
        <v>9.2923209999999992E-2</v>
      </c>
      <c r="AN288" s="1603">
        <f ca="1">OFFSET(POrigin,MATCH(Valori[[#This Row],[LUKB_id]],PID,0),MATCH("YTD_PERF_PR",PLabel,0)-1,1,1)/100</f>
        <v>3.9798488664987502E-2</v>
      </c>
      <c r="AO288" s="1591"/>
      <c r="AP288" s="1591"/>
      <c r="AQ288" s="1591"/>
      <c r="AR288" s="1591"/>
      <c r="AS288" s="1890"/>
      <c r="AT288" s="1890"/>
      <c r="AU288" s="610"/>
      <c r="AV288" s="1891"/>
      <c r="AW288" s="1604" t="str">
        <f>"https://boersenundmaerkte.lukb.ch/lukb/details/"&amp;Valori[[#This Row],[LUKB_id]]</f>
        <v>https://boersenundmaerkte.lukb.ch/lukb/details/2723229,361,333</v>
      </c>
      <c r="AX28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8" s="142"/>
      <c r="AZ288" s="142"/>
      <c r="BA288" s="142"/>
      <c r="BB288" s="142"/>
    </row>
    <row r="289" spans="1:54" ht="15" customHeight="1" x14ac:dyDescent="0.2">
      <c r="A289" s="142" t="s">
        <v>1738</v>
      </c>
      <c r="B289" s="142" t="str" cm="1">
        <f t="array" aca="1" ref="B289" ca="1">OFFSET(POrigin,MATCH(Valori[[#This Row],[smo_id]],Posizioni[smo_id],0),MATCH("LUKB_id",PIntestazioni,0)-1,1,1)</f>
        <v>2726105,361,333</v>
      </c>
      <c r="C289" s="1668" t="str">
        <f ca="1">HYPERLINK("https://boersenundmaerkte.lukb.ch/lukb/details/"&amp;Valori[[#This Row],[LUKB_id]],"è")</f>
        <v>è</v>
      </c>
      <c r="D289" s="142" t="str" cm="1">
        <f t="array" aca="1" ref="D289" ca="1">OFFSET(POrigin,MATCH(Valori[[#This Row],[LUKB_id]],PID,0),MATCH("SC_GROUPED",PIntestazioni,0)-1,1,1)</f>
        <v>DER</v>
      </c>
      <c r="E289" s="413" t="str" cm="1">
        <f t="array" aca="1" ref="E289" ca="1">OFFSET(POrigin,MATCH(Valori[[#This Row],[LUKB_id]],PID,0),MATCH("isin",PIntestazioni,0)-1,1,1)</f>
        <v>GB00B15KYB02</v>
      </c>
      <c r="F289" s="34" t="str" cm="1">
        <f t="array" aca="1" ref="F289" ca="1">OFFSET(POrigin,MATCH(Valori[[#This Row],[LUKB_id]],PID,0),MATCH("NSIN_CH",PLabel,0)-1,1,1)</f>
        <v>2726105</v>
      </c>
      <c r="G289" s="95" t="str" cm="1">
        <f t="array" aca="1" ref="G289" ca="1">IF(OFFSET(POrigin,MATCH(Valori[[#This Row],[LUKB_id]],PID,0),MATCH("INSTRUNIT",PLabel,0)-1,1,1)="Nominal","Pct","Unit")</f>
        <v>Unit</v>
      </c>
      <c r="H289" s="612">
        <f ca="1">MAX(OFFSET(POrigin,MATCH(Valori[[#This Row],[LUKB_id]],PID,0),MATCH("PRICINGAMT",PLabel,0)-1,1,1),1)</f>
        <v>1</v>
      </c>
      <c r="I289" s="615" t="str" cm="1">
        <f t="array" aca="1" ref="I289" ca="1">OFFSET(POrigin,MATCH(Valori[[#This Row],[LUKB_id]],PID,0),MATCH("M_NAME",PLabel,0)-1,1,1)</f>
        <v>AIGE/WTCS</v>
      </c>
      <c r="J289" s="142" t="s">
        <v>541</v>
      </c>
      <c r="M289" s="142" t="str" cm="1">
        <f t="array" aca="1" ref="M2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Energy (AIGE)</v>
      </c>
      <c r="N289" s="1563">
        <f ca="1">COUNTIF('CHF M'!smo_id,Valori[[#This Row],[smo_id]])+COUNTIF('CHF MA'!smo_id,Valori[[#This Row],[smo_id]])+COUNTIF('EUR MB'!smo_id,Valori[[#This Row],[smo_id]])+COUNTIF('EUR M'!smo_id,Valori[[#This Row],[smo_id]])+COUNTIF(AGCO!smo_id,Valori[[#This Row],[smo_id]])</f>
        <v>5</v>
      </c>
      <c r="O289" s="1590" cm="1">
        <f t="array" aca="1" ref="O289" ca="1">SUM(IF('CHF M'!smo_id=Valori[[#This Row],[smo_id]],'CHF M'!Posizione))+SUM(IF('CHF MA'!smo_id=Valori[[#This Row],[smo_id]],'CHF MA'!Posizione))+SUM(IF('EUR MB'!smo_id=Valori[[#This Row],[smo_id]],'EUR MB'!Posizione))+SUM(IF('EUR M'!smo_id=Valori[[#This Row],[smo_id]],'EUR M'!Posizione))+SUM(IF(AGCO!smo_id=Valori[[#This Row],[smo_id]],AGCO!Posizione))</f>
        <v>0</v>
      </c>
      <c r="P289" s="1661" t="str">
        <f ca="1">HYPERLINK(Valori[[#This Row],[P_Source]],"è")</f>
        <v>è</v>
      </c>
      <c r="Q289" s="1663" t="str">
        <f>HYPERLINK(Valori[[#This Row],[Info_W]],"i")</f>
        <v>i</v>
      </c>
      <c r="R289" s="1664" t="str">
        <f>HYPERLINK(Valori[[#This Row],[FN_W]],"")</f>
        <v></v>
      </c>
      <c r="S289" s="1665" t="str">
        <f>HYPERLINK(Valori[[#This Row],[MS_Link]],"")</f>
        <v></v>
      </c>
      <c r="T289" s="1665" t="str">
        <f>HYPERLINK(Valori[[#This Row],[C_source]],"")</f>
        <v></v>
      </c>
      <c r="U289" s="142" t="str" cm="1">
        <f t="array" aca="1" ref="U289" ca="1">OFFSET(POrigin,MATCH(Valori[[#This Row],[LUKB_id]],PID,0),MATCH("M_CUR",PLabel,0)-1,1,1)</f>
        <v>USD</v>
      </c>
      <c r="V289" s="1562">
        <f ca="1">(Valori[[#This Row],[Last]]+Valori[[#This Row],[Acc. Int]])/Valori[[#This Row],[Pr.Amt]]/IF(Valori[[#This Row],[P_Type]]="Pct",100,1)</f>
        <v>4.1530000000000005</v>
      </c>
      <c r="W289" s="1591" cm="1">
        <f t="array" aca="1" ref="W289" ca="1">OFFSET(POrigin,MATCH(Valori[[#This Row],[LUKB_id]],PID,0),MATCH("NC2_PR",PLabel,0)-1,1,1)/100</f>
        <v>7.0912841670964608E-2</v>
      </c>
      <c r="X289" s="1592" cm="1">
        <f t="array" aca="1" ref="X289" ca="1">OFFSET(POrigin,MATCH(Valori[[#This Row],[LUKB_id]],PID,0),MATCH("LVAL",PLabel,0)-1,1,1)</f>
        <v>4.1530000000000005</v>
      </c>
      <c r="Y289" s="1593" cm="1">
        <f t="array" aca="1" ref="Y289" ca="1">OFFSET(POrigin,MATCH(Valori[[#This Row],[LUKB_id]],PID,0),MATCH("LVAL:datetime",PLabel,0)-1,1,1)</f>
        <v>46084.732835648145</v>
      </c>
      <c r="Z289" s="1594" cm="1">
        <f t="array" aca="1" ref="Z289" ca="1">OFFSET(POrigin,MATCH(Valori[[#This Row],[LUKB_id]],PID,0),MATCH("BID:volume",PLabel,0)-1,1,1)</f>
        <v>183507</v>
      </c>
      <c r="AA289" s="1595" cm="1">
        <f t="array" aca="1" ref="AA289" ca="1">OFFSET(POrigin,MATCH(Valori[[#This Row],[LUKB_id]],PID,0),MATCH("BID",PLabel,0)-1,1,1)</f>
        <v>4.1349999999999998</v>
      </c>
      <c r="AB289" s="1595" cm="1">
        <f t="array" aca="1" ref="AB289" ca="1">OFFSET(POrigin,MATCH(Valori[[#This Row],[LUKB_id]],PID,0),MATCH("ASK",PLabel,0)-1,1,1)</f>
        <v>4.16</v>
      </c>
      <c r="AC289" s="1594" cm="1">
        <f t="array" aca="1" ref="AC289" ca="1">OFFSET(POrigin,MATCH(Valori[[#This Row],[LUKB_id]],PID,0),MATCH("ASK:volume",PLabel,0)-1,1,1)</f>
        <v>16911</v>
      </c>
      <c r="AD289" s="1596" cm="1">
        <f t="array" aca="1" ref="AD289" ca="1">OFFSET(POrigin,MATCH(Valori[[#This Row],[LUKB_id]],PID,0),MATCH("BID-ASK Spread %",PLabel,0)-1,1,1)</f>
        <v>4.0225261464200092E-3</v>
      </c>
      <c r="AE289" s="1597" t="str" cm="1">
        <f t="array" aca="1" ref="AE289" ca="1">IF(OFFSET(POrigin,MATCH(Valori[[#This Row],[LUKB_id]],PID,0),MATCH("MATURITY",PLabel,0)-1,1,1)&gt;0,OFFSET(POrigin,MATCH(Valori[[#This Row],[LUKB_id]],PID,0),MATCH("MATURITY",PLabel,0)-1,1,1),"")</f>
        <v/>
      </c>
      <c r="AF289" s="1598" cm="1">
        <f t="array" aca="1" ref="AF289" ca="1">OFFSET(POrigin,MATCH(Valori[[#This Row],[LUKB_id]],PID,0),MATCH("ACCINT",PLabel,0)-1,1,1)</f>
        <v>0</v>
      </c>
      <c r="AG289" s="1594" cm="1">
        <f t="array" aca="1" ref="AG289" ca="1">OFFSET(POrigin,MATCH(Valori[[#This Row],[LUKB_id]],PID,0),MATCH("DENOM",PLabel,0)-1,1,1)</f>
        <v>0</v>
      </c>
      <c r="AH289" s="1599" cm="1">
        <f t="array" aca="1" ref="AH289" ca="1">(OFFSET(POrigin,MATCH(Valori[[#This Row],[LUKB_id]],PID,0),MATCH("YIELD",PLabel,0)-1,1,1)+OFFSET(POrigin,MATCH(Valori[[#This Row],[LUKB_id]],PID,0),MATCH("YLDEQ",PLabel,0)-1,1,1))/100</f>
        <v>0</v>
      </c>
      <c r="AI289" s="1600">
        <f ca="1">OFFSET(POrigin,MATCH(Valori[[#This Row],[LUKB_id]],PID,0),MATCH("DIVIDEND",PLabel,0)-1,1,1)</f>
        <v>0</v>
      </c>
      <c r="AJ289" s="1601">
        <f ca="1">OFFSET(POrigin,MATCH(Valori[[#This Row],[LUKB_id]],PID,0),MATCH("DIVIDEND:datetime",PLabel,0)-1,1,1)</f>
        <v>0</v>
      </c>
      <c r="AK289" s="1602">
        <f ca="1">OFFSET(POrigin,MATCH(Valori[[#This Row],[LUKB_id]],PID,0),MATCH("INTEREST",PLabel,0)-1,1,1)</f>
        <v>0</v>
      </c>
      <c r="AL289" s="1603">
        <f ca="1">OFFSET(POrigin,MATCH(Valori[[#This Row],[LUKB_id]],PID,0),MATCH("4W_PERF_PR",PLabel,0)-1,1,1)/100</f>
        <v>0.20376811999999997</v>
      </c>
      <c r="AM289" s="1603">
        <f ca="1">OFFSET(POrigin,MATCH(Valori[[#This Row],[LUKB_id]],PID,0),MATCH("12W_PERF_PR",PLabel,0)-1,1,1)/100</f>
        <v>0.22688330999999998</v>
      </c>
      <c r="AN289" s="1603">
        <f ca="1">OFFSET(POrigin,MATCH(Valori[[#This Row],[LUKB_id]],PID,0),MATCH("YTD_PERF_PR",PLabel,0)-1,1,1)/100</f>
        <v>0.21087801087801</v>
      </c>
      <c r="AO289" s="1591"/>
      <c r="AP289" s="1591"/>
      <c r="AQ289" s="1591"/>
      <c r="AR289" s="1591"/>
      <c r="AS289" s="1890" t="s">
        <v>1739</v>
      </c>
      <c r="AT289" s="1890" t="s">
        <v>1740</v>
      </c>
      <c r="AU289" s="610" t="s">
        <v>1741</v>
      </c>
      <c r="AV289" s="1891" t="s">
        <v>1742</v>
      </c>
      <c r="AW289" s="1604" t="str">
        <f ca="1">"https://boersenundmaerkte.lukb.ch/lukb/details/"&amp;Valori[[#This Row],[LUKB_id]]</f>
        <v>https://boersenundmaerkte.lukb.ch/lukb/details/2726105,361,333</v>
      </c>
      <c r="AX289" s="1605" t="str">
        <f>"https://www.zonebourse.com/mods_a/charts/TV/inc_dyna_graph.php?c="&amp;Valori[[#This Row],[MS_Code]]&amp;"&amp;style=TradingView.CANDLES&amp;interval=(null)&amp;mobile=(null)&amp;showAT=1"</f>
        <v>https://www.zonebourse.com/mods_a/charts/TV/inc_dyna_graph.php?c=4006389&amp;style=TradingView.CANDLES&amp;interval=(null)&amp;mobile=(null)&amp;showAT=1</v>
      </c>
      <c r="AY289" s="142"/>
      <c r="AZ289" s="142"/>
      <c r="BA289" s="142"/>
      <c r="BB289" s="142"/>
    </row>
    <row r="290" spans="1:54" ht="15" customHeight="1" x14ac:dyDescent="0.2">
      <c r="A290" s="142" t="s">
        <v>1743</v>
      </c>
      <c r="B290" s="142" t="str" cm="1">
        <f t="array" aca="1" ref="B290" ca="1">OFFSET(POrigin,MATCH(Valori[[#This Row],[smo_id]],Posizioni[smo_id],0),MATCH("LUKB_id",PIntestazioni,0)-1,1,1)</f>
        <v>2726111,361,333</v>
      </c>
      <c r="C290" s="1668" t="str">
        <f ca="1">HYPERLINK("https://boersenundmaerkte.lukb.ch/lukb/details/"&amp;Valori[[#This Row],[LUKB_id]],"è")</f>
        <v>è</v>
      </c>
      <c r="D290" s="142" t="str" cm="1">
        <f t="array" aca="1" ref="D290" ca="1">OFFSET(POrigin,MATCH(Valori[[#This Row],[LUKB_id]],PID,0),MATCH("SC_GROUPED",PIntestazioni,0)-1,1,1)</f>
        <v>DER</v>
      </c>
      <c r="E290" s="413" t="str" cm="1">
        <f t="array" aca="1" ref="E290" ca="1">OFFSET(POrigin,MATCH(Valori[[#This Row],[LUKB_id]],PID,0),MATCH("isin",PIntestazioni,0)-1,1,1)</f>
        <v>GB00B15KYG56</v>
      </c>
      <c r="F290" s="34" t="str" cm="1">
        <f t="array" aca="1" ref="F290" ca="1">OFFSET(POrigin,MATCH(Valori[[#This Row],[LUKB_id]],PID,0),MATCH("NSIN_CH",PLabel,0)-1,1,1)</f>
        <v>2726111</v>
      </c>
      <c r="G290" s="95" t="str" cm="1">
        <f t="array" aca="1" ref="G290" ca="1">IF(OFFSET(POrigin,MATCH(Valori[[#This Row],[LUKB_id]],PID,0),MATCH("INSTRUNIT",PLabel,0)-1,1,1)="Nominal","Pct","Unit")</f>
        <v>Unit</v>
      </c>
      <c r="H290" s="612">
        <f ca="1">MAX(OFFSET(POrigin,MATCH(Valori[[#This Row],[LUKB_id]],PID,0),MATCH("PRICINGAMT",PLabel,0)-1,1,1),1)</f>
        <v>1</v>
      </c>
      <c r="I290" s="615" t="str" cm="1">
        <f t="array" aca="1" ref="I290" ca="1">OFFSET(POrigin,MATCH(Valori[[#This Row],[LUKB_id]],PID,0),MATCH("M_NAME",PLabel,0)-1,1,1)</f>
        <v>AIGI/WTCS</v>
      </c>
      <c r="J290" s="142" t="s">
        <v>543</v>
      </c>
      <c r="M290" s="142" t="str" cm="1">
        <f t="array" aca="1" ref="M2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Industrial Metals (AIGI)</v>
      </c>
      <c r="N290" s="1563">
        <f ca="1">COUNTIF('CHF M'!smo_id,Valori[[#This Row],[smo_id]])+COUNTIF('CHF MA'!smo_id,Valori[[#This Row],[smo_id]])+COUNTIF('EUR MB'!smo_id,Valori[[#This Row],[smo_id]])+COUNTIF('EUR M'!smo_id,Valori[[#This Row],[smo_id]])+COUNTIF(AGCO!smo_id,Valori[[#This Row],[smo_id]])</f>
        <v>6</v>
      </c>
      <c r="O290" s="1590" cm="1">
        <f t="array" aca="1" ref="O290" ca="1">SUM(IF('CHF M'!smo_id=Valori[[#This Row],[smo_id]],'CHF M'!Posizione))+SUM(IF('CHF MA'!smo_id=Valori[[#This Row],[smo_id]],'CHF MA'!Posizione))+SUM(IF('EUR MB'!smo_id=Valori[[#This Row],[smo_id]],'EUR MB'!Posizione))+SUM(IF('EUR M'!smo_id=Valori[[#This Row],[smo_id]],'EUR M'!Posizione))+SUM(IF(AGCO!smo_id=Valori[[#This Row],[smo_id]],AGCO!Posizione))</f>
        <v>3500</v>
      </c>
      <c r="P290" s="1661" t="str">
        <f ca="1">HYPERLINK(Valori[[#This Row],[P_Source]],"è")</f>
        <v>è</v>
      </c>
      <c r="Q290" s="1663" t="str">
        <f>HYPERLINK(Valori[[#This Row],[Info_W]],"i")</f>
        <v>i</v>
      </c>
      <c r="R290" s="1664" t="str">
        <f>HYPERLINK(Valori[[#This Row],[FN_W]],"")</f>
        <v></v>
      </c>
      <c r="S290" s="1665" t="str">
        <f>HYPERLINK(Valori[[#This Row],[MS_Link]],"")</f>
        <v></v>
      </c>
      <c r="T290" s="1665" t="str">
        <f>HYPERLINK(Valori[[#This Row],[C_source]],"")</f>
        <v></v>
      </c>
      <c r="U290" s="142" t="str" cm="1">
        <f t="array" aca="1" ref="U290" ca="1">OFFSET(POrigin,MATCH(Valori[[#This Row],[LUKB_id]],PID,0),MATCH("M_CUR",PLabel,0)-1,1,1)</f>
        <v>USD</v>
      </c>
      <c r="V290" s="1562">
        <f ca="1">(Valori[[#This Row],[Last]]+Valori[[#This Row],[Acc. Int]])/Valori[[#This Row],[Pr.Amt]]/IF(Valori[[#This Row],[P_Type]]="Pct",100,1)</f>
        <v>18.46</v>
      </c>
      <c r="W290" s="1591" cm="1">
        <f t="array" aca="1" ref="W290" ca="1">OFFSET(POrigin,MATCH(Valori[[#This Row],[LUKB_id]],PID,0),MATCH("NC2_PR",PLabel,0)-1,1,1)/100</f>
        <v>-4.5834456726881996E-3</v>
      </c>
      <c r="X290" s="1592" cm="1">
        <f t="array" aca="1" ref="X290" ca="1">OFFSET(POrigin,MATCH(Valori[[#This Row],[LUKB_id]],PID,0),MATCH("LVAL",PLabel,0)-1,1,1)</f>
        <v>18.46</v>
      </c>
      <c r="Y290" s="1593" cm="1">
        <f t="array" aca="1" ref="Y290" ca="1">OFFSET(POrigin,MATCH(Valori[[#This Row],[LUKB_id]],PID,0),MATCH("LVAL:datetime",PLabel,0)-1,1,1)</f>
        <v>46084.732847222222</v>
      </c>
      <c r="Z290" s="1594" cm="1">
        <f t="array" aca="1" ref="Z290" ca="1">OFFSET(POrigin,MATCH(Valori[[#This Row],[LUKB_id]],PID,0),MATCH("BID:volume",PLabel,0)-1,1,1)</f>
        <v>1500</v>
      </c>
      <c r="AA290" s="1595" cm="1">
        <f t="array" aca="1" ref="AA290" ca="1">OFFSET(POrigin,MATCH(Valori[[#This Row],[LUKB_id]],PID,0),MATCH("BID",PLabel,0)-1,1,1)</f>
        <v>17.77</v>
      </c>
      <c r="AB290" s="1595" cm="1">
        <f t="array" aca="1" ref="AB290" ca="1">OFFSET(POrigin,MATCH(Valori[[#This Row],[LUKB_id]],PID,0),MATCH("ASK",PLabel,0)-1,1,1)</f>
        <v>20.37</v>
      </c>
      <c r="AC290" s="1594" cm="1">
        <f t="array" aca="1" ref="AC290" ca="1">OFFSET(POrigin,MATCH(Valori[[#This Row],[LUKB_id]],PID,0),MATCH("ASK:volume",PLabel,0)-1,1,1)</f>
        <v>116</v>
      </c>
      <c r="AD290" s="1596" cm="1">
        <f t="array" aca="1" ref="AD290" ca="1">OFFSET(POrigin,MATCH(Valori[[#This Row],[LUKB_id]],PID,0),MATCH("BID-ASK Spread %",PLabel,0)-1,1,1)</f>
        <v>9.3006617778572762E-2</v>
      </c>
      <c r="AE290" s="1597" t="str" cm="1">
        <f t="array" aca="1" ref="AE290" ca="1">IF(OFFSET(POrigin,MATCH(Valori[[#This Row],[LUKB_id]],PID,0),MATCH("MATURITY",PLabel,0)-1,1,1)&gt;0,OFFSET(POrigin,MATCH(Valori[[#This Row],[LUKB_id]],PID,0),MATCH("MATURITY",PLabel,0)-1,1,1),"")</f>
        <v/>
      </c>
      <c r="AF290" s="1598" cm="1">
        <f t="array" aca="1" ref="AF290" ca="1">OFFSET(POrigin,MATCH(Valori[[#This Row],[LUKB_id]],PID,0),MATCH("ACCINT",PLabel,0)-1,1,1)</f>
        <v>0</v>
      </c>
      <c r="AG290" s="1594" cm="1">
        <f t="array" aca="1" ref="AG290" ca="1">OFFSET(POrigin,MATCH(Valori[[#This Row],[LUKB_id]],PID,0),MATCH("DENOM",PLabel,0)-1,1,1)</f>
        <v>0</v>
      </c>
      <c r="AH290" s="1599" cm="1">
        <f t="array" aca="1" ref="AH290" ca="1">(OFFSET(POrigin,MATCH(Valori[[#This Row],[LUKB_id]],PID,0),MATCH("YIELD",PLabel,0)-1,1,1)+OFFSET(POrigin,MATCH(Valori[[#This Row],[LUKB_id]],PID,0),MATCH("YLDEQ",PLabel,0)-1,1,1))/100</f>
        <v>0</v>
      </c>
      <c r="AI290" s="1600">
        <f ca="1">OFFSET(POrigin,MATCH(Valori[[#This Row],[LUKB_id]],PID,0),MATCH("DIVIDEND",PLabel,0)-1,1,1)</f>
        <v>0</v>
      </c>
      <c r="AJ290" s="1601">
        <f ca="1">OFFSET(POrigin,MATCH(Valori[[#This Row],[LUKB_id]],PID,0),MATCH("DIVIDEND:datetime",PLabel,0)-1,1,1)</f>
        <v>0</v>
      </c>
      <c r="AK290" s="1602">
        <f ca="1">OFFSET(POrigin,MATCH(Valori[[#This Row],[LUKB_id]],PID,0),MATCH("INTEREST",PLabel,0)-1,1,1)</f>
        <v>0</v>
      </c>
      <c r="AL290" s="1603">
        <f ca="1">OFFSET(POrigin,MATCH(Valori[[#This Row],[LUKB_id]],PID,0),MATCH("4W_PERF_PR",PLabel,0)-1,1,1)/100</f>
        <v>-1.4941300000000001E-2</v>
      </c>
      <c r="AM290" s="1603">
        <f ca="1">OFFSET(POrigin,MATCH(Valori[[#This Row],[LUKB_id]],PID,0),MATCH("12W_PERF_PR",PLabel,0)-1,1,1)/100</f>
        <v>0.10176067</v>
      </c>
      <c r="AN290" s="1603">
        <f ca="1">OFFSET(POrigin,MATCH(Valori[[#This Row],[LUKB_id]],PID,0),MATCH("YTD_PERF_PR",PLabel,0)-1,1,1)/100</f>
        <v>4.5083122006199003E-2</v>
      </c>
      <c r="AO290" s="1591"/>
      <c r="AP290" s="1591"/>
      <c r="AQ290" s="1591"/>
      <c r="AR290" s="1591"/>
      <c r="AS290" s="1890" t="s">
        <v>1744</v>
      </c>
      <c r="AT290" s="1890" t="s">
        <v>1745</v>
      </c>
      <c r="AU290" s="610" t="s">
        <v>1746</v>
      </c>
      <c r="AV290" s="1891" t="s">
        <v>1747</v>
      </c>
      <c r="AW290" s="1604" t="str">
        <f ca="1">"https://boersenundmaerkte.lukb.ch/lukb/details/"&amp;Valori[[#This Row],[LUKB_id]]</f>
        <v>https://boersenundmaerkte.lukb.ch/lukb/details/2726111,361,333</v>
      </c>
      <c r="AX290" s="1605" t="str">
        <f>"https://www.zonebourse.com/mods_a/charts/TV/inc_dyna_graph.php?c="&amp;Valori[[#This Row],[MS_Code]]&amp;"&amp;style=TradingView.CANDLES&amp;interval=(null)&amp;mobile=(null)&amp;showAT=1"</f>
        <v>https://www.zonebourse.com/mods_a/charts/TV/inc_dyna_graph.php?c=4006391&amp;style=TradingView.CANDLES&amp;interval=(null)&amp;mobile=(null)&amp;showAT=1</v>
      </c>
      <c r="AY290" s="142"/>
      <c r="AZ290" s="142"/>
      <c r="BA290" s="142"/>
      <c r="BB290" s="142"/>
    </row>
    <row r="291" spans="1:54" ht="15" customHeight="1" x14ac:dyDescent="0.2">
      <c r="A291" s="142" t="s">
        <v>1748</v>
      </c>
      <c r="B291" s="142" t="str" cm="1">
        <f t="array" aca="1" ref="B291" ca="1">OFFSET(POrigin,MATCH(Valori[[#This Row],[smo_id]],Posizioni[smo_id],0),MATCH("LUKB_id",PIntestazioni,0)-1,1,1)</f>
        <v>3068233,361,333</v>
      </c>
      <c r="C291" s="1668" t="str">
        <f ca="1">HYPERLINK("https://boersenundmaerkte.lukb.ch/lukb/details/"&amp;Valori[[#This Row],[LUKB_id]],"è")</f>
        <v>è</v>
      </c>
      <c r="D291" s="142" t="str" cm="1">
        <f t="array" aca="1" ref="D291" ca="1">OFFSET(POrigin,MATCH(Valori[[#This Row],[LUKB_id]],PID,0),MATCH("SC_GROUPED",PIntestazioni,0)-1,1,1)</f>
        <v>DER</v>
      </c>
      <c r="E291" s="413" t="str" cm="1">
        <f t="array" aca="1" ref="E291" ca="1">OFFSET(POrigin,MATCH(Valori[[#This Row],[LUKB_id]],PID,0),MATCH("isin",PIntestazioni,0)-1,1,1)</f>
        <v>JE00B1VS3770</v>
      </c>
      <c r="F291" s="34" t="str" cm="1">
        <f t="array" aca="1" ref="F291" ca="1">OFFSET(POrigin,MATCH(Valori[[#This Row],[LUKB_id]],PID,0),MATCH("NSIN_CH",PLabel,0)-1,1,1)</f>
        <v>3068233</v>
      </c>
      <c r="G291" s="95" t="str" cm="1">
        <f t="array" aca="1" ref="G291" ca="1">IF(OFFSET(POrigin,MATCH(Valori[[#This Row],[LUKB_id]],PID,0),MATCH("INSTRUNIT",PLabel,0)-1,1,1)="Nominal","Pct","Unit")</f>
        <v>Unit</v>
      </c>
      <c r="H291" s="612">
        <f ca="1">MAX(OFFSET(POrigin,MATCH(Valori[[#This Row],[LUKB_id]],PID,0),MATCH("PRICINGAMT",PLabel,0)-1,1,1),1)</f>
        <v>1</v>
      </c>
      <c r="I291" s="615" t="str" cm="1">
        <f t="array" aca="1" ref="I291" ca="1">OFFSET(POrigin,MATCH(Valori[[#This Row],[LUKB_id]],PID,0),MATCH("M_NAME",PLabel,0)-1,1,1)</f>
        <v>GOLD/WTMS</v>
      </c>
      <c r="J291" s="142" t="s">
        <v>862</v>
      </c>
      <c r="M291" s="142" t="str" cm="1">
        <f t="array" aca="1" ref="M2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Physical Gold (PHAU)</v>
      </c>
      <c r="N291" s="1563">
        <f ca="1">COUNTIF('CHF M'!smo_id,Valori[[#This Row],[smo_id]])+COUNTIF('CHF MA'!smo_id,Valori[[#This Row],[smo_id]])+COUNTIF('EUR MB'!smo_id,Valori[[#This Row],[smo_id]])+COUNTIF('EUR M'!smo_id,Valori[[#This Row],[smo_id]])+COUNTIF(AGCO!smo_id,Valori[[#This Row],[smo_id]])</f>
        <v>1</v>
      </c>
      <c r="O291" s="1590" cm="1">
        <f t="array" aca="1" ref="O291" ca="1">SUM(IF('CHF M'!smo_id=Valori[[#This Row],[smo_id]],'CHF M'!Posizione))+SUM(IF('CHF MA'!smo_id=Valori[[#This Row],[smo_id]],'CHF MA'!Posizione))+SUM(IF('EUR MB'!smo_id=Valori[[#This Row],[smo_id]],'EUR MB'!Posizione))+SUM(IF('EUR M'!smo_id=Valori[[#This Row],[smo_id]],'EUR M'!Posizione))+SUM(IF(AGCO!smo_id=Valori[[#This Row],[smo_id]],AGCO!Posizione))</f>
        <v>195</v>
      </c>
      <c r="P291" s="1661" t="str">
        <f ca="1">HYPERLINK(Valori[[#This Row],[P_Source]],"è")</f>
        <v>è</v>
      </c>
      <c r="Q291" s="1663" t="str">
        <f>HYPERLINK(Valori[[#This Row],[Info_W]],"i")</f>
        <v>i</v>
      </c>
      <c r="R291" s="1664" t="str">
        <f>HYPERLINK(Valori[[#This Row],[FN_W]],"")</f>
        <v></v>
      </c>
      <c r="S291" s="1665" t="str">
        <f>HYPERLINK(Valori[[#This Row],[MS_Link]],"")</f>
        <v></v>
      </c>
      <c r="T291" s="1665" t="str">
        <f>HYPERLINK(Valori[[#This Row],[C_source]],"")</f>
        <v></v>
      </c>
      <c r="U291" s="142" t="str" cm="1">
        <f t="array" aca="1" ref="U291" ca="1">OFFSET(POrigin,MATCH(Valori[[#This Row],[LUKB_id]],PID,0),MATCH("M_CUR",PLabel,0)-1,1,1)</f>
        <v>USD</v>
      </c>
      <c r="V291" s="1562">
        <f ca="1">(Valori[[#This Row],[Last]]+Valori[[#This Row],[Acc. Int]])/Valori[[#This Row],[Pr.Amt]]/IF(Valori[[#This Row],[P_Type]]="Pct",100,1)</f>
        <v>475.11</v>
      </c>
      <c r="W291" s="1591" cm="1">
        <f t="array" aca="1" ref="W291" ca="1">OFFSET(POrigin,MATCH(Valori[[#This Row],[LUKB_id]],PID,0),MATCH("NC2_PR",PLabel,0)-1,1,1)/100</f>
        <v>-3.6991243716555905E-2</v>
      </c>
      <c r="X291" s="1592" cm="1">
        <f t="array" aca="1" ref="X291" ca="1">OFFSET(POrigin,MATCH(Valori[[#This Row],[LUKB_id]],PID,0),MATCH("LVAL",PLabel,0)-1,1,1)</f>
        <v>475.11</v>
      </c>
      <c r="Y291" s="1593" cm="1">
        <f t="array" aca="1" ref="Y291" ca="1">OFFSET(POrigin,MATCH(Valori[[#This Row],[LUKB_id]],PID,0),MATCH("LVAL:datetime",PLabel,0)-1,1,1)</f>
        <v>46084.732754629629</v>
      </c>
      <c r="Z291" s="1594" cm="1">
        <f t="array" aca="1" ref="Z291" ca="1">OFFSET(POrigin,MATCH(Valori[[#This Row],[LUKB_id]],PID,0),MATCH("BID:volume",PLabel,0)-1,1,1)</f>
        <v>515</v>
      </c>
      <c r="AA291" s="1595" cm="1">
        <f t="array" aca="1" ref="AA291" ca="1">OFFSET(POrigin,MATCH(Valori[[#This Row],[LUKB_id]],PID,0),MATCH("BID",PLabel,0)-1,1,1)</f>
        <v>458</v>
      </c>
      <c r="AB291" s="1595" cm="1">
        <f t="array" aca="1" ref="AB291" ca="1">OFFSET(POrigin,MATCH(Valori[[#This Row],[LUKB_id]],PID,0),MATCH("ASK",PLabel,0)-1,1,1)</f>
        <v>513</v>
      </c>
      <c r="AC291" s="1594" cm="1">
        <f t="array" aca="1" ref="AC291" ca="1">OFFSET(POrigin,MATCH(Valori[[#This Row],[LUKB_id]],PID,0),MATCH("ASK:volume",PLabel,0)-1,1,1)</f>
        <v>5</v>
      </c>
      <c r="AD291" s="1596" cm="1">
        <f t="array" aca="1" ref="AD291" ca="1">OFFSET(POrigin,MATCH(Valori[[#This Row],[LUKB_id]],PID,0),MATCH("BID-ASK Spread %",PLabel,0)-1,1,1)</f>
        <v>7.6976906927921626E-2</v>
      </c>
      <c r="AE291" s="1597" t="str" cm="1">
        <f t="array" aca="1" ref="AE291" ca="1">IF(OFFSET(POrigin,MATCH(Valori[[#This Row],[LUKB_id]],PID,0),MATCH("MATURITY",PLabel,0)-1,1,1)&gt;0,OFFSET(POrigin,MATCH(Valori[[#This Row],[LUKB_id]],PID,0),MATCH("MATURITY",PLabel,0)-1,1,1),"")</f>
        <v/>
      </c>
      <c r="AF291" s="1598" cm="1">
        <f t="array" aca="1" ref="AF291" ca="1">OFFSET(POrigin,MATCH(Valori[[#This Row],[LUKB_id]],PID,0),MATCH("ACCINT",PLabel,0)-1,1,1)</f>
        <v>0</v>
      </c>
      <c r="AG291" s="1594" cm="1">
        <f t="array" aca="1" ref="AG291" ca="1">OFFSET(POrigin,MATCH(Valori[[#This Row],[LUKB_id]],PID,0),MATCH("DENOM",PLabel,0)-1,1,1)</f>
        <v>0</v>
      </c>
      <c r="AH291" s="1599" cm="1">
        <f t="array" aca="1" ref="AH291" ca="1">(OFFSET(POrigin,MATCH(Valori[[#This Row],[LUKB_id]],PID,0),MATCH("YIELD",PLabel,0)-1,1,1)+OFFSET(POrigin,MATCH(Valori[[#This Row],[LUKB_id]],PID,0),MATCH("YLDEQ",PLabel,0)-1,1,1))/100</f>
        <v>0</v>
      </c>
      <c r="AI291" s="1600">
        <f ca="1">OFFSET(POrigin,MATCH(Valori[[#This Row],[LUKB_id]],PID,0),MATCH("DIVIDEND",PLabel,0)-1,1,1)</f>
        <v>0</v>
      </c>
      <c r="AJ291" s="1601">
        <f ca="1">OFFSET(POrigin,MATCH(Valori[[#This Row],[LUKB_id]],PID,0),MATCH("DIVIDEND:datetime",PLabel,0)-1,1,1)</f>
        <v>0</v>
      </c>
      <c r="AK291" s="1602">
        <f ca="1">OFFSET(POrigin,MATCH(Valori[[#This Row],[LUKB_id]],PID,0),MATCH("INTEREST",PLabel,0)-1,1,1)</f>
        <v>0</v>
      </c>
      <c r="AL291" s="1603">
        <f ca="1">OFFSET(POrigin,MATCH(Valori[[#This Row],[LUKB_id]],PID,0),MATCH("4W_PERF_PR",PLabel,0)-1,1,1)/100</f>
        <v>2.6909609999999997E-2</v>
      </c>
      <c r="AM291" s="1603">
        <f ca="1">OFFSET(POrigin,MATCH(Valori[[#This Row],[LUKB_id]],PID,0),MATCH("12W_PERF_PR",PLabel,0)-1,1,1)/100</f>
        <v>0.21232456999999999</v>
      </c>
      <c r="AN291" s="1603">
        <f ca="1">OFFSET(POrigin,MATCH(Valori[[#This Row],[LUKB_id]],PID,0),MATCH("YTD_PERF_PR",PLabel,0)-1,1,1)/100</f>
        <v>0.23176062142518203</v>
      </c>
      <c r="AO291" s="1591"/>
      <c r="AP291" s="1591"/>
      <c r="AQ291" s="1591"/>
      <c r="AR291" s="1591"/>
      <c r="AS291" s="1890" t="s">
        <v>1749</v>
      </c>
      <c r="AT291" s="1890" t="s">
        <v>1750</v>
      </c>
      <c r="AU291" s="610" t="s">
        <v>1751</v>
      </c>
      <c r="AV291" s="1891" t="s">
        <v>1752</v>
      </c>
      <c r="AW291" s="1604" t="str">
        <f ca="1">"https://boersenundmaerkte.lukb.ch/lukb/details/"&amp;Valori[[#This Row],[LUKB_id]]</f>
        <v>https://boersenundmaerkte.lukb.ch/lukb/details/3068233,361,333</v>
      </c>
      <c r="AX291" s="1605" t="str">
        <f>"https://www.zonebourse.com/mods_a/charts/TV/inc_dyna_graph.php?c="&amp;Valori[[#This Row],[MS_Code]]&amp;"&amp;style=TradingView.CANDLES&amp;interval=(null)&amp;mobile=(null)&amp;showAT=1"</f>
        <v>https://www.zonebourse.com/mods_a/charts/TV/inc_dyna_graph.php?c=40023345&amp;style=TradingView.CANDLES&amp;interval=(null)&amp;mobile=(null)&amp;showAT=1</v>
      </c>
      <c r="AY291" s="142"/>
      <c r="AZ291" s="142"/>
      <c r="BA291" s="142"/>
      <c r="BB291" s="142"/>
    </row>
    <row r="292" spans="1:54" ht="15" customHeight="1" x14ac:dyDescent="0.2">
      <c r="A292" s="142" t="s">
        <v>987</v>
      </c>
      <c r="B292" s="142" t="str" cm="1">
        <f t="array" aca="1" ref="B292" ca="1">OFFSET(POrigin,MATCH(Valori[[#This Row],[smo_id]],Posizioni[smo_id],0),MATCH("LUKB_id",PIntestazioni,0)-1,1,1)</f>
        <v>27038209,4,1</v>
      </c>
      <c r="C292" s="1668" t="str">
        <f ca="1">HYPERLINK("https://boersenundmaerkte.lukb.ch/lukb/details/"&amp;Valori[[#This Row],[LUKB_id]],"è")</f>
        <v>è</v>
      </c>
      <c r="D292" s="142" t="str" cm="1">
        <f t="array" aca="1" ref="D292" ca="1">OFFSET(POrigin,MATCH(Valori[[#This Row],[LUKB_id]],PID,0),MATCH("SC_GROUPED",PIntestazioni,0)-1,1,1)</f>
        <v>DIV</v>
      </c>
      <c r="E292" s="413" cm="1">
        <f t="array" aca="1" ref="E292" ca="1">OFFSET(POrigin,MATCH(Valori[[#This Row],[LUKB_id]],PID,0),MATCH("isin",PIntestazioni,0)-1,1,1)</f>
        <v>0</v>
      </c>
      <c r="F292" s="34" cm="1">
        <f t="array" aca="1" ref="F292" ca="1">OFFSET(POrigin,MATCH(Valori[[#This Row],[LUKB_id]],PID,0),MATCH("NSIN_CH",PLabel,0)-1,1,1)</f>
        <v>0</v>
      </c>
      <c r="G292" s="95" t="str" cm="1">
        <f t="array" aca="1" ref="G292" ca="1">IF(OFFSET(POrigin,MATCH(Valori[[#This Row],[LUKB_id]],PID,0),MATCH("INSTRUNIT",PLabel,0)-1,1,1)="Nominal","Pct","Unit")</f>
        <v>Unit</v>
      </c>
      <c r="H292" s="612">
        <f ca="1">MAX(OFFSET(POrigin,MATCH(Valori[[#This Row],[LUKB_id]],PID,0),MATCH("PRICINGAMT",PLabel,0)-1,1,1),1)</f>
        <v>1</v>
      </c>
      <c r="I292" s="615" cm="1">
        <f t="array" aca="1" ref="I292" ca="1">OFFSET(POrigin,MATCH(Valori[[#This Row],[LUKB_id]],PID,0),MATCH("M_NAME",PLabel,0)-1,1,1)</f>
        <v>0</v>
      </c>
      <c r="M292" s="142" cm="1">
        <f t="array" aca="1" ref="M2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2" s="1563">
        <f ca="1">COUNTIF('CHF M'!smo_id,Valori[[#This Row],[smo_id]])+COUNTIF('CHF MA'!smo_id,Valori[[#This Row],[smo_id]])+COUNTIF('EUR MB'!smo_id,Valori[[#This Row],[smo_id]])+COUNTIF('EUR M'!smo_id,Valori[[#This Row],[smo_id]])+COUNTIF(AGCO!smo_id,Valori[[#This Row],[smo_id]])</f>
        <v>0</v>
      </c>
      <c r="O292" s="1590" cm="1">
        <f t="array" aca="1" ref="O292" ca="1">SUM(IF('CHF M'!smo_id=Valori[[#This Row],[smo_id]],'CHF M'!Posizione))+SUM(IF('CHF MA'!smo_id=Valori[[#This Row],[smo_id]],'CHF MA'!Posizione))+SUM(IF('EUR MB'!smo_id=Valori[[#This Row],[smo_id]],'EUR MB'!Posizione))+SUM(IF('EUR M'!smo_id=Valori[[#This Row],[smo_id]],'EUR M'!Posizione))+SUM(IF(AGCO!smo_id=Valori[[#This Row],[smo_id]],AGCO!Posizione))</f>
        <v>0</v>
      </c>
      <c r="P292" s="1661" t="str">
        <f ca="1">HYPERLINK(Valori[[#This Row],[P_Source]],"è")</f>
        <v>è</v>
      </c>
      <c r="Q292" s="1663" t="str">
        <f>HYPERLINK(Valori[[#This Row],[Info_W]],"i")</f>
        <v>i</v>
      </c>
      <c r="R292" s="1664" t="str">
        <f>HYPERLINK(Valori[[#This Row],[FN_W]],"")</f>
        <v></v>
      </c>
      <c r="S292" s="1665" t="str">
        <f>HYPERLINK(Valori[[#This Row],[MS_Link]],"")</f>
        <v></v>
      </c>
      <c r="T292" s="1665" t="str">
        <f>HYPERLINK(Valori[[#This Row],[C_source]],"")</f>
        <v></v>
      </c>
      <c r="U292" s="142" cm="1">
        <f t="array" aca="1" ref="U292" ca="1">OFFSET(POrigin,MATCH(Valori[[#This Row],[LUKB_id]],PID,0),MATCH("M_CUR",PLabel,0)-1,1,1)</f>
        <v>0</v>
      </c>
      <c r="V292" s="1562">
        <f ca="1">(Valori[[#This Row],[Last]]+Valori[[#This Row],[Acc. Int]])/Valori[[#This Row],[Pr.Amt]]/IF(Valori[[#This Row],[P_Type]]="Pct",100,1)</f>
        <v>0</v>
      </c>
      <c r="W292" s="1591" cm="1">
        <f t="array" aca="1" ref="W292" ca="1">OFFSET(POrigin,MATCH(Valori[[#This Row],[LUKB_id]],PID,0),MATCH("NC2_PR",PLabel,0)-1,1,1)/100</f>
        <v>0</v>
      </c>
      <c r="X292" s="1592" cm="1">
        <f t="array" aca="1" ref="X292" ca="1">OFFSET(POrigin,MATCH(Valori[[#This Row],[LUKB_id]],PID,0),MATCH("LVAL",PLabel,0)-1,1,1)</f>
        <v>0</v>
      </c>
      <c r="Y292" s="1593" cm="1">
        <f t="array" aca="1" ref="Y292" ca="1">OFFSET(POrigin,MATCH(Valori[[#This Row],[LUKB_id]],PID,0),MATCH("LVAL:datetime",PLabel,0)-1,1,1)</f>
        <v>0</v>
      </c>
      <c r="Z292" s="1594" cm="1">
        <f t="array" aca="1" ref="Z292" ca="1">OFFSET(POrigin,MATCH(Valori[[#This Row],[LUKB_id]],PID,0),MATCH("BID:volume",PLabel,0)-1,1,1)</f>
        <v>0</v>
      </c>
      <c r="AA292" s="1595" cm="1">
        <f t="array" aca="1" ref="AA292" ca="1">OFFSET(POrigin,MATCH(Valori[[#This Row],[LUKB_id]],PID,0),MATCH("BID",PLabel,0)-1,1,1)</f>
        <v>0</v>
      </c>
      <c r="AB292" s="1595" cm="1">
        <f t="array" aca="1" ref="AB292" ca="1">OFFSET(POrigin,MATCH(Valori[[#This Row],[LUKB_id]],PID,0),MATCH("ASK",PLabel,0)-1,1,1)</f>
        <v>0</v>
      </c>
      <c r="AC292" s="1594" cm="1">
        <f t="array" aca="1" ref="AC292" ca="1">OFFSET(POrigin,MATCH(Valori[[#This Row],[LUKB_id]],PID,0),MATCH("ASK:volume",PLabel,0)-1,1,1)</f>
        <v>0</v>
      </c>
      <c r="AD292" s="1596" cm="1">
        <f t="array" aca="1" ref="AD292" ca="1">OFFSET(POrigin,MATCH(Valori[[#This Row],[LUKB_id]],PID,0),MATCH("BID-ASK Spread %",PLabel,0)-1,1,1)</f>
        <v>0</v>
      </c>
      <c r="AE292" s="1597" t="str" cm="1">
        <f t="array" aca="1" ref="AE292" ca="1">IF(OFFSET(POrigin,MATCH(Valori[[#This Row],[LUKB_id]],PID,0),MATCH("MATURITY",PLabel,0)-1,1,1)&gt;0,OFFSET(POrigin,MATCH(Valori[[#This Row],[LUKB_id]],PID,0),MATCH("MATURITY",PLabel,0)-1,1,1),"")</f>
        <v/>
      </c>
      <c r="AF292" s="1598" cm="1">
        <f t="array" aca="1" ref="AF292" ca="1">OFFSET(POrigin,MATCH(Valori[[#This Row],[LUKB_id]],PID,0),MATCH("ACCINT",PLabel,0)-1,1,1)</f>
        <v>0</v>
      </c>
      <c r="AG292" s="1594" cm="1">
        <f t="array" aca="1" ref="AG292" ca="1">OFFSET(POrigin,MATCH(Valori[[#This Row],[LUKB_id]],PID,0),MATCH("DENOM",PLabel,0)-1,1,1)</f>
        <v>0</v>
      </c>
      <c r="AH292" s="1599" cm="1">
        <f t="array" aca="1" ref="AH292" ca="1">(OFFSET(POrigin,MATCH(Valori[[#This Row],[LUKB_id]],PID,0),MATCH("YIELD",PLabel,0)-1,1,1)+OFFSET(POrigin,MATCH(Valori[[#This Row],[LUKB_id]],PID,0),MATCH("YLDEQ",PLabel,0)-1,1,1))/100</f>
        <v>0</v>
      </c>
      <c r="AI292" s="1600">
        <f ca="1">OFFSET(POrigin,MATCH(Valori[[#This Row],[LUKB_id]],PID,0),MATCH("DIVIDEND",PLabel,0)-1,1,1)</f>
        <v>0</v>
      </c>
      <c r="AJ292" s="1601">
        <f ca="1">OFFSET(POrigin,MATCH(Valori[[#This Row],[LUKB_id]],PID,0),MATCH("DIVIDEND:datetime",PLabel,0)-1,1,1)</f>
        <v>0</v>
      </c>
      <c r="AK292" s="1602">
        <f ca="1">OFFSET(POrigin,MATCH(Valori[[#This Row],[LUKB_id]],PID,0),MATCH("INTEREST",PLabel,0)-1,1,1)</f>
        <v>0</v>
      </c>
      <c r="AL292" s="1603">
        <f ca="1">OFFSET(POrigin,MATCH(Valori[[#This Row],[LUKB_id]],PID,0),MATCH("4W_PERF_PR",PLabel,0)-1,1,1)/100</f>
        <v>0</v>
      </c>
      <c r="AM292" s="1603">
        <f ca="1">OFFSET(POrigin,MATCH(Valori[[#This Row],[LUKB_id]],PID,0),MATCH("12W_PERF_PR",PLabel,0)-1,1,1)/100</f>
        <v>0</v>
      </c>
      <c r="AN292" s="1603">
        <f ca="1">OFFSET(POrigin,MATCH(Valori[[#This Row],[LUKB_id]],PID,0),MATCH("YTD_PERF_PR",PLabel,0)-1,1,1)/100</f>
        <v>0</v>
      </c>
      <c r="AO292" s="1591"/>
      <c r="AP292" s="1591"/>
      <c r="AQ292" s="1591"/>
      <c r="AR292" s="1591"/>
      <c r="AS292" s="1890"/>
      <c r="AT292" s="1890"/>
      <c r="AU292" s="610"/>
      <c r="AV292" s="1891"/>
      <c r="AW292" s="1604" t="str">
        <f ca="1">"https://boersenundmaerkte.lukb.ch/lukb/details/"&amp;Valori[[#This Row],[LUKB_id]]</f>
        <v>https://boersenundmaerkte.lukb.ch/lukb/details/27038209,4,1</v>
      </c>
      <c r="AX292"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2" s="142"/>
      <c r="AZ292" s="142"/>
      <c r="BA292" s="142"/>
      <c r="BB292" s="142"/>
    </row>
    <row r="293" spans="1:54" ht="15" customHeight="1" x14ac:dyDescent="0.2">
      <c r="A293" s="142" t="s">
        <v>985</v>
      </c>
      <c r="B293" s="142" t="str" cm="1">
        <f t="array" aca="1" ref="B293" ca="1">OFFSET(POrigin,MATCH(Valori[[#This Row],[smo_id]],Posizioni[smo_id],0),MATCH("LUKB_id",PIntestazioni,0)-1,1,1)</f>
        <v>50607138,4,1</v>
      </c>
      <c r="C293" s="1668" t="str">
        <f ca="1">HYPERLINK("https://boersenundmaerkte.lukb.ch/lukb/details/"&amp;Valori[[#This Row],[LUKB_id]],"è")</f>
        <v>è</v>
      </c>
      <c r="D293" s="142" t="str" cm="1">
        <f t="array" aca="1" ref="D293" ca="1">OFFSET(POrigin,MATCH(Valori[[#This Row],[LUKB_id]],PID,0),MATCH("SC_GROUPED",PIntestazioni,0)-1,1,1)</f>
        <v>DIV</v>
      </c>
      <c r="E293" s="413" cm="1">
        <f t="array" aca="1" ref="E293" ca="1">OFFSET(POrigin,MATCH(Valori[[#This Row],[LUKB_id]],PID,0),MATCH("isin",PIntestazioni,0)-1,1,1)</f>
        <v>0</v>
      </c>
      <c r="F293" s="34" cm="1">
        <f t="array" aca="1" ref="F293" ca="1">OFFSET(POrigin,MATCH(Valori[[#This Row],[LUKB_id]],PID,0),MATCH("NSIN_CH",PLabel,0)-1,1,1)</f>
        <v>0</v>
      </c>
      <c r="G293" s="95" t="str" cm="1">
        <f t="array" aca="1" ref="G293" ca="1">IF(OFFSET(POrigin,MATCH(Valori[[#This Row],[LUKB_id]],PID,0),MATCH("INSTRUNIT",PLabel,0)-1,1,1)="Nominal","Pct","Unit")</f>
        <v>Unit</v>
      </c>
      <c r="H293" s="612">
        <f ca="1">MAX(OFFSET(POrigin,MATCH(Valori[[#This Row],[LUKB_id]],PID,0),MATCH("PRICINGAMT",PLabel,0)-1,1,1),1)</f>
        <v>1</v>
      </c>
      <c r="I293" s="615" cm="1">
        <f t="array" aca="1" ref="I293" ca="1">OFFSET(POrigin,MATCH(Valori[[#This Row],[LUKB_id]],PID,0),MATCH("M_NAME",PLabel,0)-1,1,1)</f>
        <v>0</v>
      </c>
      <c r="M293" s="142" cm="1">
        <f t="array" aca="1" ref="M2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3" s="1563">
        <f ca="1">COUNTIF('CHF M'!smo_id,Valori[[#This Row],[smo_id]])+COUNTIF('CHF MA'!smo_id,Valori[[#This Row],[smo_id]])+COUNTIF('EUR MB'!smo_id,Valori[[#This Row],[smo_id]])+COUNTIF('EUR M'!smo_id,Valori[[#This Row],[smo_id]])+COUNTIF(AGCO!smo_id,Valori[[#This Row],[smo_id]])</f>
        <v>0</v>
      </c>
      <c r="O293" s="1590" cm="1">
        <f t="array" aca="1" ref="O293" ca="1">SUM(IF('CHF M'!smo_id=Valori[[#This Row],[smo_id]],'CHF M'!Posizione))+SUM(IF('CHF MA'!smo_id=Valori[[#This Row],[smo_id]],'CHF MA'!Posizione))+SUM(IF('EUR MB'!smo_id=Valori[[#This Row],[smo_id]],'EUR MB'!Posizione))+SUM(IF('EUR M'!smo_id=Valori[[#This Row],[smo_id]],'EUR M'!Posizione))+SUM(IF(AGCO!smo_id=Valori[[#This Row],[smo_id]],AGCO!Posizione))</f>
        <v>0</v>
      </c>
      <c r="P293" s="1661" t="str">
        <f ca="1">HYPERLINK(Valori[[#This Row],[P_Source]],"è")</f>
        <v>è</v>
      </c>
      <c r="Q293" s="1663" t="str">
        <f>HYPERLINK(Valori[[#This Row],[Info_W]],"i")</f>
        <v>i</v>
      </c>
      <c r="R293" s="1664" t="str">
        <f>HYPERLINK(Valori[[#This Row],[FN_W]],"")</f>
        <v></v>
      </c>
      <c r="S293" s="1665" t="str">
        <f>HYPERLINK(Valori[[#This Row],[MS_Link]],"")</f>
        <v></v>
      </c>
      <c r="T293" s="1665" t="str">
        <f>HYPERLINK(Valori[[#This Row],[C_source]],"")</f>
        <v></v>
      </c>
      <c r="U293" s="142" cm="1">
        <f t="array" aca="1" ref="U293" ca="1">OFFSET(POrigin,MATCH(Valori[[#This Row],[LUKB_id]],PID,0),MATCH("M_CUR",PLabel,0)-1,1,1)</f>
        <v>0</v>
      </c>
      <c r="V293" s="1562">
        <f ca="1">(Valori[[#This Row],[Last]]+Valori[[#This Row],[Acc. Int]])/Valori[[#This Row],[Pr.Amt]]/IF(Valori[[#This Row],[P_Type]]="Pct",100,1)</f>
        <v>0</v>
      </c>
      <c r="W293" s="1591" cm="1">
        <f t="array" aca="1" ref="W293" ca="1">OFFSET(POrigin,MATCH(Valori[[#This Row],[LUKB_id]],PID,0),MATCH("NC2_PR",PLabel,0)-1,1,1)/100</f>
        <v>0</v>
      </c>
      <c r="X293" s="1592" cm="1">
        <f t="array" aca="1" ref="X293" ca="1">OFFSET(POrigin,MATCH(Valori[[#This Row],[LUKB_id]],PID,0),MATCH("LVAL",PLabel,0)-1,1,1)</f>
        <v>0</v>
      </c>
      <c r="Y293" s="1593" cm="1">
        <f t="array" aca="1" ref="Y293" ca="1">OFFSET(POrigin,MATCH(Valori[[#This Row],[LUKB_id]],PID,0),MATCH("LVAL:datetime",PLabel,0)-1,1,1)</f>
        <v>0</v>
      </c>
      <c r="Z293" s="1594" cm="1">
        <f t="array" aca="1" ref="Z293" ca="1">OFFSET(POrigin,MATCH(Valori[[#This Row],[LUKB_id]],PID,0),MATCH("BID:volume",PLabel,0)-1,1,1)</f>
        <v>0</v>
      </c>
      <c r="AA293" s="1595" cm="1">
        <f t="array" aca="1" ref="AA293" ca="1">OFFSET(POrigin,MATCH(Valori[[#This Row],[LUKB_id]],PID,0),MATCH("BID",PLabel,0)-1,1,1)</f>
        <v>0</v>
      </c>
      <c r="AB293" s="1595" cm="1">
        <f t="array" aca="1" ref="AB293" ca="1">OFFSET(POrigin,MATCH(Valori[[#This Row],[LUKB_id]],PID,0),MATCH("ASK",PLabel,0)-1,1,1)</f>
        <v>0</v>
      </c>
      <c r="AC293" s="1594" cm="1">
        <f t="array" aca="1" ref="AC293" ca="1">OFFSET(POrigin,MATCH(Valori[[#This Row],[LUKB_id]],PID,0),MATCH("ASK:volume",PLabel,0)-1,1,1)</f>
        <v>0</v>
      </c>
      <c r="AD293" s="1596" cm="1">
        <f t="array" aca="1" ref="AD293" ca="1">OFFSET(POrigin,MATCH(Valori[[#This Row],[LUKB_id]],PID,0),MATCH("BID-ASK Spread %",PLabel,0)-1,1,1)</f>
        <v>0</v>
      </c>
      <c r="AE293" s="1597" t="str" cm="1">
        <f t="array" aca="1" ref="AE293" ca="1">IF(OFFSET(POrigin,MATCH(Valori[[#This Row],[LUKB_id]],PID,0),MATCH("MATURITY",PLabel,0)-1,1,1)&gt;0,OFFSET(POrigin,MATCH(Valori[[#This Row],[LUKB_id]],PID,0),MATCH("MATURITY",PLabel,0)-1,1,1),"")</f>
        <v/>
      </c>
      <c r="AF293" s="1598" cm="1">
        <f t="array" aca="1" ref="AF293" ca="1">OFFSET(POrigin,MATCH(Valori[[#This Row],[LUKB_id]],PID,0),MATCH("ACCINT",PLabel,0)-1,1,1)</f>
        <v>0</v>
      </c>
      <c r="AG293" s="1594" cm="1">
        <f t="array" aca="1" ref="AG293" ca="1">OFFSET(POrigin,MATCH(Valori[[#This Row],[LUKB_id]],PID,0),MATCH("DENOM",PLabel,0)-1,1,1)</f>
        <v>0</v>
      </c>
      <c r="AH293" s="1599" cm="1">
        <f t="array" aca="1" ref="AH293" ca="1">(OFFSET(POrigin,MATCH(Valori[[#This Row],[LUKB_id]],PID,0),MATCH("YIELD",PLabel,0)-1,1,1)+OFFSET(POrigin,MATCH(Valori[[#This Row],[LUKB_id]],PID,0),MATCH("YLDEQ",PLabel,0)-1,1,1))/100</f>
        <v>0</v>
      </c>
      <c r="AI293" s="1600">
        <f ca="1">OFFSET(POrigin,MATCH(Valori[[#This Row],[LUKB_id]],PID,0),MATCH("DIVIDEND",PLabel,0)-1,1,1)</f>
        <v>0</v>
      </c>
      <c r="AJ293" s="1601">
        <f ca="1">OFFSET(POrigin,MATCH(Valori[[#This Row],[LUKB_id]],PID,0),MATCH("DIVIDEND:datetime",PLabel,0)-1,1,1)</f>
        <v>0</v>
      </c>
      <c r="AK293" s="1602">
        <f ca="1">OFFSET(POrigin,MATCH(Valori[[#This Row],[LUKB_id]],PID,0),MATCH("INTEREST",PLabel,0)-1,1,1)</f>
        <v>0</v>
      </c>
      <c r="AL293" s="1603">
        <f ca="1">OFFSET(POrigin,MATCH(Valori[[#This Row],[LUKB_id]],PID,0),MATCH("4W_PERF_PR",PLabel,0)-1,1,1)/100</f>
        <v>0</v>
      </c>
      <c r="AM293" s="1603">
        <f ca="1">OFFSET(POrigin,MATCH(Valori[[#This Row],[LUKB_id]],PID,0),MATCH("12W_PERF_PR",PLabel,0)-1,1,1)/100</f>
        <v>0</v>
      </c>
      <c r="AN293" s="1603">
        <f ca="1">OFFSET(POrigin,MATCH(Valori[[#This Row],[LUKB_id]],PID,0),MATCH("YTD_PERF_PR",PLabel,0)-1,1,1)/100</f>
        <v>0</v>
      </c>
      <c r="AO293" s="1591"/>
      <c r="AP293" s="1591"/>
      <c r="AQ293" s="1591"/>
      <c r="AR293" s="1591"/>
      <c r="AS293" s="1890"/>
      <c r="AT293" s="1890"/>
      <c r="AU293" s="610"/>
      <c r="AV293" s="1891"/>
      <c r="AW293" s="1604" t="str">
        <f ca="1">"https://boersenundmaerkte.lukb.ch/lukb/details/"&amp;Valori[[#This Row],[LUKB_id]]</f>
        <v>https://boersenundmaerkte.lukb.ch/lukb/details/50607138,4,1</v>
      </c>
      <c r="AX293"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3" s="142"/>
      <c r="AZ293" s="142"/>
      <c r="BA293" s="142"/>
      <c r="BB293" s="142"/>
    </row>
    <row r="294" spans="1:54" ht="15" customHeight="1" x14ac:dyDescent="0.2">
      <c r="A294" s="142" t="s">
        <v>980</v>
      </c>
      <c r="B294" s="142" t="str" cm="1">
        <f t="array" aca="1" ref="B294" ca="1">OFFSET(POrigin,MATCH(Valori[[#This Row],[smo_id]],Posizioni[smo_id],0),MATCH("LUKB_id",PIntestazioni,0)-1,1,1)</f>
        <v>47497775,4,1</v>
      </c>
      <c r="C294" s="1668" t="str">
        <f ca="1">HYPERLINK("https://boersenundmaerkte.lukb.ch/lukb/details/"&amp;Valori[[#This Row],[LUKB_id]],"è")</f>
        <v>è</v>
      </c>
      <c r="D294" s="142" t="str" cm="1">
        <f t="array" aca="1" ref="D294" ca="1">OFFSET(POrigin,MATCH(Valori[[#This Row],[LUKB_id]],PID,0),MATCH("SC_GROUPED",PIntestazioni,0)-1,1,1)</f>
        <v>DIV</v>
      </c>
      <c r="E294" s="413" cm="1">
        <f t="array" aca="1" ref="E294" ca="1">OFFSET(POrigin,MATCH(Valori[[#This Row],[LUKB_id]],PID,0),MATCH("isin",PIntestazioni,0)-1,1,1)</f>
        <v>0</v>
      </c>
      <c r="F294" s="34" cm="1">
        <f t="array" aca="1" ref="F294" ca="1">OFFSET(POrigin,MATCH(Valori[[#This Row],[LUKB_id]],PID,0),MATCH("NSIN_CH",PLabel,0)-1,1,1)</f>
        <v>0</v>
      </c>
      <c r="G294" s="95" t="str" cm="1">
        <f t="array" aca="1" ref="G294" ca="1">IF(OFFSET(POrigin,MATCH(Valori[[#This Row],[LUKB_id]],PID,0),MATCH("INSTRUNIT",PLabel,0)-1,1,1)="Nominal","Pct","Unit")</f>
        <v>Unit</v>
      </c>
      <c r="H294" s="612">
        <f ca="1">MAX(OFFSET(POrigin,MATCH(Valori[[#This Row],[LUKB_id]],PID,0),MATCH("PRICINGAMT",PLabel,0)-1,1,1),1)</f>
        <v>1</v>
      </c>
      <c r="I294" s="615" cm="1">
        <f t="array" aca="1" ref="I294" ca="1">OFFSET(POrigin,MATCH(Valori[[#This Row],[LUKB_id]],PID,0),MATCH("M_NAME",PLabel,0)-1,1,1)</f>
        <v>0</v>
      </c>
      <c r="M294" s="142" cm="1">
        <f t="array" aca="1" ref="M2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4" s="1563">
        <f ca="1">COUNTIF('CHF M'!smo_id,Valori[[#This Row],[smo_id]])+COUNTIF('CHF MA'!smo_id,Valori[[#This Row],[smo_id]])+COUNTIF('EUR MB'!smo_id,Valori[[#This Row],[smo_id]])+COUNTIF('EUR M'!smo_id,Valori[[#This Row],[smo_id]])+COUNTIF(AGCO!smo_id,Valori[[#This Row],[smo_id]])</f>
        <v>0</v>
      </c>
      <c r="O294" s="1590" cm="1">
        <f t="array" aca="1" ref="O294" ca="1">SUM(IF('CHF M'!smo_id=Valori[[#This Row],[smo_id]],'CHF M'!Posizione))+SUM(IF('CHF MA'!smo_id=Valori[[#This Row],[smo_id]],'CHF MA'!Posizione))+SUM(IF('EUR MB'!smo_id=Valori[[#This Row],[smo_id]],'EUR MB'!Posizione))+SUM(IF('EUR M'!smo_id=Valori[[#This Row],[smo_id]],'EUR M'!Posizione))+SUM(IF(AGCO!smo_id=Valori[[#This Row],[smo_id]],AGCO!Posizione))</f>
        <v>0</v>
      </c>
      <c r="P294" s="1661" t="str">
        <f ca="1">HYPERLINK(Valori[[#This Row],[P_Source]],"è")</f>
        <v>è</v>
      </c>
      <c r="Q294" s="1663" t="str">
        <f>HYPERLINK(Valori[[#This Row],[Info_W]],"i")</f>
        <v>i</v>
      </c>
      <c r="R294" s="1664" t="str">
        <f>HYPERLINK(Valori[[#This Row],[FN_W]],"")</f>
        <v></v>
      </c>
      <c r="S294" s="1665" t="str">
        <f>HYPERLINK(Valori[[#This Row],[MS_Link]],"")</f>
        <v></v>
      </c>
      <c r="T294" s="1665" t="str">
        <f>HYPERLINK(Valori[[#This Row],[C_source]],"")</f>
        <v></v>
      </c>
      <c r="U294" s="142" cm="1">
        <f t="array" aca="1" ref="U294" ca="1">OFFSET(POrigin,MATCH(Valori[[#This Row],[LUKB_id]],PID,0),MATCH("M_CUR",PLabel,0)-1,1,1)</f>
        <v>0</v>
      </c>
      <c r="V294" s="1562">
        <f ca="1">(Valori[[#This Row],[Last]]+Valori[[#This Row],[Acc. Int]])/Valori[[#This Row],[Pr.Amt]]/IF(Valori[[#This Row],[P_Type]]="Pct",100,1)</f>
        <v>0</v>
      </c>
      <c r="W294" s="1591" cm="1">
        <f t="array" aca="1" ref="W294" ca="1">OFFSET(POrigin,MATCH(Valori[[#This Row],[LUKB_id]],PID,0),MATCH("NC2_PR",PLabel,0)-1,1,1)/100</f>
        <v>0</v>
      </c>
      <c r="X294" s="1592" cm="1">
        <f t="array" aca="1" ref="X294" ca="1">OFFSET(POrigin,MATCH(Valori[[#This Row],[LUKB_id]],PID,0),MATCH("LVAL",PLabel,0)-1,1,1)</f>
        <v>0</v>
      </c>
      <c r="Y294" s="1593" cm="1">
        <f t="array" aca="1" ref="Y294" ca="1">OFFSET(POrigin,MATCH(Valori[[#This Row],[LUKB_id]],PID,0),MATCH("LVAL:datetime",PLabel,0)-1,1,1)</f>
        <v>0</v>
      </c>
      <c r="Z294" s="1594" cm="1">
        <f t="array" aca="1" ref="Z294" ca="1">OFFSET(POrigin,MATCH(Valori[[#This Row],[LUKB_id]],PID,0),MATCH("BID:volume",PLabel,0)-1,1,1)</f>
        <v>0</v>
      </c>
      <c r="AA294" s="1595" cm="1">
        <f t="array" aca="1" ref="AA294" ca="1">OFFSET(POrigin,MATCH(Valori[[#This Row],[LUKB_id]],PID,0),MATCH("BID",PLabel,0)-1,1,1)</f>
        <v>0</v>
      </c>
      <c r="AB294" s="1595" cm="1">
        <f t="array" aca="1" ref="AB294" ca="1">OFFSET(POrigin,MATCH(Valori[[#This Row],[LUKB_id]],PID,0),MATCH("ASK",PLabel,0)-1,1,1)</f>
        <v>0</v>
      </c>
      <c r="AC294" s="1594" cm="1">
        <f t="array" aca="1" ref="AC294" ca="1">OFFSET(POrigin,MATCH(Valori[[#This Row],[LUKB_id]],PID,0),MATCH("ASK:volume",PLabel,0)-1,1,1)</f>
        <v>0</v>
      </c>
      <c r="AD294" s="1596" cm="1">
        <f t="array" aca="1" ref="AD294" ca="1">OFFSET(POrigin,MATCH(Valori[[#This Row],[LUKB_id]],PID,0),MATCH("BID-ASK Spread %",PLabel,0)-1,1,1)</f>
        <v>0</v>
      </c>
      <c r="AE294" s="1597" t="str" cm="1">
        <f t="array" aca="1" ref="AE294" ca="1">IF(OFFSET(POrigin,MATCH(Valori[[#This Row],[LUKB_id]],PID,0),MATCH("MATURITY",PLabel,0)-1,1,1)&gt;0,OFFSET(POrigin,MATCH(Valori[[#This Row],[LUKB_id]],PID,0),MATCH("MATURITY",PLabel,0)-1,1,1),"")</f>
        <v/>
      </c>
      <c r="AF294" s="1598" cm="1">
        <f t="array" aca="1" ref="AF294" ca="1">OFFSET(POrigin,MATCH(Valori[[#This Row],[LUKB_id]],PID,0),MATCH("ACCINT",PLabel,0)-1,1,1)</f>
        <v>0</v>
      </c>
      <c r="AG294" s="1594" cm="1">
        <f t="array" aca="1" ref="AG294" ca="1">OFFSET(POrigin,MATCH(Valori[[#This Row],[LUKB_id]],PID,0),MATCH("DENOM",PLabel,0)-1,1,1)</f>
        <v>0</v>
      </c>
      <c r="AH294" s="1599" cm="1">
        <f t="array" aca="1" ref="AH294" ca="1">(OFFSET(POrigin,MATCH(Valori[[#This Row],[LUKB_id]],PID,0),MATCH("YIELD",PLabel,0)-1,1,1)+OFFSET(POrigin,MATCH(Valori[[#This Row],[LUKB_id]],PID,0),MATCH("YLDEQ",PLabel,0)-1,1,1))/100</f>
        <v>0</v>
      </c>
      <c r="AI294" s="1600">
        <f ca="1">OFFSET(POrigin,MATCH(Valori[[#This Row],[LUKB_id]],PID,0),MATCH("DIVIDEND",PLabel,0)-1,1,1)</f>
        <v>0</v>
      </c>
      <c r="AJ294" s="1601">
        <f ca="1">OFFSET(POrigin,MATCH(Valori[[#This Row],[LUKB_id]],PID,0),MATCH("DIVIDEND:datetime",PLabel,0)-1,1,1)</f>
        <v>0</v>
      </c>
      <c r="AK294" s="1602">
        <f ca="1">OFFSET(POrigin,MATCH(Valori[[#This Row],[LUKB_id]],PID,0),MATCH("INTEREST",PLabel,0)-1,1,1)</f>
        <v>0</v>
      </c>
      <c r="AL294" s="1603">
        <f ca="1">OFFSET(POrigin,MATCH(Valori[[#This Row],[LUKB_id]],PID,0),MATCH("4W_PERF_PR",PLabel,0)-1,1,1)/100</f>
        <v>0</v>
      </c>
      <c r="AM294" s="1603">
        <f ca="1">OFFSET(POrigin,MATCH(Valori[[#This Row],[LUKB_id]],PID,0),MATCH("12W_PERF_PR",PLabel,0)-1,1,1)/100</f>
        <v>0</v>
      </c>
      <c r="AN294" s="1603">
        <f ca="1">OFFSET(POrigin,MATCH(Valori[[#This Row],[LUKB_id]],PID,0),MATCH("YTD_PERF_PR",PLabel,0)-1,1,1)/100</f>
        <v>0</v>
      </c>
      <c r="AO294" s="1591"/>
      <c r="AP294" s="1591"/>
      <c r="AQ294" s="1591"/>
      <c r="AR294" s="1591"/>
      <c r="AS294" s="1890"/>
      <c r="AT294" s="1890"/>
      <c r="AU294" s="610"/>
      <c r="AV294" s="1891"/>
      <c r="AW294" s="1604" t="str">
        <f ca="1">"https://boersenundmaerkte.lukb.ch/lukb/details/"&amp;Valori[[#This Row],[LUKB_id]]</f>
        <v>https://boersenundmaerkte.lukb.ch/lukb/details/47497775,4,1</v>
      </c>
      <c r="AX29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4" s="142"/>
      <c r="AZ294" s="142"/>
      <c r="BA294" s="142"/>
      <c r="BB294" s="142"/>
    </row>
    <row r="295" spans="1:54" ht="15" customHeight="1" x14ac:dyDescent="0.2">
      <c r="A295" s="142" t="s">
        <v>979</v>
      </c>
      <c r="B295" s="142" t="str" cm="1">
        <f t="array" aca="1" ref="B295" ca="1">OFFSET(POrigin,MATCH(Valori[[#This Row],[smo_id]],Posizioni[smo_id],0),MATCH("LUKB_id",PIntestazioni,0)-1,1,1)</f>
        <v>47497771,4,1</v>
      </c>
      <c r="C295" s="1668" t="str">
        <f ca="1">HYPERLINK("https://boersenundmaerkte.lukb.ch/lukb/details/"&amp;Valori[[#This Row],[LUKB_id]],"è")</f>
        <v>è</v>
      </c>
      <c r="D295" s="142" t="str" cm="1">
        <f t="array" aca="1" ref="D295" ca="1">OFFSET(POrigin,MATCH(Valori[[#This Row],[LUKB_id]],PID,0),MATCH("SC_GROUPED",PIntestazioni,0)-1,1,1)</f>
        <v>DIV</v>
      </c>
      <c r="E295" s="413" cm="1">
        <f t="array" aca="1" ref="E295" ca="1">OFFSET(POrigin,MATCH(Valori[[#This Row],[LUKB_id]],PID,0),MATCH("isin",PIntestazioni,0)-1,1,1)</f>
        <v>0</v>
      </c>
      <c r="F295" s="34" cm="1">
        <f t="array" aca="1" ref="F295" ca="1">OFFSET(POrigin,MATCH(Valori[[#This Row],[LUKB_id]],PID,0),MATCH("NSIN_CH",PLabel,0)-1,1,1)</f>
        <v>0</v>
      </c>
      <c r="G295" s="95" t="str" cm="1">
        <f t="array" aca="1" ref="G295" ca="1">IF(OFFSET(POrigin,MATCH(Valori[[#This Row],[LUKB_id]],PID,0),MATCH("INSTRUNIT",PLabel,0)-1,1,1)="Nominal","Pct","Unit")</f>
        <v>Unit</v>
      </c>
      <c r="H295" s="612">
        <f ca="1">MAX(OFFSET(POrigin,MATCH(Valori[[#This Row],[LUKB_id]],PID,0),MATCH("PRICINGAMT",PLabel,0)-1,1,1),1)</f>
        <v>1</v>
      </c>
      <c r="I295" s="615" cm="1">
        <f t="array" aca="1" ref="I295" ca="1">OFFSET(POrigin,MATCH(Valori[[#This Row],[LUKB_id]],PID,0),MATCH("M_NAME",PLabel,0)-1,1,1)</f>
        <v>0</v>
      </c>
      <c r="M295" s="142" cm="1">
        <f t="array" aca="1" ref="M2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5" s="1563">
        <f ca="1">COUNTIF('CHF M'!smo_id,Valori[[#This Row],[smo_id]])+COUNTIF('CHF MA'!smo_id,Valori[[#This Row],[smo_id]])+COUNTIF('EUR MB'!smo_id,Valori[[#This Row],[smo_id]])+COUNTIF('EUR M'!smo_id,Valori[[#This Row],[smo_id]])+COUNTIF(AGCO!smo_id,Valori[[#This Row],[smo_id]])</f>
        <v>0</v>
      </c>
      <c r="O295" s="1590" cm="1">
        <f t="array" aca="1" ref="O295" ca="1">SUM(IF('CHF M'!smo_id=Valori[[#This Row],[smo_id]],'CHF M'!Posizione))+SUM(IF('CHF MA'!smo_id=Valori[[#This Row],[smo_id]],'CHF MA'!Posizione))+SUM(IF('EUR MB'!smo_id=Valori[[#This Row],[smo_id]],'EUR MB'!Posizione))+SUM(IF('EUR M'!smo_id=Valori[[#This Row],[smo_id]],'EUR M'!Posizione))+SUM(IF(AGCO!smo_id=Valori[[#This Row],[smo_id]],AGCO!Posizione))</f>
        <v>0</v>
      </c>
      <c r="P295" s="1661" t="str">
        <f ca="1">HYPERLINK(Valori[[#This Row],[P_Source]],"è")</f>
        <v>è</v>
      </c>
      <c r="Q295" s="1663" t="str">
        <f>HYPERLINK(Valori[[#This Row],[Info_W]],"i")</f>
        <v>i</v>
      </c>
      <c r="R295" s="1664" t="str">
        <f>HYPERLINK(Valori[[#This Row],[FN_W]],"")</f>
        <v></v>
      </c>
      <c r="S295" s="1665" t="str">
        <f>HYPERLINK(Valori[[#This Row],[MS_Link]],"")</f>
        <v></v>
      </c>
      <c r="T295" s="1665" t="str">
        <f>HYPERLINK(Valori[[#This Row],[C_source]],"")</f>
        <v></v>
      </c>
      <c r="U295" s="142" cm="1">
        <f t="array" aca="1" ref="U295" ca="1">OFFSET(POrigin,MATCH(Valori[[#This Row],[LUKB_id]],PID,0),MATCH("M_CUR",PLabel,0)-1,1,1)</f>
        <v>0</v>
      </c>
      <c r="V295" s="1562">
        <f ca="1">(Valori[[#This Row],[Last]]+Valori[[#This Row],[Acc. Int]])/Valori[[#This Row],[Pr.Amt]]/IF(Valori[[#This Row],[P_Type]]="Pct",100,1)</f>
        <v>0</v>
      </c>
      <c r="W295" s="1591" cm="1">
        <f t="array" aca="1" ref="W295" ca="1">OFFSET(POrigin,MATCH(Valori[[#This Row],[LUKB_id]],PID,0),MATCH("NC2_PR",PLabel,0)-1,1,1)/100</f>
        <v>0</v>
      </c>
      <c r="X295" s="1592" cm="1">
        <f t="array" aca="1" ref="X295" ca="1">OFFSET(POrigin,MATCH(Valori[[#This Row],[LUKB_id]],PID,0),MATCH("LVAL",PLabel,0)-1,1,1)</f>
        <v>0</v>
      </c>
      <c r="Y295" s="1593" cm="1">
        <f t="array" aca="1" ref="Y295" ca="1">OFFSET(POrigin,MATCH(Valori[[#This Row],[LUKB_id]],PID,0),MATCH("LVAL:datetime",PLabel,0)-1,1,1)</f>
        <v>0</v>
      </c>
      <c r="Z295" s="1594" cm="1">
        <f t="array" aca="1" ref="Z295" ca="1">OFFSET(POrigin,MATCH(Valori[[#This Row],[LUKB_id]],PID,0),MATCH("BID:volume",PLabel,0)-1,1,1)</f>
        <v>0</v>
      </c>
      <c r="AA295" s="1595" cm="1">
        <f t="array" aca="1" ref="AA295" ca="1">OFFSET(POrigin,MATCH(Valori[[#This Row],[LUKB_id]],PID,0),MATCH("BID",PLabel,0)-1,1,1)</f>
        <v>0</v>
      </c>
      <c r="AB295" s="1595" cm="1">
        <f t="array" aca="1" ref="AB295" ca="1">OFFSET(POrigin,MATCH(Valori[[#This Row],[LUKB_id]],PID,0),MATCH("ASK",PLabel,0)-1,1,1)</f>
        <v>0</v>
      </c>
      <c r="AC295" s="1594" cm="1">
        <f t="array" aca="1" ref="AC295" ca="1">OFFSET(POrigin,MATCH(Valori[[#This Row],[LUKB_id]],PID,0),MATCH("ASK:volume",PLabel,0)-1,1,1)</f>
        <v>0</v>
      </c>
      <c r="AD295" s="1596" cm="1">
        <f t="array" aca="1" ref="AD295" ca="1">OFFSET(POrigin,MATCH(Valori[[#This Row],[LUKB_id]],PID,0),MATCH("BID-ASK Spread %",PLabel,0)-1,1,1)</f>
        <v>0</v>
      </c>
      <c r="AE295" s="1597" t="str" cm="1">
        <f t="array" aca="1" ref="AE295" ca="1">IF(OFFSET(POrigin,MATCH(Valori[[#This Row],[LUKB_id]],PID,0),MATCH("MATURITY",PLabel,0)-1,1,1)&gt;0,OFFSET(POrigin,MATCH(Valori[[#This Row],[LUKB_id]],PID,0),MATCH("MATURITY",PLabel,0)-1,1,1),"")</f>
        <v/>
      </c>
      <c r="AF295" s="1598" cm="1">
        <f t="array" aca="1" ref="AF295" ca="1">OFFSET(POrigin,MATCH(Valori[[#This Row],[LUKB_id]],PID,0),MATCH("ACCINT",PLabel,0)-1,1,1)</f>
        <v>0</v>
      </c>
      <c r="AG295" s="1594" cm="1">
        <f t="array" aca="1" ref="AG295" ca="1">OFFSET(POrigin,MATCH(Valori[[#This Row],[LUKB_id]],PID,0),MATCH("DENOM",PLabel,0)-1,1,1)</f>
        <v>0</v>
      </c>
      <c r="AH295" s="1599" cm="1">
        <f t="array" aca="1" ref="AH295" ca="1">(OFFSET(POrigin,MATCH(Valori[[#This Row],[LUKB_id]],PID,0),MATCH("YIELD",PLabel,0)-1,1,1)+OFFSET(POrigin,MATCH(Valori[[#This Row],[LUKB_id]],PID,0),MATCH("YLDEQ",PLabel,0)-1,1,1))/100</f>
        <v>0</v>
      </c>
      <c r="AI295" s="1600">
        <f ca="1">OFFSET(POrigin,MATCH(Valori[[#This Row],[LUKB_id]],PID,0),MATCH("DIVIDEND",PLabel,0)-1,1,1)</f>
        <v>0</v>
      </c>
      <c r="AJ295" s="1601">
        <f ca="1">OFFSET(POrigin,MATCH(Valori[[#This Row],[LUKB_id]],PID,0),MATCH("DIVIDEND:datetime",PLabel,0)-1,1,1)</f>
        <v>0</v>
      </c>
      <c r="AK295" s="1602">
        <f ca="1">OFFSET(POrigin,MATCH(Valori[[#This Row],[LUKB_id]],PID,0),MATCH("INTEREST",PLabel,0)-1,1,1)</f>
        <v>0</v>
      </c>
      <c r="AL295" s="1603">
        <f ca="1">OFFSET(POrigin,MATCH(Valori[[#This Row],[LUKB_id]],PID,0),MATCH("4W_PERF_PR",PLabel,0)-1,1,1)/100</f>
        <v>0</v>
      </c>
      <c r="AM295" s="1603">
        <f ca="1">OFFSET(POrigin,MATCH(Valori[[#This Row],[LUKB_id]],PID,0),MATCH("12W_PERF_PR",PLabel,0)-1,1,1)/100</f>
        <v>0</v>
      </c>
      <c r="AN295" s="1603">
        <f ca="1">OFFSET(POrigin,MATCH(Valori[[#This Row],[LUKB_id]],PID,0),MATCH("YTD_PERF_PR",PLabel,0)-1,1,1)/100</f>
        <v>0</v>
      </c>
      <c r="AO295" s="1591"/>
      <c r="AP295" s="1591"/>
      <c r="AQ295" s="1591"/>
      <c r="AR295" s="1591"/>
      <c r="AS295" s="1890"/>
      <c r="AT295" s="1890"/>
      <c r="AU295" s="610"/>
      <c r="AV295" s="1891"/>
      <c r="AW295" s="1604" t="str">
        <f ca="1">"https://boersenundmaerkte.lukb.ch/lukb/details/"&amp;Valori[[#This Row],[LUKB_id]]</f>
        <v>https://boersenundmaerkte.lukb.ch/lukb/details/47497771,4,1</v>
      </c>
      <c r="AX295"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5" s="142"/>
      <c r="AZ295" s="142"/>
      <c r="BA295" s="142"/>
      <c r="BB295" s="142"/>
    </row>
    <row r="296" spans="1:54" ht="15" customHeight="1" x14ac:dyDescent="0.2">
      <c r="A296" s="142" t="s">
        <v>978</v>
      </c>
      <c r="B296" s="142" t="str" cm="1">
        <f t="array" aca="1" ref="B296" ca="1">OFFSET(POrigin,MATCH(Valori[[#This Row],[smo_id]],Posizioni[smo_id],0),MATCH("LUKB_id",PIntestazioni,0)-1,1,1)</f>
        <v>41904167,4,1</v>
      </c>
      <c r="C296" s="1668" t="str">
        <f ca="1">HYPERLINK("https://boersenundmaerkte.lukb.ch/lukb/details/"&amp;Valori[[#This Row],[LUKB_id]],"è")</f>
        <v>è</v>
      </c>
      <c r="D296" s="142" t="str" cm="1">
        <f t="array" aca="1" ref="D296" ca="1">OFFSET(POrigin,MATCH(Valori[[#This Row],[LUKB_id]],PID,0),MATCH("SC_GROUPED",PIntestazioni,0)-1,1,1)</f>
        <v>DIV</v>
      </c>
      <c r="E296" s="413" cm="1">
        <f t="array" aca="1" ref="E296" ca="1">OFFSET(POrigin,MATCH(Valori[[#This Row],[LUKB_id]],PID,0),MATCH("isin",PIntestazioni,0)-1,1,1)</f>
        <v>0</v>
      </c>
      <c r="F296" s="34" cm="1">
        <f t="array" aca="1" ref="F296" ca="1">OFFSET(POrigin,MATCH(Valori[[#This Row],[LUKB_id]],PID,0),MATCH("NSIN_CH",PLabel,0)-1,1,1)</f>
        <v>0</v>
      </c>
      <c r="G296" s="95" t="str" cm="1">
        <f t="array" aca="1" ref="G296" ca="1">IF(OFFSET(POrigin,MATCH(Valori[[#This Row],[LUKB_id]],PID,0),MATCH("INSTRUNIT",PLabel,0)-1,1,1)="Nominal","Pct","Unit")</f>
        <v>Unit</v>
      </c>
      <c r="H296" s="612">
        <f ca="1">MAX(OFFSET(POrigin,MATCH(Valori[[#This Row],[LUKB_id]],PID,0),MATCH("PRICINGAMT",PLabel,0)-1,1,1),1)</f>
        <v>1</v>
      </c>
      <c r="I296" s="615" cm="1">
        <f t="array" aca="1" ref="I296" ca="1">OFFSET(POrigin,MATCH(Valori[[#This Row],[LUKB_id]],PID,0),MATCH("M_NAME",PLabel,0)-1,1,1)</f>
        <v>0</v>
      </c>
      <c r="M296" s="142" cm="1">
        <f t="array" aca="1" ref="M2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6" s="1563">
        <f ca="1">COUNTIF('CHF M'!smo_id,Valori[[#This Row],[smo_id]])+COUNTIF('CHF MA'!smo_id,Valori[[#This Row],[smo_id]])+COUNTIF('EUR MB'!smo_id,Valori[[#This Row],[smo_id]])+COUNTIF('EUR M'!smo_id,Valori[[#This Row],[smo_id]])+COUNTIF(AGCO!smo_id,Valori[[#This Row],[smo_id]])</f>
        <v>0</v>
      </c>
      <c r="O296" s="1590" cm="1">
        <f t="array" aca="1" ref="O296" ca="1">SUM(IF('CHF M'!smo_id=Valori[[#This Row],[smo_id]],'CHF M'!Posizione))+SUM(IF('CHF MA'!smo_id=Valori[[#This Row],[smo_id]],'CHF MA'!Posizione))+SUM(IF('EUR MB'!smo_id=Valori[[#This Row],[smo_id]],'EUR MB'!Posizione))+SUM(IF('EUR M'!smo_id=Valori[[#This Row],[smo_id]],'EUR M'!Posizione))+SUM(IF(AGCO!smo_id=Valori[[#This Row],[smo_id]],AGCO!Posizione))</f>
        <v>0</v>
      </c>
      <c r="P296" s="1661" t="str">
        <f ca="1">HYPERLINK(Valori[[#This Row],[P_Source]],"è")</f>
        <v>è</v>
      </c>
      <c r="Q296" s="1663" t="str">
        <f>HYPERLINK(Valori[[#This Row],[Info_W]],"i")</f>
        <v>i</v>
      </c>
      <c r="R296" s="1664" t="str">
        <f>HYPERLINK(Valori[[#This Row],[FN_W]],"")</f>
        <v></v>
      </c>
      <c r="S296" s="1665" t="str">
        <f>HYPERLINK(Valori[[#This Row],[MS_Link]],"")</f>
        <v></v>
      </c>
      <c r="T296" s="1665" t="str">
        <f>HYPERLINK(Valori[[#This Row],[C_source]],"")</f>
        <v></v>
      </c>
      <c r="U296" s="142" cm="1">
        <f t="array" aca="1" ref="U296" ca="1">OFFSET(POrigin,MATCH(Valori[[#This Row],[LUKB_id]],PID,0),MATCH("M_CUR",PLabel,0)-1,1,1)</f>
        <v>0</v>
      </c>
      <c r="V296" s="1562">
        <f ca="1">(Valori[[#This Row],[Last]]+Valori[[#This Row],[Acc. Int]])/Valori[[#This Row],[Pr.Amt]]/IF(Valori[[#This Row],[P_Type]]="Pct",100,1)</f>
        <v>0</v>
      </c>
      <c r="W296" s="1591" cm="1">
        <f t="array" aca="1" ref="W296" ca="1">OFFSET(POrigin,MATCH(Valori[[#This Row],[LUKB_id]],PID,0),MATCH("NC2_PR",PLabel,0)-1,1,1)/100</f>
        <v>0</v>
      </c>
      <c r="X296" s="1592" cm="1">
        <f t="array" aca="1" ref="X296" ca="1">OFFSET(POrigin,MATCH(Valori[[#This Row],[LUKB_id]],PID,0),MATCH("LVAL",PLabel,0)-1,1,1)</f>
        <v>0</v>
      </c>
      <c r="Y296" s="1593" cm="1">
        <f t="array" aca="1" ref="Y296" ca="1">OFFSET(POrigin,MATCH(Valori[[#This Row],[LUKB_id]],PID,0),MATCH("LVAL:datetime",PLabel,0)-1,1,1)</f>
        <v>0</v>
      </c>
      <c r="Z296" s="1594" cm="1">
        <f t="array" aca="1" ref="Z296" ca="1">OFFSET(POrigin,MATCH(Valori[[#This Row],[LUKB_id]],PID,0),MATCH("BID:volume",PLabel,0)-1,1,1)</f>
        <v>0</v>
      </c>
      <c r="AA296" s="1595" cm="1">
        <f t="array" aca="1" ref="AA296" ca="1">OFFSET(POrigin,MATCH(Valori[[#This Row],[LUKB_id]],PID,0),MATCH("BID",PLabel,0)-1,1,1)</f>
        <v>0</v>
      </c>
      <c r="AB296" s="1595" cm="1">
        <f t="array" aca="1" ref="AB296" ca="1">OFFSET(POrigin,MATCH(Valori[[#This Row],[LUKB_id]],PID,0),MATCH("ASK",PLabel,0)-1,1,1)</f>
        <v>0</v>
      </c>
      <c r="AC296" s="1594" cm="1">
        <f t="array" aca="1" ref="AC296" ca="1">OFFSET(POrigin,MATCH(Valori[[#This Row],[LUKB_id]],PID,0),MATCH("ASK:volume",PLabel,0)-1,1,1)</f>
        <v>0</v>
      </c>
      <c r="AD296" s="1596" cm="1">
        <f t="array" aca="1" ref="AD296" ca="1">OFFSET(POrigin,MATCH(Valori[[#This Row],[LUKB_id]],PID,0),MATCH("BID-ASK Spread %",PLabel,0)-1,1,1)</f>
        <v>0</v>
      </c>
      <c r="AE296" s="1597" t="str" cm="1">
        <f t="array" aca="1" ref="AE296" ca="1">IF(OFFSET(POrigin,MATCH(Valori[[#This Row],[LUKB_id]],PID,0),MATCH("MATURITY",PLabel,0)-1,1,1)&gt;0,OFFSET(POrigin,MATCH(Valori[[#This Row],[LUKB_id]],PID,0),MATCH("MATURITY",PLabel,0)-1,1,1),"")</f>
        <v/>
      </c>
      <c r="AF296" s="1598" cm="1">
        <f t="array" aca="1" ref="AF296" ca="1">OFFSET(POrigin,MATCH(Valori[[#This Row],[LUKB_id]],PID,0),MATCH("ACCINT",PLabel,0)-1,1,1)</f>
        <v>0</v>
      </c>
      <c r="AG296" s="1594" cm="1">
        <f t="array" aca="1" ref="AG296" ca="1">OFFSET(POrigin,MATCH(Valori[[#This Row],[LUKB_id]],PID,0),MATCH("DENOM",PLabel,0)-1,1,1)</f>
        <v>0</v>
      </c>
      <c r="AH296" s="1599" cm="1">
        <f t="array" aca="1" ref="AH296" ca="1">(OFFSET(POrigin,MATCH(Valori[[#This Row],[LUKB_id]],PID,0),MATCH("YIELD",PLabel,0)-1,1,1)+OFFSET(POrigin,MATCH(Valori[[#This Row],[LUKB_id]],PID,0),MATCH("YLDEQ",PLabel,0)-1,1,1))/100</f>
        <v>0</v>
      </c>
      <c r="AI296" s="1600">
        <f ca="1">OFFSET(POrigin,MATCH(Valori[[#This Row],[LUKB_id]],PID,0),MATCH("DIVIDEND",PLabel,0)-1,1,1)</f>
        <v>0</v>
      </c>
      <c r="AJ296" s="1601">
        <f ca="1">OFFSET(POrigin,MATCH(Valori[[#This Row],[LUKB_id]],PID,0),MATCH("DIVIDEND:datetime",PLabel,0)-1,1,1)</f>
        <v>0</v>
      </c>
      <c r="AK296" s="1602">
        <f ca="1">OFFSET(POrigin,MATCH(Valori[[#This Row],[LUKB_id]],PID,0),MATCH("INTEREST",PLabel,0)-1,1,1)</f>
        <v>0</v>
      </c>
      <c r="AL296" s="1603">
        <f ca="1">OFFSET(POrigin,MATCH(Valori[[#This Row],[LUKB_id]],PID,0),MATCH("4W_PERF_PR",PLabel,0)-1,1,1)/100</f>
        <v>0</v>
      </c>
      <c r="AM296" s="1603">
        <f ca="1">OFFSET(POrigin,MATCH(Valori[[#This Row],[LUKB_id]],PID,0),MATCH("12W_PERF_PR",PLabel,0)-1,1,1)/100</f>
        <v>0</v>
      </c>
      <c r="AN296" s="1603">
        <f ca="1">OFFSET(POrigin,MATCH(Valori[[#This Row],[LUKB_id]],PID,0),MATCH("YTD_PERF_PR",PLabel,0)-1,1,1)/100</f>
        <v>0</v>
      </c>
      <c r="AO296" s="1591"/>
      <c r="AP296" s="1591"/>
      <c r="AQ296" s="1591"/>
      <c r="AR296" s="1591"/>
      <c r="AS296" s="1890" t="s">
        <v>877</v>
      </c>
      <c r="AT296" s="1890"/>
      <c r="AU296" s="610"/>
      <c r="AV296" s="1891"/>
      <c r="AW296" s="1604" t="str">
        <f ca="1">"https://boersenundmaerkte.lukb.ch/lukb/details/"&amp;Valori[[#This Row],[LUKB_id]]</f>
        <v>https://boersenundmaerkte.lukb.ch/lukb/details/41904167,4,1</v>
      </c>
      <c r="AX296"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6" s="142"/>
      <c r="AZ296" s="142"/>
      <c r="BA296" s="142"/>
      <c r="BB296" s="142"/>
    </row>
    <row r="297" spans="1:54" ht="15" customHeight="1" x14ac:dyDescent="0.2">
      <c r="A297" s="142" t="s">
        <v>977</v>
      </c>
      <c r="B297" s="142" t="str" cm="1">
        <f t="array" aca="1" ref="B297" ca="1">OFFSET(POrigin,MATCH(Valori[[#This Row],[smo_id]],Posizioni[smo_id],0),MATCH("LUKB_id",PIntestazioni,0)-1,1,1)</f>
        <v>57232698,4,1</v>
      </c>
      <c r="C297" s="1668" t="str">
        <f ca="1">HYPERLINK("https://boersenundmaerkte.lukb.ch/lukb/details/"&amp;Valori[[#This Row],[LUKB_id]],"è")</f>
        <v>è</v>
      </c>
      <c r="D297" s="142" t="str" cm="1">
        <f t="array" aca="1" ref="D297" ca="1">OFFSET(POrigin,MATCH(Valori[[#This Row],[LUKB_id]],PID,0),MATCH("SC_GROUPED",PIntestazioni,0)-1,1,1)</f>
        <v>DIV</v>
      </c>
      <c r="E297" s="413" cm="1">
        <f t="array" aca="1" ref="E297" ca="1">OFFSET(POrigin,MATCH(Valori[[#This Row],[LUKB_id]],PID,0),MATCH("isin",PIntestazioni,0)-1,1,1)</f>
        <v>0</v>
      </c>
      <c r="F297" s="34" cm="1">
        <f t="array" aca="1" ref="F297" ca="1">OFFSET(POrigin,MATCH(Valori[[#This Row],[LUKB_id]],PID,0),MATCH("NSIN_CH",PLabel,0)-1,1,1)</f>
        <v>0</v>
      </c>
      <c r="G297" s="95" t="str" cm="1">
        <f t="array" aca="1" ref="G297" ca="1">IF(OFFSET(POrigin,MATCH(Valori[[#This Row],[LUKB_id]],PID,0),MATCH("INSTRUNIT",PLabel,0)-1,1,1)="Nominal","Pct","Unit")</f>
        <v>Unit</v>
      </c>
      <c r="H297" s="612">
        <f ca="1">MAX(OFFSET(POrigin,MATCH(Valori[[#This Row],[LUKB_id]],PID,0),MATCH("PRICINGAMT",PLabel,0)-1,1,1),1)</f>
        <v>1</v>
      </c>
      <c r="I297" s="615" cm="1">
        <f t="array" aca="1" ref="I297" ca="1">OFFSET(POrigin,MATCH(Valori[[#This Row],[LUKB_id]],PID,0),MATCH("M_NAME",PLabel,0)-1,1,1)</f>
        <v>0</v>
      </c>
      <c r="M297" s="142" cm="1">
        <f t="array" aca="1" ref="M2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7" s="1563">
        <f ca="1">COUNTIF('CHF M'!smo_id,Valori[[#This Row],[smo_id]])+COUNTIF('CHF MA'!smo_id,Valori[[#This Row],[smo_id]])+COUNTIF('EUR MB'!smo_id,Valori[[#This Row],[smo_id]])+COUNTIF('EUR M'!smo_id,Valori[[#This Row],[smo_id]])+COUNTIF(AGCO!smo_id,Valori[[#This Row],[smo_id]])</f>
        <v>0</v>
      </c>
      <c r="O297" s="1590" cm="1">
        <f t="array" aca="1" ref="O297" ca="1">SUM(IF('CHF M'!smo_id=Valori[[#This Row],[smo_id]],'CHF M'!Posizione))+SUM(IF('CHF MA'!smo_id=Valori[[#This Row],[smo_id]],'CHF MA'!Posizione))+SUM(IF('EUR MB'!smo_id=Valori[[#This Row],[smo_id]],'EUR MB'!Posizione))+SUM(IF('EUR M'!smo_id=Valori[[#This Row],[smo_id]],'EUR M'!Posizione))+SUM(IF(AGCO!smo_id=Valori[[#This Row],[smo_id]],AGCO!Posizione))</f>
        <v>0</v>
      </c>
      <c r="P297" s="1661" t="str">
        <f ca="1">HYPERLINK(Valori[[#This Row],[P_Source]],"è")</f>
        <v>è</v>
      </c>
      <c r="Q297" s="1663" t="str">
        <f>HYPERLINK(Valori[[#This Row],[Info_W]],"i")</f>
        <v>i</v>
      </c>
      <c r="R297" s="1664" t="str">
        <f>HYPERLINK(Valori[[#This Row],[FN_W]],"")</f>
        <v></v>
      </c>
      <c r="S297" s="1665" t="str">
        <f>HYPERLINK(Valori[[#This Row],[MS_Link]],"")</f>
        <v></v>
      </c>
      <c r="T297" s="1665" t="str">
        <f>HYPERLINK(Valori[[#This Row],[C_source]],"")</f>
        <v></v>
      </c>
      <c r="U297" s="142" cm="1">
        <f t="array" aca="1" ref="U297" ca="1">OFFSET(POrigin,MATCH(Valori[[#This Row],[LUKB_id]],PID,0),MATCH("M_CUR",PLabel,0)-1,1,1)</f>
        <v>0</v>
      </c>
      <c r="V297" s="1562">
        <f ca="1">(Valori[[#This Row],[Last]]+Valori[[#This Row],[Acc. Int]])/Valori[[#This Row],[Pr.Amt]]/IF(Valori[[#This Row],[P_Type]]="Pct",100,1)</f>
        <v>0</v>
      </c>
      <c r="W297" s="1591" cm="1">
        <f t="array" aca="1" ref="W297" ca="1">OFFSET(POrigin,MATCH(Valori[[#This Row],[LUKB_id]],PID,0),MATCH("NC2_PR",PLabel,0)-1,1,1)/100</f>
        <v>0</v>
      </c>
      <c r="X297" s="1592" cm="1">
        <f t="array" aca="1" ref="X297" ca="1">OFFSET(POrigin,MATCH(Valori[[#This Row],[LUKB_id]],PID,0),MATCH("LVAL",PLabel,0)-1,1,1)</f>
        <v>0</v>
      </c>
      <c r="Y297" s="1593" cm="1">
        <f t="array" aca="1" ref="Y297" ca="1">OFFSET(POrigin,MATCH(Valori[[#This Row],[LUKB_id]],PID,0),MATCH("LVAL:datetime",PLabel,0)-1,1,1)</f>
        <v>0</v>
      </c>
      <c r="Z297" s="1594" cm="1">
        <f t="array" aca="1" ref="Z297" ca="1">OFFSET(POrigin,MATCH(Valori[[#This Row],[LUKB_id]],PID,0),MATCH("BID:volume",PLabel,0)-1,1,1)</f>
        <v>0</v>
      </c>
      <c r="AA297" s="1595" cm="1">
        <f t="array" aca="1" ref="AA297" ca="1">OFFSET(POrigin,MATCH(Valori[[#This Row],[LUKB_id]],PID,0),MATCH("BID",PLabel,0)-1,1,1)</f>
        <v>0</v>
      </c>
      <c r="AB297" s="1595" cm="1">
        <f t="array" aca="1" ref="AB297" ca="1">OFFSET(POrigin,MATCH(Valori[[#This Row],[LUKB_id]],PID,0),MATCH("ASK",PLabel,0)-1,1,1)</f>
        <v>0</v>
      </c>
      <c r="AC297" s="1594" cm="1">
        <f t="array" aca="1" ref="AC297" ca="1">OFFSET(POrigin,MATCH(Valori[[#This Row],[LUKB_id]],PID,0),MATCH("ASK:volume",PLabel,0)-1,1,1)</f>
        <v>0</v>
      </c>
      <c r="AD297" s="1596" cm="1">
        <f t="array" aca="1" ref="AD297" ca="1">OFFSET(POrigin,MATCH(Valori[[#This Row],[LUKB_id]],PID,0),MATCH("BID-ASK Spread %",PLabel,0)-1,1,1)</f>
        <v>0</v>
      </c>
      <c r="AE297" s="1597" t="str" cm="1">
        <f t="array" aca="1" ref="AE297" ca="1">IF(OFFSET(POrigin,MATCH(Valori[[#This Row],[LUKB_id]],PID,0),MATCH("MATURITY",PLabel,0)-1,1,1)&gt;0,OFFSET(POrigin,MATCH(Valori[[#This Row],[LUKB_id]],PID,0),MATCH("MATURITY",PLabel,0)-1,1,1),"")</f>
        <v/>
      </c>
      <c r="AF297" s="1598" cm="1">
        <f t="array" aca="1" ref="AF297" ca="1">OFFSET(POrigin,MATCH(Valori[[#This Row],[LUKB_id]],PID,0),MATCH("ACCINT",PLabel,0)-1,1,1)</f>
        <v>0</v>
      </c>
      <c r="AG297" s="1594" cm="1">
        <f t="array" aca="1" ref="AG297" ca="1">OFFSET(POrigin,MATCH(Valori[[#This Row],[LUKB_id]],PID,0),MATCH("DENOM",PLabel,0)-1,1,1)</f>
        <v>0</v>
      </c>
      <c r="AH297" s="1599" cm="1">
        <f t="array" aca="1" ref="AH297" ca="1">(OFFSET(POrigin,MATCH(Valori[[#This Row],[LUKB_id]],PID,0),MATCH("YIELD",PLabel,0)-1,1,1)+OFFSET(POrigin,MATCH(Valori[[#This Row],[LUKB_id]],PID,0),MATCH("YLDEQ",PLabel,0)-1,1,1))/100</f>
        <v>0</v>
      </c>
      <c r="AI297" s="1600">
        <f ca="1">OFFSET(POrigin,MATCH(Valori[[#This Row],[LUKB_id]],PID,0),MATCH("DIVIDEND",PLabel,0)-1,1,1)</f>
        <v>0</v>
      </c>
      <c r="AJ297" s="1601">
        <f ca="1">OFFSET(POrigin,MATCH(Valori[[#This Row],[LUKB_id]],PID,0),MATCH("DIVIDEND:datetime",PLabel,0)-1,1,1)</f>
        <v>0</v>
      </c>
      <c r="AK297" s="1602">
        <f ca="1">OFFSET(POrigin,MATCH(Valori[[#This Row],[LUKB_id]],PID,0),MATCH("INTEREST",PLabel,0)-1,1,1)</f>
        <v>0</v>
      </c>
      <c r="AL297" s="1603">
        <f ca="1">OFFSET(POrigin,MATCH(Valori[[#This Row],[LUKB_id]],PID,0),MATCH("4W_PERF_PR",PLabel,0)-1,1,1)/100</f>
        <v>0</v>
      </c>
      <c r="AM297" s="1603">
        <f ca="1">OFFSET(POrigin,MATCH(Valori[[#This Row],[LUKB_id]],PID,0),MATCH("12W_PERF_PR",PLabel,0)-1,1,1)/100</f>
        <v>0</v>
      </c>
      <c r="AN297" s="1603">
        <f ca="1">OFFSET(POrigin,MATCH(Valori[[#This Row],[LUKB_id]],PID,0),MATCH("YTD_PERF_PR",PLabel,0)-1,1,1)/100</f>
        <v>0</v>
      </c>
      <c r="AO297" s="1591"/>
      <c r="AP297" s="1591"/>
      <c r="AQ297" s="1591"/>
      <c r="AR297" s="1591"/>
      <c r="AS297" s="1890"/>
      <c r="AT297" s="1890"/>
      <c r="AU297" s="610"/>
      <c r="AV297" s="1891"/>
      <c r="AW297" s="1604" t="str">
        <f ca="1">"https://boersenundmaerkte.lukb.ch/lukb/details/"&amp;Valori[[#This Row],[LUKB_id]]</f>
        <v>https://boersenundmaerkte.lukb.ch/lukb/details/57232698,4,1</v>
      </c>
      <c r="AX29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7" s="142"/>
      <c r="AZ297" s="142"/>
      <c r="BA297" s="142"/>
      <c r="BB297" s="142"/>
    </row>
    <row r="298" spans="1:54" ht="15" customHeight="1" x14ac:dyDescent="0.2">
      <c r="A298" s="142" t="s">
        <v>1753</v>
      </c>
      <c r="B298" s="142" t="str" cm="1">
        <f t="array" aca="1" ref="B298" ca="1">OFFSET(POrigin,MATCH(Valori[[#This Row],[smo_id]],Posizioni[smo_id],0),MATCH("LUKB_id",PIntestazioni,0)-1,1,1)</f>
        <v>28185175,2779,333</v>
      </c>
      <c r="C298" s="1668" t="str">
        <f ca="1">HYPERLINK("https://boersenundmaerkte.lukb.ch/lukb/details/"&amp;Valori[[#This Row],[LUKB_id]],"è")</f>
        <v>è</v>
      </c>
      <c r="D298" s="142" t="str" cm="1">
        <f t="array" aca="1" ref="D298" ca="1">OFFSET(POrigin,MATCH(Valori[[#This Row],[LUKB_id]],PID,0),MATCH("SC_GROUPED",PIntestazioni,0)-1,1,1)</f>
        <v>DIV</v>
      </c>
      <c r="E298" s="413" cm="1">
        <f t="array" aca="1" ref="E298" ca="1">OFFSET(POrigin,MATCH(Valori[[#This Row],[LUKB_id]],PID,0),MATCH("isin",PIntestazioni,0)-1,1,1)</f>
        <v>0</v>
      </c>
      <c r="F298" s="34" cm="1">
        <f t="array" aca="1" ref="F298" ca="1">OFFSET(POrigin,MATCH(Valori[[#This Row],[LUKB_id]],PID,0),MATCH("NSIN_CH",PLabel,0)-1,1,1)</f>
        <v>0</v>
      </c>
      <c r="G298" s="95" t="str" cm="1">
        <f t="array" aca="1" ref="G298" ca="1">IF(OFFSET(POrigin,MATCH(Valori[[#This Row],[LUKB_id]],PID,0),MATCH("INSTRUNIT",PLabel,0)-1,1,1)="Nominal","Pct","Unit")</f>
        <v>Unit</v>
      </c>
      <c r="H298" s="612">
        <f ca="1">MAX(OFFSET(POrigin,MATCH(Valori[[#This Row],[LUKB_id]],PID,0),MATCH("PRICINGAMT",PLabel,0)-1,1,1),1)</f>
        <v>1</v>
      </c>
      <c r="I298" s="615" cm="1">
        <f t="array" aca="1" ref="I298" ca="1">OFFSET(POrigin,MATCH(Valori[[#This Row],[LUKB_id]],PID,0),MATCH("M_NAME",PLabel,0)-1,1,1)</f>
        <v>0</v>
      </c>
      <c r="M298" s="142" cm="1">
        <f t="array" aca="1" ref="M2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8" s="1563">
        <f ca="1">COUNTIF('CHF M'!smo_id,Valori[[#This Row],[smo_id]])+COUNTIF('CHF MA'!smo_id,Valori[[#This Row],[smo_id]])+COUNTIF('EUR MB'!smo_id,Valori[[#This Row],[smo_id]])+COUNTIF('EUR M'!smo_id,Valori[[#This Row],[smo_id]])+COUNTIF(AGCO!smo_id,Valori[[#This Row],[smo_id]])</f>
        <v>0</v>
      </c>
      <c r="O298" s="1590" cm="1">
        <f t="array" aca="1" ref="O298" ca="1">SUM(IF('CHF M'!smo_id=Valori[[#This Row],[smo_id]],'CHF M'!Posizione))+SUM(IF('CHF MA'!smo_id=Valori[[#This Row],[smo_id]],'CHF MA'!Posizione))+SUM(IF('EUR MB'!smo_id=Valori[[#This Row],[smo_id]],'EUR MB'!Posizione))+SUM(IF('EUR M'!smo_id=Valori[[#This Row],[smo_id]],'EUR M'!Posizione))+SUM(IF(AGCO!smo_id=Valori[[#This Row],[smo_id]],AGCO!Posizione))</f>
        <v>0</v>
      </c>
      <c r="P298" s="1661" t="str">
        <f ca="1">HYPERLINK(Valori[[#This Row],[P_Source]],"è")</f>
        <v>è</v>
      </c>
      <c r="Q298" s="1663" t="str">
        <f>HYPERLINK(Valori[[#This Row],[Info_W]],"i")</f>
        <v>i</v>
      </c>
      <c r="R298" s="1664" t="str">
        <f>HYPERLINK(Valori[[#This Row],[FN_W]],"")</f>
        <v></v>
      </c>
      <c r="S298" s="1665" t="str">
        <f>HYPERLINK(Valori[[#This Row],[MS_Link]],"")</f>
        <v></v>
      </c>
      <c r="T298" s="1665" t="str">
        <f>HYPERLINK(Valori[[#This Row],[C_source]],"")</f>
        <v></v>
      </c>
      <c r="U298" s="142" cm="1">
        <f t="array" aca="1" ref="U298" ca="1">OFFSET(POrigin,MATCH(Valori[[#This Row],[LUKB_id]],PID,0),MATCH("M_CUR",PLabel,0)-1,1,1)</f>
        <v>0</v>
      </c>
      <c r="V298" s="1562">
        <f ca="1">(Valori[[#This Row],[Last]]+Valori[[#This Row],[Acc. Int]])/Valori[[#This Row],[Pr.Amt]]/IF(Valori[[#This Row],[P_Type]]="Pct",100,1)</f>
        <v>0</v>
      </c>
      <c r="W298" s="1591" cm="1">
        <f t="array" aca="1" ref="W298" ca="1">OFFSET(POrigin,MATCH(Valori[[#This Row],[LUKB_id]],PID,0),MATCH("NC2_PR",PLabel,0)-1,1,1)/100</f>
        <v>0</v>
      </c>
      <c r="X298" s="1592" cm="1">
        <f t="array" aca="1" ref="X298" ca="1">OFFSET(POrigin,MATCH(Valori[[#This Row],[LUKB_id]],PID,0),MATCH("LVAL",PLabel,0)-1,1,1)</f>
        <v>0</v>
      </c>
      <c r="Y298" s="1593" cm="1">
        <f t="array" aca="1" ref="Y298" ca="1">OFFSET(POrigin,MATCH(Valori[[#This Row],[LUKB_id]],PID,0),MATCH("LVAL:datetime",PLabel,0)-1,1,1)</f>
        <v>0</v>
      </c>
      <c r="Z298" s="1594" cm="1">
        <f t="array" aca="1" ref="Z298" ca="1">OFFSET(POrigin,MATCH(Valori[[#This Row],[LUKB_id]],PID,0),MATCH("BID:volume",PLabel,0)-1,1,1)</f>
        <v>0</v>
      </c>
      <c r="AA298" s="1595" cm="1">
        <f t="array" aca="1" ref="AA298" ca="1">OFFSET(POrigin,MATCH(Valori[[#This Row],[LUKB_id]],PID,0),MATCH("BID",PLabel,0)-1,1,1)</f>
        <v>0</v>
      </c>
      <c r="AB298" s="1595" cm="1">
        <f t="array" aca="1" ref="AB298" ca="1">OFFSET(POrigin,MATCH(Valori[[#This Row],[LUKB_id]],PID,0),MATCH("ASK",PLabel,0)-1,1,1)</f>
        <v>0</v>
      </c>
      <c r="AC298" s="1594" cm="1">
        <f t="array" aca="1" ref="AC298" ca="1">OFFSET(POrigin,MATCH(Valori[[#This Row],[LUKB_id]],PID,0),MATCH("ASK:volume",PLabel,0)-1,1,1)</f>
        <v>0</v>
      </c>
      <c r="AD298" s="1596" cm="1">
        <f t="array" aca="1" ref="AD298" ca="1">OFFSET(POrigin,MATCH(Valori[[#This Row],[LUKB_id]],PID,0),MATCH("BID-ASK Spread %",PLabel,0)-1,1,1)</f>
        <v>0</v>
      </c>
      <c r="AE298" s="1597" t="str" cm="1">
        <f t="array" aca="1" ref="AE298" ca="1">IF(OFFSET(POrigin,MATCH(Valori[[#This Row],[LUKB_id]],PID,0),MATCH("MATURITY",PLabel,0)-1,1,1)&gt;0,OFFSET(POrigin,MATCH(Valori[[#This Row],[LUKB_id]],PID,0),MATCH("MATURITY",PLabel,0)-1,1,1),"")</f>
        <v/>
      </c>
      <c r="AF298" s="1598" cm="1">
        <f t="array" aca="1" ref="AF298" ca="1">OFFSET(POrigin,MATCH(Valori[[#This Row],[LUKB_id]],PID,0),MATCH("ACCINT",PLabel,0)-1,1,1)</f>
        <v>0</v>
      </c>
      <c r="AG298" s="1594" cm="1">
        <f t="array" aca="1" ref="AG298" ca="1">OFFSET(POrigin,MATCH(Valori[[#This Row],[LUKB_id]],PID,0),MATCH("DENOM",PLabel,0)-1,1,1)</f>
        <v>0</v>
      </c>
      <c r="AH298" s="1599" cm="1">
        <f t="array" aca="1" ref="AH298" ca="1">(OFFSET(POrigin,MATCH(Valori[[#This Row],[LUKB_id]],PID,0),MATCH("YIELD",PLabel,0)-1,1,1)+OFFSET(POrigin,MATCH(Valori[[#This Row],[LUKB_id]],PID,0),MATCH("YLDEQ",PLabel,0)-1,1,1))/100</f>
        <v>0</v>
      </c>
      <c r="AI298" s="1600">
        <f ca="1">OFFSET(POrigin,MATCH(Valori[[#This Row],[LUKB_id]],PID,0),MATCH("DIVIDEND",PLabel,0)-1,1,1)</f>
        <v>0</v>
      </c>
      <c r="AJ298" s="1601">
        <f ca="1">OFFSET(POrigin,MATCH(Valori[[#This Row],[LUKB_id]],PID,0),MATCH("DIVIDEND:datetime",PLabel,0)-1,1,1)</f>
        <v>0</v>
      </c>
      <c r="AK298" s="1602">
        <f ca="1">OFFSET(POrigin,MATCH(Valori[[#This Row],[LUKB_id]],PID,0),MATCH("INTEREST",PLabel,0)-1,1,1)</f>
        <v>0</v>
      </c>
      <c r="AL298" s="1603">
        <f ca="1">OFFSET(POrigin,MATCH(Valori[[#This Row],[LUKB_id]],PID,0),MATCH("4W_PERF_PR",PLabel,0)-1,1,1)/100</f>
        <v>0</v>
      </c>
      <c r="AM298" s="1603">
        <f ca="1">OFFSET(POrigin,MATCH(Valori[[#This Row],[LUKB_id]],PID,0),MATCH("12W_PERF_PR",PLabel,0)-1,1,1)/100</f>
        <v>0</v>
      </c>
      <c r="AN298" s="1603">
        <f ca="1">OFFSET(POrigin,MATCH(Valori[[#This Row],[LUKB_id]],PID,0),MATCH("YTD_PERF_PR",PLabel,0)-1,1,1)/100</f>
        <v>0</v>
      </c>
      <c r="AO298" s="1591"/>
      <c r="AP298" s="1591"/>
      <c r="AQ298" s="1591"/>
      <c r="AR298" s="1591"/>
      <c r="AS298" s="1890"/>
      <c r="AT298" s="1890"/>
      <c r="AU298" s="610"/>
      <c r="AV298" s="1891"/>
      <c r="AW298" s="1604" t="str">
        <f ca="1">"https://boersenundmaerkte.lukb.ch/lukb/details/"&amp;Valori[[#This Row],[LUKB_id]]</f>
        <v>https://boersenundmaerkte.lukb.ch/lukb/details/28185175,2779,333</v>
      </c>
      <c r="AX298"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8" s="142"/>
      <c r="AZ298" s="142"/>
      <c r="BA298" s="142"/>
      <c r="BB298" s="142"/>
    </row>
    <row r="299" spans="1:54" ht="15" customHeight="1" x14ac:dyDescent="0.2">
      <c r="A299" s="142" t="s">
        <v>1754</v>
      </c>
      <c r="B299" s="142" t="str" cm="1">
        <f t="array" aca="1" ref="B299" ca="1">OFFSET(POrigin,MATCH(Valori[[#This Row],[smo_id]],Posizioni[smo_id],0),MATCH("LUKB_id",PIntestazioni,0)-1,1,1)</f>
        <v>47922206,4,1</v>
      </c>
      <c r="C299" s="1668" t="str">
        <f ca="1">HYPERLINK("https://boersenundmaerkte.lukb.ch/lukb/details/"&amp;Valori[[#This Row],[LUKB_id]],"è")</f>
        <v>è</v>
      </c>
      <c r="D299" s="142" t="str" cm="1">
        <f t="array" aca="1" ref="D299" ca="1">OFFSET(POrigin,MATCH(Valori[[#This Row],[LUKB_id]],PID,0),MATCH("SC_GROUPED",PIntestazioni,0)-1,1,1)</f>
        <v>DIV</v>
      </c>
      <c r="E299" s="413" cm="1">
        <f t="array" aca="1" ref="E299" ca="1">OFFSET(POrigin,MATCH(Valori[[#This Row],[LUKB_id]],PID,0),MATCH("isin",PIntestazioni,0)-1,1,1)</f>
        <v>0</v>
      </c>
      <c r="F299" s="34" cm="1">
        <f t="array" aca="1" ref="F299" ca="1">OFFSET(POrigin,MATCH(Valori[[#This Row],[LUKB_id]],PID,0),MATCH("NSIN_CH",PLabel,0)-1,1,1)</f>
        <v>0</v>
      </c>
      <c r="G299" s="95" t="str" cm="1">
        <f t="array" aca="1" ref="G299" ca="1">IF(OFFSET(POrigin,MATCH(Valori[[#This Row],[LUKB_id]],PID,0),MATCH("INSTRUNIT",PLabel,0)-1,1,1)="Nominal","Pct","Unit")</f>
        <v>Unit</v>
      </c>
      <c r="H299" s="612">
        <f ca="1">MAX(OFFSET(POrigin,MATCH(Valori[[#This Row],[LUKB_id]],PID,0),MATCH("PRICINGAMT",PLabel,0)-1,1,1),1)</f>
        <v>1</v>
      </c>
      <c r="I299" s="615" cm="1">
        <f t="array" aca="1" ref="I299" ca="1">OFFSET(POrigin,MATCH(Valori[[#This Row],[LUKB_id]],PID,0),MATCH("M_NAME",PLabel,0)-1,1,1)</f>
        <v>0</v>
      </c>
      <c r="M299" s="142" cm="1">
        <f t="array" aca="1" ref="M2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9" s="1563">
        <f ca="1">COUNTIF('CHF M'!smo_id,Valori[[#This Row],[smo_id]])+COUNTIF('CHF MA'!smo_id,Valori[[#This Row],[smo_id]])+COUNTIF('EUR MB'!smo_id,Valori[[#This Row],[smo_id]])+COUNTIF('EUR M'!smo_id,Valori[[#This Row],[smo_id]])+COUNTIF(AGCO!smo_id,Valori[[#This Row],[smo_id]])</f>
        <v>0</v>
      </c>
      <c r="O299" s="1590" cm="1">
        <f t="array" aca="1" ref="O299" ca="1">SUM(IF('CHF M'!smo_id=Valori[[#This Row],[smo_id]],'CHF M'!Posizione))+SUM(IF('CHF MA'!smo_id=Valori[[#This Row],[smo_id]],'CHF MA'!Posizione))+SUM(IF('EUR MB'!smo_id=Valori[[#This Row],[smo_id]],'EUR MB'!Posizione))+SUM(IF('EUR M'!smo_id=Valori[[#This Row],[smo_id]],'EUR M'!Posizione))+SUM(IF(AGCO!smo_id=Valori[[#This Row],[smo_id]],AGCO!Posizione))</f>
        <v>0</v>
      </c>
      <c r="P299" s="1661" t="str">
        <f ca="1">HYPERLINK(Valori[[#This Row],[P_Source]],"è")</f>
        <v>è</v>
      </c>
      <c r="Q299" s="1663" t="str">
        <f>HYPERLINK(Valori[[#This Row],[Info_W]],"i")</f>
        <v>i</v>
      </c>
      <c r="R299" s="1664" t="str">
        <f>HYPERLINK(Valori[[#This Row],[FN_W]],"")</f>
        <v></v>
      </c>
      <c r="S299" s="1665" t="str">
        <f>HYPERLINK(Valori[[#This Row],[MS_Link]],"")</f>
        <v></v>
      </c>
      <c r="T299" s="1665" t="str">
        <f>HYPERLINK(Valori[[#This Row],[C_source]],"")</f>
        <v></v>
      </c>
      <c r="U299" s="142" cm="1">
        <f t="array" aca="1" ref="U299" ca="1">OFFSET(POrigin,MATCH(Valori[[#This Row],[LUKB_id]],PID,0),MATCH("M_CUR",PLabel,0)-1,1,1)</f>
        <v>0</v>
      </c>
      <c r="V299" s="1562">
        <f ca="1">(Valori[[#This Row],[Last]]+Valori[[#This Row],[Acc. Int]])/Valori[[#This Row],[Pr.Amt]]/IF(Valori[[#This Row],[P_Type]]="Pct",100,1)</f>
        <v>0</v>
      </c>
      <c r="W299" s="1591" cm="1">
        <f t="array" aca="1" ref="W299" ca="1">OFFSET(POrigin,MATCH(Valori[[#This Row],[LUKB_id]],PID,0),MATCH("NC2_PR",PLabel,0)-1,1,1)/100</f>
        <v>0</v>
      </c>
      <c r="X299" s="1592" cm="1">
        <f t="array" aca="1" ref="X299" ca="1">OFFSET(POrigin,MATCH(Valori[[#This Row],[LUKB_id]],PID,0),MATCH("LVAL",PLabel,0)-1,1,1)</f>
        <v>0</v>
      </c>
      <c r="Y299" s="1593" cm="1">
        <f t="array" aca="1" ref="Y299" ca="1">OFFSET(POrigin,MATCH(Valori[[#This Row],[LUKB_id]],PID,0),MATCH("LVAL:datetime",PLabel,0)-1,1,1)</f>
        <v>0</v>
      </c>
      <c r="Z299" s="1594" cm="1">
        <f t="array" aca="1" ref="Z299" ca="1">OFFSET(POrigin,MATCH(Valori[[#This Row],[LUKB_id]],PID,0),MATCH("BID:volume",PLabel,0)-1,1,1)</f>
        <v>0</v>
      </c>
      <c r="AA299" s="1595" cm="1">
        <f t="array" aca="1" ref="AA299" ca="1">OFFSET(POrigin,MATCH(Valori[[#This Row],[LUKB_id]],PID,0),MATCH("BID",PLabel,0)-1,1,1)</f>
        <v>0</v>
      </c>
      <c r="AB299" s="1595" cm="1">
        <f t="array" aca="1" ref="AB299" ca="1">OFFSET(POrigin,MATCH(Valori[[#This Row],[LUKB_id]],PID,0),MATCH("ASK",PLabel,0)-1,1,1)</f>
        <v>0</v>
      </c>
      <c r="AC299" s="1594" cm="1">
        <f t="array" aca="1" ref="AC299" ca="1">OFFSET(POrigin,MATCH(Valori[[#This Row],[LUKB_id]],PID,0),MATCH("ASK:volume",PLabel,0)-1,1,1)</f>
        <v>0</v>
      </c>
      <c r="AD299" s="1596" cm="1">
        <f t="array" aca="1" ref="AD299" ca="1">OFFSET(POrigin,MATCH(Valori[[#This Row],[LUKB_id]],PID,0),MATCH("BID-ASK Spread %",PLabel,0)-1,1,1)</f>
        <v>0</v>
      </c>
      <c r="AE299" s="1597" t="str" cm="1">
        <f t="array" aca="1" ref="AE299" ca="1">IF(OFFSET(POrigin,MATCH(Valori[[#This Row],[LUKB_id]],PID,0),MATCH("MATURITY",PLabel,0)-1,1,1)&gt;0,OFFSET(POrigin,MATCH(Valori[[#This Row],[LUKB_id]],PID,0),MATCH("MATURITY",PLabel,0)-1,1,1),"")</f>
        <v/>
      </c>
      <c r="AF299" s="1598" cm="1">
        <f t="array" aca="1" ref="AF299" ca="1">OFFSET(POrigin,MATCH(Valori[[#This Row],[LUKB_id]],PID,0),MATCH("ACCINT",PLabel,0)-1,1,1)</f>
        <v>0</v>
      </c>
      <c r="AG299" s="1594" cm="1">
        <f t="array" aca="1" ref="AG299" ca="1">OFFSET(POrigin,MATCH(Valori[[#This Row],[LUKB_id]],PID,0),MATCH("DENOM",PLabel,0)-1,1,1)</f>
        <v>0</v>
      </c>
      <c r="AH299" s="1599" cm="1">
        <f t="array" aca="1" ref="AH299" ca="1">(OFFSET(POrigin,MATCH(Valori[[#This Row],[LUKB_id]],PID,0),MATCH("YIELD",PLabel,0)-1,1,1)+OFFSET(POrigin,MATCH(Valori[[#This Row],[LUKB_id]],PID,0),MATCH("YLDEQ",PLabel,0)-1,1,1))/100</f>
        <v>0</v>
      </c>
      <c r="AI299" s="1600">
        <f ca="1">OFFSET(POrigin,MATCH(Valori[[#This Row],[LUKB_id]],PID,0),MATCH("DIVIDEND",PLabel,0)-1,1,1)</f>
        <v>0</v>
      </c>
      <c r="AJ299" s="1601">
        <f ca="1">OFFSET(POrigin,MATCH(Valori[[#This Row],[LUKB_id]],PID,0),MATCH("DIVIDEND:datetime",PLabel,0)-1,1,1)</f>
        <v>0</v>
      </c>
      <c r="AK299" s="1602">
        <f ca="1">OFFSET(POrigin,MATCH(Valori[[#This Row],[LUKB_id]],PID,0),MATCH("INTEREST",PLabel,0)-1,1,1)</f>
        <v>0</v>
      </c>
      <c r="AL299" s="1603">
        <f ca="1">OFFSET(POrigin,MATCH(Valori[[#This Row],[LUKB_id]],PID,0),MATCH("4W_PERF_PR",PLabel,0)-1,1,1)/100</f>
        <v>0</v>
      </c>
      <c r="AM299" s="1603">
        <f ca="1">OFFSET(POrigin,MATCH(Valori[[#This Row],[LUKB_id]],PID,0),MATCH("12W_PERF_PR",PLabel,0)-1,1,1)/100</f>
        <v>0</v>
      </c>
      <c r="AN299" s="1603">
        <f ca="1">OFFSET(POrigin,MATCH(Valori[[#This Row],[LUKB_id]],PID,0),MATCH("YTD_PERF_PR",PLabel,0)-1,1,1)/100</f>
        <v>0</v>
      </c>
      <c r="AO299" s="1591"/>
      <c r="AP299" s="1591"/>
      <c r="AQ299" s="1591"/>
      <c r="AR299" s="1591"/>
      <c r="AS299" s="1890"/>
      <c r="AT299" s="1890"/>
      <c r="AU299" s="610"/>
      <c r="AV299" s="1891"/>
      <c r="AW299" s="1604" t="str">
        <f ca="1">"https://boersenundmaerkte.lukb.ch/lukb/details/"&amp;Valori[[#This Row],[LUKB_id]]</f>
        <v>https://boersenundmaerkte.lukb.ch/lukb/details/47922206,4,1</v>
      </c>
      <c r="AX299"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9" s="142"/>
      <c r="AZ299" s="142"/>
      <c r="BA299" s="142"/>
      <c r="BB299" s="142"/>
    </row>
    <row r="300" spans="1:54" ht="15" customHeight="1" x14ac:dyDescent="0.2">
      <c r="A300" s="142" t="s">
        <v>1755</v>
      </c>
      <c r="B300" s="142" t="str" cm="1">
        <f t="array" aca="1" ref="B300" ca="1">OFFSET(POrigin,MATCH(Valori[[#This Row],[smo_id]],Posizioni[smo_id],0),MATCH("LUKB_id",PIntestazioni,0)-1,1,1)</f>
        <v>36082722,321,333</v>
      </c>
      <c r="C300" s="1668" t="str">
        <f ca="1">HYPERLINK("https://boersenundmaerkte.lukb.ch/lukb/details/"&amp;Valori[[#This Row],[LUKB_id]],"è")</f>
        <v>è</v>
      </c>
      <c r="D300" s="142" t="str" cm="1">
        <f t="array" aca="1" ref="D300" ca="1">OFFSET(POrigin,MATCH(Valori[[#This Row],[LUKB_id]],PID,0),MATCH("SC_GROUPED",PIntestazioni,0)-1,1,1)</f>
        <v>DIV</v>
      </c>
      <c r="E300" s="413" cm="1">
        <f t="array" aca="1" ref="E300" ca="1">OFFSET(POrigin,MATCH(Valori[[#This Row],[LUKB_id]],PID,0),MATCH("isin",PIntestazioni,0)-1,1,1)</f>
        <v>0</v>
      </c>
      <c r="F300" s="34" cm="1">
        <f t="array" aca="1" ref="F300" ca="1">OFFSET(POrigin,MATCH(Valori[[#This Row],[LUKB_id]],PID,0),MATCH("NSIN_CH",PLabel,0)-1,1,1)</f>
        <v>0</v>
      </c>
      <c r="G300" s="95" t="str" cm="1">
        <f t="array" aca="1" ref="G300" ca="1">IF(OFFSET(POrigin,MATCH(Valori[[#This Row],[LUKB_id]],PID,0),MATCH("INSTRUNIT",PLabel,0)-1,1,1)="Nominal","Pct","Unit")</f>
        <v>Unit</v>
      </c>
      <c r="H300" s="612">
        <f ca="1">MAX(OFFSET(POrigin,MATCH(Valori[[#This Row],[LUKB_id]],PID,0),MATCH("PRICINGAMT",PLabel,0)-1,1,1),1)</f>
        <v>1</v>
      </c>
      <c r="I300" s="615" cm="1">
        <f t="array" aca="1" ref="I300" ca="1">OFFSET(POrigin,MATCH(Valori[[#This Row],[LUKB_id]],PID,0),MATCH("M_NAME",PLabel,0)-1,1,1)</f>
        <v>0</v>
      </c>
      <c r="M300" s="142" cm="1">
        <f t="array" aca="1" ref="M3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0" s="1563">
        <f ca="1">COUNTIF('CHF M'!smo_id,Valori[[#This Row],[smo_id]])+COUNTIF('CHF MA'!smo_id,Valori[[#This Row],[smo_id]])+COUNTIF('EUR MB'!smo_id,Valori[[#This Row],[smo_id]])+COUNTIF('EUR M'!smo_id,Valori[[#This Row],[smo_id]])+COUNTIF(AGCO!smo_id,Valori[[#This Row],[smo_id]])</f>
        <v>0</v>
      </c>
      <c r="O300" s="1590" cm="1">
        <f t="array" aca="1" ref="O300" ca="1">SUM(IF('CHF M'!smo_id=Valori[[#This Row],[smo_id]],'CHF M'!Posizione))+SUM(IF('CHF MA'!smo_id=Valori[[#This Row],[smo_id]],'CHF MA'!Posizione))+SUM(IF('EUR MB'!smo_id=Valori[[#This Row],[smo_id]],'EUR MB'!Posizione))+SUM(IF('EUR M'!smo_id=Valori[[#This Row],[smo_id]],'EUR M'!Posizione))+SUM(IF(AGCO!smo_id=Valori[[#This Row],[smo_id]],AGCO!Posizione))</f>
        <v>0</v>
      </c>
      <c r="P300" s="1661" t="str">
        <f ca="1">HYPERLINK(Valori[[#This Row],[P_Source]],"è")</f>
        <v>è</v>
      </c>
      <c r="Q300" s="1663" t="str">
        <f>HYPERLINK(Valori[[#This Row],[Info_W]],"i")</f>
        <v>i</v>
      </c>
      <c r="R300" s="1664" t="str">
        <f>HYPERLINK(Valori[[#This Row],[FN_W]],"")</f>
        <v></v>
      </c>
      <c r="S300" s="1665" t="str">
        <f>HYPERLINK(Valori[[#This Row],[MS_Link]],"")</f>
        <v></v>
      </c>
      <c r="T300" s="1665" t="str">
        <f>HYPERLINK(Valori[[#This Row],[C_source]],"")</f>
        <v></v>
      </c>
      <c r="U300" s="142" cm="1">
        <f t="array" aca="1" ref="U300" ca="1">OFFSET(POrigin,MATCH(Valori[[#This Row],[LUKB_id]],PID,0),MATCH("M_CUR",PLabel,0)-1,1,1)</f>
        <v>0</v>
      </c>
      <c r="V300" s="1562">
        <f ca="1">(Valori[[#This Row],[Last]]+Valori[[#This Row],[Acc. Int]])/Valori[[#This Row],[Pr.Amt]]/IF(Valori[[#This Row],[P_Type]]="Pct",100,1)</f>
        <v>0</v>
      </c>
      <c r="W300" s="1591" cm="1">
        <f t="array" aca="1" ref="W300" ca="1">OFFSET(POrigin,MATCH(Valori[[#This Row],[LUKB_id]],PID,0),MATCH("NC2_PR",PLabel,0)-1,1,1)/100</f>
        <v>0</v>
      </c>
      <c r="X300" s="1592" cm="1">
        <f t="array" aca="1" ref="X300" ca="1">OFFSET(POrigin,MATCH(Valori[[#This Row],[LUKB_id]],PID,0),MATCH("LVAL",PLabel,0)-1,1,1)</f>
        <v>0</v>
      </c>
      <c r="Y300" s="1593" cm="1">
        <f t="array" aca="1" ref="Y300" ca="1">OFFSET(POrigin,MATCH(Valori[[#This Row],[LUKB_id]],PID,0),MATCH("LVAL:datetime",PLabel,0)-1,1,1)</f>
        <v>0</v>
      </c>
      <c r="Z300" s="1594" cm="1">
        <f t="array" aca="1" ref="Z300" ca="1">OFFSET(POrigin,MATCH(Valori[[#This Row],[LUKB_id]],PID,0),MATCH("BID:volume",PLabel,0)-1,1,1)</f>
        <v>0</v>
      </c>
      <c r="AA300" s="1595" cm="1">
        <f t="array" aca="1" ref="AA300" ca="1">OFFSET(POrigin,MATCH(Valori[[#This Row],[LUKB_id]],PID,0),MATCH("BID",PLabel,0)-1,1,1)</f>
        <v>0</v>
      </c>
      <c r="AB300" s="1595" cm="1">
        <f t="array" aca="1" ref="AB300" ca="1">OFFSET(POrigin,MATCH(Valori[[#This Row],[LUKB_id]],PID,0),MATCH("ASK",PLabel,0)-1,1,1)</f>
        <v>0</v>
      </c>
      <c r="AC300" s="1594" cm="1">
        <f t="array" aca="1" ref="AC300" ca="1">OFFSET(POrigin,MATCH(Valori[[#This Row],[LUKB_id]],PID,0),MATCH("ASK:volume",PLabel,0)-1,1,1)</f>
        <v>0</v>
      </c>
      <c r="AD300" s="1596" cm="1">
        <f t="array" aca="1" ref="AD300" ca="1">OFFSET(POrigin,MATCH(Valori[[#This Row],[LUKB_id]],PID,0),MATCH("BID-ASK Spread %",PLabel,0)-1,1,1)</f>
        <v>0</v>
      </c>
      <c r="AE300" s="1597" t="str" cm="1">
        <f t="array" aca="1" ref="AE300" ca="1">IF(OFFSET(POrigin,MATCH(Valori[[#This Row],[LUKB_id]],PID,0),MATCH("MATURITY",PLabel,0)-1,1,1)&gt;0,OFFSET(POrigin,MATCH(Valori[[#This Row],[LUKB_id]],PID,0),MATCH("MATURITY",PLabel,0)-1,1,1),"")</f>
        <v/>
      </c>
      <c r="AF300" s="1598" cm="1">
        <f t="array" aca="1" ref="AF300" ca="1">OFFSET(POrigin,MATCH(Valori[[#This Row],[LUKB_id]],PID,0),MATCH("ACCINT",PLabel,0)-1,1,1)</f>
        <v>0</v>
      </c>
      <c r="AG300" s="1594" cm="1">
        <f t="array" aca="1" ref="AG300" ca="1">OFFSET(POrigin,MATCH(Valori[[#This Row],[LUKB_id]],PID,0),MATCH("DENOM",PLabel,0)-1,1,1)</f>
        <v>0</v>
      </c>
      <c r="AH300" s="1599" cm="1">
        <f t="array" aca="1" ref="AH300" ca="1">(OFFSET(POrigin,MATCH(Valori[[#This Row],[LUKB_id]],PID,0),MATCH("YIELD",PLabel,0)-1,1,1)+OFFSET(POrigin,MATCH(Valori[[#This Row],[LUKB_id]],PID,0),MATCH("YLDEQ",PLabel,0)-1,1,1))/100</f>
        <v>0</v>
      </c>
      <c r="AI300" s="1600">
        <f ca="1">OFFSET(POrigin,MATCH(Valori[[#This Row],[LUKB_id]],PID,0),MATCH("DIVIDEND",PLabel,0)-1,1,1)</f>
        <v>0</v>
      </c>
      <c r="AJ300" s="1601">
        <f ca="1">OFFSET(POrigin,MATCH(Valori[[#This Row],[LUKB_id]],PID,0),MATCH("DIVIDEND:datetime",PLabel,0)-1,1,1)</f>
        <v>0</v>
      </c>
      <c r="AK300" s="1602">
        <f ca="1">OFFSET(POrigin,MATCH(Valori[[#This Row],[LUKB_id]],PID,0),MATCH("INTEREST",PLabel,0)-1,1,1)</f>
        <v>0</v>
      </c>
      <c r="AL300" s="1603">
        <f ca="1">OFFSET(POrigin,MATCH(Valori[[#This Row],[LUKB_id]],PID,0),MATCH("4W_PERF_PR",PLabel,0)-1,1,1)/100</f>
        <v>0</v>
      </c>
      <c r="AM300" s="1603">
        <f ca="1">OFFSET(POrigin,MATCH(Valori[[#This Row],[LUKB_id]],PID,0),MATCH("12W_PERF_PR",PLabel,0)-1,1,1)/100</f>
        <v>0</v>
      </c>
      <c r="AN300" s="1603">
        <f ca="1">OFFSET(POrigin,MATCH(Valori[[#This Row],[LUKB_id]],PID,0),MATCH("YTD_PERF_PR",PLabel,0)-1,1,1)/100</f>
        <v>0</v>
      </c>
      <c r="AO300" s="1591"/>
      <c r="AP300" s="1591"/>
      <c r="AQ300" s="1591"/>
      <c r="AR300" s="1591"/>
      <c r="AS300" s="1890"/>
      <c r="AT300" s="1890"/>
      <c r="AU300" s="610"/>
      <c r="AV300" s="1891"/>
      <c r="AW300" s="1604" t="str">
        <f ca="1">"https://boersenundmaerkte.lukb.ch/lukb/details/"&amp;Valori[[#This Row],[LUKB_id]]</f>
        <v>https://boersenundmaerkte.lukb.ch/lukb/details/36082722,321,333</v>
      </c>
      <c r="AX30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0" s="142"/>
      <c r="AZ300" s="142"/>
      <c r="BA300" s="142"/>
      <c r="BB300" s="142"/>
    </row>
    <row r="301" spans="1:54" ht="15" customHeight="1" x14ac:dyDescent="0.2">
      <c r="A301" s="142" t="s">
        <v>1756</v>
      </c>
      <c r="B301" s="142" t="str" cm="1">
        <f t="array" aca="1" ref="B301" ca="1">OFFSET(POrigin,MATCH(Valori[[#This Row],[smo_id]],Posizioni[smo_id],0),MATCH("LUKB_id",PIntestazioni,0)-1,1,1)</f>
        <v>4323836,4,1</v>
      </c>
      <c r="C301" s="1668" t="str">
        <f ca="1">HYPERLINK("https://boersenundmaerkte.lukb.ch/lukb/details/"&amp;Valori[[#This Row],[LUKB_id]],"è")</f>
        <v>è</v>
      </c>
      <c r="D301" s="142" t="str" cm="1">
        <f t="array" aca="1" ref="D301" ca="1">OFFSET(POrigin,MATCH(Valori[[#This Row],[LUKB_id]],PID,0),MATCH("SC_GROUPED",PIntestazioni,0)-1,1,1)</f>
        <v>DIV</v>
      </c>
      <c r="E301" s="413" cm="1">
        <f t="array" aca="1" ref="E301" ca="1">OFFSET(POrigin,MATCH(Valori[[#This Row],[LUKB_id]],PID,0),MATCH("isin",PIntestazioni,0)-1,1,1)</f>
        <v>0</v>
      </c>
      <c r="F301" s="34" cm="1">
        <f t="array" aca="1" ref="F301" ca="1">OFFSET(POrigin,MATCH(Valori[[#This Row],[LUKB_id]],PID,0),MATCH("NSIN_CH",PLabel,0)-1,1,1)</f>
        <v>0</v>
      </c>
      <c r="G301" s="95" t="str" cm="1">
        <f t="array" aca="1" ref="G301" ca="1">IF(OFFSET(POrigin,MATCH(Valori[[#This Row],[LUKB_id]],PID,0),MATCH("INSTRUNIT",PLabel,0)-1,1,1)="Nominal","Pct","Unit")</f>
        <v>Unit</v>
      </c>
      <c r="H301" s="612">
        <f ca="1">MAX(OFFSET(POrigin,MATCH(Valori[[#This Row],[LUKB_id]],PID,0),MATCH("PRICINGAMT",PLabel,0)-1,1,1),1)</f>
        <v>1</v>
      </c>
      <c r="I301" s="615" cm="1">
        <f t="array" aca="1" ref="I301" ca="1">OFFSET(POrigin,MATCH(Valori[[#This Row],[LUKB_id]],PID,0),MATCH("M_NAME",PLabel,0)-1,1,1)</f>
        <v>0</v>
      </c>
      <c r="M301" s="142" cm="1">
        <f t="array" aca="1" ref="M3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1" s="1563">
        <f ca="1">COUNTIF('CHF M'!smo_id,Valori[[#This Row],[smo_id]])+COUNTIF('CHF MA'!smo_id,Valori[[#This Row],[smo_id]])+COUNTIF('EUR MB'!smo_id,Valori[[#This Row],[smo_id]])+COUNTIF('EUR M'!smo_id,Valori[[#This Row],[smo_id]])+COUNTIF(AGCO!smo_id,Valori[[#This Row],[smo_id]])</f>
        <v>0</v>
      </c>
      <c r="O301" s="1590" cm="1">
        <f t="array" aca="1" ref="O301" ca="1">SUM(IF('CHF M'!smo_id=Valori[[#This Row],[smo_id]],'CHF M'!Posizione))+SUM(IF('CHF MA'!smo_id=Valori[[#This Row],[smo_id]],'CHF MA'!Posizione))+SUM(IF('EUR MB'!smo_id=Valori[[#This Row],[smo_id]],'EUR MB'!Posizione))+SUM(IF('EUR M'!smo_id=Valori[[#This Row],[smo_id]],'EUR M'!Posizione))+SUM(IF(AGCO!smo_id=Valori[[#This Row],[smo_id]],AGCO!Posizione))</f>
        <v>0</v>
      </c>
      <c r="P301" s="1661" t="str">
        <f ca="1">HYPERLINK(Valori[[#This Row],[P_Source]],"è")</f>
        <v>è</v>
      </c>
      <c r="Q301" s="1663" t="str">
        <f>HYPERLINK(Valori[[#This Row],[Info_W]],"i")</f>
        <v>i</v>
      </c>
      <c r="R301" s="1664" t="str">
        <f>HYPERLINK(Valori[[#This Row],[FN_W]],"")</f>
        <v></v>
      </c>
      <c r="S301" s="1665" t="str">
        <f>HYPERLINK(Valori[[#This Row],[MS_Link]],"")</f>
        <v></v>
      </c>
      <c r="T301" s="1665" t="str">
        <f>HYPERLINK(Valori[[#This Row],[C_source]],"")</f>
        <v></v>
      </c>
      <c r="U301" s="142" cm="1">
        <f t="array" aca="1" ref="U301" ca="1">OFFSET(POrigin,MATCH(Valori[[#This Row],[LUKB_id]],PID,0),MATCH("M_CUR",PLabel,0)-1,1,1)</f>
        <v>0</v>
      </c>
      <c r="V301" s="1562">
        <f ca="1">(Valori[[#This Row],[Last]]+Valori[[#This Row],[Acc. Int]])/Valori[[#This Row],[Pr.Amt]]/IF(Valori[[#This Row],[P_Type]]="Pct",100,1)</f>
        <v>0</v>
      </c>
      <c r="W301" s="1591" cm="1">
        <f t="array" aca="1" ref="W301" ca="1">OFFSET(POrigin,MATCH(Valori[[#This Row],[LUKB_id]],PID,0),MATCH("NC2_PR",PLabel,0)-1,1,1)/100</f>
        <v>0</v>
      </c>
      <c r="X301" s="1592" cm="1">
        <f t="array" aca="1" ref="X301" ca="1">OFFSET(POrigin,MATCH(Valori[[#This Row],[LUKB_id]],PID,0),MATCH("LVAL",PLabel,0)-1,1,1)</f>
        <v>0</v>
      </c>
      <c r="Y301" s="1593" cm="1">
        <f t="array" aca="1" ref="Y301" ca="1">OFFSET(POrigin,MATCH(Valori[[#This Row],[LUKB_id]],PID,0),MATCH("LVAL:datetime",PLabel,0)-1,1,1)</f>
        <v>0</v>
      </c>
      <c r="Z301" s="1594" cm="1">
        <f t="array" aca="1" ref="Z301" ca="1">OFFSET(POrigin,MATCH(Valori[[#This Row],[LUKB_id]],PID,0),MATCH("BID:volume",PLabel,0)-1,1,1)</f>
        <v>0</v>
      </c>
      <c r="AA301" s="1595" cm="1">
        <f t="array" aca="1" ref="AA301" ca="1">OFFSET(POrigin,MATCH(Valori[[#This Row],[LUKB_id]],PID,0),MATCH("BID",PLabel,0)-1,1,1)</f>
        <v>0</v>
      </c>
      <c r="AB301" s="1595" cm="1">
        <f t="array" aca="1" ref="AB301" ca="1">OFFSET(POrigin,MATCH(Valori[[#This Row],[LUKB_id]],PID,0),MATCH("ASK",PLabel,0)-1,1,1)</f>
        <v>0</v>
      </c>
      <c r="AC301" s="1594" cm="1">
        <f t="array" aca="1" ref="AC301" ca="1">OFFSET(POrigin,MATCH(Valori[[#This Row],[LUKB_id]],PID,0),MATCH("ASK:volume",PLabel,0)-1,1,1)</f>
        <v>0</v>
      </c>
      <c r="AD301" s="1596" cm="1">
        <f t="array" aca="1" ref="AD301" ca="1">OFFSET(POrigin,MATCH(Valori[[#This Row],[LUKB_id]],PID,0),MATCH("BID-ASK Spread %",PLabel,0)-1,1,1)</f>
        <v>0</v>
      </c>
      <c r="AE301" s="1597" t="str" cm="1">
        <f t="array" aca="1" ref="AE301" ca="1">IF(OFFSET(POrigin,MATCH(Valori[[#This Row],[LUKB_id]],PID,0),MATCH("MATURITY",PLabel,0)-1,1,1)&gt;0,OFFSET(POrigin,MATCH(Valori[[#This Row],[LUKB_id]],PID,0),MATCH("MATURITY",PLabel,0)-1,1,1),"")</f>
        <v/>
      </c>
      <c r="AF301" s="1598" cm="1">
        <f t="array" aca="1" ref="AF301" ca="1">OFFSET(POrigin,MATCH(Valori[[#This Row],[LUKB_id]],PID,0),MATCH("ACCINT",PLabel,0)-1,1,1)</f>
        <v>0</v>
      </c>
      <c r="AG301" s="1594" cm="1">
        <f t="array" aca="1" ref="AG301" ca="1">OFFSET(POrigin,MATCH(Valori[[#This Row],[LUKB_id]],PID,0),MATCH("DENOM",PLabel,0)-1,1,1)</f>
        <v>0</v>
      </c>
      <c r="AH301" s="1599" cm="1">
        <f t="array" aca="1" ref="AH301" ca="1">(OFFSET(POrigin,MATCH(Valori[[#This Row],[LUKB_id]],PID,0),MATCH("YIELD",PLabel,0)-1,1,1)+OFFSET(POrigin,MATCH(Valori[[#This Row],[LUKB_id]],PID,0),MATCH("YLDEQ",PLabel,0)-1,1,1))/100</f>
        <v>0</v>
      </c>
      <c r="AI301" s="1600">
        <f ca="1">OFFSET(POrigin,MATCH(Valori[[#This Row],[LUKB_id]],PID,0),MATCH("DIVIDEND",PLabel,0)-1,1,1)</f>
        <v>0</v>
      </c>
      <c r="AJ301" s="1601">
        <f ca="1">OFFSET(POrigin,MATCH(Valori[[#This Row],[LUKB_id]],PID,0),MATCH("DIVIDEND:datetime",PLabel,0)-1,1,1)</f>
        <v>0</v>
      </c>
      <c r="AK301" s="1602">
        <f ca="1">OFFSET(POrigin,MATCH(Valori[[#This Row],[LUKB_id]],PID,0),MATCH("INTEREST",PLabel,0)-1,1,1)</f>
        <v>0</v>
      </c>
      <c r="AL301" s="1603">
        <f ca="1">OFFSET(POrigin,MATCH(Valori[[#This Row],[LUKB_id]],PID,0),MATCH("4W_PERF_PR",PLabel,0)-1,1,1)/100</f>
        <v>0</v>
      </c>
      <c r="AM301" s="1603">
        <f ca="1">OFFSET(POrigin,MATCH(Valori[[#This Row],[LUKB_id]],PID,0),MATCH("12W_PERF_PR",PLabel,0)-1,1,1)/100</f>
        <v>0</v>
      </c>
      <c r="AN301" s="1603">
        <f ca="1">OFFSET(POrigin,MATCH(Valori[[#This Row],[LUKB_id]],PID,0),MATCH("YTD_PERF_PR",PLabel,0)-1,1,1)/100</f>
        <v>0</v>
      </c>
      <c r="AO301" s="1591"/>
      <c r="AP301" s="1591"/>
      <c r="AQ301" s="1591"/>
      <c r="AR301" s="1591"/>
      <c r="AS301" s="1890"/>
      <c r="AT301" s="1890"/>
      <c r="AU301" s="610"/>
      <c r="AV301" s="1891"/>
      <c r="AW301" s="1604" t="str">
        <f ca="1">"https://boersenundmaerkte.lukb.ch/lukb/details/"&amp;Valori[[#This Row],[LUKB_id]]</f>
        <v>https://boersenundmaerkte.lukb.ch/lukb/details/4323836,4,1</v>
      </c>
      <c r="AX30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1" s="142"/>
      <c r="AZ301" s="142"/>
      <c r="BA301" s="142"/>
      <c r="BB301" s="142"/>
    </row>
    <row r="302" spans="1:54" ht="15" customHeight="1" x14ac:dyDescent="0.2">
      <c r="A302" s="142" t="s">
        <v>1757</v>
      </c>
      <c r="B302" s="142" t="str" cm="1">
        <f t="array" aca="1" ref="B302" ca="1">OFFSET(POrigin,MATCH(Valori[[#This Row],[smo_id]],Posizioni[smo_id],0),MATCH("LUKB_id",PIntestazioni,0)-1,1,1)</f>
        <v>26876733,1058,814</v>
      </c>
      <c r="C302" s="1668" t="str">
        <f ca="1">HYPERLINK("https://boersenundmaerkte.lukb.ch/lukb/details/"&amp;Valori[[#This Row],[LUKB_id]],"è")</f>
        <v>è</v>
      </c>
      <c r="D302" s="142" t="str" cm="1">
        <f t="array" aca="1" ref="D302" ca="1">OFFSET(POrigin,MATCH(Valori[[#This Row],[LUKB_id]],PID,0),MATCH("SC_GROUPED",PIntestazioni,0)-1,1,1)</f>
        <v>DIV</v>
      </c>
      <c r="E302" s="413" cm="1">
        <f t="array" aca="1" ref="E302" ca="1">OFFSET(POrigin,MATCH(Valori[[#This Row],[LUKB_id]],PID,0),MATCH("isin",PIntestazioni,0)-1,1,1)</f>
        <v>0</v>
      </c>
      <c r="F302" s="34" cm="1">
        <f t="array" aca="1" ref="F302" ca="1">OFFSET(POrigin,MATCH(Valori[[#This Row],[LUKB_id]],PID,0),MATCH("NSIN_CH",PLabel,0)-1,1,1)</f>
        <v>0</v>
      </c>
      <c r="G302" s="95" t="str" cm="1">
        <f t="array" aca="1" ref="G302" ca="1">IF(OFFSET(POrigin,MATCH(Valori[[#This Row],[LUKB_id]],PID,0),MATCH("INSTRUNIT",PLabel,0)-1,1,1)="Nominal","Pct","Unit")</f>
        <v>Unit</v>
      </c>
      <c r="H302" s="612">
        <f ca="1">MAX(OFFSET(POrigin,MATCH(Valori[[#This Row],[LUKB_id]],PID,0),MATCH("PRICINGAMT",PLabel,0)-1,1,1),1)</f>
        <v>1</v>
      </c>
      <c r="I302" s="615" cm="1">
        <f t="array" aca="1" ref="I302" ca="1">OFFSET(POrigin,MATCH(Valori[[#This Row],[LUKB_id]],PID,0),MATCH("M_NAME",PLabel,0)-1,1,1)</f>
        <v>0</v>
      </c>
      <c r="M302" s="142" cm="1">
        <f t="array" aca="1" ref="M3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2" s="1563">
        <f ca="1">COUNTIF('CHF M'!smo_id,Valori[[#This Row],[smo_id]])+COUNTIF('CHF MA'!smo_id,Valori[[#This Row],[smo_id]])+COUNTIF('EUR MB'!smo_id,Valori[[#This Row],[smo_id]])+COUNTIF('EUR M'!smo_id,Valori[[#This Row],[smo_id]])+COUNTIF(AGCO!smo_id,Valori[[#This Row],[smo_id]])</f>
        <v>0</v>
      </c>
      <c r="O302" s="1590" cm="1">
        <f t="array" aca="1" ref="O302" ca="1">SUM(IF('CHF M'!smo_id=Valori[[#This Row],[smo_id]],'CHF M'!Posizione))+SUM(IF('CHF MA'!smo_id=Valori[[#This Row],[smo_id]],'CHF MA'!Posizione))+SUM(IF('EUR MB'!smo_id=Valori[[#This Row],[smo_id]],'EUR MB'!Posizione))+SUM(IF('EUR M'!smo_id=Valori[[#This Row],[smo_id]],'EUR M'!Posizione))+SUM(IF(AGCO!smo_id=Valori[[#This Row],[smo_id]],AGCO!Posizione))</f>
        <v>0</v>
      </c>
      <c r="P302" s="1661" t="str">
        <f ca="1">HYPERLINK(Valori[[#This Row],[P_Source]],"è")</f>
        <v>è</v>
      </c>
      <c r="Q302" s="1663" t="str">
        <f>HYPERLINK(Valori[[#This Row],[Info_W]],"i")</f>
        <v>i</v>
      </c>
      <c r="R302" s="1664" t="str">
        <f>HYPERLINK(Valori[[#This Row],[FN_W]],"")</f>
        <v></v>
      </c>
      <c r="S302" s="1665" t="str">
        <f>HYPERLINK(Valori[[#This Row],[MS_Link]],"")</f>
        <v></v>
      </c>
      <c r="T302" s="1665" t="str">
        <f>HYPERLINK(Valori[[#This Row],[C_source]],"")</f>
        <v></v>
      </c>
      <c r="U302" s="142" cm="1">
        <f t="array" aca="1" ref="U302" ca="1">OFFSET(POrigin,MATCH(Valori[[#This Row],[LUKB_id]],PID,0),MATCH("M_CUR",PLabel,0)-1,1,1)</f>
        <v>0</v>
      </c>
      <c r="V302" s="1562">
        <f ca="1">(Valori[[#This Row],[Last]]+Valori[[#This Row],[Acc. Int]])/Valori[[#This Row],[Pr.Amt]]/IF(Valori[[#This Row],[P_Type]]="Pct",100,1)</f>
        <v>0</v>
      </c>
      <c r="W302" s="1591" cm="1">
        <f t="array" aca="1" ref="W302" ca="1">OFFSET(POrigin,MATCH(Valori[[#This Row],[LUKB_id]],PID,0),MATCH("NC2_PR",PLabel,0)-1,1,1)/100</f>
        <v>0</v>
      </c>
      <c r="X302" s="1592" cm="1">
        <f t="array" aca="1" ref="X302" ca="1">OFFSET(POrigin,MATCH(Valori[[#This Row],[LUKB_id]],PID,0),MATCH("LVAL",PLabel,0)-1,1,1)</f>
        <v>0</v>
      </c>
      <c r="Y302" s="1593" cm="1">
        <f t="array" aca="1" ref="Y302" ca="1">OFFSET(POrigin,MATCH(Valori[[#This Row],[LUKB_id]],PID,0),MATCH("LVAL:datetime",PLabel,0)-1,1,1)</f>
        <v>0</v>
      </c>
      <c r="Z302" s="1594" cm="1">
        <f t="array" aca="1" ref="Z302" ca="1">OFFSET(POrigin,MATCH(Valori[[#This Row],[LUKB_id]],PID,0),MATCH("BID:volume",PLabel,0)-1,1,1)</f>
        <v>0</v>
      </c>
      <c r="AA302" s="1595" cm="1">
        <f t="array" aca="1" ref="AA302" ca="1">OFFSET(POrigin,MATCH(Valori[[#This Row],[LUKB_id]],PID,0),MATCH("BID",PLabel,0)-1,1,1)</f>
        <v>0</v>
      </c>
      <c r="AB302" s="1595" cm="1">
        <f t="array" aca="1" ref="AB302" ca="1">OFFSET(POrigin,MATCH(Valori[[#This Row],[LUKB_id]],PID,0),MATCH("ASK",PLabel,0)-1,1,1)</f>
        <v>0</v>
      </c>
      <c r="AC302" s="1594" cm="1">
        <f t="array" aca="1" ref="AC302" ca="1">OFFSET(POrigin,MATCH(Valori[[#This Row],[LUKB_id]],PID,0),MATCH("ASK:volume",PLabel,0)-1,1,1)</f>
        <v>0</v>
      </c>
      <c r="AD302" s="1596" cm="1">
        <f t="array" aca="1" ref="AD302" ca="1">OFFSET(POrigin,MATCH(Valori[[#This Row],[LUKB_id]],PID,0),MATCH("BID-ASK Spread %",PLabel,0)-1,1,1)</f>
        <v>0</v>
      </c>
      <c r="AE302" s="1597" t="str" cm="1">
        <f t="array" aca="1" ref="AE302" ca="1">IF(OFFSET(POrigin,MATCH(Valori[[#This Row],[LUKB_id]],PID,0),MATCH("MATURITY",PLabel,0)-1,1,1)&gt;0,OFFSET(POrigin,MATCH(Valori[[#This Row],[LUKB_id]],PID,0),MATCH("MATURITY",PLabel,0)-1,1,1),"")</f>
        <v/>
      </c>
      <c r="AF302" s="1598" cm="1">
        <f t="array" aca="1" ref="AF302" ca="1">OFFSET(POrigin,MATCH(Valori[[#This Row],[LUKB_id]],PID,0),MATCH("ACCINT",PLabel,0)-1,1,1)</f>
        <v>0</v>
      </c>
      <c r="AG302" s="1594" cm="1">
        <f t="array" aca="1" ref="AG302" ca="1">OFFSET(POrigin,MATCH(Valori[[#This Row],[LUKB_id]],PID,0),MATCH("DENOM",PLabel,0)-1,1,1)</f>
        <v>0</v>
      </c>
      <c r="AH302" s="1599" cm="1">
        <f t="array" aca="1" ref="AH302" ca="1">(OFFSET(POrigin,MATCH(Valori[[#This Row],[LUKB_id]],PID,0),MATCH("YIELD",PLabel,0)-1,1,1)+OFFSET(POrigin,MATCH(Valori[[#This Row],[LUKB_id]],PID,0),MATCH("YLDEQ",PLabel,0)-1,1,1))/100</f>
        <v>0</v>
      </c>
      <c r="AI302" s="1600">
        <f ca="1">OFFSET(POrigin,MATCH(Valori[[#This Row],[LUKB_id]],PID,0),MATCH("DIVIDEND",PLabel,0)-1,1,1)</f>
        <v>0</v>
      </c>
      <c r="AJ302" s="1601">
        <f ca="1">OFFSET(POrigin,MATCH(Valori[[#This Row],[LUKB_id]],PID,0),MATCH("DIVIDEND:datetime",PLabel,0)-1,1,1)</f>
        <v>0</v>
      </c>
      <c r="AK302" s="1602">
        <f ca="1">OFFSET(POrigin,MATCH(Valori[[#This Row],[LUKB_id]],PID,0),MATCH("INTEREST",PLabel,0)-1,1,1)</f>
        <v>0</v>
      </c>
      <c r="AL302" s="1603">
        <f ca="1">OFFSET(POrigin,MATCH(Valori[[#This Row],[LUKB_id]],PID,0),MATCH("4W_PERF_PR",PLabel,0)-1,1,1)/100</f>
        <v>0</v>
      </c>
      <c r="AM302" s="1603">
        <f ca="1">OFFSET(POrigin,MATCH(Valori[[#This Row],[LUKB_id]],PID,0),MATCH("12W_PERF_PR",PLabel,0)-1,1,1)/100</f>
        <v>0</v>
      </c>
      <c r="AN302" s="1603">
        <f ca="1">OFFSET(POrigin,MATCH(Valori[[#This Row],[LUKB_id]],PID,0),MATCH("YTD_PERF_PR",PLabel,0)-1,1,1)/100</f>
        <v>0</v>
      </c>
      <c r="AO302" s="1591"/>
      <c r="AP302" s="1591"/>
      <c r="AQ302" s="1591"/>
      <c r="AR302" s="1591"/>
      <c r="AS302" s="1890"/>
      <c r="AT302" s="1890" t="s">
        <v>1758</v>
      </c>
      <c r="AU302" s="610" t="s">
        <v>1759</v>
      </c>
      <c r="AV302" s="1891"/>
      <c r="AW302" s="1604" t="str">
        <f ca="1">"https://boersenundmaerkte.lukb.ch/lukb/details/"&amp;Valori[[#This Row],[LUKB_id]]</f>
        <v>https://boersenundmaerkte.lukb.ch/lukb/details/26876733,1058,814</v>
      </c>
      <c r="AX302" s="1605" t="str">
        <f>"https://www.marketscreener.com/mods_a/charts/TV/inc_dyna_graph.php?c="&amp;Valori[[#This Row],[MS_Code]]&amp;"&amp;style=TradingView.CANDLES&amp;interval=(null)&amp;mobile=(null)&amp;showAT=1"</f>
        <v>https://www.marketscreener.com/mods_a/charts/TV/inc_dyna_graph.php?c=20798509&amp;style=TradingView.CANDLES&amp;interval=(null)&amp;mobile=(null)&amp;showAT=1</v>
      </c>
      <c r="AY302" s="142"/>
      <c r="AZ302" s="142"/>
      <c r="BA302" s="142"/>
      <c r="BB302" s="142"/>
    </row>
    <row r="303" spans="1:54" ht="15" customHeight="1" x14ac:dyDescent="0.2">
      <c r="A303" s="142" t="s">
        <v>1850</v>
      </c>
      <c r="B303" s="142" t="str" cm="1">
        <f t="array" aca="1" ref="B303" ca="1">OFFSET(POrigin,MATCH(Valori[[#This Row],[smo_id]],Posizioni[smo_id],0),MATCH("LUKB_id",PIntestazioni,0)-1,1,1)</f>
        <v>10712481,365,333</v>
      </c>
      <c r="C303" s="1668" t="str">
        <f ca="1">HYPERLINK("https://boersenundmaerkte.lukb.ch/lukb/details/"&amp;Valori[[#This Row],[LUKB_id]],"è")</f>
        <v>è</v>
      </c>
      <c r="D303" s="142" t="str" cm="1">
        <f t="array" aca="1" ref="D303" ca="1">OFFSET(POrigin,MATCH(Valori[[#This Row],[LUKB_id]],PID,0),MATCH("SC_GROUPED",PIntestazioni,0)-1,1,1)</f>
        <v>DIV</v>
      </c>
      <c r="E303" s="413" cm="1">
        <f t="array" aca="1" ref="E303" ca="1">OFFSET(POrigin,MATCH(Valori[[#This Row],[LUKB_id]],PID,0),MATCH("isin",PIntestazioni,0)-1,1,1)</f>
        <v>0</v>
      </c>
      <c r="F303" s="34" cm="1">
        <f t="array" aca="1" ref="F303" ca="1">OFFSET(POrigin,MATCH(Valori[[#This Row],[LUKB_id]],PID,0),MATCH("NSIN_CH",PLabel,0)-1,1,1)</f>
        <v>0</v>
      </c>
      <c r="G303" s="95" t="str" cm="1">
        <f t="array" aca="1" ref="G303" ca="1">IF(OFFSET(POrigin,MATCH(Valori[[#This Row],[LUKB_id]],PID,0),MATCH("INSTRUNIT",PLabel,0)-1,1,1)="Nominal","Pct","Unit")</f>
        <v>Unit</v>
      </c>
      <c r="H303" s="612">
        <f ca="1">MAX(OFFSET(POrigin,MATCH(Valori[[#This Row],[LUKB_id]],PID,0),MATCH("PRICINGAMT",PLabel,0)-1,1,1),1)</f>
        <v>1</v>
      </c>
      <c r="I303" s="615" cm="1">
        <f t="array" aca="1" ref="I303" ca="1">OFFSET(POrigin,MATCH(Valori[[#This Row],[LUKB_id]],PID,0),MATCH("M_NAME",PLabel,0)-1,1,1)</f>
        <v>0</v>
      </c>
      <c r="M303" s="142" cm="1">
        <f t="array" aca="1" ref="M3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3" s="1563">
        <f ca="1">COUNTIF('CHF M'!smo_id,Valori[[#This Row],[smo_id]])+COUNTIF('CHF MA'!smo_id,Valori[[#This Row],[smo_id]])+COUNTIF('EUR MB'!smo_id,Valori[[#This Row],[smo_id]])+COUNTIF('EUR M'!smo_id,Valori[[#This Row],[smo_id]])+COUNTIF(AGCO!smo_id,Valori[[#This Row],[smo_id]])</f>
        <v>0</v>
      </c>
      <c r="O303" s="1590" cm="1">
        <f t="array" aca="1" ref="O303" ca="1">SUM(IF('CHF M'!smo_id=Valori[[#This Row],[smo_id]],'CHF M'!Posizione))+SUM(IF('CHF MA'!smo_id=Valori[[#This Row],[smo_id]],'CHF MA'!Posizione))+SUM(IF('EUR MB'!smo_id=Valori[[#This Row],[smo_id]],'EUR MB'!Posizione))+SUM(IF('EUR M'!smo_id=Valori[[#This Row],[smo_id]],'EUR M'!Posizione))+SUM(IF(AGCO!smo_id=Valori[[#This Row],[smo_id]],AGCO!Posizione))</f>
        <v>0</v>
      </c>
      <c r="P303" s="1661" t="str">
        <f ca="1">HYPERLINK(Valori[[#This Row],[P_Source]],"è")</f>
        <v>è</v>
      </c>
      <c r="Q303" s="1663" t="str">
        <f>HYPERLINK(Valori[[#This Row],[Info_W]],"i")</f>
        <v>i</v>
      </c>
      <c r="R303" s="1664" t="str">
        <f>HYPERLINK(Valori[[#This Row],[FN_W]],"")</f>
        <v></v>
      </c>
      <c r="S303" s="1665" t="str">
        <f>HYPERLINK(Valori[[#This Row],[MS_Link]],"")</f>
        <v></v>
      </c>
      <c r="T303" s="1665" t="str">
        <f>HYPERLINK(Valori[[#This Row],[C_source]],"")</f>
        <v></v>
      </c>
      <c r="U303" s="142" cm="1">
        <f t="array" aca="1" ref="U303" ca="1">OFFSET(POrigin,MATCH(Valori[[#This Row],[LUKB_id]],PID,0),MATCH("M_CUR",PLabel,0)-1,1,1)</f>
        <v>0</v>
      </c>
      <c r="V303" s="1562">
        <f ca="1">(Valori[[#This Row],[Last]]+Valori[[#This Row],[Acc. Int]])/Valori[[#This Row],[Pr.Amt]]/IF(Valori[[#This Row],[P_Type]]="Pct",100,1)</f>
        <v>0</v>
      </c>
      <c r="W303" s="1591" cm="1">
        <f t="array" aca="1" ref="W303" ca="1">OFFSET(POrigin,MATCH(Valori[[#This Row],[LUKB_id]],PID,0),MATCH("NC2_PR",PLabel,0)-1,1,1)/100</f>
        <v>0</v>
      </c>
      <c r="X303" s="1592" cm="1">
        <f t="array" aca="1" ref="X303" ca="1">OFFSET(POrigin,MATCH(Valori[[#This Row],[LUKB_id]],PID,0),MATCH("LVAL",PLabel,0)-1,1,1)</f>
        <v>0</v>
      </c>
      <c r="Y303" s="1593" cm="1">
        <f t="array" aca="1" ref="Y303" ca="1">OFFSET(POrigin,MATCH(Valori[[#This Row],[LUKB_id]],PID,0),MATCH("LVAL:datetime",PLabel,0)-1,1,1)</f>
        <v>0</v>
      </c>
      <c r="Z303" s="1594" cm="1">
        <f t="array" aca="1" ref="Z303" ca="1">OFFSET(POrigin,MATCH(Valori[[#This Row],[LUKB_id]],PID,0),MATCH("BID:volume",PLabel,0)-1,1,1)</f>
        <v>0</v>
      </c>
      <c r="AA303" s="1595" cm="1">
        <f t="array" aca="1" ref="AA303" ca="1">OFFSET(POrigin,MATCH(Valori[[#This Row],[LUKB_id]],PID,0),MATCH("BID",PLabel,0)-1,1,1)</f>
        <v>0</v>
      </c>
      <c r="AB303" s="1595" cm="1">
        <f t="array" aca="1" ref="AB303" ca="1">OFFSET(POrigin,MATCH(Valori[[#This Row],[LUKB_id]],PID,0),MATCH("ASK",PLabel,0)-1,1,1)</f>
        <v>0</v>
      </c>
      <c r="AC303" s="1594" cm="1">
        <f t="array" aca="1" ref="AC303" ca="1">OFFSET(POrigin,MATCH(Valori[[#This Row],[LUKB_id]],PID,0),MATCH("ASK:volume",PLabel,0)-1,1,1)</f>
        <v>0</v>
      </c>
      <c r="AD303" s="1596" cm="1">
        <f t="array" aca="1" ref="AD303" ca="1">OFFSET(POrigin,MATCH(Valori[[#This Row],[LUKB_id]],PID,0),MATCH("BID-ASK Spread %",PLabel,0)-1,1,1)</f>
        <v>0</v>
      </c>
      <c r="AE303" s="1597" t="str" cm="1">
        <f t="array" aca="1" ref="AE303" ca="1">IF(OFFSET(POrigin,MATCH(Valori[[#This Row],[LUKB_id]],PID,0),MATCH("MATURITY",PLabel,0)-1,1,1)&gt;0,OFFSET(POrigin,MATCH(Valori[[#This Row],[LUKB_id]],PID,0),MATCH("MATURITY",PLabel,0)-1,1,1),"")</f>
        <v/>
      </c>
      <c r="AF303" s="1598" cm="1">
        <f t="array" aca="1" ref="AF303" ca="1">OFFSET(POrigin,MATCH(Valori[[#This Row],[LUKB_id]],PID,0),MATCH("ACCINT",PLabel,0)-1,1,1)</f>
        <v>0</v>
      </c>
      <c r="AG303" s="1594" cm="1">
        <f t="array" aca="1" ref="AG303" ca="1">OFFSET(POrigin,MATCH(Valori[[#This Row],[LUKB_id]],PID,0),MATCH("DENOM",PLabel,0)-1,1,1)</f>
        <v>0</v>
      </c>
      <c r="AH303" s="1599" cm="1">
        <f t="array" aca="1" ref="AH303" ca="1">(OFFSET(POrigin,MATCH(Valori[[#This Row],[LUKB_id]],PID,0),MATCH("YIELD",PLabel,0)-1,1,1)+OFFSET(POrigin,MATCH(Valori[[#This Row],[LUKB_id]],PID,0),MATCH("YLDEQ",PLabel,0)-1,1,1))/100</f>
        <v>0</v>
      </c>
      <c r="AI303" s="1600">
        <f ca="1">OFFSET(POrigin,MATCH(Valori[[#This Row],[LUKB_id]],PID,0),MATCH("DIVIDEND",PLabel,0)-1,1,1)</f>
        <v>0</v>
      </c>
      <c r="AJ303" s="1601">
        <f ca="1">OFFSET(POrigin,MATCH(Valori[[#This Row],[LUKB_id]],PID,0),MATCH("DIVIDEND:datetime",PLabel,0)-1,1,1)</f>
        <v>0</v>
      </c>
      <c r="AK303" s="1602">
        <f ca="1">OFFSET(POrigin,MATCH(Valori[[#This Row],[LUKB_id]],PID,0),MATCH("INTEREST",PLabel,0)-1,1,1)</f>
        <v>0</v>
      </c>
      <c r="AL303" s="1603">
        <f ca="1">OFFSET(POrigin,MATCH(Valori[[#This Row],[LUKB_id]],PID,0),MATCH("4W_PERF_PR",PLabel,0)-1,1,1)/100</f>
        <v>0</v>
      </c>
      <c r="AM303" s="1603">
        <f ca="1">OFFSET(POrigin,MATCH(Valori[[#This Row],[LUKB_id]],PID,0),MATCH("12W_PERF_PR",PLabel,0)-1,1,1)/100</f>
        <v>0</v>
      </c>
      <c r="AN303" s="1603">
        <f ca="1">OFFSET(POrigin,MATCH(Valori[[#This Row],[LUKB_id]],PID,0),MATCH("YTD_PERF_PR",PLabel,0)-1,1,1)/100</f>
        <v>0</v>
      </c>
      <c r="AO303" s="1591"/>
      <c r="AP303" s="1591"/>
      <c r="AQ303" s="1591"/>
      <c r="AR303" s="1591"/>
      <c r="AS303" s="1890"/>
      <c r="AT303" s="1890"/>
      <c r="AU303" s="610"/>
      <c r="AV303" s="1891"/>
      <c r="AW303" s="1604" t="str">
        <f ca="1">"https://boersenundmaerkte.lukb.ch/lukb/details/"&amp;Valori[[#This Row],[LUKB_id]]</f>
        <v>https://boersenundmaerkte.lukb.ch/lukb/details/10712481,365,333</v>
      </c>
      <c r="AX30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3" s="142"/>
      <c r="AZ303" s="142"/>
      <c r="BA303" s="142"/>
      <c r="BB303" s="142"/>
    </row>
    <row r="304" spans="1:54" ht="15" customHeight="1" x14ac:dyDescent="0.2">
      <c r="A304" s="142" t="s">
        <v>1760</v>
      </c>
      <c r="B304" s="142" t="str" cm="1">
        <f t="array" aca="1" ref="B304" ca="1">OFFSET(POrigin,MATCH(Valori[[#This Row],[smo_id]],Posizioni[smo_id],0),MATCH("LUKB_id",PIntestazioni,0)-1,1,1)</f>
        <v>32071259,4,1</v>
      </c>
      <c r="C304" s="1668" t="str">
        <f ca="1">HYPERLINK("https://boersenundmaerkte.lukb.ch/lukb/details/"&amp;Valori[[#This Row],[LUKB_id]],"è")</f>
        <v>è</v>
      </c>
      <c r="D304" s="142" t="str" cm="1">
        <f t="array" aca="1" ref="D304" ca="1">OFFSET(POrigin,MATCH(Valori[[#This Row],[LUKB_id]],PID,0),MATCH("SC_GROUPED",PIntestazioni,0)-1,1,1)</f>
        <v>DIV</v>
      </c>
      <c r="E304" s="413" cm="1">
        <f t="array" aca="1" ref="E304" ca="1">OFFSET(POrigin,MATCH(Valori[[#This Row],[LUKB_id]],PID,0),MATCH("isin",PIntestazioni,0)-1,1,1)</f>
        <v>0</v>
      </c>
      <c r="F304" s="34" cm="1">
        <f t="array" aca="1" ref="F304" ca="1">OFFSET(POrigin,MATCH(Valori[[#This Row],[LUKB_id]],PID,0),MATCH("NSIN_CH",PLabel,0)-1,1,1)</f>
        <v>0</v>
      </c>
      <c r="G304" s="95" t="str" cm="1">
        <f t="array" aca="1" ref="G304" ca="1">IF(OFFSET(POrigin,MATCH(Valori[[#This Row],[LUKB_id]],PID,0),MATCH("INSTRUNIT",PLabel,0)-1,1,1)="Nominal","Pct","Unit")</f>
        <v>Unit</v>
      </c>
      <c r="H304" s="612">
        <f ca="1">MAX(OFFSET(POrigin,MATCH(Valori[[#This Row],[LUKB_id]],PID,0),MATCH("PRICINGAMT",PLabel,0)-1,1,1),1)</f>
        <v>1</v>
      </c>
      <c r="I304" s="615" cm="1">
        <f t="array" aca="1" ref="I304" ca="1">OFFSET(POrigin,MATCH(Valori[[#This Row],[LUKB_id]],PID,0),MATCH("M_NAME",PLabel,0)-1,1,1)</f>
        <v>0</v>
      </c>
      <c r="J304" s="142" t="s">
        <v>607</v>
      </c>
      <c r="M304" s="142" t="str" cm="1">
        <f t="array" aca="1" ref="M3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0.300% Raiffeisen Schweiz Genossenschaft 22.04.2025</v>
      </c>
      <c r="N304" s="1563">
        <f ca="1">COUNTIF('CHF M'!smo_id,Valori[[#This Row],[smo_id]])+COUNTIF('CHF MA'!smo_id,Valori[[#This Row],[smo_id]])+COUNTIF('EUR MB'!smo_id,Valori[[#This Row],[smo_id]])+COUNTIF('EUR M'!smo_id,Valori[[#This Row],[smo_id]])+COUNTIF(AGCO!smo_id,Valori[[#This Row],[smo_id]])</f>
        <v>0</v>
      </c>
      <c r="O304" s="1590" cm="1">
        <f t="array" aca="1" ref="O304" ca="1">SUM(IF('CHF M'!smo_id=Valori[[#This Row],[smo_id]],'CHF M'!Posizione))+SUM(IF('CHF MA'!smo_id=Valori[[#This Row],[smo_id]],'CHF MA'!Posizione))+SUM(IF('EUR MB'!smo_id=Valori[[#This Row],[smo_id]],'EUR MB'!Posizione))+SUM(IF('EUR M'!smo_id=Valori[[#This Row],[smo_id]],'EUR M'!Posizione))+SUM(IF(AGCO!smo_id=Valori[[#This Row],[smo_id]],AGCO!Posizione))</f>
        <v>0</v>
      </c>
      <c r="P304" s="1661" t="str">
        <f ca="1">HYPERLINK(Valori[[#This Row],[P_Source]],"è")</f>
        <v>è</v>
      </c>
      <c r="Q304" s="1663" t="str">
        <f>HYPERLINK(Valori[[#This Row],[Info_W]],"i")</f>
        <v>i</v>
      </c>
      <c r="R304" s="1664" t="str">
        <f>HYPERLINK(Valori[[#This Row],[FN_W]],"")</f>
        <v></v>
      </c>
      <c r="S304" s="1665" t="str">
        <f>HYPERLINK(Valori[[#This Row],[MS_Link]],"")</f>
        <v></v>
      </c>
      <c r="T304" s="1665" t="str">
        <f>HYPERLINK(Valori[[#This Row],[C_source]],"")</f>
        <v></v>
      </c>
      <c r="U304" s="142" cm="1">
        <f t="array" aca="1" ref="U304" ca="1">OFFSET(POrigin,MATCH(Valori[[#This Row],[LUKB_id]],PID,0),MATCH("M_CUR",PLabel,0)-1,1,1)</f>
        <v>0</v>
      </c>
      <c r="V304" s="1562">
        <f ca="1">(Valori[[#This Row],[Last]]+Valori[[#This Row],[Acc. Int]])/Valori[[#This Row],[Pr.Amt]]/IF(Valori[[#This Row],[P_Type]]="Pct",100,1)</f>
        <v>0</v>
      </c>
      <c r="W304" s="1591" cm="1">
        <f t="array" aca="1" ref="W304" ca="1">OFFSET(POrigin,MATCH(Valori[[#This Row],[LUKB_id]],PID,0),MATCH("NC2_PR",PLabel,0)-1,1,1)/100</f>
        <v>0</v>
      </c>
      <c r="X304" s="1592" cm="1">
        <f t="array" aca="1" ref="X304" ca="1">OFFSET(POrigin,MATCH(Valori[[#This Row],[LUKB_id]],PID,0),MATCH("LVAL",PLabel,0)-1,1,1)</f>
        <v>0</v>
      </c>
      <c r="Y304" s="1593" cm="1">
        <f t="array" aca="1" ref="Y304" ca="1">OFFSET(POrigin,MATCH(Valori[[#This Row],[LUKB_id]],PID,0),MATCH("LVAL:datetime",PLabel,0)-1,1,1)</f>
        <v>0</v>
      </c>
      <c r="Z304" s="1594" cm="1">
        <f t="array" aca="1" ref="Z304" ca="1">OFFSET(POrigin,MATCH(Valori[[#This Row],[LUKB_id]],PID,0),MATCH("BID:volume",PLabel,0)-1,1,1)</f>
        <v>0</v>
      </c>
      <c r="AA304" s="1595" cm="1">
        <f t="array" aca="1" ref="AA304" ca="1">OFFSET(POrigin,MATCH(Valori[[#This Row],[LUKB_id]],PID,0),MATCH("BID",PLabel,0)-1,1,1)</f>
        <v>0</v>
      </c>
      <c r="AB304" s="1595" cm="1">
        <f t="array" aca="1" ref="AB304" ca="1">OFFSET(POrigin,MATCH(Valori[[#This Row],[LUKB_id]],PID,0),MATCH("ASK",PLabel,0)-1,1,1)</f>
        <v>0</v>
      </c>
      <c r="AC304" s="1594" cm="1">
        <f t="array" aca="1" ref="AC304" ca="1">OFFSET(POrigin,MATCH(Valori[[#This Row],[LUKB_id]],PID,0),MATCH("ASK:volume",PLabel,0)-1,1,1)</f>
        <v>0</v>
      </c>
      <c r="AD304" s="1596" cm="1">
        <f t="array" aca="1" ref="AD304" ca="1">OFFSET(POrigin,MATCH(Valori[[#This Row],[LUKB_id]],PID,0),MATCH("BID-ASK Spread %",PLabel,0)-1,1,1)</f>
        <v>0</v>
      </c>
      <c r="AE304" s="1597" t="str" cm="1">
        <f t="array" aca="1" ref="AE304" ca="1">IF(OFFSET(POrigin,MATCH(Valori[[#This Row],[LUKB_id]],PID,0),MATCH("MATURITY",PLabel,0)-1,1,1)&gt;0,OFFSET(POrigin,MATCH(Valori[[#This Row],[LUKB_id]],PID,0),MATCH("MATURITY",PLabel,0)-1,1,1),"")</f>
        <v/>
      </c>
      <c r="AF304" s="1598" cm="1">
        <f t="array" aca="1" ref="AF304" ca="1">OFFSET(POrigin,MATCH(Valori[[#This Row],[LUKB_id]],PID,0),MATCH("ACCINT",PLabel,0)-1,1,1)</f>
        <v>0</v>
      </c>
      <c r="AG304" s="1594" cm="1">
        <f t="array" aca="1" ref="AG304" ca="1">OFFSET(POrigin,MATCH(Valori[[#This Row],[LUKB_id]],PID,0),MATCH("DENOM",PLabel,0)-1,1,1)</f>
        <v>0</v>
      </c>
      <c r="AH304" s="1599" cm="1">
        <f t="array" aca="1" ref="AH304" ca="1">(OFFSET(POrigin,MATCH(Valori[[#This Row],[LUKB_id]],PID,0),MATCH("YIELD",PLabel,0)-1,1,1)+OFFSET(POrigin,MATCH(Valori[[#This Row],[LUKB_id]],PID,0),MATCH("YLDEQ",PLabel,0)-1,1,1))/100</f>
        <v>0</v>
      </c>
      <c r="AI304" s="1600">
        <f ca="1">OFFSET(POrigin,MATCH(Valori[[#This Row],[LUKB_id]],PID,0),MATCH("DIVIDEND",PLabel,0)-1,1,1)</f>
        <v>0</v>
      </c>
      <c r="AJ304" s="1601">
        <f ca="1">OFFSET(POrigin,MATCH(Valori[[#This Row],[LUKB_id]],PID,0),MATCH("DIVIDEND:datetime",PLabel,0)-1,1,1)</f>
        <v>0</v>
      </c>
      <c r="AK304" s="1602">
        <f ca="1">OFFSET(POrigin,MATCH(Valori[[#This Row],[LUKB_id]],PID,0),MATCH("INTEREST",PLabel,0)-1,1,1)</f>
        <v>0</v>
      </c>
      <c r="AL304" s="1603">
        <f ca="1">OFFSET(POrigin,MATCH(Valori[[#This Row],[LUKB_id]],PID,0),MATCH("4W_PERF_PR",PLabel,0)-1,1,1)/100</f>
        <v>0</v>
      </c>
      <c r="AM304" s="1603">
        <f ca="1">OFFSET(POrigin,MATCH(Valori[[#This Row],[LUKB_id]],PID,0),MATCH("12W_PERF_PR",PLabel,0)-1,1,1)/100</f>
        <v>0</v>
      </c>
      <c r="AN304" s="1603">
        <f ca="1">OFFSET(POrigin,MATCH(Valori[[#This Row],[LUKB_id]],PID,0),MATCH("YTD_PERF_PR",PLabel,0)-1,1,1)/100</f>
        <v>0</v>
      </c>
      <c r="AO304" s="1591"/>
      <c r="AP304" s="1591"/>
      <c r="AQ304" s="1591"/>
      <c r="AR304" s="1591"/>
      <c r="AS304" s="1890" t="s">
        <v>877</v>
      </c>
      <c r="AT304" s="1890"/>
      <c r="AU304" s="610"/>
      <c r="AV304" s="1891"/>
      <c r="AW304" s="1604" t="str">
        <f ca="1">"https://boersenundmaerkte.lukb.ch/lukb/details/"&amp;Valori[[#This Row],[LUKB_id]]</f>
        <v>https://boersenundmaerkte.lukb.ch/lukb/details/32071259,4,1</v>
      </c>
      <c r="AX304"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4" s="142"/>
      <c r="AZ304" s="142"/>
      <c r="BA304" s="142"/>
      <c r="BB304" s="142"/>
    </row>
    <row r="305" spans="1:54" ht="15" customHeight="1" x14ac:dyDescent="0.2">
      <c r="A305" s="142" t="s">
        <v>981</v>
      </c>
      <c r="B305" s="142" t="str" cm="1">
        <f t="array" aca="1" ref="B305" ca="1">OFFSET(POrigin,MATCH(Valori[[#This Row],[smo_id]],Posizioni[smo_id],0),MATCH("LUKB_id",PIntestazioni,0)-1,1,1)</f>
        <v>57069813,7372,333</v>
      </c>
      <c r="C305" s="1668" t="str">
        <f ca="1">HYPERLINK("https://boersenundmaerkte.lukb.ch/lukb/details/"&amp;Valori[[#This Row],[LUKB_id]],"è")</f>
        <v>è</v>
      </c>
      <c r="D305" s="142" t="str" cm="1">
        <f t="array" aca="1" ref="D305" ca="1">OFFSET(POrigin,MATCH(Valori[[#This Row],[LUKB_id]],PID,0),MATCH("SC_GROUPED",PIntestazioni,0)-1,1,1)</f>
        <v>DIV</v>
      </c>
      <c r="E305" s="413" cm="1">
        <f t="array" aca="1" ref="E305" ca="1">OFFSET(POrigin,MATCH(Valori[[#This Row],[LUKB_id]],PID,0),MATCH("isin",PIntestazioni,0)-1,1,1)</f>
        <v>0</v>
      </c>
      <c r="F305" s="34" cm="1">
        <f t="array" aca="1" ref="F305" ca="1">OFFSET(POrigin,MATCH(Valori[[#This Row],[LUKB_id]],PID,0),MATCH("NSIN_CH",PLabel,0)-1,1,1)</f>
        <v>0</v>
      </c>
      <c r="G305" s="95" t="str" cm="1">
        <f t="array" aca="1" ref="G305" ca="1">IF(OFFSET(POrigin,MATCH(Valori[[#This Row],[LUKB_id]],PID,0),MATCH("INSTRUNIT",PLabel,0)-1,1,1)="Nominal","Pct","Unit")</f>
        <v>Unit</v>
      </c>
      <c r="H305" s="612">
        <f ca="1">MAX(OFFSET(POrigin,MATCH(Valori[[#This Row],[LUKB_id]],PID,0),MATCH("PRICINGAMT",PLabel,0)-1,1,1),1)</f>
        <v>1</v>
      </c>
      <c r="I305" s="615" cm="1">
        <f t="array" aca="1" ref="I305" ca="1">OFFSET(POrigin,MATCH(Valori[[#This Row],[LUKB_id]],PID,0),MATCH("M_NAME",PLabel,0)-1,1,1)</f>
        <v>0</v>
      </c>
      <c r="J305" s="142" t="s">
        <v>744</v>
      </c>
      <c r="M305" s="142" t="str" cm="1">
        <f t="array" aca="1" ref="M3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EIB 15.12.25</v>
      </c>
      <c r="N305" s="1563">
        <f ca="1">COUNTIF('CHF M'!smo_id,Valori[[#This Row],[smo_id]])+COUNTIF('CHF MA'!smo_id,Valori[[#This Row],[smo_id]])+COUNTIF('EUR MB'!smo_id,Valori[[#This Row],[smo_id]])+COUNTIF('EUR M'!smo_id,Valori[[#This Row],[smo_id]])+COUNTIF(AGCO!smo_id,Valori[[#This Row],[smo_id]])</f>
        <v>0</v>
      </c>
      <c r="O305" s="1590" cm="1">
        <f t="array" aca="1" ref="O305" ca="1">SUM(IF('CHF M'!smo_id=Valori[[#This Row],[smo_id]],'CHF M'!Posizione))+SUM(IF('CHF MA'!smo_id=Valori[[#This Row],[smo_id]],'CHF MA'!Posizione))+SUM(IF('EUR MB'!smo_id=Valori[[#This Row],[smo_id]],'EUR MB'!Posizione))+SUM(IF('EUR M'!smo_id=Valori[[#This Row],[smo_id]],'EUR M'!Posizione))+SUM(IF(AGCO!smo_id=Valori[[#This Row],[smo_id]],AGCO!Posizione))</f>
        <v>0</v>
      </c>
      <c r="P305" s="1661" t="str">
        <f ca="1">HYPERLINK(Valori[[#This Row],[P_Source]],"è")</f>
        <v>è</v>
      </c>
      <c r="Q305" s="1663" t="str">
        <f>HYPERLINK(Valori[[#This Row],[Info_W]],"i")</f>
        <v>i</v>
      </c>
      <c r="R305" s="1664" t="str">
        <f>HYPERLINK(Valori[[#This Row],[FN_W]],"")</f>
        <v></v>
      </c>
      <c r="S305" s="1665" t="str">
        <f>HYPERLINK(Valori[[#This Row],[MS_Link]],"")</f>
        <v></v>
      </c>
      <c r="T305" s="1665" t="str">
        <f>HYPERLINK(Valori[[#This Row],[C_source]],"")</f>
        <v></v>
      </c>
      <c r="U305" s="142" cm="1">
        <f t="array" aca="1" ref="U305" ca="1">OFFSET(POrigin,MATCH(Valori[[#This Row],[LUKB_id]],PID,0),MATCH("M_CUR",PLabel,0)-1,1,1)</f>
        <v>0</v>
      </c>
      <c r="V305" s="1562">
        <f ca="1">(Valori[[#This Row],[Last]]+Valori[[#This Row],[Acc. Int]])/Valori[[#This Row],[Pr.Amt]]/IF(Valori[[#This Row],[P_Type]]="Pct",100,1)</f>
        <v>0</v>
      </c>
      <c r="W305" s="1591" cm="1">
        <f t="array" aca="1" ref="W305" ca="1">OFFSET(POrigin,MATCH(Valori[[#This Row],[LUKB_id]],PID,0),MATCH("NC2_PR",PLabel,0)-1,1,1)/100</f>
        <v>0</v>
      </c>
      <c r="X305" s="1592" cm="1">
        <f t="array" aca="1" ref="X305" ca="1">OFFSET(POrigin,MATCH(Valori[[#This Row],[LUKB_id]],PID,0),MATCH("LVAL",PLabel,0)-1,1,1)</f>
        <v>0</v>
      </c>
      <c r="Y305" s="1593" cm="1">
        <f t="array" aca="1" ref="Y305" ca="1">OFFSET(POrigin,MATCH(Valori[[#This Row],[LUKB_id]],PID,0),MATCH("LVAL:datetime",PLabel,0)-1,1,1)</f>
        <v>0</v>
      </c>
      <c r="Z305" s="1594" cm="1">
        <f t="array" aca="1" ref="Z305" ca="1">OFFSET(POrigin,MATCH(Valori[[#This Row],[LUKB_id]],PID,0),MATCH("BID:volume",PLabel,0)-1,1,1)</f>
        <v>0</v>
      </c>
      <c r="AA305" s="1595" cm="1">
        <f t="array" aca="1" ref="AA305" ca="1">OFFSET(POrigin,MATCH(Valori[[#This Row],[LUKB_id]],PID,0),MATCH("BID",PLabel,0)-1,1,1)</f>
        <v>0</v>
      </c>
      <c r="AB305" s="1595" cm="1">
        <f t="array" aca="1" ref="AB305" ca="1">OFFSET(POrigin,MATCH(Valori[[#This Row],[LUKB_id]],PID,0),MATCH("ASK",PLabel,0)-1,1,1)</f>
        <v>0</v>
      </c>
      <c r="AC305" s="1594" cm="1">
        <f t="array" aca="1" ref="AC305" ca="1">OFFSET(POrigin,MATCH(Valori[[#This Row],[LUKB_id]],PID,0),MATCH("ASK:volume",PLabel,0)-1,1,1)</f>
        <v>0</v>
      </c>
      <c r="AD305" s="1596" cm="1">
        <f t="array" aca="1" ref="AD305" ca="1">OFFSET(POrigin,MATCH(Valori[[#This Row],[LUKB_id]],PID,0),MATCH("BID-ASK Spread %",PLabel,0)-1,1,1)</f>
        <v>0</v>
      </c>
      <c r="AE305" s="1597" t="str" cm="1">
        <f t="array" aca="1" ref="AE305" ca="1">IF(OFFSET(POrigin,MATCH(Valori[[#This Row],[LUKB_id]],PID,0),MATCH("MATURITY",PLabel,0)-1,1,1)&gt;0,OFFSET(POrigin,MATCH(Valori[[#This Row],[LUKB_id]],PID,0),MATCH("MATURITY",PLabel,0)-1,1,1),"")</f>
        <v/>
      </c>
      <c r="AF305" s="1598" cm="1">
        <f t="array" aca="1" ref="AF305" ca="1">OFFSET(POrigin,MATCH(Valori[[#This Row],[LUKB_id]],PID,0),MATCH("ACCINT",PLabel,0)-1,1,1)</f>
        <v>0</v>
      </c>
      <c r="AG305" s="1594" cm="1">
        <f t="array" aca="1" ref="AG305" ca="1">OFFSET(POrigin,MATCH(Valori[[#This Row],[LUKB_id]],PID,0),MATCH("DENOM",PLabel,0)-1,1,1)</f>
        <v>0</v>
      </c>
      <c r="AH305" s="1599" cm="1">
        <f t="array" aca="1" ref="AH305" ca="1">(OFFSET(POrigin,MATCH(Valori[[#This Row],[LUKB_id]],PID,0),MATCH("YIELD",PLabel,0)-1,1,1)+OFFSET(POrigin,MATCH(Valori[[#This Row],[LUKB_id]],PID,0),MATCH("YLDEQ",PLabel,0)-1,1,1))/100</f>
        <v>0</v>
      </c>
      <c r="AI305" s="1600">
        <f ca="1">OFFSET(POrigin,MATCH(Valori[[#This Row],[LUKB_id]],PID,0),MATCH("DIVIDEND",PLabel,0)-1,1,1)</f>
        <v>0</v>
      </c>
      <c r="AJ305" s="1601">
        <f ca="1">OFFSET(POrigin,MATCH(Valori[[#This Row],[LUKB_id]],PID,0),MATCH("DIVIDEND:datetime",PLabel,0)-1,1,1)</f>
        <v>0</v>
      </c>
      <c r="AK305" s="1602">
        <f ca="1">OFFSET(POrigin,MATCH(Valori[[#This Row],[LUKB_id]],PID,0),MATCH("INTEREST",PLabel,0)-1,1,1)</f>
        <v>0</v>
      </c>
      <c r="AL305" s="1603">
        <f ca="1">OFFSET(POrigin,MATCH(Valori[[#This Row],[LUKB_id]],PID,0),MATCH("4W_PERF_PR",PLabel,0)-1,1,1)/100</f>
        <v>0</v>
      </c>
      <c r="AM305" s="1603">
        <f ca="1">OFFSET(POrigin,MATCH(Valori[[#This Row],[LUKB_id]],PID,0),MATCH("12W_PERF_PR",PLabel,0)-1,1,1)/100</f>
        <v>0</v>
      </c>
      <c r="AN305" s="1603">
        <f ca="1">OFFSET(POrigin,MATCH(Valori[[#This Row],[LUKB_id]],PID,0),MATCH("YTD_PERF_PR",PLabel,0)-1,1,1)/100</f>
        <v>0</v>
      </c>
      <c r="AO305" s="1591"/>
      <c r="AP305" s="1591"/>
      <c r="AQ305" s="1591"/>
      <c r="AR305" s="1591"/>
      <c r="AS305" s="1890" t="s">
        <v>982</v>
      </c>
      <c r="AT305" s="1890" t="s">
        <v>983</v>
      </c>
      <c r="AU305" s="610" t="s">
        <v>984</v>
      </c>
      <c r="AV305" s="1891" t="str">
        <f>"https://www.comdirect.de/inf/anleihen/"&amp;Valori[[#This Row],[smo_id]]</f>
        <v>https://www.comdirect.de/inf/anleihen/US298785JG20:USD</v>
      </c>
      <c r="AW305" s="1604" t="str">
        <f ca="1">"https://boersenundmaerkte.lukb.ch/lukb/details/"&amp;Valori[[#This Row],[LUKB_id]]</f>
        <v>https://boersenundmaerkte.lukb.ch/lukb/details/57069813,7372,333</v>
      </c>
      <c r="AX305" s="1605" t="str">
        <f>"https://www.zonebourse.com/mods_a/charts/TV/inc_dyna_graph.php?c="&amp;Valori[[#This Row],[MS_Code]]&amp;"&amp;style=TradingView.CANDLES&amp;interval=(null)&amp;mobile=(null)&amp;showAT=1"</f>
        <v>https://www.zonebourse.com/mods_a/charts/TV/inc_dyna_graph.php?c=112401398&amp;style=TradingView.CANDLES&amp;interval=(null)&amp;mobile=(null)&amp;showAT=1</v>
      </c>
      <c r="AY305" s="142"/>
      <c r="AZ305" s="142"/>
      <c r="BA305" s="142"/>
      <c r="BB305" s="142"/>
    </row>
    <row r="306" spans="1:54" ht="15" customHeight="1" x14ac:dyDescent="0.2">
      <c r="A306" s="142" t="s">
        <v>1761</v>
      </c>
      <c r="B306" s="142" t="str" cm="1">
        <f t="array" aca="1" ref="B306" ca="1">OFFSET(POrigin,MATCH(Valori[[#This Row],[smo_id]],Posizioni[smo_id],0),MATCH("LUKB_id",PIntestazioni,0)-1,1,1)</f>
        <v>28613887,4,1</v>
      </c>
      <c r="C306" s="1668" t="str">
        <f ca="1">HYPERLINK("https://boersenundmaerkte.lukb.ch/lukb/details/"&amp;Valori[[#This Row],[LUKB_id]],"è")</f>
        <v>è</v>
      </c>
      <c r="D306" s="142" t="str" cm="1">
        <f t="array" aca="1" ref="D306" ca="1">OFFSET(POrigin,MATCH(Valori[[#This Row],[LUKB_id]],PID,0),MATCH("SC_GROUPED",PIntestazioni,0)-1,1,1)</f>
        <v>DIV</v>
      </c>
      <c r="E306" s="413" cm="1">
        <f t="array" aca="1" ref="E306" ca="1">OFFSET(POrigin,MATCH(Valori[[#This Row],[LUKB_id]],PID,0),MATCH("isin",PIntestazioni,0)-1,1,1)</f>
        <v>0</v>
      </c>
      <c r="F306" s="34" cm="1">
        <f t="array" aca="1" ref="F306" ca="1">OFFSET(POrigin,MATCH(Valori[[#This Row],[LUKB_id]],PID,0),MATCH("NSIN_CH",PLabel,0)-1,1,1)</f>
        <v>0</v>
      </c>
      <c r="G306" s="95" t="str" cm="1">
        <f t="array" aca="1" ref="G306" ca="1">IF(OFFSET(POrigin,MATCH(Valori[[#This Row],[LUKB_id]],PID,0),MATCH("INSTRUNIT",PLabel,0)-1,1,1)="Nominal","Pct","Unit")</f>
        <v>Unit</v>
      </c>
      <c r="H306" s="612">
        <f ca="1">MAX(OFFSET(POrigin,MATCH(Valori[[#This Row],[LUKB_id]],PID,0),MATCH("PRICINGAMT",PLabel,0)-1,1,1),1)</f>
        <v>1</v>
      </c>
      <c r="I306" s="615" cm="1">
        <f t="array" aca="1" ref="I306" ca="1">OFFSET(POrigin,MATCH(Valori[[#This Row],[LUKB_id]],PID,0),MATCH("M_NAME",PLabel,0)-1,1,1)</f>
        <v>0</v>
      </c>
      <c r="J306" s="142" t="s">
        <v>600</v>
      </c>
      <c r="M306" s="142" t="str" cm="1">
        <f t="array" aca="1" ref="M3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Berner Kantonalbank AG 14.07.2025</v>
      </c>
      <c r="N306" s="1563">
        <f ca="1">COUNTIF('CHF M'!smo_id,Valori[[#This Row],[smo_id]])+COUNTIF('CHF MA'!smo_id,Valori[[#This Row],[smo_id]])+COUNTIF('EUR MB'!smo_id,Valori[[#This Row],[smo_id]])+COUNTIF('EUR M'!smo_id,Valori[[#This Row],[smo_id]])+COUNTIF(AGCO!smo_id,Valori[[#This Row],[smo_id]])</f>
        <v>0</v>
      </c>
      <c r="O306" s="1590" cm="1">
        <f t="array" aca="1" ref="O306" ca="1">SUM(IF('CHF M'!smo_id=Valori[[#This Row],[smo_id]],'CHF M'!Posizione))+SUM(IF('CHF MA'!smo_id=Valori[[#This Row],[smo_id]],'CHF MA'!Posizione))+SUM(IF('EUR MB'!smo_id=Valori[[#This Row],[smo_id]],'EUR MB'!Posizione))+SUM(IF('EUR M'!smo_id=Valori[[#This Row],[smo_id]],'EUR M'!Posizione))+SUM(IF(AGCO!smo_id=Valori[[#This Row],[smo_id]],AGCO!Posizione))</f>
        <v>0</v>
      </c>
      <c r="P306" s="1661" t="str">
        <f ca="1">HYPERLINK(Valori[[#This Row],[P_Source]],"è")</f>
        <v>è</v>
      </c>
      <c r="Q306" s="1663" t="str">
        <f>HYPERLINK(Valori[[#This Row],[Info_W]],"i")</f>
        <v>i</v>
      </c>
      <c r="R306" s="1664" t="str">
        <f>HYPERLINK(Valori[[#This Row],[FN_W]],"")</f>
        <v></v>
      </c>
      <c r="S306" s="1665" t="str">
        <f>HYPERLINK(Valori[[#This Row],[MS_Link]],"")</f>
        <v></v>
      </c>
      <c r="T306" s="1665" t="str">
        <f>HYPERLINK(Valori[[#This Row],[C_source]],"")</f>
        <v></v>
      </c>
      <c r="U306" s="142" cm="1">
        <f t="array" aca="1" ref="U306" ca="1">OFFSET(POrigin,MATCH(Valori[[#This Row],[LUKB_id]],PID,0),MATCH("M_CUR",PLabel,0)-1,1,1)</f>
        <v>0</v>
      </c>
      <c r="V306" s="1562">
        <f ca="1">(Valori[[#This Row],[Last]]+Valori[[#This Row],[Acc. Int]])/Valori[[#This Row],[Pr.Amt]]/IF(Valori[[#This Row],[P_Type]]="Pct",100,1)</f>
        <v>0</v>
      </c>
      <c r="W306" s="1591" cm="1">
        <f t="array" aca="1" ref="W306" ca="1">OFFSET(POrigin,MATCH(Valori[[#This Row],[LUKB_id]],PID,0),MATCH("NC2_PR",PLabel,0)-1,1,1)/100</f>
        <v>0</v>
      </c>
      <c r="X306" s="1592" cm="1">
        <f t="array" aca="1" ref="X306" ca="1">OFFSET(POrigin,MATCH(Valori[[#This Row],[LUKB_id]],PID,0),MATCH("LVAL",PLabel,0)-1,1,1)</f>
        <v>0</v>
      </c>
      <c r="Y306" s="1593" cm="1">
        <f t="array" aca="1" ref="Y306" ca="1">OFFSET(POrigin,MATCH(Valori[[#This Row],[LUKB_id]],PID,0),MATCH("LVAL:datetime",PLabel,0)-1,1,1)</f>
        <v>0</v>
      </c>
      <c r="Z306" s="1594" cm="1">
        <f t="array" aca="1" ref="Z306" ca="1">OFFSET(POrigin,MATCH(Valori[[#This Row],[LUKB_id]],PID,0),MATCH("BID:volume",PLabel,0)-1,1,1)</f>
        <v>0</v>
      </c>
      <c r="AA306" s="1595" cm="1">
        <f t="array" aca="1" ref="AA306" ca="1">OFFSET(POrigin,MATCH(Valori[[#This Row],[LUKB_id]],PID,0),MATCH("BID",PLabel,0)-1,1,1)</f>
        <v>0</v>
      </c>
      <c r="AB306" s="1595" cm="1">
        <f t="array" aca="1" ref="AB306" ca="1">OFFSET(POrigin,MATCH(Valori[[#This Row],[LUKB_id]],PID,0),MATCH("ASK",PLabel,0)-1,1,1)</f>
        <v>0</v>
      </c>
      <c r="AC306" s="1594" cm="1">
        <f t="array" aca="1" ref="AC306" ca="1">OFFSET(POrigin,MATCH(Valori[[#This Row],[LUKB_id]],PID,0),MATCH("ASK:volume",PLabel,0)-1,1,1)</f>
        <v>0</v>
      </c>
      <c r="AD306" s="1596" cm="1">
        <f t="array" aca="1" ref="AD306" ca="1">OFFSET(POrigin,MATCH(Valori[[#This Row],[LUKB_id]],PID,0),MATCH("BID-ASK Spread %",PLabel,0)-1,1,1)</f>
        <v>0</v>
      </c>
      <c r="AE306" s="1597" t="str" cm="1">
        <f t="array" aca="1" ref="AE306" ca="1">IF(OFFSET(POrigin,MATCH(Valori[[#This Row],[LUKB_id]],PID,0),MATCH("MATURITY",PLabel,0)-1,1,1)&gt;0,OFFSET(POrigin,MATCH(Valori[[#This Row],[LUKB_id]],PID,0),MATCH("MATURITY",PLabel,0)-1,1,1),"")</f>
        <v/>
      </c>
      <c r="AF306" s="1598" cm="1">
        <f t="array" aca="1" ref="AF306" ca="1">OFFSET(POrigin,MATCH(Valori[[#This Row],[LUKB_id]],PID,0),MATCH("ACCINT",PLabel,0)-1,1,1)</f>
        <v>0</v>
      </c>
      <c r="AG306" s="1594" cm="1">
        <f t="array" aca="1" ref="AG306" ca="1">OFFSET(POrigin,MATCH(Valori[[#This Row],[LUKB_id]],PID,0),MATCH("DENOM",PLabel,0)-1,1,1)</f>
        <v>0</v>
      </c>
      <c r="AH306" s="1599" cm="1">
        <f t="array" aca="1" ref="AH306" ca="1">(OFFSET(POrigin,MATCH(Valori[[#This Row],[LUKB_id]],PID,0),MATCH("YIELD",PLabel,0)-1,1,1)+OFFSET(POrigin,MATCH(Valori[[#This Row],[LUKB_id]],PID,0),MATCH("YLDEQ",PLabel,0)-1,1,1))/100</f>
        <v>0</v>
      </c>
      <c r="AI306" s="1600">
        <f ca="1">OFFSET(POrigin,MATCH(Valori[[#This Row],[LUKB_id]],PID,0),MATCH("DIVIDEND",PLabel,0)-1,1,1)</f>
        <v>0</v>
      </c>
      <c r="AJ306" s="1601">
        <f ca="1">OFFSET(POrigin,MATCH(Valori[[#This Row],[LUKB_id]],PID,0),MATCH("DIVIDEND:datetime",PLabel,0)-1,1,1)</f>
        <v>0</v>
      </c>
      <c r="AK306" s="1602">
        <f ca="1">OFFSET(POrigin,MATCH(Valori[[#This Row],[LUKB_id]],PID,0),MATCH("INTEREST",PLabel,0)-1,1,1)</f>
        <v>0</v>
      </c>
      <c r="AL306" s="1603">
        <f ca="1">OFFSET(POrigin,MATCH(Valori[[#This Row],[LUKB_id]],PID,0),MATCH("4W_PERF_PR",PLabel,0)-1,1,1)/100</f>
        <v>0</v>
      </c>
      <c r="AM306" s="1603">
        <f ca="1">OFFSET(POrigin,MATCH(Valori[[#This Row],[LUKB_id]],PID,0),MATCH("12W_PERF_PR",PLabel,0)-1,1,1)/100</f>
        <v>0</v>
      </c>
      <c r="AN306" s="1603">
        <f ca="1">OFFSET(POrigin,MATCH(Valori[[#This Row],[LUKB_id]],PID,0),MATCH("YTD_PERF_PR",PLabel,0)-1,1,1)/100</f>
        <v>0</v>
      </c>
      <c r="AO306" s="1591"/>
      <c r="AP306" s="1591"/>
      <c r="AQ306" s="1591"/>
      <c r="AR306" s="1591"/>
      <c r="AS306" s="1890"/>
      <c r="AT306" s="1890"/>
      <c r="AU306" s="610"/>
      <c r="AV306" s="1891"/>
      <c r="AW306" s="1604" t="str">
        <f ca="1">"https://boersenundmaerkte.lukb.ch/lukb/details/"&amp;Valori[[#This Row],[LUKB_id]]</f>
        <v>https://boersenundmaerkte.lukb.ch/lukb/details/28613887,4,1</v>
      </c>
      <c r="AX306"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6" s="142"/>
      <c r="AZ306" s="142"/>
      <c r="BA306" s="142"/>
      <c r="BB306" s="142"/>
    </row>
    <row r="307" spans="1:54" ht="15" customHeight="1" x14ac:dyDescent="0.2">
      <c r="A307" s="142" t="s">
        <v>875</v>
      </c>
      <c r="B307" s="142" t="str" cm="1">
        <f t="array" aca="1" ref="B307" ca="1">OFFSET(POrigin,MATCH(Valori[[#This Row],[smo_id]],Posizioni[smo_id],0),MATCH("LUKB_id",PIntestazioni,0)-1,1,1)</f>
        <v>38551808,4,1</v>
      </c>
      <c r="C307" s="1668" t="str">
        <f ca="1">HYPERLINK("https://boersenundmaerkte.lukb.ch/lukb/details/"&amp;Valori[[#This Row],[LUKB_id]],"è")</f>
        <v>è</v>
      </c>
      <c r="D307" s="142" t="str" cm="1">
        <f t="array" aca="1" ref="D307" ca="1">OFFSET(POrigin,MATCH(Valori[[#This Row],[LUKB_id]],PID,0),MATCH("SC_GROUPED",PIntestazioni,0)-1,1,1)</f>
        <v>DIV</v>
      </c>
      <c r="E307" s="413" cm="1">
        <f t="array" aca="1" ref="E307" ca="1">OFFSET(POrigin,MATCH(Valori[[#This Row],[LUKB_id]],PID,0),MATCH("isin",PIntestazioni,0)-1,1,1)</f>
        <v>0</v>
      </c>
      <c r="F307" s="34" cm="1">
        <f t="array" aca="1" ref="F307" ca="1">OFFSET(POrigin,MATCH(Valori[[#This Row],[LUKB_id]],PID,0),MATCH("NSIN_CH",PLabel,0)-1,1,1)</f>
        <v>0</v>
      </c>
      <c r="G307" s="95" t="str" cm="1">
        <f t="array" aca="1" ref="G307" ca="1">IF(OFFSET(POrigin,MATCH(Valori[[#This Row],[LUKB_id]],PID,0),MATCH("INSTRUNIT",PLabel,0)-1,1,1)="Nominal","Pct","Unit")</f>
        <v>Unit</v>
      </c>
      <c r="H307" s="612">
        <f ca="1">MAX(OFFSET(POrigin,MATCH(Valori[[#This Row],[LUKB_id]],PID,0),MATCH("PRICINGAMT",PLabel,0)-1,1,1),1)</f>
        <v>1</v>
      </c>
      <c r="I307" s="615" cm="1">
        <f t="array" aca="1" ref="I307" ca="1">OFFSET(POrigin,MATCH(Valori[[#This Row],[LUKB_id]],PID,0),MATCH("M_NAME",PLabel,0)-1,1,1)</f>
        <v>0</v>
      </c>
      <c r="J307" s="142" t="s">
        <v>876</v>
      </c>
      <c r="M307" s="142" t="str" cm="1">
        <f t="array" aca="1" ref="M3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2.875% Alfa Hld 09.11.2022 (default)</v>
      </c>
      <c r="N307" s="1563">
        <f ca="1">COUNTIF('CHF M'!smo_id,Valori[[#This Row],[smo_id]])+COUNTIF('CHF MA'!smo_id,Valori[[#This Row],[smo_id]])+COUNTIF('EUR MB'!smo_id,Valori[[#This Row],[smo_id]])+COUNTIF('EUR M'!smo_id,Valori[[#This Row],[smo_id]])+COUNTIF(AGCO!smo_id,Valori[[#This Row],[smo_id]])</f>
        <v>1</v>
      </c>
      <c r="O307" s="1590" cm="1">
        <f t="array" aca="1" ref="O307" ca="1">SUM(IF('CHF M'!smo_id=Valori[[#This Row],[smo_id]],'CHF M'!Posizione))+SUM(IF('CHF MA'!smo_id=Valori[[#This Row],[smo_id]],'CHF MA'!Posizione))+SUM(IF('EUR MB'!smo_id=Valori[[#This Row],[smo_id]],'EUR MB'!Posizione))+SUM(IF('EUR M'!smo_id=Valori[[#This Row],[smo_id]],'EUR M'!Posizione))+SUM(IF(AGCO!smo_id=Valori[[#This Row],[smo_id]],AGCO!Posizione))</f>
        <v>50000</v>
      </c>
      <c r="P307" s="1661" t="str">
        <f ca="1">HYPERLINK(Valori[[#This Row],[P_Source]],"è")</f>
        <v>è</v>
      </c>
      <c r="Q307" s="1663" t="str">
        <f>HYPERLINK(Valori[[#This Row],[Info_W]],"i")</f>
        <v>i</v>
      </c>
      <c r="R307" s="1664" t="str">
        <f>HYPERLINK(Valori[[#This Row],[FN_W]],"")</f>
        <v></v>
      </c>
      <c r="S307" s="1665" t="str">
        <f>HYPERLINK(Valori[[#This Row],[MS_Link]],"")</f>
        <v></v>
      </c>
      <c r="T307" s="1665" t="str">
        <f>HYPERLINK(Valori[[#This Row],[C_source]],"")</f>
        <v></v>
      </c>
      <c r="U307" s="142" cm="1">
        <f t="array" aca="1" ref="U307" ca="1">OFFSET(POrigin,MATCH(Valori[[#This Row],[LUKB_id]],PID,0),MATCH("M_CUR",PLabel,0)-1,1,1)</f>
        <v>0</v>
      </c>
      <c r="V307" s="1562">
        <f ca="1">(Valori[[#This Row],[Last]]+Valori[[#This Row],[Acc. Int]])/Valori[[#This Row],[Pr.Amt]]/IF(Valori[[#This Row],[P_Type]]="Pct",100,1)</f>
        <v>0</v>
      </c>
      <c r="W307" s="1591" cm="1">
        <f t="array" aca="1" ref="W307" ca="1">OFFSET(POrigin,MATCH(Valori[[#This Row],[LUKB_id]],PID,0),MATCH("NC2_PR",PLabel,0)-1,1,1)/100</f>
        <v>0</v>
      </c>
      <c r="X307" s="1592" cm="1">
        <f t="array" aca="1" ref="X307" ca="1">OFFSET(POrigin,MATCH(Valori[[#This Row],[LUKB_id]],PID,0),MATCH("LVAL",PLabel,0)-1,1,1)</f>
        <v>0</v>
      </c>
      <c r="Y307" s="1593" cm="1">
        <f t="array" aca="1" ref="Y307" ca="1">OFFSET(POrigin,MATCH(Valori[[#This Row],[LUKB_id]],PID,0),MATCH("LVAL:datetime",PLabel,0)-1,1,1)</f>
        <v>0</v>
      </c>
      <c r="Z307" s="1594" cm="1">
        <f t="array" aca="1" ref="Z307" ca="1">OFFSET(POrigin,MATCH(Valori[[#This Row],[LUKB_id]],PID,0),MATCH("BID:volume",PLabel,0)-1,1,1)</f>
        <v>0</v>
      </c>
      <c r="AA307" s="1595" cm="1">
        <f t="array" aca="1" ref="AA307" ca="1">OFFSET(POrigin,MATCH(Valori[[#This Row],[LUKB_id]],PID,0),MATCH("BID",PLabel,0)-1,1,1)</f>
        <v>0</v>
      </c>
      <c r="AB307" s="1595" cm="1">
        <f t="array" aca="1" ref="AB307" ca="1">OFFSET(POrigin,MATCH(Valori[[#This Row],[LUKB_id]],PID,0),MATCH("ASK",PLabel,0)-1,1,1)</f>
        <v>0</v>
      </c>
      <c r="AC307" s="1594" cm="1">
        <f t="array" aca="1" ref="AC307" ca="1">OFFSET(POrigin,MATCH(Valori[[#This Row],[LUKB_id]],PID,0),MATCH("ASK:volume",PLabel,0)-1,1,1)</f>
        <v>0</v>
      </c>
      <c r="AD307" s="1596" cm="1">
        <f t="array" aca="1" ref="AD307" ca="1">OFFSET(POrigin,MATCH(Valori[[#This Row],[LUKB_id]],PID,0),MATCH("BID-ASK Spread %",PLabel,0)-1,1,1)</f>
        <v>0</v>
      </c>
      <c r="AE307" s="1597" t="str" cm="1">
        <f t="array" aca="1" ref="AE307" ca="1">IF(OFFSET(POrigin,MATCH(Valori[[#This Row],[LUKB_id]],PID,0),MATCH("MATURITY",PLabel,0)-1,1,1)&gt;0,OFFSET(POrigin,MATCH(Valori[[#This Row],[LUKB_id]],PID,0),MATCH("MATURITY",PLabel,0)-1,1,1),"")</f>
        <v/>
      </c>
      <c r="AF307" s="1598" cm="1">
        <f t="array" aca="1" ref="AF307" ca="1">OFFSET(POrigin,MATCH(Valori[[#This Row],[LUKB_id]],PID,0),MATCH("ACCINT",PLabel,0)-1,1,1)</f>
        <v>0</v>
      </c>
      <c r="AG307" s="1594" cm="1">
        <f t="array" aca="1" ref="AG307" ca="1">OFFSET(POrigin,MATCH(Valori[[#This Row],[LUKB_id]],PID,0),MATCH("DENOM",PLabel,0)-1,1,1)</f>
        <v>0</v>
      </c>
      <c r="AH307" s="1599" cm="1">
        <f t="array" aca="1" ref="AH307" ca="1">(OFFSET(POrigin,MATCH(Valori[[#This Row],[LUKB_id]],PID,0),MATCH("YIELD",PLabel,0)-1,1,1)+OFFSET(POrigin,MATCH(Valori[[#This Row],[LUKB_id]],PID,0),MATCH("YLDEQ",PLabel,0)-1,1,1))/100</f>
        <v>0</v>
      </c>
      <c r="AI307" s="1600">
        <f ca="1">OFFSET(POrigin,MATCH(Valori[[#This Row],[LUKB_id]],PID,0),MATCH("DIVIDEND",PLabel,0)-1,1,1)</f>
        <v>0</v>
      </c>
      <c r="AJ307" s="1601">
        <f ca="1">OFFSET(POrigin,MATCH(Valori[[#This Row],[LUKB_id]],PID,0),MATCH("DIVIDEND:datetime",PLabel,0)-1,1,1)</f>
        <v>0</v>
      </c>
      <c r="AK307" s="1602">
        <f ca="1">OFFSET(POrigin,MATCH(Valori[[#This Row],[LUKB_id]],PID,0),MATCH("INTEREST",PLabel,0)-1,1,1)</f>
        <v>0</v>
      </c>
      <c r="AL307" s="1603">
        <f ca="1">OFFSET(POrigin,MATCH(Valori[[#This Row],[LUKB_id]],PID,0),MATCH("4W_PERF_PR",PLabel,0)-1,1,1)/100</f>
        <v>0</v>
      </c>
      <c r="AM307" s="1603">
        <f ca="1">OFFSET(POrigin,MATCH(Valori[[#This Row],[LUKB_id]],PID,0),MATCH("12W_PERF_PR",PLabel,0)-1,1,1)/100</f>
        <v>0</v>
      </c>
      <c r="AN307" s="1603">
        <f ca="1">OFFSET(POrigin,MATCH(Valori[[#This Row],[LUKB_id]],PID,0),MATCH("YTD_PERF_PR",PLabel,0)-1,1,1)/100</f>
        <v>0</v>
      </c>
      <c r="AO307" s="1591"/>
      <c r="AP307" s="1591"/>
      <c r="AQ307" s="1591"/>
      <c r="AR307" s="1591"/>
      <c r="AS307" s="1890"/>
      <c r="AT307" s="1890"/>
      <c r="AU307" s="610"/>
      <c r="AV307" s="1891"/>
      <c r="AW307" s="1604" t="str">
        <f ca="1">"https://boersenundmaerkte.lukb.ch/lukb/details/"&amp;Valori[[#This Row],[LUKB_id]]</f>
        <v>https://boersenundmaerkte.lukb.ch/lukb/details/38551808,4,1</v>
      </c>
      <c r="AX307" s="1605"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7" s="142"/>
      <c r="AZ307" s="142"/>
      <c r="BA307" s="142"/>
      <c r="BB307" s="142"/>
    </row>
    <row r="308" spans="1:54" ht="15" customHeight="1" x14ac:dyDescent="0.2">
      <c r="A308" s="142" t="s">
        <v>1762</v>
      </c>
      <c r="B308" s="142" t="str" cm="1">
        <f t="array" aca="1" ref="B308" ca="1">OFFSET(POrigin,MATCH(Valori[[#This Row],[smo_id]],Posizioni[smo_id],0),MATCH("LUKB_id",PIntestazioni,0)-1,1,1)</f>
        <v>71078280,21,1</v>
      </c>
      <c r="C308" s="1668" t="str">
        <f ca="1">HYPERLINK("https://boersenundmaerkte.lukb.ch/lukb/details/"&amp;Valori[[#This Row],[LUKB_id]],"è")</f>
        <v>è</v>
      </c>
      <c r="D308" s="142" t="str" cm="1">
        <f t="array" aca="1" ref="D308" ca="1">OFFSET(POrigin,MATCH(Valori[[#This Row],[LUKB_id]],PID,0),MATCH("SC_GROUPED",PIntestazioni,0)-1,1,1)</f>
        <v>DIV</v>
      </c>
      <c r="E308" s="413" cm="1">
        <f t="array" aca="1" ref="E308" ca="1">OFFSET(POrigin,MATCH(Valori[[#This Row],[LUKB_id]],PID,0),MATCH("isin",PIntestazioni,0)-1,1,1)</f>
        <v>0</v>
      </c>
      <c r="F308" s="34" cm="1">
        <f t="array" aca="1" ref="F308" ca="1">OFFSET(POrigin,MATCH(Valori[[#This Row],[LUKB_id]],PID,0),MATCH("NSIN_CH",PLabel,0)-1,1,1)</f>
        <v>0</v>
      </c>
      <c r="G308" s="95" t="str" cm="1">
        <f t="array" aca="1" ref="G308" ca="1">IF(OFFSET(POrigin,MATCH(Valori[[#This Row],[LUKB_id]],PID,0),MATCH("INSTRUNIT",PLabel,0)-1,1,1)="Nominal","Pct","Unit")</f>
        <v>Unit</v>
      </c>
      <c r="H308" s="612">
        <f ca="1">MAX(OFFSET(POrigin,MATCH(Valori[[#This Row],[LUKB_id]],PID,0),MATCH("PRICINGAMT",PLabel,0)-1,1,1),1)</f>
        <v>1</v>
      </c>
      <c r="I308" s="615" cm="1">
        <f t="array" aca="1" ref="I308" ca="1">OFFSET(POrigin,MATCH(Valori[[#This Row],[LUKB_id]],PID,0),MATCH("M_NAME",PLabel,0)-1,1,1)</f>
        <v>0</v>
      </c>
      <c r="J308" s="142" t="s">
        <v>1763</v>
      </c>
      <c r="M308" s="142" t="str" cm="1">
        <f t="array" aca="1" ref="M3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EUR/CHF Futures 17.03.2025 (100K EUR)</v>
      </c>
      <c r="N308" s="1563">
        <f ca="1">COUNTIF('CHF M'!smo_id,Valori[[#This Row],[smo_id]])+COUNTIF('CHF MA'!smo_id,Valori[[#This Row],[smo_id]])+COUNTIF('EUR MB'!smo_id,Valori[[#This Row],[smo_id]])+COUNTIF('EUR M'!smo_id,Valori[[#This Row],[smo_id]])+COUNTIF(AGCO!smo_id,Valori[[#This Row],[smo_id]])</f>
        <v>0</v>
      </c>
      <c r="O308" s="1590" cm="1">
        <f t="array" aca="1" ref="O308" ca="1">SUM(IF('CHF M'!smo_id=Valori[[#This Row],[smo_id]],'CHF M'!Posizione))+SUM(IF('CHF MA'!smo_id=Valori[[#This Row],[smo_id]],'CHF MA'!Posizione))+SUM(IF('EUR MB'!smo_id=Valori[[#This Row],[smo_id]],'EUR MB'!Posizione))+SUM(IF('EUR M'!smo_id=Valori[[#This Row],[smo_id]],'EUR M'!Posizione))+SUM(IF(AGCO!smo_id=Valori[[#This Row],[smo_id]],AGCO!Posizione))</f>
        <v>0</v>
      </c>
      <c r="P308" s="1661" t="str">
        <f ca="1">HYPERLINK(Valori[[#This Row],[P_Source]],"è")</f>
        <v>è</v>
      </c>
      <c r="Q308" s="1663" t="str">
        <f>HYPERLINK(Valori[[#This Row],[Info_W]],"i")</f>
        <v>i</v>
      </c>
      <c r="R308" s="1664" t="str">
        <f>HYPERLINK(Valori[[#This Row],[FN_W]],"")</f>
        <v></v>
      </c>
      <c r="S308" s="1665" t="str">
        <f>HYPERLINK(Valori[[#This Row],[MS_Link]],"")</f>
        <v></v>
      </c>
      <c r="T308" s="1665" t="str">
        <f>HYPERLINK(Valori[[#This Row],[C_source]],"")</f>
        <v></v>
      </c>
      <c r="U308" s="142" cm="1">
        <f t="array" aca="1" ref="U308" ca="1">OFFSET(POrigin,MATCH(Valori[[#This Row],[LUKB_id]],PID,0),MATCH("M_CUR",PLabel,0)-1,1,1)</f>
        <v>0</v>
      </c>
      <c r="V308" s="1562">
        <f ca="1">(Valori[[#This Row],[Last]]+Valori[[#This Row],[Acc. Int]])/Valori[[#This Row],[Pr.Amt]]/IF(Valori[[#This Row],[P_Type]]="Pct",100,1)</f>
        <v>0</v>
      </c>
      <c r="W308" s="1591" cm="1">
        <f t="array" aca="1" ref="W308" ca="1">OFFSET(POrigin,MATCH(Valori[[#This Row],[LUKB_id]],PID,0),MATCH("NC2_PR",PLabel,0)-1,1,1)/100</f>
        <v>0</v>
      </c>
      <c r="X308" s="1592" cm="1">
        <f t="array" aca="1" ref="X308" ca="1">OFFSET(POrigin,MATCH(Valori[[#This Row],[LUKB_id]],PID,0),MATCH("LVAL",PLabel,0)-1,1,1)</f>
        <v>0</v>
      </c>
      <c r="Y308" s="1593" cm="1">
        <f t="array" aca="1" ref="Y308" ca="1">OFFSET(POrigin,MATCH(Valori[[#This Row],[LUKB_id]],PID,0),MATCH("LVAL:datetime",PLabel,0)-1,1,1)</f>
        <v>0</v>
      </c>
      <c r="Z308" s="1594" cm="1">
        <f t="array" aca="1" ref="Z308" ca="1">OFFSET(POrigin,MATCH(Valori[[#This Row],[LUKB_id]],PID,0),MATCH("BID:volume",PLabel,0)-1,1,1)</f>
        <v>0</v>
      </c>
      <c r="AA308" s="1595" cm="1">
        <f t="array" aca="1" ref="AA308" ca="1">OFFSET(POrigin,MATCH(Valori[[#This Row],[LUKB_id]],PID,0),MATCH("BID",PLabel,0)-1,1,1)</f>
        <v>0</v>
      </c>
      <c r="AB308" s="1595" cm="1">
        <f t="array" aca="1" ref="AB308" ca="1">OFFSET(POrigin,MATCH(Valori[[#This Row],[LUKB_id]],PID,0),MATCH("ASK",PLabel,0)-1,1,1)</f>
        <v>0</v>
      </c>
      <c r="AC308" s="1594" cm="1">
        <f t="array" aca="1" ref="AC308" ca="1">OFFSET(POrigin,MATCH(Valori[[#This Row],[LUKB_id]],PID,0),MATCH("ASK:volume",PLabel,0)-1,1,1)</f>
        <v>0</v>
      </c>
      <c r="AD308" s="1596" cm="1">
        <f t="array" aca="1" ref="AD308" ca="1">OFFSET(POrigin,MATCH(Valori[[#This Row],[LUKB_id]],PID,0),MATCH("BID-ASK Spread %",PLabel,0)-1,1,1)</f>
        <v>0</v>
      </c>
      <c r="AE308" s="1597" t="str" cm="1">
        <f t="array" aca="1" ref="AE308" ca="1">IF(OFFSET(POrigin,MATCH(Valori[[#This Row],[LUKB_id]],PID,0),MATCH("MATURITY",PLabel,0)-1,1,1)&gt;0,OFFSET(POrigin,MATCH(Valori[[#This Row],[LUKB_id]],PID,0),MATCH("MATURITY",PLabel,0)-1,1,1),"")</f>
        <v/>
      </c>
      <c r="AF308" s="1598" cm="1">
        <f t="array" aca="1" ref="AF308" ca="1">OFFSET(POrigin,MATCH(Valori[[#This Row],[LUKB_id]],PID,0),MATCH("ACCINT",PLabel,0)-1,1,1)</f>
        <v>0</v>
      </c>
      <c r="AG308" s="1594" cm="1">
        <f t="array" aca="1" ref="AG308" ca="1">OFFSET(POrigin,MATCH(Valori[[#This Row],[LUKB_id]],PID,0),MATCH("DENOM",PLabel,0)-1,1,1)</f>
        <v>0</v>
      </c>
      <c r="AH308" s="1599" cm="1">
        <f t="array" aca="1" ref="AH308" ca="1">(OFFSET(POrigin,MATCH(Valori[[#This Row],[LUKB_id]],PID,0),MATCH("YIELD",PLabel,0)-1,1,1)+OFFSET(POrigin,MATCH(Valori[[#This Row],[LUKB_id]],PID,0),MATCH("YLDEQ",PLabel,0)-1,1,1))/100</f>
        <v>0</v>
      </c>
      <c r="AI308" s="1600">
        <f ca="1">OFFSET(POrigin,MATCH(Valori[[#This Row],[LUKB_id]],PID,0),MATCH("DIVIDEND",PLabel,0)-1,1,1)</f>
        <v>0</v>
      </c>
      <c r="AJ308" s="1601">
        <f ca="1">OFFSET(POrigin,MATCH(Valori[[#This Row],[LUKB_id]],PID,0),MATCH("DIVIDEND:datetime",PLabel,0)-1,1,1)</f>
        <v>0</v>
      </c>
      <c r="AK308" s="1602">
        <f ca="1">OFFSET(POrigin,MATCH(Valori[[#This Row],[LUKB_id]],PID,0),MATCH("INTEREST",PLabel,0)-1,1,1)</f>
        <v>0</v>
      </c>
      <c r="AL308" s="1603">
        <f ca="1">OFFSET(POrigin,MATCH(Valori[[#This Row],[LUKB_id]],PID,0),MATCH("4W_PERF_PR",PLabel,0)-1,1,1)/100</f>
        <v>0</v>
      </c>
      <c r="AM308" s="1603">
        <f ca="1">OFFSET(POrigin,MATCH(Valori[[#This Row],[LUKB_id]],PID,0),MATCH("12W_PERF_PR",PLabel,0)-1,1,1)/100</f>
        <v>0</v>
      </c>
      <c r="AN308" s="1603">
        <f ca="1">OFFSET(POrigin,MATCH(Valori[[#This Row],[LUKB_id]],PID,0),MATCH("YTD_PERF_PR",PLabel,0)-1,1,1)/100</f>
        <v>0</v>
      </c>
      <c r="AO308" s="1591"/>
      <c r="AP308" s="1591"/>
      <c r="AQ308" s="1591"/>
      <c r="AR308" s="1591"/>
      <c r="AS308" s="1890"/>
      <c r="AT308" s="1890"/>
      <c r="AU308" s="610"/>
      <c r="AV308" s="1891"/>
      <c r="AW308" s="1604" t="str">
        <f ca="1">"https://boersenundmaerkte.lukb.ch/lukb/details/"&amp;Valori[[#This Row],[LUKB_id]]</f>
        <v>https://boersenundmaerkte.lukb.ch/lukb/details/71078280,21,1</v>
      </c>
      <c r="AX30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8" s="142"/>
      <c r="AZ308" s="142"/>
      <c r="BA308" s="142"/>
      <c r="BB308" s="142"/>
    </row>
    <row r="309" spans="1:54" ht="15" customHeight="1" x14ac:dyDescent="0.2">
      <c r="A309" s="142" t="s">
        <v>1357</v>
      </c>
      <c r="B309" s="142" t="str" cm="1">
        <f t="array" aca="1" ref="B309" ca="1">OFFSET(POrigin,MATCH(Valori[[#This Row],[smo_id]],Posizioni[smo_id],0),MATCH("LUKB_id",PIntestazioni,0)-1,1,1)</f>
        <v>24770428,25,814</v>
      </c>
      <c r="C309" s="1668" t="str">
        <f ca="1">HYPERLINK("https://boersenundmaerkte.lukb.ch/lukb/details/"&amp;Valori[[#This Row],[LUKB_id]],"è")</f>
        <v>è</v>
      </c>
      <c r="D309" s="142" t="str" cm="1">
        <f t="array" aca="1" ref="D309" ca="1">OFFSET(POrigin,MATCH(Valori[[#This Row],[LUKB_id]],PID,0),MATCH("SC_GROUPED",PIntestazioni,0)-1,1,1)</f>
        <v>DIV</v>
      </c>
      <c r="E309" s="413" cm="1">
        <f t="array" aca="1" ref="E309" ca="1">OFFSET(POrigin,MATCH(Valori[[#This Row],[LUKB_id]],PID,0),MATCH("isin",PIntestazioni,0)-1,1,1)</f>
        <v>0</v>
      </c>
      <c r="F309" s="34" cm="1">
        <f t="array" aca="1" ref="F309" ca="1">OFFSET(POrigin,MATCH(Valori[[#This Row],[LUKB_id]],PID,0),MATCH("NSIN_CH",PLabel,0)-1,1,1)</f>
        <v>0</v>
      </c>
      <c r="G309" s="95" t="str" cm="1">
        <f t="array" aca="1" ref="G309" ca="1">IF(OFFSET(POrigin,MATCH(Valori[[#This Row],[LUKB_id]],PID,0),MATCH("INSTRUNIT",PLabel,0)-1,1,1)="Nominal","Pct","Unit")</f>
        <v>Unit</v>
      </c>
      <c r="H309" s="612">
        <f ca="1">MAX(OFFSET(POrigin,MATCH(Valori[[#This Row],[LUKB_id]],PID,0),MATCH("PRICINGAMT",PLabel,0)-1,1,1),1)</f>
        <v>1</v>
      </c>
      <c r="I309" s="615" cm="1">
        <f t="array" aca="1" ref="I309" ca="1">OFFSET(POrigin,MATCH(Valori[[#This Row],[LUKB_id]],PID,0),MATCH("M_NAME",PLabel,0)-1,1,1)</f>
        <v>0</v>
      </c>
      <c r="J309" s="142" t="s">
        <v>1358</v>
      </c>
      <c r="M309" s="142" t="str" cm="1">
        <f t="array" aca="1" ref="M3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Communication Services UCITS ETF (Acc)</v>
      </c>
      <c r="N309" s="1563">
        <f ca="1">COUNTIF('CHF M'!smo_id,Valori[[#This Row],[smo_id]])+COUNTIF('CHF MA'!smo_id,Valori[[#This Row],[smo_id]])+COUNTIF('EUR MB'!smo_id,Valori[[#This Row],[smo_id]])+COUNTIF('EUR M'!smo_id,Valori[[#This Row],[smo_id]])+COUNTIF(AGCO!smo_id,Valori[[#This Row],[smo_id]])</f>
        <v>0</v>
      </c>
      <c r="O309" s="1590" cm="1">
        <f t="array" aca="1" ref="O309" ca="1">SUM(IF('CHF M'!smo_id=Valori[[#This Row],[smo_id]],'CHF M'!Posizione))+SUM(IF('CHF MA'!smo_id=Valori[[#This Row],[smo_id]],'CHF MA'!Posizione))+SUM(IF('EUR MB'!smo_id=Valori[[#This Row],[smo_id]],'EUR MB'!Posizione))+SUM(IF('EUR M'!smo_id=Valori[[#This Row],[smo_id]],'EUR M'!Posizione))+SUM(IF(AGCO!smo_id=Valori[[#This Row],[smo_id]],AGCO!Posizione))</f>
        <v>0</v>
      </c>
      <c r="P309" s="1661" t="str">
        <f ca="1">HYPERLINK(Valori[[#This Row],[P_Source]],"è")</f>
        <v>è</v>
      </c>
      <c r="Q309" s="1663" t="str">
        <f>HYPERLINK(Valori[[#This Row],[Info_W]],"i")</f>
        <v>i</v>
      </c>
      <c r="R309" s="1664" t="str">
        <f>HYPERLINK(Valori[[#This Row],[FN_W]],"")</f>
        <v></v>
      </c>
      <c r="S309" s="1665" t="str">
        <f>HYPERLINK(Valori[[#This Row],[MS_Link]],"")</f>
        <v></v>
      </c>
      <c r="T309" s="1665" t="str">
        <f>HYPERLINK(Valori[[#This Row],[C_source]],"")</f>
        <v></v>
      </c>
      <c r="U309" s="142" cm="1">
        <f t="array" aca="1" ref="U309" ca="1">OFFSET(POrigin,MATCH(Valori[[#This Row],[LUKB_id]],PID,0),MATCH("M_CUR",PLabel,0)-1,1,1)</f>
        <v>0</v>
      </c>
      <c r="V309" s="1562">
        <f ca="1">(Valori[[#This Row],[Last]]+Valori[[#This Row],[Acc. Int]])/Valori[[#This Row],[Pr.Amt]]/IF(Valori[[#This Row],[P_Type]]="Pct",100,1)</f>
        <v>0</v>
      </c>
      <c r="W309" s="1591" cm="1">
        <f t="array" aca="1" ref="W309" ca="1">OFFSET(POrigin,MATCH(Valori[[#This Row],[LUKB_id]],PID,0),MATCH("NC2_PR",PLabel,0)-1,1,1)/100</f>
        <v>0</v>
      </c>
      <c r="X309" s="1592" cm="1">
        <f t="array" aca="1" ref="X309" ca="1">OFFSET(POrigin,MATCH(Valori[[#This Row],[LUKB_id]],PID,0),MATCH("LVAL",PLabel,0)-1,1,1)</f>
        <v>0</v>
      </c>
      <c r="Y309" s="1593" cm="1">
        <f t="array" aca="1" ref="Y309" ca="1">OFFSET(POrigin,MATCH(Valori[[#This Row],[LUKB_id]],PID,0),MATCH("LVAL:datetime",PLabel,0)-1,1,1)</f>
        <v>0</v>
      </c>
      <c r="Z309" s="1594" cm="1">
        <f t="array" aca="1" ref="Z309" ca="1">OFFSET(POrigin,MATCH(Valori[[#This Row],[LUKB_id]],PID,0),MATCH("BID:volume",PLabel,0)-1,1,1)</f>
        <v>0</v>
      </c>
      <c r="AA309" s="1595" cm="1">
        <f t="array" aca="1" ref="AA309" ca="1">OFFSET(POrigin,MATCH(Valori[[#This Row],[LUKB_id]],PID,0),MATCH("BID",PLabel,0)-1,1,1)</f>
        <v>0</v>
      </c>
      <c r="AB309" s="1595" cm="1">
        <f t="array" aca="1" ref="AB309" ca="1">OFFSET(POrigin,MATCH(Valori[[#This Row],[LUKB_id]],PID,0),MATCH("ASK",PLabel,0)-1,1,1)</f>
        <v>0</v>
      </c>
      <c r="AC309" s="1594" cm="1">
        <f t="array" aca="1" ref="AC309" ca="1">OFFSET(POrigin,MATCH(Valori[[#This Row],[LUKB_id]],PID,0),MATCH("ASK:volume",PLabel,0)-1,1,1)</f>
        <v>0</v>
      </c>
      <c r="AD309" s="1596" cm="1">
        <f t="array" aca="1" ref="AD309" ca="1">OFFSET(POrigin,MATCH(Valori[[#This Row],[LUKB_id]],PID,0),MATCH("BID-ASK Spread %",PLabel,0)-1,1,1)</f>
        <v>0</v>
      </c>
      <c r="AE309" s="1597" t="str" cm="1">
        <f t="array" aca="1" ref="AE309" ca="1">IF(OFFSET(POrigin,MATCH(Valori[[#This Row],[LUKB_id]],PID,0),MATCH("MATURITY",PLabel,0)-1,1,1)&gt;0,OFFSET(POrigin,MATCH(Valori[[#This Row],[LUKB_id]],PID,0),MATCH("MATURITY",PLabel,0)-1,1,1),"")</f>
        <v/>
      </c>
      <c r="AF309" s="1598" cm="1">
        <f t="array" aca="1" ref="AF309" ca="1">OFFSET(POrigin,MATCH(Valori[[#This Row],[LUKB_id]],PID,0),MATCH("ACCINT",PLabel,0)-1,1,1)</f>
        <v>0</v>
      </c>
      <c r="AG309" s="1594" cm="1">
        <f t="array" aca="1" ref="AG309" ca="1">OFFSET(POrigin,MATCH(Valori[[#This Row],[LUKB_id]],PID,0),MATCH("DENOM",PLabel,0)-1,1,1)</f>
        <v>0</v>
      </c>
      <c r="AH309" s="1599" cm="1">
        <f t="array" aca="1" ref="AH309" ca="1">(OFFSET(POrigin,MATCH(Valori[[#This Row],[LUKB_id]],PID,0),MATCH("YIELD",PLabel,0)-1,1,1)+OFFSET(POrigin,MATCH(Valori[[#This Row],[LUKB_id]],PID,0),MATCH("YLDEQ",PLabel,0)-1,1,1))/100</f>
        <v>0</v>
      </c>
      <c r="AI309" s="1600">
        <f ca="1">OFFSET(POrigin,MATCH(Valori[[#This Row],[LUKB_id]],PID,0),MATCH("DIVIDEND",PLabel,0)-1,1,1)</f>
        <v>0</v>
      </c>
      <c r="AJ309" s="1601">
        <f ca="1">OFFSET(POrigin,MATCH(Valori[[#This Row],[LUKB_id]],PID,0),MATCH("DIVIDEND:datetime",PLabel,0)-1,1,1)</f>
        <v>0</v>
      </c>
      <c r="AK309" s="1602">
        <f ca="1">OFFSET(POrigin,MATCH(Valori[[#This Row],[LUKB_id]],PID,0),MATCH("INTEREST",PLabel,0)-1,1,1)</f>
        <v>0</v>
      </c>
      <c r="AL309" s="1603">
        <f ca="1">OFFSET(POrigin,MATCH(Valori[[#This Row],[LUKB_id]],PID,0),MATCH("4W_PERF_PR",PLabel,0)-1,1,1)/100</f>
        <v>0</v>
      </c>
      <c r="AM309" s="1603">
        <f ca="1">OFFSET(POrigin,MATCH(Valori[[#This Row],[LUKB_id]],PID,0),MATCH("12W_PERF_PR",PLabel,0)-1,1,1)/100</f>
        <v>0</v>
      </c>
      <c r="AN309" s="1603">
        <f ca="1">OFFSET(POrigin,MATCH(Valori[[#This Row],[LUKB_id]],PID,0),MATCH("YTD_PERF_PR",PLabel,0)-1,1,1)/100</f>
        <v>0</v>
      </c>
      <c r="AO309" s="1591"/>
      <c r="AP309" s="1591"/>
      <c r="AQ309" s="1591"/>
      <c r="AR309" s="1591"/>
      <c r="AS309" s="1890" t="s">
        <v>1359</v>
      </c>
      <c r="AT309" s="1890" t="s">
        <v>1360</v>
      </c>
      <c r="AU309" s="610" t="s">
        <v>1361</v>
      </c>
      <c r="AV309" s="1891" t="s">
        <v>1362</v>
      </c>
      <c r="AW309" s="1604" t="str">
        <f ca="1">"https://boersenundmaerkte.lukb.ch/lukb/details/"&amp;Valori[[#This Row],[LUKB_id]]</f>
        <v>https://boersenundmaerkte.lukb.ch/lukb/details/24770428,25,814</v>
      </c>
      <c r="AX309" s="1605" t="str">
        <f>"https://www.marketscreener.com/mods_a/charts/TV/inc_dyna_graph.php?c="&amp;Valori[[#This Row],[MS_Code]]&amp;"&amp;style=TradingView.CANDLES&amp;interval=(null)&amp;mobile=(null)&amp;showAT=1"</f>
        <v>https://www.marketscreener.com/mods_a/charts/TV/inc_dyna_graph.php?c=19116477&amp;style=TradingView.CANDLES&amp;interval=(null)&amp;mobile=(null)&amp;showAT=1</v>
      </c>
      <c r="AY309" s="142"/>
      <c r="AZ309" s="142"/>
      <c r="BA309" s="142"/>
      <c r="BB309" s="142"/>
    </row>
    <row r="310" spans="1:54" ht="15" customHeight="1" x14ac:dyDescent="0.2">
      <c r="A310" s="142" t="s">
        <v>1764</v>
      </c>
      <c r="B310" s="142" t="str" cm="1">
        <f t="array" aca="1" ref="B310" ca="1">OFFSET(POrigin,MATCH(Valori[[#This Row],[smo_id]],Posizioni[smo_id],0),MATCH("LUKB_id",PIntestazioni,0)-1,1,1)</f>
        <v>71078281,21,1</v>
      </c>
      <c r="C310" s="1668" t="str">
        <f ca="1">HYPERLINK("https://boersenundmaerkte.lukb.ch/lukb/details/"&amp;Valori[[#This Row],[LUKB_id]],"è")</f>
        <v>è</v>
      </c>
      <c r="D310" s="142" t="str" cm="1">
        <f t="array" aca="1" ref="D310" ca="1">OFFSET(POrigin,MATCH(Valori[[#This Row],[LUKB_id]],PID,0),MATCH("SC_GROUPED",PIntestazioni,0)-1,1,1)</f>
        <v>DIV</v>
      </c>
      <c r="E310" s="413" cm="1">
        <f t="array" aca="1" ref="E310" ca="1">OFFSET(POrigin,MATCH(Valori[[#This Row],[LUKB_id]],PID,0),MATCH("isin",PIntestazioni,0)-1,1,1)</f>
        <v>0</v>
      </c>
      <c r="F310" s="34" cm="1">
        <f t="array" aca="1" ref="F310" ca="1">OFFSET(POrigin,MATCH(Valori[[#This Row],[LUKB_id]],PID,0),MATCH("NSIN_CH",PLabel,0)-1,1,1)</f>
        <v>0</v>
      </c>
      <c r="G310" s="95" t="str" cm="1">
        <f t="array" aca="1" ref="G310" ca="1">IF(OFFSET(POrigin,MATCH(Valori[[#This Row],[LUKB_id]],PID,0),MATCH("INSTRUNIT",PLabel,0)-1,1,1)="Nominal","Pct","Unit")</f>
        <v>Unit</v>
      </c>
      <c r="H310" s="612">
        <f ca="1">MAX(OFFSET(POrigin,MATCH(Valori[[#This Row],[LUKB_id]],PID,0),MATCH("PRICINGAMT",PLabel,0)-1,1,1),1)</f>
        <v>1</v>
      </c>
      <c r="I310" s="615" cm="1">
        <f t="array" aca="1" ref="I310" ca="1">OFFSET(POrigin,MATCH(Valori[[#This Row],[LUKB_id]],PID,0),MATCH("M_NAME",PLabel,0)-1,1,1)</f>
        <v>0</v>
      </c>
      <c r="J310" s="142" t="s">
        <v>1765</v>
      </c>
      <c r="M310" s="142" t="str" cm="1">
        <f t="array" aca="1" ref="M3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USD/CHF Futures 17.03.2025 (100K USD)</v>
      </c>
      <c r="N310" s="1563">
        <f ca="1">COUNTIF('CHF M'!smo_id,Valori[[#This Row],[smo_id]])+COUNTIF('CHF MA'!smo_id,Valori[[#This Row],[smo_id]])+COUNTIF('EUR MB'!smo_id,Valori[[#This Row],[smo_id]])+COUNTIF('EUR M'!smo_id,Valori[[#This Row],[smo_id]])+COUNTIF(AGCO!smo_id,Valori[[#This Row],[smo_id]])</f>
        <v>0</v>
      </c>
      <c r="O310" s="1590" cm="1">
        <f t="array" aca="1" ref="O310" ca="1">SUM(IF('CHF M'!smo_id=Valori[[#This Row],[smo_id]],'CHF M'!Posizione))+SUM(IF('CHF MA'!smo_id=Valori[[#This Row],[smo_id]],'CHF MA'!Posizione))+SUM(IF('EUR MB'!smo_id=Valori[[#This Row],[smo_id]],'EUR MB'!Posizione))+SUM(IF('EUR M'!smo_id=Valori[[#This Row],[smo_id]],'EUR M'!Posizione))+SUM(IF(AGCO!smo_id=Valori[[#This Row],[smo_id]],AGCO!Posizione))</f>
        <v>0</v>
      </c>
      <c r="P310" s="1661" t="str">
        <f ca="1">HYPERLINK(Valori[[#This Row],[P_Source]],"è")</f>
        <v>è</v>
      </c>
      <c r="Q310" s="1663" t="str">
        <f>HYPERLINK(Valori[[#This Row],[Info_W]],"i")</f>
        <v>i</v>
      </c>
      <c r="R310" s="1664" t="str">
        <f>HYPERLINK(Valori[[#This Row],[FN_W]],"")</f>
        <v></v>
      </c>
      <c r="S310" s="1665" t="str">
        <f>HYPERLINK(Valori[[#This Row],[MS_Link]],"")</f>
        <v></v>
      </c>
      <c r="T310" s="1665" t="str">
        <f>HYPERLINK(Valori[[#This Row],[C_source]],"")</f>
        <v></v>
      </c>
      <c r="U310" s="142" cm="1">
        <f t="array" aca="1" ref="U310" ca="1">OFFSET(POrigin,MATCH(Valori[[#This Row],[LUKB_id]],PID,0),MATCH("M_CUR",PLabel,0)-1,1,1)</f>
        <v>0</v>
      </c>
      <c r="V310" s="1562">
        <f ca="1">(Valori[[#This Row],[Last]]+Valori[[#This Row],[Acc. Int]])/Valori[[#This Row],[Pr.Amt]]/IF(Valori[[#This Row],[P_Type]]="Pct",100,1)</f>
        <v>0</v>
      </c>
      <c r="W310" s="1591" cm="1">
        <f t="array" aca="1" ref="W310" ca="1">OFFSET(POrigin,MATCH(Valori[[#This Row],[LUKB_id]],PID,0),MATCH("NC2_PR",PLabel,0)-1,1,1)/100</f>
        <v>0</v>
      </c>
      <c r="X310" s="1592" cm="1">
        <f t="array" aca="1" ref="X310" ca="1">OFFSET(POrigin,MATCH(Valori[[#This Row],[LUKB_id]],PID,0),MATCH("LVAL",PLabel,0)-1,1,1)</f>
        <v>0</v>
      </c>
      <c r="Y310" s="1593" cm="1">
        <f t="array" aca="1" ref="Y310" ca="1">OFFSET(POrigin,MATCH(Valori[[#This Row],[LUKB_id]],PID,0),MATCH("LVAL:datetime",PLabel,0)-1,1,1)</f>
        <v>0</v>
      </c>
      <c r="Z310" s="1594" cm="1">
        <f t="array" aca="1" ref="Z310" ca="1">OFFSET(POrigin,MATCH(Valori[[#This Row],[LUKB_id]],PID,0),MATCH("BID:volume",PLabel,0)-1,1,1)</f>
        <v>0</v>
      </c>
      <c r="AA310" s="1595" cm="1">
        <f t="array" aca="1" ref="AA310" ca="1">OFFSET(POrigin,MATCH(Valori[[#This Row],[LUKB_id]],PID,0),MATCH("BID",PLabel,0)-1,1,1)</f>
        <v>0</v>
      </c>
      <c r="AB310" s="1595" cm="1">
        <f t="array" aca="1" ref="AB310" ca="1">OFFSET(POrigin,MATCH(Valori[[#This Row],[LUKB_id]],PID,0),MATCH("ASK",PLabel,0)-1,1,1)</f>
        <v>0</v>
      </c>
      <c r="AC310" s="1594" cm="1">
        <f t="array" aca="1" ref="AC310" ca="1">OFFSET(POrigin,MATCH(Valori[[#This Row],[LUKB_id]],PID,0),MATCH("ASK:volume",PLabel,0)-1,1,1)</f>
        <v>0</v>
      </c>
      <c r="AD310" s="1596" cm="1">
        <f t="array" aca="1" ref="AD310" ca="1">OFFSET(POrigin,MATCH(Valori[[#This Row],[LUKB_id]],PID,0),MATCH("BID-ASK Spread %",PLabel,0)-1,1,1)</f>
        <v>0</v>
      </c>
      <c r="AE310" s="1597" t="str" cm="1">
        <f t="array" aca="1" ref="AE310" ca="1">IF(OFFSET(POrigin,MATCH(Valori[[#This Row],[LUKB_id]],PID,0),MATCH("MATURITY",PLabel,0)-1,1,1)&gt;0,OFFSET(POrigin,MATCH(Valori[[#This Row],[LUKB_id]],PID,0),MATCH("MATURITY",PLabel,0)-1,1,1),"")</f>
        <v/>
      </c>
      <c r="AF310" s="1598" cm="1">
        <f t="array" aca="1" ref="AF310" ca="1">OFFSET(POrigin,MATCH(Valori[[#This Row],[LUKB_id]],PID,0),MATCH("ACCINT",PLabel,0)-1,1,1)</f>
        <v>0</v>
      </c>
      <c r="AG310" s="1594" cm="1">
        <f t="array" aca="1" ref="AG310" ca="1">OFFSET(POrigin,MATCH(Valori[[#This Row],[LUKB_id]],PID,0),MATCH("DENOM",PLabel,0)-1,1,1)</f>
        <v>0</v>
      </c>
      <c r="AH310" s="1599" cm="1">
        <f t="array" aca="1" ref="AH310" ca="1">(OFFSET(POrigin,MATCH(Valori[[#This Row],[LUKB_id]],PID,0),MATCH("YIELD",PLabel,0)-1,1,1)+OFFSET(POrigin,MATCH(Valori[[#This Row],[LUKB_id]],PID,0),MATCH("YLDEQ",PLabel,0)-1,1,1))/100</f>
        <v>0</v>
      </c>
      <c r="AI310" s="1600">
        <f ca="1">OFFSET(POrigin,MATCH(Valori[[#This Row],[LUKB_id]],PID,0),MATCH("DIVIDEND",PLabel,0)-1,1,1)</f>
        <v>0</v>
      </c>
      <c r="AJ310" s="1601">
        <f ca="1">OFFSET(POrigin,MATCH(Valori[[#This Row],[LUKB_id]],PID,0),MATCH("DIVIDEND:datetime",PLabel,0)-1,1,1)</f>
        <v>0</v>
      </c>
      <c r="AK310" s="1602">
        <f ca="1">OFFSET(POrigin,MATCH(Valori[[#This Row],[LUKB_id]],PID,0),MATCH("INTEREST",PLabel,0)-1,1,1)</f>
        <v>0</v>
      </c>
      <c r="AL310" s="1603">
        <f ca="1">OFFSET(POrigin,MATCH(Valori[[#This Row],[LUKB_id]],PID,0),MATCH("4W_PERF_PR",PLabel,0)-1,1,1)/100</f>
        <v>0</v>
      </c>
      <c r="AM310" s="1603">
        <f ca="1">OFFSET(POrigin,MATCH(Valori[[#This Row],[LUKB_id]],PID,0),MATCH("12W_PERF_PR",PLabel,0)-1,1,1)/100</f>
        <v>0</v>
      </c>
      <c r="AN310" s="1603">
        <f ca="1">OFFSET(POrigin,MATCH(Valori[[#This Row],[LUKB_id]],PID,0),MATCH("YTD_PERF_PR",PLabel,0)-1,1,1)/100</f>
        <v>0</v>
      </c>
      <c r="AO310" s="1591"/>
      <c r="AP310" s="1591"/>
      <c r="AQ310" s="1591"/>
      <c r="AR310" s="1591"/>
      <c r="AS310" s="1890"/>
      <c r="AT310" s="1890"/>
      <c r="AU310" s="610"/>
      <c r="AV310" s="1891"/>
      <c r="AW310" s="1604" t="str">
        <f ca="1">"https://boersenundmaerkte.lukb.ch/lukb/details/"&amp;Valori[[#This Row],[LUKB_id]]</f>
        <v>https://boersenundmaerkte.lukb.ch/lukb/details/71078281,21,1</v>
      </c>
      <c r="AX31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0" s="142"/>
      <c r="AZ310" s="142"/>
      <c r="BA310" s="142"/>
      <c r="BB310" s="142"/>
    </row>
    <row r="311" spans="1:54" ht="15" customHeight="1" x14ac:dyDescent="0.2">
      <c r="A311" s="142" t="s">
        <v>1766</v>
      </c>
      <c r="B311" s="142" t="str" cm="1">
        <f t="array" aca="1" ref="B311" ca="1">OFFSET(POrigin,MATCH(Valori[[#This Row],[smo_id]],Posizioni[smo_id],0),MATCH("LUKB_id",PIntestazioni,0)-1,1,1)</f>
        <v>1222171,4,1</v>
      </c>
      <c r="C311" s="1668" t="str">
        <f ca="1">HYPERLINK("https://boersenundmaerkte.lukb.ch/lukb/details/"&amp;Valori[[#This Row],[LUKB_id]],"è")</f>
        <v>è</v>
      </c>
      <c r="D311" s="142" t="str" cm="1">
        <f t="array" aca="1" ref="D311" ca="1">OFFSET(POrigin,MATCH(Valori[[#This Row],[LUKB_id]],PID,0),MATCH("SC_GROUPED",PIntestazioni,0)-1,1,1)</f>
        <v>EQU</v>
      </c>
      <c r="E311" s="413" t="str" cm="1">
        <f t="array" aca="1" ref="E311" ca="1">OFFSET(POrigin,MATCH(Valori[[#This Row],[LUKB_id]],PID,0),MATCH("isin",PIntestazioni,0)-1,1,1)</f>
        <v>CH0012221716</v>
      </c>
      <c r="F311" s="34" t="str" cm="1">
        <f t="array" aca="1" ref="F311" ca="1">OFFSET(POrigin,MATCH(Valori[[#This Row],[LUKB_id]],PID,0),MATCH("NSIN_CH",PLabel,0)-1,1,1)</f>
        <v>1222171</v>
      </c>
      <c r="G311" s="95" t="str" cm="1">
        <f t="array" aca="1" ref="G311" ca="1">IF(OFFSET(POrigin,MATCH(Valori[[#This Row],[LUKB_id]],PID,0),MATCH("INSTRUNIT",PLabel,0)-1,1,1)="Nominal","Pct","Unit")</f>
        <v>Unit</v>
      </c>
      <c r="H311" s="612">
        <f ca="1">MAX(OFFSET(POrigin,MATCH(Valori[[#This Row],[LUKB_id]],PID,0),MATCH("PRICINGAMT",PLabel,0)-1,1,1),1)</f>
        <v>1</v>
      </c>
      <c r="I311" s="615" t="str" cm="1">
        <f t="array" aca="1" ref="I311" ca="1">OFFSET(POrigin,MATCH(Valori[[#This Row],[LUKB_id]],PID,0),MATCH("M_NAME",PLabel,0)-1,1,1)</f>
        <v>ABB N</v>
      </c>
      <c r="J311" s="142" t="s">
        <v>442</v>
      </c>
      <c r="L311" s="612">
        <v>4</v>
      </c>
      <c r="M311" s="142" t="str" cm="1">
        <f t="array" aca="1" ref="M3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 Nom.</v>
      </c>
      <c r="N311" s="1563">
        <f ca="1">COUNTIF('CHF M'!smo_id,Valori[[#This Row],[smo_id]])+COUNTIF('CHF MA'!smo_id,Valori[[#This Row],[smo_id]])+COUNTIF('EUR MB'!smo_id,Valori[[#This Row],[smo_id]])+COUNTIF('EUR M'!smo_id,Valori[[#This Row],[smo_id]])+COUNTIF(AGCO!smo_id,Valori[[#This Row],[smo_id]])</f>
        <v>2</v>
      </c>
      <c r="O311" s="1590" cm="1">
        <f t="array" aca="1" ref="O311" ca="1">SUM(IF('CHF M'!smo_id=Valori[[#This Row],[smo_id]],'CHF M'!Posizione))+SUM(IF('CHF MA'!smo_id=Valori[[#This Row],[smo_id]],'CHF MA'!Posizione))+SUM(IF('EUR MB'!smo_id=Valori[[#This Row],[smo_id]],'EUR MB'!Posizione))+SUM(IF('EUR M'!smo_id=Valori[[#This Row],[smo_id]],'EUR M'!Posizione))+SUM(IF(AGCO!smo_id=Valori[[#This Row],[smo_id]],AGCO!Posizione))</f>
        <v>225</v>
      </c>
      <c r="P311" s="1661" t="str">
        <f ca="1">HYPERLINK(Valori[[#This Row],[P_Source]],"è")</f>
        <v>è</v>
      </c>
      <c r="Q311" s="1663" t="str">
        <f>HYPERLINK(Valori[[#This Row],[Info_W]],"i")</f>
        <v>i</v>
      </c>
      <c r="R311" s="1664" t="str">
        <f>HYPERLINK(Valori[[#This Row],[FN_W]],"")</f>
        <v></v>
      </c>
      <c r="S311" s="1665" t="str">
        <f>HYPERLINK(Valori[[#This Row],[MS_Link]],"")</f>
        <v></v>
      </c>
      <c r="T311" s="1665" t="str">
        <f>HYPERLINK(Valori[[#This Row],[C_source]],"")</f>
        <v></v>
      </c>
      <c r="U311" s="142" t="str" cm="1">
        <f t="array" aca="1" ref="U311" ca="1">OFFSET(POrigin,MATCH(Valori[[#This Row],[LUKB_id]],PID,0),MATCH("M_CUR",PLabel,0)-1,1,1)</f>
        <v>CHF</v>
      </c>
      <c r="V311" s="1562">
        <f ca="1">(Valori[[#This Row],[Last]]+Valori[[#This Row],[Acc. Int]])/Valori[[#This Row],[Pr.Amt]]/IF(Valori[[#This Row],[P_Type]]="Pct",100,1)</f>
        <v>67.2</v>
      </c>
      <c r="W311" s="1591" cm="1">
        <f t="array" aca="1" ref="W311" ca="1">OFFSET(POrigin,MATCH(Valori[[#This Row],[LUKB_id]],PID,0),MATCH("NC2_PR",PLabel,0)-1,1,1)/100</f>
        <v>-4.8697621744054398E-2</v>
      </c>
      <c r="X311" s="1592" cm="1">
        <f t="array" aca="1" ref="X311" ca="1">OFFSET(POrigin,MATCH(Valori[[#This Row],[LUKB_id]],PID,0),MATCH("LVAL",PLabel,0)-1,1,1)</f>
        <v>67.2</v>
      </c>
      <c r="Y311" s="1593" cm="1">
        <f t="array" aca="1" ref="Y311" ca="1">OFFSET(POrigin,MATCH(Valori[[#This Row],[LUKB_id]],PID,0),MATCH("LVAL:datetime",PLabel,0)-1,1,1)</f>
        <v>46084.731296296297</v>
      </c>
      <c r="Z311" s="1594" cm="1">
        <f t="array" aca="1" ref="Z311" ca="1">OFFSET(POrigin,MATCH(Valori[[#This Row],[LUKB_id]],PID,0),MATCH("BID:volume",PLabel,0)-1,1,1)</f>
        <v>0</v>
      </c>
      <c r="AA311" s="1595" cm="1">
        <f t="array" aca="1" ref="AA311" ca="1">OFFSET(POrigin,MATCH(Valori[[#This Row],[LUKB_id]],PID,0),MATCH("BID",PLabel,0)-1,1,1)</f>
        <v>0</v>
      </c>
      <c r="AB311" s="1595" cm="1">
        <f t="array" aca="1" ref="AB311" ca="1">OFFSET(POrigin,MATCH(Valori[[#This Row],[LUKB_id]],PID,0),MATCH("ASK",PLabel,0)-1,1,1)</f>
        <v>0</v>
      </c>
      <c r="AC311" s="1594" cm="1">
        <f t="array" aca="1" ref="AC311" ca="1">OFFSET(POrigin,MATCH(Valori[[#This Row],[LUKB_id]],PID,0),MATCH("ASK:volume",PLabel,0)-1,1,1)</f>
        <v>0</v>
      </c>
      <c r="AD311" s="1596" cm="1">
        <f t="array" aca="1" ref="AD311" ca="1">OFFSET(POrigin,MATCH(Valori[[#This Row],[LUKB_id]],PID,0),MATCH("BID-ASK Spread %",PLabel,0)-1,1,1)</f>
        <v>0</v>
      </c>
      <c r="AE311" s="1597" t="str" cm="1">
        <f t="array" aca="1" ref="AE311" ca="1">IF(OFFSET(POrigin,MATCH(Valori[[#This Row],[LUKB_id]],PID,0),MATCH("MATURITY",PLabel,0)-1,1,1)&gt;0,OFFSET(POrigin,MATCH(Valori[[#This Row],[LUKB_id]],PID,0),MATCH("MATURITY",PLabel,0)-1,1,1),"")</f>
        <v/>
      </c>
      <c r="AF311" s="1598" cm="1">
        <f t="array" aca="1" ref="AF311" ca="1">OFFSET(POrigin,MATCH(Valori[[#This Row],[LUKB_id]],PID,0),MATCH("ACCINT",PLabel,0)-1,1,1)</f>
        <v>0</v>
      </c>
      <c r="AG311" s="1594" cm="1">
        <f t="array" aca="1" ref="AG311" ca="1">OFFSET(POrigin,MATCH(Valori[[#This Row],[LUKB_id]],PID,0),MATCH("DENOM",PLabel,0)-1,1,1)</f>
        <v>0</v>
      </c>
      <c r="AH311" s="1599" cm="1">
        <f t="array" aca="1" ref="AH311" ca="1">(OFFSET(POrigin,MATCH(Valori[[#This Row],[LUKB_id]],PID,0),MATCH("YIELD",PLabel,0)-1,1,1)+OFFSET(POrigin,MATCH(Valori[[#This Row],[LUKB_id]],PID,0),MATCH("YLDEQ",PLabel,0)-1,1,1))/100</f>
        <v>1.3988100000000002E-2</v>
      </c>
      <c r="AI311" s="1600">
        <f ca="1">OFFSET(POrigin,MATCH(Valori[[#This Row],[LUKB_id]],PID,0),MATCH("DIVIDEND",PLabel,0)-1,1,1)</f>
        <v>0.9</v>
      </c>
      <c r="AJ311" s="1601">
        <f ca="1">OFFSET(POrigin,MATCH(Valori[[#This Row],[LUKB_id]],PID,0),MATCH("DIVIDEND:datetime",PLabel,0)-1,1,1)</f>
        <v>45747</v>
      </c>
      <c r="AK311" s="1602">
        <f ca="1">OFFSET(POrigin,MATCH(Valori[[#This Row],[LUKB_id]],PID,0),MATCH("INTEREST",PLabel,0)-1,1,1)</f>
        <v>0</v>
      </c>
      <c r="AL311" s="1603">
        <f ca="1">OFFSET(POrigin,MATCH(Valori[[#This Row],[LUKB_id]],PID,0),MATCH("4W_PERF_PR",PLabel,0)-1,1,1)/100</f>
        <v>-1.234568E-2</v>
      </c>
      <c r="AM311" s="1603">
        <f ca="1">OFFSET(POrigin,MATCH(Valori[[#This Row],[LUKB_id]],PID,0),MATCH("12W_PERF_PR",PLabel,0)-1,1,1)/100</f>
        <v>0.14519426999999999</v>
      </c>
      <c r="AN311" s="1603">
        <f ca="1">OFFSET(POrigin,MATCH(Valori[[#This Row],[LUKB_id]],PID,0),MATCH("YTD_PERF_PR",PLabel,0)-1,1,1)/100</f>
        <v>0.19284025667004501</v>
      </c>
      <c r="AO311" s="1591"/>
      <c r="AP311" s="1591"/>
      <c r="AQ311" s="1591"/>
      <c r="AR311" s="1591"/>
      <c r="AS311" s="1890" t="s">
        <v>1767</v>
      </c>
      <c r="AT311" s="1890" t="s">
        <v>1768</v>
      </c>
      <c r="AU311" s="610" t="s">
        <v>1769</v>
      </c>
      <c r="AV311" s="1891" t="str">
        <f>IF(Valori[[#This Row],[MS_Link]]&lt;&gt;"",Valori[[#This Row],[MS_Link]]&amp;"company/","")</f>
        <v>https://www.marketscreener.com/quote/stock/ABB-LTD-9365000/company/</v>
      </c>
      <c r="AW311" s="1604" t="str">
        <f ca="1">"https://boersenundmaerkte.lukb.ch/lukb/details/"&amp;Valori[[#This Row],[LUKB_id]]</f>
        <v>https://boersenundmaerkte.lukb.ch/lukb/details/1222171,4,1</v>
      </c>
      <c r="AX311" s="1605" t="str">
        <f>"https://www.zonebourse.com/mods_a/charts/TV/inc_dyna_graph.php?c="&amp;Valori[[#This Row],[MS_Code]]&amp;"&amp;style=TradingView.CANDLES&amp;interval=(null)&amp;mobile=(null)&amp;showAT=1"</f>
        <v>https://www.zonebourse.com/mods_a/charts/TV/inc_dyna_graph.php?c=9365000&amp;style=TradingView.CANDLES&amp;interval=(null)&amp;mobile=(null)&amp;showAT=1</v>
      </c>
      <c r="AY311" s="142"/>
      <c r="AZ311" s="142"/>
      <c r="BA311" s="142"/>
      <c r="BB311" s="142"/>
    </row>
    <row r="312" spans="1:54" ht="15" customHeight="1" x14ac:dyDescent="0.2">
      <c r="A312" s="142" t="s">
        <v>1770</v>
      </c>
      <c r="B312" s="142" t="str" cm="1">
        <f t="array" aca="1" ref="B312" ca="1">OFFSET(POrigin,MATCH(Valori[[#This Row],[smo_id]],Posizioni[smo_id],0),MATCH("LUKB_id",PIntestazioni,0)-1,1,1)</f>
        <v>20145667,321,333</v>
      </c>
      <c r="C312" s="1668" t="str">
        <f ca="1">HYPERLINK("https://boersenundmaerkte.lukb.ch/lukb/details/"&amp;Valori[[#This Row],[LUKB_id]],"è")</f>
        <v>è</v>
      </c>
      <c r="D312" s="142" t="str" cm="1">
        <f t="array" aca="1" ref="D312" ca="1">OFFSET(POrigin,MATCH(Valori[[#This Row],[LUKB_id]],PID,0),MATCH("SC_GROUPED",PIntestazioni,0)-1,1,1)</f>
        <v>EQU</v>
      </c>
      <c r="E312" s="413" t="str" cm="1">
        <f t="array" aca="1" ref="E312" ca="1">OFFSET(POrigin,MATCH(Valori[[#This Row],[LUKB_id]],PID,0),MATCH("isin",PIntestazioni,0)-1,1,1)</f>
        <v>US00287Y1091</v>
      </c>
      <c r="F312" s="34" t="str" cm="1">
        <f t="array" aca="1" ref="F312" ca="1">OFFSET(POrigin,MATCH(Valori[[#This Row],[LUKB_id]],PID,0),MATCH("NSIN_CH",PLabel,0)-1,1,1)</f>
        <v>20145667</v>
      </c>
      <c r="G312" s="95" t="str" cm="1">
        <f t="array" aca="1" ref="G312" ca="1">IF(OFFSET(POrigin,MATCH(Valori[[#This Row],[LUKB_id]],PID,0),MATCH("INSTRUNIT",PLabel,0)-1,1,1)="Nominal","Pct","Unit")</f>
        <v>Unit</v>
      </c>
      <c r="H312" s="612">
        <f ca="1">MAX(OFFSET(POrigin,MATCH(Valori[[#This Row],[LUKB_id]],PID,0),MATCH("PRICINGAMT",PLabel,0)-1,1,1),1)</f>
        <v>1</v>
      </c>
      <c r="I312" s="615" t="str" cm="1">
        <f t="array" aca="1" ref="I312" ca="1">OFFSET(POrigin,MATCH(Valori[[#This Row],[LUKB_id]],PID,0),MATCH("M_NAME",PLabel,0)-1,1,1)</f>
        <v>AbbVie Rg</v>
      </c>
      <c r="M312" s="142" t="str" cm="1">
        <f t="array" aca="1" ref="M3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AbbVie Rg</v>
      </c>
      <c r="N312" s="1563">
        <f ca="1">COUNTIF('CHF M'!smo_id,Valori[[#This Row],[smo_id]])+COUNTIF('CHF MA'!smo_id,Valori[[#This Row],[smo_id]])+COUNTIF('EUR MB'!smo_id,Valori[[#This Row],[smo_id]])+COUNTIF('EUR M'!smo_id,Valori[[#This Row],[smo_id]])+COUNTIF(AGCO!smo_id,Valori[[#This Row],[smo_id]])</f>
        <v>0</v>
      </c>
      <c r="O312" s="1590" cm="1">
        <f t="array" aca="1" ref="O312" ca="1">SUM(IF('CHF M'!smo_id=Valori[[#This Row],[smo_id]],'CHF M'!Posizione))+SUM(IF('CHF MA'!smo_id=Valori[[#This Row],[smo_id]],'CHF MA'!Posizione))+SUM(IF('EUR MB'!smo_id=Valori[[#This Row],[smo_id]],'EUR MB'!Posizione))+SUM(IF('EUR M'!smo_id=Valori[[#This Row],[smo_id]],'EUR M'!Posizione))+SUM(IF(AGCO!smo_id=Valori[[#This Row],[smo_id]],AGCO!Posizione))</f>
        <v>0</v>
      </c>
      <c r="P312" s="1661" t="str">
        <f ca="1">HYPERLINK(Valori[[#This Row],[P_Source]],"è")</f>
        <v>è</v>
      </c>
      <c r="Q312" s="1663" t="str">
        <f>HYPERLINK(Valori[[#This Row],[Info_W]],"i")</f>
        <v>i</v>
      </c>
      <c r="R312" s="1664" t="str">
        <f>HYPERLINK(Valori[[#This Row],[FN_W]],"")</f>
        <v></v>
      </c>
      <c r="S312" s="1665" t="str">
        <f>HYPERLINK(Valori[[#This Row],[MS_Link]],"")</f>
        <v></v>
      </c>
      <c r="T312" s="1665" t="str">
        <f>HYPERLINK(Valori[[#This Row],[C_source]],"")</f>
        <v></v>
      </c>
      <c r="U312" s="142" t="str" cm="1">
        <f t="array" aca="1" ref="U312" ca="1">OFFSET(POrigin,MATCH(Valori[[#This Row],[LUKB_id]],PID,0),MATCH("M_CUR",PLabel,0)-1,1,1)</f>
        <v>USD</v>
      </c>
      <c r="V312" s="1562">
        <f ca="1">(Valori[[#This Row],[Last]]+Valori[[#This Row],[Acc. Int]])/Valori[[#This Row],[Pr.Amt]]/IF(Valori[[#This Row],[P_Type]]="Pct",100,1)</f>
        <v>233.16</v>
      </c>
      <c r="W312" s="1591" cm="1">
        <f t="array" aca="1" ref="W312" ca="1">OFFSET(POrigin,MATCH(Valori[[#This Row],[LUKB_id]],PID,0),MATCH("NC2_PR",PLabel,0)-1,1,1)/100</f>
        <v>-4.6956373260480001E-3</v>
      </c>
      <c r="X312" s="1592" cm="1">
        <f t="array" aca="1" ref="X312" ca="1">OFFSET(POrigin,MATCH(Valori[[#This Row],[LUKB_id]],PID,0),MATCH("LVAL",PLabel,0)-1,1,1)</f>
        <v>233.16</v>
      </c>
      <c r="Y312" s="1593" cm="1">
        <f t="array" aca="1" ref="Y312" ca="1">OFFSET(POrigin,MATCH(Valori[[#This Row],[LUKB_id]],PID,0),MATCH("LVAL:datetime",PLabel,0)-1,1,1)</f>
        <v>46084.785763888889</v>
      </c>
      <c r="Z312" s="1594" cm="1">
        <f t="array" aca="1" ref="Z312" ca="1">OFFSET(POrigin,MATCH(Valori[[#This Row],[LUKB_id]],PID,0),MATCH("BID:volume",PLabel,0)-1,1,1)</f>
        <v>400</v>
      </c>
      <c r="AA312" s="1595" cm="1">
        <f t="array" aca="1" ref="AA312" ca="1">OFFSET(POrigin,MATCH(Valori[[#This Row],[LUKB_id]],PID,0),MATCH("BID",PLabel,0)-1,1,1)</f>
        <v>233.07</v>
      </c>
      <c r="AB312" s="1595" cm="1">
        <f t="array" aca="1" ref="AB312" ca="1">OFFSET(POrigin,MATCH(Valori[[#This Row],[LUKB_id]],PID,0),MATCH("ASK",PLabel,0)-1,1,1)</f>
        <v>233.20000000000002</v>
      </c>
      <c r="AC312" s="1594" cm="1">
        <f t="array" aca="1" ref="AC312" ca="1">OFFSET(POrigin,MATCH(Valori[[#This Row],[LUKB_id]],PID,0),MATCH("ASK:volume",PLabel,0)-1,1,1)</f>
        <v>100</v>
      </c>
      <c r="AD312" s="1596" cm="1">
        <f t="array" aca="1" ref="AD312" ca="1">OFFSET(POrigin,MATCH(Valori[[#This Row],[LUKB_id]],PID,0),MATCH("BID-ASK Spread %",PLabel,0)-1,1,1)</f>
        <v>3.7177910601431027E-4</v>
      </c>
      <c r="AE312" s="1597" t="str" cm="1">
        <f t="array" aca="1" ref="AE312" ca="1">IF(OFFSET(POrigin,MATCH(Valori[[#This Row],[LUKB_id]],PID,0),MATCH("MATURITY",PLabel,0)-1,1,1)&gt;0,OFFSET(POrigin,MATCH(Valori[[#This Row],[LUKB_id]],PID,0),MATCH("MATURITY",PLabel,0)-1,1,1),"")</f>
        <v/>
      </c>
      <c r="AF312" s="1598" cm="1">
        <f t="array" aca="1" ref="AF312" ca="1">OFFSET(POrigin,MATCH(Valori[[#This Row],[LUKB_id]],PID,0),MATCH("ACCINT",PLabel,0)-1,1,1)</f>
        <v>0</v>
      </c>
      <c r="AG312" s="1594" cm="1">
        <f t="array" aca="1" ref="AG312" ca="1">OFFSET(POrigin,MATCH(Valori[[#This Row],[LUKB_id]],PID,0),MATCH("DENOM",PLabel,0)-1,1,1)</f>
        <v>0</v>
      </c>
      <c r="AH312" s="1599" cm="1">
        <f t="array" aca="1" ref="AH312" ca="1">(OFFSET(POrigin,MATCH(Valori[[#This Row],[LUKB_id]],PID,0),MATCH("YIELD",PLabel,0)-1,1,1)+OFFSET(POrigin,MATCH(Valori[[#This Row],[LUKB_id]],PID,0),MATCH("YLDEQ",PLabel,0)-1,1,1))/100</f>
        <v>2.8907189999999999E-2</v>
      </c>
      <c r="AI312" s="1600">
        <f ca="1">OFFSET(POrigin,MATCH(Valori[[#This Row],[LUKB_id]],PID,0),MATCH("DIVIDEND",PLabel,0)-1,1,1)</f>
        <v>1.73</v>
      </c>
      <c r="AJ312" s="1601">
        <f ca="1">OFFSET(POrigin,MATCH(Valori[[#This Row],[LUKB_id]],PID,0),MATCH("DIVIDEND:datetime",PLabel,0)-1,1,1)</f>
        <v>46038</v>
      </c>
      <c r="AK312" s="1602">
        <f ca="1">OFFSET(POrigin,MATCH(Valori[[#This Row],[LUKB_id]],PID,0),MATCH("INTEREST",PLabel,0)-1,1,1)</f>
        <v>0</v>
      </c>
      <c r="AL312" s="1603">
        <f ca="1">OFFSET(POrigin,MATCH(Valori[[#This Row],[LUKB_id]],PID,0),MATCH("4W_PERF_PR",PLabel,0)-1,1,1)/100</f>
        <v>3.3235839999999996E-2</v>
      </c>
      <c r="AM312" s="1603">
        <f ca="1">OFFSET(POrigin,MATCH(Valori[[#This Row],[LUKB_id]],PID,0),MATCH("12W_PERF_PR",PLabel,0)-1,1,1)/100</f>
        <v>4.5607429999999997E-2</v>
      </c>
      <c r="AN312" s="1603">
        <f ca="1">OFFSET(POrigin,MATCH(Valori[[#This Row],[LUKB_id]],PID,0),MATCH("YTD_PERF_PR",PLabel,0)-1,1,1)/100</f>
        <v>2.5252746290866001E-2</v>
      </c>
      <c r="AO312" s="1591"/>
      <c r="AP312" s="1591"/>
      <c r="AQ312" s="1591"/>
      <c r="AR312" s="1591"/>
      <c r="AS312" s="1890" t="s">
        <v>1771</v>
      </c>
      <c r="AT312" s="1890" t="s">
        <v>1772</v>
      </c>
      <c r="AU312" s="610" t="s">
        <v>1773</v>
      </c>
      <c r="AV312" s="1891" t="str">
        <f>IF(Valori[[#This Row],[MS_Link]]&lt;&gt;"",Valori[[#This Row],[MS_Link]]&amp;"company/","")</f>
        <v>https://www.marketscreener.com/quote/stock/ABBVIE-INC-12136589/company/</v>
      </c>
      <c r="AW312" s="1604" t="str">
        <f ca="1">"https://boersenundmaerkte.lukb.ch/lukb/details/"&amp;Valori[[#This Row],[LUKB_id]]</f>
        <v>https://boersenundmaerkte.lukb.ch/lukb/details/20145667,321,333</v>
      </c>
      <c r="AX312" s="1605" t="str">
        <f>"https://www.zonebourse.com/mods_a/charts/TV/inc_dyna_graph.php?c="&amp;Valori[[#This Row],[MS_Code]]&amp;"&amp;style=TradingView.CANDLES&amp;interval=(null)&amp;mobile=(null)&amp;showAT=1"</f>
        <v>https://www.zonebourse.com/mods_a/charts/TV/inc_dyna_graph.php?c=12136589&amp;style=TradingView.CANDLES&amp;interval=(null)&amp;mobile=(null)&amp;showAT=1</v>
      </c>
      <c r="AY312" s="142"/>
      <c r="AZ312" s="142"/>
      <c r="BA312" s="142"/>
      <c r="BB312" s="142"/>
    </row>
    <row r="313" spans="1:54" ht="15" customHeight="1" x14ac:dyDescent="0.2">
      <c r="A313" s="142" t="s">
        <v>4408</v>
      </c>
      <c r="B313" s="142" t="str" cm="1">
        <f t="array" aca="1" ref="B313" ca="1">OFFSET(POrigin,MATCH(Valori[[#This Row],[smo_id]],Posizioni[smo_id],0),MATCH("LUKB_id",PIntestazioni,0)-1,1,1)</f>
        <v>116936091,4,1</v>
      </c>
      <c r="C313" s="1668" t="str">
        <f ca="1">HYPERLINK("https://boersenundmaerkte.lukb.ch/lukb/details/"&amp;Valori[[#This Row],[LUKB_id]],"è")</f>
        <v>è</v>
      </c>
      <c r="D313" s="142" t="str" cm="1">
        <f t="array" aca="1" ref="D313" ca="1">OFFSET(POrigin,MATCH(Valori[[#This Row],[LUKB_id]],PID,0),MATCH("SC_GROUPED",PIntestazioni,0)-1,1,1)</f>
        <v>EQU</v>
      </c>
      <c r="E313" s="413" t="str" cm="1">
        <f t="array" aca="1" ref="E313" ca="1">OFFSET(POrigin,MATCH(Valori[[#This Row],[LUKB_id]],PID,0),MATCH("isin",PIntestazioni,0)-1,1,1)</f>
        <v>CH1169360919</v>
      </c>
      <c r="F313" s="34" t="str" cm="1">
        <f t="array" aca="1" ref="F313" ca="1">OFFSET(POrigin,MATCH(Valori[[#This Row],[LUKB_id]],PID,0),MATCH("NSIN_CH",PLabel,0)-1,1,1)</f>
        <v>116936091</v>
      </c>
      <c r="G313" s="95" t="str" cm="1">
        <f t="array" aca="1" ref="G313" ca="1">IF(OFFSET(POrigin,MATCH(Valori[[#This Row],[LUKB_id]],PID,0),MATCH("INSTRUNIT",PLabel,0)-1,1,1)="Nominal","Pct","Unit")</f>
        <v>Unit</v>
      </c>
      <c r="H313" s="612">
        <f ca="1">MAX(OFFSET(POrigin,MATCH(Valori[[#This Row],[LUKB_id]],PID,0),MATCH("PRICINGAMT",PLabel,0)-1,1,1),1)</f>
        <v>1</v>
      </c>
      <c r="I313" s="615" t="str" cm="1">
        <f t="array" aca="1" ref="I313" ca="1">OFFSET(POrigin,MATCH(Valori[[#This Row],[LUKB_id]],PID,0),MATCH("M_NAME",PLabel,0)-1,1,1)</f>
        <v>Accelleron Ind N</v>
      </c>
      <c r="M313" s="142" t="str" cm="1">
        <f t="array" aca="1" ref="M3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Accelleron Ind N</v>
      </c>
      <c r="N313" s="1563">
        <f ca="1">COUNTIF('CHF M'!smo_id,Valori[[#This Row],[smo_id]])+COUNTIF('CHF MA'!smo_id,Valori[[#This Row],[smo_id]])+COUNTIF('EUR MB'!smo_id,Valori[[#This Row],[smo_id]])+COUNTIF('EUR M'!smo_id,Valori[[#This Row],[smo_id]])+COUNTIF(AGCO!smo_id,Valori[[#This Row],[smo_id]])</f>
        <v>4</v>
      </c>
      <c r="O313" s="1590" cm="1">
        <f t="array" aca="1" ref="O313" ca="1">SUM(IF('CHF M'!smo_id=Valori[[#This Row],[smo_id]],'CHF M'!Posizione))+SUM(IF('CHF MA'!smo_id=Valori[[#This Row],[smo_id]],'CHF MA'!Posizione))+SUM(IF('EUR MB'!smo_id=Valori[[#This Row],[smo_id]],'EUR MB'!Posizione))+SUM(IF('EUR M'!smo_id=Valori[[#This Row],[smo_id]],'EUR M'!Posizione))+SUM(IF(AGCO!smo_id=Valori[[#This Row],[smo_id]],AGCO!Posizione))</f>
        <v>1775</v>
      </c>
      <c r="P313" s="1661" t="str">
        <f ca="1">HYPERLINK(Valori[[#This Row],[P_Source]],"è")</f>
        <v>è</v>
      </c>
      <c r="Q313" s="1663" t="str">
        <f>HYPERLINK(Valori[[#This Row],[Info_W]],"i")</f>
        <v>i</v>
      </c>
      <c r="R313" s="1664" t="str">
        <f>HYPERLINK(Valori[[#This Row],[FN_W]],"")</f>
        <v></v>
      </c>
      <c r="S313" s="1665" t="str">
        <f>HYPERLINK(Valori[[#This Row],[MS_Link]],"")</f>
        <v></v>
      </c>
      <c r="T313" s="1665" t="str">
        <f>HYPERLINK(Valori[[#This Row],[C_source]],"")</f>
        <v></v>
      </c>
      <c r="U313" s="142" t="str" cm="1">
        <f t="array" aca="1" ref="U313" ca="1">OFFSET(POrigin,MATCH(Valori[[#This Row],[LUKB_id]],PID,0),MATCH("M_CUR",PLabel,0)-1,1,1)</f>
        <v>CHF</v>
      </c>
      <c r="V313" s="1562">
        <f ca="1">(Valori[[#This Row],[Last]]+Valori[[#This Row],[Acc. Int]])/Valori[[#This Row],[Pr.Amt]]/IF(Valori[[#This Row],[P_Type]]="Pct",100,1)</f>
        <v>71.350000000000009</v>
      </c>
      <c r="W313" s="1591" cm="1">
        <f t="array" aca="1" ref="W313" ca="1">OFFSET(POrigin,MATCH(Valori[[#This Row],[LUKB_id]],PID,0),MATCH("NC2_PR",PLabel,0)-1,1,1)/100</f>
        <v>-2.66030013642564E-2</v>
      </c>
      <c r="X313" s="1592" cm="1">
        <f t="array" aca="1" ref="X313" ca="1">OFFSET(POrigin,MATCH(Valori[[#This Row],[LUKB_id]],PID,0),MATCH("LVAL",PLabel,0)-1,1,1)</f>
        <v>71.350000000000009</v>
      </c>
      <c r="Y313" s="1593" cm="1">
        <f t="array" aca="1" ref="Y313" ca="1">OFFSET(POrigin,MATCH(Valori[[#This Row],[LUKB_id]],PID,0),MATCH("LVAL:datetime",PLabel,0)-1,1,1)</f>
        <v>46084.731238425928</v>
      </c>
      <c r="Z313" s="1594" cm="1">
        <f t="array" aca="1" ref="Z313" ca="1">OFFSET(POrigin,MATCH(Valori[[#This Row],[LUKB_id]],PID,0),MATCH("BID:volume",PLabel,0)-1,1,1)</f>
        <v>500</v>
      </c>
      <c r="AA313" s="1595" cm="1">
        <f t="array" aca="1" ref="AA313" ca="1">OFFSET(POrigin,MATCH(Valori[[#This Row],[LUKB_id]],PID,0),MATCH("BID",PLabel,0)-1,1,1)</f>
        <v>71</v>
      </c>
      <c r="AB313" s="1595" cm="1">
        <f t="array" aca="1" ref="AB313" ca="1">OFFSET(POrigin,MATCH(Valori[[#This Row],[LUKB_id]],PID,0),MATCH("ASK",PLabel,0)-1,1,1)</f>
        <v>71.25</v>
      </c>
      <c r="AC313" s="1594" cm="1">
        <f t="array" aca="1" ref="AC313" ca="1">OFFSET(POrigin,MATCH(Valori[[#This Row],[LUKB_id]],PID,0),MATCH("ASK:volume",PLabel,0)-1,1,1)</f>
        <v>100</v>
      </c>
      <c r="AD313" s="1596" cm="1">
        <f t="array" aca="1" ref="AD313" ca="1">OFFSET(POrigin,MATCH(Valori[[#This Row],[LUKB_id]],PID,0),MATCH("BID-ASK Spread %",PLabel,0)-1,1,1)</f>
        <v>2.3446658851113715E-3</v>
      </c>
      <c r="AE313" s="1597" t="str" cm="1">
        <f t="array" aca="1" ref="AE313" ca="1">IF(OFFSET(POrigin,MATCH(Valori[[#This Row],[LUKB_id]],PID,0),MATCH("MATURITY",PLabel,0)-1,1,1)&gt;0,OFFSET(POrigin,MATCH(Valori[[#This Row],[LUKB_id]],PID,0),MATCH("MATURITY",PLabel,0)-1,1,1),"")</f>
        <v/>
      </c>
      <c r="AF313" s="1598" cm="1">
        <f t="array" aca="1" ref="AF313" ca="1">OFFSET(POrigin,MATCH(Valori[[#This Row],[LUKB_id]],PID,0),MATCH("ACCINT",PLabel,0)-1,1,1)</f>
        <v>0</v>
      </c>
      <c r="AG313" s="1594" cm="1">
        <f t="array" aca="1" ref="AG313" ca="1">OFFSET(POrigin,MATCH(Valori[[#This Row],[LUKB_id]],PID,0),MATCH("DENOM",PLabel,0)-1,1,1)</f>
        <v>0</v>
      </c>
      <c r="AH313" s="1599" cm="1">
        <f t="array" aca="1" ref="AH313" ca="1">(OFFSET(POrigin,MATCH(Valori[[#This Row],[LUKB_id]],PID,0),MATCH("YIELD",PLabel,0)-1,1,1)+OFFSET(POrigin,MATCH(Valori[[#This Row],[LUKB_id]],PID,0),MATCH("YLDEQ",PLabel,0)-1,1,1))/100</f>
        <v>1.751927E-2</v>
      </c>
      <c r="AI313" s="1600">
        <f ca="1">OFFSET(POrigin,MATCH(Valori[[#This Row],[LUKB_id]],PID,0),MATCH("DIVIDEND",PLabel,0)-1,1,1)</f>
        <v>1.25</v>
      </c>
      <c r="AJ313" s="1601">
        <f ca="1">OFFSET(POrigin,MATCH(Valori[[#This Row],[LUKB_id]],PID,0),MATCH("DIVIDEND:datetime",PLabel,0)-1,1,1)</f>
        <v>45803</v>
      </c>
      <c r="AK313" s="1602">
        <f ca="1">OFFSET(POrigin,MATCH(Valori[[#This Row],[LUKB_id]],PID,0),MATCH("INTEREST",PLabel,0)-1,1,1)</f>
        <v>0</v>
      </c>
      <c r="AL313" s="1603">
        <f ca="1">OFFSET(POrigin,MATCH(Valori[[#This Row],[LUKB_id]],PID,0),MATCH("4W_PERF_PR",PLabel,0)-1,1,1)/100</f>
        <v>-4.6122990000000003E-2</v>
      </c>
      <c r="AM313" s="1603">
        <f ca="1">OFFSET(POrigin,MATCH(Valori[[#This Row],[LUKB_id]],PID,0),MATCH("12W_PERF_PR",PLabel,0)-1,1,1)/100</f>
        <v>0.11137071999999999</v>
      </c>
      <c r="AN313" s="1603">
        <f ca="1">OFFSET(POrigin,MATCH(Valori[[#This Row],[LUKB_id]],PID,0),MATCH("YTD_PERF_PR",PLabel,0)-1,1,1)/100</f>
        <v>0.19090170593013803</v>
      </c>
      <c r="AO313" s="1591"/>
      <c r="AP313" s="1591"/>
      <c r="AQ313" s="1591"/>
      <c r="AR313" s="1591"/>
      <c r="AS313" s="1890"/>
      <c r="AT313" s="1890"/>
      <c r="AU313" s="610"/>
      <c r="AV313" s="1891"/>
      <c r="AW313" s="1604" t="str">
        <f ca="1">"https://boersenundmaerkte.lukb.ch/lukb/details/"&amp;Valori[[#This Row],[LUKB_id]]</f>
        <v>https://boersenundmaerkte.lukb.ch/lukb/details/116936091,4,1</v>
      </c>
      <c r="AX31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3" s="142"/>
      <c r="AZ313" s="142"/>
      <c r="BA313" s="142"/>
      <c r="BB313" s="142"/>
    </row>
    <row r="314" spans="1:54" ht="15" customHeight="1" x14ac:dyDescent="0.2">
      <c r="A314" s="142" t="s">
        <v>1774</v>
      </c>
      <c r="B314" s="142" t="str" cm="1">
        <f t="array" aca="1" ref="B314" ca="1">OFFSET(POrigin,MATCH(Valori[[#This Row],[smo_id]],Posizioni[smo_id],0),MATCH("LUKB_id",PIntestazioni,0)-1,1,1)</f>
        <v>502455,25,814</v>
      </c>
      <c r="C314" s="1668" t="str">
        <f ca="1">HYPERLINK("https://boersenundmaerkte.lukb.ch/lukb/details/"&amp;Valori[[#This Row],[LUKB_id]],"è")</f>
        <v>è</v>
      </c>
      <c r="D314" s="142" t="str" cm="1">
        <f t="array" aca="1" ref="D314" ca="1">OFFSET(POrigin,MATCH(Valori[[#This Row],[LUKB_id]],PID,0),MATCH("SC_GROUPED",PIntestazioni,0)-1,1,1)</f>
        <v>EQU</v>
      </c>
      <c r="E314" s="413" t="str" cm="1">
        <f t="array" aca="1" ref="E314" ca="1">OFFSET(POrigin,MATCH(Valori[[#This Row],[LUKB_id]],PID,0),MATCH("isin",PIntestazioni,0)-1,1,1)</f>
        <v>FR0000120073</v>
      </c>
      <c r="F314" s="34" t="str" cm="1">
        <f t="array" aca="1" ref="F314" ca="1">OFFSET(POrigin,MATCH(Valori[[#This Row],[LUKB_id]],PID,0),MATCH("NSIN_CH",PLabel,0)-1,1,1)</f>
        <v>502455</v>
      </c>
      <c r="G314" s="95" t="str" cm="1">
        <f t="array" aca="1" ref="G314" ca="1">IF(OFFSET(POrigin,MATCH(Valori[[#This Row],[LUKB_id]],PID,0),MATCH("INSTRUNIT",PLabel,0)-1,1,1)="Nominal","Pct","Unit")</f>
        <v>Unit</v>
      </c>
      <c r="H314" s="612">
        <f ca="1">MAX(OFFSET(POrigin,MATCH(Valori[[#This Row],[LUKB_id]],PID,0),MATCH("PRICINGAMT",PLabel,0)-1,1,1),1)</f>
        <v>1</v>
      </c>
      <c r="I314" s="615" t="str" cm="1">
        <f t="array" aca="1" ref="I314" ca="1">OFFSET(POrigin,MATCH(Valori[[#This Row],[LUKB_id]],PID,0),MATCH("M_NAME",PLabel,0)-1,1,1)</f>
        <v>Air Liquide</v>
      </c>
      <c r="M314" s="142" t="str" cm="1">
        <f t="array" aca="1" ref="M3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 Liquide</v>
      </c>
      <c r="N314" s="1563">
        <f ca="1">COUNTIF('CHF M'!smo_id,Valori[[#This Row],[smo_id]])+COUNTIF('CHF MA'!smo_id,Valori[[#This Row],[smo_id]])+COUNTIF('EUR MB'!smo_id,Valori[[#This Row],[smo_id]])+COUNTIF('EUR M'!smo_id,Valori[[#This Row],[smo_id]])+COUNTIF(AGCO!smo_id,Valori[[#This Row],[smo_id]])</f>
        <v>0</v>
      </c>
      <c r="O314" s="1590" cm="1">
        <f t="array" aca="1" ref="O314" ca="1">SUM(IF('CHF M'!smo_id=Valori[[#This Row],[smo_id]],'CHF M'!Posizione))+SUM(IF('CHF MA'!smo_id=Valori[[#This Row],[smo_id]],'CHF MA'!Posizione))+SUM(IF('EUR MB'!smo_id=Valori[[#This Row],[smo_id]],'EUR MB'!Posizione))+SUM(IF('EUR M'!smo_id=Valori[[#This Row],[smo_id]],'EUR M'!Posizione))+SUM(IF(AGCO!smo_id=Valori[[#This Row],[smo_id]],AGCO!Posizione))</f>
        <v>0</v>
      </c>
      <c r="P314" s="1661" t="str">
        <f ca="1">HYPERLINK(Valori[[#This Row],[P_Source]],"è")</f>
        <v>è</v>
      </c>
      <c r="Q314" s="1663" t="str">
        <f>HYPERLINK(Valori[[#This Row],[Info_W]],"i")</f>
        <v>i</v>
      </c>
      <c r="R314" s="1664" t="str">
        <f>HYPERLINK(Valori[[#This Row],[FN_W]],"")</f>
        <v></v>
      </c>
      <c r="S314" s="1665" t="str">
        <f>HYPERLINK(Valori[[#This Row],[MS_Link]],"")</f>
        <v></v>
      </c>
      <c r="T314" s="1665" t="str">
        <f>HYPERLINK(Valori[[#This Row],[C_source]],"")</f>
        <v></v>
      </c>
      <c r="U314" s="142" t="str" cm="1">
        <f t="array" aca="1" ref="U314" ca="1">OFFSET(POrigin,MATCH(Valori[[#This Row],[LUKB_id]],PID,0),MATCH("M_CUR",PLabel,0)-1,1,1)</f>
        <v>EUR</v>
      </c>
      <c r="V314" s="1562">
        <f ca="1">(Valori[[#This Row],[Last]]+Valori[[#This Row],[Acc. Int]])/Valori[[#This Row],[Pr.Amt]]/IF(Valori[[#This Row],[P_Type]]="Pct",100,1)</f>
        <v>175.68</v>
      </c>
      <c r="W314" s="1591" cm="1">
        <f t="array" aca="1" ref="W314" ca="1">OFFSET(POrigin,MATCH(Valori[[#This Row],[LUKB_id]],PID,0),MATCH("NC2_PR",PLabel,0)-1,1,1)/100</f>
        <v>-1.4362657091562002E-2</v>
      </c>
      <c r="X314" s="1592" cm="1">
        <f t="array" aca="1" ref="X314" ca="1">OFFSET(POrigin,MATCH(Valori[[#This Row],[LUKB_id]],PID,0),MATCH("LVAL",PLabel,0)-1,1,1)</f>
        <v>175.68</v>
      </c>
      <c r="Y314" s="1593" cm="1">
        <f t="array" aca="1" ref="Y314" ca="1">OFFSET(POrigin,MATCH(Valori[[#This Row],[LUKB_id]],PID,0),MATCH("LVAL:datetime",PLabel,0)-1,1,1)</f>
        <v>46083.746527777781</v>
      </c>
      <c r="Z314" s="1594" cm="1">
        <f t="array" aca="1" ref="Z314" ca="1">OFFSET(POrigin,MATCH(Valori[[#This Row],[LUKB_id]],PID,0),MATCH("BID:volume",PLabel,0)-1,1,1)</f>
        <v>0</v>
      </c>
      <c r="AA314" s="1595" cm="1">
        <f t="array" aca="1" ref="AA314" ca="1">OFFSET(POrigin,MATCH(Valori[[#This Row],[LUKB_id]],PID,0),MATCH("BID",PLabel,0)-1,1,1)</f>
        <v>0</v>
      </c>
      <c r="AB314" s="1595" cm="1">
        <f t="array" aca="1" ref="AB314" ca="1">OFFSET(POrigin,MATCH(Valori[[#This Row],[LUKB_id]],PID,0),MATCH("ASK",PLabel,0)-1,1,1)</f>
        <v>0</v>
      </c>
      <c r="AC314" s="1594" cm="1">
        <f t="array" aca="1" ref="AC314" ca="1">OFFSET(POrigin,MATCH(Valori[[#This Row],[LUKB_id]],PID,0),MATCH("ASK:volume",PLabel,0)-1,1,1)</f>
        <v>0</v>
      </c>
      <c r="AD314" s="1596" cm="1">
        <f t="array" aca="1" ref="AD314" ca="1">OFFSET(POrigin,MATCH(Valori[[#This Row],[LUKB_id]],PID,0),MATCH("BID-ASK Spread %",PLabel,0)-1,1,1)</f>
        <v>0</v>
      </c>
      <c r="AE314" s="1597" t="str" cm="1">
        <f t="array" aca="1" ref="AE314" ca="1">IF(OFFSET(POrigin,MATCH(Valori[[#This Row],[LUKB_id]],PID,0),MATCH("MATURITY",PLabel,0)-1,1,1)&gt;0,OFFSET(POrigin,MATCH(Valori[[#This Row],[LUKB_id]],PID,0),MATCH("MATURITY",PLabel,0)-1,1,1),"")</f>
        <v/>
      </c>
      <c r="AF314" s="1598" cm="1">
        <f t="array" aca="1" ref="AF314" ca="1">OFFSET(POrigin,MATCH(Valori[[#This Row],[LUKB_id]],PID,0),MATCH("ACCINT",PLabel,0)-1,1,1)</f>
        <v>0</v>
      </c>
      <c r="AG314" s="1594" cm="1">
        <f t="array" aca="1" ref="AG314" ca="1">OFFSET(POrigin,MATCH(Valori[[#This Row],[LUKB_id]],PID,0),MATCH("DENOM",PLabel,0)-1,1,1)</f>
        <v>0</v>
      </c>
      <c r="AH314" s="1599" cm="1">
        <f t="array" aca="1" ref="AH314" ca="1">(OFFSET(POrigin,MATCH(Valori[[#This Row],[LUKB_id]],PID,0),MATCH("YIELD",PLabel,0)-1,1,1)+OFFSET(POrigin,MATCH(Valori[[#This Row],[LUKB_id]],PID,0),MATCH("YLDEQ",PLabel,0)-1,1,1))/100</f>
        <v>0</v>
      </c>
      <c r="AI314" s="1600">
        <f ca="1">OFFSET(POrigin,MATCH(Valori[[#This Row],[LUKB_id]],PID,0),MATCH("DIVIDEND",PLabel,0)-1,1,1)</f>
        <v>3.3000000000000003</v>
      </c>
      <c r="AJ314" s="1601">
        <f ca="1">OFFSET(POrigin,MATCH(Valori[[#This Row],[LUKB_id]],PID,0),MATCH("DIVIDEND:datetime",PLabel,0)-1,1,1)</f>
        <v>45796</v>
      </c>
      <c r="AK314" s="1602">
        <f ca="1">OFFSET(POrigin,MATCH(Valori[[#This Row],[LUKB_id]],PID,0),MATCH("INTEREST",PLabel,0)-1,1,1)</f>
        <v>0</v>
      </c>
      <c r="AL314" s="1603">
        <f ca="1">OFFSET(POrigin,MATCH(Valori[[#This Row],[LUKB_id]],PID,0),MATCH("4W_PERF_PR",PLabel,0)-1,1,1)/100</f>
        <v>0.101856497742098</v>
      </c>
      <c r="AM314" s="1603">
        <f ca="1">OFFSET(POrigin,MATCH(Valori[[#This Row],[LUKB_id]],PID,0),MATCH("12W_PERF_PR",PLabel,0)-1,1,1)/100</f>
        <v>8.7667161961367007E-2</v>
      </c>
      <c r="AN314" s="1603">
        <f ca="1">OFFSET(POrigin,MATCH(Valori[[#This Row],[LUKB_id]],PID,0),MATCH("YTD_PERF_PR",PLabel,0)-1,1,1)/100</f>
        <v>9.6218644702358802E-2</v>
      </c>
      <c r="AO314" s="1591"/>
      <c r="AP314" s="1591"/>
      <c r="AQ314" s="1591"/>
      <c r="AR314" s="1591"/>
      <c r="AS314" s="1890" t="s">
        <v>1775</v>
      </c>
      <c r="AT314" s="1890" t="s">
        <v>1776</v>
      </c>
      <c r="AU314" s="610" t="s">
        <v>1777</v>
      </c>
      <c r="AV314" s="1891" t="str">
        <f>IF(Valori[[#This Row],[MS_Link]]&lt;&gt;"",Valori[[#This Row],[MS_Link]]&amp;"company/","")</f>
        <v>https://www.marketscreener.com/quote/stock/AIR-LIQUIDE-4605/company/</v>
      </c>
      <c r="AW314" s="1604" t="str">
        <f ca="1">"https://boersenundmaerkte.lukb.ch/lukb/details/"&amp;Valori[[#This Row],[LUKB_id]]</f>
        <v>https://boersenundmaerkte.lukb.ch/lukb/details/502455,25,814</v>
      </c>
      <c r="AX314" s="1605" t="str">
        <f>"https://www.marketscreener.com/mods_a/charts/TV/inc_dyna_graph.php?c="&amp;Valori[[#This Row],[MS_Code]]&amp;"&amp;style=TradingView.CANDLES&amp;interval=(null)&amp;mobile=(null)&amp;showAT=1"</f>
        <v>https://www.marketscreener.com/mods_a/charts/TV/inc_dyna_graph.php?c=4605&amp;style=TradingView.CANDLES&amp;interval=(null)&amp;mobile=(null)&amp;showAT=1</v>
      </c>
      <c r="AY314" s="142"/>
      <c r="AZ314" s="142"/>
      <c r="BA314" s="142"/>
      <c r="BB314" s="142"/>
    </row>
    <row r="315" spans="1:54" ht="15" customHeight="1" x14ac:dyDescent="0.2">
      <c r="A315" s="142" t="s">
        <v>1778</v>
      </c>
      <c r="B315" s="142" t="str" cm="1">
        <f t="array" aca="1" ref="B315" ca="1">OFFSET(POrigin,MATCH(Valori[[#This Row],[smo_id]],Posizioni[smo_id],0),MATCH("LUKB_id",PIntestazioni,0)-1,1,1)</f>
        <v>1095306,1573,814</v>
      </c>
      <c r="C315" s="1668" t="str">
        <f ca="1">HYPERLINK("https://boersenundmaerkte.lukb.ch/lukb/details/"&amp;Valori[[#This Row],[LUKB_id]],"è")</f>
        <v>è</v>
      </c>
      <c r="D315" s="142" t="str" cm="1">
        <f t="array" aca="1" ref="D315" ca="1">OFFSET(POrigin,MATCH(Valori[[#This Row],[LUKB_id]],PID,0),MATCH("SC_GROUPED",PIntestazioni,0)-1,1,1)</f>
        <v>EQU</v>
      </c>
      <c r="E315" s="413" t="str" cm="1">
        <f t="array" aca="1" ref="E315" ca="1">OFFSET(POrigin,MATCH(Valori[[#This Row],[LUKB_id]],PID,0),MATCH("isin",PIntestazioni,0)-1,1,1)</f>
        <v>NL0000235190</v>
      </c>
      <c r="F315" s="34" t="str" cm="1">
        <f t="array" aca="1" ref="F315" ca="1">OFFSET(POrigin,MATCH(Valori[[#This Row],[LUKB_id]],PID,0),MATCH("NSIN_CH",PLabel,0)-1,1,1)</f>
        <v>1095306</v>
      </c>
      <c r="G315" s="95" t="str" cm="1">
        <f t="array" aca="1" ref="G315" ca="1">IF(OFFSET(POrigin,MATCH(Valori[[#This Row],[LUKB_id]],PID,0),MATCH("INSTRUNIT",PLabel,0)-1,1,1)="Nominal","Pct","Unit")</f>
        <v>Unit</v>
      </c>
      <c r="H315" s="612">
        <f ca="1">MAX(OFFSET(POrigin,MATCH(Valori[[#This Row],[LUKB_id]],PID,0),MATCH("PRICINGAMT",PLabel,0)-1,1,1),1)</f>
        <v>1</v>
      </c>
      <c r="I315" s="615" t="str" cm="1">
        <f t="array" aca="1" ref="I315" ca="1">OFFSET(POrigin,MATCH(Valori[[#This Row],[LUKB_id]],PID,0),MATCH("M_NAME",PLabel,0)-1,1,1)</f>
        <v>Airbus Br Rg</v>
      </c>
      <c r="M315" s="142" t="str" cm="1">
        <f t="array" aca="1" ref="M3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Airbus Br Rg</v>
      </c>
      <c r="N315" s="1563">
        <f ca="1">COUNTIF('CHF M'!smo_id,Valori[[#This Row],[smo_id]])+COUNTIF('CHF MA'!smo_id,Valori[[#This Row],[smo_id]])+COUNTIF('EUR MB'!smo_id,Valori[[#This Row],[smo_id]])+COUNTIF('EUR M'!smo_id,Valori[[#This Row],[smo_id]])+COUNTIF(AGCO!smo_id,Valori[[#This Row],[smo_id]])</f>
        <v>0</v>
      </c>
      <c r="O315" s="1590" cm="1">
        <f t="array" aca="1" ref="O315" ca="1">SUM(IF('CHF M'!smo_id=Valori[[#This Row],[smo_id]],'CHF M'!Posizione))+SUM(IF('CHF MA'!smo_id=Valori[[#This Row],[smo_id]],'CHF MA'!Posizione))+SUM(IF('EUR MB'!smo_id=Valori[[#This Row],[smo_id]],'EUR MB'!Posizione))+SUM(IF('EUR M'!smo_id=Valori[[#This Row],[smo_id]],'EUR M'!Posizione))+SUM(IF(AGCO!smo_id=Valori[[#This Row],[smo_id]],AGCO!Posizione))</f>
        <v>0</v>
      </c>
      <c r="P315" s="1661" t="str">
        <f ca="1">HYPERLINK(Valori[[#This Row],[P_Source]],"è")</f>
        <v>è</v>
      </c>
      <c r="Q315" s="1663" t="str">
        <f>HYPERLINK(Valori[[#This Row],[Info_W]],"i")</f>
        <v>i</v>
      </c>
      <c r="R315" s="1664" t="str">
        <f>HYPERLINK(Valori[[#This Row],[FN_W]],"")</f>
        <v></v>
      </c>
      <c r="S315" s="1665" t="str">
        <f>HYPERLINK(Valori[[#This Row],[MS_Link]],"")</f>
        <v></v>
      </c>
      <c r="T315" s="1665" t="str">
        <f>HYPERLINK(Valori[[#This Row],[C_source]],"")</f>
        <v></v>
      </c>
      <c r="U315" s="142" t="str" cm="1">
        <f t="array" aca="1" ref="U315" ca="1">OFFSET(POrigin,MATCH(Valori[[#This Row],[LUKB_id]],PID,0),MATCH("M_CUR",PLabel,0)-1,1,1)</f>
        <v>EUR</v>
      </c>
      <c r="V315" s="1562">
        <f ca="1">(Valori[[#This Row],[Last]]+Valori[[#This Row],[Acc. Int]])/Valori[[#This Row],[Pr.Amt]]/IF(Valori[[#This Row],[P_Type]]="Pct",100,1)</f>
        <v>174.92000000000002</v>
      </c>
      <c r="W315" s="1591" cm="1">
        <f t="array" aca="1" ref="W315" ca="1">OFFSET(POrigin,MATCH(Valori[[#This Row],[LUKB_id]],PID,0),MATCH("NC2_PR",PLabel,0)-1,1,1)/100</f>
        <v>-3.3591160220994398E-2</v>
      </c>
      <c r="X315" s="1592" cm="1">
        <f t="array" aca="1" ref="X315" ca="1">OFFSET(POrigin,MATCH(Valori[[#This Row],[LUKB_id]],PID,0),MATCH("LVAL",PLabel,0)-1,1,1)</f>
        <v>174.92000000000002</v>
      </c>
      <c r="Y315" s="1593" cm="1">
        <f t="array" aca="1" ref="Y315" ca="1">OFFSET(POrigin,MATCH(Valori[[#This Row],[LUKB_id]],PID,0),MATCH("LVAL:datetime",PLabel,0)-1,1,1)</f>
        <v>46084.729166666664</v>
      </c>
      <c r="Z315" s="1594" cm="1">
        <f t="array" aca="1" ref="Z315" ca="1">OFFSET(POrigin,MATCH(Valori[[#This Row],[LUKB_id]],PID,0),MATCH("BID:volume",PLabel,0)-1,1,1)</f>
        <v>62</v>
      </c>
      <c r="AA315" s="1595" cm="1">
        <f t="array" aca="1" ref="AA315" ca="1">OFFSET(POrigin,MATCH(Valori[[#This Row],[LUKB_id]],PID,0),MATCH("BID",PLabel,0)-1,1,1)</f>
        <v>175.42000000000002</v>
      </c>
      <c r="AB315" s="1595" cm="1">
        <f t="array" aca="1" ref="AB315" ca="1">OFFSET(POrigin,MATCH(Valori[[#This Row],[LUKB_id]],PID,0),MATCH("ASK",PLabel,0)-1,1,1)</f>
        <v>175.42000000000002</v>
      </c>
      <c r="AC315" s="1594" cm="1">
        <f t="array" aca="1" ref="AC315" ca="1">OFFSET(POrigin,MATCH(Valori[[#This Row],[LUKB_id]],PID,0),MATCH("ASK:volume",PLabel,0)-1,1,1)</f>
        <v>62</v>
      </c>
      <c r="AD315" s="1596" cm="1">
        <f t="array" aca="1" ref="AD315" ca="1">OFFSET(POrigin,MATCH(Valori[[#This Row],[LUKB_id]],PID,0),MATCH("BID-ASK Spread %",PLabel,0)-1,1,1)</f>
        <v>0</v>
      </c>
      <c r="AE315" s="1597" t="str" cm="1">
        <f t="array" aca="1" ref="AE315" ca="1">IF(OFFSET(POrigin,MATCH(Valori[[#This Row],[LUKB_id]],PID,0),MATCH("MATURITY",PLabel,0)-1,1,1)&gt;0,OFFSET(POrigin,MATCH(Valori[[#This Row],[LUKB_id]],PID,0),MATCH("MATURITY",PLabel,0)-1,1,1),"")</f>
        <v/>
      </c>
      <c r="AF315" s="1598" cm="1">
        <f t="array" aca="1" ref="AF315" ca="1">OFFSET(POrigin,MATCH(Valori[[#This Row],[LUKB_id]],PID,0),MATCH("ACCINT",PLabel,0)-1,1,1)</f>
        <v>0</v>
      </c>
      <c r="AG315" s="1594" cm="1">
        <f t="array" aca="1" ref="AG315" ca="1">OFFSET(POrigin,MATCH(Valori[[#This Row],[LUKB_id]],PID,0),MATCH("DENOM",PLabel,0)-1,1,1)</f>
        <v>0</v>
      </c>
      <c r="AH315" s="1599" cm="1">
        <f t="array" aca="1" ref="AH315" ca="1">(OFFSET(POrigin,MATCH(Valori[[#This Row],[LUKB_id]],PID,0),MATCH("YIELD",PLabel,0)-1,1,1)+OFFSET(POrigin,MATCH(Valori[[#This Row],[LUKB_id]],PID,0),MATCH("YLDEQ",PLabel,0)-1,1,1))/100</f>
        <v>1.1433798307797848E-2</v>
      </c>
      <c r="AI315" s="1600">
        <f ca="1">OFFSET(POrigin,MATCH(Valori[[#This Row],[LUKB_id]],PID,0),MATCH("DIVIDEND",PLabel,0)-1,1,1)</f>
        <v>3</v>
      </c>
      <c r="AJ315" s="1601">
        <f ca="1">OFFSET(POrigin,MATCH(Valori[[#This Row],[LUKB_id]],PID,0),MATCH("DIVIDEND:datetime",PLabel,0)-1,1,1)</f>
        <v>45769</v>
      </c>
      <c r="AK315" s="1602">
        <f ca="1">OFFSET(POrigin,MATCH(Valori[[#This Row],[LUKB_id]],PID,0),MATCH("INTEREST",PLabel,0)-1,1,1)</f>
        <v>0</v>
      </c>
      <c r="AL315" s="1603">
        <f ca="1">OFFSET(POrigin,MATCH(Valori[[#This Row],[LUKB_id]],PID,0),MATCH("4W_PERF_PR",PLabel,0)-1,1,1)/100</f>
        <v>-8.1784776902887046E-2</v>
      </c>
      <c r="AM315" s="1603">
        <f ca="1">OFFSET(POrigin,MATCH(Valori[[#This Row],[LUKB_id]],PID,0),MATCH("12W_PERF_PR",PLabel,0)-1,1,1)/100</f>
        <v>-0.10545157001125077</v>
      </c>
      <c r="AN315" s="1603">
        <f ca="1">OFFSET(POrigin,MATCH(Valori[[#This Row],[LUKB_id]],PID,0),MATCH("YTD_PERF_PR",PLabel,0)-1,1,1)/100</f>
        <v>-8.7931468883849992E-2</v>
      </c>
      <c r="AO315" s="1591"/>
      <c r="AP315" s="1591"/>
      <c r="AQ315" s="1591"/>
      <c r="AR315" s="1591"/>
      <c r="AS315" s="1890"/>
      <c r="AT315" s="1890"/>
      <c r="AU315" s="610"/>
      <c r="AV315" s="1891"/>
      <c r="AW315" s="1604" t="str">
        <f ca="1">"https://boersenundmaerkte.lukb.ch/lukb/details/"&amp;Valori[[#This Row],[LUKB_id]]</f>
        <v>https://boersenundmaerkte.lukb.ch/lukb/details/1095306,1573,814</v>
      </c>
      <c r="AX31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5" s="142"/>
      <c r="AZ315" s="142"/>
      <c r="BA315" s="142"/>
      <c r="BB315" s="142"/>
    </row>
    <row r="316" spans="1:54" ht="15" customHeight="1" x14ac:dyDescent="0.2">
      <c r="A316" s="142" t="s">
        <v>1779</v>
      </c>
      <c r="B316" s="142" t="str" cm="1">
        <f t="array" aca="1" ref="B316" ca="1">OFFSET(POrigin,MATCH(Valori[[#This Row],[smo_id]],Posizioni[smo_id],0),MATCH("LUKB_id",PIntestazioni,0)-1,1,1)</f>
        <v>24409862,321,333</v>
      </c>
      <c r="C316" s="1668" t="str">
        <f ca="1">HYPERLINK("https://boersenundmaerkte.lukb.ch/lukb/details/"&amp;Valori[[#This Row],[LUKB_id]],"è")</f>
        <v>è</v>
      </c>
      <c r="D316" s="142" t="str" cm="1">
        <f t="array" aca="1" ref="D316" ca="1">OFFSET(POrigin,MATCH(Valori[[#This Row],[LUKB_id]],PID,0),MATCH("SC_GROUPED",PIntestazioni,0)-1,1,1)</f>
        <v>EQU</v>
      </c>
      <c r="E316" s="413" t="str" cm="1">
        <f t="array" aca="1" ref="E316" ca="1">OFFSET(POrigin,MATCH(Valori[[#This Row],[LUKB_id]],PID,0),MATCH("isin",PIntestazioni,0)-1,1,1)</f>
        <v>US01609W1027</v>
      </c>
      <c r="F316" s="34" t="str" cm="1">
        <f t="array" aca="1" ref="F316" ca="1">OFFSET(POrigin,MATCH(Valori[[#This Row],[LUKB_id]],PID,0),MATCH("NSIN_CH",PLabel,0)-1,1,1)</f>
        <v>24409862</v>
      </c>
      <c r="G316" s="95" t="str" cm="1">
        <f t="array" aca="1" ref="G316" ca="1">IF(OFFSET(POrigin,MATCH(Valori[[#This Row],[LUKB_id]],PID,0),MATCH("INSTRUNIT",PLabel,0)-1,1,1)="Nominal","Pct","Unit")</f>
        <v>Unit</v>
      </c>
      <c r="H316" s="612">
        <f ca="1">MAX(OFFSET(POrigin,MATCH(Valori[[#This Row],[LUKB_id]],PID,0),MATCH("PRICINGAMT",PLabel,0)-1,1,1),1)</f>
        <v>1</v>
      </c>
      <c r="I316" s="615" t="str" cm="1">
        <f t="array" aca="1" ref="I316" ca="1">OFFSET(POrigin,MATCH(Valori[[#This Row],[LUKB_id]],PID,0),MATCH("M_NAME",PLabel,0)-1,1,1)</f>
        <v>Alibaba Grp Sp ADR</v>
      </c>
      <c r="J316" s="142" t="s">
        <v>589</v>
      </c>
      <c r="M316" s="142" t="str" cm="1">
        <f t="array" aca="1" ref="M3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Alibaba ADR</v>
      </c>
      <c r="N316" s="1563">
        <f ca="1">COUNTIF('CHF M'!smo_id,Valori[[#This Row],[smo_id]])+COUNTIF('CHF MA'!smo_id,Valori[[#This Row],[smo_id]])+COUNTIF('EUR MB'!smo_id,Valori[[#This Row],[smo_id]])+COUNTIF('EUR M'!smo_id,Valori[[#This Row],[smo_id]])+COUNTIF(AGCO!smo_id,Valori[[#This Row],[smo_id]])</f>
        <v>1</v>
      </c>
      <c r="O316" s="1590" cm="1">
        <f t="array" aca="1" ref="O316" ca="1">SUM(IF('CHF M'!smo_id=Valori[[#This Row],[smo_id]],'CHF M'!Posizione))+SUM(IF('CHF MA'!smo_id=Valori[[#This Row],[smo_id]],'CHF MA'!Posizione))+SUM(IF('EUR MB'!smo_id=Valori[[#This Row],[smo_id]],'EUR MB'!Posizione))+SUM(IF('EUR M'!smo_id=Valori[[#This Row],[smo_id]],'EUR M'!Posizione))+SUM(IF(AGCO!smo_id=Valori[[#This Row],[smo_id]],AGCO!Posizione))</f>
        <v>200</v>
      </c>
      <c r="P316" s="1661" t="str">
        <f ca="1">HYPERLINK(Valori[[#This Row],[P_Source]],"è")</f>
        <v>è</v>
      </c>
      <c r="Q316" s="1663" t="str">
        <f>HYPERLINK(Valori[[#This Row],[Info_W]],"i")</f>
        <v>i</v>
      </c>
      <c r="R316" s="1664" t="str">
        <f>HYPERLINK(Valori[[#This Row],[FN_W]],"")</f>
        <v></v>
      </c>
      <c r="S316" s="1665" t="str">
        <f>HYPERLINK(Valori[[#This Row],[MS_Link]],"")</f>
        <v></v>
      </c>
      <c r="T316" s="1665" t="str">
        <f>HYPERLINK(Valori[[#This Row],[C_source]],"")</f>
        <v></v>
      </c>
      <c r="U316" s="142" t="str" cm="1">
        <f t="array" aca="1" ref="U316" ca="1">OFFSET(POrigin,MATCH(Valori[[#This Row],[LUKB_id]],PID,0),MATCH("M_CUR",PLabel,0)-1,1,1)</f>
        <v>USD</v>
      </c>
      <c r="V316" s="1562">
        <f ca="1">(Valori[[#This Row],[Last]]+Valori[[#This Row],[Acc. Int]])/Valori[[#This Row],[Pr.Amt]]/IF(Valori[[#This Row],[P_Type]]="Pct",100,1)</f>
        <v>135.82</v>
      </c>
      <c r="W316" s="1591" cm="1">
        <f t="array" aca="1" ref="W316" ca="1">OFFSET(POrigin,MATCH(Valori[[#This Row],[LUKB_id]],PID,0),MATCH("NC2_PR",PLabel,0)-1,1,1)/100</f>
        <v>-4.7278338945005702E-2</v>
      </c>
      <c r="X316" s="1592" cm="1">
        <f t="array" aca="1" ref="X316" ca="1">OFFSET(POrigin,MATCH(Valori[[#This Row],[LUKB_id]],PID,0),MATCH("LVAL",PLabel,0)-1,1,1)</f>
        <v>135.82</v>
      </c>
      <c r="Y316" s="1593" cm="1">
        <f t="array" aca="1" ref="Y316" ca="1">OFFSET(POrigin,MATCH(Valori[[#This Row],[LUKB_id]],PID,0),MATCH("LVAL:datetime",PLabel,0)-1,1,1)</f>
        <v>46084.785879629628</v>
      </c>
      <c r="Z316" s="1594" cm="1">
        <f t="array" aca="1" ref="Z316" ca="1">OFFSET(POrigin,MATCH(Valori[[#This Row],[LUKB_id]],PID,0),MATCH("BID:volume",PLabel,0)-1,1,1)</f>
        <v>100</v>
      </c>
      <c r="AA316" s="1595" cm="1">
        <f t="array" aca="1" ref="AA316" ca="1">OFFSET(POrigin,MATCH(Valori[[#This Row],[LUKB_id]],PID,0),MATCH("BID",PLabel,0)-1,1,1)</f>
        <v>135.76</v>
      </c>
      <c r="AB316" s="1595" cm="1">
        <f t="array" aca="1" ref="AB316" ca="1">OFFSET(POrigin,MATCH(Valori[[#This Row],[LUKB_id]],PID,0),MATCH("ASK",PLabel,0)-1,1,1)</f>
        <v>135.86000000000001</v>
      </c>
      <c r="AC316" s="1594" cm="1">
        <f t="array" aca="1" ref="AC316" ca="1">OFFSET(POrigin,MATCH(Valori[[#This Row],[LUKB_id]],PID,0),MATCH("ASK:volume",PLabel,0)-1,1,1)</f>
        <v>100</v>
      </c>
      <c r="AD316" s="1596" cm="1">
        <f t="array" aca="1" ref="AD316" ca="1">OFFSET(POrigin,MATCH(Valori[[#This Row],[LUKB_id]],PID,0),MATCH("BID-ASK Spread %",PLabel,0)-1,1,1)</f>
        <v>4.9094211792440837E-4</v>
      </c>
      <c r="AE316" s="1597" t="str" cm="1">
        <f t="array" aca="1" ref="AE316" ca="1">IF(OFFSET(POrigin,MATCH(Valori[[#This Row],[LUKB_id]],PID,0),MATCH("MATURITY",PLabel,0)-1,1,1)&gt;0,OFFSET(POrigin,MATCH(Valori[[#This Row],[LUKB_id]],PID,0),MATCH("MATURITY",PLabel,0)-1,1,1),"")</f>
        <v/>
      </c>
      <c r="AF316" s="1598" cm="1">
        <f t="array" aca="1" ref="AF316" ca="1">OFFSET(POrigin,MATCH(Valori[[#This Row],[LUKB_id]],PID,0),MATCH("ACCINT",PLabel,0)-1,1,1)</f>
        <v>0</v>
      </c>
      <c r="AG316" s="1594" cm="1">
        <f t="array" aca="1" ref="AG316" ca="1">OFFSET(POrigin,MATCH(Valori[[#This Row],[LUKB_id]],PID,0),MATCH("DENOM",PLabel,0)-1,1,1)</f>
        <v>0</v>
      </c>
      <c r="AH316" s="1599" cm="1">
        <f t="array" aca="1" ref="AH316" ca="1">(OFFSET(POrigin,MATCH(Valori[[#This Row],[LUKB_id]],PID,0),MATCH("YIELD",PLabel,0)-1,1,1)+OFFSET(POrigin,MATCH(Valori[[#This Row],[LUKB_id]],PID,0),MATCH("YLDEQ",PLabel,0)-1,1,1))/100</f>
        <v>2.6947429999999998E-2</v>
      </c>
      <c r="AI316" s="1600">
        <f ca="1">OFFSET(POrigin,MATCH(Valori[[#This Row],[LUKB_id]],PID,0),MATCH("DIVIDEND",PLabel,0)-1,1,1)</f>
        <v>1</v>
      </c>
      <c r="AJ316" s="1601">
        <f ca="1">OFFSET(POrigin,MATCH(Valori[[#This Row],[LUKB_id]],PID,0),MATCH("DIVIDEND:datetime",PLabel,0)-1,1,1)</f>
        <v>45280</v>
      </c>
      <c r="AK316" s="1602">
        <f ca="1">OFFSET(POrigin,MATCH(Valori[[#This Row],[LUKB_id]],PID,0),MATCH("INTEREST",PLabel,0)-1,1,1)</f>
        <v>0</v>
      </c>
      <c r="AL316" s="1603">
        <f ca="1">OFFSET(POrigin,MATCH(Valori[[#This Row],[LUKB_id]],PID,0),MATCH("4W_PERF_PR",PLabel,0)-1,1,1)/100</f>
        <v>-0.17005804999999999</v>
      </c>
      <c r="AM316" s="1603">
        <f ca="1">OFFSET(POrigin,MATCH(Valori[[#This Row],[LUKB_id]],PID,0),MATCH("12W_PERF_PR",PLabel,0)-1,1,1)/100</f>
        <v>-0.12913568</v>
      </c>
      <c r="AN316" s="1603">
        <f ca="1">OFFSET(POrigin,MATCH(Valori[[#This Row],[LUKB_id]],PID,0),MATCH("YTD_PERF_PR",PLabel,0)-1,1,1)/100</f>
        <v>-2.7425296766271E-2</v>
      </c>
      <c r="AO316" s="1591"/>
      <c r="AP316" s="1591"/>
      <c r="AQ316" s="1591"/>
      <c r="AR316" s="1591"/>
      <c r="AS316" s="1890" t="s">
        <v>1780</v>
      </c>
      <c r="AT316" s="1890" t="s">
        <v>1781</v>
      </c>
      <c r="AU316" s="610" t="s">
        <v>1782</v>
      </c>
      <c r="AV316" s="1891" t="s">
        <v>1783</v>
      </c>
      <c r="AW316" s="1604" t="str">
        <f ca="1">"https://boersenundmaerkte.lukb.ch/lukb/details/"&amp;Valori[[#This Row],[LUKB_id]]</f>
        <v>https://boersenundmaerkte.lukb.ch/lukb/details/24409862,321,333</v>
      </c>
      <c r="AX316" s="1605" t="str">
        <f>"https://www.marketscreener.com/mods_a/charts/TV/inc_dyna_graph.php?c="&amp;Valori[[#This Row],[MS_Code]]&amp;"&amp;style=TradingView.CANDLES&amp;interval=(null)&amp;mobile=(null)&amp;showAT=1"</f>
        <v>https://www.marketscreener.com/mods_a/charts/TV/inc_dyna_graph.php?c=17916677&amp;style=TradingView.CANDLES&amp;interval=(null)&amp;mobile=(null)&amp;showAT=1</v>
      </c>
      <c r="AY316" s="142"/>
      <c r="AZ316" s="142"/>
      <c r="BA316" s="142"/>
      <c r="BB316" s="142"/>
    </row>
    <row r="317" spans="1:54" ht="15" customHeight="1" x14ac:dyDescent="0.2">
      <c r="A317" s="142" t="s">
        <v>4404</v>
      </c>
      <c r="B317" s="142" t="str" cm="1">
        <f t="array" aca="1" ref="B317" ca="1">OFFSET(POrigin,MATCH(Valori[[#This Row],[smo_id]],Posizioni[smo_id],0),MATCH("LUKB_id",PIntestazioni,0)-1,1,1)</f>
        <v>143013422,4,1</v>
      </c>
      <c r="C317" s="1668" t="str">
        <f ca="1">HYPERLINK("https://boersenundmaerkte.lukb.ch/lukb/details/"&amp;Valori[[#This Row],[LUKB_id]],"è")</f>
        <v>è</v>
      </c>
      <c r="D317" s="142" t="str" cm="1">
        <f t="array" aca="1" ref="D317" ca="1">OFFSET(POrigin,MATCH(Valori[[#This Row],[LUKB_id]],PID,0),MATCH("SC_GROUPED",PIntestazioni,0)-1,1,1)</f>
        <v>EQU</v>
      </c>
      <c r="E317" s="413" t="str" cm="1">
        <f t="array" aca="1" ref="E317" ca="1">OFFSET(POrigin,MATCH(Valori[[#This Row],[LUKB_id]],PID,0),MATCH("isin",PIntestazioni,0)-1,1,1)</f>
        <v>CH1430134226</v>
      </c>
      <c r="F317" s="34" t="str" cm="1">
        <f t="array" aca="1" ref="F317" ca="1">OFFSET(POrigin,MATCH(Valori[[#This Row],[LUKB_id]],PID,0),MATCH("NSIN_CH",PLabel,0)-1,1,1)</f>
        <v>143013422</v>
      </c>
      <c r="G317" s="95" t="str" cm="1">
        <f t="array" aca="1" ref="G317" ca="1">IF(OFFSET(POrigin,MATCH(Valori[[#This Row],[LUKB_id]],PID,0),MATCH("INSTRUNIT",PLabel,0)-1,1,1)="Nominal","Pct","Unit")</f>
        <v>Unit</v>
      </c>
      <c r="H317" s="612">
        <f ca="1">MAX(OFFSET(POrigin,MATCH(Valori[[#This Row],[LUKB_id]],PID,0),MATCH("PRICINGAMT",PLabel,0)-1,1,1),1)</f>
        <v>1</v>
      </c>
      <c r="I317" s="615" t="str" cm="1">
        <f t="array" aca="1" ref="I317" ca="1">OFFSET(POrigin,MATCH(Valori[[#This Row],[LUKB_id]],PID,0),MATCH("M_NAME",PLabel,0)-1,1,1)</f>
        <v>Amrize N</v>
      </c>
      <c r="M317" s="142" t="str" cm="1">
        <f t="array" aca="1" ref="M3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Amrize N</v>
      </c>
      <c r="N317" s="1563">
        <f ca="1">COUNTIF('CHF M'!smo_id,Valori[[#This Row],[smo_id]])+COUNTIF('CHF MA'!smo_id,Valori[[#This Row],[smo_id]])+COUNTIF('EUR MB'!smo_id,Valori[[#This Row],[smo_id]])+COUNTIF('EUR M'!smo_id,Valori[[#This Row],[smo_id]])+COUNTIF(AGCO!smo_id,Valori[[#This Row],[smo_id]])</f>
        <v>0</v>
      </c>
      <c r="O317" s="1590" cm="1">
        <f t="array" aca="1" ref="O317" ca="1">SUM(IF('CHF M'!smo_id=Valori[[#This Row],[smo_id]],'CHF M'!Posizione))+SUM(IF('CHF MA'!smo_id=Valori[[#This Row],[smo_id]],'CHF MA'!Posizione))+SUM(IF('EUR MB'!smo_id=Valori[[#This Row],[smo_id]],'EUR MB'!Posizione))+SUM(IF('EUR M'!smo_id=Valori[[#This Row],[smo_id]],'EUR M'!Posizione))+SUM(IF(AGCO!smo_id=Valori[[#This Row],[smo_id]],AGCO!Posizione))</f>
        <v>0</v>
      </c>
      <c r="P317" s="1661" t="str">
        <f ca="1">HYPERLINK(Valori[[#This Row],[P_Source]],"è")</f>
        <v>è</v>
      </c>
      <c r="Q317" s="1663" t="str">
        <f>HYPERLINK(Valori[[#This Row],[Info_W]],"i")</f>
        <v>i</v>
      </c>
      <c r="R317" s="1664" t="str">
        <f>HYPERLINK(Valori[[#This Row],[FN_W]],"")</f>
        <v></v>
      </c>
      <c r="S317" s="1665" t="str">
        <f>HYPERLINK(Valori[[#This Row],[MS_Link]],"")</f>
        <v></v>
      </c>
      <c r="T317" s="1665" t="str">
        <f>HYPERLINK(Valori[[#This Row],[C_source]],"")</f>
        <v></v>
      </c>
      <c r="U317" s="142" t="str" cm="1">
        <f t="array" aca="1" ref="U317" ca="1">OFFSET(POrigin,MATCH(Valori[[#This Row],[LUKB_id]],PID,0),MATCH("M_CUR",PLabel,0)-1,1,1)</f>
        <v>CHF</v>
      </c>
      <c r="V317" s="1562">
        <f ca="1">(Valori[[#This Row],[Last]]+Valori[[#This Row],[Acc. Int]])/Valori[[#This Row],[Pr.Amt]]/IF(Valori[[#This Row],[P_Type]]="Pct",100,1)</f>
        <v>47.800000000000004</v>
      </c>
      <c r="W317" s="1591" cm="1">
        <f t="array" aca="1" ref="W317" ca="1">OFFSET(POrigin,MATCH(Valori[[#This Row],[LUKB_id]],PID,0),MATCH("NC2_PR",PLabel,0)-1,1,1)/100</f>
        <v>-2.8652712863239199E-2</v>
      </c>
      <c r="X317" s="1592" cm="1">
        <f t="array" aca="1" ref="X317" ca="1">OFFSET(POrigin,MATCH(Valori[[#This Row],[LUKB_id]],PID,0),MATCH("LVAL",PLabel,0)-1,1,1)</f>
        <v>47.800000000000004</v>
      </c>
      <c r="Y317" s="1593" cm="1">
        <f t="array" aca="1" ref="Y317" ca="1">OFFSET(POrigin,MATCH(Valori[[#This Row],[LUKB_id]],PID,0),MATCH("LVAL:datetime",PLabel,0)-1,1,1)</f>
        <v>46084.731238425928</v>
      </c>
      <c r="Z317" s="1594" cm="1">
        <f t="array" aca="1" ref="Z317" ca="1">OFFSET(POrigin,MATCH(Valori[[#This Row],[LUKB_id]],PID,0),MATCH("BID:volume",PLabel,0)-1,1,1)</f>
        <v>0</v>
      </c>
      <c r="AA317" s="1595" cm="1">
        <f t="array" aca="1" ref="AA317" ca="1">OFFSET(POrigin,MATCH(Valori[[#This Row],[LUKB_id]],PID,0),MATCH("BID",PLabel,0)-1,1,1)</f>
        <v>0</v>
      </c>
      <c r="AB317" s="1595" cm="1">
        <f t="array" aca="1" ref="AB317" ca="1">OFFSET(POrigin,MATCH(Valori[[#This Row],[LUKB_id]],PID,0),MATCH("ASK",PLabel,0)-1,1,1)</f>
        <v>48.78</v>
      </c>
      <c r="AC317" s="1594" cm="1">
        <f t="array" aca="1" ref="AC317" ca="1">OFFSET(POrigin,MATCH(Valori[[#This Row],[LUKB_id]],PID,0),MATCH("ASK:volume",PLabel,0)-1,1,1)</f>
        <v>41</v>
      </c>
      <c r="AD317" s="1596" cm="1">
        <f t="array" aca="1" ref="AD317" ca="1">OFFSET(POrigin,MATCH(Valori[[#This Row],[LUKB_id]],PID,0),MATCH("BID-ASK Spread %",PLabel,0)-1,1,1)</f>
        <v>0</v>
      </c>
      <c r="AE317" s="1597" t="str" cm="1">
        <f t="array" aca="1" ref="AE317" ca="1">IF(OFFSET(POrigin,MATCH(Valori[[#This Row],[LUKB_id]],PID,0),MATCH("MATURITY",PLabel,0)-1,1,1)&gt;0,OFFSET(POrigin,MATCH(Valori[[#This Row],[LUKB_id]],PID,0),MATCH("MATURITY",PLabel,0)-1,1,1),"")</f>
        <v/>
      </c>
      <c r="AF317" s="1598" cm="1">
        <f t="array" aca="1" ref="AF317" ca="1">OFFSET(POrigin,MATCH(Valori[[#This Row],[LUKB_id]],PID,0),MATCH("ACCINT",PLabel,0)-1,1,1)</f>
        <v>0</v>
      </c>
      <c r="AG317" s="1594" cm="1">
        <f t="array" aca="1" ref="AG317" ca="1">OFFSET(POrigin,MATCH(Valori[[#This Row],[LUKB_id]],PID,0),MATCH("DENOM",PLabel,0)-1,1,1)</f>
        <v>0</v>
      </c>
      <c r="AH317" s="1599" cm="1">
        <f t="array" aca="1" ref="AH317" ca="1">(OFFSET(POrigin,MATCH(Valori[[#This Row],[LUKB_id]],PID,0),MATCH("YIELD",PLabel,0)-1,1,1)+OFFSET(POrigin,MATCH(Valori[[#This Row],[LUKB_id]],PID,0),MATCH("YLDEQ",PLabel,0)-1,1,1))/100</f>
        <v>0</v>
      </c>
      <c r="AI317" s="1600">
        <f ca="1">OFFSET(POrigin,MATCH(Valori[[#This Row],[LUKB_id]],PID,0),MATCH("DIVIDEND",PLabel,0)-1,1,1)</f>
        <v>0</v>
      </c>
      <c r="AJ317" s="1601">
        <f ca="1">OFFSET(POrigin,MATCH(Valori[[#This Row],[LUKB_id]],PID,0),MATCH("DIVIDEND:datetime",PLabel,0)-1,1,1)</f>
        <v>0</v>
      </c>
      <c r="AK317" s="1602">
        <f ca="1">OFFSET(POrigin,MATCH(Valori[[#This Row],[LUKB_id]],PID,0),MATCH("INTEREST",PLabel,0)-1,1,1)</f>
        <v>0</v>
      </c>
      <c r="AL317" s="1603">
        <f ca="1">OFFSET(POrigin,MATCH(Valori[[#This Row],[LUKB_id]],PID,0),MATCH("4W_PERF_PR",PLabel,0)-1,1,1)/100</f>
        <v>0.14326716</v>
      </c>
      <c r="AM317" s="1603">
        <f ca="1">OFFSET(POrigin,MATCH(Valori[[#This Row],[LUKB_id]],PID,0),MATCH("12W_PERF_PR",PLabel,0)-1,1,1)/100</f>
        <v>0.13674196999999999</v>
      </c>
      <c r="AN317" s="1603">
        <f ca="1">OFFSET(POrigin,MATCH(Valori[[#This Row],[LUKB_id]],PID,0),MATCH("YTD_PERF_PR",PLabel,0)-1,1,1)/100</f>
        <v>0.12944686711039799</v>
      </c>
      <c r="AO317" s="1591"/>
      <c r="AP317" s="1591"/>
      <c r="AQ317" s="1591"/>
      <c r="AR317" s="1591"/>
      <c r="AS317" s="1890"/>
      <c r="AT317" s="1890"/>
      <c r="AU317" s="610"/>
      <c r="AV317" s="1891"/>
      <c r="AW317" s="1604" t="str">
        <f ca="1">"https://boersenundmaerkte.lukb.ch/lukb/details/"&amp;Valori[[#This Row],[LUKB_id]]</f>
        <v>https://boersenundmaerkte.lukb.ch/lukb/details/143013422,4,1</v>
      </c>
      <c r="AX31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7" s="142"/>
      <c r="AZ317" s="142"/>
      <c r="BA317" s="142"/>
      <c r="BB317" s="142"/>
    </row>
    <row r="318" spans="1:54" ht="15" customHeight="1" x14ac:dyDescent="0.2">
      <c r="A318" s="142" t="s">
        <v>4284</v>
      </c>
      <c r="B318" s="142" t="str" cm="1">
        <f t="array" aca="1" ref="B318" ca="1">OFFSET(POrigin,MATCH(Valori[[#This Row],[smo_id]],Posizioni[smo_id],0),MATCH("LUKB_id",PIntestazioni,0)-1,1,1)</f>
        <v>24766616,1573,814</v>
      </c>
      <c r="C318" s="1669" t="str">
        <f ca="1">HYPERLINK("https://boersenundmaerkte.lukb.ch/lukb/details/"&amp;Valori[[#This Row],[LUKB_id]],"è")</f>
        <v>è</v>
      </c>
      <c r="D318" s="142" t="str" cm="1">
        <f t="array" aca="1" ref="D318" ca="1">OFFSET(POrigin,MATCH(Valori[[#This Row],[LUKB_id]],PID,0),MATCH("SC_GROUPED",PIntestazioni,0)-1,1,1)</f>
        <v>EQU</v>
      </c>
      <c r="E318" s="142" t="str" cm="1">
        <f t="array" aca="1" ref="E318" ca="1">OFFSET(POrigin,MATCH(Valori[[#This Row],[LUKB_id]],PID,0),MATCH("isin",PIntestazioni,0)-1,1,1)</f>
        <v>NL0010832176</v>
      </c>
      <c r="F318" s="34" t="str" cm="1">
        <f t="array" aca="1" ref="F318" ca="1">OFFSET(POrigin,MATCH(Valori[[#This Row],[LUKB_id]],PID,0),MATCH("NSIN_CH",PLabel,0)-1,1,1)</f>
        <v>24766616</v>
      </c>
      <c r="G318" s="95" t="str" cm="1">
        <f t="array" aca="1" ref="G318" ca="1">IF(OFFSET(POrigin,MATCH(Valori[[#This Row],[LUKB_id]],PID,0),MATCH("INSTRUNIT",PLabel,0)-1,1,1)="Nominal","Pct","Unit")</f>
        <v>Unit</v>
      </c>
      <c r="H318" s="612">
        <f ca="1">MAX(OFFSET(POrigin,MATCH(Valori[[#This Row],[LUKB_id]],PID,0),MATCH("PRICINGAMT",PLabel,0)-1,1,1),1)</f>
        <v>1</v>
      </c>
      <c r="I318" s="615" t="str" cm="1">
        <f t="array" aca="1" ref="I318" ca="1">OFFSET(POrigin,MATCH(Valori[[#This Row],[LUKB_id]],PID,0),MATCH("M_NAME",PLabel,0)-1,1,1)</f>
        <v>argenx Br</v>
      </c>
      <c r="M318" s="142" t="str" cm="1">
        <f t="array" aca="1" ref="M3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argenx Br</v>
      </c>
      <c r="N318" s="1563">
        <f ca="1">COUNTIF('CHF M'!smo_id,Valori[[#This Row],[smo_id]])+COUNTIF('CHF MA'!smo_id,Valori[[#This Row],[smo_id]])+COUNTIF('EUR MB'!smo_id,Valori[[#This Row],[smo_id]])+COUNTIF('EUR M'!smo_id,Valori[[#This Row],[smo_id]])+COUNTIF(AGCO!smo_id,Valori[[#This Row],[smo_id]])</f>
        <v>0</v>
      </c>
      <c r="O318" s="704" cm="1">
        <f t="array" aca="1" ref="O318" ca="1">SUM(IF('CHF M'!smo_id=Valori[[#This Row],[smo_id]],'CHF M'!Posizione))+SUM(IF('CHF MA'!smo_id=Valori[[#This Row],[smo_id]],'CHF MA'!Posizione))+SUM(IF('EUR MB'!smo_id=Valori[[#This Row],[smo_id]],'EUR MB'!Posizione))+SUM(IF('EUR M'!smo_id=Valori[[#This Row],[smo_id]],'EUR M'!Posizione))+SUM(IF(AGCO!smo_id=Valori[[#This Row],[smo_id]],AGCO!Posizione))</f>
        <v>0</v>
      </c>
      <c r="P318" s="1661" t="str">
        <f ca="1">HYPERLINK(Valori[[#This Row],[P_Source]],"è")</f>
        <v>è</v>
      </c>
      <c r="Q318" s="1663" t="str">
        <f>HYPERLINK(Valori[[#This Row],[Info_W]],"i")</f>
        <v>i</v>
      </c>
      <c r="R318" s="1664" t="str">
        <f>HYPERLINK(Valori[[#This Row],[FN_W]],"")</f>
        <v></v>
      </c>
      <c r="S318" s="1665" t="str">
        <f>HYPERLINK(Valori[[#This Row],[MS_Link]],"")</f>
        <v></v>
      </c>
      <c r="T318" s="1665" t="str">
        <f>HYPERLINK(Valori[[#This Row],[C_source]],"")</f>
        <v></v>
      </c>
      <c r="U318" s="142" t="str" cm="1">
        <f t="array" aca="1" ref="U318" ca="1">OFFSET(POrigin,MATCH(Valori[[#This Row],[LUKB_id]],PID,0),MATCH("M_CUR",PLabel,0)-1,1,1)</f>
        <v>EUR</v>
      </c>
      <c r="V318" s="1562">
        <f ca="1">(Valori[[#This Row],[Last]]+Valori[[#This Row],[Acc. Int]])/Valori[[#This Row],[Pr.Amt]]/IF(Valori[[#This Row],[P_Type]]="Pct",100,1)</f>
        <v>646.20000000000005</v>
      </c>
      <c r="W318" s="1892" cm="1">
        <f t="array" aca="1" ref="W318" ca="1">OFFSET(POrigin,MATCH(Valori[[#This Row],[LUKB_id]],PID,0),MATCH("NC2_PR",PLabel,0)-1,1,1)/100</f>
        <v>-3.7002775208139996E-3</v>
      </c>
      <c r="X318" s="1893" cm="1">
        <f t="array" aca="1" ref="X318" ca="1">OFFSET(POrigin,MATCH(Valori[[#This Row],[LUKB_id]],PID,0),MATCH("LVAL",PLabel,0)-1,1,1)</f>
        <v>646.20000000000005</v>
      </c>
      <c r="Y318" s="1894" cm="1">
        <f t="array" aca="1" ref="Y318" ca="1">OFFSET(POrigin,MATCH(Valori[[#This Row],[LUKB_id]],PID,0),MATCH("LVAL:datetime",PLabel,0)-1,1,1)</f>
        <v>46084.729166666664</v>
      </c>
      <c r="Z318" s="1895" cm="1">
        <f t="array" aca="1" ref="Z318" ca="1">OFFSET(POrigin,MATCH(Valori[[#This Row],[LUKB_id]],PID,0),MATCH("BID:volume",PLabel,0)-1,1,1)</f>
        <v>32</v>
      </c>
      <c r="AA318" s="1896" cm="1">
        <f t="array" aca="1" ref="AA318" ca="1">OFFSET(POrigin,MATCH(Valori[[#This Row],[LUKB_id]],PID,0),MATCH("BID",PLabel,0)-1,1,1)</f>
        <v>644.40000000000009</v>
      </c>
      <c r="AB318" s="1896" cm="1">
        <f t="array" aca="1" ref="AB318" ca="1">OFFSET(POrigin,MATCH(Valori[[#This Row],[LUKB_id]],PID,0),MATCH("ASK",PLabel,0)-1,1,1)</f>
        <v>644.40000000000009</v>
      </c>
      <c r="AC318" s="1606" cm="1">
        <f t="array" aca="1" ref="AC318" ca="1">OFFSET(POrigin,MATCH(Valori[[#This Row],[LUKB_id]],PID,0),MATCH("ASK:volume",PLabel,0)-1,1,1)</f>
        <v>32</v>
      </c>
      <c r="AD318" s="1897" cm="1">
        <f t="array" aca="1" ref="AD318" ca="1">OFFSET(POrigin,MATCH(Valori[[#This Row],[LUKB_id]],PID,0),MATCH("BID-ASK Spread %",PLabel,0)-1,1,1)</f>
        <v>0</v>
      </c>
      <c r="AE318" s="1898" t="str" cm="1">
        <f t="array" aca="1" ref="AE318" ca="1">IF(OFFSET(POrigin,MATCH(Valori[[#This Row],[LUKB_id]],PID,0),MATCH("MATURITY",PLabel,0)-1,1,1)&gt;0,OFFSET(POrigin,MATCH(Valori[[#This Row],[LUKB_id]],PID,0),MATCH("MATURITY",PLabel,0)-1,1,1),"")</f>
        <v/>
      </c>
      <c r="AF318" s="1899" cm="1">
        <f t="array" aca="1" ref="AF318" ca="1">OFFSET(POrigin,MATCH(Valori[[#This Row],[LUKB_id]],PID,0),MATCH("ACCINT",PLabel,0)-1,1,1)</f>
        <v>0</v>
      </c>
      <c r="AG318" s="1895" cm="1">
        <f t="array" aca="1" ref="AG318" ca="1">OFFSET(POrigin,MATCH(Valori[[#This Row],[LUKB_id]],PID,0),MATCH("DENOM",PLabel,0)-1,1,1)</f>
        <v>0</v>
      </c>
      <c r="AH318" s="1900" cm="1">
        <f t="array" aca="1" ref="AH318" ca="1">(OFFSET(POrigin,MATCH(Valori[[#This Row],[LUKB_id]],PID,0),MATCH("YIELD",PLabel,0)-1,1,1)+OFFSET(POrigin,MATCH(Valori[[#This Row],[LUKB_id]],PID,0),MATCH("YLDEQ",PLabel,0)-1,1,1))/100</f>
        <v>0</v>
      </c>
      <c r="AI318" s="1901">
        <f ca="1">OFFSET(POrigin,MATCH(Valori[[#This Row],[LUKB_id]],PID,0),MATCH("DIVIDEND",PLabel,0)-1,1,1)</f>
        <v>0</v>
      </c>
      <c r="AJ318" s="1902">
        <f ca="1">OFFSET(POrigin,MATCH(Valori[[#This Row],[LUKB_id]],PID,0),MATCH("DIVIDEND:datetime",PLabel,0)-1,1,1)</f>
        <v>0</v>
      </c>
      <c r="AK318" s="1903">
        <f ca="1">OFFSET(POrigin,MATCH(Valori[[#This Row],[LUKB_id]],PID,0),MATCH("INTEREST",PLabel,0)-1,1,1)</f>
        <v>0</v>
      </c>
      <c r="AL318" s="1904">
        <f ca="1">OFFSET(POrigin,MATCH(Valori[[#This Row],[LUKB_id]],PID,0),MATCH("4W_PERF_PR",PLabel,0)-1,1,1)/100</f>
        <v>-9.3434343434343467E-2</v>
      </c>
      <c r="AM318" s="1904">
        <f ca="1">OFFSET(POrigin,MATCH(Valori[[#This Row],[LUKB_id]],PID,0),MATCH("12W_PERF_PR",PLabel,0)-1,1,1)/100</f>
        <v>-0.15990639625585024</v>
      </c>
      <c r="AN318" s="1904">
        <f ca="1">OFFSET(POrigin,MATCH(Valori[[#This Row],[LUKB_id]],PID,0),MATCH("YTD_PERF_PR",PLabel,0)-1,1,1)/100</f>
        <v>-9.3374336035784308E-2</v>
      </c>
      <c r="AO318" s="1892"/>
      <c r="AP318" s="1892"/>
      <c r="AQ318" s="1892"/>
      <c r="AR318" s="1892"/>
      <c r="AS318" s="1890"/>
      <c r="AT318" s="1890"/>
      <c r="AU318" s="1607"/>
      <c r="AV318" s="1608"/>
      <c r="AW318" s="1609" t="str">
        <f ca="1">"https://boersenundmaerkte.lukb.ch/lukb/details/"&amp;Valori[[#This Row],[LUKB_id]]</f>
        <v>https://boersenundmaerkte.lukb.ch/lukb/details/24766616,1573,814</v>
      </c>
      <c r="AX318"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8" s="142"/>
      <c r="AZ318" s="142"/>
      <c r="BA318" s="142"/>
      <c r="BB318" s="142"/>
    </row>
    <row r="319" spans="1:54" ht="15" customHeight="1" x14ac:dyDescent="0.2">
      <c r="A319" s="142" t="s">
        <v>1784</v>
      </c>
      <c r="B319" s="142" t="str" cm="1">
        <f t="array" aca="1" ref="B319" ca="1">OFFSET(POrigin,MATCH(Valori[[#This Row],[smo_id]],Posizioni[smo_id],0),MATCH("LUKB_id",PIntestazioni,0)-1,1,1)</f>
        <v>2340545,4,1</v>
      </c>
      <c r="C319" s="1668" t="str">
        <f ca="1">HYPERLINK("https://boersenundmaerkte.lukb.ch/lukb/details/"&amp;Valori[[#This Row],[LUKB_id]],"è")</f>
        <v>è</v>
      </c>
      <c r="D319" s="142" t="str" cm="1">
        <f t="array" aca="1" ref="D319" ca="1">OFFSET(POrigin,MATCH(Valori[[#This Row],[LUKB_id]],PID,0),MATCH("SC_GROUPED",PIntestazioni,0)-1,1,1)</f>
        <v>EQU</v>
      </c>
      <c r="E319" s="413" t="str" cm="1">
        <f t="array" aca="1" ref="E319" ca="1">OFFSET(POrigin,MATCH(Valori[[#This Row],[LUKB_id]],PID,0),MATCH("isin",PIntestazioni,0)-1,1,1)</f>
        <v>CH0023405456</v>
      </c>
      <c r="F319" s="34" t="str" cm="1">
        <f t="array" aca="1" ref="F319" ca="1">OFFSET(POrigin,MATCH(Valori[[#This Row],[LUKB_id]],PID,0),MATCH("NSIN_CH",PLabel,0)-1,1,1)</f>
        <v>2340545</v>
      </c>
      <c r="G319" s="95" t="str" cm="1">
        <f t="array" aca="1" ref="G319" ca="1">IF(OFFSET(POrigin,MATCH(Valori[[#This Row],[LUKB_id]],PID,0),MATCH("INSTRUNIT",PLabel,0)-1,1,1)="Nominal","Pct","Unit")</f>
        <v>Unit</v>
      </c>
      <c r="H319" s="612">
        <f ca="1">MAX(OFFSET(POrigin,MATCH(Valori[[#This Row],[LUKB_id]],PID,0),MATCH("PRICINGAMT",PLabel,0)-1,1,1),1)</f>
        <v>1</v>
      </c>
      <c r="I319" s="615" t="str" cm="1">
        <f t="array" aca="1" ref="I319" ca="1">OFFSET(POrigin,MATCH(Valori[[#This Row],[LUKB_id]],PID,0),MATCH("M_NAME",PLabel,0)-1,1,1)</f>
        <v>Avolta N</v>
      </c>
      <c r="M319" s="142" t="str" cm="1">
        <f t="array" aca="1" ref="M3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Avolta N</v>
      </c>
      <c r="N319" s="1563">
        <f ca="1">COUNTIF('CHF M'!smo_id,Valori[[#This Row],[smo_id]])+COUNTIF('CHF MA'!smo_id,Valori[[#This Row],[smo_id]])+COUNTIF('EUR MB'!smo_id,Valori[[#This Row],[smo_id]])+COUNTIF('EUR M'!smo_id,Valori[[#This Row],[smo_id]])+COUNTIF(AGCO!smo_id,Valori[[#This Row],[smo_id]])</f>
        <v>0</v>
      </c>
      <c r="O319" s="1590" cm="1">
        <f t="array" aca="1" ref="O319" ca="1">SUM(IF('CHF M'!smo_id=Valori[[#This Row],[smo_id]],'CHF M'!Posizione))+SUM(IF('CHF MA'!smo_id=Valori[[#This Row],[smo_id]],'CHF MA'!Posizione))+SUM(IF('EUR MB'!smo_id=Valori[[#This Row],[smo_id]],'EUR MB'!Posizione))+SUM(IF('EUR M'!smo_id=Valori[[#This Row],[smo_id]],'EUR M'!Posizione))+SUM(IF(AGCO!smo_id=Valori[[#This Row],[smo_id]],AGCO!Posizione))</f>
        <v>0</v>
      </c>
      <c r="P319" s="1661" t="str">
        <f ca="1">HYPERLINK(Valori[[#This Row],[P_Source]],"è")</f>
        <v>è</v>
      </c>
      <c r="Q319" s="1663" t="str">
        <f>HYPERLINK(Valori[[#This Row],[Info_W]],"i")</f>
        <v>i</v>
      </c>
      <c r="R319" s="1664" t="str">
        <f>HYPERLINK(Valori[[#This Row],[FN_W]],"")</f>
        <v></v>
      </c>
      <c r="S319" s="1665" t="str">
        <f>HYPERLINK(Valori[[#This Row],[MS_Link]],"")</f>
        <v></v>
      </c>
      <c r="T319" s="1665" t="str">
        <f>HYPERLINK(Valori[[#This Row],[C_source]],"")</f>
        <v></v>
      </c>
      <c r="U319" s="142" t="str" cm="1">
        <f t="array" aca="1" ref="U319" ca="1">OFFSET(POrigin,MATCH(Valori[[#This Row],[LUKB_id]],PID,0),MATCH("M_CUR",PLabel,0)-1,1,1)</f>
        <v>CHF</v>
      </c>
      <c r="V319" s="1562">
        <f ca="1">(Valori[[#This Row],[Last]]+Valori[[#This Row],[Acc. Int]])/Valori[[#This Row],[Pr.Amt]]/IF(Valori[[#This Row],[P_Type]]="Pct",100,1)</f>
        <v>45.44</v>
      </c>
      <c r="W319" s="1591" cm="1">
        <f t="array" aca="1" ref="W319" ca="1">OFFSET(POrigin,MATCH(Valori[[#This Row],[LUKB_id]],PID,0),MATCH("NC2_PR",PLabel,0)-1,1,1)/100</f>
        <v>-4.2158516020236007E-2</v>
      </c>
      <c r="X319" s="1592" cm="1">
        <f t="array" aca="1" ref="X319" ca="1">OFFSET(POrigin,MATCH(Valori[[#This Row],[LUKB_id]],PID,0),MATCH("LVAL",PLabel,0)-1,1,1)</f>
        <v>45.44</v>
      </c>
      <c r="Y319" s="1593" cm="1">
        <f t="array" aca="1" ref="Y319" ca="1">OFFSET(POrigin,MATCH(Valori[[#This Row],[LUKB_id]],PID,0),MATCH("LVAL:datetime",PLabel,0)-1,1,1)</f>
        <v>46084.733831018515</v>
      </c>
      <c r="Z319" s="1594" cm="1">
        <f t="array" aca="1" ref="Z319" ca="1">OFFSET(POrigin,MATCH(Valori[[#This Row],[LUKB_id]],PID,0),MATCH("BID:volume",PLabel,0)-1,1,1)</f>
        <v>1000</v>
      </c>
      <c r="AA319" s="1595" cm="1">
        <f t="array" aca="1" ref="AA319" ca="1">OFFSET(POrigin,MATCH(Valori[[#This Row],[LUKB_id]],PID,0),MATCH("BID",PLabel,0)-1,1,1)</f>
        <v>44.800000000000004</v>
      </c>
      <c r="AB319" s="1595" cm="1">
        <f t="array" aca="1" ref="AB319" ca="1">OFFSET(POrigin,MATCH(Valori[[#This Row],[LUKB_id]],PID,0),MATCH("ASK",PLabel,0)-1,1,1)</f>
        <v>48</v>
      </c>
      <c r="AC319" s="1594" cm="1">
        <f t="array" aca="1" ref="AC319" ca="1">OFFSET(POrigin,MATCH(Valori[[#This Row],[LUKB_id]],PID,0),MATCH("ASK:volume",PLabel,0)-1,1,1)</f>
        <v>350</v>
      </c>
      <c r="AD319" s="1596" cm="1">
        <f t="array" aca="1" ref="AD319" ca="1">OFFSET(POrigin,MATCH(Valori[[#This Row],[LUKB_id]],PID,0),MATCH("BID-ASK Spread %",PLabel,0)-1,1,1)</f>
        <v>4.6511627906976674E-2</v>
      </c>
      <c r="AE319" s="1597" t="str" cm="1">
        <f t="array" aca="1" ref="AE319" ca="1">IF(OFFSET(POrigin,MATCH(Valori[[#This Row],[LUKB_id]],PID,0),MATCH("MATURITY",PLabel,0)-1,1,1)&gt;0,OFFSET(POrigin,MATCH(Valori[[#This Row],[LUKB_id]],PID,0),MATCH("MATURITY",PLabel,0)-1,1,1),"")</f>
        <v/>
      </c>
      <c r="AF319" s="1598" cm="1">
        <f t="array" aca="1" ref="AF319" ca="1">OFFSET(POrigin,MATCH(Valori[[#This Row],[LUKB_id]],PID,0),MATCH("ACCINT",PLabel,0)-1,1,1)</f>
        <v>0</v>
      </c>
      <c r="AG319" s="1594" cm="1">
        <f t="array" aca="1" ref="AG319" ca="1">OFFSET(POrigin,MATCH(Valori[[#This Row],[LUKB_id]],PID,0),MATCH("DENOM",PLabel,0)-1,1,1)</f>
        <v>0</v>
      </c>
      <c r="AH319" s="1599" cm="1">
        <f t="array" aca="1" ref="AH319" ca="1">(OFFSET(POrigin,MATCH(Valori[[#This Row],[LUKB_id]],PID,0),MATCH("YIELD",PLabel,0)-1,1,1)+OFFSET(POrigin,MATCH(Valori[[#This Row],[LUKB_id]],PID,0),MATCH("YLDEQ",PLabel,0)-1,1,1))/100</f>
        <v>2.2007039999999999E-2</v>
      </c>
      <c r="AI319" s="1600">
        <f ca="1">OFFSET(POrigin,MATCH(Valori[[#This Row],[LUKB_id]],PID,0),MATCH("DIVIDEND",PLabel,0)-1,1,1)</f>
        <v>1</v>
      </c>
      <c r="AJ319" s="1601">
        <f ca="1">OFFSET(POrigin,MATCH(Valori[[#This Row],[LUKB_id]],PID,0),MATCH("DIVIDEND:datetime",PLabel,0)-1,1,1)</f>
        <v>45793</v>
      </c>
      <c r="AK319" s="1602">
        <f ca="1">OFFSET(POrigin,MATCH(Valori[[#This Row],[LUKB_id]],PID,0),MATCH("INTEREST",PLabel,0)-1,1,1)</f>
        <v>0</v>
      </c>
      <c r="AL319" s="1603">
        <f ca="1">OFFSET(POrigin,MATCH(Valori[[#This Row],[LUKB_id]],PID,0),MATCH("4W_PERF_PR",PLabel,0)-1,1,1)/100</f>
        <v>-4.577908E-2</v>
      </c>
      <c r="AM319" s="1603">
        <f ca="1">OFFSET(POrigin,MATCH(Valori[[#This Row],[LUKB_id]],PID,0),MATCH("12W_PERF_PR",PLabel,0)-1,1,1)/100</f>
        <v>-2.7813439999999998E-2</v>
      </c>
      <c r="AN319" s="1603">
        <f ca="1">OFFSET(POrigin,MATCH(Valori[[#This Row],[LUKB_id]],PID,0),MATCH("YTD_PERF_PR",PLabel,0)-1,1,1)/100</f>
        <v>6.3640220619429998E-3</v>
      </c>
      <c r="AO319" s="1591"/>
      <c r="AP319" s="1591"/>
      <c r="AQ319" s="1591"/>
      <c r="AR319" s="1591"/>
      <c r="AS319" s="1890" t="s">
        <v>1785</v>
      </c>
      <c r="AT319" s="1890" t="s">
        <v>1786</v>
      </c>
      <c r="AU319" s="610" t="s">
        <v>1787</v>
      </c>
      <c r="AV319" s="1891" t="str">
        <f>IF(Valori[[#This Row],[MS_Link]]&lt;&gt;"",Valori[[#This Row],[MS_Link]]&amp;"company/","")</f>
        <v>https://www.marketscreener.com/quote/stock/DUFRY-AG-165654/company/</v>
      </c>
      <c r="AW319" s="1604" t="str">
        <f ca="1">"https://boersenundmaerkte.lukb.ch/lukb/details/"&amp;Valori[[#This Row],[LUKB_id]]</f>
        <v>https://boersenundmaerkte.lukb.ch/lukb/details/2340545,4,1</v>
      </c>
      <c r="AX319" s="1605" t="str">
        <f>"https://www.zonebourse.com/mods_a/charts/TV/inc_dyna_graph.php?c="&amp;Valori[[#This Row],[MS_Code]]&amp;"&amp;style=TradingView.CANDLES&amp;interval=(null)&amp;mobile=(null)&amp;showAT=1"</f>
        <v>https://www.zonebourse.com/mods_a/charts/TV/inc_dyna_graph.php?c=165654&amp;style=TradingView.CANDLES&amp;interval=(null)&amp;mobile=(null)&amp;showAT=1</v>
      </c>
      <c r="AY319" s="142"/>
      <c r="AZ319" s="142"/>
      <c r="BA319" s="142"/>
      <c r="BB319" s="142"/>
    </row>
    <row r="320" spans="1:54" ht="15" customHeight="1" x14ac:dyDescent="0.2">
      <c r="A320" s="142" t="s">
        <v>1788</v>
      </c>
      <c r="B320" s="142" t="str" cm="1">
        <f t="array" aca="1" ref="B320" ca="1">OFFSET(POrigin,MATCH(Valori[[#This Row],[smo_id]],Posizioni[smo_id],0),MATCH("LUKB_id",PIntestazioni,0)-1,1,1)</f>
        <v>486352,25,814</v>
      </c>
      <c r="C320" s="1668" t="str">
        <f ca="1">HYPERLINK("https://boersenundmaerkte.lukb.ch/lukb/details/"&amp;Valori[[#This Row],[LUKB_id]],"è")</f>
        <v>è</v>
      </c>
      <c r="D320" s="142" t="str" cm="1">
        <f t="array" aca="1" ref="D320" ca="1">OFFSET(POrigin,MATCH(Valori[[#This Row],[LUKB_id]],PID,0),MATCH("SC_GROUPED",PIntestazioni,0)-1,1,1)</f>
        <v>EQU</v>
      </c>
      <c r="E320" s="413" t="str" cm="1">
        <f t="array" aca="1" ref="E320" ca="1">OFFSET(POrigin,MATCH(Valori[[#This Row],[LUKB_id]],PID,0),MATCH("isin",PIntestazioni,0)-1,1,1)</f>
        <v>FR0000120628</v>
      </c>
      <c r="F320" s="34" t="str" cm="1">
        <f t="array" aca="1" ref="F320" ca="1">OFFSET(POrigin,MATCH(Valori[[#This Row],[LUKB_id]],PID,0),MATCH("NSIN_CH",PLabel,0)-1,1,1)</f>
        <v>486352</v>
      </c>
      <c r="G320" s="95" t="str" cm="1">
        <f t="array" aca="1" ref="G320" ca="1">IF(OFFSET(POrigin,MATCH(Valori[[#This Row],[LUKB_id]],PID,0),MATCH("INSTRUNIT",PLabel,0)-1,1,1)="Nominal","Pct","Unit")</f>
        <v>Unit</v>
      </c>
      <c r="H320" s="612">
        <f ca="1">MAX(OFFSET(POrigin,MATCH(Valori[[#This Row],[LUKB_id]],PID,0),MATCH("PRICINGAMT",PLabel,0)-1,1,1),1)</f>
        <v>1</v>
      </c>
      <c r="I320" s="615" t="str" cm="1">
        <f t="array" aca="1" ref="I320" ca="1">OFFSET(POrigin,MATCH(Valori[[#This Row],[LUKB_id]],PID,0),MATCH("M_NAME",PLabel,0)-1,1,1)</f>
        <v>AXA</v>
      </c>
      <c r="M320" s="142" t="str" cm="1">
        <f t="array" aca="1" ref="M3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AXA</v>
      </c>
      <c r="N320" s="1563">
        <f ca="1">COUNTIF('CHF M'!smo_id,Valori[[#This Row],[smo_id]])+COUNTIF('CHF MA'!smo_id,Valori[[#This Row],[smo_id]])+COUNTIF('EUR MB'!smo_id,Valori[[#This Row],[smo_id]])+COUNTIF('EUR M'!smo_id,Valori[[#This Row],[smo_id]])+COUNTIF(AGCO!smo_id,Valori[[#This Row],[smo_id]])</f>
        <v>0</v>
      </c>
      <c r="O320" s="1590" cm="1">
        <f t="array" aca="1" ref="O320" ca="1">SUM(IF('CHF M'!smo_id=Valori[[#This Row],[smo_id]],'CHF M'!Posizione))+SUM(IF('CHF MA'!smo_id=Valori[[#This Row],[smo_id]],'CHF MA'!Posizione))+SUM(IF('EUR MB'!smo_id=Valori[[#This Row],[smo_id]],'EUR MB'!Posizione))+SUM(IF('EUR M'!smo_id=Valori[[#This Row],[smo_id]],'EUR M'!Posizione))+SUM(IF(AGCO!smo_id=Valori[[#This Row],[smo_id]],AGCO!Posizione))</f>
        <v>0</v>
      </c>
      <c r="P320" s="1661" t="str">
        <f ca="1">HYPERLINK(Valori[[#This Row],[P_Source]],"è")</f>
        <v>è</v>
      </c>
      <c r="Q320" s="1663" t="str">
        <f>HYPERLINK(Valori[[#This Row],[Info_W]],"i")</f>
        <v>i</v>
      </c>
      <c r="R320" s="1664" t="str">
        <f>HYPERLINK(Valori[[#This Row],[FN_W]],"")</f>
        <v></v>
      </c>
      <c r="S320" s="1665" t="str">
        <f>HYPERLINK(Valori[[#This Row],[MS_Link]],"")</f>
        <v></v>
      </c>
      <c r="T320" s="1665" t="str">
        <f>HYPERLINK(Valori[[#This Row],[C_source]],"")</f>
        <v></v>
      </c>
      <c r="U320" s="142" t="str" cm="1">
        <f t="array" aca="1" ref="U320" ca="1">OFFSET(POrigin,MATCH(Valori[[#This Row],[LUKB_id]],PID,0),MATCH("M_CUR",PLabel,0)-1,1,1)</f>
        <v>EUR</v>
      </c>
      <c r="V320" s="1562">
        <f ca="1">(Valori[[#This Row],[Last]]+Valori[[#This Row],[Acc. Int]])/Valori[[#This Row],[Pr.Amt]]/IF(Valori[[#This Row],[P_Type]]="Pct",100,1)</f>
        <v>40.53</v>
      </c>
      <c r="W320" s="1591" cm="1">
        <f t="array" aca="1" ref="W320" ca="1">OFFSET(POrigin,MATCH(Valori[[#This Row],[LUKB_id]],PID,0),MATCH("NC2_PR",PLabel,0)-1,1,1)/100</f>
        <v>-2.2431259044862602E-2</v>
      </c>
      <c r="X320" s="1592" cm="1">
        <f t="array" aca="1" ref="X320" ca="1">OFFSET(POrigin,MATCH(Valori[[#This Row],[LUKB_id]],PID,0),MATCH("LVAL",PLabel,0)-1,1,1)</f>
        <v>40.53</v>
      </c>
      <c r="Y320" s="1593" cm="1">
        <f t="array" aca="1" ref="Y320" ca="1">OFFSET(POrigin,MATCH(Valori[[#This Row],[LUKB_id]],PID,0),MATCH("LVAL:datetime",PLabel,0)-1,1,1)</f>
        <v>46083.746527777781</v>
      </c>
      <c r="Z320" s="1594" cm="1">
        <f t="array" aca="1" ref="Z320" ca="1">OFFSET(POrigin,MATCH(Valori[[#This Row],[LUKB_id]],PID,0),MATCH("BID:volume",PLabel,0)-1,1,1)</f>
        <v>0</v>
      </c>
      <c r="AA320" s="1595" cm="1">
        <f t="array" aca="1" ref="AA320" ca="1">OFFSET(POrigin,MATCH(Valori[[#This Row],[LUKB_id]],PID,0),MATCH("BID",PLabel,0)-1,1,1)</f>
        <v>0</v>
      </c>
      <c r="AB320" s="1595" cm="1">
        <f t="array" aca="1" ref="AB320" ca="1">OFFSET(POrigin,MATCH(Valori[[#This Row],[LUKB_id]],PID,0),MATCH("ASK",PLabel,0)-1,1,1)</f>
        <v>0</v>
      </c>
      <c r="AC320" s="1594" cm="1">
        <f t="array" aca="1" ref="AC320" ca="1">OFFSET(POrigin,MATCH(Valori[[#This Row],[LUKB_id]],PID,0),MATCH("ASK:volume",PLabel,0)-1,1,1)</f>
        <v>0</v>
      </c>
      <c r="AD320" s="1596" cm="1">
        <f t="array" aca="1" ref="AD320" ca="1">OFFSET(POrigin,MATCH(Valori[[#This Row],[LUKB_id]],PID,0),MATCH("BID-ASK Spread %",PLabel,0)-1,1,1)</f>
        <v>0</v>
      </c>
      <c r="AE320" s="1597" t="str" cm="1">
        <f t="array" aca="1" ref="AE320" ca="1">IF(OFFSET(POrigin,MATCH(Valori[[#This Row],[LUKB_id]],PID,0),MATCH("MATURITY",PLabel,0)-1,1,1)&gt;0,OFFSET(POrigin,MATCH(Valori[[#This Row],[LUKB_id]],PID,0),MATCH("MATURITY",PLabel,0)-1,1,1),"")</f>
        <v/>
      </c>
      <c r="AF320" s="1598" cm="1">
        <f t="array" aca="1" ref="AF320" ca="1">OFFSET(POrigin,MATCH(Valori[[#This Row],[LUKB_id]],PID,0),MATCH("ACCINT",PLabel,0)-1,1,1)</f>
        <v>0</v>
      </c>
      <c r="AG320" s="1594" cm="1">
        <f t="array" aca="1" ref="AG320" ca="1">OFFSET(POrigin,MATCH(Valori[[#This Row],[LUKB_id]],PID,0),MATCH("DENOM",PLabel,0)-1,1,1)</f>
        <v>0</v>
      </c>
      <c r="AH320" s="1599" cm="1">
        <f t="array" aca="1" ref="AH320" ca="1">(OFFSET(POrigin,MATCH(Valori[[#This Row],[LUKB_id]],PID,0),MATCH("YIELD",PLabel,0)-1,1,1)+OFFSET(POrigin,MATCH(Valori[[#This Row],[LUKB_id]],PID,0),MATCH("YLDEQ",PLabel,0)-1,1,1))/100</f>
        <v>0</v>
      </c>
      <c r="AI320" s="1600">
        <f ca="1">OFFSET(POrigin,MATCH(Valori[[#This Row],[LUKB_id]],PID,0),MATCH("DIVIDEND",PLabel,0)-1,1,1)</f>
        <v>2.15</v>
      </c>
      <c r="AJ320" s="1601">
        <f ca="1">OFFSET(POrigin,MATCH(Valori[[#This Row],[LUKB_id]],PID,0),MATCH("DIVIDEND:datetime",PLabel,0)-1,1,1)</f>
        <v>45782</v>
      </c>
      <c r="AK320" s="1602">
        <f ca="1">OFFSET(POrigin,MATCH(Valori[[#This Row],[LUKB_id]],PID,0),MATCH("INTEREST",PLabel,0)-1,1,1)</f>
        <v>0</v>
      </c>
      <c r="AL320" s="1603">
        <f ca="1">OFFSET(POrigin,MATCH(Valori[[#This Row],[LUKB_id]],PID,0),MATCH("4W_PERF_PR",PLabel,0)-1,1,1)/100</f>
        <v>4.1099409195992899E-2</v>
      </c>
      <c r="AM320" s="1603">
        <f ca="1">OFFSET(POrigin,MATCH(Valori[[#This Row],[LUKB_id]],PID,0),MATCH("12W_PERF_PR",PLabel,0)-1,1,1)/100</f>
        <v>4.4049459041731007E-2</v>
      </c>
      <c r="AN320" s="1603">
        <f ca="1">OFFSET(POrigin,MATCH(Valori[[#This Row],[LUKB_id]],PID,0),MATCH("YTD_PERF_PR",PLabel,0)-1,1,1)/100</f>
        <v>-1.0498046875E-2</v>
      </c>
      <c r="AO320" s="1591"/>
      <c r="AP320" s="1591"/>
      <c r="AQ320" s="1591"/>
      <c r="AR320" s="1591"/>
      <c r="AS320" s="1890" t="s">
        <v>1789</v>
      </c>
      <c r="AT320" s="1890" t="s">
        <v>1790</v>
      </c>
      <c r="AU320" s="610" t="s">
        <v>1791</v>
      </c>
      <c r="AV320" s="1891" t="str">
        <f>IF(Valori[[#This Row],[MS_Link]]&lt;&gt;"",Valori[[#This Row],[MS_Link]]&amp;"company/","")</f>
        <v>https://www.marketscreener.com/quote/stock/AXA-4615/company/</v>
      </c>
      <c r="AW320" s="1604" t="str">
        <f ca="1">"https://boersenundmaerkte.lukb.ch/lukb/details/"&amp;Valori[[#This Row],[LUKB_id]]</f>
        <v>https://boersenundmaerkte.lukb.ch/lukb/details/486352,25,814</v>
      </c>
      <c r="AX320" s="1605" t="str">
        <f>"https://www.marketscreener.com/mods_a/charts/TV/inc_dyna_graph.php?c="&amp;Valori[[#This Row],[MS_Code]]&amp;"&amp;style=TradingView.CANDLES&amp;interval=(null)&amp;mobile=(null)&amp;showAT=1"</f>
        <v>https://www.marketscreener.com/mods_a/charts/TV/inc_dyna_graph.php?c=4615&amp;style=TradingView.CANDLES&amp;interval=(null)&amp;mobile=(null)&amp;showAT=1</v>
      </c>
      <c r="AY320" s="142"/>
      <c r="AZ320" s="142"/>
      <c r="BA320" s="142"/>
      <c r="BB320" s="142"/>
    </row>
    <row r="321" spans="1:54" ht="15" customHeight="1" x14ac:dyDescent="0.2">
      <c r="A321" s="142" t="s">
        <v>4275</v>
      </c>
      <c r="B321" s="142" t="str" cm="1">
        <f t="array" aca="1" ref="B321" ca="1">OFFSET(POrigin,MATCH(Valori[[#This Row],[smo_id]],Posizioni[smo_id],0),MATCH("LUKB_id",PIntestazioni,0)-1,1,1)</f>
        <v>900296,4,1</v>
      </c>
      <c r="C321" s="1669" t="str">
        <f ca="1">HYPERLINK("https://boersenundmaerkte.lukb.ch/lukb/details/"&amp;Valori[[#This Row],[LUKB_id]],"è")</f>
        <v>è</v>
      </c>
      <c r="D321" s="142" t="str" cm="1">
        <f t="array" aca="1" ref="D321" ca="1">OFFSET(POrigin,MATCH(Valori[[#This Row],[LUKB_id]],PID,0),MATCH("SC_GROUPED",PIntestazioni,0)-1,1,1)</f>
        <v>EQU</v>
      </c>
      <c r="E321" s="142" t="str" cm="1">
        <f t="array" aca="1" ref="E321" ca="1">OFFSET(POrigin,MATCH(Valori[[#This Row],[LUKB_id]],PID,0),MATCH("isin",PIntestazioni,0)-1,1,1)</f>
        <v>CH0009002962</v>
      </c>
      <c r="F321" s="34" t="str" cm="1">
        <f t="array" aca="1" ref="F321" ca="1">OFFSET(POrigin,MATCH(Valori[[#This Row],[LUKB_id]],PID,0),MATCH("NSIN_CH",PLabel,0)-1,1,1)</f>
        <v>900296</v>
      </c>
      <c r="G321" s="95" t="str" cm="1">
        <f t="array" aca="1" ref="G321" ca="1">IF(OFFSET(POrigin,MATCH(Valori[[#This Row],[LUKB_id]],PID,0),MATCH("INSTRUNIT",PLabel,0)-1,1,1)="Nominal","Pct","Unit")</f>
        <v>Unit</v>
      </c>
      <c r="H321" s="612">
        <f ca="1">MAX(OFFSET(POrigin,MATCH(Valori[[#This Row],[LUKB_id]],PID,0),MATCH("PRICINGAMT",PLabel,0)-1,1,1),1)</f>
        <v>1</v>
      </c>
      <c r="I321" s="615" t="str" cm="1">
        <f t="array" aca="1" ref="I321" ca="1">OFFSET(POrigin,MATCH(Valori[[#This Row],[LUKB_id]],PID,0),MATCH("M_NAME",PLabel,0)-1,1,1)</f>
        <v>Barry Callebaut N</v>
      </c>
      <c r="M321" s="142" t="str" cm="1">
        <f t="array" aca="1" ref="M3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Barry Callebaut N</v>
      </c>
      <c r="N321" s="1563">
        <f ca="1">COUNTIF('CHF M'!smo_id,Valori[[#This Row],[smo_id]])+COUNTIF('CHF MA'!smo_id,Valori[[#This Row],[smo_id]])+COUNTIF('EUR MB'!smo_id,Valori[[#This Row],[smo_id]])+COUNTIF('EUR M'!smo_id,Valori[[#This Row],[smo_id]])+COUNTIF(AGCO!smo_id,Valori[[#This Row],[smo_id]])</f>
        <v>3</v>
      </c>
      <c r="O321" s="704" cm="1">
        <f t="array" aca="1" ref="O321" ca="1">SUM(IF('CHF M'!smo_id=Valori[[#This Row],[smo_id]],'CHF M'!Posizione))+SUM(IF('CHF MA'!smo_id=Valori[[#This Row],[smo_id]],'CHF MA'!Posizione))+SUM(IF('EUR MB'!smo_id=Valori[[#This Row],[smo_id]],'EUR MB'!Posizione))+SUM(IF('EUR M'!smo_id=Valori[[#This Row],[smo_id]],'EUR M'!Posizione))+SUM(IF(AGCO!smo_id=Valori[[#This Row],[smo_id]],AGCO!Posizione))</f>
        <v>18</v>
      </c>
      <c r="P321" s="1661" t="str">
        <f ca="1">HYPERLINK(Valori[[#This Row],[P_Source]],"è")</f>
        <v>è</v>
      </c>
      <c r="Q321" s="1663" t="str">
        <f>HYPERLINK(Valori[[#This Row],[Info_W]],"i")</f>
        <v>i</v>
      </c>
      <c r="R321" s="1664" t="str">
        <f>HYPERLINK(Valori[[#This Row],[FN_W]],"")</f>
        <v></v>
      </c>
      <c r="S321" s="1665" t="str">
        <f>HYPERLINK(Valori[[#This Row],[MS_Link]],"")</f>
        <v></v>
      </c>
      <c r="T321" s="1665" t="str">
        <f>HYPERLINK(Valori[[#This Row],[C_source]],"")</f>
        <v></v>
      </c>
      <c r="U321" s="142" t="str" cm="1">
        <f t="array" aca="1" ref="U321" ca="1">OFFSET(POrigin,MATCH(Valori[[#This Row],[LUKB_id]],PID,0),MATCH("M_CUR",PLabel,0)-1,1,1)</f>
        <v>CHF</v>
      </c>
      <c r="V321" s="1562">
        <f ca="1">(Valori[[#This Row],[Last]]+Valori[[#This Row],[Acc. Int]])/Valori[[#This Row],[Pr.Amt]]/IF(Valori[[#This Row],[P_Type]]="Pct",100,1)</f>
        <v>1392</v>
      </c>
      <c r="W321" s="1892" cm="1">
        <f t="array" aca="1" ref="W321" ca="1">OFFSET(POrigin,MATCH(Valori[[#This Row],[LUKB_id]],PID,0),MATCH("NC2_PR",PLabel,0)-1,1,1)/100</f>
        <v>-2.1505376344086997E-3</v>
      </c>
      <c r="X321" s="1893" cm="1">
        <f t="array" aca="1" ref="X321" ca="1">OFFSET(POrigin,MATCH(Valori[[#This Row],[LUKB_id]],PID,0),MATCH("LVAL",PLabel,0)-1,1,1)</f>
        <v>1392</v>
      </c>
      <c r="Y321" s="1894" cm="1">
        <f t="array" aca="1" ref="Y321" ca="1">OFFSET(POrigin,MATCH(Valori[[#This Row],[LUKB_id]],PID,0),MATCH("LVAL:datetime",PLabel,0)-1,1,1)</f>
        <v>46084.730081018519</v>
      </c>
      <c r="Z321" s="1895" cm="1">
        <f t="array" aca="1" ref="Z321" ca="1">OFFSET(POrigin,MATCH(Valori[[#This Row],[LUKB_id]],PID,0),MATCH("BID:volume",PLabel,0)-1,1,1)</f>
        <v>40</v>
      </c>
      <c r="AA321" s="1896" cm="1">
        <f t="array" aca="1" ref="AA321" ca="1">OFFSET(POrigin,MATCH(Valori[[#This Row],[LUKB_id]],PID,0),MATCH("BID",PLabel,0)-1,1,1)</f>
        <v>1360</v>
      </c>
      <c r="AB321" s="1896" cm="1">
        <f t="array" aca="1" ref="AB321" ca="1">OFFSET(POrigin,MATCH(Valori[[#This Row],[LUKB_id]],PID,0),MATCH("ASK",PLabel,0)-1,1,1)</f>
        <v>1420</v>
      </c>
      <c r="AC321" s="1606" cm="1">
        <f t="array" aca="1" ref="AC321" ca="1">OFFSET(POrigin,MATCH(Valori[[#This Row],[LUKB_id]],PID,0),MATCH("ASK:volume",PLabel,0)-1,1,1)</f>
        <v>1</v>
      </c>
      <c r="AD321" s="1897" cm="1">
        <f t="array" aca="1" ref="AD321" ca="1">OFFSET(POrigin,MATCH(Valori[[#This Row],[LUKB_id]],PID,0),MATCH("BID-ASK Spread %",PLabel,0)-1,1,1)</f>
        <v>2.8985507246376812E-2</v>
      </c>
      <c r="AE321" s="1898" t="str" cm="1">
        <f t="array" aca="1" ref="AE321" ca="1">IF(OFFSET(POrigin,MATCH(Valori[[#This Row],[LUKB_id]],PID,0),MATCH("MATURITY",PLabel,0)-1,1,1)&gt;0,OFFSET(POrigin,MATCH(Valori[[#This Row],[LUKB_id]],PID,0),MATCH("MATURITY",PLabel,0)-1,1,1),"")</f>
        <v/>
      </c>
      <c r="AF321" s="1899" cm="1">
        <f t="array" aca="1" ref="AF321" ca="1">OFFSET(POrigin,MATCH(Valori[[#This Row],[LUKB_id]],PID,0),MATCH("ACCINT",PLabel,0)-1,1,1)</f>
        <v>0</v>
      </c>
      <c r="AG321" s="1895" cm="1">
        <f t="array" aca="1" ref="AG321" ca="1">OFFSET(POrigin,MATCH(Valori[[#This Row],[LUKB_id]],PID,0),MATCH("DENOM",PLabel,0)-1,1,1)</f>
        <v>0</v>
      </c>
      <c r="AH321" s="1900" cm="1">
        <f t="array" aca="1" ref="AH321" ca="1">(OFFSET(POrigin,MATCH(Valori[[#This Row],[LUKB_id]],PID,0),MATCH("YIELD",PLabel,0)-1,1,1)+OFFSET(POrigin,MATCH(Valori[[#This Row],[LUKB_id]],PID,0),MATCH("YLDEQ",PLabel,0)-1,1,1))/100</f>
        <v>2.0833330000000001E-2</v>
      </c>
      <c r="AI321" s="1901">
        <f ca="1">OFFSET(POrigin,MATCH(Valori[[#This Row],[LUKB_id]],PID,0),MATCH("DIVIDEND",PLabel,0)-1,1,1)</f>
        <v>29</v>
      </c>
      <c r="AJ321" s="1902">
        <f ca="1">OFFSET(POrigin,MATCH(Valori[[#This Row],[LUKB_id]],PID,0),MATCH("DIVIDEND:datetime",PLabel,0)-1,1,1)</f>
        <v>46034</v>
      </c>
      <c r="AK321" s="1903">
        <f ca="1">OFFSET(POrigin,MATCH(Valori[[#This Row],[LUKB_id]],PID,0),MATCH("INTEREST",PLabel,0)-1,1,1)</f>
        <v>0</v>
      </c>
      <c r="AL321" s="1904">
        <f ca="1">OFFSET(POrigin,MATCH(Valori[[#This Row],[LUKB_id]],PID,0),MATCH("4W_PERF_PR",PLabel,0)-1,1,1)/100</f>
        <v>4.426107E-2</v>
      </c>
      <c r="AM321" s="1904">
        <f ca="1">OFFSET(POrigin,MATCH(Valori[[#This Row],[LUKB_id]],PID,0),MATCH("12W_PERF_PR",PLabel,0)-1,1,1)/100</f>
        <v>0.15806988</v>
      </c>
      <c r="AN321" s="1904">
        <f ca="1">OFFSET(POrigin,MATCH(Valori[[#This Row],[LUKB_id]],PID,0),MATCH("YTD_PERF_PR",PLabel,0)-1,1,1)/100</f>
        <v>6.8147013782542204E-2</v>
      </c>
      <c r="AO321" s="1892"/>
      <c r="AP321" s="1892"/>
      <c r="AQ321" s="1892"/>
      <c r="AR321" s="1892"/>
      <c r="AS321" s="1890"/>
      <c r="AT321" s="1890"/>
      <c r="AU321" s="1607"/>
      <c r="AV321" s="1608"/>
      <c r="AW321" s="1609" t="str">
        <f ca="1">"https://boersenundmaerkte.lukb.ch/lukb/details/"&amp;Valori[[#This Row],[LUKB_id]]</f>
        <v>https://boersenundmaerkte.lukb.ch/lukb/details/900296,4,1</v>
      </c>
      <c r="AX321"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1" s="142"/>
      <c r="AZ321" s="142"/>
      <c r="BA321" s="142"/>
      <c r="BB321" s="142"/>
    </row>
    <row r="322" spans="1:54" ht="15" customHeight="1" x14ac:dyDescent="0.2">
      <c r="A322" s="142" t="s">
        <v>1792</v>
      </c>
      <c r="B322" s="142" t="str" cm="1">
        <f t="array" aca="1" ref="B322" ca="1">OFFSET(POrigin,MATCH(Valori[[#This Row],[smo_id]],Posizioni[smo_id],0),MATCH("LUKB_id",PIntestazioni,0)-1,1,1)</f>
        <v>41641428,38,814</v>
      </c>
      <c r="C322" s="1668" t="str">
        <f ca="1">HYPERLINK("https://boersenundmaerkte.lukb.ch/lukb/details/"&amp;Valori[[#This Row],[LUKB_id]],"è")</f>
        <v>è</v>
      </c>
      <c r="D322" s="142" t="str" cm="1">
        <f t="array" aca="1" ref="D322" ca="1">OFFSET(POrigin,MATCH(Valori[[#This Row],[LUKB_id]],PID,0),MATCH("SC_GROUPED",PIntestazioni,0)-1,1,1)</f>
        <v>EQU</v>
      </c>
      <c r="E322" s="413" t="str" cm="1">
        <f t="array" aca="1" ref="E322" ca="1">OFFSET(POrigin,MATCH(Valori[[#This Row],[LUKB_id]],PID,0),MATCH("isin",PIntestazioni,0)-1,1,1)</f>
        <v>NL0012866412</v>
      </c>
      <c r="F322" s="34" t="str" cm="1">
        <f t="array" aca="1" ref="F322" ca="1">OFFSET(POrigin,MATCH(Valori[[#This Row],[LUKB_id]],PID,0),MATCH("NSIN_CH",PLabel,0)-1,1,1)</f>
        <v>41641428</v>
      </c>
      <c r="G322" s="95" t="str" cm="1">
        <f t="array" aca="1" ref="G322" ca="1">IF(OFFSET(POrigin,MATCH(Valori[[#This Row],[LUKB_id]],PID,0),MATCH("INSTRUNIT",PLabel,0)-1,1,1)="Nominal","Pct","Unit")</f>
        <v>Unit</v>
      </c>
      <c r="H322" s="612">
        <f ca="1">MAX(OFFSET(POrigin,MATCH(Valori[[#This Row],[LUKB_id]],PID,0),MATCH("PRICINGAMT",PLabel,0)-1,1,1),1)</f>
        <v>1</v>
      </c>
      <c r="I322" s="615" t="str" cm="1">
        <f t="array" aca="1" ref="I322" ca="1">OFFSET(POrigin,MATCH(Valori[[#This Row],[LUKB_id]],PID,0),MATCH("M_NAME",PLabel,0)-1,1,1)</f>
        <v>Besi Br Rg</v>
      </c>
      <c r="J322" s="142" t="s">
        <v>1793</v>
      </c>
      <c r="M322" s="142" t="str" cm="1">
        <f t="array" aca="1" ref="M3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 Semiconductor Industries</v>
      </c>
      <c r="N322" s="1563">
        <f ca="1">COUNTIF('CHF M'!smo_id,Valori[[#This Row],[smo_id]])+COUNTIF('CHF MA'!smo_id,Valori[[#This Row],[smo_id]])+COUNTIF('EUR MB'!smo_id,Valori[[#This Row],[smo_id]])+COUNTIF('EUR M'!smo_id,Valori[[#This Row],[smo_id]])+COUNTIF(AGCO!smo_id,Valori[[#This Row],[smo_id]])</f>
        <v>0</v>
      </c>
      <c r="O322" s="1590" cm="1">
        <f t="array" aca="1" ref="O322" ca="1">SUM(IF('CHF M'!smo_id=Valori[[#This Row],[smo_id]],'CHF M'!Posizione))+SUM(IF('CHF MA'!smo_id=Valori[[#This Row],[smo_id]],'CHF MA'!Posizione))+SUM(IF('EUR MB'!smo_id=Valori[[#This Row],[smo_id]],'EUR MB'!Posizione))+SUM(IF('EUR M'!smo_id=Valori[[#This Row],[smo_id]],'EUR M'!Posizione))+SUM(IF(AGCO!smo_id=Valori[[#This Row],[smo_id]],AGCO!Posizione))</f>
        <v>0</v>
      </c>
      <c r="P322" s="1661" t="str">
        <f ca="1">HYPERLINK(Valori[[#This Row],[P_Source]],"è")</f>
        <v>è</v>
      </c>
      <c r="Q322" s="1663" t="str">
        <f>HYPERLINK(Valori[[#This Row],[Info_W]],"i")</f>
        <v>i</v>
      </c>
      <c r="R322" s="1664" t="str">
        <f>HYPERLINK(Valori[[#This Row],[FN_W]],"")</f>
        <v></v>
      </c>
      <c r="S322" s="1665" t="str">
        <f>HYPERLINK(Valori[[#This Row],[MS_Link]],"")</f>
        <v></v>
      </c>
      <c r="T322" s="1665" t="str">
        <f>HYPERLINK(Valori[[#This Row],[C_source]],"")</f>
        <v></v>
      </c>
      <c r="U322" s="142" t="str" cm="1">
        <f t="array" aca="1" ref="U322" ca="1">OFFSET(POrigin,MATCH(Valori[[#This Row],[LUKB_id]],PID,0),MATCH("M_CUR",PLabel,0)-1,1,1)</f>
        <v>EUR</v>
      </c>
      <c r="V322" s="1562">
        <f ca="1">(Valori[[#This Row],[Last]]+Valori[[#This Row],[Acc. Int]])/Valori[[#This Row],[Pr.Amt]]/IF(Valori[[#This Row],[P_Type]]="Pct",100,1)</f>
        <v>188.5</v>
      </c>
      <c r="W322" s="1591" cm="1">
        <f t="array" aca="1" ref="W322" ca="1">OFFSET(POrigin,MATCH(Valori[[#This Row],[LUKB_id]],PID,0),MATCH("NC2_PR",PLabel,0)-1,1,1)/100</f>
        <v>-4.7518479408660006E-3</v>
      </c>
      <c r="X322" s="1592" cm="1">
        <f t="array" aca="1" ref="X322" ca="1">OFFSET(POrigin,MATCH(Valori[[#This Row],[LUKB_id]],PID,0),MATCH("LVAL",PLabel,0)-1,1,1)</f>
        <v>188.5</v>
      </c>
      <c r="Y322" s="1593" cm="1">
        <f t="array" aca="1" ref="Y322" ca="1">OFFSET(POrigin,MATCH(Valori[[#This Row],[LUKB_id]],PID,0),MATCH("LVAL:datetime",PLabel,0)-1,1,1)</f>
        <v>46083.746527777781</v>
      </c>
      <c r="Z322" s="1594" cm="1">
        <f t="array" aca="1" ref="Z322" ca="1">OFFSET(POrigin,MATCH(Valori[[#This Row],[LUKB_id]],PID,0),MATCH("BID:volume",PLabel,0)-1,1,1)</f>
        <v>0</v>
      </c>
      <c r="AA322" s="1595" cm="1">
        <f t="array" aca="1" ref="AA322" ca="1">OFFSET(POrigin,MATCH(Valori[[#This Row],[LUKB_id]],PID,0),MATCH("BID",PLabel,0)-1,1,1)</f>
        <v>0</v>
      </c>
      <c r="AB322" s="1595" cm="1">
        <f t="array" aca="1" ref="AB322" ca="1">OFFSET(POrigin,MATCH(Valori[[#This Row],[LUKB_id]],PID,0),MATCH("ASK",PLabel,0)-1,1,1)</f>
        <v>0</v>
      </c>
      <c r="AC322" s="1594" cm="1">
        <f t="array" aca="1" ref="AC322" ca="1">OFFSET(POrigin,MATCH(Valori[[#This Row],[LUKB_id]],PID,0),MATCH("ASK:volume",PLabel,0)-1,1,1)</f>
        <v>0</v>
      </c>
      <c r="AD322" s="1596" cm="1">
        <f t="array" aca="1" ref="AD322" ca="1">OFFSET(POrigin,MATCH(Valori[[#This Row],[LUKB_id]],PID,0),MATCH("BID-ASK Spread %",PLabel,0)-1,1,1)</f>
        <v>0</v>
      </c>
      <c r="AE322" s="1597" t="str" cm="1">
        <f t="array" aca="1" ref="AE322" ca="1">IF(OFFSET(POrigin,MATCH(Valori[[#This Row],[LUKB_id]],PID,0),MATCH("MATURITY",PLabel,0)-1,1,1)&gt;0,OFFSET(POrigin,MATCH(Valori[[#This Row],[LUKB_id]],PID,0),MATCH("MATURITY",PLabel,0)-1,1,1),"")</f>
        <v/>
      </c>
      <c r="AF322" s="1598" cm="1">
        <f t="array" aca="1" ref="AF322" ca="1">OFFSET(POrigin,MATCH(Valori[[#This Row],[LUKB_id]],PID,0),MATCH("ACCINT",PLabel,0)-1,1,1)</f>
        <v>0</v>
      </c>
      <c r="AG322" s="1594" cm="1">
        <f t="array" aca="1" ref="AG322" ca="1">OFFSET(POrigin,MATCH(Valori[[#This Row],[LUKB_id]],PID,0),MATCH("DENOM",PLabel,0)-1,1,1)</f>
        <v>0</v>
      </c>
      <c r="AH322" s="1599" cm="1">
        <f t="array" aca="1" ref="AH322" ca="1">(OFFSET(POrigin,MATCH(Valori[[#This Row],[LUKB_id]],PID,0),MATCH("YIELD",PLabel,0)-1,1,1)+OFFSET(POrigin,MATCH(Valori[[#This Row],[LUKB_id]],PID,0),MATCH("YLDEQ",PLabel,0)-1,1,1))/100</f>
        <v>0</v>
      </c>
      <c r="AI322" s="1600">
        <f ca="1">OFFSET(POrigin,MATCH(Valori[[#This Row],[LUKB_id]],PID,0),MATCH("DIVIDEND",PLabel,0)-1,1,1)</f>
        <v>2.1800000000000002</v>
      </c>
      <c r="AJ322" s="1601">
        <f ca="1">OFFSET(POrigin,MATCH(Valori[[#This Row],[LUKB_id]],PID,0),MATCH("DIVIDEND:datetime",PLabel,0)-1,1,1)</f>
        <v>45772</v>
      </c>
      <c r="AK322" s="1602">
        <f ca="1">OFFSET(POrigin,MATCH(Valori[[#This Row],[LUKB_id]],PID,0),MATCH("INTEREST",PLabel,0)-1,1,1)</f>
        <v>0</v>
      </c>
      <c r="AL322" s="1603">
        <f ca="1">OFFSET(POrigin,MATCH(Valori[[#This Row],[LUKB_id]],PID,0),MATCH("4W_PERF_PR",PLabel,0)-1,1,1)/100</f>
        <v>0.14520048602673202</v>
      </c>
      <c r="AM322" s="1603">
        <f ca="1">OFFSET(POrigin,MATCH(Valori[[#This Row],[LUKB_id]],PID,0),MATCH("12W_PERF_PR",PLabel,0)-1,1,1)/100</f>
        <v>0.28362274429690199</v>
      </c>
      <c r="AN322" s="1603">
        <f ca="1">OFFSET(POrigin,MATCH(Valori[[#This Row],[LUKB_id]],PID,0),MATCH("YTD_PERF_PR",PLabel,0)-1,1,1)/100</f>
        <v>0.40934579439252405</v>
      </c>
      <c r="AO322" s="1591"/>
      <c r="AP322" s="1591"/>
      <c r="AQ322" s="1591"/>
      <c r="AR322" s="1591"/>
      <c r="AS322" s="1890" t="s">
        <v>1794</v>
      </c>
      <c r="AT322" s="1890" t="s">
        <v>1795</v>
      </c>
      <c r="AU322" s="610" t="s">
        <v>1796</v>
      </c>
      <c r="AV322" s="1891" t="str">
        <f>IF(Valori[[#This Row],[MS_Link]]&lt;&gt;"",Valori[[#This Row],[MS_Link]]&amp;"company/","")</f>
        <v>https://www.marketscreener.com/quote/stock/BE-SEMICONDUCTOR-INDUSTRI-6318/company/</v>
      </c>
      <c r="AW322" s="1604" t="str">
        <f ca="1">"https://boersenundmaerkte.lukb.ch/lukb/details/"&amp;Valori[[#This Row],[LUKB_id]]</f>
        <v>https://boersenundmaerkte.lukb.ch/lukb/details/41641428,38,814</v>
      </c>
      <c r="AX322" s="1605" t="str">
        <f>"https://www.marketscreener.com/mods_a/charts/TV/inc_dyna_graph.php?c="&amp;Valori[[#This Row],[MS_Code]]&amp;"&amp;style=TradingView.CANDLES&amp;interval=(null)&amp;mobile=(null)&amp;showAT=1"</f>
        <v>https://www.marketscreener.com/mods_a/charts/TV/inc_dyna_graph.php?c=6318&amp;style=TradingView.CANDLES&amp;interval=(null)&amp;mobile=(null)&amp;showAT=1</v>
      </c>
      <c r="AY322" s="142"/>
      <c r="AZ322" s="142"/>
      <c r="BA322" s="142"/>
      <c r="BB322" s="142"/>
    </row>
    <row r="323" spans="1:54" ht="15" customHeight="1" x14ac:dyDescent="0.2">
      <c r="A323" s="142" t="s">
        <v>1797</v>
      </c>
      <c r="B323" s="142" t="str" cm="1">
        <f t="array" aca="1" ref="B323" ca="1">OFFSET(POrigin,MATCH(Valori[[#This Row],[smo_id]],Posizioni[smo_id],0),MATCH("LUKB_id",PIntestazioni,0)-1,1,1)</f>
        <v>31596632,4,1</v>
      </c>
      <c r="C323" s="1668" t="str">
        <f ca="1">HYPERLINK("https://boersenundmaerkte.lukb.ch/lukb/details/"&amp;Valori[[#This Row],[LUKB_id]],"è")</f>
        <v>è</v>
      </c>
      <c r="D323" s="142" t="str" cm="1">
        <f t="array" aca="1" ref="D323" ca="1">OFFSET(POrigin,MATCH(Valori[[#This Row],[LUKB_id]],PID,0),MATCH("SC_GROUPED",PIntestazioni,0)-1,1,1)</f>
        <v>EQU</v>
      </c>
      <c r="E323" s="413" t="str" cm="1">
        <f t="array" aca="1" ref="E323" ca="1">OFFSET(POrigin,MATCH(Valori[[#This Row],[LUKB_id]],PID,0),MATCH("isin",PIntestazioni,0)-1,1,1)</f>
        <v>CH0315966322</v>
      </c>
      <c r="F323" s="34" t="str" cm="1">
        <f t="array" aca="1" ref="F323" ca="1">OFFSET(POrigin,MATCH(Valori[[#This Row],[LUKB_id]],PID,0),MATCH("NSIN_CH",PLabel,0)-1,1,1)</f>
        <v>31596632</v>
      </c>
      <c r="G323" s="95" t="str" cm="1">
        <f t="array" aca="1" ref="G323" ca="1">IF(OFFSET(POrigin,MATCH(Valori[[#This Row],[LUKB_id]],PID,0),MATCH("INSTRUNIT",PLabel,0)-1,1,1)="Nominal","Pct","Unit")</f>
        <v>Unit</v>
      </c>
      <c r="H323" s="612">
        <f ca="1">MAX(OFFSET(POrigin,MATCH(Valori[[#This Row],[LUKB_id]],PID,0),MATCH("PRICINGAMT",PLabel,0)-1,1,1),1)</f>
        <v>1</v>
      </c>
      <c r="I323" s="615" t="str" cm="1">
        <f t="array" aca="1" ref="I323" ca="1">OFFSET(POrigin,MATCH(Valori[[#This Row],[LUKB_id]],PID,0),MATCH("M_NAME",PLabel,0)-1,1,1)</f>
        <v>Bell Food Gr N</v>
      </c>
      <c r="M323" s="142" t="str" cm="1">
        <f t="array" aca="1" ref="M3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Bell Food Gr N</v>
      </c>
      <c r="N323" s="1563">
        <f ca="1">COUNTIF('CHF M'!smo_id,Valori[[#This Row],[smo_id]])+COUNTIF('CHF MA'!smo_id,Valori[[#This Row],[smo_id]])+COUNTIF('EUR MB'!smo_id,Valori[[#This Row],[smo_id]])+COUNTIF('EUR M'!smo_id,Valori[[#This Row],[smo_id]])+COUNTIF(AGCO!smo_id,Valori[[#This Row],[smo_id]])</f>
        <v>0</v>
      </c>
      <c r="O323" s="1590" cm="1">
        <f t="array" aca="1" ref="O323" ca="1">SUM(IF('CHF M'!smo_id=Valori[[#This Row],[smo_id]],'CHF M'!Posizione))+SUM(IF('CHF MA'!smo_id=Valori[[#This Row],[smo_id]],'CHF MA'!Posizione))+SUM(IF('EUR MB'!smo_id=Valori[[#This Row],[smo_id]],'EUR MB'!Posizione))+SUM(IF('EUR M'!smo_id=Valori[[#This Row],[smo_id]],'EUR M'!Posizione))+SUM(IF(AGCO!smo_id=Valori[[#This Row],[smo_id]],AGCO!Posizione))</f>
        <v>0</v>
      </c>
      <c r="P323" s="1661" t="str">
        <f ca="1">HYPERLINK(Valori[[#This Row],[P_Source]],"è")</f>
        <v>è</v>
      </c>
      <c r="Q323" s="1663" t="str">
        <f>HYPERLINK(Valori[[#This Row],[Info_W]],"i")</f>
        <v>i</v>
      </c>
      <c r="R323" s="1664" t="str">
        <f>HYPERLINK(Valori[[#This Row],[FN_W]],"")</f>
        <v></v>
      </c>
      <c r="S323" s="1665" t="str">
        <f>HYPERLINK(Valori[[#This Row],[MS_Link]],"")</f>
        <v></v>
      </c>
      <c r="T323" s="1665" t="str">
        <f>HYPERLINK(Valori[[#This Row],[C_source]],"")</f>
        <v></v>
      </c>
      <c r="U323" s="142" t="str" cm="1">
        <f t="array" aca="1" ref="U323" ca="1">OFFSET(POrigin,MATCH(Valori[[#This Row],[LUKB_id]],PID,0),MATCH("M_CUR",PLabel,0)-1,1,1)</f>
        <v>CHF</v>
      </c>
      <c r="V323" s="1562">
        <f ca="1">(Valori[[#This Row],[Last]]+Valori[[#This Row],[Acc. Int]])/Valori[[#This Row],[Pr.Amt]]/IF(Valori[[#This Row],[P_Type]]="Pct",100,1)</f>
        <v>211</v>
      </c>
      <c r="W323" s="1591" cm="1">
        <f t="array" aca="1" ref="W323" ca="1">OFFSET(POrigin,MATCH(Valori[[#This Row],[LUKB_id]],PID,0),MATCH("NC2_PR",PLabel,0)-1,1,1)/100</f>
        <v>-1.17096018735364E-2</v>
      </c>
      <c r="X323" s="1592" cm="1">
        <f t="array" aca="1" ref="X323" ca="1">OFFSET(POrigin,MATCH(Valori[[#This Row],[LUKB_id]],PID,0),MATCH("LVAL",PLabel,0)-1,1,1)</f>
        <v>211</v>
      </c>
      <c r="Y323" s="1593" cm="1">
        <f t="array" aca="1" ref="Y323" ca="1">OFFSET(POrigin,MATCH(Valori[[#This Row],[LUKB_id]],PID,0),MATCH("LVAL:datetime",PLabel,0)-1,1,1)</f>
        <v>46084.730081018519</v>
      </c>
      <c r="Z323" s="1594" cm="1">
        <f t="array" aca="1" ref="Z323" ca="1">OFFSET(POrigin,MATCH(Valori[[#This Row],[LUKB_id]],PID,0),MATCH("BID:volume",PLabel,0)-1,1,1)</f>
        <v>1</v>
      </c>
      <c r="AA323" s="1595" cm="1">
        <f t="array" aca="1" ref="AA323" ca="1">OFFSET(POrigin,MATCH(Valori[[#This Row],[LUKB_id]],PID,0),MATCH("BID",PLabel,0)-1,1,1)</f>
        <v>220</v>
      </c>
      <c r="AB323" s="1595" cm="1">
        <f t="array" aca="1" ref="AB323" ca="1">OFFSET(POrigin,MATCH(Valori[[#This Row],[LUKB_id]],PID,0),MATCH("ASK",PLabel,0)-1,1,1)</f>
        <v>216</v>
      </c>
      <c r="AC323" s="1594" cm="1">
        <f t="array" aca="1" ref="AC323" ca="1">OFFSET(POrigin,MATCH(Valori[[#This Row],[LUKB_id]],PID,0),MATCH("ASK:volume",PLabel,0)-1,1,1)</f>
        <v>120</v>
      </c>
      <c r="AD323" s="1596" cm="1">
        <f t="array" aca="1" ref="AD323" ca="1">OFFSET(POrigin,MATCH(Valori[[#This Row],[LUKB_id]],PID,0),MATCH("BID-ASK Spread %",PLabel,0)-1,1,1)</f>
        <v>-1.2195121951219513E-2</v>
      </c>
      <c r="AE323" s="1597" t="str" cm="1">
        <f t="array" aca="1" ref="AE323" ca="1">IF(OFFSET(POrigin,MATCH(Valori[[#This Row],[LUKB_id]],PID,0),MATCH("MATURITY",PLabel,0)-1,1,1)&gt;0,OFFSET(POrigin,MATCH(Valori[[#This Row],[LUKB_id]],PID,0),MATCH("MATURITY",PLabel,0)-1,1,1),"")</f>
        <v/>
      </c>
      <c r="AF323" s="1598" cm="1">
        <f t="array" aca="1" ref="AF323" ca="1">OFFSET(POrigin,MATCH(Valori[[#This Row],[LUKB_id]],PID,0),MATCH("ACCINT",PLabel,0)-1,1,1)</f>
        <v>0</v>
      </c>
      <c r="AG323" s="1594" cm="1">
        <f t="array" aca="1" ref="AG323" ca="1">OFFSET(POrigin,MATCH(Valori[[#This Row],[LUKB_id]],PID,0),MATCH("DENOM",PLabel,0)-1,1,1)</f>
        <v>0</v>
      </c>
      <c r="AH323" s="1599" cm="1">
        <f t="array" aca="1" ref="AH323" ca="1">(OFFSET(POrigin,MATCH(Valori[[#This Row],[LUKB_id]],PID,0),MATCH("YIELD",PLabel,0)-1,1,1)+OFFSET(POrigin,MATCH(Valori[[#This Row],[LUKB_id]],PID,0),MATCH("YLDEQ",PLabel,0)-1,1,1))/100</f>
        <v>3.3175360000000001E-2</v>
      </c>
      <c r="AI323" s="1600">
        <f ca="1">OFFSET(POrigin,MATCH(Valori[[#This Row],[LUKB_id]],PID,0),MATCH("DIVIDEND",PLabel,0)-1,1,1)</f>
        <v>7</v>
      </c>
      <c r="AJ323" s="1601">
        <f ca="1">OFFSET(POrigin,MATCH(Valori[[#This Row],[LUKB_id]],PID,0),MATCH("DIVIDEND:datetime",PLabel,0)-1,1,1)</f>
        <v>45757</v>
      </c>
      <c r="AK323" s="1602">
        <f ca="1">OFFSET(POrigin,MATCH(Valori[[#This Row],[LUKB_id]],PID,0),MATCH("INTEREST",PLabel,0)-1,1,1)</f>
        <v>0</v>
      </c>
      <c r="AL323" s="1603">
        <f ca="1">OFFSET(POrigin,MATCH(Valori[[#This Row],[LUKB_id]],PID,0),MATCH("4W_PERF_PR",PLabel,0)-1,1,1)/100</f>
        <v>-3.8724369999999994E-2</v>
      </c>
      <c r="AM323" s="1603">
        <f ca="1">OFFSET(POrigin,MATCH(Valori[[#This Row],[LUKB_id]],PID,0),MATCH("12W_PERF_PR",PLabel,0)-1,1,1)/100</f>
        <v>-4.5248869999999997E-2</v>
      </c>
      <c r="AN323" s="1603">
        <f ca="1">OFFSET(POrigin,MATCH(Valori[[#This Row],[LUKB_id]],PID,0),MATCH("YTD_PERF_PR",PLabel,0)-1,1,1)/100</f>
        <v>-4.4742729306487698E-2</v>
      </c>
      <c r="AO323" s="1591"/>
      <c r="AP323" s="1591"/>
      <c r="AQ323" s="1591"/>
      <c r="AR323" s="1591"/>
      <c r="AS323" s="1890"/>
      <c r="AT323" s="1890"/>
      <c r="AU323" s="610"/>
      <c r="AV323" s="1891"/>
      <c r="AW323" s="1604" t="str">
        <f ca="1">"https://boersenundmaerkte.lukb.ch/lukb/details/"&amp;Valori[[#This Row],[LUKB_id]]</f>
        <v>https://boersenundmaerkte.lukb.ch/lukb/details/31596632,4,1</v>
      </c>
      <c r="AX32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3" s="142"/>
      <c r="AZ323" s="142"/>
      <c r="BA323" s="142"/>
      <c r="BB323" s="142"/>
    </row>
    <row r="324" spans="1:54" ht="15" customHeight="1" x14ac:dyDescent="0.2">
      <c r="A324" s="142" t="s">
        <v>1798</v>
      </c>
      <c r="B324" s="142" t="str" cm="1">
        <f t="array" aca="1" ref="B324" ca="1">OFFSET(POrigin,MATCH(Valori[[#This Row],[smo_id]],Posizioni[smo_id],0),MATCH("LUKB_id",PIntestazioni,0)-1,1,1)</f>
        <v>640390,111,88</v>
      </c>
      <c r="C324" s="1668" t="str">
        <f ca="1">HYPERLINK("https://boersenundmaerkte.lukb.ch/lukb/details/"&amp;Valori[[#This Row],[LUKB_id]],"è")</f>
        <v>è</v>
      </c>
      <c r="D324" s="142" t="str" cm="1">
        <f t="array" aca="1" ref="D324" ca="1">OFFSET(POrigin,MATCH(Valori[[#This Row],[LUKB_id]],PID,0),MATCH("SC_GROUPED",PIntestazioni,0)-1,1,1)</f>
        <v>EQU</v>
      </c>
      <c r="E324" s="413" t="str" cm="1">
        <f t="array" aca="1" ref="E324" ca="1">OFFSET(POrigin,MATCH(Valori[[#This Row],[LUKB_id]],PID,0),MATCH("isin",PIntestazioni,0)-1,1,1)</f>
        <v>AU000000BHP4</v>
      </c>
      <c r="F324" s="34" t="str" cm="1">
        <f t="array" aca="1" ref="F324" ca="1">OFFSET(POrigin,MATCH(Valori[[#This Row],[LUKB_id]],PID,0),MATCH("NSIN_CH",PLabel,0)-1,1,1)</f>
        <v>640390</v>
      </c>
      <c r="G324" s="95" t="str" cm="1">
        <f t="array" aca="1" ref="G324" ca="1">IF(OFFSET(POrigin,MATCH(Valori[[#This Row],[LUKB_id]],PID,0),MATCH("INSTRUNIT",PLabel,0)-1,1,1)="Nominal","Pct","Unit")</f>
        <v>Unit</v>
      </c>
      <c r="H324" s="612">
        <f ca="1">MAX(OFFSET(POrigin,MATCH(Valori[[#This Row],[LUKB_id]],PID,0),MATCH("PRICINGAMT",PLabel,0)-1,1,1),1)</f>
        <v>1</v>
      </c>
      <c r="I324" s="615" t="str" cm="1">
        <f t="array" aca="1" ref="I324" ca="1">OFFSET(POrigin,MATCH(Valori[[#This Row],[LUKB_id]],PID,0),MATCH("M_NAME",PLabel,0)-1,1,1)</f>
        <v>BHP Grp Rg</v>
      </c>
      <c r="M324" s="142" t="str" cm="1">
        <f t="array" aca="1" ref="M3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BHP Grp Rg</v>
      </c>
      <c r="N324" s="1563">
        <f ca="1">COUNTIF('CHF M'!smo_id,Valori[[#This Row],[smo_id]])+COUNTIF('CHF MA'!smo_id,Valori[[#This Row],[smo_id]])+COUNTIF('EUR MB'!smo_id,Valori[[#This Row],[smo_id]])+COUNTIF('EUR M'!smo_id,Valori[[#This Row],[smo_id]])+COUNTIF(AGCO!smo_id,Valori[[#This Row],[smo_id]])</f>
        <v>1</v>
      </c>
      <c r="O324" s="1590" cm="1">
        <f t="array" aca="1" ref="O324" ca="1">SUM(IF('CHF M'!smo_id=Valori[[#This Row],[smo_id]],'CHF M'!Posizione))+SUM(IF('CHF MA'!smo_id=Valori[[#This Row],[smo_id]],'CHF MA'!Posizione))+SUM(IF('EUR MB'!smo_id=Valori[[#This Row],[smo_id]],'EUR MB'!Posizione))+SUM(IF('EUR M'!smo_id=Valori[[#This Row],[smo_id]],'EUR M'!Posizione))+SUM(IF(AGCO!smo_id=Valori[[#This Row],[smo_id]],AGCO!Posizione))</f>
        <v>1700</v>
      </c>
      <c r="P324" s="1661" t="str">
        <f ca="1">HYPERLINK(Valori[[#This Row],[P_Source]],"è")</f>
        <v>è</v>
      </c>
      <c r="Q324" s="1663" t="str">
        <f>HYPERLINK(Valori[[#This Row],[Info_W]],"i")</f>
        <v>i</v>
      </c>
      <c r="R324" s="1664" t="str">
        <f>HYPERLINK(Valori[[#This Row],[FN_W]],"")</f>
        <v></v>
      </c>
      <c r="S324" s="1665" t="str">
        <f>HYPERLINK(Valori[[#This Row],[MS_Link]],"")</f>
        <v></v>
      </c>
      <c r="T324" s="1665" t="str">
        <f>HYPERLINK(Valori[[#This Row],[C_source]],"")</f>
        <v></v>
      </c>
      <c r="U324" s="142" t="str" cm="1">
        <f t="array" aca="1" ref="U324" ca="1">OFFSET(POrigin,MATCH(Valori[[#This Row],[LUKB_id]],PID,0),MATCH("M_CUR",PLabel,0)-1,1,1)</f>
        <v>AUD</v>
      </c>
      <c r="V324" s="1562">
        <f ca="1">(Valori[[#This Row],[Last]]+Valori[[#This Row],[Acc. Int]])/Valori[[#This Row],[Pr.Amt]]/IF(Valori[[#This Row],[P_Type]]="Pct",100,1)</f>
        <v>59.25</v>
      </c>
      <c r="W324" s="1591" cm="1">
        <f t="array" aca="1" ref="W324" ca="1">OFFSET(POrigin,MATCH(Valori[[#This Row],[LUKB_id]],PID,0),MATCH("NC2_PR",PLabel,0)-1,1,1)/100</f>
        <v>1.43810991268618E-2</v>
      </c>
      <c r="X324" s="1592" cm="1">
        <f t="array" aca="1" ref="X324" ca="1">OFFSET(POrigin,MATCH(Valori[[#This Row],[LUKB_id]],PID,0),MATCH("LVAL",PLabel,0)-1,1,1)</f>
        <v>59.25</v>
      </c>
      <c r="Y324" s="1593" cm="1">
        <f t="array" aca="1" ref="Y324" ca="1">OFFSET(POrigin,MATCH(Valori[[#This Row],[LUKB_id]],PID,0),MATCH("LVAL:datetime",PLabel,0)-1,1,1)</f>
        <v>46083.263912037037</v>
      </c>
      <c r="Z324" s="1594" cm="1">
        <f t="array" aca="1" ref="Z324" ca="1">OFFSET(POrigin,MATCH(Valori[[#This Row],[LUKB_id]],PID,0),MATCH("BID:volume",PLabel,0)-1,1,1)</f>
        <v>0</v>
      </c>
      <c r="AA324" s="1595" cm="1">
        <f t="array" aca="1" ref="AA324" ca="1">OFFSET(POrigin,MATCH(Valori[[#This Row],[LUKB_id]],PID,0),MATCH("BID",PLabel,0)-1,1,1)</f>
        <v>0</v>
      </c>
      <c r="AB324" s="1595" cm="1">
        <f t="array" aca="1" ref="AB324" ca="1">OFFSET(POrigin,MATCH(Valori[[#This Row],[LUKB_id]],PID,0),MATCH("ASK",PLabel,0)-1,1,1)</f>
        <v>0</v>
      </c>
      <c r="AC324" s="1594" cm="1">
        <f t="array" aca="1" ref="AC324" ca="1">OFFSET(POrigin,MATCH(Valori[[#This Row],[LUKB_id]],PID,0),MATCH("ASK:volume",PLabel,0)-1,1,1)</f>
        <v>0</v>
      </c>
      <c r="AD324" s="1596" cm="1">
        <f t="array" aca="1" ref="AD324" ca="1">OFFSET(POrigin,MATCH(Valori[[#This Row],[LUKB_id]],PID,0),MATCH("BID-ASK Spread %",PLabel,0)-1,1,1)</f>
        <v>0</v>
      </c>
      <c r="AE324" s="1597" t="str" cm="1">
        <f t="array" aca="1" ref="AE324" ca="1">IF(OFFSET(POrigin,MATCH(Valori[[#This Row],[LUKB_id]],PID,0),MATCH("MATURITY",PLabel,0)-1,1,1)&gt;0,OFFSET(POrigin,MATCH(Valori[[#This Row],[LUKB_id]],PID,0),MATCH("MATURITY",PLabel,0)-1,1,1),"")</f>
        <v/>
      </c>
      <c r="AF324" s="1598" cm="1">
        <f t="array" aca="1" ref="AF324" ca="1">OFFSET(POrigin,MATCH(Valori[[#This Row],[LUKB_id]],PID,0),MATCH("ACCINT",PLabel,0)-1,1,1)</f>
        <v>0</v>
      </c>
      <c r="AG324" s="1594" cm="1">
        <f t="array" aca="1" ref="AG324" ca="1">OFFSET(POrigin,MATCH(Valori[[#This Row],[LUKB_id]],PID,0),MATCH("DENOM",PLabel,0)-1,1,1)</f>
        <v>0</v>
      </c>
      <c r="AH324" s="1599" cm="1">
        <f t="array" aca="1" ref="AH324" ca="1">(OFFSET(POrigin,MATCH(Valori[[#This Row],[LUKB_id]],PID,0),MATCH("YIELD",PLabel,0)-1,1,1)+OFFSET(POrigin,MATCH(Valori[[#This Row],[LUKB_id]],PID,0),MATCH("YLDEQ",PLabel,0)-1,1,1))/100</f>
        <v>0</v>
      </c>
      <c r="AI324" s="1600">
        <f ca="1">OFFSET(POrigin,MATCH(Valori[[#This Row],[LUKB_id]],PID,0),MATCH("DIVIDEND",PLabel,0)-1,1,1)</f>
        <v>0.79093499999999994</v>
      </c>
      <c r="AJ324" s="1601">
        <f ca="1">OFFSET(POrigin,MATCH(Valori[[#This Row],[LUKB_id]],PID,0),MATCH("DIVIDEND:datetime",PLabel,0)-1,1,1)</f>
        <v>45721</v>
      </c>
      <c r="AK324" s="1602">
        <f ca="1">OFFSET(POrigin,MATCH(Valori[[#This Row],[LUKB_id]],PID,0),MATCH("INTEREST",PLabel,0)-1,1,1)</f>
        <v>0</v>
      </c>
      <c r="AL324" s="1603">
        <f ca="1">OFFSET(POrigin,MATCH(Valori[[#This Row],[LUKB_id]],PID,0),MATCH("4W_PERF_PR",PLabel,0)-1,1,1)/100</f>
        <v>0.19890732496964803</v>
      </c>
      <c r="AM324" s="1603">
        <f ca="1">OFFSET(POrigin,MATCH(Valori[[#This Row],[LUKB_id]],PID,0),MATCH("12W_PERF_PR",PLabel,0)-1,1,1)/100</f>
        <v>0.33235889363615995</v>
      </c>
      <c r="AN324" s="1603">
        <f ca="1">OFFSET(POrigin,MATCH(Valori[[#This Row],[LUKB_id]],PID,0),MATCH("YTD_PERF_PR",PLabel,0)-1,1,1)/100</f>
        <v>0.30248406243130399</v>
      </c>
      <c r="AO324" s="1591"/>
      <c r="AP324" s="1591"/>
      <c r="AQ324" s="1591"/>
      <c r="AR324" s="1591"/>
      <c r="AS324" s="1890"/>
      <c r="AT324" s="1890" t="s">
        <v>1799</v>
      </c>
      <c r="AU324" s="610" t="s">
        <v>1800</v>
      </c>
      <c r="AV324" s="1891"/>
      <c r="AW324" s="1604" t="str">
        <f ca="1">"https://boersenundmaerkte.lukb.ch/lukb/details/"&amp;Valori[[#This Row],[LUKB_id]]</f>
        <v>https://boersenundmaerkte.lukb.ch/lukb/details/640390,111,88</v>
      </c>
      <c r="AX324" s="1605" t="str">
        <f>"https://www.marketscreener.com/mods_a/charts/TV/inc_dyna_graph.php?c="&amp;Valori[[#This Row],[MS_Code]]&amp;"&amp;style=TradingView.CANDLES&amp;interval=(null)&amp;mobile=(null)&amp;showAT=1"</f>
        <v>https://www.marketscreener.com/mods_a/charts/TV/inc_dyna_graph.php?c=6492795&amp;style=TradingView.CANDLES&amp;interval=(null)&amp;mobile=(null)&amp;showAT=1</v>
      </c>
      <c r="AY324" s="142"/>
      <c r="AZ324" s="142"/>
      <c r="BA324" s="142"/>
      <c r="BB324" s="142"/>
    </row>
    <row r="325" spans="1:54" ht="15" customHeight="1" x14ac:dyDescent="0.2">
      <c r="A325" s="142" t="s">
        <v>1801</v>
      </c>
      <c r="B325" s="142" t="str" cm="1">
        <f t="array" aca="1" ref="B325" ca="1">OFFSET(POrigin,MATCH(Valori[[#This Row],[smo_id]],Posizioni[smo_id],0),MATCH("LUKB_id",PIntestazioni,0)-1,1,1)</f>
        <v>13029366,4,1</v>
      </c>
      <c r="C325" s="1668" t="str">
        <f ca="1">HYPERLINK("https://boersenundmaerkte.lukb.ch/lukb/details/"&amp;Valori[[#This Row],[LUKB_id]],"è")</f>
        <v>è</v>
      </c>
      <c r="D325" s="142" t="str" cm="1">
        <f t="array" aca="1" ref="D325" ca="1">OFFSET(POrigin,MATCH(Valori[[#This Row],[LUKB_id]],PID,0),MATCH("SC_GROUPED",PIntestazioni,0)-1,1,1)</f>
        <v>EQU</v>
      </c>
      <c r="E325" s="413" t="str" cm="1">
        <f t="array" aca="1" ref="E325" ca="1">OFFSET(POrigin,MATCH(Valori[[#This Row],[LUKB_id]],PID,0),MATCH("isin",PIntestazioni,0)-1,1,1)</f>
        <v>CH0130293662</v>
      </c>
      <c r="F325" s="34" t="str" cm="1">
        <f t="array" aca="1" ref="F325" ca="1">OFFSET(POrigin,MATCH(Valori[[#This Row],[LUKB_id]],PID,0),MATCH("NSIN_CH",PLabel,0)-1,1,1)</f>
        <v>13029366</v>
      </c>
      <c r="G325" s="95" t="str" cm="1">
        <f t="array" aca="1" ref="G325" ca="1">IF(OFFSET(POrigin,MATCH(Valori[[#This Row],[LUKB_id]],PID,0),MATCH("INSTRUNIT",PLabel,0)-1,1,1)="Nominal","Pct","Unit")</f>
        <v>Unit</v>
      </c>
      <c r="H325" s="612">
        <f ca="1">MAX(OFFSET(POrigin,MATCH(Valori[[#This Row],[LUKB_id]],PID,0),MATCH("PRICINGAMT",PLabel,0)-1,1,1),1)</f>
        <v>1</v>
      </c>
      <c r="I325" s="615" t="str" cm="1">
        <f t="array" aca="1" ref="I325" ca="1">OFFSET(POrigin,MATCH(Valori[[#This Row],[LUKB_id]],PID,0),MATCH("M_NAME",PLabel,0)-1,1,1)</f>
        <v>BKW N</v>
      </c>
      <c r="M325" s="142" t="str" cm="1">
        <f t="array" aca="1" ref="M3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BKW N</v>
      </c>
      <c r="N325" s="1563">
        <f ca="1">COUNTIF('CHF M'!smo_id,Valori[[#This Row],[smo_id]])+COUNTIF('CHF MA'!smo_id,Valori[[#This Row],[smo_id]])+COUNTIF('EUR MB'!smo_id,Valori[[#This Row],[smo_id]])+COUNTIF('EUR M'!smo_id,Valori[[#This Row],[smo_id]])+COUNTIF(AGCO!smo_id,Valori[[#This Row],[smo_id]])</f>
        <v>0</v>
      </c>
      <c r="O325" s="1590" cm="1">
        <f t="array" aca="1" ref="O325" ca="1">SUM(IF('CHF M'!smo_id=Valori[[#This Row],[smo_id]],'CHF M'!Posizione))+SUM(IF('CHF MA'!smo_id=Valori[[#This Row],[smo_id]],'CHF MA'!Posizione))+SUM(IF('EUR MB'!smo_id=Valori[[#This Row],[smo_id]],'EUR MB'!Posizione))+SUM(IF('EUR M'!smo_id=Valori[[#This Row],[smo_id]],'EUR M'!Posizione))+SUM(IF(AGCO!smo_id=Valori[[#This Row],[smo_id]],AGCO!Posizione))</f>
        <v>0</v>
      </c>
      <c r="P325" s="1661" t="str">
        <f ca="1">HYPERLINK(Valori[[#This Row],[P_Source]],"è")</f>
        <v>è</v>
      </c>
      <c r="Q325" s="1663" t="str">
        <f>HYPERLINK(Valori[[#This Row],[Info_W]],"i")</f>
        <v>i</v>
      </c>
      <c r="R325" s="1664" t="str">
        <f>HYPERLINK(Valori[[#This Row],[FN_W]],"")</f>
        <v></v>
      </c>
      <c r="S325" s="1665" t="str">
        <f>HYPERLINK(Valori[[#This Row],[MS_Link]],"")</f>
        <v></v>
      </c>
      <c r="T325" s="1665" t="str">
        <f>HYPERLINK(Valori[[#This Row],[C_source]],"")</f>
        <v></v>
      </c>
      <c r="U325" s="142" t="str" cm="1">
        <f t="array" aca="1" ref="U325" ca="1">OFFSET(POrigin,MATCH(Valori[[#This Row],[LUKB_id]],PID,0),MATCH("M_CUR",PLabel,0)-1,1,1)</f>
        <v>CHF</v>
      </c>
      <c r="V325" s="1562">
        <f ca="1">(Valori[[#This Row],[Last]]+Valori[[#This Row],[Acc. Int]])/Valori[[#This Row],[Pr.Amt]]/IF(Valori[[#This Row],[P_Type]]="Pct",100,1)</f>
        <v>147.20000000000002</v>
      </c>
      <c r="W325" s="1591" cm="1">
        <f t="array" aca="1" ref="W325" ca="1">OFFSET(POrigin,MATCH(Valori[[#This Row],[LUKB_id]],PID,0),MATCH("NC2_PR",PLabel,0)-1,1,1)/100</f>
        <v>-3.7908496732026002E-2</v>
      </c>
      <c r="X325" s="1592" cm="1">
        <f t="array" aca="1" ref="X325" ca="1">OFFSET(POrigin,MATCH(Valori[[#This Row],[LUKB_id]],PID,0),MATCH("LVAL",PLabel,0)-1,1,1)</f>
        <v>147.20000000000002</v>
      </c>
      <c r="Y325" s="1593" cm="1">
        <f t="array" aca="1" ref="Y325" ca="1">OFFSET(POrigin,MATCH(Valori[[#This Row],[LUKB_id]],PID,0),MATCH("LVAL:datetime",PLabel,0)-1,1,1)</f>
        <v>46084.731238425928</v>
      </c>
      <c r="Z325" s="1594" cm="1">
        <f t="array" aca="1" ref="Z325" ca="1">OFFSET(POrigin,MATCH(Valori[[#This Row],[LUKB_id]],PID,0),MATCH("BID:volume",PLabel,0)-1,1,1)</f>
        <v>500</v>
      </c>
      <c r="AA325" s="1595" cm="1">
        <f t="array" aca="1" ref="AA325" ca="1">OFFSET(POrigin,MATCH(Valori[[#This Row],[LUKB_id]],PID,0),MATCH("BID",PLabel,0)-1,1,1)</f>
        <v>146</v>
      </c>
      <c r="AB325" s="1595" cm="1">
        <f t="array" aca="1" ref="AB325" ca="1">OFFSET(POrigin,MATCH(Valori[[#This Row],[LUKB_id]],PID,0),MATCH("ASK",PLabel,0)-1,1,1)</f>
        <v>150</v>
      </c>
      <c r="AC325" s="1594" cm="1">
        <f t="array" aca="1" ref="AC325" ca="1">OFFSET(POrigin,MATCH(Valori[[#This Row],[LUKB_id]],PID,0),MATCH("ASK:volume",PLabel,0)-1,1,1)</f>
        <v>550</v>
      </c>
      <c r="AD325" s="1596" cm="1">
        <f t="array" aca="1" ref="AD325" ca="1">OFFSET(POrigin,MATCH(Valori[[#This Row],[LUKB_id]],PID,0),MATCH("BID-ASK Spread %",PLabel,0)-1,1,1)</f>
        <v>1.8099547511312219E-2</v>
      </c>
      <c r="AE325" s="1597" t="str" cm="1">
        <f t="array" aca="1" ref="AE325" ca="1">IF(OFFSET(POrigin,MATCH(Valori[[#This Row],[LUKB_id]],PID,0),MATCH("MATURITY",PLabel,0)-1,1,1)&gt;0,OFFSET(POrigin,MATCH(Valori[[#This Row],[LUKB_id]],PID,0),MATCH("MATURITY",PLabel,0)-1,1,1),"")</f>
        <v/>
      </c>
      <c r="AF325" s="1598" cm="1">
        <f t="array" aca="1" ref="AF325" ca="1">OFFSET(POrigin,MATCH(Valori[[#This Row],[LUKB_id]],PID,0),MATCH("ACCINT",PLabel,0)-1,1,1)</f>
        <v>0</v>
      </c>
      <c r="AG325" s="1594" cm="1">
        <f t="array" aca="1" ref="AG325" ca="1">OFFSET(POrigin,MATCH(Valori[[#This Row],[LUKB_id]],PID,0),MATCH("DENOM",PLabel,0)-1,1,1)</f>
        <v>0</v>
      </c>
      <c r="AH325" s="1599" cm="1">
        <f t="array" aca="1" ref="AH325" ca="1">(OFFSET(POrigin,MATCH(Valori[[#This Row],[LUKB_id]],PID,0),MATCH("YIELD",PLabel,0)-1,1,1)+OFFSET(POrigin,MATCH(Valori[[#This Row],[LUKB_id]],PID,0),MATCH("YLDEQ",PLabel,0)-1,1,1))/100</f>
        <v>2.5135869999999998E-2</v>
      </c>
      <c r="AI325" s="1600">
        <f ca="1">OFFSET(POrigin,MATCH(Valori[[#This Row],[LUKB_id]],PID,0),MATCH("DIVIDEND",PLabel,0)-1,1,1)</f>
        <v>3.7</v>
      </c>
      <c r="AJ325" s="1601">
        <f ca="1">OFFSET(POrigin,MATCH(Valori[[#This Row],[LUKB_id]],PID,0),MATCH("DIVIDEND:datetime",PLabel,0)-1,1,1)</f>
        <v>45779</v>
      </c>
      <c r="AK325" s="1602">
        <f ca="1">OFFSET(POrigin,MATCH(Valori[[#This Row],[LUKB_id]],PID,0),MATCH("INTEREST",PLabel,0)-1,1,1)</f>
        <v>0</v>
      </c>
      <c r="AL325" s="1603">
        <f ca="1">OFFSET(POrigin,MATCH(Valori[[#This Row],[LUKB_id]],PID,0),MATCH("4W_PERF_PR",PLabel,0)-1,1,1)/100</f>
        <v>2.080444E-2</v>
      </c>
      <c r="AM325" s="1603">
        <f ca="1">OFFSET(POrigin,MATCH(Valori[[#This Row],[LUKB_id]],PID,0),MATCH("12W_PERF_PR",PLabel,0)-1,1,1)/100</f>
        <v>-0.11961722</v>
      </c>
      <c r="AN325" s="1603">
        <f ca="1">OFFSET(POrigin,MATCH(Valori[[#This Row],[LUKB_id]],PID,0),MATCH("YTD_PERF_PR",PLabel,0)-1,1,1)/100</f>
        <v>-9.1448931116389701E-2</v>
      </c>
      <c r="AO325" s="1591"/>
      <c r="AP325" s="1591"/>
      <c r="AQ325" s="1591"/>
      <c r="AR325" s="1591"/>
      <c r="AS325" s="1890"/>
      <c r="AT325" s="1890"/>
      <c r="AU325" s="610"/>
      <c r="AV325" s="1891"/>
      <c r="AW325" s="1604" t="str">
        <f ca="1">"https://boersenundmaerkte.lukb.ch/lukb/details/"&amp;Valori[[#This Row],[LUKB_id]]</f>
        <v>https://boersenundmaerkte.lukb.ch/lukb/details/13029366,4,1</v>
      </c>
      <c r="AX32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5" s="142"/>
      <c r="AZ325" s="142"/>
      <c r="BA325" s="142"/>
      <c r="BB325" s="142"/>
    </row>
    <row r="326" spans="1:54" ht="15" customHeight="1" x14ac:dyDescent="0.2">
      <c r="A326" s="142" t="s">
        <v>1802</v>
      </c>
      <c r="B326" s="142" t="str" cm="1">
        <f t="array" aca="1" ref="B326" ca="1">OFFSET(POrigin,MATCH(Valori[[#This Row],[smo_id]],Posizioni[smo_id],0),MATCH("LUKB_id",PIntestazioni,0)-1,1,1)</f>
        <v>487662,25,814</v>
      </c>
      <c r="C326" s="1668" t="str">
        <f ca="1">HYPERLINK("https://boersenundmaerkte.lukb.ch/lukb/details/"&amp;Valori[[#This Row],[LUKB_id]],"è")</f>
        <v>è</v>
      </c>
      <c r="D326" s="142" t="str" cm="1">
        <f t="array" aca="1" ref="D326" ca="1">OFFSET(POrigin,MATCH(Valori[[#This Row],[LUKB_id]],PID,0),MATCH("SC_GROUPED",PIntestazioni,0)-1,1,1)</f>
        <v>EQU</v>
      </c>
      <c r="E326" s="413" t="str" cm="1">
        <f t="array" aca="1" ref="E326" ca="1">OFFSET(POrigin,MATCH(Valori[[#This Row],[LUKB_id]],PID,0),MATCH("isin",PIntestazioni,0)-1,1,1)</f>
        <v>FR0000120503</v>
      </c>
      <c r="F326" s="34" t="str" cm="1">
        <f t="array" aca="1" ref="F326" ca="1">OFFSET(POrigin,MATCH(Valori[[#This Row],[LUKB_id]],PID,0),MATCH("NSIN_CH",PLabel,0)-1,1,1)</f>
        <v>487662</v>
      </c>
      <c r="G326" s="95" t="str" cm="1">
        <f t="array" aca="1" ref="G326" ca="1">IF(OFFSET(POrigin,MATCH(Valori[[#This Row],[LUKB_id]],PID,0),MATCH("INSTRUNIT",PLabel,0)-1,1,1)="Nominal","Pct","Unit")</f>
        <v>Unit</v>
      </c>
      <c r="H326" s="612">
        <f ca="1">MAX(OFFSET(POrigin,MATCH(Valori[[#This Row],[LUKB_id]],PID,0),MATCH("PRICINGAMT",PLabel,0)-1,1,1),1)</f>
        <v>1</v>
      </c>
      <c r="I326" s="615" t="str" cm="1">
        <f t="array" aca="1" ref="I326" ca="1">OFFSET(POrigin,MATCH(Valori[[#This Row],[LUKB_id]],PID,0),MATCH("M_NAME",PLabel,0)-1,1,1)</f>
        <v>Bouygues</v>
      </c>
      <c r="M326" s="142" t="str" cm="1">
        <f t="array" aca="1" ref="M3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Bouygues</v>
      </c>
      <c r="N326" s="1563">
        <f ca="1">COUNTIF('CHF M'!smo_id,Valori[[#This Row],[smo_id]])+COUNTIF('CHF MA'!smo_id,Valori[[#This Row],[smo_id]])+COUNTIF('EUR MB'!smo_id,Valori[[#This Row],[smo_id]])+COUNTIF('EUR M'!smo_id,Valori[[#This Row],[smo_id]])+COUNTIF(AGCO!smo_id,Valori[[#This Row],[smo_id]])</f>
        <v>0</v>
      </c>
      <c r="O326" s="1590" cm="1">
        <f t="array" aca="1" ref="O326" ca="1">SUM(IF('CHF M'!smo_id=Valori[[#This Row],[smo_id]],'CHF M'!Posizione))+SUM(IF('CHF MA'!smo_id=Valori[[#This Row],[smo_id]],'CHF MA'!Posizione))+SUM(IF('EUR MB'!smo_id=Valori[[#This Row],[smo_id]],'EUR MB'!Posizione))+SUM(IF('EUR M'!smo_id=Valori[[#This Row],[smo_id]],'EUR M'!Posizione))+SUM(IF(AGCO!smo_id=Valori[[#This Row],[smo_id]],AGCO!Posizione))</f>
        <v>0</v>
      </c>
      <c r="P326" s="1661" t="str">
        <f ca="1">HYPERLINK(Valori[[#This Row],[P_Source]],"è")</f>
        <v>è</v>
      </c>
      <c r="Q326" s="1663" t="str">
        <f>HYPERLINK(Valori[[#This Row],[Info_W]],"i")</f>
        <v>i</v>
      </c>
      <c r="R326" s="1664" t="str">
        <f>HYPERLINK(Valori[[#This Row],[FN_W]],"")</f>
        <v></v>
      </c>
      <c r="S326" s="1665" t="str">
        <f>HYPERLINK(Valori[[#This Row],[MS_Link]],"")</f>
        <v></v>
      </c>
      <c r="T326" s="1665" t="str">
        <f>HYPERLINK(Valori[[#This Row],[C_source]],"")</f>
        <v></v>
      </c>
      <c r="U326" s="142" t="str" cm="1">
        <f t="array" aca="1" ref="U326" ca="1">OFFSET(POrigin,MATCH(Valori[[#This Row],[LUKB_id]],PID,0),MATCH("M_CUR",PLabel,0)-1,1,1)</f>
        <v>EUR</v>
      </c>
      <c r="V326" s="1562">
        <f ca="1">(Valori[[#This Row],[Last]]+Valori[[#This Row],[Acc. Int]])/Valori[[#This Row],[Pr.Amt]]/IF(Valori[[#This Row],[P_Type]]="Pct",100,1)</f>
        <v>52.04</v>
      </c>
      <c r="W326" s="1591" cm="1">
        <f t="array" aca="1" ref="W326" ca="1">OFFSET(POrigin,MATCH(Valori[[#This Row],[LUKB_id]],PID,0),MATCH("NC2_PR",PLabel,0)-1,1,1)/100</f>
        <v>-1.2148823082763899E-2</v>
      </c>
      <c r="X326" s="1592" cm="1">
        <f t="array" aca="1" ref="X326" ca="1">OFFSET(POrigin,MATCH(Valori[[#This Row],[LUKB_id]],PID,0),MATCH("LVAL",PLabel,0)-1,1,1)</f>
        <v>52.04</v>
      </c>
      <c r="Y326" s="1593" cm="1">
        <f t="array" aca="1" ref="Y326" ca="1">OFFSET(POrigin,MATCH(Valori[[#This Row],[LUKB_id]],PID,0),MATCH("LVAL:datetime",PLabel,0)-1,1,1)</f>
        <v>46083.746527777781</v>
      </c>
      <c r="Z326" s="1594" cm="1">
        <f t="array" aca="1" ref="Z326" ca="1">OFFSET(POrigin,MATCH(Valori[[#This Row],[LUKB_id]],PID,0),MATCH("BID:volume",PLabel,0)-1,1,1)</f>
        <v>0</v>
      </c>
      <c r="AA326" s="1595" cm="1">
        <f t="array" aca="1" ref="AA326" ca="1">OFFSET(POrigin,MATCH(Valori[[#This Row],[LUKB_id]],PID,0),MATCH("BID",PLabel,0)-1,1,1)</f>
        <v>0</v>
      </c>
      <c r="AB326" s="1595" cm="1">
        <f t="array" aca="1" ref="AB326" ca="1">OFFSET(POrigin,MATCH(Valori[[#This Row],[LUKB_id]],PID,0),MATCH("ASK",PLabel,0)-1,1,1)</f>
        <v>0</v>
      </c>
      <c r="AC326" s="1594" cm="1">
        <f t="array" aca="1" ref="AC326" ca="1">OFFSET(POrigin,MATCH(Valori[[#This Row],[LUKB_id]],PID,0),MATCH("ASK:volume",PLabel,0)-1,1,1)</f>
        <v>0</v>
      </c>
      <c r="AD326" s="1596" cm="1">
        <f t="array" aca="1" ref="AD326" ca="1">OFFSET(POrigin,MATCH(Valori[[#This Row],[LUKB_id]],PID,0),MATCH("BID-ASK Spread %",PLabel,0)-1,1,1)</f>
        <v>0</v>
      </c>
      <c r="AE326" s="1597" t="str" cm="1">
        <f t="array" aca="1" ref="AE326" ca="1">IF(OFFSET(POrigin,MATCH(Valori[[#This Row],[LUKB_id]],PID,0),MATCH("MATURITY",PLabel,0)-1,1,1)&gt;0,OFFSET(POrigin,MATCH(Valori[[#This Row],[LUKB_id]],PID,0),MATCH("MATURITY",PLabel,0)-1,1,1),"")</f>
        <v/>
      </c>
      <c r="AF326" s="1598" cm="1">
        <f t="array" aca="1" ref="AF326" ca="1">OFFSET(POrigin,MATCH(Valori[[#This Row],[LUKB_id]],PID,0),MATCH("ACCINT",PLabel,0)-1,1,1)</f>
        <v>0</v>
      </c>
      <c r="AG326" s="1594" cm="1">
        <f t="array" aca="1" ref="AG326" ca="1">OFFSET(POrigin,MATCH(Valori[[#This Row],[LUKB_id]],PID,0),MATCH("DENOM",PLabel,0)-1,1,1)</f>
        <v>0</v>
      </c>
      <c r="AH326" s="1599" cm="1">
        <f t="array" aca="1" ref="AH326" ca="1">(OFFSET(POrigin,MATCH(Valori[[#This Row],[LUKB_id]],PID,0),MATCH("YIELD",PLabel,0)-1,1,1)+OFFSET(POrigin,MATCH(Valori[[#This Row],[LUKB_id]],PID,0),MATCH("YLDEQ",PLabel,0)-1,1,1))/100</f>
        <v>0</v>
      </c>
      <c r="AI326" s="1600">
        <f ca="1">OFFSET(POrigin,MATCH(Valori[[#This Row],[LUKB_id]],PID,0),MATCH("DIVIDEND",PLabel,0)-1,1,1)</f>
        <v>2</v>
      </c>
      <c r="AJ326" s="1601">
        <f ca="1">OFFSET(POrigin,MATCH(Valori[[#This Row],[LUKB_id]],PID,0),MATCH("DIVIDEND:datetime",PLabel,0)-1,1,1)</f>
        <v>45782</v>
      </c>
      <c r="AK326" s="1602">
        <f ca="1">OFFSET(POrigin,MATCH(Valori[[#This Row],[LUKB_id]],PID,0),MATCH("INTEREST",PLabel,0)-1,1,1)</f>
        <v>0</v>
      </c>
      <c r="AL326" s="1603">
        <f ca="1">OFFSET(POrigin,MATCH(Valori[[#This Row],[LUKB_id]],PID,0),MATCH("4W_PERF_PR",PLabel,0)-1,1,1)/100</f>
        <v>0.116498605449475</v>
      </c>
      <c r="AM326" s="1603">
        <f ca="1">OFFSET(POrigin,MATCH(Valori[[#This Row],[LUKB_id]],PID,0),MATCH("12W_PERF_PR",PLabel,0)-1,1,1)/100</f>
        <v>0.19057423930450701</v>
      </c>
      <c r="AN326" s="1603">
        <f ca="1">OFFSET(POrigin,MATCH(Valori[[#This Row],[LUKB_id]],PID,0),MATCH("YTD_PERF_PR",PLabel,0)-1,1,1)/100</f>
        <v>0.17339346110484802</v>
      </c>
      <c r="AO326" s="1591"/>
      <c r="AP326" s="1591"/>
      <c r="AQ326" s="1591"/>
      <c r="AR326" s="1591"/>
      <c r="AS326" s="1890"/>
      <c r="AT326" s="1890"/>
      <c r="AU326" s="610"/>
      <c r="AV326" s="1891"/>
      <c r="AW326" s="1604" t="str">
        <f ca="1">"https://boersenundmaerkte.lukb.ch/lukb/details/"&amp;Valori[[#This Row],[LUKB_id]]</f>
        <v>https://boersenundmaerkte.lukb.ch/lukb/details/487662,25,814</v>
      </c>
      <c r="AX32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6" s="142"/>
      <c r="AZ326" s="142"/>
      <c r="BA326" s="142"/>
      <c r="BB326" s="142"/>
    </row>
    <row r="327" spans="1:54" ht="15" customHeight="1" x14ac:dyDescent="0.2">
      <c r="A327" s="142" t="s">
        <v>1803</v>
      </c>
      <c r="B327" s="142" t="str" cm="1">
        <f t="array" aca="1" ref="B327" ca="1">OFFSET(POrigin,MATCH(Valori[[#This Row],[smo_id]],Posizioni[smo_id],0),MATCH("LUKB_id",PIntestazioni,0)-1,1,1)</f>
        <v>243217,4,1</v>
      </c>
      <c r="C327" s="1668" t="str">
        <f ca="1">HYPERLINK("https://boersenundmaerkte.lukb.ch/lukb/details/"&amp;Valori[[#This Row],[LUKB_id]],"è")</f>
        <v>è</v>
      </c>
      <c r="D327" s="142" t="str" cm="1">
        <f t="array" aca="1" ref="D327" ca="1">OFFSET(POrigin,MATCH(Valori[[#This Row],[LUKB_id]],PID,0),MATCH("SC_GROUPED",PIntestazioni,0)-1,1,1)</f>
        <v>EQU</v>
      </c>
      <c r="E327" s="413" t="str" cm="1">
        <f t="array" aca="1" ref="E327" ca="1">OFFSET(POrigin,MATCH(Valori[[#This Row],[LUKB_id]],PID,0),MATCH("isin",PIntestazioni,0)-1,1,1)</f>
        <v>CH0002432174</v>
      </c>
      <c r="F327" s="34" t="str" cm="1">
        <f t="array" aca="1" ref="F327" ca="1">OFFSET(POrigin,MATCH(Valori[[#This Row],[LUKB_id]],PID,0),MATCH("NSIN_CH",PLabel,0)-1,1,1)</f>
        <v>243217</v>
      </c>
      <c r="G327" s="95" t="str" cm="1">
        <f t="array" aca="1" ref="G327" ca="1">IF(OFFSET(POrigin,MATCH(Valori[[#This Row],[LUKB_id]],PID,0),MATCH("INSTRUNIT",PLabel,0)-1,1,1)="Nominal","Pct","Unit")</f>
        <v>Unit</v>
      </c>
      <c r="H327" s="612">
        <f ca="1">MAX(OFFSET(POrigin,MATCH(Valori[[#This Row],[LUKB_id]],PID,0),MATCH("PRICINGAMT",PLabel,0)-1,1,1),1)</f>
        <v>1</v>
      </c>
      <c r="I327" s="615" t="str" cm="1">
        <f t="array" aca="1" ref="I327" ca="1">OFFSET(POrigin,MATCH(Valori[[#This Row],[LUKB_id]],PID,0),MATCH("M_NAME",PLabel,0)-1,1,1)</f>
        <v>Bucher Industries N</v>
      </c>
      <c r="J327" s="142" t="s">
        <v>616</v>
      </c>
      <c r="L327" s="612">
        <v>4</v>
      </c>
      <c r="M327" s="142" t="str" cm="1">
        <f t="array" aca="1" ref="M3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Bucher Industries AG</v>
      </c>
      <c r="N327" s="1563">
        <f ca="1">COUNTIF('CHF M'!smo_id,Valori[[#This Row],[smo_id]])+COUNTIF('CHF MA'!smo_id,Valori[[#This Row],[smo_id]])+COUNTIF('EUR MB'!smo_id,Valori[[#This Row],[smo_id]])+COUNTIF('EUR M'!smo_id,Valori[[#This Row],[smo_id]])+COUNTIF(AGCO!smo_id,Valori[[#This Row],[smo_id]])</f>
        <v>1</v>
      </c>
      <c r="O327" s="1590" cm="1">
        <f t="array" aca="1" ref="O327" ca="1">SUM(IF('CHF M'!smo_id=Valori[[#This Row],[smo_id]],'CHF M'!Posizione))+SUM(IF('CHF MA'!smo_id=Valori[[#This Row],[smo_id]],'CHF MA'!Posizione))+SUM(IF('EUR MB'!smo_id=Valori[[#This Row],[smo_id]],'EUR MB'!Posizione))+SUM(IF('EUR M'!smo_id=Valori[[#This Row],[smo_id]],'EUR M'!Posizione))+SUM(IF(AGCO!smo_id=Valori[[#This Row],[smo_id]],AGCO!Posizione))</f>
        <v>50</v>
      </c>
      <c r="P327" s="1661" t="str">
        <f ca="1">HYPERLINK(Valori[[#This Row],[P_Source]],"è")</f>
        <v>è</v>
      </c>
      <c r="Q327" s="1663" t="str">
        <f>HYPERLINK(Valori[[#This Row],[Info_W]],"i")</f>
        <v>i</v>
      </c>
      <c r="R327" s="1664" t="str">
        <f>HYPERLINK(Valori[[#This Row],[FN_W]],"")</f>
        <v></v>
      </c>
      <c r="S327" s="1665" t="str">
        <f>HYPERLINK(Valori[[#This Row],[MS_Link]],"")</f>
        <v></v>
      </c>
      <c r="T327" s="1665" t="str">
        <f>HYPERLINK(Valori[[#This Row],[C_source]],"")</f>
        <v></v>
      </c>
      <c r="U327" s="142" t="str" cm="1">
        <f t="array" aca="1" ref="U327" ca="1">OFFSET(POrigin,MATCH(Valori[[#This Row],[LUKB_id]],PID,0),MATCH("M_CUR",PLabel,0)-1,1,1)</f>
        <v>CHF</v>
      </c>
      <c r="V327" s="1562">
        <f ca="1">(Valori[[#This Row],[Last]]+Valori[[#This Row],[Acc. Int]])/Valori[[#This Row],[Pr.Amt]]/IF(Valori[[#This Row],[P_Type]]="Pct",100,1)</f>
        <v>377</v>
      </c>
      <c r="W327" s="1591" cm="1">
        <f t="array" aca="1" ref="W327" ca="1">OFFSET(POrigin,MATCH(Valori[[#This Row],[LUKB_id]],PID,0),MATCH("NC2_PR",PLabel,0)-1,1,1)/100</f>
        <v>1.4804845222072699E-2</v>
      </c>
      <c r="X327" s="1592" cm="1">
        <f t="array" aca="1" ref="X327" ca="1">OFFSET(POrigin,MATCH(Valori[[#This Row],[LUKB_id]],PID,0),MATCH("LVAL",PLabel,0)-1,1,1)</f>
        <v>377</v>
      </c>
      <c r="Y327" s="1593" cm="1">
        <f t="array" aca="1" ref="Y327" ca="1">OFFSET(POrigin,MATCH(Valori[[#This Row],[LUKB_id]],PID,0),MATCH("LVAL:datetime",PLabel,0)-1,1,1)</f>
        <v>46084.730081018519</v>
      </c>
      <c r="Z327" s="1594" cm="1">
        <f t="array" aca="1" ref="Z327" ca="1">OFFSET(POrigin,MATCH(Valori[[#This Row],[LUKB_id]],PID,0),MATCH("BID:volume",PLabel,0)-1,1,1)</f>
        <v>10</v>
      </c>
      <c r="AA327" s="1595" cm="1">
        <f t="array" aca="1" ref="AA327" ca="1">OFFSET(POrigin,MATCH(Valori[[#This Row],[LUKB_id]],PID,0),MATCH("BID",PLabel,0)-1,1,1)</f>
        <v>366.5</v>
      </c>
      <c r="AB327" s="1595" cm="1">
        <f t="array" aca="1" ref="AB327" ca="1">OFFSET(POrigin,MATCH(Valori[[#This Row],[LUKB_id]],PID,0),MATCH("ASK",PLabel,0)-1,1,1)</f>
        <v>390</v>
      </c>
      <c r="AC327" s="1594" cm="1">
        <f t="array" aca="1" ref="AC327" ca="1">OFFSET(POrigin,MATCH(Valori[[#This Row],[LUKB_id]],PID,0),MATCH("ASK:volume",PLabel,0)-1,1,1)</f>
        <v>9</v>
      </c>
      <c r="AD327" s="1596" cm="1">
        <f t="array" aca="1" ref="AD327" ca="1">OFFSET(POrigin,MATCH(Valori[[#This Row],[LUKB_id]],PID,0),MATCH("BID-ASK Spread %",PLabel,0)-1,1,1)</f>
        <v>4.1852181656277826E-2</v>
      </c>
      <c r="AE327" s="1597" t="str" cm="1">
        <f t="array" aca="1" ref="AE327" ca="1">IF(OFFSET(POrigin,MATCH(Valori[[#This Row],[LUKB_id]],PID,0),MATCH("MATURITY",PLabel,0)-1,1,1)&gt;0,OFFSET(POrigin,MATCH(Valori[[#This Row],[LUKB_id]],PID,0),MATCH("MATURITY",PLabel,0)-1,1,1),"")</f>
        <v/>
      </c>
      <c r="AF327" s="1598" cm="1">
        <f t="array" aca="1" ref="AF327" ca="1">OFFSET(POrigin,MATCH(Valori[[#This Row],[LUKB_id]],PID,0),MATCH("ACCINT",PLabel,0)-1,1,1)</f>
        <v>0</v>
      </c>
      <c r="AG327" s="1594" cm="1">
        <f t="array" aca="1" ref="AG327" ca="1">OFFSET(POrigin,MATCH(Valori[[#This Row],[LUKB_id]],PID,0),MATCH("DENOM",PLabel,0)-1,1,1)</f>
        <v>0</v>
      </c>
      <c r="AH327" s="1599" cm="1">
        <f t="array" aca="1" ref="AH327" ca="1">(OFFSET(POrigin,MATCH(Valori[[#This Row],[LUKB_id]],PID,0),MATCH("YIELD",PLabel,0)-1,1,1)+OFFSET(POrigin,MATCH(Valori[[#This Row],[LUKB_id]],PID,0),MATCH("YLDEQ",PLabel,0)-1,1,1))/100</f>
        <v>2.9177719999999997E-2</v>
      </c>
      <c r="AI327" s="1600">
        <f ca="1">OFFSET(POrigin,MATCH(Valori[[#This Row],[LUKB_id]],PID,0),MATCH("DIVIDEND",PLabel,0)-1,1,1)</f>
        <v>11</v>
      </c>
      <c r="AJ327" s="1601">
        <f ca="1">OFFSET(POrigin,MATCH(Valori[[#This Row],[LUKB_id]],PID,0),MATCH("DIVIDEND:datetime",PLabel,0)-1,1,1)</f>
        <v>45769</v>
      </c>
      <c r="AK327" s="1602">
        <f ca="1">OFFSET(POrigin,MATCH(Valori[[#This Row],[LUKB_id]],PID,0),MATCH("INTEREST",PLabel,0)-1,1,1)</f>
        <v>0</v>
      </c>
      <c r="AL327" s="1603">
        <f ca="1">OFFSET(POrigin,MATCH(Valori[[#This Row],[LUKB_id]],PID,0),MATCH("4W_PERF_PR",PLabel,0)-1,1,1)/100</f>
        <v>3.7138929999999994E-2</v>
      </c>
      <c r="AM327" s="1603">
        <f ca="1">OFFSET(POrigin,MATCH(Valori[[#This Row],[LUKB_id]],PID,0),MATCH("12W_PERF_PR",PLabel,0)-1,1,1)/100</f>
        <v>4.8678720000000002E-2</v>
      </c>
      <c r="AN327" s="1603">
        <f ca="1">OFFSET(POrigin,MATCH(Valori[[#This Row],[LUKB_id]],PID,0),MATCH("YTD_PERF_PR",PLabel,0)-1,1,1)/100</f>
        <v>8.1411126187246E-3</v>
      </c>
      <c r="AO327" s="1591"/>
      <c r="AP327" s="1591"/>
      <c r="AQ327" s="1591"/>
      <c r="AR327" s="1591"/>
      <c r="AS327" s="1890" t="s">
        <v>1804</v>
      </c>
      <c r="AT327" s="1890" t="s">
        <v>1805</v>
      </c>
      <c r="AU327" s="610" t="s">
        <v>1806</v>
      </c>
      <c r="AV327" s="1891" t="str">
        <f>IF(Valori[[#This Row],[MS_Link]]&lt;&gt;"",Valori[[#This Row],[MS_Link]]&amp;"company/","")</f>
        <v>https://www.marketscreener.com/quote/stock/BUCHER-INDUSTRIES-AG-159124/company/</v>
      </c>
      <c r="AW327" s="1604" t="str">
        <f ca="1">"https://boersenundmaerkte.lukb.ch/lukb/details/"&amp;Valori[[#This Row],[LUKB_id]]</f>
        <v>https://boersenundmaerkte.lukb.ch/lukb/details/243217,4,1</v>
      </c>
      <c r="AX327" s="1605" t="str">
        <f>"https://www.zonebourse.com/mods_a/charts/TV/inc_dyna_graph.php?c="&amp;Valori[[#This Row],[MS_Code]]&amp;"&amp;style=TradingView.CANDLES&amp;interval=(null)&amp;mobile=(null)&amp;showAT=1"</f>
        <v>https://www.zonebourse.com/mods_a/charts/TV/inc_dyna_graph.php?c=159124&amp;style=TradingView.CANDLES&amp;interval=(null)&amp;mobile=(null)&amp;showAT=1</v>
      </c>
      <c r="AY327" s="142"/>
      <c r="AZ327" s="142"/>
      <c r="BA327" s="142"/>
      <c r="BB327" s="142"/>
    </row>
    <row r="328" spans="1:54" ht="15" customHeight="1" x14ac:dyDescent="0.2">
      <c r="A328" s="142" t="s">
        <v>1807</v>
      </c>
      <c r="B328" s="142" t="str" cm="1">
        <f t="array" aca="1" ref="B328" ca="1">OFFSET(POrigin,MATCH(Valori[[#This Row],[smo_id]],Posizioni[smo_id],0),MATCH("LUKB_id",PIntestazioni,0)-1,1,1)</f>
        <v>1002678,6921,814</v>
      </c>
      <c r="C328" s="1668" t="str">
        <f ca="1">HYPERLINK("https://boersenundmaerkte.lukb.ch/lukb/details/"&amp;Valori[[#This Row],[LUKB_id]],"è")</f>
        <v>è</v>
      </c>
      <c r="D328" s="142" t="str" cm="1">
        <f t="array" aca="1" ref="D328" ca="1">OFFSET(POrigin,MATCH(Valori[[#This Row],[LUKB_id]],PID,0),MATCH("SC_GROUPED",PIntestazioni,0)-1,1,1)</f>
        <v>EQU</v>
      </c>
      <c r="E328" s="413" t="str" cm="1">
        <f t="array" aca="1" ref="E328" ca="1">OFFSET(POrigin,MATCH(Valori[[#This Row],[LUKB_id]],PID,0),MATCH("isin",PIntestazioni,0)-1,1,1)</f>
        <v>IT0001347308</v>
      </c>
      <c r="F328" s="34" t="str" cm="1">
        <f t="array" aca="1" ref="F328" ca="1">OFFSET(POrigin,MATCH(Valori[[#This Row],[LUKB_id]],PID,0),MATCH("NSIN_CH",PLabel,0)-1,1,1)</f>
        <v>1002678</v>
      </c>
      <c r="G328" s="95" t="str" cm="1">
        <f t="array" aca="1" ref="G328" ca="1">IF(OFFSET(POrigin,MATCH(Valori[[#This Row],[LUKB_id]],PID,0),MATCH("INSTRUNIT",PLabel,0)-1,1,1)="Nominal","Pct","Unit")</f>
        <v>Unit</v>
      </c>
      <c r="H328" s="612">
        <f ca="1">MAX(OFFSET(POrigin,MATCH(Valori[[#This Row],[LUKB_id]],PID,0),MATCH("PRICINGAMT",PLabel,0)-1,1,1),1)</f>
        <v>1</v>
      </c>
      <c r="I328" s="615" t="str" cm="1">
        <f t="array" aca="1" ref="I328" ca="1">OFFSET(POrigin,MATCH(Valori[[#This Row],[LUKB_id]],PID,0),MATCH("M_NAME",PLabel,0)-1,1,1)</f>
        <v>Buzzi N</v>
      </c>
      <c r="M328" s="142" t="str" cm="1">
        <f t="array" aca="1" ref="M3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Buzzi N</v>
      </c>
      <c r="N328" s="1563">
        <f ca="1">COUNTIF('CHF M'!smo_id,Valori[[#This Row],[smo_id]])+COUNTIF('CHF MA'!smo_id,Valori[[#This Row],[smo_id]])+COUNTIF('EUR MB'!smo_id,Valori[[#This Row],[smo_id]])+COUNTIF('EUR M'!smo_id,Valori[[#This Row],[smo_id]])+COUNTIF(AGCO!smo_id,Valori[[#This Row],[smo_id]])</f>
        <v>0</v>
      </c>
      <c r="O328" s="1590" cm="1">
        <f t="array" aca="1" ref="O328" ca="1">SUM(IF('CHF M'!smo_id=Valori[[#This Row],[smo_id]],'CHF M'!Posizione))+SUM(IF('CHF MA'!smo_id=Valori[[#This Row],[smo_id]],'CHF MA'!Posizione))+SUM(IF('EUR MB'!smo_id=Valori[[#This Row],[smo_id]],'EUR MB'!Posizione))+SUM(IF('EUR M'!smo_id=Valori[[#This Row],[smo_id]],'EUR M'!Posizione))+SUM(IF(AGCO!smo_id=Valori[[#This Row],[smo_id]],AGCO!Posizione))</f>
        <v>0</v>
      </c>
      <c r="P328" s="1661" t="str">
        <f ca="1">HYPERLINK(Valori[[#This Row],[P_Source]],"è")</f>
        <v>è</v>
      </c>
      <c r="Q328" s="1663" t="str">
        <f>HYPERLINK(Valori[[#This Row],[Info_W]],"i")</f>
        <v>i</v>
      </c>
      <c r="R328" s="1664" t="str">
        <f>HYPERLINK(Valori[[#This Row],[FN_W]],"")</f>
        <v></v>
      </c>
      <c r="S328" s="1665" t="str">
        <f>HYPERLINK(Valori[[#This Row],[MS_Link]],"")</f>
        <v></v>
      </c>
      <c r="T328" s="1665" t="str">
        <f>HYPERLINK(Valori[[#This Row],[C_source]],"")</f>
        <v></v>
      </c>
      <c r="U328" s="142" t="str" cm="1">
        <f t="array" aca="1" ref="U328" ca="1">OFFSET(POrigin,MATCH(Valori[[#This Row],[LUKB_id]],PID,0),MATCH("M_CUR",PLabel,0)-1,1,1)</f>
        <v>EUR</v>
      </c>
      <c r="V328" s="1562">
        <f ca="1">(Valori[[#This Row],[Last]]+Valori[[#This Row],[Acc. Int]])/Valori[[#This Row],[Pr.Amt]]/IF(Valori[[#This Row],[P_Type]]="Pct",100,1)</f>
        <v>47.5</v>
      </c>
      <c r="W328" s="1591" cm="1">
        <f t="array" aca="1" ref="W328" ca="1">OFFSET(POrigin,MATCH(Valori[[#This Row],[LUKB_id]],PID,0),MATCH("NC2_PR",PLabel,0)-1,1,1)/100</f>
        <v>-3.0216414863209601E-2</v>
      </c>
      <c r="X328" s="1592" cm="1">
        <f t="array" aca="1" ref="X328" ca="1">OFFSET(POrigin,MATCH(Valori[[#This Row],[LUKB_id]],PID,0),MATCH("LVAL",PLabel,0)-1,1,1)</f>
        <v>47.5</v>
      </c>
      <c r="Y328" s="1593" cm="1">
        <f t="array" aca="1" ref="Y328" ca="1">OFFSET(POrigin,MATCH(Valori[[#This Row],[LUKB_id]],PID,0),MATCH("LVAL:datetime",PLabel,0)-1,1,1)</f>
        <v>46083.739583333336</v>
      </c>
      <c r="Z328" s="1594" cm="1">
        <f t="array" aca="1" ref="Z328" ca="1">OFFSET(POrigin,MATCH(Valori[[#This Row],[LUKB_id]],PID,0),MATCH("BID:volume",PLabel,0)-1,1,1)</f>
        <v>0</v>
      </c>
      <c r="AA328" s="1595" cm="1">
        <f t="array" aca="1" ref="AA328" ca="1">OFFSET(POrigin,MATCH(Valori[[#This Row],[LUKB_id]],PID,0),MATCH("BID",PLabel,0)-1,1,1)</f>
        <v>0</v>
      </c>
      <c r="AB328" s="1595" cm="1">
        <f t="array" aca="1" ref="AB328" ca="1">OFFSET(POrigin,MATCH(Valori[[#This Row],[LUKB_id]],PID,0),MATCH("ASK",PLabel,0)-1,1,1)</f>
        <v>0</v>
      </c>
      <c r="AC328" s="1594" cm="1">
        <f t="array" aca="1" ref="AC328" ca="1">OFFSET(POrigin,MATCH(Valori[[#This Row],[LUKB_id]],PID,0),MATCH("ASK:volume",PLabel,0)-1,1,1)</f>
        <v>0</v>
      </c>
      <c r="AD328" s="1596" cm="1">
        <f t="array" aca="1" ref="AD328" ca="1">OFFSET(POrigin,MATCH(Valori[[#This Row],[LUKB_id]],PID,0),MATCH("BID-ASK Spread %",PLabel,0)-1,1,1)</f>
        <v>0</v>
      </c>
      <c r="AE328" s="1597" t="str" cm="1">
        <f t="array" aca="1" ref="AE328" ca="1">IF(OFFSET(POrigin,MATCH(Valori[[#This Row],[LUKB_id]],PID,0),MATCH("MATURITY",PLabel,0)-1,1,1)&gt;0,OFFSET(POrigin,MATCH(Valori[[#This Row],[LUKB_id]],PID,0),MATCH("MATURITY",PLabel,0)-1,1,1),"")</f>
        <v/>
      </c>
      <c r="AF328" s="1598" cm="1">
        <f t="array" aca="1" ref="AF328" ca="1">OFFSET(POrigin,MATCH(Valori[[#This Row],[LUKB_id]],PID,0),MATCH("ACCINT",PLabel,0)-1,1,1)</f>
        <v>0</v>
      </c>
      <c r="AG328" s="1594" cm="1">
        <f t="array" aca="1" ref="AG328" ca="1">OFFSET(POrigin,MATCH(Valori[[#This Row],[LUKB_id]],PID,0),MATCH("DENOM",PLabel,0)-1,1,1)</f>
        <v>0</v>
      </c>
      <c r="AH328" s="1599" cm="1">
        <f t="array" aca="1" ref="AH328" ca="1">(OFFSET(POrigin,MATCH(Valori[[#This Row],[LUKB_id]],PID,0),MATCH("YIELD",PLabel,0)-1,1,1)+OFFSET(POrigin,MATCH(Valori[[#This Row],[LUKB_id]],PID,0),MATCH("YLDEQ",PLabel,0)-1,1,1))/100</f>
        <v>0</v>
      </c>
      <c r="AI328" s="1600">
        <f ca="1">OFFSET(POrigin,MATCH(Valori[[#This Row],[LUKB_id]],PID,0),MATCH("DIVIDEND",PLabel,0)-1,1,1)</f>
        <v>0.70000000000000007</v>
      </c>
      <c r="AJ328" s="1601">
        <f ca="1">OFFSET(POrigin,MATCH(Valori[[#This Row],[LUKB_id]],PID,0),MATCH("DIVIDEND:datetime",PLabel,0)-1,1,1)</f>
        <v>45796</v>
      </c>
      <c r="AK328" s="1602">
        <f ca="1">OFFSET(POrigin,MATCH(Valori[[#This Row],[LUKB_id]],PID,0),MATCH("INTEREST",PLabel,0)-1,1,1)</f>
        <v>0</v>
      </c>
      <c r="AL328" s="1603">
        <f ca="1">OFFSET(POrigin,MATCH(Valori[[#This Row],[LUKB_id]],PID,0),MATCH("4W_PERF_PR",PLabel,0)-1,1,1)/100</f>
        <v>-2.5840853158326498E-2</v>
      </c>
      <c r="AM328" s="1603">
        <f ca="1">OFFSET(POrigin,MATCH(Valori[[#This Row],[LUKB_id]],PID,0),MATCH("12W_PERF_PR",PLabel,0)-1,1,1)/100</f>
        <v>-8.212560386473429E-2</v>
      </c>
      <c r="AN328" s="1603">
        <f ca="1">OFFSET(POrigin,MATCH(Valori[[#This Row],[LUKB_id]],PID,0),MATCH("YTD_PERF_PR",PLabel,0)-1,1,1)/100</f>
        <v>-8.6538461538461606E-2</v>
      </c>
      <c r="AO328" s="1591"/>
      <c r="AP328" s="1591"/>
      <c r="AQ328" s="1591"/>
      <c r="AR328" s="1591"/>
      <c r="AS328" s="1890"/>
      <c r="AT328" s="1890"/>
      <c r="AU328" s="610"/>
      <c r="AV328" s="1891"/>
      <c r="AW328" s="1604" t="str">
        <f ca="1">"https://boersenundmaerkte.lukb.ch/lukb/details/"&amp;Valori[[#This Row],[LUKB_id]]</f>
        <v>https://boersenundmaerkte.lukb.ch/lukb/details/1002678,6921,814</v>
      </c>
      <c r="AX32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8" s="142"/>
      <c r="AZ328" s="142"/>
      <c r="BA328" s="142"/>
      <c r="BB328" s="142"/>
    </row>
    <row r="329" spans="1:54" ht="15" customHeight="1" x14ac:dyDescent="0.2">
      <c r="A329" s="142" t="s">
        <v>1808</v>
      </c>
      <c r="B329" s="142" t="str" cm="1">
        <f t="array" aca="1" ref="B329" ca="1">OFFSET(POrigin,MATCH(Valori[[#This Row],[smo_id]],Posizioni[smo_id],0),MATCH("LUKB_id",PIntestazioni,0)-1,1,1)</f>
        <v>4673643,365,333</v>
      </c>
      <c r="C329" s="1668" t="str">
        <f ca="1">HYPERLINK("https://boersenundmaerkte.lukb.ch/lukb/details/"&amp;Valori[[#This Row],[LUKB_id]],"è")</f>
        <v>è</v>
      </c>
      <c r="D329" s="142" t="str" cm="1">
        <f t="array" aca="1" ref="D329" ca="1">OFFSET(POrigin,MATCH(Valori[[#This Row],[LUKB_id]],PID,0),MATCH("SC_GROUPED",PIntestazioni,0)-1,1,1)</f>
        <v>EQU</v>
      </c>
      <c r="E329" s="413" t="str" cm="1">
        <f t="array" aca="1" ref="E329" ca="1">OFFSET(POrigin,MATCH(Valori[[#This Row],[LUKB_id]],PID,0),MATCH("isin",PIntestazioni,0)-1,1,1)</f>
        <v>US05606L1008</v>
      </c>
      <c r="F329" s="34" t="str" cm="1">
        <f t="array" aca="1" ref="F329" ca="1">OFFSET(POrigin,MATCH(Valori[[#This Row],[LUKB_id]],PID,0),MATCH("NSIN_CH",PLabel,0)-1,1,1)</f>
        <v>4673643</v>
      </c>
      <c r="G329" s="95" t="str" cm="1">
        <f t="array" aca="1" ref="G329" ca="1">IF(OFFSET(POrigin,MATCH(Valori[[#This Row],[LUKB_id]],PID,0),MATCH("INSTRUNIT",PLabel,0)-1,1,1)="Nominal","Pct","Unit")</f>
        <v>Unit</v>
      </c>
      <c r="H329" s="612">
        <f ca="1">MAX(OFFSET(POrigin,MATCH(Valori[[#This Row],[LUKB_id]],PID,0),MATCH("PRICINGAMT",PLabel,0)-1,1,1),1)</f>
        <v>1</v>
      </c>
      <c r="I329" s="615" t="str" cm="1">
        <f t="array" aca="1" ref="I329" ca="1">OFFSET(POrigin,MATCH(Valori[[#This Row],[LUKB_id]],PID,0),MATCH("M_NAME",PLabel,0)-1,1,1)</f>
        <v>BYD Unsp ADR-H</v>
      </c>
      <c r="M329" s="142" t="str" cm="1">
        <f t="array" aca="1" ref="M3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BYD Unsp ADR-H</v>
      </c>
      <c r="N329" s="1563">
        <f ca="1">COUNTIF('CHF M'!smo_id,Valori[[#This Row],[smo_id]])+COUNTIF('CHF MA'!smo_id,Valori[[#This Row],[smo_id]])+COUNTIF('EUR MB'!smo_id,Valori[[#This Row],[smo_id]])+COUNTIF('EUR M'!smo_id,Valori[[#This Row],[smo_id]])+COUNTIF(AGCO!smo_id,Valori[[#This Row],[smo_id]])</f>
        <v>0</v>
      </c>
      <c r="O329" s="1590" cm="1">
        <f t="array" aca="1" ref="O329" ca="1">SUM(IF('CHF M'!smo_id=Valori[[#This Row],[smo_id]],'CHF M'!Posizione))+SUM(IF('CHF MA'!smo_id=Valori[[#This Row],[smo_id]],'CHF MA'!Posizione))+SUM(IF('EUR MB'!smo_id=Valori[[#This Row],[smo_id]],'EUR MB'!Posizione))+SUM(IF('EUR M'!smo_id=Valori[[#This Row],[smo_id]],'EUR M'!Posizione))+SUM(IF(AGCO!smo_id=Valori[[#This Row],[smo_id]],AGCO!Posizione))</f>
        <v>0</v>
      </c>
      <c r="P329" s="1661" t="str">
        <f ca="1">HYPERLINK(Valori[[#This Row],[P_Source]],"è")</f>
        <v>è</v>
      </c>
      <c r="Q329" s="1663" t="str">
        <f>HYPERLINK(Valori[[#This Row],[Info_W]],"i")</f>
        <v>i</v>
      </c>
      <c r="R329" s="1664" t="str">
        <f>HYPERLINK(Valori[[#This Row],[FN_W]],"")</f>
        <v></v>
      </c>
      <c r="S329" s="1665" t="str">
        <f>HYPERLINK(Valori[[#This Row],[MS_Link]],"")</f>
        <v></v>
      </c>
      <c r="T329" s="1665" t="str">
        <f>HYPERLINK(Valori[[#This Row],[C_source]],"")</f>
        <v></v>
      </c>
      <c r="U329" s="142" t="str" cm="1">
        <f t="array" aca="1" ref="U329" ca="1">OFFSET(POrigin,MATCH(Valori[[#This Row],[LUKB_id]],PID,0),MATCH("M_CUR",PLabel,0)-1,1,1)</f>
        <v>USD</v>
      </c>
      <c r="V329" s="1562">
        <f ca="1">(Valori[[#This Row],[Last]]+Valori[[#This Row],[Acc. Int]])/Valori[[#This Row],[Pr.Amt]]/IF(Valori[[#This Row],[P_Type]]="Pct",100,1)</f>
        <v>12.040000000000001</v>
      </c>
      <c r="W329" s="1591" cm="1">
        <f t="array" aca="1" ref="W329" ca="1">OFFSET(POrigin,MATCH(Valori[[#This Row],[LUKB_id]],PID,0),MATCH("NC2_PR",PLabel,0)-1,1,1)/100</f>
        <v>-4.8973143759873598E-2</v>
      </c>
      <c r="X329" s="1592" cm="1">
        <f t="array" aca="1" ref="X329" ca="1">OFFSET(POrigin,MATCH(Valori[[#This Row],[LUKB_id]],PID,0),MATCH("LVAL",PLabel,0)-1,1,1)</f>
        <v>12.040000000000001</v>
      </c>
      <c r="Y329" s="1593" cm="1">
        <f t="array" aca="1" ref="Y329" ca="1">OFFSET(POrigin,MATCH(Valori[[#This Row],[LUKB_id]],PID,0),MATCH("LVAL:datetime",PLabel,0)-1,1,1)</f>
        <v>46084.785821759258</v>
      </c>
      <c r="Z329" s="1594" cm="1">
        <f t="array" aca="1" ref="Z329" ca="1">OFFSET(POrigin,MATCH(Valori[[#This Row],[LUKB_id]],PID,0),MATCH("BID:volume",PLabel,0)-1,1,1)</f>
        <v>0</v>
      </c>
      <c r="AA329" s="1595" cm="1">
        <f t="array" aca="1" ref="AA329" ca="1">OFFSET(POrigin,MATCH(Valori[[#This Row],[LUKB_id]],PID,0),MATCH("BID",PLabel,0)-1,1,1)</f>
        <v>0</v>
      </c>
      <c r="AB329" s="1595" cm="1">
        <f t="array" aca="1" ref="AB329" ca="1">OFFSET(POrigin,MATCH(Valori[[#This Row],[LUKB_id]],PID,0),MATCH("ASK",PLabel,0)-1,1,1)</f>
        <v>0</v>
      </c>
      <c r="AC329" s="1594" cm="1">
        <f t="array" aca="1" ref="AC329" ca="1">OFFSET(POrigin,MATCH(Valori[[#This Row],[LUKB_id]],PID,0),MATCH("ASK:volume",PLabel,0)-1,1,1)</f>
        <v>0</v>
      </c>
      <c r="AD329" s="1596" cm="1">
        <f t="array" aca="1" ref="AD329" ca="1">OFFSET(POrigin,MATCH(Valori[[#This Row],[LUKB_id]],PID,0),MATCH("BID-ASK Spread %",PLabel,0)-1,1,1)</f>
        <v>0</v>
      </c>
      <c r="AE329" s="1597" t="str" cm="1">
        <f t="array" aca="1" ref="AE329" ca="1">IF(OFFSET(POrigin,MATCH(Valori[[#This Row],[LUKB_id]],PID,0),MATCH("MATURITY",PLabel,0)-1,1,1)&gt;0,OFFSET(POrigin,MATCH(Valori[[#This Row],[LUKB_id]],PID,0),MATCH("MATURITY",PLabel,0)-1,1,1),"")</f>
        <v/>
      </c>
      <c r="AF329" s="1598" cm="1">
        <f t="array" aca="1" ref="AF329" ca="1">OFFSET(POrigin,MATCH(Valori[[#This Row],[LUKB_id]],PID,0),MATCH("ACCINT",PLabel,0)-1,1,1)</f>
        <v>0</v>
      </c>
      <c r="AG329" s="1594" cm="1">
        <f t="array" aca="1" ref="AG329" ca="1">OFFSET(POrigin,MATCH(Valori[[#This Row],[LUKB_id]],PID,0),MATCH("DENOM",PLabel,0)-1,1,1)</f>
        <v>0</v>
      </c>
      <c r="AH329" s="1599" cm="1">
        <f t="array" aca="1" ref="AH329" ca="1">(OFFSET(POrigin,MATCH(Valori[[#This Row],[LUKB_id]],PID,0),MATCH("YIELD",PLabel,0)-1,1,1)+OFFSET(POrigin,MATCH(Valori[[#This Row],[LUKB_id]],PID,0),MATCH("YLDEQ",PLabel,0)-1,1,1))/100</f>
        <v>1.5261209999999999E-2</v>
      </c>
      <c r="AI329" s="1600">
        <f ca="1">OFFSET(POrigin,MATCH(Valori[[#This Row],[LUKB_id]],PID,0),MATCH("DIVIDEND",PLabel,0)-1,1,1)</f>
        <v>0.87045399999999995</v>
      </c>
      <c r="AJ329" s="1601">
        <f ca="1">OFFSET(POrigin,MATCH(Valori[[#This Row],[LUKB_id]],PID,0),MATCH("DIVIDEND:datetime",PLabel,0)-1,1,1)</f>
        <v>45455</v>
      </c>
      <c r="AK329" s="1602">
        <f ca="1">OFFSET(POrigin,MATCH(Valori[[#This Row],[LUKB_id]],PID,0),MATCH("INTEREST",PLabel,0)-1,1,1)</f>
        <v>0</v>
      </c>
      <c r="AL329" s="1603">
        <f ca="1">OFFSET(POrigin,MATCH(Valori[[#This Row],[LUKB_id]],PID,0),MATCH("4W_PERF_PR",PLabel,0)-1,1,1)/100</f>
        <v>6.172840000000001E-2</v>
      </c>
      <c r="AM329" s="1603">
        <f ca="1">OFFSET(POrigin,MATCH(Valori[[#This Row],[LUKB_id]],PID,0),MATCH("12W_PERF_PR",PLabel,0)-1,1,1)/100</f>
        <v>-3.6799999999999999E-2</v>
      </c>
      <c r="AN329" s="1603">
        <f ca="1">OFFSET(POrigin,MATCH(Valori[[#This Row],[LUKB_id]],PID,0),MATCH("YTD_PERF_PR",PLabel,0)-1,1,1)/100</f>
        <v>4.5417010734929902E-2</v>
      </c>
      <c r="AO329" s="1591"/>
      <c r="AP329" s="1591"/>
      <c r="AQ329" s="1591"/>
      <c r="AR329" s="1591"/>
      <c r="AS329" s="1890"/>
      <c r="AT329" s="1890"/>
      <c r="AU329" s="610"/>
      <c r="AV329" s="1891"/>
      <c r="AW329" s="1604" t="str">
        <f ca="1">"https://boersenundmaerkte.lukb.ch/lukb/details/"&amp;Valori[[#This Row],[LUKB_id]]</f>
        <v>https://boersenundmaerkte.lukb.ch/lukb/details/4673643,365,333</v>
      </c>
      <c r="AX32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9" s="142"/>
      <c r="AZ329" s="142"/>
      <c r="BA329" s="142"/>
      <c r="BB329" s="142"/>
    </row>
    <row r="330" spans="1:54" ht="15" customHeight="1" x14ac:dyDescent="0.2">
      <c r="A330" s="142" t="s">
        <v>1809</v>
      </c>
      <c r="B330" s="142" t="str" cm="1">
        <f t="array" aca="1" ref="B330" ca="1">OFFSET(POrigin,MATCH(Valori[[#This Row],[smo_id]],Posizioni[smo_id],0),MATCH("LUKB_id",PIntestazioni,0)-1,1,1)</f>
        <v>22517316,4,1</v>
      </c>
      <c r="C330" s="1668" t="str">
        <f ca="1">HYPERLINK("https://boersenundmaerkte.lukb.ch/lukb/details/"&amp;Valori[[#This Row],[LUKB_id]],"è")</f>
        <v>è</v>
      </c>
      <c r="D330" s="142" t="str" cm="1">
        <f t="array" aca="1" ref="D330" ca="1">OFFSET(POrigin,MATCH(Valori[[#This Row],[LUKB_id]],PID,0),MATCH("SC_GROUPED",PIntestazioni,0)-1,1,1)</f>
        <v>EQU</v>
      </c>
      <c r="E330" s="413" t="str" cm="1">
        <f t="array" aca="1" ref="E330" ca="1">OFFSET(POrigin,MATCH(Valori[[#This Row],[LUKB_id]],PID,0),MATCH("isin",PIntestazioni,0)-1,1,1)</f>
        <v>CH0225173167</v>
      </c>
      <c r="F330" s="34" t="str" cm="1">
        <f t="array" aca="1" ref="F330" ca="1">OFFSET(POrigin,MATCH(Valori[[#This Row],[LUKB_id]],PID,0),MATCH("NSIN_CH",PLabel,0)-1,1,1)</f>
        <v>22517316</v>
      </c>
      <c r="G330" s="95" t="str" cm="1">
        <f t="array" aca="1" ref="G330" ca="1">IF(OFFSET(POrigin,MATCH(Valori[[#This Row],[LUKB_id]],PID,0),MATCH("INSTRUNIT",PLabel,0)-1,1,1)="Nominal","Pct","Unit")</f>
        <v>Unit</v>
      </c>
      <c r="H330" s="612">
        <f ca="1">MAX(OFFSET(POrigin,MATCH(Valori[[#This Row],[LUKB_id]],PID,0),MATCH("PRICINGAMT",PLabel,0)-1,1,1),1)</f>
        <v>1</v>
      </c>
      <c r="I330" s="615" t="str" cm="1">
        <f t="array" aca="1" ref="I330" ca="1">OFFSET(POrigin,MATCH(Valori[[#This Row],[LUKB_id]],PID,0),MATCH("M_NAME",PLabel,0)-1,1,1)</f>
        <v>Cembra Money Bk N</v>
      </c>
      <c r="M330" s="142" t="str" cm="1">
        <f t="array" aca="1" ref="M3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Cembra Money Bk N</v>
      </c>
      <c r="N330" s="1563">
        <f ca="1">COUNTIF('CHF M'!smo_id,Valori[[#This Row],[smo_id]])+COUNTIF('CHF MA'!smo_id,Valori[[#This Row],[smo_id]])+COUNTIF('EUR MB'!smo_id,Valori[[#This Row],[smo_id]])+COUNTIF('EUR M'!smo_id,Valori[[#This Row],[smo_id]])+COUNTIF(AGCO!smo_id,Valori[[#This Row],[smo_id]])</f>
        <v>0</v>
      </c>
      <c r="O330" s="1590" cm="1">
        <f t="array" aca="1" ref="O330" ca="1">SUM(IF('CHF M'!smo_id=Valori[[#This Row],[smo_id]],'CHF M'!Posizione))+SUM(IF('CHF MA'!smo_id=Valori[[#This Row],[smo_id]],'CHF MA'!Posizione))+SUM(IF('EUR MB'!smo_id=Valori[[#This Row],[smo_id]],'EUR MB'!Posizione))+SUM(IF('EUR M'!smo_id=Valori[[#This Row],[smo_id]],'EUR M'!Posizione))+SUM(IF(AGCO!smo_id=Valori[[#This Row],[smo_id]],AGCO!Posizione))</f>
        <v>0</v>
      </c>
      <c r="P330" s="1661" t="str">
        <f ca="1">HYPERLINK(Valori[[#This Row],[P_Source]],"è")</f>
        <v>è</v>
      </c>
      <c r="Q330" s="1663" t="str">
        <f>HYPERLINK(Valori[[#This Row],[Info_W]],"i")</f>
        <v>i</v>
      </c>
      <c r="R330" s="1664" t="str">
        <f>HYPERLINK(Valori[[#This Row],[FN_W]],"")</f>
        <v></v>
      </c>
      <c r="S330" s="1665" t="str">
        <f>HYPERLINK(Valori[[#This Row],[MS_Link]],"")</f>
        <v></v>
      </c>
      <c r="T330" s="1665" t="str">
        <f>HYPERLINK(Valori[[#This Row],[C_source]],"")</f>
        <v></v>
      </c>
      <c r="U330" s="142" t="str" cm="1">
        <f t="array" aca="1" ref="U330" ca="1">OFFSET(POrigin,MATCH(Valori[[#This Row],[LUKB_id]],PID,0),MATCH("M_CUR",PLabel,0)-1,1,1)</f>
        <v>CHF</v>
      </c>
      <c r="V330" s="1562">
        <f ca="1">(Valori[[#This Row],[Last]]+Valori[[#This Row],[Acc. Int]])/Valori[[#This Row],[Pr.Amt]]/IF(Valori[[#This Row],[P_Type]]="Pct",100,1)</f>
        <v>97.15</v>
      </c>
      <c r="W330" s="1591" cm="1">
        <f t="array" aca="1" ref="W330" ca="1">OFFSET(POrigin,MATCH(Valori[[#This Row],[LUKB_id]],PID,0),MATCH("NC2_PR",PLabel,0)-1,1,1)/100</f>
        <v>-2.8500000000000001E-2</v>
      </c>
      <c r="X330" s="1592" cm="1">
        <f t="array" aca="1" ref="X330" ca="1">OFFSET(POrigin,MATCH(Valori[[#This Row],[LUKB_id]],PID,0),MATCH("LVAL",PLabel,0)-1,1,1)</f>
        <v>97.15</v>
      </c>
      <c r="Y330" s="1593" cm="1">
        <f t="array" aca="1" ref="Y330" ca="1">OFFSET(POrigin,MATCH(Valori[[#This Row],[LUKB_id]],PID,0),MATCH("LVAL:datetime",PLabel,0)-1,1,1)</f>
        <v>46084.730081018519</v>
      </c>
      <c r="Z330" s="1594" cm="1">
        <f t="array" aca="1" ref="Z330" ca="1">OFFSET(POrigin,MATCH(Valori[[#This Row],[LUKB_id]],PID,0),MATCH("BID:volume",PLabel,0)-1,1,1)</f>
        <v>250</v>
      </c>
      <c r="AA330" s="1595" cm="1">
        <f t="array" aca="1" ref="AA330" ca="1">OFFSET(POrigin,MATCH(Valori[[#This Row],[LUKB_id]],PID,0),MATCH("BID",PLabel,0)-1,1,1)</f>
        <v>97.300000000000011</v>
      </c>
      <c r="AB330" s="1595" cm="1">
        <f t="array" aca="1" ref="AB330" ca="1">OFFSET(POrigin,MATCH(Valori[[#This Row],[LUKB_id]],PID,0),MATCH("ASK",PLabel,0)-1,1,1)</f>
        <v>100.5</v>
      </c>
      <c r="AC330" s="1594" cm="1">
        <f t="array" aca="1" ref="AC330" ca="1">OFFSET(POrigin,MATCH(Valori[[#This Row],[LUKB_id]],PID,0),MATCH("ASK:volume",PLabel,0)-1,1,1)</f>
        <v>30</v>
      </c>
      <c r="AD330" s="1596" cm="1">
        <f t="array" aca="1" ref="AD330" ca="1">OFFSET(POrigin,MATCH(Valori[[#This Row],[LUKB_id]],PID,0),MATCH("BID-ASK Spread %",PLabel,0)-1,1,1)</f>
        <v>2.1687563537783724E-2</v>
      </c>
      <c r="AE330" s="1597" t="str" cm="1">
        <f t="array" aca="1" ref="AE330" ca="1">IF(OFFSET(POrigin,MATCH(Valori[[#This Row],[LUKB_id]],PID,0),MATCH("MATURITY",PLabel,0)-1,1,1)&gt;0,OFFSET(POrigin,MATCH(Valori[[#This Row],[LUKB_id]],PID,0),MATCH("MATURITY",PLabel,0)-1,1,1),"")</f>
        <v/>
      </c>
      <c r="AF330" s="1598" cm="1">
        <f t="array" aca="1" ref="AF330" ca="1">OFFSET(POrigin,MATCH(Valori[[#This Row],[LUKB_id]],PID,0),MATCH("ACCINT",PLabel,0)-1,1,1)</f>
        <v>0</v>
      </c>
      <c r="AG330" s="1594" cm="1">
        <f t="array" aca="1" ref="AG330" ca="1">OFFSET(POrigin,MATCH(Valori[[#This Row],[LUKB_id]],PID,0),MATCH("DENOM",PLabel,0)-1,1,1)</f>
        <v>0</v>
      </c>
      <c r="AH330" s="1599" cm="1">
        <f t="array" aca="1" ref="AH330" ca="1">(OFFSET(POrigin,MATCH(Valori[[#This Row],[LUKB_id]],PID,0),MATCH("YIELD",PLabel,0)-1,1,1)+OFFSET(POrigin,MATCH(Valori[[#This Row],[LUKB_id]],PID,0),MATCH("YLDEQ",PLabel,0)-1,1,1))/100</f>
        <v>4.3746779999999992E-2</v>
      </c>
      <c r="AI330" s="1600">
        <f ca="1">OFFSET(POrigin,MATCH(Valori[[#This Row],[LUKB_id]],PID,0),MATCH("DIVIDEND",PLabel,0)-1,1,1)</f>
        <v>4.25</v>
      </c>
      <c r="AJ330" s="1601">
        <f ca="1">OFFSET(POrigin,MATCH(Valori[[#This Row],[LUKB_id]],PID,0),MATCH("DIVIDEND:datetime",PLabel,0)-1,1,1)</f>
        <v>45775</v>
      </c>
      <c r="AK330" s="1602">
        <f ca="1">OFFSET(POrigin,MATCH(Valori[[#This Row],[LUKB_id]],PID,0),MATCH("INTEREST",PLabel,0)-1,1,1)</f>
        <v>0</v>
      </c>
      <c r="AL330" s="1603">
        <f ca="1">OFFSET(POrigin,MATCH(Valori[[#This Row],[LUKB_id]],PID,0),MATCH("4W_PERF_PR",PLabel,0)-1,1,1)/100</f>
        <v>-2.1158690000000001E-2</v>
      </c>
      <c r="AM330" s="1603">
        <f ca="1">OFFSET(POrigin,MATCH(Valori[[#This Row],[LUKB_id]],PID,0),MATCH("12W_PERF_PR",PLabel,0)-1,1,1)/100</f>
        <v>1.941238E-2</v>
      </c>
      <c r="AN330" s="1603">
        <f ca="1">OFFSET(POrigin,MATCH(Valori[[#This Row],[LUKB_id]],PID,0),MATCH("YTD_PERF_PR",PLabel,0)-1,1,1)/100</f>
        <v>6.5425264217413006E-3</v>
      </c>
      <c r="AO330" s="1591"/>
      <c r="AP330" s="1591"/>
      <c r="AQ330" s="1591"/>
      <c r="AR330" s="1591"/>
      <c r="AS330" s="1890"/>
      <c r="AT330" s="1890"/>
      <c r="AU330" s="610"/>
      <c r="AV330" s="1891"/>
      <c r="AW330" s="1604" t="str">
        <f ca="1">"https://boersenundmaerkte.lukb.ch/lukb/details/"&amp;Valori[[#This Row],[LUKB_id]]</f>
        <v>https://boersenundmaerkte.lukb.ch/lukb/details/22517316,4,1</v>
      </c>
      <c r="AX33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0" s="142"/>
      <c r="AZ330" s="142"/>
      <c r="BA330" s="142"/>
      <c r="BB330" s="142"/>
    </row>
    <row r="331" spans="1:54" ht="15" customHeight="1" x14ac:dyDescent="0.2">
      <c r="A331" s="142" t="s">
        <v>1810</v>
      </c>
      <c r="B331" s="142" t="str" cm="1">
        <f t="array" aca="1" ref="B331" ca="1">OFFSET(POrigin,MATCH(Valori[[#This Row],[smo_id]],Posizioni[smo_id],0),MATCH("LUKB_id",PIntestazioni,0)-1,1,1)</f>
        <v>870219,4,1</v>
      </c>
      <c r="C331" s="1668" t="str">
        <f ca="1">HYPERLINK("https://boersenundmaerkte.lukb.ch/lukb/details/"&amp;Valori[[#This Row],[LUKB_id]],"è")</f>
        <v>è</v>
      </c>
      <c r="D331" s="142" t="str" cm="1">
        <f t="array" aca="1" ref="D331" ca="1">OFFSET(POrigin,MATCH(Valori[[#This Row],[LUKB_id]],PID,0),MATCH("SC_GROUPED",PIntestazioni,0)-1,1,1)</f>
        <v>EQU</v>
      </c>
      <c r="E331" s="413" t="str" cm="1">
        <f t="array" aca="1" ref="E331" ca="1">OFFSET(POrigin,MATCH(Valori[[#This Row],[LUKB_id]],PID,0),MATCH("isin",PIntestazioni,0)-1,1,1)</f>
        <v>CH0008702190</v>
      </c>
      <c r="F331" s="34" t="str" cm="1">
        <f t="array" aca="1" ref="F331" ca="1">OFFSET(POrigin,MATCH(Valori[[#This Row],[LUKB_id]],PID,0),MATCH("NSIN_CH",PLabel,0)-1,1,1)</f>
        <v>870219</v>
      </c>
      <c r="G331" s="95" t="str" cm="1">
        <f t="array" aca="1" ref="G331" ca="1">IF(OFFSET(POrigin,MATCH(Valori[[#This Row],[LUKB_id]],PID,0),MATCH("INSTRUNIT",PLabel,0)-1,1,1)="Nominal","Pct","Unit")</f>
        <v>Unit</v>
      </c>
      <c r="H331" s="612">
        <f ca="1">MAX(OFFSET(POrigin,MATCH(Valori[[#This Row],[LUKB_id]],PID,0),MATCH("PRICINGAMT",PLabel,0)-1,1,1),1)</f>
        <v>1</v>
      </c>
      <c r="I331" s="615" t="str" cm="1">
        <f t="array" aca="1" ref="I331" ca="1">OFFSET(POrigin,MATCH(Valori[[#This Row],[LUKB_id]],PID,0),MATCH("M_NAME",PLabel,0)-1,1,1)</f>
        <v>Cicor Technologie N</v>
      </c>
      <c r="M331" s="142" t="str" cm="1">
        <f t="array" aca="1" ref="M3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Cicor Technologie N</v>
      </c>
      <c r="N331" s="1563">
        <f ca="1">COUNTIF('CHF M'!smo_id,Valori[[#This Row],[smo_id]])+COUNTIF('CHF MA'!smo_id,Valori[[#This Row],[smo_id]])+COUNTIF('EUR MB'!smo_id,Valori[[#This Row],[smo_id]])+COUNTIF('EUR M'!smo_id,Valori[[#This Row],[smo_id]])+COUNTIF(AGCO!smo_id,Valori[[#This Row],[smo_id]])</f>
        <v>0</v>
      </c>
      <c r="O331" s="1590" cm="1">
        <f t="array" aca="1" ref="O331" ca="1">SUM(IF('CHF M'!smo_id=Valori[[#This Row],[smo_id]],'CHF M'!Posizione))+SUM(IF('CHF MA'!smo_id=Valori[[#This Row],[smo_id]],'CHF MA'!Posizione))+SUM(IF('EUR MB'!smo_id=Valori[[#This Row],[smo_id]],'EUR MB'!Posizione))+SUM(IF('EUR M'!smo_id=Valori[[#This Row],[smo_id]],'EUR M'!Posizione))+SUM(IF(AGCO!smo_id=Valori[[#This Row],[smo_id]],AGCO!Posizione))</f>
        <v>0</v>
      </c>
      <c r="P331" s="1661" t="str">
        <f ca="1">HYPERLINK(Valori[[#This Row],[P_Source]],"è")</f>
        <v>è</v>
      </c>
      <c r="Q331" s="1663" t="str">
        <f>HYPERLINK(Valori[[#This Row],[Info_W]],"i")</f>
        <v>i</v>
      </c>
      <c r="R331" s="1664" t="str">
        <f>HYPERLINK(Valori[[#This Row],[FN_W]],"")</f>
        <v></v>
      </c>
      <c r="S331" s="1665" t="str">
        <f>HYPERLINK(Valori[[#This Row],[MS_Link]],"")</f>
        <v></v>
      </c>
      <c r="T331" s="1665" t="str">
        <f>HYPERLINK(Valori[[#This Row],[C_source]],"")</f>
        <v></v>
      </c>
      <c r="U331" s="142" t="str" cm="1">
        <f t="array" aca="1" ref="U331" ca="1">OFFSET(POrigin,MATCH(Valori[[#This Row],[LUKB_id]],PID,0),MATCH("M_CUR",PLabel,0)-1,1,1)</f>
        <v>CHF</v>
      </c>
      <c r="V331" s="1562">
        <f ca="1">(Valori[[#This Row],[Last]]+Valori[[#This Row],[Acc. Int]])/Valori[[#This Row],[Pr.Amt]]/IF(Valori[[#This Row],[P_Type]]="Pct",100,1)</f>
        <v>156.5</v>
      </c>
      <c r="W331" s="1591" cm="1">
        <f t="array" aca="1" ref="W331" ca="1">OFFSET(POrigin,MATCH(Valori[[#This Row],[LUKB_id]],PID,0),MATCH("NC2_PR",PLabel,0)-1,1,1)/100</f>
        <v>-3.6923076923077003E-2</v>
      </c>
      <c r="X331" s="1592" cm="1">
        <f t="array" aca="1" ref="X331" ca="1">OFFSET(POrigin,MATCH(Valori[[#This Row],[LUKB_id]],PID,0),MATCH("LVAL",PLabel,0)-1,1,1)</f>
        <v>156.5</v>
      </c>
      <c r="Y331" s="1593" cm="1">
        <f t="array" aca="1" ref="Y331" ca="1">OFFSET(POrigin,MATCH(Valori[[#This Row],[LUKB_id]],PID,0),MATCH("LVAL:datetime",PLabel,0)-1,1,1)</f>
        <v>46084.730196759258</v>
      </c>
      <c r="Z331" s="1594" cm="1">
        <f t="array" aca="1" ref="Z331" ca="1">OFFSET(POrigin,MATCH(Valori[[#This Row],[LUKB_id]],PID,0),MATCH("BID:volume",PLabel,0)-1,1,1)</f>
        <v>98</v>
      </c>
      <c r="AA331" s="1595" cm="1">
        <f t="array" aca="1" ref="AA331" ca="1">OFFSET(POrigin,MATCH(Valori[[#This Row],[LUKB_id]],PID,0),MATCH("BID",PLabel,0)-1,1,1)</f>
        <v>151</v>
      </c>
      <c r="AB331" s="1595" cm="1">
        <f t="array" aca="1" ref="AB331" ca="1">OFFSET(POrigin,MATCH(Valori[[#This Row],[LUKB_id]],PID,0),MATCH("ASK",PLabel,0)-1,1,1)</f>
        <v>161.5</v>
      </c>
      <c r="AC331" s="1594" cm="1">
        <f t="array" aca="1" ref="AC331" ca="1">OFFSET(POrigin,MATCH(Valori[[#This Row],[LUKB_id]],PID,0),MATCH("ASK:volume",PLabel,0)-1,1,1)</f>
        <v>12</v>
      </c>
      <c r="AD331" s="1596" cm="1">
        <f t="array" aca="1" ref="AD331" ca="1">OFFSET(POrigin,MATCH(Valori[[#This Row],[LUKB_id]],PID,0),MATCH("BID-ASK Spread %",PLabel,0)-1,1,1)</f>
        <v>4.5307443365695796E-2</v>
      </c>
      <c r="AE331" s="1597" t="str" cm="1">
        <f t="array" aca="1" ref="AE331" ca="1">IF(OFFSET(POrigin,MATCH(Valori[[#This Row],[LUKB_id]],PID,0),MATCH("MATURITY",PLabel,0)-1,1,1)&gt;0,OFFSET(POrigin,MATCH(Valori[[#This Row],[LUKB_id]],PID,0),MATCH("MATURITY",PLabel,0)-1,1,1),"")</f>
        <v/>
      </c>
      <c r="AF331" s="1598" cm="1">
        <f t="array" aca="1" ref="AF331" ca="1">OFFSET(POrigin,MATCH(Valori[[#This Row],[LUKB_id]],PID,0),MATCH("ACCINT",PLabel,0)-1,1,1)</f>
        <v>0</v>
      </c>
      <c r="AG331" s="1594" cm="1">
        <f t="array" aca="1" ref="AG331" ca="1">OFFSET(POrigin,MATCH(Valori[[#This Row],[LUKB_id]],PID,0),MATCH("DENOM",PLabel,0)-1,1,1)</f>
        <v>0</v>
      </c>
      <c r="AH331" s="1599" cm="1">
        <f t="array" aca="1" ref="AH331" ca="1">(OFFSET(POrigin,MATCH(Valori[[#This Row],[LUKB_id]],PID,0),MATCH("YIELD",PLabel,0)-1,1,1)+OFFSET(POrigin,MATCH(Valori[[#This Row],[LUKB_id]],PID,0),MATCH("YLDEQ",PLabel,0)-1,1,1))/100</f>
        <v>0</v>
      </c>
      <c r="AI331" s="1600">
        <f ca="1">OFFSET(POrigin,MATCH(Valori[[#This Row],[LUKB_id]],PID,0),MATCH("DIVIDEND",PLabel,0)-1,1,1)</f>
        <v>1</v>
      </c>
      <c r="AJ331" s="1601">
        <f ca="1">OFFSET(POrigin,MATCH(Valori[[#This Row],[LUKB_id]],PID,0),MATCH("DIVIDEND:datetime",PLabel,0)-1,1,1)</f>
        <v>44306</v>
      </c>
      <c r="AK331" s="1602">
        <f ca="1">OFFSET(POrigin,MATCH(Valori[[#This Row],[LUKB_id]],PID,0),MATCH("INTEREST",PLabel,0)-1,1,1)</f>
        <v>0</v>
      </c>
      <c r="AL331" s="1603">
        <f ca="1">OFFSET(POrigin,MATCH(Valori[[#This Row],[LUKB_id]],PID,0),MATCH("4W_PERF_PR",PLabel,0)-1,1,1)/100</f>
        <v>0.28806583999999996</v>
      </c>
      <c r="AM331" s="1603">
        <f ca="1">OFFSET(POrigin,MATCH(Valori[[#This Row],[LUKB_id]],PID,0),MATCH("12W_PERF_PR",PLabel,0)-1,1,1)/100</f>
        <v>-0.15176152000000001</v>
      </c>
      <c r="AN331" s="1603">
        <f ca="1">OFFSET(POrigin,MATCH(Valori[[#This Row],[LUKB_id]],PID,0),MATCH("YTD_PERF_PR",PLabel,0)-1,1,1)/100</f>
        <v>0.279527559055119</v>
      </c>
      <c r="AO331" s="1591"/>
      <c r="AP331" s="1591"/>
      <c r="AQ331" s="1591"/>
      <c r="AR331" s="1591"/>
      <c r="AS331" s="1890"/>
      <c r="AT331" s="1890"/>
      <c r="AU331" s="610"/>
      <c r="AV331" s="1891"/>
      <c r="AW331" s="1604" t="str">
        <f ca="1">"https://boersenundmaerkte.lukb.ch/lukb/details/"&amp;Valori[[#This Row],[LUKB_id]]</f>
        <v>https://boersenundmaerkte.lukb.ch/lukb/details/870219,4,1</v>
      </c>
      <c r="AX33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1" s="142"/>
      <c r="AZ331" s="142"/>
      <c r="BA331" s="142"/>
      <c r="BB331" s="142"/>
    </row>
    <row r="332" spans="1:54" ht="15" customHeight="1" x14ac:dyDescent="0.2">
      <c r="A332" s="142" t="s">
        <v>1811</v>
      </c>
      <c r="B332" s="142" t="str" cm="1">
        <f t="array" aca="1" ref="B332" ca="1">OFFSET(POrigin,MATCH(Valori[[#This Row],[smo_id]],Posizioni[smo_id],0),MATCH("LUKB_id",PIntestazioni,0)-1,1,1)</f>
        <v>919477,321,333</v>
      </c>
      <c r="C332" s="1668" t="str">
        <f ca="1">HYPERLINK("https://boersenundmaerkte.lukb.ch/lukb/details/"&amp;Valori[[#This Row],[LUKB_id]],"è")</f>
        <v>è</v>
      </c>
      <c r="D332" s="142" t="str" cm="1">
        <f t="array" aca="1" ref="D332" ca="1">OFFSET(POrigin,MATCH(Valori[[#This Row],[LUKB_id]],PID,0),MATCH("SC_GROUPED",PIntestazioni,0)-1,1,1)</f>
        <v>EQU</v>
      </c>
      <c r="E332" s="413" t="str" cm="1">
        <f t="array" aca="1" ref="E332" ca="1">OFFSET(POrigin,MATCH(Valori[[#This Row],[LUKB_id]],PID,0),MATCH("isin",PIntestazioni,0)-1,1,1)</f>
        <v>US1941621039</v>
      </c>
      <c r="F332" s="34" t="str" cm="1">
        <f t="array" aca="1" ref="F332" ca="1">OFFSET(POrigin,MATCH(Valori[[#This Row],[LUKB_id]],PID,0),MATCH("NSIN_CH",PLabel,0)-1,1,1)</f>
        <v>919477</v>
      </c>
      <c r="G332" s="95" t="str" cm="1">
        <f t="array" aca="1" ref="G332" ca="1">IF(OFFSET(POrigin,MATCH(Valori[[#This Row],[LUKB_id]],PID,0),MATCH("INSTRUNIT",PLabel,0)-1,1,1)="Nominal","Pct","Unit")</f>
        <v>Unit</v>
      </c>
      <c r="H332" s="612">
        <f ca="1">MAX(OFFSET(POrigin,MATCH(Valori[[#This Row],[LUKB_id]],PID,0),MATCH("PRICINGAMT",PLabel,0)-1,1,1),1)</f>
        <v>1</v>
      </c>
      <c r="I332" s="615" t="str" cm="1">
        <f t="array" aca="1" ref="I332" ca="1">OFFSET(POrigin,MATCH(Valori[[#This Row],[LUKB_id]],PID,0),MATCH("M_NAME",PLabel,0)-1,1,1)</f>
        <v>Colgate-Palmoliv Rg</v>
      </c>
      <c r="J332" s="142" t="s">
        <v>454</v>
      </c>
      <c r="M332" s="142" t="str" cm="1">
        <f t="array" aca="1" ref="M3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Colgate-Palmolive Company</v>
      </c>
      <c r="N332" s="1563">
        <f ca="1">COUNTIF('CHF M'!smo_id,Valori[[#This Row],[smo_id]])+COUNTIF('CHF MA'!smo_id,Valori[[#This Row],[smo_id]])+COUNTIF('EUR MB'!smo_id,Valori[[#This Row],[smo_id]])+COUNTIF('EUR M'!smo_id,Valori[[#This Row],[smo_id]])+COUNTIF(AGCO!smo_id,Valori[[#This Row],[smo_id]])</f>
        <v>1</v>
      </c>
      <c r="O332" s="1590" cm="1">
        <f t="array" aca="1" ref="O332" ca="1">SUM(IF('CHF M'!smo_id=Valori[[#This Row],[smo_id]],'CHF M'!Posizione))+SUM(IF('CHF MA'!smo_id=Valori[[#This Row],[smo_id]],'CHF MA'!Posizione))+SUM(IF('EUR MB'!smo_id=Valori[[#This Row],[smo_id]],'EUR MB'!Posizione))+SUM(IF('EUR M'!smo_id=Valori[[#This Row],[smo_id]],'EUR M'!Posizione))+SUM(IF(AGCO!smo_id=Valori[[#This Row],[smo_id]],AGCO!Posizione))</f>
        <v>0</v>
      </c>
      <c r="P332" s="1661" t="str">
        <f ca="1">HYPERLINK(Valori[[#This Row],[P_Source]],"è")</f>
        <v>è</v>
      </c>
      <c r="Q332" s="1663" t="str">
        <f>HYPERLINK(Valori[[#This Row],[Info_W]],"i")</f>
        <v>i</v>
      </c>
      <c r="R332" s="1664" t="str">
        <f>HYPERLINK(Valori[[#This Row],[FN_W]],"")</f>
        <v></v>
      </c>
      <c r="S332" s="1665" t="str">
        <f>HYPERLINK(Valori[[#This Row],[MS_Link]],"")</f>
        <v></v>
      </c>
      <c r="T332" s="1665" t="str">
        <f>HYPERLINK(Valori[[#This Row],[C_source]],"")</f>
        <v></v>
      </c>
      <c r="U332" s="142" t="str" cm="1">
        <f t="array" aca="1" ref="U332" ca="1">OFFSET(POrigin,MATCH(Valori[[#This Row],[LUKB_id]],PID,0),MATCH("M_CUR",PLabel,0)-1,1,1)</f>
        <v>USD</v>
      </c>
      <c r="V332" s="1562">
        <f ca="1">(Valori[[#This Row],[Last]]+Valori[[#This Row],[Acc. Int]])/Valori[[#This Row],[Pr.Amt]]/IF(Valori[[#This Row],[P_Type]]="Pct",100,1)</f>
        <v>95.27</v>
      </c>
      <c r="W332" s="1591" cm="1">
        <f t="array" aca="1" ref="W332" ca="1">OFFSET(POrigin,MATCH(Valori[[#This Row],[LUKB_id]],PID,0),MATCH("NC2_PR",PLabel,0)-1,1,1)/100</f>
        <v>-2.0863309352518199E-2</v>
      </c>
      <c r="X332" s="1592" cm="1">
        <f t="array" aca="1" ref="X332" ca="1">OFFSET(POrigin,MATCH(Valori[[#This Row],[LUKB_id]],PID,0),MATCH("LVAL",PLabel,0)-1,1,1)</f>
        <v>95.27</v>
      </c>
      <c r="Y332" s="1593" cm="1">
        <f t="array" aca="1" ref="Y332" ca="1">OFFSET(POrigin,MATCH(Valori[[#This Row],[LUKB_id]],PID,0),MATCH("LVAL:datetime",PLabel,0)-1,1,1)</f>
        <v>46084.785891203705</v>
      </c>
      <c r="Z332" s="1594" cm="1">
        <f t="array" aca="1" ref="Z332" ca="1">OFFSET(POrigin,MATCH(Valori[[#This Row],[LUKB_id]],PID,0),MATCH("BID:volume",PLabel,0)-1,1,1)</f>
        <v>100</v>
      </c>
      <c r="AA332" s="1595" cm="1">
        <f t="array" aca="1" ref="AA332" ca="1">OFFSET(POrigin,MATCH(Valori[[#This Row],[LUKB_id]],PID,0),MATCH("BID",PLabel,0)-1,1,1)</f>
        <v>95.27</v>
      </c>
      <c r="AB332" s="1595" cm="1">
        <f t="array" aca="1" ref="AB332" ca="1">OFFSET(POrigin,MATCH(Valori[[#This Row],[LUKB_id]],PID,0),MATCH("ASK",PLabel,0)-1,1,1)</f>
        <v>95.300000000000011</v>
      </c>
      <c r="AC332" s="1594" cm="1">
        <f t="array" aca="1" ref="AC332" ca="1">OFFSET(POrigin,MATCH(Valori[[#This Row],[LUKB_id]],PID,0),MATCH("ASK:volume",PLabel,0)-1,1,1)</f>
        <v>200</v>
      </c>
      <c r="AD332" s="1596" cm="1">
        <f t="array" aca="1" ref="AD332" ca="1">OFFSET(POrigin,MATCH(Valori[[#This Row],[LUKB_id]],PID,0),MATCH("BID-ASK Spread %",PLabel,0)-1,1,1)</f>
        <v>2.0990764063822659E-4</v>
      </c>
      <c r="AE332" s="1597" t="str" cm="1">
        <f t="array" aca="1" ref="AE332" ca="1">IF(OFFSET(POrigin,MATCH(Valori[[#This Row],[LUKB_id]],PID,0),MATCH("MATURITY",PLabel,0)-1,1,1)&gt;0,OFFSET(POrigin,MATCH(Valori[[#This Row],[LUKB_id]],PID,0),MATCH("MATURITY",PLabel,0)-1,1,1),"")</f>
        <v/>
      </c>
      <c r="AF332" s="1598" cm="1">
        <f t="array" aca="1" ref="AF332" ca="1">OFFSET(POrigin,MATCH(Valori[[#This Row],[LUKB_id]],PID,0),MATCH("ACCINT",PLabel,0)-1,1,1)</f>
        <v>0</v>
      </c>
      <c r="AG332" s="1594" cm="1">
        <f t="array" aca="1" ref="AG332" ca="1">OFFSET(POrigin,MATCH(Valori[[#This Row],[LUKB_id]],PID,0),MATCH("DENOM",PLabel,0)-1,1,1)</f>
        <v>0</v>
      </c>
      <c r="AH332" s="1599" cm="1">
        <f t="array" aca="1" ref="AH332" ca="1">(OFFSET(POrigin,MATCH(Valori[[#This Row],[LUKB_id]],PID,0),MATCH("YIELD",PLabel,0)-1,1,1)+OFFSET(POrigin,MATCH(Valori[[#This Row],[LUKB_id]],PID,0),MATCH("YLDEQ",PLabel,0)-1,1,1))/100</f>
        <v>2.1832689999999998E-2</v>
      </c>
      <c r="AI332" s="1600">
        <f ca="1">OFFSET(POrigin,MATCH(Valori[[#This Row],[LUKB_id]],PID,0),MATCH("DIVIDEND",PLabel,0)-1,1,1)</f>
        <v>0.52</v>
      </c>
      <c r="AJ332" s="1601">
        <f ca="1">OFFSET(POrigin,MATCH(Valori[[#This Row],[LUKB_id]],PID,0),MATCH("DIVIDEND:datetime",PLabel,0)-1,1,1)</f>
        <v>46043</v>
      </c>
      <c r="AK332" s="1602">
        <f ca="1">OFFSET(POrigin,MATCH(Valori[[#This Row],[LUKB_id]],PID,0),MATCH("INTEREST",PLabel,0)-1,1,1)</f>
        <v>0</v>
      </c>
      <c r="AL332" s="1603">
        <f ca="1">OFFSET(POrigin,MATCH(Valori[[#This Row],[LUKB_id]],PID,0),MATCH("4W_PERF_PR",PLabel,0)-1,1,1)/100</f>
        <v>2.275899E-2</v>
      </c>
      <c r="AM332" s="1603">
        <f ca="1">OFFSET(POrigin,MATCH(Valori[[#This Row],[LUKB_id]],PID,0),MATCH("12W_PERF_PR",PLabel,0)-1,1,1)/100</f>
        <v>0.23759417999999999</v>
      </c>
      <c r="AN332" s="1603">
        <f ca="1">OFFSET(POrigin,MATCH(Valori[[#This Row],[LUKB_id]],PID,0),MATCH("YTD_PERF_PR",PLabel,0)-1,1,1)/100</f>
        <v>0.23133383953429601</v>
      </c>
      <c r="AO332" s="1591"/>
      <c r="AP332" s="1591"/>
      <c r="AQ332" s="1591"/>
      <c r="AR332" s="1591"/>
      <c r="AS332" s="1890" t="s">
        <v>1812</v>
      </c>
      <c r="AT332" s="1890" t="s">
        <v>1813</v>
      </c>
      <c r="AU332" s="610" t="s">
        <v>1814</v>
      </c>
      <c r="AV332" s="1891" t="str">
        <f>IF(Valori[[#This Row],[MS_Link]]&lt;&gt;"",Valori[[#This Row],[MS_Link]]&amp;"company/","")</f>
        <v>https://www.marketscreener.com/quote/stock/COLGATE-PALMOLIVE-COMPANY-12089/company/</v>
      </c>
      <c r="AW332" s="1604" t="str">
        <f ca="1">"https://boersenundmaerkte.lukb.ch/lukb/details/"&amp;Valori[[#This Row],[LUKB_id]]</f>
        <v>https://boersenundmaerkte.lukb.ch/lukb/details/919477,321,333</v>
      </c>
      <c r="AX332" s="1605" t="str">
        <f>"https://www.zonebourse.com/mods_a/charts/TV/inc_dyna_graph.php?c="&amp;Valori[[#This Row],[MS_Code]]&amp;"&amp;style=TradingView.CANDLES&amp;interval=(null)&amp;mobile=(null)&amp;showAT=1"</f>
        <v>https://www.zonebourse.com/mods_a/charts/TV/inc_dyna_graph.php?c=12089&amp;style=TradingView.CANDLES&amp;interval=(null)&amp;mobile=(null)&amp;showAT=1</v>
      </c>
      <c r="AY332" s="142"/>
      <c r="AZ332" s="142"/>
      <c r="BA332" s="142"/>
      <c r="BB332" s="142"/>
    </row>
    <row r="333" spans="1:54" ht="15" customHeight="1" x14ac:dyDescent="0.2">
      <c r="A333" s="142" t="s">
        <v>1815</v>
      </c>
      <c r="B333" s="142" t="str" cm="1">
        <f t="array" aca="1" ref="B333" ca="1">OFFSET(POrigin,MATCH(Valori[[#This Row],[smo_id]],Posizioni[smo_id],0),MATCH("LUKB_id",PIntestazioni,0)-1,1,1)</f>
        <v>36082699,4,1</v>
      </c>
      <c r="C333" s="1668" t="str">
        <f ca="1">HYPERLINK("https://boersenundmaerkte.lukb.ch/lukb/details/"&amp;Valori[[#This Row],[LUKB_id]],"è")</f>
        <v>è</v>
      </c>
      <c r="D333" s="142" t="str" cm="1">
        <f t="array" aca="1" ref="D333" ca="1">OFFSET(POrigin,MATCH(Valori[[#This Row],[LUKB_id]],PID,0),MATCH("SC_GROUPED",PIntestazioni,0)-1,1,1)</f>
        <v>EQU</v>
      </c>
      <c r="E333" s="413" t="str" cm="1">
        <f t="array" aca="1" ref="E333" ca="1">OFFSET(POrigin,MATCH(Valori[[#This Row],[LUKB_id]],PID,0),MATCH("isin",PIntestazioni,0)-1,1,1)</f>
        <v>CH0360826991</v>
      </c>
      <c r="F333" s="34" t="str" cm="1">
        <f t="array" aca="1" ref="F333" ca="1">OFFSET(POrigin,MATCH(Valori[[#This Row],[LUKB_id]],PID,0),MATCH("NSIN_CH",PLabel,0)-1,1,1)</f>
        <v>36082699</v>
      </c>
      <c r="G333" s="95" t="str" cm="1">
        <f t="array" aca="1" ref="G333" ca="1">IF(OFFSET(POrigin,MATCH(Valori[[#This Row],[LUKB_id]],PID,0),MATCH("INSTRUNIT",PLabel,0)-1,1,1)="Nominal","Pct","Unit")</f>
        <v>Unit</v>
      </c>
      <c r="H333" s="612">
        <f ca="1">MAX(OFFSET(POrigin,MATCH(Valori[[#This Row],[LUKB_id]],PID,0),MATCH("PRICINGAMT",PLabel,0)-1,1,1),1)</f>
        <v>1</v>
      </c>
      <c r="I333" s="615" t="str" cm="1">
        <f t="array" aca="1" ref="I333" ca="1">OFFSET(POrigin,MATCH(Valori[[#This Row],[LUKB_id]],PID,0),MATCH("M_NAME",PLabel,0)-1,1,1)</f>
        <v>Comet Hldg N</v>
      </c>
      <c r="M333" s="142" t="str" cm="1">
        <f t="array" aca="1" ref="M3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Comet Hldg N</v>
      </c>
      <c r="N333" s="1563">
        <f ca="1">COUNTIF('CHF M'!smo_id,Valori[[#This Row],[smo_id]])+COUNTIF('CHF MA'!smo_id,Valori[[#This Row],[smo_id]])+COUNTIF('EUR MB'!smo_id,Valori[[#This Row],[smo_id]])+COUNTIF('EUR M'!smo_id,Valori[[#This Row],[smo_id]])+COUNTIF(AGCO!smo_id,Valori[[#This Row],[smo_id]])</f>
        <v>0</v>
      </c>
      <c r="O333" s="1590" cm="1">
        <f t="array" aca="1" ref="O333" ca="1">SUM(IF('CHF M'!smo_id=Valori[[#This Row],[smo_id]],'CHF M'!Posizione))+SUM(IF('CHF MA'!smo_id=Valori[[#This Row],[smo_id]],'CHF MA'!Posizione))+SUM(IF('EUR MB'!smo_id=Valori[[#This Row],[smo_id]],'EUR MB'!Posizione))+SUM(IF('EUR M'!smo_id=Valori[[#This Row],[smo_id]],'EUR M'!Posizione))+SUM(IF(AGCO!smo_id=Valori[[#This Row],[smo_id]],AGCO!Posizione))</f>
        <v>0</v>
      </c>
      <c r="P333" s="1661" t="str">
        <f ca="1">HYPERLINK(Valori[[#This Row],[P_Source]],"è")</f>
        <v>è</v>
      </c>
      <c r="Q333" s="1663" t="str">
        <f>HYPERLINK(Valori[[#This Row],[Info_W]],"i")</f>
        <v>i</v>
      </c>
      <c r="R333" s="1664" t="str">
        <f>HYPERLINK(Valori[[#This Row],[FN_W]],"")</f>
        <v></v>
      </c>
      <c r="S333" s="1665" t="str">
        <f>HYPERLINK(Valori[[#This Row],[MS_Link]],"")</f>
        <v></v>
      </c>
      <c r="T333" s="1665" t="str">
        <f>HYPERLINK(Valori[[#This Row],[C_source]],"")</f>
        <v></v>
      </c>
      <c r="U333" s="142" t="str" cm="1">
        <f t="array" aca="1" ref="U333" ca="1">OFFSET(POrigin,MATCH(Valori[[#This Row],[LUKB_id]],PID,0),MATCH("M_CUR",PLabel,0)-1,1,1)</f>
        <v>CHF</v>
      </c>
      <c r="V333" s="1562">
        <f ca="1">(Valori[[#This Row],[Last]]+Valori[[#This Row],[Acc. Int]])/Valori[[#This Row],[Pr.Amt]]/IF(Valori[[#This Row],[P_Type]]="Pct",100,1)</f>
        <v>278.60000000000002</v>
      </c>
      <c r="W333" s="1591" cm="1">
        <f t="array" aca="1" ref="W333" ca="1">OFFSET(POrigin,MATCH(Valori[[#This Row],[LUKB_id]],PID,0),MATCH("NC2_PR",PLabel,0)-1,1,1)/100</f>
        <v>-4.7195622435020602E-2</v>
      </c>
      <c r="X333" s="1592" cm="1">
        <f t="array" aca="1" ref="X333" ca="1">OFFSET(POrigin,MATCH(Valori[[#This Row],[LUKB_id]],PID,0),MATCH("LVAL",PLabel,0)-1,1,1)</f>
        <v>278.60000000000002</v>
      </c>
      <c r="Y333" s="1593" cm="1">
        <f t="array" aca="1" ref="Y333" ca="1">OFFSET(POrigin,MATCH(Valori[[#This Row],[LUKB_id]],PID,0),MATCH("LVAL:datetime",PLabel,0)-1,1,1)</f>
        <v>46084.730196759258</v>
      </c>
      <c r="Z333" s="1594" cm="1">
        <f t="array" aca="1" ref="Z333" ca="1">OFFSET(POrigin,MATCH(Valori[[#This Row],[LUKB_id]],PID,0),MATCH("BID:volume",PLabel,0)-1,1,1)</f>
        <v>30</v>
      </c>
      <c r="AA333" s="1595" cm="1">
        <f t="array" aca="1" ref="AA333" ca="1">OFFSET(POrigin,MATCH(Valori[[#This Row],[LUKB_id]],PID,0),MATCH("BID",PLabel,0)-1,1,1)</f>
        <v>275</v>
      </c>
      <c r="AB333" s="1595" cm="1">
        <f t="array" aca="1" ref="AB333" ca="1">OFFSET(POrigin,MATCH(Valori[[#This Row],[LUKB_id]],PID,0),MATCH("ASK",PLabel,0)-1,1,1)</f>
        <v>295</v>
      </c>
      <c r="AC333" s="1594" cm="1">
        <f t="array" aca="1" ref="AC333" ca="1">OFFSET(POrigin,MATCH(Valori[[#This Row],[LUKB_id]],PID,0),MATCH("ASK:volume",PLabel,0)-1,1,1)</f>
        <v>168</v>
      </c>
      <c r="AD333" s="1596" cm="1">
        <f t="array" aca="1" ref="AD333" ca="1">OFFSET(POrigin,MATCH(Valori[[#This Row],[LUKB_id]],PID,0),MATCH("BID-ASK Spread %",PLabel,0)-1,1,1)</f>
        <v>4.7337278106508875E-2</v>
      </c>
      <c r="AE333" s="1597" t="str" cm="1">
        <f t="array" aca="1" ref="AE333" ca="1">IF(OFFSET(POrigin,MATCH(Valori[[#This Row],[LUKB_id]],PID,0),MATCH("MATURITY",PLabel,0)-1,1,1)&gt;0,OFFSET(POrigin,MATCH(Valori[[#This Row],[LUKB_id]],PID,0),MATCH("MATURITY",PLabel,0)-1,1,1),"")</f>
        <v/>
      </c>
      <c r="AF333" s="1598" cm="1">
        <f t="array" aca="1" ref="AF333" ca="1">OFFSET(POrigin,MATCH(Valori[[#This Row],[LUKB_id]],PID,0),MATCH("ACCINT",PLabel,0)-1,1,1)</f>
        <v>0</v>
      </c>
      <c r="AG333" s="1594" cm="1">
        <f t="array" aca="1" ref="AG333" ca="1">OFFSET(POrigin,MATCH(Valori[[#This Row],[LUKB_id]],PID,0),MATCH("DENOM",PLabel,0)-1,1,1)</f>
        <v>0</v>
      </c>
      <c r="AH333" s="1599" cm="1">
        <f t="array" aca="1" ref="AH333" ca="1">(OFFSET(POrigin,MATCH(Valori[[#This Row],[LUKB_id]],PID,0),MATCH("YIELD",PLabel,0)-1,1,1)+OFFSET(POrigin,MATCH(Valori[[#This Row],[LUKB_id]],PID,0),MATCH("YLDEQ",PLabel,0)-1,1,1))/100</f>
        <v>5.3840599999999995E-3</v>
      </c>
      <c r="AI333" s="1600">
        <f ca="1">OFFSET(POrigin,MATCH(Valori[[#This Row],[LUKB_id]],PID,0),MATCH("DIVIDEND",PLabel,0)-1,1,1)</f>
        <v>1.5</v>
      </c>
      <c r="AJ333" s="1601">
        <f ca="1">OFFSET(POrigin,MATCH(Valori[[#This Row],[LUKB_id]],PID,0),MATCH("DIVIDEND:datetime",PLabel,0)-1,1,1)</f>
        <v>45761</v>
      </c>
      <c r="AK333" s="1602">
        <f ca="1">OFFSET(POrigin,MATCH(Valori[[#This Row],[LUKB_id]],PID,0),MATCH("INTEREST",PLabel,0)-1,1,1)</f>
        <v>0</v>
      </c>
      <c r="AL333" s="1603">
        <f ca="1">OFFSET(POrigin,MATCH(Valori[[#This Row],[LUKB_id]],PID,0),MATCH("4W_PERF_PR",PLabel,0)-1,1,1)/100</f>
        <v>-4.6543459999999995E-2</v>
      </c>
      <c r="AM333" s="1603">
        <f ca="1">OFFSET(POrigin,MATCH(Valori[[#This Row],[LUKB_id]],PID,0),MATCH("12W_PERF_PR",PLabel,0)-1,1,1)/100</f>
        <v>0.27915519</v>
      </c>
      <c r="AN333" s="1603">
        <f ca="1">OFFSET(POrigin,MATCH(Valori[[#This Row],[LUKB_id]],PID,0),MATCH("YTD_PERF_PR",PLabel,0)-1,1,1)/100</f>
        <v>0.29955555555555602</v>
      </c>
      <c r="AO333" s="1591"/>
      <c r="AP333" s="1591"/>
      <c r="AQ333" s="1591"/>
      <c r="AR333" s="1591"/>
      <c r="AS333" s="1890"/>
      <c r="AT333" s="1890"/>
      <c r="AU333" s="610"/>
      <c r="AV333" s="1891"/>
      <c r="AW333" s="1604" t="str">
        <f ca="1">"https://boersenundmaerkte.lukb.ch/lukb/details/"&amp;Valori[[#This Row],[LUKB_id]]</f>
        <v>https://boersenundmaerkte.lukb.ch/lukb/details/36082699,4,1</v>
      </c>
      <c r="AX33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3" s="142"/>
      <c r="AZ333" s="142"/>
      <c r="BA333" s="142"/>
      <c r="BB333" s="142"/>
    </row>
    <row r="334" spans="1:54" ht="15" customHeight="1" x14ac:dyDescent="0.2">
      <c r="A334" s="142" t="s">
        <v>1816</v>
      </c>
      <c r="B334" s="142" t="str" cm="1">
        <f t="array" aca="1" ref="B334" ca="1">OFFSET(POrigin,MATCH(Valori[[#This Row],[smo_id]],Posizioni[smo_id],0),MATCH("LUKB_id",PIntestazioni,0)-1,1,1)</f>
        <v>327800,44,814</v>
      </c>
      <c r="C334" s="1668" t="str">
        <f ca="1">HYPERLINK("https://boersenundmaerkte.lukb.ch/lukb/details/"&amp;Valori[[#This Row],[LUKB_id]],"è")</f>
        <v>è</v>
      </c>
      <c r="D334" s="142" t="str" cm="1">
        <f t="array" aca="1" ref="D334" ca="1">OFFSET(POrigin,MATCH(Valori[[#This Row],[LUKB_id]],PID,0),MATCH("SC_GROUPED",PIntestazioni,0)-1,1,1)</f>
        <v>EQU</v>
      </c>
      <c r="E334" s="413" t="str" cm="1">
        <f t="array" aca="1" ref="E334" ca="1">OFFSET(POrigin,MATCH(Valori[[#This Row],[LUKB_id]],PID,0),MATCH("isin",PIntestazioni,0)-1,1,1)</f>
        <v>DE0005439004</v>
      </c>
      <c r="F334" s="34" t="str" cm="1">
        <f t="array" aca="1" ref="F334" ca="1">OFFSET(POrigin,MATCH(Valori[[#This Row],[LUKB_id]],PID,0),MATCH("NSIN_CH",PLabel,0)-1,1,1)</f>
        <v>327800</v>
      </c>
      <c r="G334" s="95" t="str" cm="1">
        <f t="array" aca="1" ref="G334" ca="1">IF(OFFSET(POrigin,MATCH(Valori[[#This Row],[LUKB_id]],PID,0),MATCH("INSTRUNIT",PLabel,0)-1,1,1)="Nominal","Pct","Unit")</f>
        <v>Unit</v>
      </c>
      <c r="H334" s="612">
        <f ca="1">MAX(OFFSET(POrigin,MATCH(Valori[[#This Row],[LUKB_id]],PID,0),MATCH("PRICINGAMT",PLabel,0)-1,1,1),1)</f>
        <v>1</v>
      </c>
      <c r="I334" s="615" t="str" cm="1">
        <f t="array" aca="1" ref="I334" ca="1">OFFSET(POrigin,MATCH(Valori[[#This Row],[LUKB_id]],PID,0),MATCH("M_NAME",PLabel,0)-1,1,1)</f>
        <v>Continental I</v>
      </c>
      <c r="M334" s="142" t="str" cm="1">
        <f t="array" aca="1" ref="M3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Continental I</v>
      </c>
      <c r="N334" s="1563">
        <f ca="1">COUNTIF('CHF M'!smo_id,Valori[[#This Row],[smo_id]])+COUNTIF('CHF MA'!smo_id,Valori[[#This Row],[smo_id]])+COUNTIF('EUR MB'!smo_id,Valori[[#This Row],[smo_id]])+COUNTIF('EUR M'!smo_id,Valori[[#This Row],[smo_id]])+COUNTIF(AGCO!smo_id,Valori[[#This Row],[smo_id]])</f>
        <v>0</v>
      </c>
      <c r="O334" s="1590" cm="1">
        <f t="array" aca="1" ref="O334" ca="1">SUM(IF('CHF M'!smo_id=Valori[[#This Row],[smo_id]],'CHF M'!Posizione))+SUM(IF('CHF MA'!smo_id=Valori[[#This Row],[smo_id]],'CHF MA'!Posizione))+SUM(IF('EUR MB'!smo_id=Valori[[#This Row],[smo_id]],'EUR MB'!Posizione))+SUM(IF('EUR M'!smo_id=Valori[[#This Row],[smo_id]],'EUR M'!Posizione))+SUM(IF(AGCO!smo_id=Valori[[#This Row],[smo_id]],AGCO!Posizione))</f>
        <v>0</v>
      </c>
      <c r="P334" s="1661" t="str">
        <f ca="1">HYPERLINK(Valori[[#This Row],[P_Source]],"è")</f>
        <v>è</v>
      </c>
      <c r="Q334" s="1663" t="str">
        <f>HYPERLINK(Valori[[#This Row],[Info_W]],"i")</f>
        <v>i</v>
      </c>
      <c r="R334" s="1664" t="str">
        <f>HYPERLINK(Valori[[#This Row],[FN_W]],"")</f>
        <v></v>
      </c>
      <c r="S334" s="1665" t="str">
        <f>HYPERLINK(Valori[[#This Row],[MS_Link]],"")</f>
        <v></v>
      </c>
      <c r="T334" s="1665" t="str">
        <f>HYPERLINK(Valori[[#This Row],[C_source]],"")</f>
        <v></v>
      </c>
      <c r="U334" s="142" t="str" cm="1">
        <f t="array" aca="1" ref="U334" ca="1">OFFSET(POrigin,MATCH(Valori[[#This Row],[LUKB_id]],PID,0),MATCH("M_CUR",PLabel,0)-1,1,1)</f>
        <v>EUR</v>
      </c>
      <c r="V334" s="1562">
        <f ca="1">(Valori[[#This Row],[Last]]+Valori[[#This Row],[Acc. Int]])/Valori[[#This Row],[Pr.Amt]]/IF(Valori[[#This Row],[P_Type]]="Pct",100,1)</f>
        <v>70.600000000000009</v>
      </c>
      <c r="W334" s="1591" cm="1">
        <f t="array" aca="1" ref="W334" ca="1">OFFSET(POrigin,MATCH(Valori[[#This Row],[LUKB_id]],PID,0),MATCH("NC2_PR",PLabel,0)-1,1,1)/100</f>
        <v>-3.4463894967177201E-2</v>
      </c>
      <c r="X334" s="1592" cm="1">
        <f t="array" aca="1" ref="X334" ca="1">OFFSET(POrigin,MATCH(Valori[[#This Row],[LUKB_id]],PID,0),MATCH("LVAL",PLabel,0)-1,1,1)</f>
        <v>70.600000000000009</v>
      </c>
      <c r="Y334" s="1593" cm="1">
        <f t="array" aca="1" ref="Y334" ca="1">OFFSET(POrigin,MATCH(Valori[[#This Row],[LUKB_id]],PID,0),MATCH("LVAL:datetime",PLabel,0)-1,1,1)</f>
        <v>46083.732847222222</v>
      </c>
      <c r="Z334" s="1594" cm="1">
        <f t="array" aca="1" ref="Z334" ca="1">OFFSET(POrigin,MATCH(Valori[[#This Row],[LUKB_id]],PID,0),MATCH("BID:volume",PLabel,0)-1,1,1)</f>
        <v>0</v>
      </c>
      <c r="AA334" s="1595" cm="1">
        <f t="array" aca="1" ref="AA334" ca="1">OFFSET(POrigin,MATCH(Valori[[#This Row],[LUKB_id]],PID,0),MATCH("BID",PLabel,0)-1,1,1)</f>
        <v>0</v>
      </c>
      <c r="AB334" s="1595" cm="1">
        <f t="array" aca="1" ref="AB334" ca="1">OFFSET(POrigin,MATCH(Valori[[#This Row],[LUKB_id]],PID,0),MATCH("ASK",PLabel,0)-1,1,1)</f>
        <v>0</v>
      </c>
      <c r="AC334" s="1594" cm="1">
        <f t="array" aca="1" ref="AC334" ca="1">OFFSET(POrigin,MATCH(Valori[[#This Row],[LUKB_id]],PID,0),MATCH("ASK:volume",PLabel,0)-1,1,1)</f>
        <v>0</v>
      </c>
      <c r="AD334" s="1596" cm="1">
        <f t="array" aca="1" ref="AD334" ca="1">OFFSET(POrigin,MATCH(Valori[[#This Row],[LUKB_id]],PID,0),MATCH("BID-ASK Spread %",PLabel,0)-1,1,1)</f>
        <v>0</v>
      </c>
      <c r="AE334" s="1597" t="str" cm="1">
        <f t="array" aca="1" ref="AE334" ca="1">IF(OFFSET(POrigin,MATCH(Valori[[#This Row],[LUKB_id]],PID,0),MATCH("MATURITY",PLabel,0)-1,1,1)&gt;0,OFFSET(POrigin,MATCH(Valori[[#This Row],[LUKB_id]],PID,0),MATCH("MATURITY",PLabel,0)-1,1,1),"")</f>
        <v/>
      </c>
      <c r="AF334" s="1598" cm="1">
        <f t="array" aca="1" ref="AF334" ca="1">OFFSET(POrigin,MATCH(Valori[[#This Row],[LUKB_id]],PID,0),MATCH("ACCINT",PLabel,0)-1,1,1)</f>
        <v>0</v>
      </c>
      <c r="AG334" s="1594" cm="1">
        <f t="array" aca="1" ref="AG334" ca="1">OFFSET(POrigin,MATCH(Valori[[#This Row],[LUKB_id]],PID,0),MATCH("DENOM",PLabel,0)-1,1,1)</f>
        <v>0</v>
      </c>
      <c r="AH334" s="1599" cm="1">
        <f t="array" aca="1" ref="AH334" ca="1">(OFFSET(POrigin,MATCH(Valori[[#This Row],[LUKB_id]],PID,0),MATCH("YIELD",PLabel,0)-1,1,1)+OFFSET(POrigin,MATCH(Valori[[#This Row],[LUKB_id]],PID,0),MATCH("YLDEQ",PLabel,0)-1,1,1))/100</f>
        <v>0</v>
      </c>
      <c r="AI334" s="1600">
        <f ca="1">OFFSET(POrigin,MATCH(Valori[[#This Row],[LUKB_id]],PID,0),MATCH("DIVIDEND",PLabel,0)-1,1,1)</f>
        <v>2.5</v>
      </c>
      <c r="AJ334" s="1601">
        <f ca="1">OFFSET(POrigin,MATCH(Valori[[#This Row],[LUKB_id]],PID,0),MATCH("DIVIDEND:datetime",PLabel,0)-1,1,1)</f>
        <v>45775</v>
      </c>
      <c r="AK334" s="1602">
        <f ca="1">OFFSET(POrigin,MATCH(Valori[[#This Row],[LUKB_id]],PID,0),MATCH("INTEREST",PLabel,0)-1,1,1)</f>
        <v>0</v>
      </c>
      <c r="AL334" s="1603">
        <f ca="1">OFFSET(POrigin,MATCH(Valori[[#This Row],[LUKB_id]],PID,0),MATCH("4W_PERF_PR",PLabel,0)-1,1,1)/100</f>
        <v>4.0070713022982006E-2</v>
      </c>
      <c r="AM334" s="1603">
        <f ca="1">OFFSET(POrigin,MATCH(Valori[[#This Row],[LUKB_id]],PID,0),MATCH("12W_PERF_PR",PLabel,0)-1,1,1)/100</f>
        <v>9.254100897554951E-2</v>
      </c>
      <c r="AN334" s="1603">
        <f ca="1">OFFSET(POrigin,MATCH(Valori[[#This Row],[LUKB_id]],PID,0),MATCH("YTD_PERF_PR",PLabel,0)-1,1,1)/100</f>
        <v>3.8846380223660999E-2</v>
      </c>
      <c r="AO334" s="1591"/>
      <c r="AP334" s="1591"/>
      <c r="AQ334" s="1591"/>
      <c r="AR334" s="1591"/>
      <c r="AS334" s="1890"/>
      <c r="AT334" s="1890"/>
      <c r="AU334" s="610"/>
      <c r="AV334" s="1891"/>
      <c r="AW334" s="1604" t="str">
        <f ca="1">"https://boersenundmaerkte.lukb.ch/lukb/details/"&amp;Valori[[#This Row],[LUKB_id]]</f>
        <v>https://boersenundmaerkte.lukb.ch/lukb/details/327800,44,814</v>
      </c>
      <c r="AX33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4" s="142"/>
      <c r="AZ334" s="142"/>
      <c r="BA334" s="142"/>
      <c r="BB334" s="142"/>
    </row>
    <row r="335" spans="1:54" ht="15" customHeight="1" x14ac:dyDescent="0.2">
      <c r="A335" s="142" t="s">
        <v>1817</v>
      </c>
      <c r="B335" s="142" t="s">
        <v>1818</v>
      </c>
      <c r="C335" s="1668" t="str">
        <f>HYPERLINK("https://boersenundmaerkte.lukb.ch/lukb/details/"&amp;Valori[[#This Row],[LUKB_id]],"è")</f>
        <v>è</v>
      </c>
      <c r="D335" s="142" t="str" cm="1">
        <f t="array" aca="1" ref="D335" ca="1">OFFSET(POrigin,MATCH(Valori[[#This Row],[LUKB_id]],PID,0),MATCH("SC_GROUPED",PIntestazioni,0)-1,1,1)</f>
        <v>EQU</v>
      </c>
      <c r="E335" s="413" t="str" cm="1">
        <f t="array" aca="1" ref="E335" ca="1">OFFSET(POrigin,MATCH(Valori[[#This Row],[LUKB_id]],PID,0),MATCH("isin",PIntestazioni,0)-1,1,1)</f>
        <v>FR0014004L86</v>
      </c>
      <c r="F335" s="34" t="str" cm="1">
        <f t="array" aca="1" ref="F335" ca="1">OFFSET(POrigin,MATCH(Valori[[#This Row],[LUKB_id]],PID,0),MATCH("NSIN_CH",PLabel,0)-1,1,1)</f>
        <v>112611164</v>
      </c>
      <c r="G335" s="95" t="str" cm="1">
        <f t="array" aca="1" ref="G335" ca="1">IF(OFFSET(POrigin,MATCH(Valori[[#This Row],[LUKB_id]],PID,0),MATCH("INSTRUNIT",PLabel,0)-1,1,1)="Nominal","Pct","Unit")</f>
        <v>Unit</v>
      </c>
      <c r="H335" s="612">
        <f ca="1">MAX(OFFSET(POrigin,MATCH(Valori[[#This Row],[LUKB_id]],PID,0),MATCH("PRICINGAMT",PLabel,0)-1,1,1),1)</f>
        <v>1</v>
      </c>
      <c r="I335" s="615" t="str" cm="1">
        <f t="array" aca="1" ref="I335" ca="1">OFFSET(POrigin,MATCH(Valori[[#This Row],[LUKB_id]],PID,0),MATCH("M_NAME",PLabel,0)-1,1,1)</f>
        <v>Dassault Avia</v>
      </c>
      <c r="J335" s="142" t="s">
        <v>405</v>
      </c>
      <c r="M335" s="142" t="str" cm="1">
        <f t="array" aca="1" ref="M3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Dassault Aviation</v>
      </c>
      <c r="N335" s="1563">
        <f ca="1">COUNTIF('CHF M'!smo_id,Valori[[#This Row],[smo_id]])+COUNTIF('CHF MA'!smo_id,Valori[[#This Row],[smo_id]])+COUNTIF('EUR MB'!smo_id,Valori[[#This Row],[smo_id]])+COUNTIF('EUR M'!smo_id,Valori[[#This Row],[smo_id]])+COUNTIF(AGCO!smo_id,Valori[[#This Row],[smo_id]])</f>
        <v>0</v>
      </c>
      <c r="O335" s="1590" cm="1">
        <f t="array" aca="1" ref="O335" ca="1">SUM(IF('CHF M'!smo_id=Valori[[#This Row],[smo_id]],'CHF M'!Posizione))+SUM(IF('CHF MA'!smo_id=Valori[[#This Row],[smo_id]],'CHF MA'!Posizione))+SUM(IF('EUR MB'!smo_id=Valori[[#This Row],[smo_id]],'EUR MB'!Posizione))+SUM(IF('EUR M'!smo_id=Valori[[#This Row],[smo_id]],'EUR M'!Posizione))+SUM(IF(AGCO!smo_id=Valori[[#This Row],[smo_id]],AGCO!Posizione))</f>
        <v>0</v>
      </c>
      <c r="P335" s="1661" t="str">
        <f>HYPERLINK(Valori[[#This Row],[P_Source]],"è")</f>
        <v>è</v>
      </c>
      <c r="Q335" s="1663" t="str">
        <f>HYPERLINK(Valori[[#This Row],[Info_W]],"i")</f>
        <v>i</v>
      </c>
      <c r="R335" s="1664" t="str">
        <f>HYPERLINK(Valori[[#This Row],[FN_W]],"")</f>
        <v></v>
      </c>
      <c r="S335" s="1665" t="str">
        <f>HYPERLINK(Valori[[#This Row],[MS_Link]],"")</f>
        <v></v>
      </c>
      <c r="T335" s="1665" t="str">
        <f>HYPERLINK(Valori[[#This Row],[C_source]],"")</f>
        <v></v>
      </c>
      <c r="U335" s="142" t="str" cm="1">
        <f t="array" aca="1" ref="U335" ca="1">OFFSET(POrigin,MATCH(Valori[[#This Row],[LUKB_id]],PID,0),MATCH("M_CUR",PLabel,0)-1,1,1)</f>
        <v>EUR</v>
      </c>
      <c r="V335" s="1562">
        <f ca="1">(Valori[[#This Row],[Last]]+Valori[[#This Row],[Acc. Int]])/Valori[[#This Row],[Pr.Amt]]/IF(Valori[[#This Row],[P_Type]]="Pct",100,1)</f>
        <v>330.20000000000005</v>
      </c>
      <c r="W335" s="1591" cm="1">
        <f t="array" aca="1" ref="W335" ca="1">OFFSET(POrigin,MATCH(Valori[[#This Row],[LUKB_id]],PID,0),MATCH("NC2_PR",PLabel,0)-1,1,1)/100</f>
        <v>-2.68199233716475E-2</v>
      </c>
      <c r="X335" s="1592" cm="1">
        <f t="array" aca="1" ref="X335" ca="1">OFFSET(POrigin,MATCH(Valori[[#This Row],[LUKB_id]],PID,0),MATCH("LVAL",PLabel,0)-1,1,1)</f>
        <v>330.20000000000005</v>
      </c>
      <c r="Y335" s="1593" cm="1">
        <f t="array" aca="1" ref="Y335" ca="1">OFFSET(POrigin,MATCH(Valori[[#This Row],[LUKB_id]],PID,0),MATCH("LVAL:datetime",PLabel,0)-1,1,1)</f>
        <v>46084.729166666664</v>
      </c>
      <c r="Z335" s="1594" cm="1">
        <f t="array" aca="1" ref="Z335" ca="1">OFFSET(POrigin,MATCH(Valori[[#This Row],[LUKB_id]],PID,0),MATCH("BID:volume",PLabel,0)-1,1,1)</f>
        <v>23</v>
      </c>
      <c r="AA335" s="1595" cm="1">
        <f t="array" aca="1" ref="AA335" ca="1">OFFSET(POrigin,MATCH(Valori[[#This Row],[LUKB_id]],PID,0),MATCH("BID",PLabel,0)-1,1,1)</f>
        <v>331</v>
      </c>
      <c r="AB335" s="1595" cm="1">
        <f t="array" aca="1" ref="AB335" ca="1">OFFSET(POrigin,MATCH(Valori[[#This Row],[LUKB_id]],PID,0),MATCH("ASK",PLabel,0)-1,1,1)</f>
        <v>331</v>
      </c>
      <c r="AC335" s="1594" cm="1">
        <f t="array" aca="1" ref="AC335" ca="1">OFFSET(POrigin,MATCH(Valori[[#This Row],[LUKB_id]],PID,0),MATCH("ASK:volume",PLabel,0)-1,1,1)</f>
        <v>23</v>
      </c>
      <c r="AD335" s="1596" cm="1">
        <f t="array" aca="1" ref="AD335" ca="1">OFFSET(POrigin,MATCH(Valori[[#This Row],[LUKB_id]],PID,0),MATCH("BID-ASK Spread %",PLabel,0)-1,1,1)</f>
        <v>0</v>
      </c>
      <c r="AE335" s="1597" t="str" cm="1">
        <f t="array" aca="1" ref="AE335" ca="1">IF(OFFSET(POrigin,MATCH(Valori[[#This Row],[LUKB_id]],PID,0),MATCH("MATURITY",PLabel,0)-1,1,1)&gt;0,OFFSET(POrigin,MATCH(Valori[[#This Row],[LUKB_id]],PID,0),MATCH("MATURITY",PLabel,0)-1,1,1),"")</f>
        <v/>
      </c>
      <c r="AF335" s="1598" cm="1">
        <f t="array" aca="1" ref="AF335" ca="1">OFFSET(POrigin,MATCH(Valori[[#This Row],[LUKB_id]],PID,0),MATCH("ACCINT",PLabel,0)-1,1,1)</f>
        <v>0</v>
      </c>
      <c r="AG335" s="1594" cm="1">
        <f t="array" aca="1" ref="AG335" ca="1">OFFSET(POrigin,MATCH(Valori[[#This Row],[LUKB_id]],PID,0),MATCH("DENOM",PLabel,0)-1,1,1)</f>
        <v>0</v>
      </c>
      <c r="AH335" s="1599" cm="1">
        <f t="array" aca="1" ref="AH335" ca="1">(OFFSET(POrigin,MATCH(Valori[[#This Row],[LUKB_id]],PID,0),MATCH("YIELD",PLabel,0)-1,1,1)+OFFSET(POrigin,MATCH(Valori[[#This Row],[LUKB_id]],PID,0),MATCH("YLDEQ",PLabel,0)-1,1,1))/100</f>
        <v>1.4294367050272559E-2</v>
      </c>
      <c r="AI335" s="1600">
        <f ca="1">OFFSET(POrigin,MATCH(Valori[[#This Row],[LUKB_id]],PID,0),MATCH("DIVIDEND",PLabel,0)-1,1,1)</f>
        <v>4.72</v>
      </c>
      <c r="AJ335" s="1601">
        <f ca="1">OFFSET(POrigin,MATCH(Valori[[#This Row],[LUKB_id]],PID,0),MATCH("DIVIDEND:datetime",PLabel,0)-1,1,1)</f>
        <v>45797</v>
      </c>
      <c r="AK335" s="1602">
        <f ca="1">OFFSET(POrigin,MATCH(Valori[[#This Row],[LUKB_id]],PID,0),MATCH("INTEREST",PLabel,0)-1,1,1)</f>
        <v>0</v>
      </c>
      <c r="AL335" s="1603">
        <f ca="1">OFFSET(POrigin,MATCH(Valori[[#This Row],[LUKB_id]],PID,0),MATCH("4W_PERF_PR",PLabel,0)-1,1,1)/100</f>
        <v>4.2627091885064722E-2</v>
      </c>
      <c r="AM335" s="1603">
        <f ca="1">OFFSET(POrigin,MATCH(Valori[[#This Row],[LUKB_id]],PID,0),MATCH("12W_PERF_PR",PLabel,0)-1,1,1)/100</f>
        <v>0.18606321839080461</v>
      </c>
      <c r="AN335" s="1603">
        <f ca="1">OFFSET(POrigin,MATCH(Valori[[#This Row],[LUKB_id]],PID,0),MATCH("YTD_PERF_PR",PLabel,0)-1,1,1)/100</f>
        <v>0.241492864983535</v>
      </c>
      <c r="AO335" s="1591"/>
      <c r="AP335" s="1591"/>
      <c r="AQ335" s="1591"/>
      <c r="AR335" s="1591"/>
      <c r="AS335" s="1890"/>
      <c r="AT335" s="1890"/>
      <c r="AU335" s="610"/>
      <c r="AV335" s="1891"/>
      <c r="AW335" s="1604" t="str">
        <f>"https://boersenundmaerkte.lukb.ch/lukb/details/"&amp;Valori[[#This Row],[LUKB_id]]</f>
        <v>https://boersenundmaerkte.lukb.ch/lukb/details/112611164,1573,814</v>
      </c>
      <c r="AX335"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5" s="142"/>
      <c r="AZ335" s="142"/>
      <c r="BA335" s="142"/>
      <c r="BB335" s="142"/>
    </row>
    <row r="336" spans="1:54" ht="15" customHeight="1" x14ac:dyDescent="0.2">
      <c r="A336" s="142" t="s">
        <v>1819</v>
      </c>
      <c r="B336" s="142" t="str" cm="1">
        <f t="array" aca="1" ref="B336" ca="1">OFFSET(POrigin,MATCH(Valori[[#This Row],[smo_id]],Posizioni[smo_id],0),MATCH("LUKB_id",PIntestazioni,0)-1,1,1)</f>
        <v>2226822,4,1</v>
      </c>
      <c r="C336" s="1668" t="str">
        <f ca="1">HYPERLINK("https://boersenundmaerkte.lukb.ch/lukb/details/"&amp;Valori[[#This Row],[LUKB_id]],"è")</f>
        <v>è</v>
      </c>
      <c r="D336" s="142" t="str" cm="1">
        <f t="array" aca="1" ref="D336" ca="1">OFFSET(POrigin,MATCH(Valori[[#This Row],[LUKB_id]],PID,0),MATCH("SC_GROUPED",PIntestazioni,0)-1,1,1)</f>
        <v>EQU</v>
      </c>
      <c r="E336" s="413" t="str" cm="1">
        <f t="array" aca="1" ref="E336" ca="1">OFFSET(POrigin,MATCH(Valori[[#This Row],[LUKB_id]],PID,0),MATCH("isin",PIntestazioni,0)-1,1,1)</f>
        <v>CH0022268228</v>
      </c>
      <c r="F336" s="34" t="str" cm="1">
        <f t="array" aca="1" ref="F336" ca="1">OFFSET(POrigin,MATCH(Valori[[#This Row],[LUKB_id]],PID,0),MATCH("NSIN_CH",PLabel,0)-1,1,1)</f>
        <v>2226822</v>
      </c>
      <c r="G336" s="95" t="str" cm="1">
        <f t="array" aca="1" ref="G336" ca="1">IF(OFFSET(POrigin,MATCH(Valori[[#This Row],[LUKB_id]],PID,0),MATCH("INSTRUNIT",PLabel,0)-1,1,1)="Nominal","Pct","Unit")</f>
        <v>Unit</v>
      </c>
      <c r="H336" s="612">
        <f ca="1">MAX(OFFSET(POrigin,MATCH(Valori[[#This Row],[LUKB_id]],PID,0),MATCH("PRICINGAMT",PLabel,0)-1,1,1),1)</f>
        <v>1</v>
      </c>
      <c r="I336" s="615" t="str" cm="1">
        <f t="array" aca="1" ref="I336" ca="1">OFFSET(POrigin,MATCH(Valori[[#This Row],[LUKB_id]],PID,0),MATCH("M_NAME",PLabel,0)-1,1,1)</f>
        <v>EFG Intl N</v>
      </c>
      <c r="L336" s="612">
        <v>4</v>
      </c>
      <c r="M336" s="142" t="str" cm="1">
        <f t="array" aca="1" ref="M3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EFG Intl N</v>
      </c>
      <c r="N336" s="1563">
        <f ca="1">COUNTIF('CHF M'!smo_id,Valori[[#This Row],[smo_id]])+COUNTIF('CHF MA'!smo_id,Valori[[#This Row],[smo_id]])+COUNTIF('EUR MB'!smo_id,Valori[[#This Row],[smo_id]])+COUNTIF('EUR M'!smo_id,Valori[[#This Row],[smo_id]])+COUNTIF(AGCO!smo_id,Valori[[#This Row],[smo_id]])</f>
        <v>0</v>
      </c>
      <c r="O336" s="1590" cm="1">
        <f t="array" aca="1" ref="O336" ca="1">SUM(IF('CHF M'!smo_id=Valori[[#This Row],[smo_id]],'CHF M'!Posizione))+SUM(IF('CHF MA'!smo_id=Valori[[#This Row],[smo_id]],'CHF MA'!Posizione))+SUM(IF('EUR MB'!smo_id=Valori[[#This Row],[smo_id]],'EUR MB'!Posizione))+SUM(IF('EUR M'!smo_id=Valori[[#This Row],[smo_id]],'EUR M'!Posizione))+SUM(IF(AGCO!smo_id=Valori[[#This Row],[smo_id]],AGCO!Posizione))</f>
        <v>0</v>
      </c>
      <c r="P336" s="1661" t="str">
        <f ca="1">HYPERLINK(Valori[[#This Row],[P_Source]],"è")</f>
        <v>è</v>
      </c>
      <c r="Q336" s="1663" t="str">
        <f>HYPERLINK(Valori[[#This Row],[Info_W]],"i")</f>
        <v>i</v>
      </c>
      <c r="R336" s="1664" t="str">
        <f>HYPERLINK(Valori[[#This Row],[FN_W]],"")</f>
        <v></v>
      </c>
      <c r="S336" s="1665" t="str">
        <f>HYPERLINK(Valori[[#This Row],[MS_Link]],"")</f>
        <v></v>
      </c>
      <c r="T336" s="1665" t="str">
        <f>HYPERLINK(Valori[[#This Row],[C_source]],"")</f>
        <v></v>
      </c>
      <c r="U336" s="142" t="str" cm="1">
        <f t="array" aca="1" ref="U336" ca="1">OFFSET(POrigin,MATCH(Valori[[#This Row],[LUKB_id]],PID,0),MATCH("M_CUR",PLabel,0)-1,1,1)</f>
        <v>CHF</v>
      </c>
      <c r="V336" s="1562">
        <f ca="1">(Valori[[#This Row],[Last]]+Valori[[#This Row],[Acc. Int]])/Valori[[#This Row],[Pr.Amt]]/IF(Valori[[#This Row],[P_Type]]="Pct",100,1)</f>
        <v>18.240000000000002</v>
      </c>
      <c r="W336" s="1591" cm="1">
        <f t="array" aca="1" ref="W336" ca="1">OFFSET(POrigin,MATCH(Valori[[#This Row],[LUKB_id]],PID,0),MATCH("NC2_PR",PLabel,0)-1,1,1)/100</f>
        <v>-2.8753993610223599E-2</v>
      </c>
      <c r="X336" s="1592" cm="1">
        <f t="array" aca="1" ref="X336" ca="1">OFFSET(POrigin,MATCH(Valori[[#This Row],[LUKB_id]],PID,0),MATCH("LVAL",PLabel,0)-1,1,1)</f>
        <v>18.240000000000002</v>
      </c>
      <c r="Y336" s="1593" cm="1">
        <f t="array" aca="1" ref="Y336" ca="1">OFFSET(POrigin,MATCH(Valori[[#This Row],[LUKB_id]],PID,0),MATCH("LVAL:datetime",PLabel,0)-1,1,1)</f>
        <v>46084.730081018519</v>
      </c>
      <c r="Z336" s="1594" cm="1">
        <f t="array" aca="1" ref="Z336" ca="1">OFFSET(POrigin,MATCH(Valori[[#This Row],[LUKB_id]],PID,0),MATCH("BID:volume",PLabel,0)-1,1,1)</f>
        <v>56</v>
      </c>
      <c r="AA336" s="1595" cm="1">
        <f t="array" aca="1" ref="AA336" ca="1">OFFSET(POrigin,MATCH(Valori[[#This Row],[LUKB_id]],PID,0),MATCH("BID",PLabel,0)-1,1,1)</f>
        <v>17.84</v>
      </c>
      <c r="AB336" s="1595" cm="1">
        <f t="array" aca="1" ref="AB336" ca="1">OFFSET(POrigin,MATCH(Valori[[#This Row],[LUKB_id]],PID,0),MATCH("ASK",PLabel,0)-1,1,1)</f>
        <v>17.84</v>
      </c>
      <c r="AC336" s="1594" cm="1">
        <f t="array" aca="1" ref="AC336" ca="1">OFFSET(POrigin,MATCH(Valori[[#This Row],[LUKB_id]],PID,0),MATCH("ASK:volume",PLabel,0)-1,1,1)</f>
        <v>112</v>
      </c>
      <c r="AD336" s="1596" cm="1">
        <f t="array" aca="1" ref="AD336" ca="1">OFFSET(POrigin,MATCH(Valori[[#This Row],[LUKB_id]],PID,0),MATCH("BID-ASK Spread %",PLabel,0)-1,1,1)</f>
        <v>0</v>
      </c>
      <c r="AE336" s="1597" t="str" cm="1">
        <f t="array" aca="1" ref="AE336" ca="1">IF(OFFSET(POrigin,MATCH(Valori[[#This Row],[LUKB_id]],PID,0),MATCH("MATURITY",PLabel,0)-1,1,1)&gt;0,OFFSET(POrigin,MATCH(Valori[[#This Row],[LUKB_id]],PID,0),MATCH("MATURITY",PLabel,0)-1,1,1),"")</f>
        <v/>
      </c>
      <c r="AF336" s="1598" cm="1">
        <f t="array" aca="1" ref="AF336" ca="1">OFFSET(POrigin,MATCH(Valori[[#This Row],[LUKB_id]],PID,0),MATCH("ACCINT",PLabel,0)-1,1,1)</f>
        <v>0</v>
      </c>
      <c r="AG336" s="1594" cm="1">
        <f t="array" aca="1" ref="AG336" ca="1">OFFSET(POrigin,MATCH(Valori[[#This Row],[LUKB_id]],PID,0),MATCH("DENOM",PLabel,0)-1,1,1)</f>
        <v>0</v>
      </c>
      <c r="AH336" s="1599" cm="1">
        <f t="array" aca="1" ref="AH336" ca="1">(OFFSET(POrigin,MATCH(Valori[[#This Row],[LUKB_id]],PID,0),MATCH("YIELD",PLabel,0)-1,1,1)+OFFSET(POrigin,MATCH(Valori[[#This Row],[LUKB_id]],PID,0),MATCH("YLDEQ",PLabel,0)-1,1,1))/100</f>
        <v>3.5635960000000001E-2</v>
      </c>
      <c r="AI336" s="1600">
        <f ca="1">OFFSET(POrigin,MATCH(Valori[[#This Row],[LUKB_id]],PID,0),MATCH("DIVIDEND",PLabel,0)-1,1,1)</f>
        <v>0.60000000000000009</v>
      </c>
      <c r="AJ336" s="1601">
        <f ca="1">OFFSET(POrigin,MATCH(Valori[[#This Row],[LUKB_id]],PID,0),MATCH("DIVIDEND:datetime",PLabel,0)-1,1,1)</f>
        <v>45741</v>
      </c>
      <c r="AK336" s="1602">
        <f ca="1">OFFSET(POrigin,MATCH(Valori[[#This Row],[LUKB_id]],PID,0),MATCH("INTEREST",PLabel,0)-1,1,1)</f>
        <v>0</v>
      </c>
      <c r="AL336" s="1603">
        <f ca="1">OFFSET(POrigin,MATCH(Valori[[#This Row],[LUKB_id]],PID,0),MATCH("4W_PERF_PR",PLabel,0)-1,1,1)/100</f>
        <v>-8.3417089999999999E-2</v>
      </c>
      <c r="AM336" s="1603">
        <f ca="1">OFFSET(POrigin,MATCH(Valori[[#This Row],[LUKB_id]],PID,0),MATCH("12W_PERF_PR",PLabel,0)-1,1,1)/100</f>
        <v>-1.7241380000000001E-2</v>
      </c>
      <c r="AN336" s="1603">
        <f ca="1">OFFSET(POrigin,MATCH(Valori[[#This Row],[LUKB_id]],PID,0),MATCH("YTD_PERF_PR",PLabel,0)-1,1,1)/100</f>
        <v>-1.46904512067156E-2</v>
      </c>
      <c r="AO336" s="1591"/>
      <c r="AP336" s="1591"/>
      <c r="AQ336" s="1591"/>
      <c r="AR336" s="1591"/>
      <c r="AS336" s="1890"/>
      <c r="AT336" s="1890" t="s">
        <v>1820</v>
      </c>
      <c r="AU336" s="610" t="s">
        <v>1821</v>
      </c>
      <c r="AV336" s="1891"/>
      <c r="AW336" s="1604" t="str">
        <f ca="1">"https://boersenundmaerkte.lukb.ch/lukb/details/"&amp;Valori[[#This Row],[LUKB_id]]</f>
        <v>https://boersenundmaerkte.lukb.ch/lukb/details/2226822,4,1</v>
      </c>
      <c r="AX336" s="1605" t="str">
        <f>"https://www.marketscreener.com/mods_a/charts/TV/inc_dyna_graph.php?c="&amp;Valori[[#This Row],[MS_Code]]&amp;"&amp;style=TradingView.CANDLES&amp;interval=(null)&amp;mobile=(null)&amp;showAT=1"</f>
        <v>https://www.marketscreener.com/mods_a/charts/TV/inc_dyna_graph.php?c=163919&amp;style=TradingView.CANDLES&amp;interval=(null)&amp;mobile=(null)&amp;showAT=1</v>
      </c>
      <c r="AY336" s="142"/>
      <c r="AZ336" s="142"/>
      <c r="BA336" s="142"/>
      <c r="BB336" s="142"/>
    </row>
    <row r="337" spans="1:54" ht="15" customHeight="1" x14ac:dyDescent="0.2">
      <c r="A337" s="142" t="s">
        <v>1822</v>
      </c>
      <c r="B337" s="142" t="str" cm="1">
        <f t="array" aca="1" ref="B337" ca="1">OFFSET(POrigin,MATCH(Valori[[#This Row],[smo_id]],Posizioni[smo_id],0),MATCH("LUKB_id",PIntestazioni,0)-1,1,1)</f>
        <v>1282989,4,1</v>
      </c>
      <c r="C337" s="1668" t="str">
        <f ca="1">HYPERLINK("https://boersenundmaerkte.lukb.ch/lukb/details/"&amp;Valori[[#This Row],[LUKB_id]],"è")</f>
        <v>è</v>
      </c>
      <c r="D337" s="142" t="str" cm="1">
        <f t="array" aca="1" ref="D337" ca="1">OFFSET(POrigin,MATCH(Valori[[#This Row],[LUKB_id]],PID,0),MATCH("SC_GROUPED",PIntestazioni,0)-1,1,1)</f>
        <v>EQU</v>
      </c>
      <c r="E337" s="413" t="str" cm="1">
        <f t="array" aca="1" ref="E337" ca="1">OFFSET(POrigin,MATCH(Valori[[#This Row],[LUKB_id]],PID,0),MATCH("isin",PIntestazioni,0)-1,1,1)</f>
        <v>CH0012829898</v>
      </c>
      <c r="F337" s="34" t="str" cm="1">
        <f t="array" aca="1" ref="F337" ca="1">OFFSET(POrigin,MATCH(Valori[[#This Row],[LUKB_id]],PID,0),MATCH("NSIN_CH",PLabel,0)-1,1,1)</f>
        <v>1282989</v>
      </c>
      <c r="G337" s="95" t="str" cm="1">
        <f t="array" aca="1" ref="G337" ca="1">IF(OFFSET(POrigin,MATCH(Valori[[#This Row],[LUKB_id]],PID,0),MATCH("INSTRUNIT",PLabel,0)-1,1,1)="Nominal","Pct","Unit")</f>
        <v>Unit</v>
      </c>
      <c r="H337" s="612">
        <f ca="1">MAX(OFFSET(POrigin,MATCH(Valori[[#This Row],[LUKB_id]],PID,0),MATCH("PRICINGAMT",PLabel,0)-1,1,1),1)</f>
        <v>1</v>
      </c>
      <c r="I337" s="615" t="str" cm="1">
        <f t="array" aca="1" ref="I337" ca="1">OFFSET(POrigin,MATCH(Valori[[#This Row],[LUKB_id]],PID,0),MATCH("M_NAME",PLabel,0)-1,1,1)</f>
        <v>Emmi N</v>
      </c>
      <c r="J337" s="142" t="s">
        <v>887</v>
      </c>
      <c r="M337" s="142" t="str" cm="1">
        <f t="array" aca="1" ref="M3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Emmi AG</v>
      </c>
      <c r="N337" s="1563">
        <f ca="1">COUNTIF('CHF M'!smo_id,Valori[[#This Row],[smo_id]])+COUNTIF('CHF MA'!smo_id,Valori[[#This Row],[smo_id]])+COUNTIF('EUR MB'!smo_id,Valori[[#This Row],[smo_id]])+COUNTIF('EUR M'!smo_id,Valori[[#This Row],[smo_id]])+COUNTIF(AGCO!smo_id,Valori[[#This Row],[smo_id]])</f>
        <v>1</v>
      </c>
      <c r="O337" s="1590" cm="1">
        <f t="array" aca="1" ref="O337" ca="1">SUM(IF('CHF M'!smo_id=Valori[[#This Row],[smo_id]],'CHF M'!Posizione))+SUM(IF('CHF MA'!smo_id=Valori[[#This Row],[smo_id]],'CHF MA'!Posizione))+SUM(IF('EUR MB'!smo_id=Valori[[#This Row],[smo_id]],'EUR MB'!Posizione))+SUM(IF('EUR M'!smo_id=Valori[[#This Row],[smo_id]],'EUR M'!Posizione))+SUM(IF(AGCO!smo_id=Valori[[#This Row],[smo_id]],AGCO!Posizione))</f>
        <v>20</v>
      </c>
      <c r="P337" s="1661" t="str">
        <f ca="1">HYPERLINK(Valori[[#This Row],[P_Source]],"è")</f>
        <v>è</v>
      </c>
      <c r="Q337" s="1663" t="str">
        <f>HYPERLINK(Valori[[#This Row],[Info_W]],"i")</f>
        <v>i</v>
      </c>
      <c r="R337" s="1664" t="str">
        <f>HYPERLINK(Valori[[#This Row],[FN_W]],"")</f>
        <v></v>
      </c>
      <c r="S337" s="1665" t="str">
        <f>HYPERLINK(Valori[[#This Row],[MS_Link]],"")</f>
        <v></v>
      </c>
      <c r="T337" s="1665" t="str">
        <f>HYPERLINK(Valori[[#This Row],[C_source]],"")</f>
        <v></v>
      </c>
      <c r="U337" s="142" t="str" cm="1">
        <f t="array" aca="1" ref="U337" ca="1">OFFSET(POrigin,MATCH(Valori[[#This Row],[LUKB_id]],PID,0),MATCH("M_CUR",PLabel,0)-1,1,1)</f>
        <v>CHF</v>
      </c>
      <c r="V337" s="1562">
        <f ca="1">(Valori[[#This Row],[Last]]+Valori[[#This Row],[Acc. Int]])/Valori[[#This Row],[Pr.Amt]]/IF(Valori[[#This Row],[P_Type]]="Pct",100,1)</f>
        <v>812</v>
      </c>
      <c r="W337" s="1591" cm="1">
        <f t="array" aca="1" ref="W337" ca="1">OFFSET(POrigin,MATCH(Valori[[#This Row],[LUKB_id]],PID,0),MATCH("NC2_PR",PLabel,0)-1,1,1)/100</f>
        <v>1.12079701120798E-2</v>
      </c>
      <c r="X337" s="1592" cm="1">
        <f t="array" aca="1" ref="X337" ca="1">OFFSET(POrigin,MATCH(Valori[[#This Row],[LUKB_id]],PID,0),MATCH("LVAL",PLabel,0)-1,1,1)</f>
        <v>812</v>
      </c>
      <c r="Y337" s="1593" cm="1">
        <f t="array" aca="1" ref="Y337" ca="1">OFFSET(POrigin,MATCH(Valori[[#This Row],[LUKB_id]],PID,0),MATCH("LVAL:datetime",PLabel,0)-1,1,1)</f>
        <v>46084.730081018519</v>
      </c>
      <c r="Z337" s="1594" cm="1">
        <f t="array" aca="1" ref="Z337" ca="1">OFFSET(POrigin,MATCH(Valori[[#This Row],[LUKB_id]],PID,0),MATCH("BID:volume",PLabel,0)-1,1,1)</f>
        <v>1</v>
      </c>
      <c r="AA337" s="1595" cm="1">
        <f t="array" aca="1" ref="AA337" ca="1">OFFSET(POrigin,MATCH(Valori[[#This Row],[LUKB_id]],PID,0),MATCH("BID",PLabel,0)-1,1,1)</f>
        <v>820</v>
      </c>
      <c r="AB337" s="1595" cm="1">
        <f t="array" aca="1" ref="AB337" ca="1">OFFSET(POrigin,MATCH(Valori[[#This Row],[LUKB_id]],PID,0),MATCH("ASK",PLabel,0)-1,1,1)</f>
        <v>0</v>
      </c>
      <c r="AC337" s="1594" cm="1">
        <f t="array" aca="1" ref="AC337" ca="1">OFFSET(POrigin,MATCH(Valori[[#This Row],[LUKB_id]],PID,0),MATCH("ASK:volume",PLabel,0)-1,1,1)</f>
        <v>0</v>
      </c>
      <c r="AD337" s="1596" cm="1">
        <f t="array" aca="1" ref="AD337" ca="1">OFFSET(POrigin,MATCH(Valori[[#This Row],[LUKB_id]],PID,0),MATCH("BID-ASK Spread %",PLabel,0)-1,1,1)</f>
        <v>0</v>
      </c>
      <c r="AE337" s="1597" t="str" cm="1">
        <f t="array" aca="1" ref="AE337" ca="1">IF(OFFSET(POrigin,MATCH(Valori[[#This Row],[LUKB_id]],PID,0),MATCH("MATURITY",PLabel,0)-1,1,1)&gt;0,OFFSET(POrigin,MATCH(Valori[[#This Row],[LUKB_id]],PID,0),MATCH("MATURITY",PLabel,0)-1,1,1),"")</f>
        <v/>
      </c>
      <c r="AF337" s="1598" cm="1">
        <f t="array" aca="1" ref="AF337" ca="1">OFFSET(POrigin,MATCH(Valori[[#This Row],[LUKB_id]],PID,0),MATCH("ACCINT",PLabel,0)-1,1,1)</f>
        <v>0</v>
      </c>
      <c r="AG337" s="1594" cm="1">
        <f t="array" aca="1" ref="AG337" ca="1">OFFSET(POrigin,MATCH(Valori[[#This Row],[LUKB_id]],PID,0),MATCH("DENOM",PLabel,0)-1,1,1)</f>
        <v>0</v>
      </c>
      <c r="AH337" s="1599" cm="1">
        <f t="array" aca="1" ref="AH337" ca="1">(OFFSET(POrigin,MATCH(Valori[[#This Row],[LUKB_id]],PID,0),MATCH("YIELD",PLabel,0)-1,1,1)+OFFSET(POrigin,MATCH(Valori[[#This Row],[LUKB_id]],PID,0),MATCH("YLDEQ",PLabel,0)-1,1,1))/100</f>
        <v>2.155172E-2</v>
      </c>
      <c r="AI337" s="1600">
        <f ca="1">OFFSET(POrigin,MATCH(Valori[[#This Row],[LUKB_id]],PID,0),MATCH("DIVIDEND",PLabel,0)-1,1,1)</f>
        <v>16.5</v>
      </c>
      <c r="AJ337" s="1601">
        <f ca="1">OFFSET(POrigin,MATCH(Valori[[#This Row],[LUKB_id]],PID,0),MATCH("DIVIDEND:datetime",PLabel,0)-1,1,1)</f>
        <v>45761</v>
      </c>
      <c r="AK337" s="1602">
        <f ca="1">OFFSET(POrigin,MATCH(Valori[[#This Row],[LUKB_id]],PID,0),MATCH("INTEREST",PLabel,0)-1,1,1)</f>
        <v>0</v>
      </c>
      <c r="AL337" s="1603">
        <f ca="1">OFFSET(POrigin,MATCH(Valori[[#This Row],[LUKB_id]],PID,0),MATCH("4W_PERF_PR",PLabel,0)-1,1,1)/100</f>
        <v>2.01005E-2</v>
      </c>
      <c r="AM337" s="1603">
        <f ca="1">OFFSET(POrigin,MATCH(Valori[[#This Row],[LUKB_id]],PID,0),MATCH("12W_PERF_PR",PLabel,0)-1,1,1)/100</f>
        <v>0.14527503999999999</v>
      </c>
      <c r="AN337" s="1603">
        <f ca="1">OFFSET(POrigin,MATCH(Valori[[#This Row],[LUKB_id]],PID,0),MATCH("YTD_PERF_PR",PLabel,0)-1,1,1)/100</f>
        <v>9.2517006802721E-2</v>
      </c>
      <c r="AO337" s="1591"/>
      <c r="AP337" s="1591"/>
      <c r="AQ337" s="1591"/>
      <c r="AR337" s="1591"/>
      <c r="AS337" s="1890" t="s">
        <v>1823</v>
      </c>
      <c r="AT337" s="1890" t="s">
        <v>1824</v>
      </c>
      <c r="AU337" s="610" t="s">
        <v>1825</v>
      </c>
      <c r="AV337" s="1891" t="str">
        <f>IF(Valori[[#This Row],[MS_Link]]&lt;&gt;"",Valori[[#This Row],[MS_Link]]&amp;"company/","")</f>
        <v>https://www.marketscreener.com/quote/stock/EMMI-AG-97604/company/</v>
      </c>
      <c r="AW337" s="1604" t="str">
        <f ca="1">"https://boersenundmaerkte.lukb.ch/lukb/details/"&amp;Valori[[#This Row],[LUKB_id]]</f>
        <v>https://boersenundmaerkte.lukb.ch/lukb/details/1282989,4,1</v>
      </c>
      <c r="AX337" s="1605" t="str">
        <f>"https://www.zonebourse.com/mods_a/charts/TV/inc_dyna_graph.php?c="&amp;Valori[[#This Row],[MS_Code]]&amp;"&amp;style=TradingView.CANDLES&amp;interval=(null)&amp;mobile=(null)&amp;showAT=1"</f>
        <v>https://www.zonebourse.com/mods_a/charts/TV/inc_dyna_graph.php?c=97604&amp;style=TradingView.CANDLES&amp;interval=(null)&amp;mobile=(null)&amp;showAT=1</v>
      </c>
      <c r="AY337" s="142"/>
      <c r="AZ337" s="142"/>
      <c r="BA337" s="142"/>
      <c r="BB337" s="142"/>
    </row>
    <row r="338" spans="1:54" ht="15" customHeight="1" x14ac:dyDescent="0.2">
      <c r="A338" s="142" t="s">
        <v>1826</v>
      </c>
      <c r="B338" s="142" t="str" cm="1">
        <f t="array" aca="1" ref="B338" ca="1">OFFSET(POrigin,MATCH(Valori[[#This Row],[smo_id]],Posizioni[smo_id],0),MATCH("LUKB_id",PIntestazioni,0)-1,1,1)</f>
        <v>1252314,6921,814</v>
      </c>
      <c r="C338" s="1668" t="str">
        <f ca="1">HYPERLINK("https://boersenundmaerkte.lukb.ch/lukb/details/"&amp;Valori[[#This Row],[LUKB_id]],"è")</f>
        <v>è</v>
      </c>
      <c r="D338" s="142" t="str" cm="1">
        <f t="array" aca="1" ref="D338" ca="1">OFFSET(POrigin,MATCH(Valori[[#This Row],[LUKB_id]],PID,0),MATCH("SC_GROUPED",PIntestazioni,0)-1,1,1)</f>
        <v>EQU</v>
      </c>
      <c r="E338" s="413" t="str" cm="1">
        <f t="array" aca="1" ref="E338" ca="1">OFFSET(POrigin,MATCH(Valori[[#This Row],[LUKB_id]],PID,0),MATCH("isin",PIntestazioni,0)-1,1,1)</f>
        <v>IT0003132476</v>
      </c>
      <c r="F338" s="34" t="str" cm="1">
        <f t="array" aca="1" ref="F338" ca="1">OFFSET(POrigin,MATCH(Valori[[#This Row],[LUKB_id]],PID,0),MATCH("NSIN_CH",PLabel,0)-1,1,1)</f>
        <v>1252314</v>
      </c>
      <c r="G338" s="95" t="str" cm="1">
        <f t="array" aca="1" ref="G338" ca="1">IF(OFFSET(POrigin,MATCH(Valori[[#This Row],[LUKB_id]],PID,0),MATCH("INSTRUNIT",PLabel,0)-1,1,1)="Nominal","Pct","Unit")</f>
        <v>Unit</v>
      </c>
      <c r="H338" s="612">
        <f ca="1">MAX(OFFSET(POrigin,MATCH(Valori[[#This Row],[LUKB_id]],PID,0),MATCH("PRICINGAMT",PLabel,0)-1,1,1),1)</f>
        <v>1</v>
      </c>
      <c r="I338" s="615" t="str" cm="1">
        <f t="array" aca="1" ref="I338" ca="1">OFFSET(POrigin,MATCH(Valori[[#This Row],[LUKB_id]],PID,0),MATCH("M_NAME",PLabel,0)-1,1,1)</f>
        <v>Eni N</v>
      </c>
      <c r="J338" s="142" t="s">
        <v>508</v>
      </c>
      <c r="M338" s="142" t="str" cm="1">
        <f t="array" aca="1" ref="M3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Eni SpA</v>
      </c>
      <c r="N338" s="1563">
        <f ca="1">COUNTIF('CHF M'!smo_id,Valori[[#This Row],[smo_id]])+COUNTIF('CHF MA'!smo_id,Valori[[#This Row],[smo_id]])+COUNTIF('EUR MB'!smo_id,Valori[[#This Row],[smo_id]])+COUNTIF('EUR M'!smo_id,Valori[[#This Row],[smo_id]])+COUNTIF(AGCO!smo_id,Valori[[#This Row],[smo_id]])</f>
        <v>0</v>
      </c>
      <c r="O338" s="1590" cm="1">
        <f t="array" aca="1" ref="O338" ca="1">SUM(IF('CHF M'!smo_id=Valori[[#This Row],[smo_id]],'CHF M'!Posizione))+SUM(IF('CHF MA'!smo_id=Valori[[#This Row],[smo_id]],'CHF MA'!Posizione))+SUM(IF('EUR MB'!smo_id=Valori[[#This Row],[smo_id]],'EUR MB'!Posizione))+SUM(IF('EUR M'!smo_id=Valori[[#This Row],[smo_id]],'EUR M'!Posizione))+SUM(IF(AGCO!smo_id=Valori[[#This Row],[smo_id]],AGCO!Posizione))</f>
        <v>0</v>
      </c>
      <c r="P338" s="1661" t="str">
        <f ca="1">HYPERLINK(Valori[[#This Row],[P_Source]],"è")</f>
        <v>è</v>
      </c>
      <c r="Q338" s="1663" t="str">
        <f>HYPERLINK(Valori[[#This Row],[Info_W]],"i")</f>
        <v>i</v>
      </c>
      <c r="R338" s="1664" t="str">
        <f>HYPERLINK(Valori[[#This Row],[FN_W]],"")</f>
        <v></v>
      </c>
      <c r="S338" s="1665" t="str">
        <f>HYPERLINK(Valori[[#This Row],[MS_Link]],"")</f>
        <v></v>
      </c>
      <c r="T338" s="1665" t="str">
        <f>HYPERLINK(Valori[[#This Row],[C_source]],"")</f>
        <v></v>
      </c>
      <c r="U338" s="142" t="str" cm="1">
        <f t="array" aca="1" ref="U338" ca="1">OFFSET(POrigin,MATCH(Valori[[#This Row],[LUKB_id]],PID,0),MATCH("M_CUR",PLabel,0)-1,1,1)</f>
        <v>EUR</v>
      </c>
      <c r="V338" s="1562">
        <f ca="1">(Valori[[#This Row],[Last]]+Valori[[#This Row],[Acc. Int]])/Valori[[#This Row],[Pr.Amt]]/IF(Valori[[#This Row],[P_Type]]="Pct",100,1)</f>
        <v>20.37</v>
      </c>
      <c r="W338" s="1591" cm="1">
        <f t="array" aca="1" ref="W338" ca="1">OFFSET(POrigin,MATCH(Valori[[#This Row],[LUKB_id]],PID,0),MATCH("NC2_PR",PLabel,0)-1,1,1)/100</f>
        <v>3.6324786324786501E-2</v>
      </c>
      <c r="X338" s="1592" cm="1">
        <f t="array" aca="1" ref="X338" ca="1">OFFSET(POrigin,MATCH(Valori[[#This Row],[LUKB_id]],PID,0),MATCH("LVAL",PLabel,0)-1,1,1)</f>
        <v>20.37</v>
      </c>
      <c r="Y338" s="1593" cm="1">
        <f t="array" aca="1" ref="Y338" ca="1">OFFSET(POrigin,MATCH(Valori[[#This Row],[LUKB_id]],PID,0),MATCH("LVAL:datetime",PLabel,0)-1,1,1)</f>
        <v>46083.739583333336</v>
      </c>
      <c r="Z338" s="1594" cm="1">
        <f t="array" aca="1" ref="Z338" ca="1">OFFSET(POrigin,MATCH(Valori[[#This Row],[LUKB_id]],PID,0),MATCH("BID:volume",PLabel,0)-1,1,1)</f>
        <v>0</v>
      </c>
      <c r="AA338" s="1595" cm="1">
        <f t="array" aca="1" ref="AA338" ca="1">OFFSET(POrigin,MATCH(Valori[[#This Row],[LUKB_id]],PID,0),MATCH("BID",PLabel,0)-1,1,1)</f>
        <v>0</v>
      </c>
      <c r="AB338" s="1595" cm="1">
        <f t="array" aca="1" ref="AB338" ca="1">OFFSET(POrigin,MATCH(Valori[[#This Row],[LUKB_id]],PID,0),MATCH("ASK",PLabel,0)-1,1,1)</f>
        <v>0</v>
      </c>
      <c r="AC338" s="1594" cm="1">
        <f t="array" aca="1" ref="AC338" ca="1">OFFSET(POrigin,MATCH(Valori[[#This Row],[LUKB_id]],PID,0),MATCH("ASK:volume",PLabel,0)-1,1,1)</f>
        <v>0</v>
      </c>
      <c r="AD338" s="1596" cm="1">
        <f t="array" aca="1" ref="AD338" ca="1">OFFSET(POrigin,MATCH(Valori[[#This Row],[LUKB_id]],PID,0),MATCH("BID-ASK Spread %",PLabel,0)-1,1,1)</f>
        <v>0</v>
      </c>
      <c r="AE338" s="1597" t="str" cm="1">
        <f t="array" aca="1" ref="AE338" ca="1">IF(OFFSET(POrigin,MATCH(Valori[[#This Row],[LUKB_id]],PID,0),MATCH("MATURITY",PLabel,0)-1,1,1)&gt;0,OFFSET(POrigin,MATCH(Valori[[#This Row],[LUKB_id]],PID,0),MATCH("MATURITY",PLabel,0)-1,1,1),"")</f>
        <v/>
      </c>
      <c r="AF338" s="1598" cm="1">
        <f t="array" aca="1" ref="AF338" ca="1">OFFSET(POrigin,MATCH(Valori[[#This Row],[LUKB_id]],PID,0),MATCH("ACCINT",PLabel,0)-1,1,1)</f>
        <v>0</v>
      </c>
      <c r="AG338" s="1594" cm="1">
        <f t="array" aca="1" ref="AG338" ca="1">OFFSET(POrigin,MATCH(Valori[[#This Row],[LUKB_id]],PID,0),MATCH("DENOM",PLabel,0)-1,1,1)</f>
        <v>0</v>
      </c>
      <c r="AH338" s="1599" cm="1">
        <f t="array" aca="1" ref="AH338" ca="1">(OFFSET(POrigin,MATCH(Valori[[#This Row],[LUKB_id]],PID,0),MATCH("YIELD",PLabel,0)-1,1,1)+OFFSET(POrigin,MATCH(Valori[[#This Row],[LUKB_id]],PID,0),MATCH("YLDEQ",PLabel,0)-1,1,1))/100</f>
        <v>0</v>
      </c>
      <c r="AI338" s="1600">
        <f ca="1">OFFSET(POrigin,MATCH(Valori[[#This Row],[LUKB_id]],PID,0),MATCH("DIVIDEND",PLabel,0)-1,1,1)</f>
        <v>0.26</v>
      </c>
      <c r="AJ338" s="1601">
        <f ca="1">OFFSET(POrigin,MATCH(Valori[[#This Row],[LUKB_id]],PID,0),MATCH("DIVIDEND:datetime",PLabel,0)-1,1,1)</f>
        <v>45985</v>
      </c>
      <c r="AK338" s="1602">
        <f ca="1">OFFSET(POrigin,MATCH(Valori[[#This Row],[LUKB_id]],PID,0),MATCH("INTEREST",PLabel,0)-1,1,1)</f>
        <v>0</v>
      </c>
      <c r="AL338" s="1603">
        <f ca="1">OFFSET(POrigin,MATCH(Valori[[#This Row],[LUKB_id]],PID,0),MATCH("4W_PERF_PR",PLabel,0)-1,1,1)/100</f>
        <v>0.18292682926829301</v>
      </c>
      <c r="AM338" s="1603">
        <f ca="1">OFFSET(POrigin,MATCH(Valori[[#This Row],[LUKB_id]],PID,0),MATCH("12W_PERF_PR",PLabel,0)-1,1,1)/100</f>
        <v>0.26773711725167998</v>
      </c>
      <c r="AN338" s="1603">
        <f ca="1">OFFSET(POrigin,MATCH(Valori[[#This Row],[LUKB_id]],PID,0),MATCH("YTD_PERF_PR",PLabel,0)-1,1,1)/100</f>
        <v>0.262081784386618</v>
      </c>
      <c r="AO338" s="1591"/>
      <c r="AP338" s="1591"/>
      <c r="AQ338" s="1591"/>
      <c r="AR338" s="1591"/>
      <c r="AS338" s="1890" t="s">
        <v>1827</v>
      </c>
      <c r="AT338" s="1890" t="s">
        <v>1828</v>
      </c>
      <c r="AU338" s="610" t="s">
        <v>1829</v>
      </c>
      <c r="AV338" s="1891" t="str">
        <f>IF(Valori[[#This Row],[MS_Link]]&lt;&gt;"",Valori[[#This Row],[MS_Link]]&amp;"company/","")</f>
        <v>https://www.marketscreener.com/quote/stock/ENI-S-P-A-413403/company/</v>
      </c>
      <c r="AW338" s="1604" t="str">
        <f ca="1">"https://boersenundmaerkte.lukb.ch/lukb/details/"&amp;Valori[[#This Row],[LUKB_id]]</f>
        <v>https://boersenundmaerkte.lukb.ch/lukb/details/1252314,6921,814</v>
      </c>
      <c r="AX338" s="1605" t="str">
        <f>"https://www.zonebourse.com/mods_a/charts/TV/inc_dyna_graph.php?c="&amp;Valori[[#This Row],[MS_Code]]&amp;"&amp;style=TradingView.CANDLES&amp;interval=(null)&amp;mobile=(null)&amp;showAT=1"</f>
        <v>https://www.zonebourse.com/mods_a/charts/TV/inc_dyna_graph.php?c=413403&amp;style=TradingView.CANDLES&amp;interval=(null)&amp;mobile=(null)&amp;showAT=1</v>
      </c>
      <c r="AY338" s="142"/>
      <c r="AZ338" s="142"/>
      <c r="BA338" s="142"/>
      <c r="BB338" s="142"/>
    </row>
    <row r="339" spans="1:54" ht="15" customHeight="1" x14ac:dyDescent="0.2">
      <c r="A339" s="142" t="s">
        <v>1830</v>
      </c>
      <c r="B339" s="142" t="str" cm="1">
        <f t="array" aca="1" ref="B339" ca="1">OFFSET(POrigin,MATCH(Valori[[#This Row],[smo_id]],Posizioni[smo_id],0),MATCH("LUKB_id",PIntestazioni,0)-1,1,1)</f>
        <v>1000194,321,333</v>
      </c>
      <c r="C339" s="1668" t="str">
        <f ca="1">HYPERLINK("https://boersenundmaerkte.lukb.ch/lukb/details/"&amp;Valori[[#This Row],[LUKB_id]],"è")</f>
        <v>è</v>
      </c>
      <c r="D339" s="142" t="str" cm="1">
        <f t="array" aca="1" ref="D339" ca="1">OFFSET(POrigin,MATCH(Valori[[#This Row],[LUKB_id]],PID,0),MATCH("SC_GROUPED",PIntestazioni,0)-1,1,1)</f>
        <v>EQU</v>
      </c>
      <c r="E339" s="413" t="str" cm="1">
        <f t="array" aca="1" ref="E339" ca="1">OFFSET(POrigin,MATCH(Valori[[#This Row],[LUKB_id]],PID,0),MATCH("isin",PIntestazioni,0)-1,1,1)</f>
        <v>US26875P1012</v>
      </c>
      <c r="F339" s="34" t="str" cm="1">
        <f t="array" aca="1" ref="F339" ca="1">OFFSET(POrigin,MATCH(Valori[[#This Row],[LUKB_id]],PID,0),MATCH("NSIN_CH",PLabel,0)-1,1,1)</f>
        <v>1000194</v>
      </c>
      <c r="G339" s="95" t="str" cm="1">
        <f t="array" aca="1" ref="G339" ca="1">IF(OFFSET(POrigin,MATCH(Valori[[#This Row],[LUKB_id]],PID,0),MATCH("INSTRUNIT",PLabel,0)-1,1,1)="Nominal","Pct","Unit")</f>
        <v>Unit</v>
      </c>
      <c r="H339" s="612">
        <f ca="1">MAX(OFFSET(POrigin,MATCH(Valori[[#This Row],[LUKB_id]],PID,0),MATCH("PRICINGAMT",PLabel,0)-1,1,1),1)</f>
        <v>1</v>
      </c>
      <c r="I339" s="615" t="str" cm="1">
        <f t="array" aca="1" ref="I339" ca="1">OFFSET(POrigin,MATCH(Valori[[#This Row],[LUKB_id]],PID,0),MATCH("M_NAME",PLabel,0)-1,1,1)</f>
        <v>EOG Resources Rg</v>
      </c>
      <c r="M339" s="142" t="str" cm="1">
        <f t="array" aca="1" ref="M3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EOG Resources Rg</v>
      </c>
      <c r="N339" s="1563">
        <f ca="1">COUNTIF('CHF M'!smo_id,Valori[[#This Row],[smo_id]])+COUNTIF('CHF MA'!smo_id,Valori[[#This Row],[smo_id]])+COUNTIF('EUR MB'!smo_id,Valori[[#This Row],[smo_id]])+COUNTIF('EUR M'!smo_id,Valori[[#This Row],[smo_id]])+COUNTIF(AGCO!smo_id,Valori[[#This Row],[smo_id]])</f>
        <v>1</v>
      </c>
      <c r="O339" s="1590" cm="1">
        <f t="array" aca="1" ref="O339" ca="1">SUM(IF('CHF M'!smo_id=Valori[[#This Row],[smo_id]],'CHF M'!Posizione))+SUM(IF('CHF MA'!smo_id=Valori[[#This Row],[smo_id]],'CHF MA'!Posizione))+SUM(IF('EUR MB'!smo_id=Valori[[#This Row],[smo_id]],'EUR MB'!Posizione))+SUM(IF('EUR M'!smo_id=Valori[[#This Row],[smo_id]],'EUR M'!Posizione))+SUM(IF(AGCO!smo_id=Valori[[#This Row],[smo_id]],AGCO!Posizione))</f>
        <v>200</v>
      </c>
      <c r="P339" s="1661" t="str">
        <f ca="1">HYPERLINK(Valori[[#This Row],[P_Source]],"è")</f>
        <v>è</v>
      </c>
      <c r="Q339" s="1663" t="str">
        <f>HYPERLINK(Valori[[#This Row],[Info_W]],"i")</f>
        <v>i</v>
      </c>
      <c r="R339" s="1664" t="str">
        <f>HYPERLINK(Valori[[#This Row],[FN_W]],"")</f>
        <v></v>
      </c>
      <c r="S339" s="1665" t="str">
        <f>HYPERLINK(Valori[[#This Row],[MS_Link]],"")</f>
        <v></v>
      </c>
      <c r="T339" s="1665" t="str">
        <f>HYPERLINK(Valori[[#This Row],[C_source]],"")</f>
        <v></v>
      </c>
      <c r="U339" s="142" t="str" cm="1">
        <f t="array" aca="1" ref="U339" ca="1">OFFSET(POrigin,MATCH(Valori[[#This Row],[LUKB_id]],PID,0),MATCH("M_CUR",PLabel,0)-1,1,1)</f>
        <v>USD</v>
      </c>
      <c r="V339" s="1562">
        <f ca="1">(Valori[[#This Row],[Last]]+Valori[[#This Row],[Acc. Int]])/Valori[[#This Row],[Pr.Amt]]/IF(Valori[[#This Row],[P_Type]]="Pct",100,1)</f>
        <v>128.33750000000001</v>
      </c>
      <c r="W339" s="1591" cm="1">
        <f t="array" aca="1" ref="W339" ca="1">OFFSET(POrigin,MATCH(Valori[[#This Row],[LUKB_id]],PID,0),MATCH("NC2_PR",PLabel,0)-1,1,1)/100</f>
        <v>-2.4290711232024999E-3</v>
      </c>
      <c r="X339" s="1592" cm="1">
        <f t="array" aca="1" ref="X339" ca="1">OFFSET(POrigin,MATCH(Valori[[#This Row],[LUKB_id]],PID,0),MATCH("LVAL",PLabel,0)-1,1,1)</f>
        <v>128.33750000000001</v>
      </c>
      <c r="Y339" s="1593" cm="1">
        <f t="array" aca="1" ref="Y339" ca="1">OFFSET(POrigin,MATCH(Valori[[#This Row],[LUKB_id]],PID,0),MATCH("LVAL:datetime",PLabel,0)-1,1,1)</f>
        <v>46084.785868055558</v>
      </c>
      <c r="Z339" s="1594" cm="1">
        <f t="array" aca="1" ref="Z339" ca="1">OFFSET(POrigin,MATCH(Valori[[#This Row],[LUKB_id]],PID,0),MATCH("BID:volume",PLabel,0)-1,1,1)</f>
        <v>100</v>
      </c>
      <c r="AA339" s="1595" cm="1">
        <f t="array" aca="1" ref="AA339" ca="1">OFFSET(POrigin,MATCH(Valori[[#This Row],[LUKB_id]],PID,0),MATCH("BID",PLabel,0)-1,1,1)</f>
        <v>128.28</v>
      </c>
      <c r="AB339" s="1595" cm="1">
        <f t="array" aca="1" ref="AB339" ca="1">OFFSET(POrigin,MATCH(Valori[[#This Row],[LUKB_id]],PID,0),MATCH("ASK",PLabel,0)-1,1,1)</f>
        <v>128.33000000000001</v>
      </c>
      <c r="AC339" s="1594" cm="1">
        <f t="array" aca="1" ref="AC339" ca="1">OFFSET(POrigin,MATCH(Valori[[#This Row],[LUKB_id]],PID,0),MATCH("ASK:volume",PLabel,0)-1,1,1)</f>
        <v>100</v>
      </c>
      <c r="AD339" s="1596" cm="1">
        <f t="array" aca="1" ref="AD339" ca="1">OFFSET(POrigin,MATCH(Valori[[#This Row],[LUKB_id]],PID,0),MATCH("BID-ASK Spread %",PLabel,0)-1,1,1)</f>
        <v>2.598144924524481E-4</v>
      </c>
      <c r="AE339" s="1597" t="str" cm="1">
        <f t="array" aca="1" ref="AE339" ca="1">IF(OFFSET(POrigin,MATCH(Valori[[#This Row],[LUKB_id]],PID,0),MATCH("MATURITY",PLabel,0)-1,1,1)&gt;0,OFFSET(POrigin,MATCH(Valori[[#This Row],[LUKB_id]],PID,0),MATCH("MATURITY",PLabel,0)-1,1,1),"")</f>
        <v/>
      </c>
      <c r="AF339" s="1598" cm="1">
        <f t="array" aca="1" ref="AF339" ca="1">OFFSET(POrigin,MATCH(Valori[[#This Row],[LUKB_id]],PID,0),MATCH("ACCINT",PLabel,0)-1,1,1)</f>
        <v>0</v>
      </c>
      <c r="AG339" s="1594" cm="1">
        <f t="array" aca="1" ref="AG339" ca="1">OFFSET(POrigin,MATCH(Valori[[#This Row],[LUKB_id]],PID,0),MATCH("DENOM",PLabel,0)-1,1,1)</f>
        <v>0</v>
      </c>
      <c r="AH339" s="1599" cm="1">
        <f t="array" aca="1" ref="AH339" ca="1">(OFFSET(POrigin,MATCH(Valori[[#This Row],[LUKB_id]],PID,0),MATCH("YIELD",PLabel,0)-1,1,1)+OFFSET(POrigin,MATCH(Valori[[#This Row],[LUKB_id]],PID,0),MATCH("YLDEQ",PLabel,0)-1,1,1))/100</f>
        <v>3.1440539999999996E-2</v>
      </c>
      <c r="AI339" s="1600">
        <f ca="1">OFFSET(POrigin,MATCH(Valori[[#This Row],[LUKB_id]],PID,0),MATCH("DIVIDEND",PLabel,0)-1,1,1)</f>
        <v>1.02</v>
      </c>
      <c r="AJ339" s="1601">
        <f ca="1">OFFSET(POrigin,MATCH(Valori[[#This Row],[LUKB_id]],PID,0),MATCH("DIVIDEND:datetime",PLabel,0)-1,1,1)</f>
        <v>46038</v>
      </c>
      <c r="AK339" s="1602">
        <f ca="1">OFFSET(POrigin,MATCH(Valori[[#This Row],[LUKB_id]],PID,0),MATCH("INTEREST",PLabel,0)-1,1,1)</f>
        <v>0</v>
      </c>
      <c r="AL339" s="1603">
        <f ca="1">OFFSET(POrigin,MATCH(Valori[[#This Row],[LUKB_id]],PID,0),MATCH("4W_PERF_PR",PLabel,0)-1,1,1)/100</f>
        <v>0.16216155000000002</v>
      </c>
      <c r="AM339" s="1603">
        <f ca="1">OFFSET(POrigin,MATCH(Valori[[#This Row],[LUKB_id]],PID,0),MATCH("12W_PERF_PR",PLabel,0)-1,1,1)/100</f>
        <v>0.17321053</v>
      </c>
      <c r="AN339" s="1603">
        <f ca="1">OFFSET(POrigin,MATCH(Valori[[#This Row],[LUKB_id]],PID,0),MATCH("YTD_PERF_PR",PLabel,0)-1,1,1)/100</f>
        <v>0.225121417007905</v>
      </c>
      <c r="AO339" s="1591"/>
      <c r="AP339" s="1591"/>
      <c r="AQ339" s="1591"/>
      <c r="AR339" s="1591"/>
      <c r="AS339" s="1890"/>
      <c r="AT339" s="1890" t="s">
        <v>1831</v>
      </c>
      <c r="AU339" s="610" t="s">
        <v>1832</v>
      </c>
      <c r="AV339" s="1891" t="str">
        <f>IF(Valori[[#This Row],[MS_Link]]&lt;&gt;"",Valori[[#This Row],[MS_Link]]&amp;"company/","")</f>
        <v>https://www.marketscreener.com/quote/stock/EOG-RESOURCES-INC-12468/company/</v>
      </c>
      <c r="AW339" s="1604" t="str">
        <f ca="1">"https://boersenundmaerkte.lukb.ch/lukb/details/"&amp;Valori[[#This Row],[LUKB_id]]</f>
        <v>https://boersenundmaerkte.lukb.ch/lukb/details/1000194,321,333</v>
      </c>
      <c r="AX339" s="1605" t="str">
        <f>"https://www.zonebourse.com/mods_a/charts/TV/inc_dyna_graph.php?c="&amp;Valori[[#This Row],[MS_Code]]&amp;"&amp;style=TradingView.CANDLES&amp;interval=(null)&amp;mobile=(null)&amp;showAT=1"</f>
        <v>https://www.zonebourse.com/mods_a/charts/TV/inc_dyna_graph.php?c=12468&amp;style=TradingView.CANDLES&amp;interval=(null)&amp;mobile=(null)&amp;showAT=1</v>
      </c>
      <c r="AY339" s="142"/>
      <c r="AZ339" s="142"/>
      <c r="BA339" s="142"/>
      <c r="BB339" s="142"/>
    </row>
    <row r="340" spans="1:54" ht="15" customHeight="1" x14ac:dyDescent="0.2">
      <c r="A340" s="142" t="s">
        <v>1833</v>
      </c>
      <c r="B340" s="142" t="str" cm="1">
        <f t="array" aca="1" ref="B340" ca="1">OFFSET(POrigin,MATCH(Valori[[#This Row],[smo_id]],Posizioni[smo_id],0),MATCH("LUKB_id",PIntestazioni,0)-1,1,1)</f>
        <v>26875198,537,333</v>
      </c>
      <c r="C340" s="1668" t="str">
        <f ca="1">HYPERLINK("https://boersenundmaerkte.lukb.ch/lukb/details/"&amp;Valori[[#This Row],[LUKB_id]],"è")</f>
        <v>è</v>
      </c>
      <c r="D340" s="142" t="str" cm="1">
        <f t="array" aca="1" ref="D340" ca="1">OFFSET(POrigin,MATCH(Valori[[#This Row],[LUKB_id]],PID,0),MATCH("SC_GROUPED",PIntestazioni,0)-1,1,1)</f>
        <v>EQU</v>
      </c>
      <c r="E340" s="413" t="str" cm="1">
        <f t="array" aca="1" ref="E340" ca="1">OFFSET(POrigin,MATCH(Valori[[#This Row],[LUKB_id]],PID,0),MATCH("isin",PIntestazioni,0)-1,1,1)</f>
        <v>US29444U7000</v>
      </c>
      <c r="F340" s="34" t="str" cm="1">
        <f t="array" aca="1" ref="F340" ca="1">OFFSET(POrigin,MATCH(Valori[[#This Row],[LUKB_id]],PID,0),MATCH("NSIN_CH",PLabel,0)-1,1,1)</f>
        <v>26875198</v>
      </c>
      <c r="G340" s="95" t="str" cm="1">
        <f t="array" aca="1" ref="G340" ca="1">IF(OFFSET(POrigin,MATCH(Valori[[#This Row],[LUKB_id]],PID,0),MATCH("INSTRUNIT",PLabel,0)-1,1,1)="Nominal","Pct","Unit")</f>
        <v>Unit</v>
      </c>
      <c r="H340" s="612">
        <f ca="1">MAX(OFFSET(POrigin,MATCH(Valori[[#This Row],[LUKB_id]],PID,0),MATCH("PRICINGAMT",PLabel,0)-1,1,1),1)</f>
        <v>1</v>
      </c>
      <c r="I340" s="615" t="str" cm="1">
        <f t="array" aca="1" ref="I340" ca="1">OFFSET(POrigin,MATCH(Valori[[#This Row],[LUKB_id]],PID,0),MATCH("M_NAME",PLabel,0)-1,1,1)</f>
        <v>Equinix REIT Rg</v>
      </c>
      <c r="M340" s="142" t="str" cm="1">
        <f t="array" aca="1" ref="M3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Equinix REIT Rg</v>
      </c>
      <c r="N340" s="1563">
        <f ca="1">COUNTIF('CHF M'!smo_id,Valori[[#This Row],[smo_id]])+COUNTIF('CHF MA'!smo_id,Valori[[#This Row],[smo_id]])+COUNTIF('EUR MB'!smo_id,Valori[[#This Row],[smo_id]])+COUNTIF('EUR M'!smo_id,Valori[[#This Row],[smo_id]])+COUNTIF(AGCO!smo_id,Valori[[#This Row],[smo_id]])</f>
        <v>0</v>
      </c>
      <c r="O340" s="1590" cm="1">
        <f t="array" aca="1" ref="O340" ca="1">SUM(IF('CHF M'!smo_id=Valori[[#This Row],[smo_id]],'CHF M'!Posizione))+SUM(IF('CHF MA'!smo_id=Valori[[#This Row],[smo_id]],'CHF MA'!Posizione))+SUM(IF('EUR MB'!smo_id=Valori[[#This Row],[smo_id]],'EUR MB'!Posizione))+SUM(IF('EUR M'!smo_id=Valori[[#This Row],[smo_id]],'EUR M'!Posizione))+SUM(IF(AGCO!smo_id=Valori[[#This Row],[smo_id]],AGCO!Posizione))</f>
        <v>0</v>
      </c>
      <c r="P340" s="1661" t="str">
        <f ca="1">HYPERLINK(Valori[[#This Row],[P_Source]],"è")</f>
        <v>è</v>
      </c>
      <c r="Q340" s="1663" t="str">
        <f>HYPERLINK(Valori[[#This Row],[Info_W]],"i")</f>
        <v>i</v>
      </c>
      <c r="R340" s="1664" t="str">
        <f>HYPERLINK(Valori[[#This Row],[FN_W]],"")</f>
        <v></v>
      </c>
      <c r="S340" s="1665" t="str">
        <f>HYPERLINK(Valori[[#This Row],[MS_Link]],"")</f>
        <v></v>
      </c>
      <c r="T340" s="1665" t="str">
        <f>HYPERLINK(Valori[[#This Row],[C_source]],"")</f>
        <v></v>
      </c>
      <c r="U340" s="142" t="str" cm="1">
        <f t="array" aca="1" ref="U340" ca="1">OFFSET(POrigin,MATCH(Valori[[#This Row],[LUKB_id]],PID,0),MATCH("M_CUR",PLabel,0)-1,1,1)</f>
        <v>USD</v>
      </c>
      <c r="V340" s="1562">
        <f ca="1">(Valori[[#This Row],[Last]]+Valori[[#This Row],[Acc. Int]])/Valori[[#This Row],[Pr.Amt]]/IF(Valori[[#This Row],[P_Type]]="Pct",100,1)</f>
        <v>968.16499999999996</v>
      </c>
      <c r="W340" s="1591" cm="1">
        <f t="array" aca="1" ref="W340" ca="1">OFFSET(POrigin,MATCH(Valori[[#This Row],[LUKB_id]],PID,0),MATCH("NC2_PR",PLabel,0)-1,1,1)/100</f>
        <v>2.1374598902804999E-3</v>
      </c>
      <c r="X340" s="1592" cm="1">
        <f t="array" aca="1" ref="X340" ca="1">OFFSET(POrigin,MATCH(Valori[[#This Row],[LUKB_id]],PID,0),MATCH("LVAL",PLabel,0)-1,1,1)</f>
        <v>968.16499999999996</v>
      </c>
      <c r="Y340" s="1593" cm="1">
        <f t="array" aca="1" ref="Y340" ca="1">OFFSET(POrigin,MATCH(Valori[[#This Row],[LUKB_id]],PID,0),MATCH("LVAL:datetime",PLabel,0)-1,1,1)</f>
        <v>46084.785798611112</v>
      </c>
      <c r="Z340" s="1594" cm="1">
        <f t="array" aca="1" ref="Z340" ca="1">OFFSET(POrigin,MATCH(Valori[[#This Row],[LUKB_id]],PID,0),MATCH("BID:volume",PLabel,0)-1,1,1)</f>
        <v>40</v>
      </c>
      <c r="AA340" s="1595" cm="1">
        <f t="array" aca="1" ref="AA340" ca="1">OFFSET(POrigin,MATCH(Valori[[#This Row],[LUKB_id]],PID,0),MATCH("BID",PLabel,0)-1,1,1)</f>
        <v>967.42000000000007</v>
      </c>
      <c r="AB340" s="1595" cm="1">
        <f t="array" aca="1" ref="AB340" ca="1">OFFSET(POrigin,MATCH(Valori[[#This Row],[LUKB_id]],PID,0),MATCH("ASK",PLabel,0)-1,1,1)</f>
        <v>968.91</v>
      </c>
      <c r="AC340" s="1594" cm="1">
        <f t="array" aca="1" ref="AC340" ca="1">OFFSET(POrigin,MATCH(Valori[[#This Row],[LUKB_id]],PID,0),MATCH("ASK:volume",PLabel,0)-1,1,1)</f>
        <v>40</v>
      </c>
      <c r="AD340" s="1596" cm="1">
        <f t="array" aca="1" ref="AD340" ca="1">OFFSET(POrigin,MATCH(Valori[[#This Row],[LUKB_id]],PID,0),MATCH("BID-ASK Spread %",PLabel,0)-1,1,1)</f>
        <v>1.0262591476538237E-3</v>
      </c>
      <c r="AE340" s="1597" t="str" cm="1">
        <f t="array" aca="1" ref="AE340" ca="1">IF(OFFSET(POrigin,MATCH(Valori[[#This Row],[LUKB_id]],PID,0),MATCH("MATURITY",PLabel,0)-1,1,1)&gt;0,OFFSET(POrigin,MATCH(Valori[[#This Row],[LUKB_id]],PID,0),MATCH("MATURITY",PLabel,0)-1,1,1),"")</f>
        <v/>
      </c>
      <c r="AF340" s="1598" cm="1">
        <f t="array" aca="1" ref="AF340" ca="1">OFFSET(POrigin,MATCH(Valori[[#This Row],[LUKB_id]],PID,0),MATCH("ACCINT",PLabel,0)-1,1,1)</f>
        <v>0</v>
      </c>
      <c r="AG340" s="1594" cm="1">
        <f t="array" aca="1" ref="AG340" ca="1">OFFSET(POrigin,MATCH(Valori[[#This Row],[LUKB_id]],PID,0),MATCH("DENOM",PLabel,0)-1,1,1)</f>
        <v>0</v>
      </c>
      <c r="AH340" s="1599" cm="1">
        <f t="array" aca="1" ref="AH340" ca="1">(OFFSET(POrigin,MATCH(Valori[[#This Row],[LUKB_id]],PID,0),MATCH("YIELD",PLabel,0)-1,1,1)+OFFSET(POrigin,MATCH(Valori[[#This Row],[LUKB_id]],PID,0),MATCH("YLDEQ",PLabel,0)-1,1,1))/100</f>
        <v>1.9862319999999999E-2</v>
      </c>
      <c r="AI340" s="1600">
        <f ca="1">OFFSET(POrigin,MATCH(Valori[[#This Row],[LUKB_id]],PID,0),MATCH("DIVIDEND",PLabel,0)-1,1,1)</f>
        <v>5.16</v>
      </c>
      <c r="AJ340" s="1601">
        <f ca="1">OFFSET(POrigin,MATCH(Valori[[#This Row],[LUKB_id]],PID,0),MATCH("DIVIDEND:datetime",PLabel,0)-1,1,1)</f>
        <v>46078</v>
      </c>
      <c r="AK340" s="1602">
        <f ca="1">OFFSET(POrigin,MATCH(Valori[[#This Row],[LUKB_id]],PID,0),MATCH("INTEREST",PLabel,0)-1,1,1)</f>
        <v>0</v>
      </c>
      <c r="AL340" s="1603">
        <f ca="1">OFFSET(POrigin,MATCH(Valori[[#This Row],[LUKB_id]],PID,0),MATCH("4W_PERF_PR",PLabel,0)-1,1,1)/100</f>
        <v>0.20744422000000001</v>
      </c>
      <c r="AM340" s="1603">
        <f ca="1">OFFSET(POrigin,MATCH(Valori[[#This Row],[LUKB_id]],PID,0),MATCH("12W_PERF_PR",PLabel,0)-1,1,1)/100</f>
        <v>0.30714757999999998</v>
      </c>
      <c r="AN340" s="1603">
        <f ca="1">OFFSET(POrigin,MATCH(Valori[[#This Row],[LUKB_id]],PID,0),MATCH("YTD_PERF_PR",PLabel,0)-1,1,1)/100</f>
        <v>0.26096376735929899</v>
      </c>
      <c r="AO340" s="1591"/>
      <c r="AP340" s="1591"/>
      <c r="AQ340" s="1591"/>
      <c r="AR340" s="1591"/>
      <c r="AS340" s="1890"/>
      <c r="AT340" s="1890" t="s">
        <v>1834</v>
      </c>
      <c r="AU340" s="610" t="s">
        <v>1835</v>
      </c>
      <c r="AV340" s="1891" t="str">
        <f>IF(Valori[[#This Row],[MS_Link]]&lt;&gt;"",Valori[[#This Row],[MS_Link]]&amp;"company/","")</f>
        <v>https://www.marketscreener.com/quote/stock/EQUINIX-INC-20565916/company/</v>
      </c>
      <c r="AW340" s="1604" t="str">
        <f ca="1">"https://boersenundmaerkte.lukb.ch/lukb/details/"&amp;Valori[[#This Row],[LUKB_id]]</f>
        <v>https://boersenundmaerkte.lukb.ch/lukb/details/26875198,537,333</v>
      </c>
      <c r="AX340" s="1605" t="str">
        <f>"https://www.zonebourse.com/mods_a/charts/TV/inc_dyna_graph.php?c="&amp;Valori[[#This Row],[MS_Code]]&amp;"&amp;style=TradingView.CANDLES&amp;interval=(null)&amp;mobile=(null)&amp;showAT=1"</f>
        <v>https://www.zonebourse.com/mods_a/charts/TV/inc_dyna_graph.php?c=20565916&amp;style=TradingView.CANDLES&amp;interval=(null)&amp;mobile=(null)&amp;showAT=1</v>
      </c>
      <c r="AY340" s="142"/>
      <c r="AZ340" s="142"/>
      <c r="BA340" s="142"/>
      <c r="BB340" s="142"/>
    </row>
    <row r="341" spans="1:54" ht="15" customHeight="1" x14ac:dyDescent="0.2">
      <c r="A341" s="142" t="s">
        <v>1836</v>
      </c>
      <c r="B341" s="142" t="str" cm="1">
        <f t="array" aca="1" ref="B341" ca="1">OFFSET(POrigin,MATCH(Valori[[#This Row],[smo_id]],Posizioni[smo_id],0),MATCH("LUKB_id",PIntestazioni,0)-1,1,1)</f>
        <v>1245893,1573,662</v>
      </c>
      <c r="C341" s="1668" t="str">
        <f ca="1">HYPERLINK("https://boersenundmaerkte.lukb.ch/lukb/details/"&amp;Valori[[#This Row],[LUKB_id]],"è")</f>
        <v>è</v>
      </c>
      <c r="D341" s="142" t="str" cm="1">
        <f t="array" aca="1" ref="D341" ca="1">OFFSET(POrigin,MATCH(Valori[[#This Row],[LUKB_id]],PID,0),MATCH("SC_GROUPED",PIntestazioni,0)-1,1,1)</f>
        <v>EQU</v>
      </c>
      <c r="E341" s="413" t="str" cm="1">
        <f t="array" aca="1" ref="E341" ca="1">OFFSET(POrigin,MATCH(Valori[[#This Row],[LUKB_id]],PID,0),MATCH("isin",PIntestazioni,0)-1,1,1)</f>
        <v>NO0010096985</v>
      </c>
      <c r="F341" s="34" t="str" cm="1">
        <f t="array" aca="1" ref="F341" ca="1">OFFSET(POrigin,MATCH(Valori[[#This Row],[LUKB_id]],PID,0),MATCH("NSIN_CH",PLabel,0)-1,1,1)</f>
        <v>1245893</v>
      </c>
      <c r="G341" s="95" t="str" cm="1">
        <f t="array" aca="1" ref="G341" ca="1">IF(OFFSET(POrigin,MATCH(Valori[[#This Row],[LUKB_id]],PID,0),MATCH("INSTRUNIT",PLabel,0)-1,1,1)="Nominal","Pct","Unit")</f>
        <v>Unit</v>
      </c>
      <c r="H341" s="612">
        <f ca="1">MAX(OFFSET(POrigin,MATCH(Valori[[#This Row],[LUKB_id]],PID,0),MATCH("PRICINGAMT",PLabel,0)-1,1,1),1)</f>
        <v>1</v>
      </c>
      <c r="I341" s="615" t="str" cm="1">
        <f t="array" aca="1" ref="I341" ca="1">OFFSET(POrigin,MATCH(Valori[[#This Row],[LUKB_id]],PID,0),MATCH("M_NAME",PLabel,0)-1,1,1)</f>
        <v>Equinor N</v>
      </c>
      <c r="J341" s="142" t="s">
        <v>758</v>
      </c>
      <c r="K341" s="142" t="s">
        <v>1837</v>
      </c>
      <c r="M341" s="142" t="str" cm="1">
        <f t="array" aca="1" ref="M3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Equinor</v>
      </c>
      <c r="N341" s="1563">
        <f ca="1">COUNTIF('CHF M'!smo_id,Valori[[#This Row],[smo_id]])+COUNTIF('CHF MA'!smo_id,Valori[[#This Row],[smo_id]])+COUNTIF('EUR MB'!smo_id,Valori[[#This Row],[smo_id]])+COUNTIF('EUR M'!smo_id,Valori[[#This Row],[smo_id]])+COUNTIF(AGCO!smo_id,Valori[[#This Row],[smo_id]])</f>
        <v>1</v>
      </c>
      <c r="O341" s="1590" cm="1">
        <f t="array" aca="1" ref="O341" ca="1">SUM(IF('CHF M'!smo_id=Valori[[#This Row],[smo_id]],'CHF M'!Posizione))+SUM(IF('CHF MA'!smo_id=Valori[[#This Row],[smo_id]],'CHF MA'!Posizione))+SUM(IF('EUR MB'!smo_id=Valori[[#This Row],[smo_id]],'EUR MB'!Posizione))+SUM(IF('EUR M'!smo_id=Valori[[#This Row],[smo_id]],'EUR M'!Posizione))+SUM(IF(AGCO!smo_id=Valori[[#This Row],[smo_id]],AGCO!Posizione))</f>
        <v>0</v>
      </c>
      <c r="P341" s="1661" t="str">
        <f ca="1">HYPERLINK(Valori[[#This Row],[P_Source]],"è")</f>
        <v>è</v>
      </c>
      <c r="Q341" s="1663" t="str">
        <f>HYPERLINK(Valori[[#This Row],[Info_W]],"i")</f>
        <v>i</v>
      </c>
      <c r="R341" s="1664" t="str">
        <f>HYPERLINK(Valori[[#This Row],[FN_W]],"")</f>
        <v></v>
      </c>
      <c r="S341" s="1665" t="str">
        <f>HYPERLINK(Valori[[#This Row],[MS_Link]],"")</f>
        <v></v>
      </c>
      <c r="T341" s="1665" t="str">
        <f>HYPERLINK(Valori[[#This Row],[C_source]],"")</f>
        <v></v>
      </c>
      <c r="U341" s="142" t="str" cm="1">
        <f t="array" aca="1" ref="U341" ca="1">OFFSET(POrigin,MATCH(Valori[[#This Row],[LUKB_id]],PID,0),MATCH("M_CUR",PLabel,0)-1,1,1)</f>
        <v>NOK</v>
      </c>
      <c r="V341" s="1562">
        <f ca="1">(Valori[[#This Row],[Last]]+Valori[[#This Row],[Acc. Int]])/Valori[[#This Row],[Pr.Amt]]/IF(Valori[[#This Row],[P_Type]]="Pct",100,1)</f>
        <v>308.8</v>
      </c>
      <c r="W341" s="1591" cm="1">
        <f t="array" aca="1" ref="W341" ca="1">OFFSET(POrigin,MATCH(Valori[[#This Row],[LUKB_id]],PID,0),MATCH("NC2_PR",PLabel,0)-1,1,1)/100</f>
        <v>1.4788038120276001E-2</v>
      </c>
      <c r="X341" s="1592" cm="1">
        <f t="array" aca="1" ref="X341" ca="1">OFFSET(POrigin,MATCH(Valori[[#This Row],[LUKB_id]],PID,0),MATCH("LVAL",PLabel,0)-1,1,1)</f>
        <v>308.8</v>
      </c>
      <c r="Y341" s="1593" cm="1">
        <f t="array" aca="1" ref="Y341" ca="1">OFFSET(POrigin,MATCH(Valori[[#This Row],[LUKB_id]],PID,0),MATCH("LVAL:datetime",PLabel,0)-1,1,1)</f>
        <v>46084.680555555555</v>
      </c>
      <c r="Z341" s="1594" cm="1">
        <f t="array" aca="1" ref="Z341" ca="1">OFFSET(POrigin,MATCH(Valori[[#This Row],[LUKB_id]],PID,0),MATCH("BID:volume",PLabel,0)-1,1,1)</f>
        <v>3785</v>
      </c>
      <c r="AA341" s="1595" cm="1">
        <f t="array" aca="1" ref="AA341" ca="1">OFFSET(POrigin,MATCH(Valori[[#This Row],[LUKB_id]],PID,0),MATCH("BID",PLabel,0)-1,1,1)</f>
        <v>308.8</v>
      </c>
      <c r="AB341" s="1595" cm="1">
        <f t="array" aca="1" ref="AB341" ca="1">OFFSET(POrigin,MATCH(Valori[[#This Row],[LUKB_id]],PID,0),MATCH("ASK",PLabel,0)-1,1,1)</f>
        <v>308.8</v>
      </c>
      <c r="AC341" s="1594" cm="1">
        <f t="array" aca="1" ref="AC341" ca="1">OFFSET(POrigin,MATCH(Valori[[#This Row],[LUKB_id]],PID,0),MATCH("ASK:volume",PLabel,0)-1,1,1)</f>
        <v>35666</v>
      </c>
      <c r="AD341" s="1596" cm="1">
        <f t="array" aca="1" ref="AD341" ca="1">OFFSET(POrigin,MATCH(Valori[[#This Row],[LUKB_id]],PID,0),MATCH("BID-ASK Spread %",PLabel,0)-1,1,1)</f>
        <v>0</v>
      </c>
      <c r="AE341" s="1597" t="str" cm="1">
        <f t="array" aca="1" ref="AE341" ca="1">IF(OFFSET(POrigin,MATCH(Valori[[#This Row],[LUKB_id]],PID,0),MATCH("MATURITY",PLabel,0)-1,1,1)&gt;0,OFFSET(POrigin,MATCH(Valori[[#This Row],[LUKB_id]],PID,0),MATCH("MATURITY",PLabel,0)-1,1,1),"")</f>
        <v/>
      </c>
      <c r="AF341" s="1598" cm="1">
        <f t="array" aca="1" ref="AF341" ca="1">OFFSET(POrigin,MATCH(Valori[[#This Row],[LUKB_id]],PID,0),MATCH("ACCINT",PLabel,0)-1,1,1)</f>
        <v>0</v>
      </c>
      <c r="AG341" s="1594" cm="1">
        <f t="array" aca="1" ref="AG341" ca="1">OFFSET(POrigin,MATCH(Valori[[#This Row],[LUKB_id]],PID,0),MATCH("DENOM",PLabel,0)-1,1,1)</f>
        <v>0</v>
      </c>
      <c r="AH341" s="1599" cm="1">
        <f t="array" aca="1" ref="AH341" ca="1">(OFFSET(POrigin,MATCH(Valori[[#This Row],[LUKB_id]],PID,0),MATCH("YIELD",PLabel,0)-1,1,1)+OFFSET(POrigin,MATCH(Valori[[#This Row],[LUKB_id]],PID,0),MATCH("YLDEQ",PLabel,0)-1,1,1))/100</f>
        <v>3.5731865284974094E-2</v>
      </c>
      <c r="AI341" s="1600">
        <f ca="1">OFFSET(POrigin,MATCH(Valori[[#This Row],[LUKB_id]],PID,0),MATCH("DIVIDEND",PLabel,0)-1,1,1)</f>
        <v>3.5300000000000002</v>
      </c>
      <c r="AJ341" s="1601">
        <f ca="1">OFFSET(POrigin,MATCH(Valori[[#This Row],[LUKB_id]],PID,0),MATCH("DIVIDEND:datetime",PLabel,0)-1,1,1)</f>
        <v>46069</v>
      </c>
      <c r="AK341" s="1602">
        <f ca="1">OFFSET(POrigin,MATCH(Valori[[#This Row],[LUKB_id]],PID,0),MATCH("INTEREST",PLabel,0)-1,1,1)</f>
        <v>0</v>
      </c>
      <c r="AL341" s="1603">
        <f ca="1">OFFSET(POrigin,MATCH(Valori[[#This Row],[LUKB_id]],PID,0),MATCH("4W_PERF_PR",PLabel,0)-1,1,1)/100</f>
        <v>0.22393975426080062</v>
      </c>
      <c r="AM341" s="1603">
        <f ca="1">OFFSET(POrigin,MATCH(Valori[[#This Row],[LUKB_id]],PID,0),MATCH("12W_PERF_PR",PLabel,0)-1,1,1)/100</f>
        <v>0.31572219855134209</v>
      </c>
      <c r="AN341" s="1603">
        <f ca="1">OFFSET(POrigin,MATCH(Valori[[#This Row],[LUKB_id]],PID,0),MATCH("YTD_PERF_PR",PLabel,0)-1,1,1)/100</f>
        <v>0.28072390572390599</v>
      </c>
      <c r="AO341" s="1591"/>
      <c r="AP341" s="1591"/>
      <c r="AQ341" s="1591"/>
      <c r="AR341" s="1591"/>
      <c r="AS341" s="1890" t="s">
        <v>1838</v>
      </c>
      <c r="AT341" s="1890" t="s">
        <v>1839</v>
      </c>
      <c r="AU341" s="610" t="s">
        <v>1840</v>
      </c>
      <c r="AV341" s="1891" t="str">
        <f>IF(Valori[[#This Row],[MS_Link]]&lt;&gt;"",Valori[[#This Row],[MS_Link]]&amp;"company/","")</f>
        <v>https://www.marketscreener.com/quote/stock/EQUINOR-ASA-1413290/company/</v>
      </c>
      <c r="AW341" s="1604" t="str">
        <f ca="1">"https://boersenundmaerkte.lukb.ch/lukb/details/"&amp;Valori[[#This Row],[LUKB_id]]</f>
        <v>https://boersenundmaerkte.lukb.ch/lukb/details/1245893,1573,662</v>
      </c>
      <c r="AX341" s="1605" t="str">
        <f>"https://www.marketscreener.com/mods_a/charts/TV/inc_dyna_graph.php?c="&amp;Valori[[#This Row],[MS_Code]]&amp;"&amp;style=TradingView.CANDLES&amp;interval=(null)&amp;mobile=(null)&amp;showAT=1"</f>
        <v>https://www.marketscreener.com/mods_a/charts/TV/inc_dyna_graph.php?c=1413290&amp;style=TradingView.CANDLES&amp;interval=(null)&amp;mobile=(null)&amp;showAT=1</v>
      </c>
      <c r="AY341" s="142"/>
      <c r="AZ341" s="142"/>
      <c r="BA341" s="142"/>
      <c r="BB341" s="142"/>
    </row>
    <row r="342" spans="1:54" ht="15" customHeight="1" x14ac:dyDescent="0.2">
      <c r="A342" s="142" t="s">
        <v>1841</v>
      </c>
      <c r="B342" s="142" t="str" cm="1">
        <f t="array" aca="1" ref="B342" ca="1">OFFSET(POrigin,MATCH(Valori[[#This Row],[smo_id]],Posizioni[smo_id],0),MATCH("LUKB_id",PIntestazioni,0)-1,1,1)</f>
        <v>614663,53,864</v>
      </c>
      <c r="C342" s="1668" t="str">
        <f ca="1">HYPERLINK("https://boersenundmaerkte.lukb.ch/lukb/details/"&amp;Valori[[#This Row],[LUKB_id]],"è")</f>
        <v>è</v>
      </c>
      <c r="D342" s="142" t="str" cm="1">
        <f t="array" aca="1" ref="D342" ca="1">OFFSET(POrigin,MATCH(Valori[[#This Row],[LUKB_id]],PID,0),MATCH("SC_GROUPED",PIntestazioni,0)-1,1,1)</f>
        <v>EQU</v>
      </c>
      <c r="E342" s="413" t="str" cm="1">
        <f t="array" aca="1" ref="E342" ca="1">OFFSET(POrigin,MATCH(Valori[[#This Row],[LUKB_id]],PID,0),MATCH("isin",PIntestazioni,0)-1,1,1)</f>
        <v>SE0000108656</v>
      </c>
      <c r="F342" s="34" t="str" cm="1">
        <f t="array" aca="1" ref="F342" ca="1">OFFSET(POrigin,MATCH(Valori[[#This Row],[LUKB_id]],PID,0),MATCH("NSIN_CH",PLabel,0)-1,1,1)</f>
        <v>614663</v>
      </c>
      <c r="G342" s="95" t="str" cm="1">
        <f t="array" aca="1" ref="G342" ca="1">IF(OFFSET(POrigin,MATCH(Valori[[#This Row],[LUKB_id]],PID,0),MATCH("INSTRUNIT",PLabel,0)-1,1,1)="Nominal","Pct","Unit")</f>
        <v>Unit</v>
      </c>
      <c r="H342" s="612">
        <f ca="1">MAX(OFFSET(POrigin,MATCH(Valori[[#This Row],[LUKB_id]],PID,0),MATCH("PRICINGAMT",PLabel,0)-1,1,1),1)</f>
        <v>1</v>
      </c>
      <c r="I342" s="615" t="str" cm="1">
        <f t="array" aca="1" ref="I342" ca="1">OFFSET(POrigin,MATCH(Valori[[#This Row],[LUKB_id]],PID,0),MATCH("M_NAME",PLabel,0)-1,1,1)</f>
        <v>Ericsson-B N</v>
      </c>
      <c r="J342" s="142" t="s">
        <v>604</v>
      </c>
      <c r="M342" s="142" t="str" cm="1">
        <f t="array" aca="1" ref="M3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Ericsson</v>
      </c>
      <c r="N342" s="1563">
        <f ca="1">COUNTIF('CHF M'!smo_id,Valori[[#This Row],[smo_id]])+COUNTIF('CHF MA'!smo_id,Valori[[#This Row],[smo_id]])+COUNTIF('EUR MB'!smo_id,Valori[[#This Row],[smo_id]])+COUNTIF('EUR M'!smo_id,Valori[[#This Row],[smo_id]])+COUNTIF(AGCO!smo_id,Valori[[#This Row],[smo_id]])</f>
        <v>0</v>
      </c>
      <c r="O342" s="1590" cm="1">
        <f t="array" aca="1" ref="O342" ca="1">SUM(IF('CHF M'!smo_id=Valori[[#This Row],[smo_id]],'CHF M'!Posizione))+SUM(IF('CHF MA'!smo_id=Valori[[#This Row],[smo_id]],'CHF MA'!Posizione))+SUM(IF('EUR MB'!smo_id=Valori[[#This Row],[smo_id]],'EUR MB'!Posizione))+SUM(IF('EUR M'!smo_id=Valori[[#This Row],[smo_id]],'EUR M'!Posizione))+SUM(IF(AGCO!smo_id=Valori[[#This Row],[smo_id]],AGCO!Posizione))</f>
        <v>0</v>
      </c>
      <c r="P342" s="1661" t="str">
        <f ca="1">HYPERLINK(Valori[[#This Row],[P_Source]],"è")</f>
        <v>è</v>
      </c>
      <c r="Q342" s="1663" t="str">
        <f>HYPERLINK(Valori[[#This Row],[Info_W]],"i")</f>
        <v>i</v>
      </c>
      <c r="R342" s="1664" t="str">
        <f>HYPERLINK(Valori[[#This Row],[FN_W]],"")</f>
        <v></v>
      </c>
      <c r="S342" s="1665" t="str">
        <f>HYPERLINK(Valori[[#This Row],[MS_Link]],"")</f>
        <v></v>
      </c>
      <c r="T342" s="1665" t="str">
        <f>HYPERLINK(Valori[[#This Row],[C_source]],"")</f>
        <v></v>
      </c>
      <c r="U342" s="142" t="str" cm="1">
        <f t="array" aca="1" ref="U342" ca="1">OFFSET(POrigin,MATCH(Valori[[#This Row],[LUKB_id]],PID,0),MATCH("M_CUR",PLabel,0)-1,1,1)</f>
        <v>SEK</v>
      </c>
      <c r="V342" s="1562">
        <f ca="1">(Valori[[#This Row],[Last]]+Valori[[#This Row],[Acc. Int]])/Valori[[#This Row],[Pr.Amt]]/IF(Valori[[#This Row],[P_Type]]="Pct",100,1)</f>
        <v>0</v>
      </c>
      <c r="W342" s="1591" cm="1">
        <f t="array" aca="1" ref="W342" ca="1">OFFSET(POrigin,MATCH(Valori[[#This Row],[LUKB_id]],PID,0),MATCH("NC2_PR",PLabel,0)-1,1,1)/100</f>
        <v>0</v>
      </c>
      <c r="X342" s="1592" cm="1">
        <f t="array" aca="1" ref="X342" ca="1">OFFSET(POrigin,MATCH(Valori[[#This Row],[LUKB_id]],PID,0),MATCH("LVAL",PLabel,0)-1,1,1)</f>
        <v>0</v>
      </c>
      <c r="Y342" s="1593" cm="1">
        <f t="array" aca="1" ref="Y342" ca="1">OFFSET(POrigin,MATCH(Valori[[#This Row],[LUKB_id]],PID,0),MATCH("LVAL:datetime",PLabel,0)-1,1,1)</f>
        <v>0</v>
      </c>
      <c r="Z342" s="1594" cm="1">
        <f t="array" aca="1" ref="Z342" ca="1">OFFSET(POrigin,MATCH(Valori[[#This Row],[LUKB_id]],PID,0),MATCH("BID:volume",PLabel,0)-1,1,1)</f>
        <v>0</v>
      </c>
      <c r="AA342" s="1595" cm="1">
        <f t="array" aca="1" ref="AA342" ca="1">OFFSET(POrigin,MATCH(Valori[[#This Row],[LUKB_id]],PID,0),MATCH("BID",PLabel,0)-1,1,1)</f>
        <v>0</v>
      </c>
      <c r="AB342" s="1595" cm="1">
        <f t="array" aca="1" ref="AB342" ca="1">OFFSET(POrigin,MATCH(Valori[[#This Row],[LUKB_id]],PID,0),MATCH("ASK",PLabel,0)-1,1,1)</f>
        <v>0</v>
      </c>
      <c r="AC342" s="1594" cm="1">
        <f t="array" aca="1" ref="AC342" ca="1">OFFSET(POrigin,MATCH(Valori[[#This Row],[LUKB_id]],PID,0),MATCH("ASK:volume",PLabel,0)-1,1,1)</f>
        <v>0</v>
      </c>
      <c r="AD342" s="1596" cm="1">
        <f t="array" aca="1" ref="AD342" ca="1">OFFSET(POrigin,MATCH(Valori[[#This Row],[LUKB_id]],PID,0),MATCH("BID-ASK Spread %",PLabel,0)-1,1,1)</f>
        <v>0</v>
      </c>
      <c r="AE342" s="1597" t="str" cm="1">
        <f t="array" aca="1" ref="AE342" ca="1">IF(OFFSET(POrigin,MATCH(Valori[[#This Row],[LUKB_id]],PID,0),MATCH("MATURITY",PLabel,0)-1,1,1)&gt;0,OFFSET(POrigin,MATCH(Valori[[#This Row],[LUKB_id]],PID,0),MATCH("MATURITY",PLabel,0)-1,1,1),"")</f>
        <v/>
      </c>
      <c r="AF342" s="1598" cm="1">
        <f t="array" aca="1" ref="AF342" ca="1">OFFSET(POrigin,MATCH(Valori[[#This Row],[LUKB_id]],PID,0),MATCH("ACCINT",PLabel,0)-1,1,1)</f>
        <v>0</v>
      </c>
      <c r="AG342" s="1594" cm="1">
        <f t="array" aca="1" ref="AG342" ca="1">OFFSET(POrigin,MATCH(Valori[[#This Row],[LUKB_id]],PID,0),MATCH("DENOM",PLabel,0)-1,1,1)</f>
        <v>0</v>
      </c>
      <c r="AH342" s="1599" cm="1">
        <f t="array" aca="1" ref="AH342" ca="1">(OFFSET(POrigin,MATCH(Valori[[#This Row],[LUKB_id]],PID,0),MATCH("YIELD",PLabel,0)-1,1,1)+OFFSET(POrigin,MATCH(Valori[[#This Row],[LUKB_id]],PID,0),MATCH("YLDEQ",PLabel,0)-1,1,1))/100</f>
        <v>0</v>
      </c>
      <c r="AI342" s="1600">
        <f ca="1">OFFSET(POrigin,MATCH(Valori[[#This Row],[LUKB_id]],PID,0),MATCH("DIVIDEND",PLabel,0)-1,1,1)</f>
        <v>0</v>
      </c>
      <c r="AJ342" s="1601">
        <f ca="1">OFFSET(POrigin,MATCH(Valori[[#This Row],[LUKB_id]],PID,0),MATCH("DIVIDEND:datetime",PLabel,0)-1,1,1)</f>
        <v>0</v>
      </c>
      <c r="AK342" s="1602">
        <f ca="1">OFFSET(POrigin,MATCH(Valori[[#This Row],[LUKB_id]],PID,0),MATCH("INTEREST",PLabel,0)-1,1,1)</f>
        <v>0</v>
      </c>
      <c r="AL342" s="1603">
        <f ca="1">OFFSET(POrigin,MATCH(Valori[[#This Row],[LUKB_id]],PID,0),MATCH("4W_PERF_PR",PLabel,0)-1,1,1)/100</f>
        <v>0</v>
      </c>
      <c r="AM342" s="1603">
        <f ca="1">OFFSET(POrigin,MATCH(Valori[[#This Row],[LUKB_id]],PID,0),MATCH("12W_PERF_PR",PLabel,0)-1,1,1)/100</f>
        <v>0</v>
      </c>
      <c r="AN342" s="1603">
        <f ca="1">OFFSET(POrigin,MATCH(Valori[[#This Row],[LUKB_id]],PID,0),MATCH("YTD_PERF_PR",PLabel,0)-1,1,1)/100</f>
        <v>0</v>
      </c>
      <c r="AO342" s="1591"/>
      <c r="AP342" s="1591"/>
      <c r="AQ342" s="1591"/>
      <c r="AR342" s="1591"/>
      <c r="AS342" s="1890" t="s">
        <v>1838</v>
      </c>
      <c r="AT342" s="1890" t="s">
        <v>1842</v>
      </c>
      <c r="AU342" s="610" t="s">
        <v>1843</v>
      </c>
      <c r="AV342" s="1891" t="str">
        <f>IF(Valori[[#This Row],[MS_Link]]&lt;&gt;"",Valori[[#This Row],[MS_Link]]&amp;"company/","")</f>
        <v>https://www.marketscreener.com/quote/stock/ERICSSON-AB-6494918/company/</v>
      </c>
      <c r="AW342" s="1604" t="str">
        <f ca="1">"https://boersenundmaerkte.lukb.ch/lukb/details/"&amp;Valori[[#This Row],[LUKB_id]]</f>
        <v>https://boersenundmaerkte.lukb.ch/lukb/details/614663,53,864</v>
      </c>
      <c r="AX342" s="1605" t="str">
        <f>"https://www.marketscreener.com/mods_a/charts/TV/inc_dyna_graph.php?c="&amp;Valori[[#This Row],[MS_Code]]&amp;"&amp;style=TradingView.CANDLES&amp;interval=(null)&amp;mobile=(null)&amp;showAT=1"</f>
        <v>https://www.marketscreener.com/mods_a/charts/TV/inc_dyna_graph.php?c=6494918&amp;style=TradingView.CANDLES&amp;interval=(null)&amp;mobile=(null)&amp;showAT=1</v>
      </c>
      <c r="AY342" s="142"/>
      <c r="AZ342" s="142"/>
      <c r="BA342" s="142"/>
      <c r="BB342" s="142"/>
    </row>
    <row r="343" spans="1:54" ht="15" customHeight="1" x14ac:dyDescent="0.2">
      <c r="A343" s="142" t="s">
        <v>4269</v>
      </c>
      <c r="B343" s="142" t="str" cm="1">
        <f t="array" aca="1" ref="B343" ca="1">OFFSET(POrigin,MATCH(Valori[[#This Row],[smo_id]],Posizioni[smo_id],0),MATCH("LUKB_id",PIntestazioni,0)-1,1,1)</f>
        <v>133539272,4,1</v>
      </c>
      <c r="C343" s="1669" t="str">
        <f ca="1">HYPERLINK("https://boersenundmaerkte.lukb.ch/lukb/details/"&amp;Valori[[#This Row],[LUKB_id]],"è")</f>
        <v>è</v>
      </c>
      <c r="D343" s="142" t="str" cm="1">
        <f t="array" aca="1" ref="D343" ca="1">OFFSET(POrigin,MATCH(Valori[[#This Row],[LUKB_id]],PID,0),MATCH("SC_GROUPED",PIntestazioni,0)-1,1,1)</f>
        <v>EQU</v>
      </c>
      <c r="E343" s="142" t="str" cm="1">
        <f t="array" aca="1" ref="E343" ca="1">OFFSET(POrigin,MATCH(Valori[[#This Row],[LUKB_id]],PID,0),MATCH("isin",PIntestazioni,0)-1,1,1)</f>
        <v>CH1335392721</v>
      </c>
      <c r="F343" s="34" t="str" cm="1">
        <f t="array" aca="1" ref="F343" ca="1">OFFSET(POrigin,MATCH(Valori[[#This Row],[LUKB_id]],PID,0),MATCH("NSIN_CH",PLabel,0)-1,1,1)</f>
        <v>133539272</v>
      </c>
      <c r="G343" s="95" t="str" cm="1">
        <f t="array" aca="1" ref="G343" ca="1">IF(OFFSET(POrigin,MATCH(Valori[[#This Row],[LUKB_id]],PID,0),MATCH("INSTRUNIT",PLabel,0)-1,1,1)="Nominal","Pct","Unit")</f>
        <v>Unit</v>
      </c>
      <c r="H343" s="612">
        <f ca="1">MAX(OFFSET(POrigin,MATCH(Valori[[#This Row],[LUKB_id]],PID,0),MATCH("PRICINGAMT",PLabel,0)-1,1,1),1)</f>
        <v>1</v>
      </c>
      <c r="I343" s="615" t="str" cm="1">
        <f t="array" aca="1" ref="I343" ca="1">OFFSET(POrigin,MATCH(Valori[[#This Row],[LUKB_id]],PID,0),MATCH("M_NAME",PLabel,0)-1,1,1)</f>
        <v>Galderma Group N</v>
      </c>
      <c r="M343" s="142" t="str" cm="1">
        <f t="array" aca="1" ref="M3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Galderma Group N</v>
      </c>
      <c r="N343" s="1563">
        <f ca="1">COUNTIF('CHF M'!smo_id,Valori[[#This Row],[smo_id]])+COUNTIF('CHF MA'!smo_id,Valori[[#This Row],[smo_id]])+COUNTIF('EUR MB'!smo_id,Valori[[#This Row],[smo_id]])+COUNTIF('EUR M'!smo_id,Valori[[#This Row],[smo_id]])+COUNTIF(AGCO!smo_id,Valori[[#This Row],[smo_id]])</f>
        <v>2</v>
      </c>
      <c r="O343" s="704">
        <v>875</v>
      </c>
      <c r="P343" s="1661" t="str">
        <f ca="1">HYPERLINK(Valori[[#This Row],[P_Source]],"è")</f>
        <v>è</v>
      </c>
      <c r="Q343" s="1663" t="str">
        <f>HYPERLINK(Valori[[#This Row],[Info_W]],"i")</f>
        <v>i</v>
      </c>
      <c r="R343" s="1664" t="str">
        <f>HYPERLINK(Valori[[#This Row],[FN_W]],"")</f>
        <v></v>
      </c>
      <c r="S343" s="1665" t="str">
        <f>HYPERLINK(Valori[[#This Row],[MS_Link]],"")</f>
        <v></v>
      </c>
      <c r="T343" s="1665" t="str">
        <f>HYPERLINK(Valori[[#This Row],[C_source]],"")</f>
        <v></v>
      </c>
      <c r="U343" s="142" t="str" cm="1">
        <f t="array" aca="1" ref="U343" ca="1">OFFSET(POrigin,MATCH(Valori[[#This Row],[LUKB_id]],PID,0),MATCH("M_CUR",PLabel,0)-1,1,1)</f>
        <v>CHF</v>
      </c>
      <c r="V343" s="1562">
        <f ca="1">(Valori[[#This Row],[Last]]+Valori[[#This Row],[Acc. Int]])/Valori[[#This Row],[Pr.Amt]]/IF(Valori[[#This Row],[P_Type]]="Pct",100,1)</f>
        <v>143.80000000000001</v>
      </c>
      <c r="W343" s="1892" cm="1">
        <f t="array" aca="1" ref="W343" ca="1">OFFSET(POrigin,MATCH(Valori[[#This Row],[LUKB_id]],PID,0),MATCH("NC2_PR",PLabel,0)-1,1,1)/100</f>
        <v>-2.5745257452574499E-2</v>
      </c>
      <c r="X343" s="1893" cm="1">
        <f t="array" aca="1" ref="X343" ca="1">OFFSET(POrigin,MATCH(Valori[[#This Row],[LUKB_id]],PID,0),MATCH("LVAL",PLabel,0)-1,1,1)</f>
        <v>143.80000000000001</v>
      </c>
      <c r="Y343" s="1894" cm="1">
        <f t="array" aca="1" ref="Y343" ca="1">OFFSET(POrigin,MATCH(Valori[[#This Row],[LUKB_id]],PID,0),MATCH("LVAL:datetime",PLabel,0)-1,1,1)</f>
        <v>46084.731238425928</v>
      </c>
      <c r="Z343" s="1895" cm="1">
        <f t="array" aca="1" ref="Z343" ca="1">OFFSET(POrigin,MATCH(Valori[[#This Row],[LUKB_id]],PID,0),MATCH("BID:volume",PLabel,0)-1,1,1)</f>
        <v>150</v>
      </c>
      <c r="AA343" s="1896" cm="1">
        <f t="array" aca="1" ref="AA343" ca="1">OFFSET(POrigin,MATCH(Valori[[#This Row],[LUKB_id]],PID,0),MATCH("BID",PLabel,0)-1,1,1)</f>
        <v>141.5</v>
      </c>
      <c r="AB343" s="1896" cm="1">
        <f t="array" aca="1" ref="AB343" ca="1">OFFSET(POrigin,MATCH(Valori[[#This Row],[LUKB_id]],PID,0),MATCH("ASK",PLabel,0)-1,1,1)</f>
        <v>148</v>
      </c>
      <c r="AC343" s="1606" cm="1">
        <f t="array" aca="1" ref="AC343" ca="1">OFFSET(POrigin,MATCH(Valori[[#This Row],[LUKB_id]],PID,0),MATCH("ASK:volume",PLabel,0)-1,1,1)</f>
        <v>1</v>
      </c>
      <c r="AD343" s="1897" cm="1">
        <f t="array" aca="1" ref="AD343" ca="1">OFFSET(POrigin,MATCH(Valori[[#This Row],[LUKB_id]],PID,0),MATCH("BID-ASK Spread %",PLabel,0)-1,1,1)</f>
        <v>3.0162412993039442E-2</v>
      </c>
      <c r="AE343" s="1898" t="str" cm="1">
        <f t="array" aca="1" ref="AE343" ca="1">IF(OFFSET(POrigin,MATCH(Valori[[#This Row],[LUKB_id]],PID,0),MATCH("MATURITY",PLabel,0)-1,1,1)&gt;0,OFFSET(POrigin,MATCH(Valori[[#This Row],[LUKB_id]],PID,0),MATCH("MATURITY",PLabel,0)-1,1,1),"")</f>
        <v/>
      </c>
      <c r="AF343" s="1899" cm="1">
        <f t="array" aca="1" ref="AF343" ca="1">OFFSET(POrigin,MATCH(Valori[[#This Row],[LUKB_id]],PID,0),MATCH("ACCINT",PLabel,0)-1,1,1)</f>
        <v>0</v>
      </c>
      <c r="AG343" s="1895" cm="1">
        <f t="array" aca="1" ref="AG343" ca="1">OFFSET(POrigin,MATCH(Valori[[#This Row],[LUKB_id]],PID,0),MATCH("DENOM",PLabel,0)-1,1,1)</f>
        <v>0</v>
      </c>
      <c r="AH343" s="1900" cm="1">
        <f t="array" aca="1" ref="AH343" ca="1">(OFFSET(POrigin,MATCH(Valori[[#This Row],[LUKB_id]],PID,0),MATCH("YIELD",PLabel,0)-1,1,1)+OFFSET(POrigin,MATCH(Valori[[#This Row],[LUKB_id]],PID,0),MATCH("YLDEQ",PLabel,0)-1,1,1))/100</f>
        <v>1.04312E-3</v>
      </c>
      <c r="AI343" s="1901">
        <f ca="1">OFFSET(POrigin,MATCH(Valori[[#This Row],[LUKB_id]],PID,0),MATCH("DIVIDEND",PLabel,0)-1,1,1)</f>
        <v>0.15</v>
      </c>
      <c r="AJ343" s="1902">
        <f ca="1">OFFSET(POrigin,MATCH(Valori[[#This Row],[LUKB_id]],PID,0),MATCH("DIVIDEND:datetime",PLabel,0)-1,1,1)</f>
        <v>45772</v>
      </c>
      <c r="AK343" s="1903">
        <f ca="1">OFFSET(POrigin,MATCH(Valori[[#This Row],[LUKB_id]],PID,0),MATCH("INTEREST",PLabel,0)-1,1,1)</f>
        <v>0</v>
      </c>
      <c r="AL343" s="1904">
        <f ca="1">OFFSET(POrigin,MATCH(Valori[[#This Row],[LUKB_id]],PID,0),MATCH("4W_PERF_PR",PLabel,0)-1,1,1)/100</f>
        <v>-1.304049E-2</v>
      </c>
      <c r="AM343" s="1904">
        <f ca="1">OFFSET(POrigin,MATCH(Valori[[#This Row],[LUKB_id]],PID,0),MATCH("12W_PERF_PR",PLabel,0)-1,1,1)/100</f>
        <v>-0.13111782</v>
      </c>
      <c r="AN343" s="1904">
        <f ca="1">OFFSET(POrigin,MATCH(Valori[[#This Row],[LUKB_id]],PID,0),MATCH("YTD_PERF_PR",PLabel,0)-1,1,1)/100</f>
        <v>-8.9450956199876794E-2</v>
      </c>
      <c r="AO343" s="1892"/>
      <c r="AP343" s="1892"/>
      <c r="AQ343" s="1892"/>
      <c r="AR343" s="1892"/>
      <c r="AS343" s="1890"/>
      <c r="AT343" s="1890"/>
      <c r="AU343" s="1607"/>
      <c r="AV343" s="1608"/>
      <c r="AW343" s="1609" t="str">
        <f ca="1">"https://boersenundmaerkte.lukb.ch/lukb/details/"&amp;Valori[[#This Row],[LUKB_id]]</f>
        <v>https://boersenundmaerkte.lukb.ch/lukb/details/133539272,4,1</v>
      </c>
      <c r="AX343"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3" s="142"/>
      <c r="AZ343" s="142"/>
      <c r="BA343" s="142"/>
      <c r="BB343" s="142"/>
    </row>
    <row r="344" spans="1:54" ht="15" customHeight="1" x14ac:dyDescent="0.2">
      <c r="A344" s="142" t="s">
        <v>1844</v>
      </c>
      <c r="B344" s="142" t="str" cm="1">
        <f t="array" aca="1" ref="B344" ca="1">OFFSET(POrigin,MATCH(Valori[[#This Row],[smo_id]],Posizioni[smo_id],0),MATCH("LUKB_id",PIntestazioni,0)-1,1,1)</f>
        <v>36067446,4,1</v>
      </c>
      <c r="C344" s="1668" t="str">
        <f ca="1">HYPERLINK("https://boersenundmaerkte.lukb.ch/lukb/details/"&amp;Valori[[#This Row],[LUKB_id]],"è")</f>
        <v>è</v>
      </c>
      <c r="D344" s="142" t="str" cm="1">
        <f t="array" aca="1" ref="D344" ca="1">OFFSET(POrigin,MATCH(Valori[[#This Row],[LUKB_id]],PID,0),MATCH("SC_GROUPED",PIntestazioni,0)-1,1,1)</f>
        <v>EQU</v>
      </c>
      <c r="E344" s="413" t="str" cm="1">
        <f t="array" aca="1" ref="E344" ca="1">OFFSET(POrigin,MATCH(Valori[[#This Row],[LUKB_id]],PID,0),MATCH("isin",PIntestazioni,0)-1,1,1)</f>
        <v>CH0360674466</v>
      </c>
      <c r="F344" s="34" t="str" cm="1">
        <f t="array" aca="1" ref="F344" ca="1">OFFSET(POrigin,MATCH(Valori[[#This Row],[LUKB_id]],PID,0),MATCH("NSIN_CH",PLabel,0)-1,1,1)</f>
        <v>36067446</v>
      </c>
      <c r="G344" s="95" t="str" cm="1">
        <f t="array" aca="1" ref="G344" ca="1">IF(OFFSET(POrigin,MATCH(Valori[[#This Row],[LUKB_id]],PID,0),MATCH("INSTRUNIT",PLabel,0)-1,1,1)="Nominal","Pct","Unit")</f>
        <v>Unit</v>
      </c>
      <c r="H344" s="612">
        <f ca="1">MAX(OFFSET(POrigin,MATCH(Valori[[#This Row],[LUKB_id]],PID,0),MATCH("PRICINGAMT",PLabel,0)-1,1,1),1)</f>
        <v>1</v>
      </c>
      <c r="I344" s="615" t="str" cm="1">
        <f t="array" aca="1" ref="I344" ca="1">OFFSET(POrigin,MATCH(Valori[[#This Row],[LUKB_id]],PID,0),MATCH("M_NAME",PLabel,0)-1,1,1)</f>
        <v>Galenica N</v>
      </c>
      <c r="J344" s="142" t="s">
        <v>401</v>
      </c>
      <c r="M344" s="142" t="str" cm="1">
        <f t="array" aca="1" ref="M3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Galenica N</v>
      </c>
      <c r="N344" s="1563">
        <f ca="1">COUNTIF('CHF M'!smo_id,Valori[[#This Row],[smo_id]])+COUNTIF('CHF MA'!smo_id,Valori[[#This Row],[smo_id]])+COUNTIF('EUR MB'!smo_id,Valori[[#This Row],[smo_id]])+COUNTIF('EUR M'!smo_id,Valori[[#This Row],[smo_id]])+COUNTIF(AGCO!smo_id,Valori[[#This Row],[smo_id]])</f>
        <v>2</v>
      </c>
      <c r="O344" s="1590" cm="1">
        <f t="array" aca="1" ref="O344" ca="1">SUM(IF('CHF M'!smo_id=Valori[[#This Row],[smo_id]],'CHF M'!Posizione))+SUM(IF('CHF MA'!smo_id=Valori[[#This Row],[smo_id]],'CHF MA'!Posizione))+SUM(IF('EUR MB'!smo_id=Valori[[#This Row],[smo_id]],'EUR MB'!Posizione))+SUM(IF('EUR M'!smo_id=Valori[[#This Row],[smo_id]],'EUR M'!Posizione))+SUM(IF(AGCO!smo_id=Valori[[#This Row],[smo_id]],AGCO!Posizione))</f>
        <v>1400</v>
      </c>
      <c r="P344" s="1661" t="str">
        <f ca="1">HYPERLINK(Valori[[#This Row],[P_Source]],"è")</f>
        <v>è</v>
      </c>
      <c r="Q344" s="1663" t="str">
        <f>HYPERLINK(Valori[[#This Row],[Info_W]],"i")</f>
        <v>i</v>
      </c>
      <c r="R344" s="1664" t="str">
        <f>HYPERLINK(Valori[[#This Row],[FN_W]],"")</f>
        <v></v>
      </c>
      <c r="S344" s="1665" t="str">
        <f>HYPERLINK(Valori[[#This Row],[MS_Link]],"")</f>
        <v></v>
      </c>
      <c r="T344" s="1665" t="str">
        <f>HYPERLINK(Valori[[#This Row],[C_source]],"")</f>
        <v></v>
      </c>
      <c r="U344" s="142" t="str" cm="1">
        <f t="array" aca="1" ref="U344" ca="1">OFFSET(POrigin,MATCH(Valori[[#This Row],[LUKB_id]],PID,0),MATCH("M_CUR",PLabel,0)-1,1,1)</f>
        <v>CHF</v>
      </c>
      <c r="V344" s="1562">
        <f ca="1">(Valori[[#This Row],[Last]]+Valori[[#This Row],[Acc. Int]])/Valori[[#This Row],[Pr.Amt]]/IF(Valori[[#This Row],[P_Type]]="Pct",100,1)</f>
        <v>94.800000000000011</v>
      </c>
      <c r="W344" s="1591" cm="1">
        <f t="array" aca="1" ref="W344" ca="1">OFFSET(POrigin,MATCH(Valori[[#This Row],[LUKB_id]],PID,0),MATCH("NC2_PR",PLabel,0)-1,1,1)/100</f>
        <v>-4.2016806722688996E-3</v>
      </c>
      <c r="X344" s="1592" cm="1">
        <f t="array" aca="1" ref="X344" ca="1">OFFSET(POrigin,MATCH(Valori[[#This Row],[LUKB_id]],PID,0),MATCH("LVAL",PLabel,0)-1,1,1)</f>
        <v>94.800000000000011</v>
      </c>
      <c r="Y344" s="1593" cm="1">
        <f t="array" aca="1" ref="Y344" ca="1">OFFSET(POrigin,MATCH(Valori[[#This Row],[LUKB_id]],PID,0),MATCH("LVAL:datetime",PLabel,0)-1,1,1)</f>
        <v>46084.730081018519</v>
      </c>
      <c r="Z344" s="1594" cm="1">
        <f t="array" aca="1" ref="Z344" ca="1">OFFSET(POrigin,MATCH(Valori[[#This Row],[LUKB_id]],PID,0),MATCH("BID:volume",PLabel,0)-1,1,1)</f>
        <v>1500</v>
      </c>
      <c r="AA344" s="1595" cm="1">
        <f t="array" aca="1" ref="AA344" ca="1">OFFSET(POrigin,MATCH(Valori[[#This Row],[LUKB_id]],PID,0),MATCH("BID",PLabel,0)-1,1,1)</f>
        <v>93.2</v>
      </c>
      <c r="AB344" s="1595" cm="1">
        <f t="array" aca="1" ref="AB344" ca="1">OFFSET(POrigin,MATCH(Valori[[#This Row],[LUKB_id]],PID,0),MATCH("ASK",PLabel,0)-1,1,1)</f>
        <v>0</v>
      </c>
      <c r="AC344" s="1594" cm="1">
        <f t="array" aca="1" ref="AC344" ca="1">OFFSET(POrigin,MATCH(Valori[[#This Row],[LUKB_id]],PID,0),MATCH("ASK:volume",PLabel,0)-1,1,1)</f>
        <v>0</v>
      </c>
      <c r="AD344" s="1596" cm="1">
        <f t="array" aca="1" ref="AD344" ca="1">OFFSET(POrigin,MATCH(Valori[[#This Row],[LUKB_id]],PID,0),MATCH("BID-ASK Spread %",PLabel,0)-1,1,1)</f>
        <v>0</v>
      </c>
      <c r="AE344" s="1597" t="str" cm="1">
        <f t="array" aca="1" ref="AE344" ca="1">IF(OFFSET(POrigin,MATCH(Valori[[#This Row],[LUKB_id]],PID,0),MATCH("MATURITY",PLabel,0)-1,1,1)&gt;0,OFFSET(POrigin,MATCH(Valori[[#This Row],[LUKB_id]],PID,0),MATCH("MATURITY",PLabel,0)-1,1,1),"")</f>
        <v/>
      </c>
      <c r="AF344" s="1598" cm="1">
        <f t="array" aca="1" ref="AF344" ca="1">OFFSET(POrigin,MATCH(Valori[[#This Row],[LUKB_id]],PID,0),MATCH("ACCINT",PLabel,0)-1,1,1)</f>
        <v>0</v>
      </c>
      <c r="AG344" s="1594" cm="1">
        <f t="array" aca="1" ref="AG344" ca="1">OFFSET(POrigin,MATCH(Valori[[#This Row],[LUKB_id]],PID,0),MATCH("DENOM",PLabel,0)-1,1,1)</f>
        <v>0</v>
      </c>
      <c r="AH344" s="1599" cm="1">
        <f t="array" aca="1" ref="AH344" ca="1">(OFFSET(POrigin,MATCH(Valori[[#This Row],[LUKB_id]],PID,0),MATCH("YIELD",PLabel,0)-1,1,1)+OFFSET(POrigin,MATCH(Valori[[#This Row],[LUKB_id]],PID,0),MATCH("YLDEQ",PLabel,0)-1,1,1))/100</f>
        <v>2.4261600000000005E-2</v>
      </c>
      <c r="AI344" s="1600">
        <f ca="1">OFFSET(POrigin,MATCH(Valori[[#This Row],[LUKB_id]],PID,0),MATCH("DIVIDEND",PLabel,0)-1,1,1)</f>
        <v>2.3000000000000003</v>
      </c>
      <c r="AJ344" s="1601">
        <f ca="1">OFFSET(POrigin,MATCH(Valori[[#This Row],[LUKB_id]],PID,0),MATCH("DIVIDEND:datetime",PLabel,0)-1,1,1)</f>
        <v>45761</v>
      </c>
      <c r="AK344" s="1602">
        <f ca="1">OFFSET(POrigin,MATCH(Valori[[#This Row],[LUKB_id]],PID,0),MATCH("INTEREST",PLabel,0)-1,1,1)</f>
        <v>0</v>
      </c>
      <c r="AL344" s="1603">
        <f ca="1">OFFSET(POrigin,MATCH(Valori[[#This Row],[LUKB_id]],PID,0),MATCH("4W_PERF_PR",PLabel,0)-1,1,1)/100</f>
        <v>-2.5693729999999998E-2</v>
      </c>
      <c r="AM344" s="1603">
        <f ca="1">OFFSET(POrigin,MATCH(Valori[[#This Row],[LUKB_id]],PID,0),MATCH("12W_PERF_PR",PLabel,0)-1,1,1)/100</f>
        <v>3.155604E-2</v>
      </c>
      <c r="AN344" s="1603">
        <f ca="1">OFFSET(POrigin,MATCH(Valori[[#This Row],[LUKB_id]],PID,0),MATCH("YTD_PERF_PR",PLabel,0)-1,1,1)/100</f>
        <v>-2.5588536335721602E-2</v>
      </c>
      <c r="AO344" s="1591"/>
      <c r="AP344" s="1591"/>
      <c r="AQ344" s="1591"/>
      <c r="AR344" s="1591"/>
      <c r="AS344" s="1890"/>
      <c r="AT344" s="1890"/>
      <c r="AU344" s="610"/>
      <c r="AV344" s="1891"/>
      <c r="AW344" s="1604" t="str">
        <f ca="1">"https://boersenundmaerkte.lukb.ch/lukb/details/"&amp;Valori[[#This Row],[LUKB_id]]</f>
        <v>https://boersenundmaerkte.lukb.ch/lukb/details/36067446,4,1</v>
      </c>
      <c r="AX34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4" s="142"/>
      <c r="AZ344" s="142"/>
      <c r="BA344" s="142"/>
      <c r="BB344" s="142"/>
    </row>
    <row r="345" spans="1:54" ht="15" customHeight="1" x14ac:dyDescent="0.2">
      <c r="A345" s="142" t="s">
        <v>1845</v>
      </c>
      <c r="B345" s="142" t="str" cm="1">
        <f t="array" aca="1" ref="B345" ca="1">OFFSET(POrigin,MATCH(Valori[[#This Row],[smo_id]],Posizioni[smo_id],0),MATCH("LUKB_id",PIntestazioni,0)-1,1,1)</f>
        <v>112258433,321,333</v>
      </c>
      <c r="C345" s="1668" t="str">
        <f ca="1">HYPERLINK("https://boersenundmaerkte.lukb.ch/lukb/details/"&amp;Valori[[#This Row],[LUKB_id]],"è")</f>
        <v>è</v>
      </c>
      <c r="D345" s="142" t="str" cm="1">
        <f t="array" aca="1" ref="D345" ca="1">OFFSET(POrigin,MATCH(Valori[[#This Row],[LUKB_id]],PID,0),MATCH("SC_GROUPED",PIntestazioni,0)-1,1,1)</f>
        <v>EQU</v>
      </c>
      <c r="E345" s="413" t="str" cm="1">
        <f t="array" aca="1" ref="E345" ca="1">OFFSET(POrigin,MATCH(Valori[[#This Row],[LUKB_id]],PID,0),MATCH("isin",PIntestazioni,0)-1,1,1)</f>
        <v>US3696043013</v>
      </c>
      <c r="F345" s="34" t="str" cm="1">
        <f t="array" aca="1" ref="F345" ca="1">OFFSET(POrigin,MATCH(Valori[[#This Row],[LUKB_id]],PID,0),MATCH("NSIN_CH",PLabel,0)-1,1,1)</f>
        <v>112258433</v>
      </c>
      <c r="G345" s="95" t="str" cm="1">
        <f t="array" aca="1" ref="G345" ca="1">IF(OFFSET(POrigin,MATCH(Valori[[#This Row],[LUKB_id]],PID,0),MATCH("INSTRUNIT",PLabel,0)-1,1,1)="Nominal","Pct","Unit")</f>
        <v>Unit</v>
      </c>
      <c r="H345" s="612">
        <f ca="1">MAX(OFFSET(POrigin,MATCH(Valori[[#This Row],[LUKB_id]],PID,0),MATCH("PRICINGAMT",PLabel,0)-1,1,1),1)</f>
        <v>1</v>
      </c>
      <c r="I345" s="615" t="str" cm="1">
        <f t="array" aca="1" ref="I345" ca="1">OFFSET(POrigin,MATCH(Valori[[#This Row],[LUKB_id]],PID,0),MATCH("M_NAME",PLabel,0)-1,1,1)</f>
        <v>GE Aerospace Rg</v>
      </c>
      <c r="J345" s="142" t="s">
        <v>894</v>
      </c>
      <c r="M345" s="142" t="str" cm="1">
        <f t="array" aca="1" ref="M3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Aerospace Rg</v>
      </c>
      <c r="N345" s="1563">
        <f ca="1">COUNTIF('CHF M'!smo_id,Valori[[#This Row],[smo_id]])+COUNTIF('CHF MA'!smo_id,Valori[[#This Row],[smo_id]])+COUNTIF('EUR MB'!smo_id,Valori[[#This Row],[smo_id]])+COUNTIF('EUR M'!smo_id,Valori[[#This Row],[smo_id]])+COUNTIF(AGCO!smo_id,Valori[[#This Row],[smo_id]])</f>
        <v>1</v>
      </c>
      <c r="O345" s="1590" cm="1">
        <f t="array" aca="1" ref="O345" ca="1">SUM(IF('CHF M'!smo_id=Valori[[#This Row],[smo_id]],'CHF M'!Posizione))+SUM(IF('CHF MA'!smo_id=Valori[[#This Row],[smo_id]],'CHF MA'!Posizione))+SUM(IF('EUR MB'!smo_id=Valori[[#This Row],[smo_id]],'EUR MB'!Posizione))+SUM(IF('EUR M'!smo_id=Valori[[#This Row],[smo_id]],'EUR M'!Posizione))+SUM(IF(AGCO!smo_id=Valori[[#This Row],[smo_id]],AGCO!Posizione))</f>
        <v>75</v>
      </c>
      <c r="P345" s="1661" t="str">
        <f ca="1">HYPERLINK(Valori[[#This Row],[P_Source]],"è")</f>
        <v>è</v>
      </c>
      <c r="Q345" s="1663" t="str">
        <f>HYPERLINK(Valori[[#This Row],[Info_W]],"i")</f>
        <v>i</v>
      </c>
      <c r="R345" s="1664" t="str">
        <f>HYPERLINK(Valori[[#This Row],[FN_W]],"")</f>
        <v></v>
      </c>
      <c r="S345" s="1665" t="str">
        <f>HYPERLINK(Valori[[#This Row],[MS_Link]],"")</f>
        <v></v>
      </c>
      <c r="T345" s="1665" t="str">
        <f>HYPERLINK(Valori[[#This Row],[C_source]],"")</f>
        <v></v>
      </c>
      <c r="U345" s="142" t="str" cm="1">
        <f t="array" aca="1" ref="U345" ca="1">OFFSET(POrigin,MATCH(Valori[[#This Row],[LUKB_id]],PID,0),MATCH("M_CUR",PLabel,0)-1,1,1)</f>
        <v>USD</v>
      </c>
      <c r="V345" s="1562">
        <f ca="1">(Valori[[#This Row],[Last]]+Valori[[#This Row],[Acc. Int]])/Valori[[#This Row],[Pr.Amt]]/IF(Valori[[#This Row],[P_Type]]="Pct",100,1)</f>
        <v>335.71</v>
      </c>
      <c r="W345" s="1591" cm="1">
        <f t="array" aca="1" ref="W345" ca="1">OFFSET(POrigin,MATCH(Valori[[#This Row],[LUKB_id]],PID,0),MATCH("NC2_PR",PLabel,0)-1,1,1)/100</f>
        <v>-2.9010238907849997E-2</v>
      </c>
      <c r="X345" s="1592" cm="1">
        <f t="array" aca="1" ref="X345" ca="1">OFFSET(POrigin,MATCH(Valori[[#This Row],[LUKB_id]],PID,0),MATCH("LVAL",PLabel,0)-1,1,1)</f>
        <v>335.71</v>
      </c>
      <c r="Y345" s="1593" cm="1">
        <f t="array" aca="1" ref="Y345" ca="1">OFFSET(POrigin,MATCH(Valori[[#This Row],[LUKB_id]],PID,0),MATCH("LVAL:datetime",PLabel,0)-1,1,1)</f>
        <v>46084.785821759258</v>
      </c>
      <c r="Z345" s="1594" cm="1">
        <f t="array" aca="1" ref="Z345" ca="1">OFFSET(POrigin,MATCH(Valori[[#This Row],[LUKB_id]],PID,0),MATCH("BID:volume",PLabel,0)-1,1,1)</f>
        <v>120</v>
      </c>
      <c r="AA345" s="1595" cm="1">
        <f t="array" aca="1" ref="AA345" ca="1">OFFSET(POrigin,MATCH(Valori[[#This Row],[LUKB_id]],PID,0),MATCH("BID",PLabel,0)-1,1,1)</f>
        <v>335.6</v>
      </c>
      <c r="AB345" s="1595" cm="1">
        <f t="array" aca="1" ref="AB345" ca="1">OFFSET(POrigin,MATCH(Valori[[#This Row],[LUKB_id]],PID,0),MATCH("ASK",PLabel,0)-1,1,1)</f>
        <v>335.81</v>
      </c>
      <c r="AC345" s="1594" cm="1">
        <f t="array" aca="1" ref="AC345" ca="1">OFFSET(POrigin,MATCH(Valori[[#This Row],[LUKB_id]],PID,0),MATCH("ASK:volume",PLabel,0)-1,1,1)</f>
        <v>40</v>
      </c>
      <c r="AD345" s="1596" cm="1">
        <f t="array" aca="1" ref="AD345" ca="1">OFFSET(POrigin,MATCH(Valori[[#This Row],[LUKB_id]],PID,0),MATCH("BID-ASK Spread %",PLabel,0)-1,1,1)</f>
        <v>4.1707629517081168E-4</v>
      </c>
      <c r="AE345" s="1597" t="str" cm="1">
        <f t="array" aca="1" ref="AE345" ca="1">IF(OFFSET(POrigin,MATCH(Valori[[#This Row],[LUKB_id]],PID,0),MATCH("MATURITY",PLabel,0)-1,1,1)&gt;0,OFFSET(POrigin,MATCH(Valori[[#This Row],[LUKB_id]],PID,0),MATCH("MATURITY",PLabel,0)-1,1,1),"")</f>
        <v/>
      </c>
      <c r="AF345" s="1598" cm="1">
        <f t="array" aca="1" ref="AF345" ca="1">OFFSET(POrigin,MATCH(Valori[[#This Row],[LUKB_id]],PID,0),MATCH("ACCINT",PLabel,0)-1,1,1)</f>
        <v>0</v>
      </c>
      <c r="AG345" s="1594" cm="1">
        <f t="array" aca="1" ref="AG345" ca="1">OFFSET(POrigin,MATCH(Valori[[#This Row],[LUKB_id]],PID,0),MATCH("DENOM",PLabel,0)-1,1,1)</f>
        <v>0</v>
      </c>
      <c r="AH345" s="1599" cm="1">
        <f t="array" aca="1" ref="AH345" ca="1">(OFFSET(POrigin,MATCH(Valori[[#This Row],[LUKB_id]],PID,0),MATCH("YIELD",PLabel,0)-1,1,1)+OFFSET(POrigin,MATCH(Valori[[#This Row],[LUKB_id]],PID,0),MATCH("YLDEQ",PLabel,0)-1,1,1))/100</f>
        <v>4.6170799999999991E-3</v>
      </c>
      <c r="AI345" s="1600">
        <f ca="1">OFFSET(POrigin,MATCH(Valori[[#This Row],[LUKB_id]],PID,0),MATCH("DIVIDEND",PLabel,0)-1,1,1)</f>
        <v>0.36</v>
      </c>
      <c r="AJ345" s="1601">
        <f ca="1">OFFSET(POrigin,MATCH(Valori[[#This Row],[LUKB_id]],PID,0),MATCH("DIVIDEND:datetime",PLabel,0)-1,1,1)</f>
        <v>46020</v>
      </c>
      <c r="AK345" s="1602">
        <f ca="1">OFFSET(POrigin,MATCH(Valori[[#This Row],[LUKB_id]],PID,0),MATCH("INTEREST",PLabel,0)-1,1,1)</f>
        <v>0</v>
      </c>
      <c r="AL345" s="1603">
        <f ca="1">OFFSET(POrigin,MATCH(Valori[[#This Row],[LUKB_id]],PID,0),MATCH("4W_PERF_PR",PLabel,0)-1,1,1)/100</f>
        <v>8.3180069999999995E-2</v>
      </c>
      <c r="AM345" s="1603">
        <f ca="1">OFFSET(POrigin,MATCH(Valori[[#This Row],[LUKB_id]],PID,0),MATCH("12W_PERF_PR",PLabel,0)-1,1,1)/100</f>
        <v>0.17664995999999999</v>
      </c>
      <c r="AN345" s="1603">
        <f ca="1">OFFSET(POrigin,MATCH(Valori[[#This Row],[LUKB_id]],PID,0),MATCH("YTD_PERF_PR",PLabel,0)-1,1,1)/100</f>
        <v>0.12242314060318801</v>
      </c>
      <c r="AO345" s="1591"/>
      <c r="AP345" s="1591"/>
      <c r="AQ345" s="1591"/>
      <c r="AR345" s="1591"/>
      <c r="AS345" s="1890"/>
      <c r="AT345" s="1890" t="s">
        <v>1846</v>
      </c>
      <c r="AU345" s="610" t="s">
        <v>1847</v>
      </c>
      <c r="AV345" s="1891" t="str">
        <f>IF(Valori[[#This Row],[MS_Link]]&lt;&gt;"",Valori[[#This Row],[MS_Link]]&amp;"company/","")</f>
        <v>https://www.marketscreener.com/quote/stock/GENERAL-ELECTRIC-COMPANY-4823/company/</v>
      </c>
      <c r="AW345" s="1604" t="str">
        <f ca="1">"https://boersenundmaerkte.lukb.ch/lukb/details/"&amp;Valori[[#This Row],[LUKB_id]]</f>
        <v>https://boersenundmaerkte.lukb.ch/lukb/details/112258433,321,333</v>
      </c>
      <c r="AX345" s="1605" t="str">
        <f>"https://www.zonebourse.com/mods_a/charts/TV/inc_dyna_graph.php?c="&amp;Valori[[#This Row],[MS_Code]]&amp;"&amp;style=TradingView.CANDLES&amp;interval=(null)&amp;mobile=(null)&amp;showAT=1"</f>
        <v>https://www.zonebourse.com/mods_a/charts/TV/inc_dyna_graph.php?c=4823&amp;style=TradingView.CANDLES&amp;interval=(null)&amp;mobile=(null)&amp;showAT=1</v>
      </c>
      <c r="AY345" s="142"/>
      <c r="AZ345" s="142"/>
      <c r="BA345" s="142"/>
      <c r="BB345" s="142"/>
    </row>
    <row r="346" spans="1:54" ht="15" customHeight="1" x14ac:dyDescent="0.2">
      <c r="A346" s="142" t="s">
        <v>1848</v>
      </c>
      <c r="B346" s="142" t="str" cm="1">
        <f t="array" aca="1" ref="B346" ca="1">OFFSET(POrigin,MATCH(Valori[[#This Row],[smo_id]],Posizioni[smo_id],0),MATCH("LUKB_id",PIntestazioni,0)-1,1,1)</f>
        <v>133262491,321,333</v>
      </c>
      <c r="C346" s="1668" t="str">
        <f ca="1">HYPERLINK("https://boersenundmaerkte.lukb.ch/lukb/details/"&amp;Valori[[#This Row],[LUKB_id]],"è")</f>
        <v>è</v>
      </c>
      <c r="D346" s="142" t="str" cm="1">
        <f t="array" aca="1" ref="D346" ca="1">OFFSET(POrigin,MATCH(Valori[[#This Row],[LUKB_id]],PID,0),MATCH("SC_GROUPED",PIntestazioni,0)-1,1,1)</f>
        <v>EQU</v>
      </c>
      <c r="E346" s="413" t="str" cm="1">
        <f t="array" aca="1" ref="E346" ca="1">OFFSET(POrigin,MATCH(Valori[[#This Row],[LUKB_id]],PID,0),MATCH("isin",PIntestazioni,0)-1,1,1)</f>
        <v>US36828A1016</v>
      </c>
      <c r="F346" s="34" t="str" cm="1">
        <f t="array" aca="1" ref="F346" ca="1">OFFSET(POrigin,MATCH(Valori[[#This Row],[LUKB_id]],PID,0),MATCH("NSIN_CH",PLabel,0)-1,1,1)</f>
        <v>133262491</v>
      </c>
      <c r="G346" s="95" t="str" cm="1">
        <f t="array" aca="1" ref="G346" ca="1">IF(OFFSET(POrigin,MATCH(Valori[[#This Row],[LUKB_id]],PID,0),MATCH("INSTRUNIT",PLabel,0)-1,1,1)="Nominal","Pct","Unit")</f>
        <v>Unit</v>
      </c>
      <c r="H346" s="612">
        <f ca="1">MAX(OFFSET(POrigin,MATCH(Valori[[#This Row],[LUKB_id]],PID,0),MATCH("PRICINGAMT",PLabel,0)-1,1,1),1)</f>
        <v>1</v>
      </c>
      <c r="I346" s="615" t="str" cm="1">
        <f t="array" aca="1" ref="I346" ca="1">OFFSET(POrigin,MATCH(Valori[[#This Row],[LUKB_id]],PID,0),MATCH("M_NAME",PLabel,0)-1,1,1)</f>
        <v>GE Vernova Rg</v>
      </c>
      <c r="M346" s="142" t="str" cm="1">
        <f t="array" aca="1" ref="M3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Vernova Rg</v>
      </c>
      <c r="N346" s="1563">
        <f ca="1">COUNTIF('CHF M'!smo_id,Valori[[#This Row],[smo_id]])+COUNTIF('CHF MA'!smo_id,Valori[[#This Row],[smo_id]])+COUNTIF('EUR MB'!smo_id,Valori[[#This Row],[smo_id]])+COUNTIF('EUR M'!smo_id,Valori[[#This Row],[smo_id]])+COUNTIF(AGCO!smo_id,Valori[[#This Row],[smo_id]])</f>
        <v>1</v>
      </c>
      <c r="O346" s="1590" cm="1">
        <f t="array" aca="1" ref="O346" ca="1">SUM(IF('CHF M'!smo_id=Valori[[#This Row],[smo_id]],'CHF M'!Posizione))+SUM(IF('CHF MA'!smo_id=Valori[[#This Row],[smo_id]],'CHF MA'!Posizione))+SUM(IF('EUR MB'!smo_id=Valori[[#This Row],[smo_id]],'EUR MB'!Posizione))+SUM(IF('EUR M'!smo_id=Valori[[#This Row],[smo_id]],'EUR M'!Posizione))+SUM(IF(AGCO!smo_id=Valori[[#This Row],[smo_id]],AGCO!Posizione))</f>
        <v>18</v>
      </c>
      <c r="P346" s="1661" t="str">
        <f ca="1">HYPERLINK(Valori[[#This Row],[P_Source]],"è")</f>
        <v>è</v>
      </c>
      <c r="Q346" s="1663" t="str">
        <f>HYPERLINK(Valori[[#This Row],[Info_W]],"i")</f>
        <v>i</v>
      </c>
      <c r="R346" s="1664" t="str">
        <f>HYPERLINK(Valori[[#This Row],[FN_W]],"")</f>
        <v></v>
      </c>
      <c r="S346" s="1665" t="str">
        <f>HYPERLINK(Valori[[#This Row],[MS_Link]],"")</f>
        <v></v>
      </c>
      <c r="T346" s="1665" t="str">
        <f>HYPERLINK(Valori[[#This Row],[C_source]],"")</f>
        <v></v>
      </c>
      <c r="U346" s="142" t="str" cm="1">
        <f t="array" aca="1" ref="U346" ca="1">OFFSET(POrigin,MATCH(Valori[[#This Row],[LUKB_id]],PID,0),MATCH("M_CUR",PLabel,0)-1,1,1)</f>
        <v>USD</v>
      </c>
      <c r="V346" s="1562">
        <f ca="1">(Valori[[#This Row],[Last]]+Valori[[#This Row],[Acc. Int]])/Valori[[#This Row],[Pr.Amt]]/IF(Valori[[#This Row],[P_Type]]="Pct",100,1)</f>
        <v>854.5</v>
      </c>
      <c r="W346" s="1591" cm="1">
        <f t="array" aca="1" ref="W346" ca="1">OFFSET(POrigin,MATCH(Valori[[#This Row],[LUKB_id]],PID,0),MATCH("NC2_PR",PLabel,0)-1,1,1)/100</f>
        <v>-3.0277582332781199E-2</v>
      </c>
      <c r="X346" s="1592" cm="1">
        <f t="array" aca="1" ref="X346" ca="1">OFFSET(POrigin,MATCH(Valori[[#This Row],[LUKB_id]],PID,0),MATCH("LVAL",PLabel,0)-1,1,1)</f>
        <v>854.5</v>
      </c>
      <c r="Y346" s="1593" cm="1">
        <f t="array" aca="1" ref="Y346" ca="1">OFFSET(POrigin,MATCH(Valori[[#This Row],[LUKB_id]],PID,0),MATCH("LVAL:datetime",PLabel,0)-1,1,1)</f>
        <v>46084.785798611112</v>
      </c>
      <c r="Z346" s="1594" cm="1">
        <f t="array" aca="1" ref="Z346" ca="1">OFFSET(POrigin,MATCH(Valori[[#This Row],[LUKB_id]],PID,0),MATCH("BID:volume",PLabel,0)-1,1,1)</f>
        <v>40</v>
      </c>
      <c r="AA346" s="1595" cm="1">
        <f t="array" aca="1" ref="AA346" ca="1">OFFSET(POrigin,MATCH(Valori[[#This Row],[LUKB_id]],PID,0),MATCH("BID",PLabel,0)-1,1,1)</f>
        <v>853.51</v>
      </c>
      <c r="AB346" s="1595" cm="1">
        <f t="array" aca="1" ref="AB346" ca="1">OFFSET(POrigin,MATCH(Valori[[#This Row],[LUKB_id]],PID,0),MATCH("ASK",PLabel,0)-1,1,1)</f>
        <v>855</v>
      </c>
      <c r="AC346" s="1594" cm="1">
        <f t="array" aca="1" ref="AC346" ca="1">OFFSET(POrigin,MATCH(Valori[[#This Row],[LUKB_id]],PID,0),MATCH("ASK:volume",PLabel,0)-1,1,1)</f>
        <v>80</v>
      </c>
      <c r="AD346" s="1596" cm="1">
        <f t="array" aca="1" ref="AD346" ca="1">OFFSET(POrigin,MATCH(Valori[[#This Row],[LUKB_id]],PID,0),MATCH("BID-ASK Spread %",PLabel,0)-1,1,1)</f>
        <v>1.1631447061303262E-3</v>
      </c>
      <c r="AE346" s="1597" t="str" cm="1">
        <f t="array" aca="1" ref="AE346" ca="1">IF(OFFSET(POrigin,MATCH(Valori[[#This Row],[LUKB_id]],PID,0),MATCH("MATURITY",PLabel,0)-1,1,1)&gt;0,OFFSET(POrigin,MATCH(Valori[[#This Row],[LUKB_id]],PID,0),MATCH("MATURITY",PLabel,0)-1,1,1),"")</f>
        <v/>
      </c>
      <c r="AF346" s="1598" cm="1">
        <f t="array" aca="1" ref="AF346" ca="1">OFFSET(POrigin,MATCH(Valori[[#This Row],[LUKB_id]],PID,0),MATCH("ACCINT",PLabel,0)-1,1,1)</f>
        <v>0</v>
      </c>
      <c r="AG346" s="1594" cm="1">
        <f t="array" aca="1" ref="AG346" ca="1">OFFSET(POrigin,MATCH(Valori[[#This Row],[LUKB_id]],PID,0),MATCH("DENOM",PLabel,0)-1,1,1)</f>
        <v>0</v>
      </c>
      <c r="AH346" s="1599" cm="1">
        <f t="array" aca="1" ref="AH346" ca="1">(OFFSET(POrigin,MATCH(Valori[[#This Row],[LUKB_id]],PID,0),MATCH("YIELD",PLabel,0)-1,1,1)+OFFSET(POrigin,MATCH(Valori[[#This Row],[LUKB_id]],PID,0),MATCH("YLDEQ",PLabel,0)-1,1,1))/100</f>
        <v>1.75541E-3</v>
      </c>
      <c r="AI346" s="1600">
        <f ca="1">OFFSET(POrigin,MATCH(Valori[[#This Row],[LUKB_id]],PID,0),MATCH("DIVIDEND",PLabel,0)-1,1,1)</f>
        <v>0.5</v>
      </c>
      <c r="AJ346" s="1601">
        <f ca="1">OFFSET(POrigin,MATCH(Valori[[#This Row],[LUKB_id]],PID,0),MATCH("DIVIDEND:datetime",PLabel,0)-1,1,1)</f>
        <v>46027</v>
      </c>
      <c r="AK346" s="1602">
        <f ca="1">OFFSET(POrigin,MATCH(Valori[[#This Row],[LUKB_id]],PID,0),MATCH("INTEREST",PLabel,0)-1,1,1)</f>
        <v>0</v>
      </c>
      <c r="AL346" s="1603">
        <f ca="1">OFFSET(POrigin,MATCH(Valori[[#This Row],[LUKB_id]],PID,0),MATCH("4W_PERF_PR",PLabel,0)-1,1,1)/100</f>
        <v>9.5161809999999999E-2</v>
      </c>
      <c r="AM346" s="1603">
        <f ca="1">OFFSET(POrigin,MATCH(Valori[[#This Row],[LUKB_id]],PID,0),MATCH("12W_PERF_PR",PLabel,0)-1,1,1)/100</f>
        <v>0.36654406</v>
      </c>
      <c r="AN346" s="1603">
        <f ca="1">OFFSET(POrigin,MATCH(Valori[[#This Row],[LUKB_id]],PID,0),MATCH("YTD_PERF_PR",PLabel,0)-1,1,1)/100</f>
        <v>0.34825649892130994</v>
      </c>
      <c r="AO346" s="1591"/>
      <c r="AP346" s="1591"/>
      <c r="AQ346" s="1591"/>
      <c r="AR346" s="1591"/>
      <c r="AS346" s="1890"/>
      <c r="AT346" s="1890"/>
      <c r="AU346" s="610"/>
      <c r="AV346" s="1891"/>
      <c r="AW346" s="1604" t="str">
        <f ca="1">"https://boersenundmaerkte.lukb.ch/lukb/details/"&amp;Valori[[#This Row],[LUKB_id]]</f>
        <v>https://boersenundmaerkte.lukb.ch/lukb/details/133262491,321,333</v>
      </c>
      <c r="AX34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6" s="142"/>
      <c r="AZ346" s="142"/>
      <c r="BA346" s="142"/>
      <c r="BB346" s="142"/>
    </row>
    <row r="347" spans="1:54" ht="15" customHeight="1" x14ac:dyDescent="0.2">
      <c r="A347" s="142" t="s">
        <v>1849</v>
      </c>
      <c r="B347" s="142" t="str" cm="1">
        <f t="array" aca="1" ref="B347" ca="1">OFFSET(POrigin,MATCH(Valori[[#This Row],[smo_id]],Posizioni[smo_id],0),MATCH("LUKB_id",PIntestazioni,0)-1,1,1)</f>
        <v>360133,44,814</v>
      </c>
      <c r="C347" s="1668" t="str">
        <f ca="1">HYPERLINK("https://boersenundmaerkte.lukb.ch/lukb/details/"&amp;Valori[[#This Row],[LUKB_id]],"è")</f>
        <v>è</v>
      </c>
      <c r="D347" s="142" t="str" cm="1">
        <f t="array" aca="1" ref="D347" ca="1">OFFSET(POrigin,MATCH(Valori[[#This Row],[LUKB_id]],PID,0),MATCH("SC_GROUPED",PIntestazioni,0)-1,1,1)</f>
        <v>EQU</v>
      </c>
      <c r="E347" s="413" t="str" cm="1">
        <f t="array" aca="1" ref="E347" ca="1">OFFSET(POrigin,MATCH(Valori[[#This Row],[LUKB_id]],PID,0),MATCH("isin",PIntestazioni,0)-1,1,1)</f>
        <v>DE0006602006</v>
      </c>
      <c r="F347" s="34" t="str" cm="1">
        <f t="array" aca="1" ref="F347" ca="1">OFFSET(POrigin,MATCH(Valori[[#This Row],[LUKB_id]],PID,0),MATCH("NSIN_CH",PLabel,0)-1,1,1)</f>
        <v>360133</v>
      </c>
      <c r="G347" s="95" t="str" cm="1">
        <f t="array" aca="1" ref="G347" ca="1">IF(OFFSET(POrigin,MATCH(Valori[[#This Row],[LUKB_id]],PID,0),MATCH("INSTRUNIT",PLabel,0)-1,1,1)="Nominal","Pct","Unit")</f>
        <v>Unit</v>
      </c>
      <c r="H347" s="612">
        <f ca="1">MAX(OFFSET(POrigin,MATCH(Valori[[#This Row],[LUKB_id]],PID,0),MATCH("PRICINGAMT",PLabel,0)-1,1,1),1)</f>
        <v>1</v>
      </c>
      <c r="I347" s="615" t="str" cm="1">
        <f t="array" aca="1" ref="I347" ca="1">OFFSET(POrigin,MATCH(Valori[[#This Row],[LUKB_id]],PID,0),MATCH("M_NAME",PLabel,0)-1,1,1)</f>
        <v>GEA Group I</v>
      </c>
      <c r="M347" s="142" t="str" cm="1">
        <f t="array" aca="1" ref="M3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GEA Group I</v>
      </c>
      <c r="N347" s="1563">
        <f ca="1">COUNTIF('CHF M'!smo_id,Valori[[#This Row],[smo_id]])+COUNTIF('CHF MA'!smo_id,Valori[[#This Row],[smo_id]])+COUNTIF('EUR MB'!smo_id,Valori[[#This Row],[smo_id]])+COUNTIF('EUR M'!smo_id,Valori[[#This Row],[smo_id]])+COUNTIF(AGCO!smo_id,Valori[[#This Row],[smo_id]])</f>
        <v>0</v>
      </c>
      <c r="O347" s="1590" cm="1">
        <f t="array" aca="1" ref="O347" ca="1">SUM(IF('CHF M'!smo_id=Valori[[#This Row],[smo_id]],'CHF M'!Posizione))+SUM(IF('CHF MA'!smo_id=Valori[[#This Row],[smo_id]],'CHF MA'!Posizione))+SUM(IF('EUR MB'!smo_id=Valori[[#This Row],[smo_id]],'EUR MB'!Posizione))+SUM(IF('EUR M'!smo_id=Valori[[#This Row],[smo_id]],'EUR M'!Posizione))+SUM(IF(AGCO!smo_id=Valori[[#This Row],[smo_id]],AGCO!Posizione))</f>
        <v>0</v>
      </c>
      <c r="P347" s="1661" t="str">
        <f ca="1">HYPERLINK(Valori[[#This Row],[P_Source]],"è")</f>
        <v>è</v>
      </c>
      <c r="Q347" s="1663" t="str">
        <f>HYPERLINK(Valori[[#This Row],[Info_W]],"i")</f>
        <v>i</v>
      </c>
      <c r="R347" s="1664" t="str">
        <f>HYPERLINK(Valori[[#This Row],[FN_W]],"")</f>
        <v></v>
      </c>
      <c r="S347" s="1665" t="str">
        <f>HYPERLINK(Valori[[#This Row],[MS_Link]],"")</f>
        <v></v>
      </c>
      <c r="T347" s="1665" t="str">
        <f>HYPERLINK(Valori[[#This Row],[C_source]],"")</f>
        <v></v>
      </c>
      <c r="U347" s="142" t="str" cm="1">
        <f t="array" aca="1" ref="U347" ca="1">OFFSET(POrigin,MATCH(Valori[[#This Row],[LUKB_id]],PID,0),MATCH("M_CUR",PLabel,0)-1,1,1)</f>
        <v>EUR</v>
      </c>
      <c r="V347" s="1562">
        <f ca="1">(Valori[[#This Row],[Last]]+Valori[[#This Row],[Acc. Int]])/Valori[[#This Row],[Pr.Amt]]/IF(Valori[[#This Row],[P_Type]]="Pct",100,1)</f>
        <v>64.349999999999994</v>
      </c>
      <c r="W347" s="1591" cm="1">
        <f t="array" aca="1" ref="W347" ca="1">OFFSET(POrigin,MATCH(Valori[[#This Row],[LUKB_id]],PID,0),MATCH("NC2_PR",PLabel,0)-1,1,1)/100</f>
        <v>-2.3520485584218698E-2</v>
      </c>
      <c r="X347" s="1592" cm="1">
        <f t="array" aca="1" ref="X347" ca="1">OFFSET(POrigin,MATCH(Valori[[#This Row],[LUKB_id]],PID,0),MATCH("LVAL",PLabel,0)-1,1,1)</f>
        <v>64.349999999999994</v>
      </c>
      <c r="Y347" s="1593" cm="1">
        <f t="array" aca="1" ref="Y347" ca="1">OFFSET(POrigin,MATCH(Valori[[#This Row],[LUKB_id]],PID,0),MATCH("LVAL:datetime",PLabel,0)-1,1,1)</f>
        <v>46083.732951388891</v>
      </c>
      <c r="Z347" s="1594" cm="1">
        <f t="array" aca="1" ref="Z347" ca="1">OFFSET(POrigin,MATCH(Valori[[#This Row],[LUKB_id]],PID,0),MATCH("BID:volume",PLabel,0)-1,1,1)</f>
        <v>0</v>
      </c>
      <c r="AA347" s="1595" cm="1">
        <f t="array" aca="1" ref="AA347" ca="1">OFFSET(POrigin,MATCH(Valori[[#This Row],[LUKB_id]],PID,0),MATCH("BID",PLabel,0)-1,1,1)</f>
        <v>0</v>
      </c>
      <c r="AB347" s="1595" cm="1">
        <f t="array" aca="1" ref="AB347" ca="1">OFFSET(POrigin,MATCH(Valori[[#This Row],[LUKB_id]],PID,0),MATCH("ASK",PLabel,0)-1,1,1)</f>
        <v>0</v>
      </c>
      <c r="AC347" s="1594" cm="1">
        <f t="array" aca="1" ref="AC347" ca="1">OFFSET(POrigin,MATCH(Valori[[#This Row],[LUKB_id]],PID,0),MATCH("ASK:volume",PLabel,0)-1,1,1)</f>
        <v>0</v>
      </c>
      <c r="AD347" s="1596" cm="1">
        <f t="array" aca="1" ref="AD347" ca="1">OFFSET(POrigin,MATCH(Valori[[#This Row],[LUKB_id]],PID,0),MATCH("BID-ASK Spread %",PLabel,0)-1,1,1)</f>
        <v>0</v>
      </c>
      <c r="AE347" s="1597" t="str" cm="1">
        <f t="array" aca="1" ref="AE347" ca="1">IF(OFFSET(POrigin,MATCH(Valori[[#This Row],[LUKB_id]],PID,0),MATCH("MATURITY",PLabel,0)-1,1,1)&gt;0,OFFSET(POrigin,MATCH(Valori[[#This Row],[LUKB_id]],PID,0),MATCH("MATURITY",PLabel,0)-1,1,1),"")</f>
        <v/>
      </c>
      <c r="AF347" s="1598" cm="1">
        <f t="array" aca="1" ref="AF347" ca="1">OFFSET(POrigin,MATCH(Valori[[#This Row],[LUKB_id]],PID,0),MATCH("ACCINT",PLabel,0)-1,1,1)</f>
        <v>0</v>
      </c>
      <c r="AG347" s="1594" cm="1">
        <f t="array" aca="1" ref="AG347" ca="1">OFFSET(POrigin,MATCH(Valori[[#This Row],[LUKB_id]],PID,0),MATCH("DENOM",PLabel,0)-1,1,1)</f>
        <v>0</v>
      </c>
      <c r="AH347" s="1599" cm="1">
        <f t="array" aca="1" ref="AH347" ca="1">(OFFSET(POrigin,MATCH(Valori[[#This Row],[LUKB_id]],PID,0),MATCH("YIELD",PLabel,0)-1,1,1)+OFFSET(POrigin,MATCH(Valori[[#This Row],[LUKB_id]],PID,0),MATCH("YLDEQ",PLabel,0)-1,1,1))/100</f>
        <v>0</v>
      </c>
      <c r="AI347" s="1600">
        <f ca="1">OFFSET(POrigin,MATCH(Valori[[#This Row],[LUKB_id]],PID,0),MATCH("DIVIDEND",PLabel,0)-1,1,1)</f>
        <v>1.1500000000000001</v>
      </c>
      <c r="AJ347" s="1601">
        <f ca="1">OFFSET(POrigin,MATCH(Valori[[#This Row],[LUKB_id]],PID,0),MATCH("DIVIDEND:datetime",PLabel,0)-1,1,1)</f>
        <v>45779</v>
      </c>
      <c r="AK347" s="1602">
        <f ca="1">OFFSET(POrigin,MATCH(Valori[[#This Row],[LUKB_id]],PID,0),MATCH("INTEREST",PLabel,0)-1,1,1)</f>
        <v>0</v>
      </c>
      <c r="AL347" s="1603">
        <f ca="1">OFFSET(POrigin,MATCH(Valori[[#This Row],[LUKB_id]],PID,0),MATCH("4W_PERF_PR",PLabel,0)-1,1,1)/100</f>
        <v>4.3795620437956206E-2</v>
      </c>
      <c r="AM347" s="1603">
        <f ca="1">OFFSET(POrigin,MATCH(Valori[[#This Row],[LUKB_id]],PID,0),MATCH("12W_PERF_PR",PLabel,0)-1,1,1)/100</f>
        <v>0.17319963536918903</v>
      </c>
      <c r="AN347" s="1603">
        <f ca="1">OFFSET(POrigin,MATCH(Valori[[#This Row],[LUKB_id]],PID,0),MATCH("YTD_PERF_PR",PLabel,0)-1,1,1)/100</f>
        <v>0.11332179930795901</v>
      </c>
      <c r="AO347" s="1591"/>
      <c r="AP347" s="1591"/>
      <c r="AQ347" s="1591"/>
      <c r="AR347" s="1591"/>
      <c r="AS347" s="1890"/>
      <c r="AT347" s="1890"/>
      <c r="AU347" s="610"/>
      <c r="AV347" s="1891"/>
      <c r="AW347" s="1604" t="str">
        <f ca="1">"https://boersenundmaerkte.lukb.ch/lukb/details/"&amp;Valori[[#This Row],[LUKB_id]]</f>
        <v>https://boersenundmaerkte.lukb.ch/lukb/details/360133,44,814</v>
      </c>
      <c r="AX34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7" s="142"/>
      <c r="AZ347" s="142"/>
      <c r="BA347" s="142"/>
      <c r="BB347" s="142"/>
    </row>
    <row r="348" spans="1:54" ht="15" customHeight="1" x14ac:dyDescent="0.2">
      <c r="A348" s="142" t="s">
        <v>1851</v>
      </c>
      <c r="B348" s="142" t="str" cm="1">
        <f t="array" aca="1" ref="B348" ca="1">OFFSET(POrigin,MATCH(Valori[[#This Row],[smo_id]],Posizioni[smo_id],0),MATCH("LUKB_id",PIntestazioni,0)-1,1,1)</f>
        <v>1064593,4,1</v>
      </c>
      <c r="C348" s="1668" t="str">
        <f ca="1">HYPERLINK("https://boersenundmaerkte.lukb.ch/lukb/details/"&amp;Valori[[#This Row],[LUKB_id]],"è")</f>
        <v>è</v>
      </c>
      <c r="D348" s="142" t="str" cm="1">
        <f t="array" aca="1" ref="D348" ca="1">OFFSET(POrigin,MATCH(Valori[[#This Row],[LUKB_id]],PID,0),MATCH("SC_GROUPED",PIntestazioni,0)-1,1,1)</f>
        <v>EQU</v>
      </c>
      <c r="E348" s="413" t="str" cm="1">
        <f t="array" aca="1" ref="E348" ca="1">OFFSET(POrigin,MATCH(Valori[[#This Row],[LUKB_id]],PID,0),MATCH("isin",PIntestazioni,0)-1,1,1)</f>
        <v>CH0010645932</v>
      </c>
      <c r="F348" s="34" t="str" cm="1">
        <f t="array" aca="1" ref="F348" ca="1">OFFSET(POrigin,MATCH(Valori[[#This Row],[LUKB_id]],PID,0),MATCH("NSIN_CH",PLabel,0)-1,1,1)</f>
        <v>1064593</v>
      </c>
      <c r="G348" s="95" t="str" cm="1">
        <f t="array" aca="1" ref="G348" ca="1">IF(OFFSET(POrigin,MATCH(Valori[[#This Row],[LUKB_id]],PID,0),MATCH("INSTRUNIT",PLabel,0)-1,1,1)="Nominal","Pct","Unit")</f>
        <v>Unit</v>
      </c>
      <c r="H348" s="612">
        <f ca="1">MAX(OFFSET(POrigin,MATCH(Valori[[#This Row],[LUKB_id]],PID,0),MATCH("PRICINGAMT",PLabel,0)-1,1,1),1)</f>
        <v>1</v>
      </c>
      <c r="I348" s="615" t="str" cm="1">
        <f t="array" aca="1" ref="I348" ca="1">OFFSET(POrigin,MATCH(Valori[[#This Row],[LUKB_id]],PID,0),MATCH("M_NAME",PLabel,0)-1,1,1)</f>
        <v>Givaudan N</v>
      </c>
      <c r="J348" s="142" t="s">
        <v>458</v>
      </c>
      <c r="M348" s="142" t="str" cm="1">
        <f t="array" aca="1" ref="M3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Givaudan SA</v>
      </c>
      <c r="N348" s="1563">
        <f ca="1">COUNTIF('CHF M'!smo_id,Valori[[#This Row],[smo_id]])+COUNTIF('CHF MA'!smo_id,Valori[[#This Row],[smo_id]])+COUNTIF('EUR MB'!smo_id,Valori[[#This Row],[smo_id]])+COUNTIF('EUR M'!smo_id,Valori[[#This Row],[smo_id]])+COUNTIF(AGCO!smo_id,Valori[[#This Row],[smo_id]])</f>
        <v>0</v>
      </c>
      <c r="O348" s="1590" cm="1">
        <f t="array" aca="1" ref="O348" ca="1">SUM(IF('CHF M'!smo_id=Valori[[#This Row],[smo_id]],'CHF M'!Posizione))+SUM(IF('CHF MA'!smo_id=Valori[[#This Row],[smo_id]],'CHF MA'!Posizione))+SUM(IF('EUR MB'!smo_id=Valori[[#This Row],[smo_id]],'EUR MB'!Posizione))+SUM(IF('EUR M'!smo_id=Valori[[#This Row],[smo_id]],'EUR M'!Posizione))+SUM(IF(AGCO!smo_id=Valori[[#This Row],[smo_id]],AGCO!Posizione))</f>
        <v>0</v>
      </c>
      <c r="P348" s="1661" t="str">
        <f ca="1">HYPERLINK(Valori[[#This Row],[P_Source]],"è")</f>
        <v>è</v>
      </c>
      <c r="Q348" s="1663" t="str">
        <f>HYPERLINK(Valori[[#This Row],[Info_W]],"i")</f>
        <v>i</v>
      </c>
      <c r="R348" s="1664" t="str">
        <f>HYPERLINK(Valori[[#This Row],[FN_W]],"")</f>
        <v></v>
      </c>
      <c r="S348" s="1665" t="str">
        <f>HYPERLINK(Valori[[#This Row],[MS_Link]],"")</f>
        <v></v>
      </c>
      <c r="T348" s="1665" t="str">
        <f>HYPERLINK(Valori[[#This Row],[C_source]],"")</f>
        <v></v>
      </c>
      <c r="U348" s="142" t="str" cm="1">
        <f t="array" aca="1" ref="U348" ca="1">OFFSET(POrigin,MATCH(Valori[[#This Row],[LUKB_id]],PID,0),MATCH("M_CUR",PLabel,0)-1,1,1)</f>
        <v>CHF</v>
      </c>
      <c r="V348" s="1562">
        <f ca="1">(Valori[[#This Row],[Last]]+Valori[[#This Row],[Acc. Int]])/Valori[[#This Row],[Pr.Amt]]/IF(Valori[[#This Row],[P_Type]]="Pct",100,1)</f>
        <v>2961</v>
      </c>
      <c r="W348" s="1591" cm="1">
        <f t="array" aca="1" ref="W348" ca="1">OFFSET(POrigin,MATCH(Valori[[#This Row],[LUKB_id]],PID,0),MATCH("NC2_PR",PLabel,0)-1,1,1)/100</f>
        <v>-3.3300685602350701E-2</v>
      </c>
      <c r="X348" s="1592" cm="1">
        <f t="array" aca="1" ref="X348" ca="1">OFFSET(POrigin,MATCH(Valori[[#This Row],[LUKB_id]],PID,0),MATCH("LVAL",PLabel,0)-1,1,1)</f>
        <v>2961</v>
      </c>
      <c r="Y348" s="1593" cm="1">
        <f t="array" aca="1" ref="Y348" ca="1">OFFSET(POrigin,MATCH(Valori[[#This Row],[LUKB_id]],PID,0),MATCH("LVAL:datetime",PLabel,0)-1,1,1)</f>
        <v>46084.735405092593</v>
      </c>
      <c r="Z348" s="1594" cm="1">
        <f t="array" aca="1" ref="Z348" ca="1">OFFSET(POrigin,MATCH(Valori[[#This Row],[LUKB_id]],PID,0),MATCH("BID:volume",PLabel,0)-1,1,1)</f>
        <v>2</v>
      </c>
      <c r="AA348" s="1595" cm="1">
        <f t="array" aca="1" ref="AA348" ca="1">OFFSET(POrigin,MATCH(Valori[[#This Row],[LUKB_id]],PID,0),MATCH("BID",PLabel,0)-1,1,1)</f>
        <v>2955</v>
      </c>
      <c r="AB348" s="1595" cm="1">
        <f t="array" aca="1" ref="AB348" ca="1">OFFSET(POrigin,MATCH(Valori[[#This Row],[LUKB_id]],PID,0),MATCH("ASK",PLabel,0)-1,1,1)</f>
        <v>3012</v>
      </c>
      <c r="AC348" s="1594" cm="1">
        <f t="array" aca="1" ref="AC348" ca="1">OFFSET(POrigin,MATCH(Valori[[#This Row],[LUKB_id]],PID,0),MATCH("ASK:volume",PLabel,0)-1,1,1)</f>
        <v>9</v>
      </c>
      <c r="AD348" s="1596" cm="1">
        <f t="array" aca="1" ref="AD348" ca="1">OFFSET(POrigin,MATCH(Valori[[#This Row],[LUKB_id]],PID,0),MATCH("BID-ASK Spread %",PLabel,0)-1,1,1)</f>
        <v>1.2777404169468728E-2</v>
      </c>
      <c r="AE348" s="1597" t="str" cm="1">
        <f t="array" aca="1" ref="AE348" ca="1">IF(OFFSET(POrigin,MATCH(Valori[[#This Row],[LUKB_id]],PID,0),MATCH("MATURITY",PLabel,0)-1,1,1)&gt;0,OFFSET(POrigin,MATCH(Valori[[#This Row],[LUKB_id]],PID,0),MATCH("MATURITY",PLabel,0)-1,1,1),"")</f>
        <v/>
      </c>
      <c r="AF348" s="1598" cm="1">
        <f t="array" aca="1" ref="AF348" ca="1">OFFSET(POrigin,MATCH(Valori[[#This Row],[LUKB_id]],PID,0),MATCH("ACCINT",PLabel,0)-1,1,1)</f>
        <v>0</v>
      </c>
      <c r="AG348" s="1594" cm="1">
        <f t="array" aca="1" ref="AG348" ca="1">OFFSET(POrigin,MATCH(Valori[[#This Row],[LUKB_id]],PID,0),MATCH("DENOM",PLabel,0)-1,1,1)</f>
        <v>0</v>
      </c>
      <c r="AH348" s="1599" cm="1">
        <f t="array" aca="1" ref="AH348" ca="1">(OFFSET(POrigin,MATCH(Valori[[#This Row],[LUKB_id]],PID,0),MATCH("YIELD",PLabel,0)-1,1,1)+OFFSET(POrigin,MATCH(Valori[[#This Row],[LUKB_id]],PID,0),MATCH("YLDEQ",PLabel,0)-1,1,1))/100</f>
        <v>2.4316109999999998E-2</v>
      </c>
      <c r="AI348" s="1600">
        <f ca="1">OFFSET(POrigin,MATCH(Valori[[#This Row],[LUKB_id]],PID,0),MATCH("DIVIDEND",PLabel,0)-1,1,1)</f>
        <v>70</v>
      </c>
      <c r="AJ348" s="1601">
        <f ca="1">OFFSET(POrigin,MATCH(Valori[[#This Row],[LUKB_id]],PID,0),MATCH("DIVIDEND:datetime",PLabel,0)-1,1,1)</f>
        <v>45740</v>
      </c>
      <c r="AK348" s="1602">
        <f ca="1">OFFSET(POrigin,MATCH(Valori[[#This Row],[LUKB_id]],PID,0),MATCH("INTEREST",PLabel,0)-1,1,1)</f>
        <v>0</v>
      </c>
      <c r="AL348" s="1603">
        <f ca="1">OFFSET(POrigin,MATCH(Valori[[#This Row],[LUKB_id]],PID,0),MATCH("4W_PERF_PR",PLabel,0)-1,1,1)/100</f>
        <v>6.7590000000000011E-4</v>
      </c>
      <c r="AM348" s="1603">
        <f ca="1">OFFSET(POrigin,MATCH(Valori[[#This Row],[LUKB_id]],PID,0),MATCH("12W_PERF_PR",PLabel,0)-1,1,1)/100</f>
        <v>-0.1073259</v>
      </c>
      <c r="AN348" s="1603">
        <f ca="1">OFFSET(POrigin,MATCH(Valori[[#This Row],[LUKB_id]],PID,0),MATCH("YTD_PERF_PR",PLabel,0)-1,1,1)/100</f>
        <v>-2.638270820089E-2</v>
      </c>
      <c r="AO348" s="1591"/>
      <c r="AP348" s="1591"/>
      <c r="AQ348" s="1591"/>
      <c r="AR348" s="1591"/>
      <c r="AS348" s="1890" t="s">
        <v>1852</v>
      </c>
      <c r="AT348" s="1890" t="s">
        <v>1853</v>
      </c>
      <c r="AU348" s="610" t="s">
        <v>1854</v>
      </c>
      <c r="AV348" s="1891" t="str">
        <f>IF(Valori[[#This Row],[MS_Link]]&lt;&gt;"",Valori[[#This Row],[MS_Link]]&amp;"company/","")</f>
        <v>https://www.marketscreener.com/quote/stock/GIVAUDAN-SA-2956033/company/</v>
      </c>
      <c r="AW348" s="1604" t="str">
        <f ca="1">"https://boersenundmaerkte.lukb.ch/lukb/details/"&amp;Valori[[#This Row],[LUKB_id]]</f>
        <v>https://boersenundmaerkte.lukb.ch/lukb/details/1064593,4,1</v>
      </c>
      <c r="AX348" s="1605" t="str">
        <f>"https://www.zonebourse.com/mods_a/charts/TV/inc_dyna_graph.php?c="&amp;Valori[[#This Row],[MS_Code]]&amp;"&amp;style=TradingView.CANDLES&amp;interval=(null)&amp;mobile=(null)&amp;showAT=1"</f>
        <v>https://www.zonebourse.com/mods_a/charts/TV/inc_dyna_graph.php?c=2956033&amp;style=TradingView.CANDLES&amp;interval=(null)&amp;mobile=(null)&amp;showAT=1</v>
      </c>
      <c r="AY348" s="142"/>
      <c r="AZ348" s="142"/>
      <c r="BA348" s="142"/>
      <c r="BB348" s="142"/>
    </row>
    <row r="349" spans="1:54" ht="15" customHeight="1" x14ac:dyDescent="0.2">
      <c r="A349" s="142" t="s">
        <v>1855</v>
      </c>
      <c r="B349" s="142" t="str" cm="1">
        <f t="array" aca="1" ref="B349" ca="1">OFFSET(POrigin,MATCH(Valori[[#This Row],[smo_id]],Posizioni[smo_id],0),MATCH("LUKB_id",PIntestazioni,0)-1,1,1)</f>
        <v>46664220,4,1</v>
      </c>
      <c r="C349" s="1668" t="str">
        <f ca="1">HYPERLINK("https://boersenundmaerkte.lukb.ch/lukb/details/"&amp;Valori[[#This Row],[LUKB_id]],"è")</f>
        <v>è</v>
      </c>
      <c r="D349" s="142" t="str" cm="1">
        <f t="array" aca="1" ref="D349" ca="1">OFFSET(POrigin,MATCH(Valori[[#This Row],[LUKB_id]],PID,0),MATCH("SC_GROUPED",PIntestazioni,0)-1,1,1)</f>
        <v>EQU</v>
      </c>
      <c r="E349" s="413" t="str" cm="1">
        <f t="array" aca="1" ref="E349" ca="1">OFFSET(POrigin,MATCH(Valori[[#This Row],[LUKB_id]],PID,0),MATCH("isin",PIntestazioni,0)-1,1,1)</f>
        <v>CH0466642201</v>
      </c>
      <c r="F349" s="34" t="str" cm="1">
        <f t="array" aca="1" ref="F349" ca="1">OFFSET(POrigin,MATCH(Valori[[#This Row],[LUKB_id]],PID,0),MATCH("NSIN_CH",PLabel,0)-1,1,1)</f>
        <v>46664220</v>
      </c>
      <c r="G349" s="95" t="str" cm="1">
        <f t="array" aca="1" ref="G349" ca="1">IF(OFFSET(POrigin,MATCH(Valori[[#This Row],[LUKB_id]],PID,0),MATCH("INSTRUNIT",PLabel,0)-1,1,1)="Nominal","Pct","Unit")</f>
        <v>Unit</v>
      </c>
      <c r="H349" s="612">
        <f ca="1">MAX(OFFSET(POrigin,MATCH(Valori[[#This Row],[LUKB_id]],PID,0),MATCH("PRICINGAMT",PLabel,0)-1,1,1),1)</f>
        <v>1</v>
      </c>
      <c r="I349" s="615" t="str" cm="1">
        <f t="array" aca="1" ref="I349" ca="1">OFFSET(POrigin,MATCH(Valori[[#This Row],[LUKB_id]],PID,0),MATCH("M_NAME",PLabel,0)-1,1,1)</f>
        <v>Helvetia Bal Hl N</v>
      </c>
      <c r="L349" s="612">
        <v>5</v>
      </c>
      <c r="M349" s="142" t="str" cm="1">
        <f t="array" aca="1" ref="M3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Helvetia Bal Hl N</v>
      </c>
      <c r="N349" s="1563">
        <f ca="1">COUNTIF('CHF M'!smo_id,Valori[[#This Row],[smo_id]])+COUNTIF('CHF MA'!smo_id,Valori[[#This Row],[smo_id]])+COUNTIF('EUR MB'!smo_id,Valori[[#This Row],[smo_id]])+COUNTIF('EUR M'!smo_id,Valori[[#This Row],[smo_id]])+COUNTIF(AGCO!smo_id,Valori[[#This Row],[smo_id]])</f>
        <v>0</v>
      </c>
      <c r="O349" s="1590" cm="1">
        <f t="array" aca="1" ref="O349" ca="1">SUM(IF('CHF M'!smo_id=Valori[[#This Row],[smo_id]],'CHF M'!Posizione))+SUM(IF('CHF MA'!smo_id=Valori[[#This Row],[smo_id]],'CHF MA'!Posizione))+SUM(IF('EUR MB'!smo_id=Valori[[#This Row],[smo_id]],'EUR MB'!Posizione))+SUM(IF('EUR M'!smo_id=Valori[[#This Row],[smo_id]],'EUR M'!Posizione))+SUM(IF(AGCO!smo_id=Valori[[#This Row],[smo_id]],AGCO!Posizione))</f>
        <v>0</v>
      </c>
      <c r="P349" s="1661" t="str">
        <f ca="1">HYPERLINK(Valori[[#This Row],[P_Source]],"è")</f>
        <v>è</v>
      </c>
      <c r="Q349" s="1663" t="str">
        <f>HYPERLINK(Valori[[#This Row],[Info_W]],"i")</f>
        <v>i</v>
      </c>
      <c r="R349" s="1664" t="str">
        <f>HYPERLINK(Valori[[#This Row],[FN_W]],"")</f>
        <v></v>
      </c>
      <c r="S349" s="1665" t="str">
        <f>HYPERLINK(Valori[[#This Row],[MS_Link]],"")</f>
        <v></v>
      </c>
      <c r="T349" s="1665" t="str">
        <f>HYPERLINK(Valori[[#This Row],[C_source]],"")</f>
        <v></v>
      </c>
      <c r="U349" s="142" t="str" cm="1">
        <f t="array" aca="1" ref="U349" ca="1">OFFSET(POrigin,MATCH(Valori[[#This Row],[LUKB_id]],PID,0),MATCH("M_CUR",PLabel,0)-1,1,1)</f>
        <v>CHF</v>
      </c>
      <c r="V349" s="1562">
        <f ca="1">(Valori[[#This Row],[Last]]+Valori[[#This Row],[Acc. Int]])/Valori[[#This Row],[Pr.Amt]]/IF(Valori[[#This Row],[P_Type]]="Pct",100,1)</f>
        <v>188.20000000000002</v>
      </c>
      <c r="W349" s="1591" cm="1">
        <f t="array" aca="1" ref="W349" ca="1">OFFSET(POrigin,MATCH(Valori[[#This Row],[LUKB_id]],PID,0),MATCH("NC2_PR",PLabel,0)-1,1,1)/100</f>
        <v>-4.7088607594936702E-2</v>
      </c>
      <c r="X349" s="1592" cm="1">
        <f t="array" aca="1" ref="X349" ca="1">OFFSET(POrigin,MATCH(Valori[[#This Row],[LUKB_id]],PID,0),MATCH("LVAL",PLabel,0)-1,1,1)</f>
        <v>188.20000000000002</v>
      </c>
      <c r="Y349" s="1593" cm="1">
        <f t="array" aca="1" ref="Y349" ca="1">OFFSET(POrigin,MATCH(Valori[[#This Row],[LUKB_id]],PID,0),MATCH("LVAL:datetime",PLabel,0)-1,1,1)</f>
        <v>46084.731238425928</v>
      </c>
      <c r="Z349" s="1594" cm="1">
        <f t="array" aca="1" ref="Z349" ca="1">OFFSET(POrigin,MATCH(Valori[[#This Row],[LUKB_id]],PID,0),MATCH("BID:volume",PLabel,0)-1,1,1)</f>
        <v>0</v>
      </c>
      <c r="AA349" s="1595" cm="1">
        <f t="array" aca="1" ref="AA349" ca="1">OFFSET(POrigin,MATCH(Valori[[#This Row],[LUKB_id]],PID,0),MATCH("BID",PLabel,0)-1,1,1)</f>
        <v>0</v>
      </c>
      <c r="AB349" s="1595" cm="1">
        <f t="array" aca="1" ref="AB349" ca="1">OFFSET(POrigin,MATCH(Valori[[#This Row],[LUKB_id]],PID,0),MATCH("ASK",PLabel,0)-1,1,1)</f>
        <v>190</v>
      </c>
      <c r="AC349" s="1594" cm="1">
        <f t="array" aca="1" ref="AC349" ca="1">OFFSET(POrigin,MATCH(Valori[[#This Row],[LUKB_id]],PID,0),MATCH("ASK:volume",PLabel,0)-1,1,1)</f>
        <v>25</v>
      </c>
      <c r="AD349" s="1596" cm="1">
        <f t="array" aca="1" ref="AD349" ca="1">OFFSET(POrigin,MATCH(Valori[[#This Row],[LUKB_id]],PID,0),MATCH("BID-ASK Spread %",PLabel,0)-1,1,1)</f>
        <v>0</v>
      </c>
      <c r="AE349" s="1597" t="str" cm="1">
        <f t="array" aca="1" ref="AE349" ca="1">IF(OFFSET(POrigin,MATCH(Valori[[#This Row],[LUKB_id]],PID,0),MATCH("MATURITY",PLabel,0)-1,1,1)&gt;0,OFFSET(POrigin,MATCH(Valori[[#This Row],[LUKB_id]],PID,0),MATCH("MATURITY",PLabel,0)-1,1,1),"")</f>
        <v/>
      </c>
      <c r="AF349" s="1598" cm="1">
        <f t="array" aca="1" ref="AF349" ca="1">OFFSET(POrigin,MATCH(Valori[[#This Row],[LUKB_id]],PID,0),MATCH("ACCINT",PLabel,0)-1,1,1)</f>
        <v>0</v>
      </c>
      <c r="AG349" s="1594" cm="1">
        <f t="array" aca="1" ref="AG349" ca="1">OFFSET(POrigin,MATCH(Valori[[#This Row],[LUKB_id]],PID,0),MATCH("DENOM",PLabel,0)-1,1,1)</f>
        <v>0</v>
      </c>
      <c r="AH349" s="1599" cm="1">
        <f t="array" aca="1" ref="AH349" ca="1">(OFFSET(POrigin,MATCH(Valori[[#This Row],[LUKB_id]],PID,0),MATCH("YIELD",PLabel,0)-1,1,1)+OFFSET(POrigin,MATCH(Valori[[#This Row],[LUKB_id]],PID,0),MATCH("YLDEQ",PLabel,0)-1,1,1))/100</f>
        <v>3.5600429999999995E-2</v>
      </c>
      <c r="AI349" s="1600">
        <f ca="1">OFFSET(POrigin,MATCH(Valori[[#This Row],[LUKB_id]],PID,0),MATCH("DIVIDEND",PLabel,0)-1,1,1)</f>
        <v>6.7</v>
      </c>
      <c r="AJ349" s="1601">
        <f ca="1">OFFSET(POrigin,MATCH(Valori[[#This Row],[LUKB_id]],PID,0),MATCH("DIVIDEND:datetime",PLabel,0)-1,1,1)</f>
        <v>45776</v>
      </c>
      <c r="AK349" s="1602">
        <f ca="1">OFFSET(POrigin,MATCH(Valori[[#This Row],[LUKB_id]],PID,0),MATCH("INTEREST",PLabel,0)-1,1,1)</f>
        <v>0</v>
      </c>
      <c r="AL349" s="1603">
        <f ca="1">OFFSET(POrigin,MATCH(Valori[[#This Row],[LUKB_id]],PID,0),MATCH("4W_PERF_PR",PLabel,0)-1,1,1)/100</f>
        <v>-5.3795879999999997E-2</v>
      </c>
      <c r="AM349" s="1603">
        <f ca="1">OFFSET(POrigin,MATCH(Valori[[#This Row],[LUKB_id]],PID,0),MATCH("12W_PERF_PR",PLabel,0)-1,1,1)/100</f>
        <v>-4.1751530000000002E-2</v>
      </c>
      <c r="AN349" s="1603">
        <f ca="1">OFFSET(POrigin,MATCH(Valori[[#This Row],[LUKB_id]],PID,0),MATCH("YTD_PERF_PR",PLabel,0)-1,1,1)/100</f>
        <v>-5.5927342256214298E-2</v>
      </c>
      <c r="AO349" s="1591"/>
      <c r="AP349" s="1591"/>
      <c r="AQ349" s="1591"/>
      <c r="AR349" s="1591"/>
      <c r="AS349" s="1890" t="s">
        <v>1856</v>
      </c>
      <c r="AT349" s="1890" t="s">
        <v>1857</v>
      </c>
      <c r="AU349" s="610" t="s">
        <v>1858</v>
      </c>
      <c r="AV349" s="1891" t="str">
        <f>IF(Valori[[#This Row],[MS_Link]]&lt;&gt;"",Valori[[#This Row],[MS_Link]]&amp;"company/","")</f>
        <v>https://www.marketscreener.com/quote/stock/HELVETIA-HOLDING-AG-58256052/company/</v>
      </c>
      <c r="AW349" s="1604" t="str">
        <f ca="1">"https://boersenundmaerkte.lukb.ch/lukb/details/"&amp;Valori[[#This Row],[LUKB_id]]</f>
        <v>https://boersenundmaerkte.lukb.ch/lukb/details/46664220,4,1</v>
      </c>
      <c r="AX349" s="1605" t="str">
        <f>"https://www.zonebourse.com/mods_a/charts/TV/inc_dyna_graph.php?c="&amp;Valori[[#This Row],[MS_Code]]&amp;"&amp;style=TradingView.CANDLES&amp;interval=(null)&amp;mobile=(null)&amp;showAT=1"</f>
        <v>https://www.zonebourse.com/mods_a/charts/TV/inc_dyna_graph.php?c=58256052&amp;style=TradingView.CANDLES&amp;interval=(null)&amp;mobile=(null)&amp;showAT=1</v>
      </c>
      <c r="AY349" s="142"/>
      <c r="AZ349" s="142"/>
      <c r="BA349" s="142"/>
      <c r="BB349" s="142"/>
    </row>
    <row r="350" spans="1:54" ht="15" customHeight="1" x14ac:dyDescent="0.2">
      <c r="A350" s="142" t="s">
        <v>1859</v>
      </c>
      <c r="B350" s="142" t="str" cm="1">
        <f t="array" aca="1" ref="B350" ca="1">OFFSET(POrigin,MATCH(Valori[[#This Row],[smo_id]],Posizioni[smo_id],0),MATCH("LUKB_id",PIntestazioni,0)-1,1,1)</f>
        <v>335910,44,814</v>
      </c>
      <c r="C350" s="1668" t="str">
        <f ca="1">HYPERLINK("https://boersenundmaerkte.lukb.ch/lukb/details/"&amp;Valori[[#This Row],[LUKB_id]],"è")</f>
        <v>è</v>
      </c>
      <c r="D350" s="142" t="str" cm="1">
        <f t="array" aca="1" ref="D350" ca="1">OFFSET(POrigin,MATCH(Valori[[#This Row],[LUKB_id]],PID,0),MATCH("SC_GROUPED",PIntestazioni,0)-1,1,1)</f>
        <v>EQU</v>
      </c>
      <c r="E350" s="413" t="str" cm="1">
        <f t="array" aca="1" ref="E350" ca="1">OFFSET(POrigin,MATCH(Valori[[#This Row],[LUKB_id]],PID,0),MATCH("isin",PIntestazioni,0)-1,1,1)</f>
        <v>DE0006048432</v>
      </c>
      <c r="F350" s="34" t="str" cm="1">
        <f t="array" aca="1" ref="F350" ca="1">OFFSET(POrigin,MATCH(Valori[[#This Row],[LUKB_id]],PID,0),MATCH("NSIN_CH",PLabel,0)-1,1,1)</f>
        <v>335910</v>
      </c>
      <c r="G350" s="95" t="str" cm="1">
        <f t="array" aca="1" ref="G350" ca="1">IF(OFFSET(POrigin,MATCH(Valori[[#This Row],[LUKB_id]],PID,0),MATCH("INSTRUNIT",PLabel,0)-1,1,1)="Nominal","Pct","Unit")</f>
        <v>Unit</v>
      </c>
      <c r="H350" s="612">
        <f ca="1">MAX(OFFSET(POrigin,MATCH(Valori[[#This Row],[LUKB_id]],PID,0),MATCH("PRICINGAMT",PLabel,0)-1,1,1),1)</f>
        <v>1</v>
      </c>
      <c r="I350" s="615" t="str" cm="1">
        <f t="array" aca="1" ref="I350" ca="1">OFFSET(POrigin,MATCH(Valori[[#This Row],[LUKB_id]],PID,0),MATCH("M_NAME",PLabel,0)-1,1,1)</f>
        <v>Henkel Vz I</v>
      </c>
      <c r="J350" s="142" t="s">
        <v>418</v>
      </c>
      <c r="M350" s="142" t="str" cm="1">
        <f t="array" aca="1" ref="M3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Henkel &amp; Co KGaA AG Pref</v>
      </c>
      <c r="N350" s="1563">
        <f ca="1">COUNTIF('CHF M'!smo_id,Valori[[#This Row],[smo_id]])+COUNTIF('CHF MA'!smo_id,Valori[[#This Row],[smo_id]])+COUNTIF('EUR MB'!smo_id,Valori[[#This Row],[smo_id]])+COUNTIF('EUR M'!smo_id,Valori[[#This Row],[smo_id]])+COUNTIF(AGCO!smo_id,Valori[[#This Row],[smo_id]])</f>
        <v>0</v>
      </c>
      <c r="O350" s="1590" cm="1">
        <f t="array" aca="1" ref="O350" ca="1">SUM(IF('CHF M'!smo_id=Valori[[#This Row],[smo_id]],'CHF M'!Posizione))+SUM(IF('CHF MA'!smo_id=Valori[[#This Row],[smo_id]],'CHF MA'!Posizione))+SUM(IF('EUR MB'!smo_id=Valori[[#This Row],[smo_id]],'EUR MB'!Posizione))+SUM(IF('EUR M'!smo_id=Valori[[#This Row],[smo_id]],'EUR M'!Posizione))+SUM(IF(AGCO!smo_id=Valori[[#This Row],[smo_id]],AGCO!Posizione))</f>
        <v>0</v>
      </c>
      <c r="P350" s="1661" t="str">
        <f ca="1">HYPERLINK(Valori[[#This Row],[P_Source]],"è")</f>
        <v>è</v>
      </c>
      <c r="Q350" s="1663" t="str">
        <f>HYPERLINK(Valori[[#This Row],[Info_W]],"i")</f>
        <v>i</v>
      </c>
      <c r="R350" s="1664" t="str">
        <f>HYPERLINK(Valori[[#This Row],[FN_W]],"")</f>
        <v></v>
      </c>
      <c r="S350" s="1665" t="str">
        <f>HYPERLINK(Valori[[#This Row],[MS_Link]],"")</f>
        <v></v>
      </c>
      <c r="T350" s="1665" t="str">
        <f>HYPERLINK(Valori[[#This Row],[C_source]],"")</f>
        <v></v>
      </c>
      <c r="U350" s="142" t="str" cm="1">
        <f t="array" aca="1" ref="U350" ca="1">OFFSET(POrigin,MATCH(Valori[[#This Row],[LUKB_id]],PID,0),MATCH("M_CUR",PLabel,0)-1,1,1)</f>
        <v>EUR</v>
      </c>
      <c r="V350" s="1562">
        <f ca="1">(Valori[[#This Row],[Last]]+Valori[[#This Row],[Acc. Int]])/Valori[[#This Row],[Pr.Amt]]/IF(Valori[[#This Row],[P_Type]]="Pct",100,1)</f>
        <v>80.820000000000007</v>
      </c>
      <c r="W350" s="1591" cm="1">
        <f t="array" aca="1" ref="W350" ca="1">OFFSET(POrigin,MATCH(Valori[[#This Row],[LUKB_id]],PID,0),MATCH("NC2_PR",PLabel,0)-1,1,1)/100</f>
        <v>-2.8372204856936797E-2</v>
      </c>
      <c r="X350" s="1592" cm="1">
        <f t="array" aca="1" ref="X350" ca="1">OFFSET(POrigin,MATCH(Valori[[#This Row],[LUKB_id]],PID,0),MATCH("LVAL",PLabel,0)-1,1,1)</f>
        <v>80.820000000000007</v>
      </c>
      <c r="Y350" s="1593" cm="1">
        <f t="array" aca="1" ref="Y350" ca="1">OFFSET(POrigin,MATCH(Valori[[#This Row],[LUKB_id]],PID,0),MATCH("LVAL:datetime",PLabel,0)-1,1,1)</f>
        <v>46083.73542824074</v>
      </c>
      <c r="Z350" s="1594" cm="1">
        <f t="array" aca="1" ref="Z350" ca="1">OFFSET(POrigin,MATCH(Valori[[#This Row],[LUKB_id]],PID,0),MATCH("BID:volume",PLabel,0)-1,1,1)</f>
        <v>0</v>
      </c>
      <c r="AA350" s="1595" cm="1">
        <f t="array" aca="1" ref="AA350" ca="1">OFFSET(POrigin,MATCH(Valori[[#This Row],[LUKB_id]],PID,0),MATCH("BID",PLabel,0)-1,1,1)</f>
        <v>0</v>
      </c>
      <c r="AB350" s="1595" cm="1">
        <f t="array" aca="1" ref="AB350" ca="1">OFFSET(POrigin,MATCH(Valori[[#This Row],[LUKB_id]],PID,0),MATCH("ASK",PLabel,0)-1,1,1)</f>
        <v>0</v>
      </c>
      <c r="AC350" s="1594" cm="1">
        <f t="array" aca="1" ref="AC350" ca="1">OFFSET(POrigin,MATCH(Valori[[#This Row],[LUKB_id]],PID,0),MATCH("ASK:volume",PLabel,0)-1,1,1)</f>
        <v>0</v>
      </c>
      <c r="AD350" s="1596" cm="1">
        <f t="array" aca="1" ref="AD350" ca="1">OFFSET(POrigin,MATCH(Valori[[#This Row],[LUKB_id]],PID,0),MATCH("BID-ASK Spread %",PLabel,0)-1,1,1)</f>
        <v>0</v>
      </c>
      <c r="AE350" s="1597" t="str" cm="1">
        <f t="array" aca="1" ref="AE350" ca="1">IF(OFFSET(POrigin,MATCH(Valori[[#This Row],[LUKB_id]],PID,0),MATCH("MATURITY",PLabel,0)-1,1,1)&gt;0,OFFSET(POrigin,MATCH(Valori[[#This Row],[LUKB_id]],PID,0),MATCH("MATURITY",PLabel,0)-1,1,1),"")</f>
        <v/>
      </c>
      <c r="AF350" s="1598" cm="1">
        <f t="array" aca="1" ref="AF350" ca="1">OFFSET(POrigin,MATCH(Valori[[#This Row],[LUKB_id]],PID,0),MATCH("ACCINT",PLabel,0)-1,1,1)</f>
        <v>0</v>
      </c>
      <c r="AG350" s="1594" cm="1">
        <f t="array" aca="1" ref="AG350" ca="1">OFFSET(POrigin,MATCH(Valori[[#This Row],[LUKB_id]],PID,0),MATCH("DENOM",PLabel,0)-1,1,1)</f>
        <v>0</v>
      </c>
      <c r="AH350" s="1599" cm="1">
        <f t="array" aca="1" ref="AH350" ca="1">(OFFSET(POrigin,MATCH(Valori[[#This Row],[LUKB_id]],PID,0),MATCH("YIELD",PLabel,0)-1,1,1)+OFFSET(POrigin,MATCH(Valori[[#This Row],[LUKB_id]],PID,0),MATCH("YLDEQ",PLabel,0)-1,1,1))/100</f>
        <v>0</v>
      </c>
      <c r="AI350" s="1600">
        <f ca="1">OFFSET(POrigin,MATCH(Valori[[#This Row],[LUKB_id]],PID,0),MATCH("DIVIDEND",PLabel,0)-1,1,1)</f>
        <v>2.04</v>
      </c>
      <c r="AJ350" s="1601">
        <f ca="1">OFFSET(POrigin,MATCH(Valori[[#This Row],[LUKB_id]],PID,0),MATCH("DIVIDEND:datetime",PLabel,0)-1,1,1)</f>
        <v>45776</v>
      </c>
      <c r="AK350" s="1602">
        <f ca="1">OFFSET(POrigin,MATCH(Valori[[#This Row],[LUKB_id]],PID,0),MATCH("INTEREST",PLabel,0)-1,1,1)</f>
        <v>0</v>
      </c>
      <c r="AL350" s="1603">
        <f ca="1">OFFSET(POrigin,MATCH(Valori[[#This Row],[LUKB_id]],PID,0),MATCH("4W_PERF_PR",PLabel,0)-1,1,1)/100</f>
        <v>9.1867062955957993E-2</v>
      </c>
      <c r="AM350" s="1603">
        <f ca="1">OFFSET(POrigin,MATCH(Valori[[#This Row],[LUKB_id]],PID,0),MATCH("12W_PERF_PR",PLabel,0)-1,1,1)/100</f>
        <v>0.18817994707438998</v>
      </c>
      <c r="AN350" s="1603">
        <f ca="1">OFFSET(POrigin,MATCH(Valori[[#This Row],[LUKB_id]],PID,0),MATCH("YTD_PERF_PR",PLabel,0)-1,1,1)/100</f>
        <v>0.161540672607072</v>
      </c>
      <c r="AO350" s="1591"/>
      <c r="AP350" s="1591"/>
      <c r="AQ350" s="1591"/>
      <c r="AR350" s="1591"/>
      <c r="AS350" s="1890" t="s">
        <v>1860</v>
      </c>
      <c r="AT350" s="1890" t="s">
        <v>1861</v>
      </c>
      <c r="AU350" s="610" t="s">
        <v>1862</v>
      </c>
      <c r="AV350" s="1891" t="str">
        <f>IF(Valori[[#This Row],[MS_Link]]&lt;&gt;"",Valori[[#This Row],[MS_Link]]&amp;"company/","")</f>
        <v>https://www.marketscreener.com/quote/stock/HENKEL-AG-CO-KGAA-436185/company/</v>
      </c>
      <c r="AW350" s="1604" t="str">
        <f ca="1">"https://boersenundmaerkte.lukb.ch/lukb/details/"&amp;Valori[[#This Row],[LUKB_id]]</f>
        <v>https://boersenundmaerkte.lukb.ch/lukb/details/335910,44,814</v>
      </c>
      <c r="AX350" s="1605" t="str">
        <f>"https://www.zonebourse.com/mods_a/charts/TV/inc_dyna_graph.php?c="&amp;Valori[[#This Row],[MS_Code]]&amp;"&amp;style=TradingView.CANDLES&amp;interval=(null)&amp;mobile=(null)&amp;showAT=1"</f>
        <v>https://www.zonebourse.com/mods_a/charts/TV/inc_dyna_graph.php?c=436185&amp;style=TradingView.CANDLES&amp;interval=(null)&amp;mobile=(null)&amp;showAT=1</v>
      </c>
      <c r="AY350" s="142"/>
      <c r="AZ350" s="142"/>
      <c r="BA350" s="142"/>
      <c r="BB350" s="142"/>
    </row>
    <row r="351" spans="1:54" ht="15" customHeight="1" x14ac:dyDescent="0.2">
      <c r="A351" s="142" t="s">
        <v>1863</v>
      </c>
      <c r="B351" s="142" t="str" cm="1">
        <f t="array" aca="1" ref="B351" ca="1">OFFSET(POrigin,MATCH(Valori[[#This Row],[smo_id]],Posizioni[smo_id],0),MATCH("LUKB_id",PIntestazioni,0)-1,1,1)</f>
        <v>86689,25,814</v>
      </c>
      <c r="C351" s="1668" t="str">
        <f ca="1">HYPERLINK("https://boersenundmaerkte.lukb.ch/lukb/details/"&amp;Valori[[#This Row],[LUKB_id]],"è")</f>
        <v>è</v>
      </c>
      <c r="D351" s="142" t="str" cm="1">
        <f t="array" aca="1" ref="D351" ca="1">OFFSET(POrigin,MATCH(Valori[[#This Row],[LUKB_id]],PID,0),MATCH("SC_GROUPED",PIntestazioni,0)-1,1,1)</f>
        <v>EQU</v>
      </c>
      <c r="E351" s="413" t="str" cm="1">
        <f t="array" aca="1" ref="E351" ca="1">OFFSET(POrigin,MATCH(Valori[[#This Row],[LUKB_id]],PID,0),MATCH("isin",PIntestazioni,0)-1,1,1)</f>
        <v>FR0000052292</v>
      </c>
      <c r="F351" s="34" t="str" cm="1">
        <f t="array" aca="1" ref="F351" ca="1">OFFSET(POrigin,MATCH(Valori[[#This Row],[LUKB_id]],PID,0),MATCH("NSIN_CH",PLabel,0)-1,1,1)</f>
        <v>86689</v>
      </c>
      <c r="G351" s="95" t="str" cm="1">
        <f t="array" aca="1" ref="G351" ca="1">IF(OFFSET(POrigin,MATCH(Valori[[#This Row],[LUKB_id]],PID,0),MATCH("INSTRUNIT",PLabel,0)-1,1,1)="Nominal","Pct","Unit")</f>
        <v>Unit</v>
      </c>
      <c r="H351" s="612">
        <f ca="1">MAX(OFFSET(POrigin,MATCH(Valori[[#This Row],[LUKB_id]],PID,0),MATCH("PRICINGAMT",PLabel,0)-1,1,1),1)</f>
        <v>1</v>
      </c>
      <c r="I351" s="615" t="str" cm="1">
        <f t="array" aca="1" ref="I351" ca="1">OFFSET(POrigin,MATCH(Valori[[#This Row],[LUKB_id]],PID,0),MATCH("M_NAME",PLabel,0)-1,1,1)</f>
        <v>Hermes Intl</v>
      </c>
      <c r="M351" s="142" t="str" cm="1">
        <f t="array" aca="1" ref="M3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Hermes Intl</v>
      </c>
      <c r="N351" s="1563">
        <f ca="1">COUNTIF('CHF M'!smo_id,Valori[[#This Row],[smo_id]])+COUNTIF('CHF MA'!smo_id,Valori[[#This Row],[smo_id]])+COUNTIF('EUR MB'!smo_id,Valori[[#This Row],[smo_id]])+COUNTIF('EUR M'!smo_id,Valori[[#This Row],[smo_id]])+COUNTIF(AGCO!smo_id,Valori[[#This Row],[smo_id]])</f>
        <v>0</v>
      </c>
      <c r="O351" s="1590" cm="1">
        <f t="array" aca="1" ref="O351" ca="1">SUM(IF('CHF M'!smo_id=Valori[[#This Row],[smo_id]],'CHF M'!Posizione))+SUM(IF('CHF MA'!smo_id=Valori[[#This Row],[smo_id]],'CHF MA'!Posizione))+SUM(IF('EUR MB'!smo_id=Valori[[#This Row],[smo_id]],'EUR MB'!Posizione))+SUM(IF('EUR M'!smo_id=Valori[[#This Row],[smo_id]],'EUR M'!Posizione))+SUM(IF(AGCO!smo_id=Valori[[#This Row],[smo_id]],AGCO!Posizione))</f>
        <v>0</v>
      </c>
      <c r="P351" s="1661" t="str">
        <f ca="1">HYPERLINK(Valori[[#This Row],[P_Source]],"è")</f>
        <v>è</v>
      </c>
      <c r="Q351" s="1663" t="str">
        <f>HYPERLINK(Valori[[#This Row],[Info_W]],"i")</f>
        <v>i</v>
      </c>
      <c r="R351" s="1664" t="str">
        <f>HYPERLINK(Valori[[#This Row],[FN_W]],"")</f>
        <v></v>
      </c>
      <c r="S351" s="1665" t="str">
        <f>HYPERLINK(Valori[[#This Row],[MS_Link]],"")</f>
        <v></v>
      </c>
      <c r="T351" s="1665" t="str">
        <f>HYPERLINK(Valori[[#This Row],[C_source]],"")</f>
        <v></v>
      </c>
      <c r="U351" s="142" t="str" cm="1">
        <f t="array" aca="1" ref="U351" ca="1">OFFSET(POrigin,MATCH(Valori[[#This Row],[LUKB_id]],PID,0),MATCH("M_CUR",PLabel,0)-1,1,1)</f>
        <v>EUR</v>
      </c>
      <c r="V351" s="1562">
        <f ca="1">(Valori[[#This Row],[Last]]+Valori[[#This Row],[Acc. Int]])/Valori[[#This Row],[Pr.Amt]]/IF(Valori[[#This Row],[P_Type]]="Pct",100,1)</f>
        <v>1967</v>
      </c>
      <c r="W351" s="1591" cm="1">
        <f t="array" aca="1" ref="W351" ca="1">OFFSET(POrigin,MATCH(Valori[[#This Row],[LUKB_id]],PID,0),MATCH("NC2_PR",PLabel,0)-1,1,1)/100</f>
        <v>-4.0019521717911205E-2</v>
      </c>
      <c r="X351" s="1592" cm="1">
        <f t="array" aca="1" ref="X351" ca="1">OFFSET(POrigin,MATCH(Valori[[#This Row],[LUKB_id]],PID,0),MATCH("LVAL",PLabel,0)-1,1,1)</f>
        <v>1967</v>
      </c>
      <c r="Y351" s="1593" cm="1">
        <f t="array" aca="1" ref="Y351" ca="1">OFFSET(POrigin,MATCH(Valori[[#This Row],[LUKB_id]],PID,0),MATCH("LVAL:datetime",PLabel,0)-1,1,1)</f>
        <v>46083.746527777781</v>
      </c>
      <c r="Z351" s="1594" cm="1">
        <f t="array" aca="1" ref="Z351" ca="1">OFFSET(POrigin,MATCH(Valori[[#This Row],[LUKB_id]],PID,0),MATCH("BID:volume",PLabel,0)-1,1,1)</f>
        <v>0</v>
      </c>
      <c r="AA351" s="1595" cm="1">
        <f t="array" aca="1" ref="AA351" ca="1">OFFSET(POrigin,MATCH(Valori[[#This Row],[LUKB_id]],PID,0),MATCH("BID",PLabel,0)-1,1,1)</f>
        <v>0</v>
      </c>
      <c r="AB351" s="1595" cm="1">
        <f t="array" aca="1" ref="AB351" ca="1">OFFSET(POrigin,MATCH(Valori[[#This Row],[LUKB_id]],PID,0),MATCH("ASK",PLabel,0)-1,1,1)</f>
        <v>0</v>
      </c>
      <c r="AC351" s="1594" cm="1">
        <f t="array" aca="1" ref="AC351" ca="1">OFFSET(POrigin,MATCH(Valori[[#This Row],[LUKB_id]],PID,0),MATCH("ASK:volume",PLabel,0)-1,1,1)</f>
        <v>0</v>
      </c>
      <c r="AD351" s="1596" cm="1">
        <f t="array" aca="1" ref="AD351" ca="1">OFFSET(POrigin,MATCH(Valori[[#This Row],[LUKB_id]],PID,0),MATCH("BID-ASK Spread %",PLabel,0)-1,1,1)</f>
        <v>0</v>
      </c>
      <c r="AE351" s="1597" t="str" cm="1">
        <f t="array" aca="1" ref="AE351" ca="1">IF(OFFSET(POrigin,MATCH(Valori[[#This Row],[LUKB_id]],PID,0),MATCH("MATURITY",PLabel,0)-1,1,1)&gt;0,OFFSET(POrigin,MATCH(Valori[[#This Row],[LUKB_id]],PID,0),MATCH("MATURITY",PLabel,0)-1,1,1),"")</f>
        <v/>
      </c>
      <c r="AF351" s="1598" cm="1">
        <f t="array" aca="1" ref="AF351" ca="1">OFFSET(POrigin,MATCH(Valori[[#This Row],[LUKB_id]],PID,0),MATCH("ACCINT",PLabel,0)-1,1,1)</f>
        <v>0</v>
      </c>
      <c r="AG351" s="1594" cm="1">
        <f t="array" aca="1" ref="AG351" ca="1">OFFSET(POrigin,MATCH(Valori[[#This Row],[LUKB_id]],PID,0),MATCH("DENOM",PLabel,0)-1,1,1)</f>
        <v>0</v>
      </c>
      <c r="AH351" s="1599" cm="1">
        <f t="array" aca="1" ref="AH351" ca="1">(OFFSET(POrigin,MATCH(Valori[[#This Row],[LUKB_id]],PID,0),MATCH("YIELD",PLabel,0)-1,1,1)+OFFSET(POrigin,MATCH(Valori[[#This Row],[LUKB_id]],PID,0),MATCH("YLDEQ",PLabel,0)-1,1,1))/100</f>
        <v>0</v>
      </c>
      <c r="AI351" s="1600">
        <f ca="1">OFFSET(POrigin,MATCH(Valori[[#This Row],[LUKB_id]],PID,0),MATCH("DIVIDEND",PLabel,0)-1,1,1)</f>
        <v>5</v>
      </c>
      <c r="AJ351" s="1601">
        <f ca="1">OFFSET(POrigin,MATCH(Valori[[#This Row],[LUKB_id]],PID,0),MATCH("DIVIDEND:datetime",PLabel,0)-1,1,1)</f>
        <v>46069</v>
      </c>
      <c r="AK351" s="1602">
        <f ca="1">OFFSET(POrigin,MATCH(Valori[[#This Row],[LUKB_id]],PID,0),MATCH("INTEREST",PLabel,0)-1,1,1)</f>
        <v>0</v>
      </c>
      <c r="AL351" s="1603">
        <f ca="1">OFFSET(POrigin,MATCH(Valori[[#This Row],[LUKB_id]],PID,0),MATCH("4W_PERF_PR",PLabel,0)-1,1,1)/100</f>
        <v>-3.1988188976378E-2</v>
      </c>
      <c r="AM351" s="1603">
        <f ca="1">OFFSET(POrigin,MATCH(Valori[[#This Row],[LUKB_id]],PID,0),MATCH("12W_PERF_PR",PLabel,0)-1,1,1)/100</f>
        <v>-7.7392120075046908E-2</v>
      </c>
      <c r="AN351" s="1603">
        <f ca="1">OFFSET(POrigin,MATCH(Valori[[#This Row],[LUKB_id]],PID,0),MATCH("YTD_PERF_PR",PLabel,0)-1,1,1)/100</f>
        <v>-7.3044297832233804E-2</v>
      </c>
      <c r="AO351" s="1591"/>
      <c r="AP351" s="1591"/>
      <c r="AQ351" s="1591"/>
      <c r="AR351" s="1591"/>
      <c r="AS351" s="1890"/>
      <c r="AT351" s="1890"/>
      <c r="AU351" s="610"/>
      <c r="AV351" s="1891"/>
      <c r="AW351" s="1604" t="str">
        <f ca="1">"https://boersenundmaerkte.lukb.ch/lukb/details/"&amp;Valori[[#This Row],[LUKB_id]]</f>
        <v>https://boersenundmaerkte.lukb.ch/lukb/details/86689,25,814</v>
      </c>
      <c r="AX35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1" s="142"/>
      <c r="AZ351" s="142"/>
      <c r="BA351" s="142"/>
      <c r="BB351" s="142"/>
    </row>
    <row r="352" spans="1:54" ht="15" customHeight="1" x14ac:dyDescent="0.2">
      <c r="A352" s="142" t="s">
        <v>1864</v>
      </c>
      <c r="B352" s="142" t="str" cm="1">
        <f t="array" aca="1" ref="B352" ca="1">OFFSET(POrigin,MATCH(Valori[[#This Row],[smo_id]],Posizioni[smo_id],0),MATCH("LUKB_id",PIntestazioni,0)-1,1,1)</f>
        <v>1221405,4,1</v>
      </c>
      <c r="C352" s="1668" t="str">
        <f ca="1">HYPERLINK("https://boersenundmaerkte.lukb.ch/lukb/details/"&amp;Valori[[#This Row],[LUKB_id]],"è")</f>
        <v>è</v>
      </c>
      <c r="D352" s="142" t="str" cm="1">
        <f t="array" aca="1" ref="D352" ca="1">OFFSET(POrigin,MATCH(Valori[[#This Row],[LUKB_id]],PID,0),MATCH("SC_GROUPED",PIntestazioni,0)-1,1,1)</f>
        <v>EQU</v>
      </c>
      <c r="E352" s="413" t="str" cm="1">
        <f t="array" aca="1" ref="E352" ca="1">OFFSET(POrigin,MATCH(Valori[[#This Row],[LUKB_id]],PID,0),MATCH("isin",PIntestazioni,0)-1,1,1)</f>
        <v>CH0012214059</v>
      </c>
      <c r="F352" s="34" t="str" cm="1">
        <f t="array" aca="1" ref="F352" ca="1">OFFSET(POrigin,MATCH(Valori[[#This Row],[LUKB_id]],PID,0),MATCH("NSIN_CH",PLabel,0)-1,1,1)</f>
        <v>1221405</v>
      </c>
      <c r="G352" s="95" t="str" cm="1">
        <f t="array" aca="1" ref="G352" ca="1">IF(OFFSET(POrigin,MATCH(Valori[[#This Row],[LUKB_id]],PID,0),MATCH("INSTRUNIT",PLabel,0)-1,1,1)="Nominal","Pct","Unit")</f>
        <v>Unit</v>
      </c>
      <c r="H352" s="612">
        <f ca="1">MAX(OFFSET(POrigin,MATCH(Valori[[#This Row],[LUKB_id]],PID,0),MATCH("PRICINGAMT",PLabel,0)-1,1,1),1)</f>
        <v>1</v>
      </c>
      <c r="I352" s="615" t="str" cm="1">
        <f t="array" aca="1" ref="I352" ca="1">OFFSET(POrigin,MATCH(Valori[[#This Row],[LUKB_id]],PID,0),MATCH("M_NAME",PLabel,0)-1,1,1)</f>
        <v>Holcim N</v>
      </c>
      <c r="J352" s="142" t="s">
        <v>485</v>
      </c>
      <c r="M352" s="142" t="str" cm="1">
        <f t="array" aca="1" ref="M3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Holcim Ltd</v>
      </c>
      <c r="N352" s="1563">
        <f ca="1">COUNTIF('CHF M'!smo_id,Valori[[#This Row],[smo_id]])+COUNTIF('CHF MA'!smo_id,Valori[[#This Row],[smo_id]])+COUNTIF('EUR MB'!smo_id,Valori[[#This Row],[smo_id]])+COUNTIF('EUR M'!smo_id,Valori[[#This Row],[smo_id]])+COUNTIF(AGCO!smo_id,Valori[[#This Row],[smo_id]])</f>
        <v>2</v>
      </c>
      <c r="O352" s="1590" cm="1">
        <f t="array" aca="1" ref="O352" ca="1">SUM(IF('CHF M'!smo_id=Valori[[#This Row],[smo_id]],'CHF M'!Posizione))+SUM(IF('CHF MA'!smo_id=Valori[[#This Row],[smo_id]],'CHF MA'!Posizione))+SUM(IF('EUR MB'!smo_id=Valori[[#This Row],[smo_id]],'EUR MB'!Posizione))+SUM(IF('EUR M'!smo_id=Valori[[#This Row],[smo_id]],'EUR M'!Posizione))+SUM(IF(AGCO!smo_id=Valori[[#This Row],[smo_id]],AGCO!Posizione))</f>
        <v>310</v>
      </c>
      <c r="P352" s="1661" t="str">
        <f ca="1">HYPERLINK(Valori[[#This Row],[P_Source]],"è")</f>
        <v>è</v>
      </c>
      <c r="Q352" s="1663" t="str">
        <f>HYPERLINK(Valori[[#This Row],[Info_W]],"i")</f>
        <v>i</v>
      </c>
      <c r="R352" s="1664" t="str">
        <f>HYPERLINK(Valori[[#This Row],[FN_W]],"")</f>
        <v></v>
      </c>
      <c r="S352" s="1665" t="str">
        <f>HYPERLINK(Valori[[#This Row],[MS_Link]],"")</f>
        <v></v>
      </c>
      <c r="T352" s="1665" t="str">
        <f>HYPERLINK(Valori[[#This Row],[C_source]],"")</f>
        <v></v>
      </c>
      <c r="U352" s="142" t="str" cm="1">
        <f t="array" aca="1" ref="U352" ca="1">OFFSET(POrigin,MATCH(Valori[[#This Row],[LUKB_id]],PID,0),MATCH("M_CUR",PLabel,0)-1,1,1)</f>
        <v>CHF</v>
      </c>
      <c r="V352" s="1562">
        <f ca="1">(Valori[[#This Row],[Last]]+Valori[[#This Row],[Acc. Int]])/Valori[[#This Row],[Pr.Amt]]/IF(Valori[[#This Row],[P_Type]]="Pct",100,1)</f>
        <v>66.960000000000008</v>
      </c>
      <c r="W352" s="1591" cm="1">
        <f t="array" aca="1" ref="W352" ca="1">OFFSET(POrigin,MATCH(Valori[[#This Row],[LUKB_id]],PID,0),MATCH("NC2_PR",PLabel,0)-1,1,1)/100</f>
        <v>-3.0127462340672002E-2</v>
      </c>
      <c r="X352" s="1592" cm="1">
        <f t="array" aca="1" ref="X352" ca="1">OFFSET(POrigin,MATCH(Valori[[#This Row],[LUKB_id]],PID,0),MATCH("LVAL",PLabel,0)-1,1,1)</f>
        <v>66.960000000000008</v>
      </c>
      <c r="Y352" s="1593" cm="1">
        <f t="array" aca="1" ref="Y352" ca="1">OFFSET(POrigin,MATCH(Valori[[#This Row],[LUKB_id]],PID,0),MATCH("LVAL:datetime",PLabel,0)-1,1,1)</f>
        <v>46084.732407407406</v>
      </c>
      <c r="Z352" s="1594" cm="1">
        <f t="array" aca="1" ref="Z352" ca="1">OFFSET(POrigin,MATCH(Valori[[#This Row],[LUKB_id]],PID,0),MATCH("BID:volume",PLabel,0)-1,1,1)</f>
        <v>30</v>
      </c>
      <c r="AA352" s="1595" cm="1">
        <f t="array" aca="1" ref="AA352" ca="1">OFFSET(POrigin,MATCH(Valori[[#This Row],[LUKB_id]],PID,0),MATCH("BID",PLabel,0)-1,1,1)</f>
        <v>66.5</v>
      </c>
      <c r="AB352" s="1595" cm="1">
        <f t="array" aca="1" ref="AB352" ca="1">OFFSET(POrigin,MATCH(Valori[[#This Row],[LUKB_id]],PID,0),MATCH("ASK",PLabel,0)-1,1,1)</f>
        <v>0</v>
      </c>
      <c r="AC352" s="1594" cm="1">
        <f t="array" aca="1" ref="AC352" ca="1">OFFSET(POrigin,MATCH(Valori[[#This Row],[LUKB_id]],PID,0),MATCH("ASK:volume",PLabel,0)-1,1,1)</f>
        <v>0</v>
      </c>
      <c r="AD352" s="1596" cm="1">
        <f t="array" aca="1" ref="AD352" ca="1">OFFSET(POrigin,MATCH(Valori[[#This Row],[LUKB_id]],PID,0),MATCH("BID-ASK Spread %",PLabel,0)-1,1,1)</f>
        <v>0</v>
      </c>
      <c r="AE352" s="1597" t="str" cm="1">
        <f t="array" aca="1" ref="AE352" ca="1">IF(OFFSET(POrigin,MATCH(Valori[[#This Row],[LUKB_id]],PID,0),MATCH("MATURITY",PLabel,0)-1,1,1)&gt;0,OFFSET(POrigin,MATCH(Valori[[#This Row],[LUKB_id]],PID,0),MATCH("MATURITY",PLabel,0)-1,1,1),"")</f>
        <v/>
      </c>
      <c r="AF352" s="1598" cm="1">
        <f t="array" aca="1" ref="AF352" ca="1">OFFSET(POrigin,MATCH(Valori[[#This Row],[LUKB_id]],PID,0),MATCH("ACCINT",PLabel,0)-1,1,1)</f>
        <v>0</v>
      </c>
      <c r="AG352" s="1594" cm="1">
        <f t="array" aca="1" ref="AG352" ca="1">OFFSET(POrigin,MATCH(Valori[[#This Row],[LUKB_id]],PID,0),MATCH("DENOM",PLabel,0)-1,1,1)</f>
        <v>0</v>
      </c>
      <c r="AH352" s="1599" cm="1">
        <f t="array" aca="1" ref="AH352" ca="1">(OFFSET(POrigin,MATCH(Valori[[#This Row],[LUKB_id]],PID,0),MATCH("YIELD",PLabel,0)-1,1,1)+OFFSET(POrigin,MATCH(Valori[[#This Row],[LUKB_id]],PID,0),MATCH("YLDEQ",PLabel,0)-1,1,1))/100</f>
        <v>2.3563279999999999E-2</v>
      </c>
      <c r="AI352" s="1600">
        <f ca="1">OFFSET(POrigin,MATCH(Valori[[#This Row],[LUKB_id]],PID,0),MATCH("DIVIDEND",PLabel,0)-1,1,1)</f>
        <v>3.1</v>
      </c>
      <c r="AJ352" s="1601">
        <f ca="1">OFFSET(POrigin,MATCH(Valori[[#This Row],[LUKB_id]],PID,0),MATCH("DIVIDEND:datetime",PLabel,0)-1,1,1)</f>
        <v>45796</v>
      </c>
      <c r="AK352" s="1602">
        <f ca="1">OFFSET(POrigin,MATCH(Valori[[#This Row],[LUKB_id]],PID,0),MATCH("INTEREST",PLabel,0)-1,1,1)</f>
        <v>0</v>
      </c>
      <c r="AL352" s="1603">
        <f ca="1">OFFSET(POrigin,MATCH(Valori[[#This Row],[LUKB_id]],PID,0),MATCH("4W_PERF_PR",PLabel,0)-1,1,1)/100</f>
        <v>-0.18440925999999996</v>
      </c>
      <c r="AM352" s="1603">
        <f ca="1">OFFSET(POrigin,MATCH(Valori[[#This Row],[LUKB_id]],PID,0),MATCH("12W_PERF_PR",PLabel,0)-1,1,1)/100</f>
        <v>-0.11264246</v>
      </c>
      <c r="AN352" s="1603">
        <f ca="1">OFFSET(POrigin,MATCH(Valori[[#This Row],[LUKB_id]],PID,0),MATCH("YTD_PERF_PR",PLabel,0)-1,1,1)/100</f>
        <v>-0.112139917695474</v>
      </c>
      <c r="AO352" s="1591"/>
      <c r="AP352" s="1591"/>
      <c r="AQ352" s="1591"/>
      <c r="AR352" s="1591"/>
      <c r="AS352" s="1890" t="s">
        <v>1865</v>
      </c>
      <c r="AT352" s="1890" t="s">
        <v>1866</v>
      </c>
      <c r="AU352" s="610" t="s">
        <v>1867</v>
      </c>
      <c r="AV352" s="1891" t="str">
        <f>IF(Valori[[#This Row],[MS_Link]]&lt;&gt;"",Valori[[#This Row],[MS_Link]]&amp;"company/","")</f>
        <v>https://www.marketscreener.com/quote/stock/HOLCIM-LTD-2956274/company/</v>
      </c>
      <c r="AW352" s="1604" t="str">
        <f ca="1">"https://boersenundmaerkte.lukb.ch/lukb/details/"&amp;Valori[[#This Row],[LUKB_id]]</f>
        <v>https://boersenundmaerkte.lukb.ch/lukb/details/1221405,4,1</v>
      </c>
      <c r="AX352" s="1605" t="str">
        <f>"https://www.zonebourse.com/mods_a/charts/TV/inc_dyna_graph.php?c="&amp;Valori[[#This Row],[MS_Code]]&amp;"&amp;style=TradingView.CANDLES&amp;interval=(null)&amp;mobile=(null)&amp;showAT=1"</f>
        <v>https://www.zonebourse.com/mods_a/charts/TV/inc_dyna_graph.php?c=2956274&amp;style=TradingView.CANDLES&amp;interval=(null)&amp;mobile=(null)&amp;showAT=1</v>
      </c>
      <c r="AY352" s="142"/>
      <c r="AZ352" s="142"/>
      <c r="BA352" s="142"/>
      <c r="BB352" s="142"/>
    </row>
    <row r="353" spans="1:54" ht="15" customHeight="1" x14ac:dyDescent="0.2">
      <c r="A353" s="142" t="s">
        <v>4414</v>
      </c>
      <c r="B353" s="142" t="str" cm="1">
        <f t="array" aca="1" ref="B353" ca="1">OFFSET(POrigin,MATCH(Valori[[#This Row],[smo_id]],Posizioni[smo_id],0),MATCH("LUKB_id",PIntestazioni,0)-1,1,1)</f>
        <v>3038073,4,1</v>
      </c>
      <c r="C353" s="1668" t="str">
        <f ca="1">HYPERLINK("https://boersenundmaerkte.lukb.ch/lukb/details/"&amp;Valori[[#This Row],[LUKB_id]],"è")</f>
        <v>è</v>
      </c>
      <c r="D353" s="142" t="str" cm="1">
        <f t="array" aca="1" ref="D353" ca="1">OFFSET(POrigin,MATCH(Valori[[#This Row],[LUKB_id]],PID,0),MATCH("SC_GROUPED",PIntestazioni,0)-1,1,1)</f>
        <v>EQU</v>
      </c>
      <c r="E353" s="413" t="str" cm="1">
        <f t="array" aca="1" ref="E353" ca="1">OFFSET(POrigin,MATCH(Valori[[#This Row],[LUKB_id]],PID,0),MATCH("isin",PIntestazioni,0)-1,1,1)</f>
        <v>CH0030380734</v>
      </c>
      <c r="F353" s="34" t="str" cm="1">
        <f t="array" aca="1" ref="F353" ca="1">OFFSET(POrigin,MATCH(Valori[[#This Row],[LUKB_id]],PID,0),MATCH("NSIN_CH",PLabel,0)-1,1,1)</f>
        <v>3038073</v>
      </c>
      <c r="G353" s="95" t="str" cm="1">
        <f t="array" aca="1" ref="G353" ca="1">IF(OFFSET(POrigin,MATCH(Valori[[#This Row],[LUKB_id]],PID,0),MATCH("INSTRUNIT",PLabel,0)-1,1,1)="Nominal","Pct","Unit")</f>
        <v>Unit</v>
      </c>
      <c r="H353" s="612">
        <f ca="1">MAX(OFFSET(POrigin,MATCH(Valori[[#This Row],[LUKB_id]],PID,0),MATCH("PRICINGAMT",PLabel,0)-1,1,1),1)</f>
        <v>1</v>
      </c>
      <c r="I353" s="615" t="str" cm="1">
        <f t="array" aca="1" ref="I353" ca="1">OFFSET(POrigin,MATCH(Valori[[#This Row],[LUKB_id]],PID,0),MATCH("M_NAME",PLabel,0)-1,1,1)</f>
        <v>Huber + Suhner N</v>
      </c>
      <c r="M353" s="142" t="str" cm="1">
        <f t="array" aca="1" ref="M3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Huber + Suhner N</v>
      </c>
      <c r="N353" s="1563">
        <f ca="1">COUNTIF('CHF M'!smo_id,Valori[[#This Row],[smo_id]])+COUNTIF('CHF MA'!smo_id,Valori[[#This Row],[smo_id]])+COUNTIF('EUR MB'!smo_id,Valori[[#This Row],[smo_id]])+COUNTIF('EUR M'!smo_id,Valori[[#This Row],[smo_id]])+COUNTIF(AGCO!smo_id,Valori[[#This Row],[smo_id]])</f>
        <v>3</v>
      </c>
      <c r="O353" s="1590" cm="1">
        <f t="array" aca="1" ref="O353" ca="1">SUM(IF('CHF M'!smo_id=Valori[[#This Row],[smo_id]],'CHF M'!Posizione))+SUM(IF('CHF MA'!smo_id=Valori[[#This Row],[smo_id]],'CHF MA'!Posizione))+SUM(IF('EUR MB'!smo_id=Valori[[#This Row],[smo_id]],'EUR MB'!Posizione))+SUM(IF('EUR M'!smo_id=Valori[[#This Row],[smo_id]],'EUR M'!Posizione))+SUM(IF(AGCO!smo_id=Valori[[#This Row],[smo_id]],AGCO!Posizione))</f>
        <v>825</v>
      </c>
      <c r="P353" s="1661" t="str">
        <f ca="1">HYPERLINK(Valori[[#This Row],[P_Source]],"è")</f>
        <v>è</v>
      </c>
      <c r="Q353" s="1663" t="str">
        <f>HYPERLINK(Valori[[#This Row],[Info_W]],"i")</f>
        <v>i</v>
      </c>
      <c r="R353" s="1664" t="str">
        <f>HYPERLINK(Valori[[#This Row],[FN_W]],"")</f>
        <v></v>
      </c>
      <c r="S353" s="1665" t="str">
        <f>HYPERLINK(Valori[[#This Row],[MS_Link]],"")</f>
        <v></v>
      </c>
      <c r="T353" s="1665" t="str">
        <f>HYPERLINK(Valori[[#This Row],[C_source]],"")</f>
        <v></v>
      </c>
      <c r="U353" s="142" t="str" cm="1">
        <f t="array" aca="1" ref="U353" ca="1">OFFSET(POrigin,MATCH(Valori[[#This Row],[LUKB_id]],PID,0),MATCH("M_CUR",PLabel,0)-1,1,1)</f>
        <v>CHF</v>
      </c>
      <c r="V353" s="1562">
        <f ca="1">(Valori[[#This Row],[Last]]+Valori[[#This Row],[Acc. Int]])/Valori[[#This Row],[Pr.Amt]]/IF(Valori[[#This Row],[P_Type]]="Pct",100,1)</f>
        <v>180.20000000000002</v>
      </c>
      <c r="W353" s="1591" cm="1">
        <f t="array" aca="1" ref="W353" ca="1">OFFSET(POrigin,MATCH(Valori[[#This Row],[LUKB_id]],PID,0),MATCH("NC2_PR",PLabel,0)-1,1,1)/100</f>
        <v>-6.1458333333333302E-2</v>
      </c>
      <c r="X353" s="1592" cm="1">
        <f t="array" aca="1" ref="X353" ca="1">OFFSET(POrigin,MATCH(Valori[[#This Row],[LUKB_id]],PID,0),MATCH("LVAL",PLabel,0)-1,1,1)</f>
        <v>180.20000000000002</v>
      </c>
      <c r="Y353" s="1593" cm="1">
        <f t="array" aca="1" ref="Y353" ca="1">OFFSET(POrigin,MATCH(Valori[[#This Row],[LUKB_id]],PID,0),MATCH("LVAL:datetime",PLabel,0)-1,1,1)</f>
        <v>46084.731238425928</v>
      </c>
      <c r="Z353" s="1594" cm="1">
        <f t="array" aca="1" ref="Z353" ca="1">OFFSET(POrigin,MATCH(Valori[[#This Row],[LUKB_id]],PID,0),MATCH("BID:volume",PLabel,0)-1,1,1)</f>
        <v>5</v>
      </c>
      <c r="AA353" s="1595" cm="1">
        <f t="array" aca="1" ref="AA353" ca="1">OFFSET(POrigin,MATCH(Valori[[#This Row],[LUKB_id]],PID,0),MATCH("BID",PLabel,0)-1,1,1)</f>
        <v>178</v>
      </c>
      <c r="AB353" s="1595" cm="1">
        <f t="array" aca="1" ref="AB353" ca="1">OFFSET(POrigin,MATCH(Valori[[#This Row],[LUKB_id]],PID,0),MATCH("ASK",PLabel,0)-1,1,1)</f>
        <v>0</v>
      </c>
      <c r="AC353" s="1594" cm="1">
        <f t="array" aca="1" ref="AC353" ca="1">OFFSET(POrigin,MATCH(Valori[[#This Row],[LUKB_id]],PID,0),MATCH("ASK:volume",PLabel,0)-1,1,1)</f>
        <v>0</v>
      </c>
      <c r="AD353" s="1596" cm="1">
        <f t="array" aca="1" ref="AD353" ca="1">OFFSET(POrigin,MATCH(Valori[[#This Row],[LUKB_id]],PID,0),MATCH("BID-ASK Spread %",PLabel,0)-1,1,1)</f>
        <v>0</v>
      </c>
      <c r="AE353" s="1597" t="str" cm="1">
        <f t="array" aca="1" ref="AE353" ca="1">IF(OFFSET(POrigin,MATCH(Valori[[#This Row],[LUKB_id]],PID,0),MATCH("MATURITY",PLabel,0)-1,1,1)&gt;0,OFFSET(POrigin,MATCH(Valori[[#This Row],[LUKB_id]],PID,0),MATCH("MATURITY",PLabel,0)-1,1,1),"")</f>
        <v/>
      </c>
      <c r="AF353" s="1598" cm="1">
        <f t="array" aca="1" ref="AF353" ca="1">OFFSET(POrigin,MATCH(Valori[[#This Row],[LUKB_id]],PID,0),MATCH("ACCINT",PLabel,0)-1,1,1)</f>
        <v>0</v>
      </c>
      <c r="AG353" s="1594" cm="1">
        <f t="array" aca="1" ref="AG353" ca="1">OFFSET(POrigin,MATCH(Valori[[#This Row],[LUKB_id]],PID,0),MATCH("DENOM",PLabel,0)-1,1,1)</f>
        <v>0</v>
      </c>
      <c r="AH353" s="1599" cm="1">
        <f t="array" aca="1" ref="AH353" ca="1">(OFFSET(POrigin,MATCH(Valori[[#This Row],[LUKB_id]],PID,0),MATCH("YIELD",PLabel,0)-1,1,1)+OFFSET(POrigin,MATCH(Valori[[#This Row],[LUKB_id]],PID,0),MATCH("YLDEQ",PLabel,0)-1,1,1))/100</f>
        <v>1.0543840000000001E-2</v>
      </c>
      <c r="AI353" s="1600">
        <f ca="1">OFFSET(POrigin,MATCH(Valori[[#This Row],[LUKB_id]],PID,0),MATCH("DIVIDEND",PLabel,0)-1,1,1)</f>
        <v>1.9000000000000001</v>
      </c>
      <c r="AJ353" s="1601">
        <f ca="1">OFFSET(POrigin,MATCH(Valori[[#This Row],[LUKB_id]],PID,0),MATCH("DIVIDEND:datetime",PLabel,0)-1,1,1)</f>
        <v>45751</v>
      </c>
      <c r="AK353" s="1602">
        <f ca="1">OFFSET(POrigin,MATCH(Valori[[#This Row],[LUKB_id]],PID,0),MATCH("INTEREST",PLabel,0)-1,1,1)</f>
        <v>0</v>
      </c>
      <c r="AL353" s="1603">
        <f ca="1">OFFSET(POrigin,MATCH(Valori[[#This Row],[LUKB_id]],PID,0),MATCH("4W_PERF_PR",PLabel,0)-1,1,1)/100</f>
        <v>0.15070243</v>
      </c>
      <c r="AM353" s="1603">
        <f ca="1">OFFSET(POrigin,MATCH(Valori[[#This Row],[LUKB_id]],PID,0),MATCH("12W_PERF_PR",PLabel,0)-1,1,1)/100</f>
        <v>0.18086500999999999</v>
      </c>
      <c r="AN353" s="1603">
        <f ca="1">OFFSET(POrigin,MATCH(Valori[[#This Row],[LUKB_id]],PID,0),MATCH("YTD_PERF_PR",PLabel,0)-1,1,1)/100</f>
        <v>0.32596685082873</v>
      </c>
      <c r="AO353" s="1591"/>
      <c r="AP353" s="1591"/>
      <c r="AQ353" s="1591"/>
      <c r="AR353" s="1591"/>
      <c r="AS353" s="1890"/>
      <c r="AT353" s="1890"/>
      <c r="AU353" s="610"/>
      <c r="AV353" s="1891"/>
      <c r="AW353" s="1604" t="str">
        <f ca="1">"https://boersenundmaerkte.lukb.ch/lukb/details/"&amp;Valori[[#This Row],[LUKB_id]]</f>
        <v>https://boersenundmaerkte.lukb.ch/lukb/details/3038073,4,1</v>
      </c>
      <c r="AX35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3" s="142"/>
      <c r="AZ353" s="142"/>
      <c r="BA353" s="142"/>
      <c r="BB353" s="142"/>
    </row>
    <row r="354" spans="1:54" ht="15" customHeight="1" x14ac:dyDescent="0.2">
      <c r="A354" s="142" t="s">
        <v>1868</v>
      </c>
      <c r="B354" s="142" t="str" cm="1">
        <f t="array" aca="1" ref="B354" ca="1">OFFSET(POrigin,MATCH(Valori[[#This Row],[smo_id]],Posizioni[smo_id],0),MATCH("LUKB_id",PIntestazioni,0)-1,1,1)</f>
        <v>2386855,4,1</v>
      </c>
      <c r="C354" s="1668" t="str">
        <f ca="1">HYPERLINK("https://boersenundmaerkte.lukb.ch/lukb/details/"&amp;Valori[[#This Row],[LUKB_id]],"è")</f>
        <v>è</v>
      </c>
      <c r="D354" s="142" t="str" cm="1">
        <f t="array" aca="1" ref="D354" ca="1">OFFSET(POrigin,MATCH(Valori[[#This Row],[LUKB_id]],PID,0),MATCH("SC_GROUPED",PIntestazioni,0)-1,1,1)</f>
        <v>EQU</v>
      </c>
      <c r="E354" s="413" t="str" cm="1">
        <f t="array" aca="1" ref="E354" ca="1">OFFSET(POrigin,MATCH(Valori[[#This Row],[LUKB_id]],PID,0),MATCH("isin",PIntestazioni,0)-1,1,1)</f>
        <v>CH0023868554</v>
      </c>
      <c r="F354" s="34" t="str" cm="1">
        <f t="array" aca="1" ref="F354" ca="1">OFFSET(POrigin,MATCH(Valori[[#This Row],[LUKB_id]],PID,0),MATCH("NSIN_CH",PLabel,0)-1,1,1)</f>
        <v>2386855</v>
      </c>
      <c r="G354" s="95" t="str" cm="1">
        <f t="array" aca="1" ref="G354" ca="1">IF(OFFSET(POrigin,MATCH(Valori[[#This Row],[LUKB_id]],PID,0),MATCH("INSTRUNIT",PLabel,0)-1,1,1)="Nominal","Pct","Unit")</f>
        <v>Unit</v>
      </c>
      <c r="H354" s="612">
        <f ca="1">MAX(OFFSET(POrigin,MATCH(Valori[[#This Row],[LUKB_id]],PID,0),MATCH("PRICINGAMT",PLabel,0)-1,1,1),1)</f>
        <v>1</v>
      </c>
      <c r="I354" s="615" t="str" cm="1">
        <f t="array" aca="1" ref="I354" ca="1">OFFSET(POrigin,MATCH(Valori[[#This Row],[LUKB_id]],PID,0),MATCH("M_NAME",PLabel,0)-1,1,1)</f>
        <v>Implenia N</v>
      </c>
      <c r="M354" s="142" t="str" cm="1">
        <f t="array" aca="1" ref="M3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Implenia N</v>
      </c>
      <c r="N354" s="1563">
        <f ca="1">COUNTIF('CHF M'!smo_id,Valori[[#This Row],[smo_id]])+COUNTIF('CHF MA'!smo_id,Valori[[#This Row],[smo_id]])+COUNTIF('EUR MB'!smo_id,Valori[[#This Row],[smo_id]])+COUNTIF('EUR M'!smo_id,Valori[[#This Row],[smo_id]])+COUNTIF(AGCO!smo_id,Valori[[#This Row],[smo_id]])</f>
        <v>0</v>
      </c>
      <c r="O354" s="1590" cm="1">
        <f t="array" aca="1" ref="O354" ca="1">SUM(IF('CHF M'!smo_id=Valori[[#This Row],[smo_id]],'CHF M'!Posizione))+SUM(IF('CHF MA'!smo_id=Valori[[#This Row],[smo_id]],'CHF MA'!Posizione))+SUM(IF('EUR MB'!smo_id=Valori[[#This Row],[smo_id]],'EUR MB'!Posizione))+SUM(IF('EUR M'!smo_id=Valori[[#This Row],[smo_id]],'EUR M'!Posizione))+SUM(IF(AGCO!smo_id=Valori[[#This Row],[smo_id]],AGCO!Posizione))</f>
        <v>0</v>
      </c>
      <c r="P354" s="1661" t="str">
        <f ca="1">HYPERLINK(Valori[[#This Row],[P_Source]],"è")</f>
        <v>è</v>
      </c>
      <c r="Q354" s="1663" t="str">
        <f>HYPERLINK(Valori[[#This Row],[Info_W]],"i")</f>
        <v>i</v>
      </c>
      <c r="R354" s="1664" t="str">
        <f>HYPERLINK(Valori[[#This Row],[FN_W]],"")</f>
        <v></v>
      </c>
      <c r="S354" s="1665" t="str">
        <f>HYPERLINK(Valori[[#This Row],[MS_Link]],"")</f>
        <v></v>
      </c>
      <c r="T354" s="1665" t="str">
        <f>HYPERLINK(Valori[[#This Row],[C_source]],"")</f>
        <v></v>
      </c>
      <c r="U354" s="142" t="str" cm="1">
        <f t="array" aca="1" ref="U354" ca="1">OFFSET(POrigin,MATCH(Valori[[#This Row],[LUKB_id]],PID,0),MATCH("M_CUR",PLabel,0)-1,1,1)</f>
        <v>CHF</v>
      </c>
      <c r="V354" s="1562">
        <f ca="1">(Valori[[#This Row],[Last]]+Valori[[#This Row],[Acc. Int]])/Valori[[#This Row],[Pr.Amt]]/IF(Valori[[#This Row],[P_Type]]="Pct",100,1)</f>
        <v>70.100000000000009</v>
      </c>
      <c r="W354" s="1591" cm="1">
        <f t="array" aca="1" ref="W354" ca="1">OFFSET(POrigin,MATCH(Valori[[#This Row],[LUKB_id]],PID,0),MATCH("NC2_PR",PLabel,0)-1,1,1)/100</f>
        <v>-2.7739251040221999E-2</v>
      </c>
      <c r="X354" s="1592" cm="1">
        <f t="array" aca="1" ref="X354" ca="1">OFFSET(POrigin,MATCH(Valori[[#This Row],[LUKB_id]],PID,0),MATCH("LVAL",PLabel,0)-1,1,1)</f>
        <v>70.100000000000009</v>
      </c>
      <c r="Y354" s="1593" cm="1">
        <f t="array" aca="1" ref="Y354" ca="1">OFFSET(POrigin,MATCH(Valori[[#This Row],[LUKB_id]],PID,0),MATCH("LVAL:datetime",PLabel,0)-1,1,1)</f>
        <v>46084.730081018519</v>
      </c>
      <c r="Z354" s="1594" cm="1">
        <f t="array" aca="1" ref="Z354" ca="1">OFFSET(POrigin,MATCH(Valori[[#This Row],[LUKB_id]],PID,0),MATCH("BID:volume",PLabel,0)-1,1,1)</f>
        <v>300</v>
      </c>
      <c r="AA354" s="1595" cm="1">
        <f t="array" aca="1" ref="AA354" ca="1">OFFSET(POrigin,MATCH(Valori[[#This Row],[LUKB_id]],PID,0),MATCH("BID",PLabel,0)-1,1,1)</f>
        <v>68.400000000000006</v>
      </c>
      <c r="AB354" s="1595" cm="1">
        <f t="array" aca="1" ref="AB354" ca="1">OFFSET(POrigin,MATCH(Valori[[#This Row],[LUKB_id]],PID,0),MATCH("ASK",PLabel,0)-1,1,1)</f>
        <v>75</v>
      </c>
      <c r="AC354" s="1594" cm="1">
        <f t="array" aca="1" ref="AC354" ca="1">OFFSET(POrigin,MATCH(Valori[[#This Row],[LUKB_id]],PID,0),MATCH("ASK:volume",PLabel,0)-1,1,1)</f>
        <v>270</v>
      </c>
      <c r="AD354" s="1596" cm="1">
        <f t="array" aca="1" ref="AD354" ca="1">OFFSET(POrigin,MATCH(Valori[[#This Row],[LUKB_id]],PID,0),MATCH("BID-ASK Spread %",PLabel,0)-1,1,1)</f>
        <v>6.2322946175637335E-2</v>
      </c>
      <c r="AE354" s="1597" t="str" cm="1">
        <f t="array" aca="1" ref="AE354" ca="1">IF(OFFSET(POrigin,MATCH(Valori[[#This Row],[LUKB_id]],PID,0),MATCH("MATURITY",PLabel,0)-1,1,1)&gt;0,OFFSET(POrigin,MATCH(Valori[[#This Row],[LUKB_id]],PID,0),MATCH("MATURITY",PLabel,0)-1,1,1),"")</f>
        <v/>
      </c>
      <c r="AF354" s="1598" cm="1">
        <f t="array" aca="1" ref="AF354" ca="1">OFFSET(POrigin,MATCH(Valori[[#This Row],[LUKB_id]],PID,0),MATCH("ACCINT",PLabel,0)-1,1,1)</f>
        <v>0</v>
      </c>
      <c r="AG354" s="1594" cm="1">
        <f t="array" aca="1" ref="AG354" ca="1">OFFSET(POrigin,MATCH(Valori[[#This Row],[LUKB_id]],PID,0),MATCH("DENOM",PLabel,0)-1,1,1)</f>
        <v>0</v>
      </c>
      <c r="AH354" s="1599" cm="1">
        <f t="array" aca="1" ref="AH354" ca="1">(OFFSET(POrigin,MATCH(Valori[[#This Row],[LUKB_id]],PID,0),MATCH("YIELD",PLabel,0)-1,1,1)+OFFSET(POrigin,MATCH(Valori[[#This Row],[LUKB_id]],PID,0),MATCH("YLDEQ",PLabel,0)-1,1,1))/100</f>
        <v>1.2838800000000001E-2</v>
      </c>
      <c r="AI354" s="1600">
        <f ca="1">OFFSET(POrigin,MATCH(Valori[[#This Row],[LUKB_id]],PID,0),MATCH("DIVIDEND",PLabel,0)-1,1,1)</f>
        <v>0.9</v>
      </c>
      <c r="AJ354" s="1601">
        <f ca="1">OFFSET(POrigin,MATCH(Valori[[#This Row],[LUKB_id]],PID,0),MATCH("DIVIDEND:datetime",PLabel,0)-1,1,1)</f>
        <v>45743</v>
      </c>
      <c r="AK354" s="1602">
        <f ca="1">OFFSET(POrigin,MATCH(Valori[[#This Row],[LUKB_id]],PID,0),MATCH("INTEREST",PLabel,0)-1,1,1)</f>
        <v>0</v>
      </c>
      <c r="AL354" s="1603">
        <f ca="1">OFFSET(POrigin,MATCH(Valori[[#This Row],[LUKB_id]],PID,0),MATCH("4W_PERF_PR",PLabel,0)-1,1,1)/100</f>
        <v>-1.8207279999999999E-2</v>
      </c>
      <c r="AM354" s="1603">
        <f ca="1">OFFSET(POrigin,MATCH(Valori[[#This Row],[LUKB_id]],PID,0),MATCH("12W_PERF_PR",PLabel,0)-1,1,1)/100</f>
        <v>1.5942029999999999E-2</v>
      </c>
      <c r="AN354" s="1603">
        <f ca="1">OFFSET(POrigin,MATCH(Valori[[#This Row],[LUKB_id]],PID,0),MATCH("YTD_PERF_PR",PLabel,0)-1,1,1)/100</f>
        <v>-5.7516339869281001E-2</v>
      </c>
      <c r="AO354" s="1591"/>
      <c r="AP354" s="1591"/>
      <c r="AQ354" s="1591"/>
      <c r="AR354" s="1591"/>
      <c r="AS354" s="1890"/>
      <c r="AT354" s="1890"/>
      <c r="AU354" s="610"/>
      <c r="AV354" s="1891"/>
      <c r="AW354" s="1604" t="str">
        <f ca="1">"https://boersenundmaerkte.lukb.ch/lukb/details/"&amp;Valori[[#This Row],[LUKB_id]]</f>
        <v>https://boersenundmaerkte.lukb.ch/lukb/details/2386855,4,1</v>
      </c>
      <c r="AX35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4" s="142"/>
      <c r="AZ354" s="142"/>
      <c r="BA354" s="142"/>
      <c r="BB354" s="142"/>
    </row>
    <row r="355" spans="1:54" ht="15" customHeight="1" x14ac:dyDescent="0.2">
      <c r="A355" s="142" t="s">
        <v>1869</v>
      </c>
      <c r="B355" s="142" t="str" cm="1">
        <f t="array" aca="1" ref="B355" ca="1">OFFSET(POrigin,MATCH(Valori[[#This Row],[smo_id]],Posizioni[smo_id],0),MATCH("LUKB_id",PIntestazioni,0)-1,1,1)</f>
        <v>24956043,1573,814</v>
      </c>
      <c r="C355" s="1668" t="str">
        <f ca="1">HYPERLINK("https://boersenundmaerkte.lukb.ch/lukb/details/"&amp;Valori[[#This Row],[LUKB_id]],"è")</f>
        <v>è</v>
      </c>
      <c r="D355" s="142" t="str" cm="1">
        <f t="array" aca="1" ref="D355" ca="1">OFFSET(POrigin,MATCH(Valori[[#This Row],[LUKB_id]],PID,0),MATCH("SC_GROUPED",PIntestazioni,0)-1,1,1)</f>
        <v>EQU</v>
      </c>
      <c r="E355" s="413" t="str" cm="1">
        <f t="array" aca="1" ref="E355" ca="1">OFFSET(POrigin,MATCH(Valori[[#This Row],[LUKB_id]],PID,0),MATCH("isin",PIntestazioni,0)-1,1,1)</f>
        <v>ES0148396007</v>
      </c>
      <c r="F355" s="34" t="str" cm="1">
        <f t="array" aca="1" ref="F355" ca="1">OFFSET(POrigin,MATCH(Valori[[#This Row],[LUKB_id]],PID,0),MATCH("NSIN_CH",PLabel,0)-1,1,1)</f>
        <v>24956043</v>
      </c>
      <c r="G355" s="95" t="str" cm="1">
        <f t="array" aca="1" ref="G355" ca="1">IF(OFFSET(POrigin,MATCH(Valori[[#This Row],[LUKB_id]],PID,0),MATCH("INSTRUNIT",PLabel,0)-1,1,1)="Nominal","Pct","Unit")</f>
        <v>Unit</v>
      </c>
      <c r="H355" s="612">
        <f ca="1">MAX(OFFSET(POrigin,MATCH(Valori[[#This Row],[LUKB_id]],PID,0),MATCH("PRICINGAMT",PLabel,0)-1,1,1),1)</f>
        <v>1</v>
      </c>
      <c r="I355" s="615" t="str" cm="1">
        <f t="array" aca="1" ref="I355" ca="1">OFFSET(POrigin,MATCH(Valori[[#This Row],[LUKB_id]],PID,0),MATCH("M_NAME",PLabel,0)-1,1,1)</f>
        <v>Inditex</v>
      </c>
      <c r="M355" s="142" t="str" cm="1">
        <f t="array" aca="1" ref="M3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Inditex</v>
      </c>
      <c r="N355" s="1563">
        <f ca="1">COUNTIF('CHF M'!smo_id,Valori[[#This Row],[smo_id]])+COUNTIF('CHF MA'!smo_id,Valori[[#This Row],[smo_id]])+COUNTIF('EUR MB'!smo_id,Valori[[#This Row],[smo_id]])+COUNTIF('EUR M'!smo_id,Valori[[#This Row],[smo_id]])+COUNTIF(AGCO!smo_id,Valori[[#This Row],[smo_id]])</f>
        <v>1</v>
      </c>
      <c r="O355" s="1590" cm="1">
        <f t="array" aca="1" ref="O355" ca="1">SUM(IF('CHF M'!smo_id=Valori[[#This Row],[smo_id]],'CHF M'!Posizione))+SUM(IF('CHF MA'!smo_id=Valori[[#This Row],[smo_id]],'CHF MA'!Posizione))+SUM(IF('EUR MB'!smo_id=Valori[[#This Row],[smo_id]],'EUR MB'!Posizione))+SUM(IF('EUR M'!smo_id=Valori[[#This Row],[smo_id]],'EUR M'!Posizione))+SUM(IF(AGCO!smo_id=Valori[[#This Row],[smo_id]],AGCO!Posizione))</f>
        <v>1400</v>
      </c>
      <c r="P355" s="1661" t="str">
        <f ca="1">HYPERLINK(Valori[[#This Row],[P_Source]],"è")</f>
        <v>è</v>
      </c>
      <c r="Q355" s="1663" t="str">
        <f>HYPERLINK(Valori[[#This Row],[Info_W]],"i")</f>
        <v>i</v>
      </c>
      <c r="R355" s="1664" t="str">
        <f>HYPERLINK(Valori[[#This Row],[FN_W]],"")</f>
        <v></v>
      </c>
      <c r="S355" s="1665" t="str">
        <f>HYPERLINK(Valori[[#This Row],[MS_Link]],"")</f>
        <v></v>
      </c>
      <c r="T355" s="1665" t="str">
        <f>HYPERLINK(Valori[[#This Row],[C_source]],"")</f>
        <v></v>
      </c>
      <c r="U355" s="142" t="str" cm="1">
        <f t="array" aca="1" ref="U355" ca="1">OFFSET(POrigin,MATCH(Valori[[#This Row],[LUKB_id]],PID,0),MATCH("M_CUR",PLabel,0)-1,1,1)</f>
        <v>EUR</v>
      </c>
      <c r="V355" s="1562">
        <f ca="1">(Valori[[#This Row],[Last]]+Valori[[#This Row],[Acc. Int]])/Valori[[#This Row],[Pr.Amt]]/IF(Valori[[#This Row],[P_Type]]="Pct",100,1)</f>
        <v>51.800000000000004</v>
      </c>
      <c r="W355" s="1591" cm="1">
        <f t="array" aca="1" ref="W355" ca="1">OFFSET(POrigin,MATCH(Valori[[#This Row],[LUKB_id]],PID,0),MATCH("NC2_PR",PLabel,0)-1,1,1)/100</f>
        <v>-4.1450777202072499E-2</v>
      </c>
      <c r="X355" s="1592" cm="1">
        <f t="array" aca="1" ref="X355" ca="1">OFFSET(POrigin,MATCH(Valori[[#This Row],[LUKB_id]],PID,0),MATCH("LVAL",PLabel,0)-1,1,1)</f>
        <v>51.800000000000004</v>
      </c>
      <c r="Y355" s="1593" cm="1">
        <f t="array" aca="1" ref="Y355" ca="1">OFFSET(POrigin,MATCH(Valori[[#This Row],[LUKB_id]],PID,0),MATCH("LVAL:datetime",PLabel,0)-1,1,1)</f>
        <v>46084.729166666664</v>
      </c>
      <c r="Z355" s="1594" cm="1">
        <f t="array" aca="1" ref="Z355" ca="1">OFFSET(POrigin,MATCH(Valori[[#This Row],[LUKB_id]],PID,0),MATCH("BID:volume",PLabel,0)-1,1,1)</f>
        <v>194</v>
      </c>
      <c r="AA355" s="1595" cm="1">
        <f t="array" aca="1" ref="AA355" ca="1">OFFSET(POrigin,MATCH(Valori[[#This Row],[LUKB_id]],PID,0),MATCH("BID",PLabel,0)-1,1,1)</f>
        <v>51.56</v>
      </c>
      <c r="AB355" s="1595" cm="1">
        <f t="array" aca="1" ref="AB355" ca="1">OFFSET(POrigin,MATCH(Valori[[#This Row],[LUKB_id]],PID,0),MATCH("ASK",PLabel,0)-1,1,1)</f>
        <v>51.7</v>
      </c>
      <c r="AC355" s="1594" cm="1">
        <f t="array" aca="1" ref="AC355" ca="1">OFFSET(POrigin,MATCH(Valori[[#This Row],[LUKB_id]],PID,0),MATCH("ASK:volume",PLabel,0)-1,1,1)</f>
        <v>125</v>
      </c>
      <c r="AD355" s="1596" cm="1">
        <f t="array" aca="1" ref="AD355" ca="1">OFFSET(POrigin,MATCH(Valori[[#This Row],[LUKB_id]],PID,0),MATCH("BID-ASK Spread %",PLabel,0)-1,1,1)</f>
        <v>1.8085518666838983E-3</v>
      </c>
      <c r="AE355" s="1597" t="str" cm="1">
        <f t="array" aca="1" ref="AE355" ca="1">IF(OFFSET(POrigin,MATCH(Valori[[#This Row],[LUKB_id]],PID,0),MATCH("MATURITY",PLabel,0)-1,1,1)&gt;0,OFFSET(POrigin,MATCH(Valori[[#This Row],[LUKB_id]],PID,0),MATCH("MATURITY",PLabel,0)-1,1,1),"")</f>
        <v/>
      </c>
      <c r="AF355" s="1598" cm="1">
        <f t="array" aca="1" ref="AF355" ca="1">OFFSET(POrigin,MATCH(Valori[[#This Row],[LUKB_id]],PID,0),MATCH("ACCINT",PLabel,0)-1,1,1)</f>
        <v>0</v>
      </c>
      <c r="AG355" s="1594" cm="1">
        <f t="array" aca="1" ref="AG355" ca="1">OFFSET(POrigin,MATCH(Valori[[#This Row],[LUKB_id]],PID,0),MATCH("DENOM",PLabel,0)-1,1,1)</f>
        <v>0</v>
      </c>
      <c r="AH355" s="1599" cm="1">
        <f t="array" aca="1" ref="AH355" ca="1">(OFFSET(POrigin,MATCH(Valori[[#This Row],[LUKB_id]],PID,0),MATCH("YIELD",PLabel,0)-1,1,1)+OFFSET(POrigin,MATCH(Valori[[#This Row],[LUKB_id]],PID,0),MATCH("YLDEQ",PLabel,0)-1,1,1))/100</f>
        <v>2.7027027027027025E-2</v>
      </c>
      <c r="AI355" s="1600">
        <f ca="1">OFFSET(POrigin,MATCH(Valori[[#This Row],[LUKB_id]],PID,0),MATCH("DIVIDEND",PLabel,0)-1,1,1)</f>
        <v>0.84</v>
      </c>
      <c r="AJ355" s="1601">
        <f ca="1">OFFSET(POrigin,MATCH(Valori[[#This Row],[LUKB_id]],PID,0),MATCH("DIVIDEND:datetime",PLabel,0)-1,1,1)</f>
        <v>45960</v>
      </c>
      <c r="AK355" s="1602">
        <f ca="1">OFFSET(POrigin,MATCH(Valori[[#This Row],[LUKB_id]],PID,0),MATCH("INTEREST",PLabel,0)-1,1,1)</f>
        <v>0</v>
      </c>
      <c r="AL355" s="1603">
        <f ca="1">OFFSET(POrigin,MATCH(Valori[[#This Row],[LUKB_id]],PID,0),MATCH("4W_PERF_PR",PLabel,0)-1,1,1)/100</f>
        <v>-5.4226766477998872E-2</v>
      </c>
      <c r="AM355" s="1603">
        <f ca="1">OFFSET(POrigin,MATCH(Valori[[#This Row],[LUKB_id]],PID,0),MATCH("12W_PERF_PR",PLabel,0)-1,1,1)/100</f>
        <v>-4.5337265020272646E-2</v>
      </c>
      <c r="AN355" s="1603">
        <f ca="1">OFFSET(POrigin,MATCH(Valori[[#This Row],[LUKB_id]],PID,0),MATCH("YTD_PERF_PR",PLabel,0)-1,1,1)/100</f>
        <v>-4.3878273177636401E-2</v>
      </c>
      <c r="AO355" s="1591"/>
      <c r="AP355" s="1591"/>
      <c r="AQ355" s="1591"/>
      <c r="AR355" s="1591"/>
      <c r="AS355" s="1890" t="s">
        <v>1870</v>
      </c>
      <c r="AT355" s="1890" t="s">
        <v>1871</v>
      </c>
      <c r="AU355" s="610" t="s">
        <v>1872</v>
      </c>
      <c r="AV355" s="1891" t="str">
        <f>IF(Valori[[#This Row],[MS_Link]]&lt;&gt;"",Valori[[#This Row],[MS_Link]]&amp;"company/","")</f>
        <v>https://www.marketscreener.com/quote/stock/INDITEX-16943135/company/</v>
      </c>
      <c r="AW355" s="1604" t="str">
        <f ca="1">"https://boersenundmaerkte.lukb.ch/lukb/details/"&amp;Valori[[#This Row],[LUKB_id]]</f>
        <v>https://boersenundmaerkte.lukb.ch/lukb/details/24956043,1573,814</v>
      </c>
      <c r="AX355" s="1605" t="str">
        <f>"https://www.marketscreener.com/mods_a/charts/TV/inc_dyna_graph.php?c="&amp;Valori[[#This Row],[MS_Code]]&amp;"&amp;style=TradingView.CANDLES&amp;interval=(null)&amp;mobile=(null)&amp;showAT=1"</f>
        <v>https://www.marketscreener.com/mods_a/charts/TV/inc_dyna_graph.php?c=16943135&amp;style=TradingView.CANDLES&amp;interval=(null)&amp;mobile=(null)&amp;showAT=1</v>
      </c>
      <c r="AY355" s="142"/>
      <c r="AZ355" s="142"/>
      <c r="BA355" s="142"/>
      <c r="BB355" s="142"/>
    </row>
    <row r="356" spans="1:54" ht="15" customHeight="1" x14ac:dyDescent="0.2">
      <c r="A356" s="142" t="s">
        <v>1873</v>
      </c>
      <c r="B356" s="142" t="str" cm="1">
        <f t="array" aca="1" ref="B356" ca="1">OFFSET(POrigin,MATCH(Valori[[#This Row],[smo_id]],Posizioni[smo_id],0),MATCH("LUKB_id",PIntestazioni,0)-1,1,1)</f>
        <v>637289,4,1</v>
      </c>
      <c r="C356" s="1668" t="str">
        <f ca="1">HYPERLINK("https://boersenundmaerkte.lukb.ch/lukb/details/"&amp;Valori[[#This Row],[LUKB_id]],"è")</f>
        <v>è</v>
      </c>
      <c r="D356" s="142" t="str" cm="1">
        <f t="array" aca="1" ref="D356" ca="1">OFFSET(POrigin,MATCH(Valori[[#This Row],[LUKB_id]],PID,0),MATCH("SC_GROUPED",PIntestazioni,0)-1,1,1)</f>
        <v>EQU</v>
      </c>
      <c r="E356" s="413" t="str" cm="1">
        <f t="array" aca="1" ref="E356" ca="1">OFFSET(POrigin,MATCH(Valori[[#This Row],[LUKB_id]],PID,0),MATCH("isin",PIntestazioni,0)-1,1,1)</f>
        <v>CH0006372897</v>
      </c>
      <c r="F356" s="34" t="str" cm="1">
        <f t="array" aca="1" ref="F356" ca="1">OFFSET(POrigin,MATCH(Valori[[#This Row],[LUKB_id]],PID,0),MATCH("NSIN_CH",PLabel,0)-1,1,1)</f>
        <v>637289</v>
      </c>
      <c r="G356" s="95" t="str" cm="1">
        <f t="array" aca="1" ref="G356" ca="1">IF(OFFSET(POrigin,MATCH(Valori[[#This Row],[LUKB_id]],PID,0),MATCH("INSTRUNIT",PLabel,0)-1,1,1)="Nominal","Pct","Unit")</f>
        <v>Unit</v>
      </c>
      <c r="H356" s="612">
        <f ca="1">MAX(OFFSET(POrigin,MATCH(Valori[[#This Row],[LUKB_id]],PID,0),MATCH("PRICINGAMT",PLabel,0)-1,1,1),1)</f>
        <v>1</v>
      </c>
      <c r="I356" s="615" t="str" cm="1">
        <f t="array" aca="1" ref="I356" ca="1">OFFSET(POrigin,MATCH(Valori[[#This Row],[LUKB_id]],PID,0),MATCH("M_NAME",PLabel,0)-1,1,1)</f>
        <v>Interroll Hldg N</v>
      </c>
      <c r="M356" s="142" t="str" cm="1">
        <f t="array" aca="1" ref="M3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Interroll Hldg N</v>
      </c>
      <c r="N356" s="1563">
        <f ca="1">COUNTIF('CHF M'!smo_id,Valori[[#This Row],[smo_id]])+COUNTIF('CHF MA'!smo_id,Valori[[#This Row],[smo_id]])+COUNTIF('EUR MB'!smo_id,Valori[[#This Row],[smo_id]])+COUNTIF('EUR M'!smo_id,Valori[[#This Row],[smo_id]])+COUNTIF(AGCO!smo_id,Valori[[#This Row],[smo_id]])</f>
        <v>0</v>
      </c>
      <c r="O356" s="1590" cm="1">
        <f t="array" aca="1" ref="O356" ca="1">SUM(IF('CHF M'!smo_id=Valori[[#This Row],[smo_id]],'CHF M'!Posizione))+SUM(IF('CHF MA'!smo_id=Valori[[#This Row],[smo_id]],'CHF MA'!Posizione))+SUM(IF('EUR MB'!smo_id=Valori[[#This Row],[smo_id]],'EUR MB'!Posizione))+SUM(IF('EUR M'!smo_id=Valori[[#This Row],[smo_id]],'EUR M'!Posizione))+SUM(IF(AGCO!smo_id=Valori[[#This Row],[smo_id]],AGCO!Posizione))</f>
        <v>0</v>
      </c>
      <c r="P356" s="1661" t="str">
        <f ca="1">HYPERLINK(Valori[[#This Row],[P_Source]],"è")</f>
        <v>è</v>
      </c>
      <c r="Q356" s="1663" t="str">
        <f>HYPERLINK(Valori[[#This Row],[Info_W]],"i")</f>
        <v>i</v>
      </c>
      <c r="R356" s="1664" t="str">
        <f>HYPERLINK(Valori[[#This Row],[FN_W]],"")</f>
        <v></v>
      </c>
      <c r="S356" s="1665" t="str">
        <f>HYPERLINK(Valori[[#This Row],[MS_Link]],"")</f>
        <v></v>
      </c>
      <c r="T356" s="1665" t="str">
        <f>HYPERLINK(Valori[[#This Row],[C_source]],"")</f>
        <v></v>
      </c>
      <c r="U356" s="142" t="str" cm="1">
        <f t="array" aca="1" ref="U356" ca="1">OFFSET(POrigin,MATCH(Valori[[#This Row],[LUKB_id]],PID,0),MATCH("M_CUR",PLabel,0)-1,1,1)</f>
        <v>CHF</v>
      </c>
      <c r="V356" s="1562">
        <f ca="1">(Valori[[#This Row],[Last]]+Valori[[#This Row],[Acc. Int]])/Valori[[#This Row],[Pr.Amt]]/IF(Valori[[#This Row],[P_Type]]="Pct",100,1)</f>
        <v>1848</v>
      </c>
      <c r="W356" s="1591" cm="1">
        <f t="array" aca="1" ref="W356" ca="1">OFFSET(POrigin,MATCH(Valori[[#This Row],[LUKB_id]],PID,0),MATCH("NC2_PR",PLabel,0)-1,1,1)/100</f>
        <v>-2.7368421052631601E-2</v>
      </c>
      <c r="X356" s="1592" cm="1">
        <f t="array" aca="1" ref="X356" ca="1">OFFSET(POrigin,MATCH(Valori[[#This Row],[LUKB_id]],PID,0),MATCH("LVAL",PLabel,0)-1,1,1)</f>
        <v>1848</v>
      </c>
      <c r="Y356" s="1593" cm="1">
        <f t="array" aca="1" ref="Y356" ca="1">OFFSET(POrigin,MATCH(Valori[[#This Row],[LUKB_id]],PID,0),MATCH("LVAL:datetime",PLabel,0)-1,1,1)</f>
        <v>46084.730081018519</v>
      </c>
      <c r="Z356" s="1594" cm="1">
        <f t="array" aca="1" ref="Z356" ca="1">OFFSET(POrigin,MATCH(Valori[[#This Row],[LUKB_id]],PID,0),MATCH("BID:volume",PLabel,0)-1,1,1)</f>
        <v>2</v>
      </c>
      <c r="AA356" s="1595" cm="1">
        <f t="array" aca="1" ref="AA356" ca="1">OFFSET(POrigin,MATCH(Valori[[#This Row],[LUKB_id]],PID,0),MATCH("BID",PLabel,0)-1,1,1)</f>
        <v>1818</v>
      </c>
      <c r="AB356" s="1595" cm="1">
        <f t="array" aca="1" ref="AB356" ca="1">OFFSET(POrigin,MATCH(Valori[[#This Row],[LUKB_id]],PID,0),MATCH("ASK",PLabel,0)-1,1,1)</f>
        <v>1986</v>
      </c>
      <c r="AC356" s="1594" cm="1">
        <f t="array" aca="1" ref="AC356" ca="1">OFFSET(POrigin,MATCH(Valori[[#This Row],[LUKB_id]],PID,0),MATCH("ASK:volume",PLabel,0)-1,1,1)</f>
        <v>20</v>
      </c>
      <c r="AD356" s="1596" cm="1">
        <f t="array" aca="1" ref="AD356" ca="1">OFFSET(POrigin,MATCH(Valori[[#This Row],[LUKB_id]],PID,0),MATCH("BID-ASK Spread %",PLabel,0)-1,1,1)</f>
        <v>5.9765208110992528E-2</v>
      </c>
      <c r="AE356" s="1597" t="str" cm="1">
        <f t="array" aca="1" ref="AE356" ca="1">IF(OFFSET(POrigin,MATCH(Valori[[#This Row],[LUKB_id]],PID,0),MATCH("MATURITY",PLabel,0)-1,1,1)&gt;0,OFFSET(POrigin,MATCH(Valori[[#This Row],[LUKB_id]],PID,0),MATCH("MATURITY",PLabel,0)-1,1,1),"")</f>
        <v/>
      </c>
      <c r="AF356" s="1598" cm="1">
        <f t="array" aca="1" ref="AF356" ca="1">OFFSET(POrigin,MATCH(Valori[[#This Row],[LUKB_id]],PID,0),MATCH("ACCINT",PLabel,0)-1,1,1)</f>
        <v>0</v>
      </c>
      <c r="AG356" s="1594" cm="1">
        <f t="array" aca="1" ref="AG356" ca="1">OFFSET(POrigin,MATCH(Valori[[#This Row],[LUKB_id]],PID,0),MATCH("DENOM",PLabel,0)-1,1,1)</f>
        <v>0</v>
      </c>
      <c r="AH356" s="1599" cm="1">
        <f t="array" aca="1" ref="AH356" ca="1">(OFFSET(POrigin,MATCH(Valori[[#This Row],[LUKB_id]],PID,0),MATCH("YIELD",PLabel,0)-1,1,1)+OFFSET(POrigin,MATCH(Valori[[#This Row],[LUKB_id]],PID,0),MATCH("YLDEQ",PLabel,0)-1,1,1))/100</f>
        <v>1.7316019999999998E-2</v>
      </c>
      <c r="AI356" s="1600">
        <f ca="1">OFFSET(POrigin,MATCH(Valori[[#This Row],[LUKB_id]],PID,0),MATCH("DIVIDEND",PLabel,0)-1,1,1)</f>
        <v>32</v>
      </c>
      <c r="AJ356" s="1601">
        <f ca="1">OFFSET(POrigin,MATCH(Valori[[#This Row],[LUKB_id]],PID,0),MATCH("DIVIDEND:datetime",PLabel,0)-1,1,1)</f>
        <v>45819</v>
      </c>
      <c r="AK356" s="1602">
        <f ca="1">OFFSET(POrigin,MATCH(Valori[[#This Row],[LUKB_id]],PID,0),MATCH("INTEREST",PLabel,0)-1,1,1)</f>
        <v>0</v>
      </c>
      <c r="AL356" s="1603">
        <f ca="1">OFFSET(POrigin,MATCH(Valori[[#This Row],[LUKB_id]],PID,0),MATCH("4W_PERF_PR",PLabel,0)-1,1,1)/100</f>
        <v>-2.014846E-2</v>
      </c>
      <c r="AM356" s="1603">
        <f ca="1">OFFSET(POrigin,MATCH(Valori[[#This Row],[LUKB_id]],PID,0),MATCH("12W_PERF_PR",PLabel,0)-1,1,1)/100</f>
        <v>-0.17499999999999999</v>
      </c>
      <c r="AN356" s="1603">
        <f ca="1">OFFSET(POrigin,MATCH(Valori[[#This Row],[LUKB_id]],PID,0),MATCH("YTD_PERF_PR",PLabel,0)-1,1,1)/100</f>
        <v>-0.13636363636363702</v>
      </c>
      <c r="AO356" s="1591"/>
      <c r="AP356" s="1591"/>
      <c r="AQ356" s="1591"/>
      <c r="AR356" s="1591"/>
      <c r="AS356" s="1890"/>
      <c r="AT356" s="1890"/>
      <c r="AU356" s="610"/>
      <c r="AV356" s="1891"/>
      <c r="AW356" s="1604" t="str">
        <f ca="1">"https://boersenundmaerkte.lukb.ch/lukb/details/"&amp;Valori[[#This Row],[LUKB_id]]</f>
        <v>https://boersenundmaerkte.lukb.ch/lukb/details/637289,4,1</v>
      </c>
      <c r="AX356"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6" s="142"/>
      <c r="AZ356" s="142"/>
      <c r="BA356" s="142"/>
      <c r="BB356" s="142"/>
    </row>
    <row r="357" spans="1:54" ht="15" customHeight="1" x14ac:dyDescent="0.2">
      <c r="A357" s="142" t="s">
        <v>1874</v>
      </c>
      <c r="B357" s="142" t="str" cm="1">
        <f t="array" aca="1" ref="B357" ca="1">OFFSET(POrigin,MATCH(Valori[[#This Row],[smo_id]],Posizioni[smo_id],0),MATCH("LUKB_id",PIntestazioni,0)-1,1,1)</f>
        <v>37115349,4,1</v>
      </c>
      <c r="C357" s="1668" t="str">
        <f ca="1">HYPERLINK("https://boersenundmaerkte.lukb.ch/lukb/details/"&amp;Valori[[#This Row],[LUKB_id]],"è")</f>
        <v>è</v>
      </c>
      <c r="D357" s="142" t="str" cm="1">
        <f t="array" aca="1" ref="D357" ca="1">OFFSET(POrigin,MATCH(Valori[[#This Row],[LUKB_id]],PID,0),MATCH("SC_GROUPED",PIntestazioni,0)-1,1,1)</f>
        <v>EQU</v>
      </c>
      <c r="E357" s="413" t="str" cm="1">
        <f t="array" aca="1" ref="E357" ca="1">OFFSET(POrigin,MATCH(Valori[[#This Row],[LUKB_id]],PID,0),MATCH("isin",PIntestazioni,0)-1,1,1)</f>
        <v>CH0371153492</v>
      </c>
      <c r="F357" s="34" t="str" cm="1">
        <f t="array" aca="1" ref="F357" ca="1">OFFSET(POrigin,MATCH(Valori[[#This Row],[LUKB_id]],PID,0),MATCH("NSIN_CH",PLabel,0)-1,1,1)</f>
        <v>37115349</v>
      </c>
      <c r="G357" s="95" t="str" cm="1">
        <f t="array" aca="1" ref="G357" ca="1">IF(OFFSET(POrigin,MATCH(Valori[[#This Row],[LUKB_id]],PID,0),MATCH("INSTRUNIT",PLabel,0)-1,1,1)="Nominal","Pct","Unit")</f>
        <v>Unit</v>
      </c>
      <c r="H357" s="612">
        <f ca="1">MAX(OFFSET(POrigin,MATCH(Valori[[#This Row],[LUKB_id]],PID,0),MATCH("PRICINGAMT",PLabel,0)-1,1,1),1)</f>
        <v>1</v>
      </c>
      <c r="I357" s="615" t="str" cm="1">
        <f t="array" aca="1" ref="I357" ca="1">OFFSET(POrigin,MATCH(Valori[[#This Row],[LUKB_id]],PID,0),MATCH("M_NAME",PLabel,0)-1,1,1)</f>
        <v>LandisGyr Gr N</v>
      </c>
      <c r="J357" s="142" t="s">
        <v>608</v>
      </c>
      <c r="M357" s="142" t="str" cm="1">
        <f t="array" aca="1" ref="M3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LandisGyr Gr N</v>
      </c>
      <c r="N357" s="1563">
        <f ca="1">COUNTIF('CHF M'!smo_id,Valori[[#This Row],[smo_id]])+COUNTIF('CHF MA'!smo_id,Valori[[#This Row],[smo_id]])+COUNTIF('EUR MB'!smo_id,Valori[[#This Row],[smo_id]])+COUNTIF('EUR M'!smo_id,Valori[[#This Row],[smo_id]])+COUNTIF(AGCO!smo_id,Valori[[#This Row],[smo_id]])</f>
        <v>1</v>
      </c>
      <c r="O357" s="1590" cm="1">
        <f t="array" aca="1" ref="O357" ca="1">SUM(IF('CHF M'!smo_id=Valori[[#This Row],[smo_id]],'CHF M'!Posizione))+SUM(IF('CHF MA'!smo_id=Valori[[#This Row],[smo_id]],'CHF MA'!Posizione))+SUM(IF('EUR MB'!smo_id=Valori[[#This Row],[smo_id]],'EUR MB'!Posizione))+SUM(IF('EUR M'!smo_id=Valori[[#This Row],[smo_id]],'EUR M'!Posizione))+SUM(IF(AGCO!smo_id=Valori[[#This Row],[smo_id]],AGCO!Posizione))</f>
        <v>300</v>
      </c>
      <c r="P357" s="1661" t="str">
        <f ca="1">HYPERLINK(Valori[[#This Row],[P_Source]],"è")</f>
        <v>è</v>
      </c>
      <c r="Q357" s="1663" t="str">
        <f>HYPERLINK(Valori[[#This Row],[Info_W]],"i")</f>
        <v>i</v>
      </c>
      <c r="R357" s="1664" t="str">
        <f>HYPERLINK(Valori[[#This Row],[FN_W]],"")</f>
        <v></v>
      </c>
      <c r="S357" s="1665" t="str">
        <f>HYPERLINK(Valori[[#This Row],[MS_Link]],"")</f>
        <v></v>
      </c>
      <c r="T357" s="1665" t="str">
        <f>HYPERLINK(Valori[[#This Row],[C_source]],"")</f>
        <v></v>
      </c>
      <c r="U357" s="142" t="str" cm="1">
        <f t="array" aca="1" ref="U357" ca="1">OFFSET(POrigin,MATCH(Valori[[#This Row],[LUKB_id]],PID,0),MATCH("M_CUR",PLabel,0)-1,1,1)</f>
        <v>CHF</v>
      </c>
      <c r="V357" s="1562">
        <f ca="1">(Valori[[#This Row],[Last]]+Valori[[#This Row],[Acc. Int]])/Valori[[#This Row],[Pr.Amt]]/IF(Valori[[#This Row],[P_Type]]="Pct",100,1)</f>
        <v>51.400000000000006</v>
      </c>
      <c r="W357" s="1591" cm="1">
        <f t="array" aca="1" ref="W357" ca="1">OFFSET(POrigin,MATCH(Valori[[#This Row],[LUKB_id]],PID,0),MATCH("NC2_PR",PLabel,0)-1,1,1)/100</f>
        <v>-3.7453183520599301E-2</v>
      </c>
      <c r="X357" s="1592" cm="1">
        <f t="array" aca="1" ref="X357" ca="1">OFFSET(POrigin,MATCH(Valori[[#This Row],[LUKB_id]],PID,0),MATCH("LVAL",PLabel,0)-1,1,1)</f>
        <v>51.400000000000006</v>
      </c>
      <c r="Y357" s="1593" cm="1">
        <f t="array" aca="1" ref="Y357" ca="1">OFFSET(POrigin,MATCH(Valori[[#This Row],[LUKB_id]],PID,0),MATCH("LVAL:datetime",PLabel,0)-1,1,1)</f>
        <v>46084.730081018519</v>
      </c>
      <c r="Z357" s="1594" cm="1">
        <f t="array" aca="1" ref="Z357" ca="1">OFFSET(POrigin,MATCH(Valori[[#This Row],[LUKB_id]],PID,0),MATCH("BID:volume",PLabel,0)-1,1,1)</f>
        <v>200</v>
      </c>
      <c r="AA357" s="1595" cm="1">
        <f t="array" aca="1" ref="AA357" ca="1">OFFSET(POrigin,MATCH(Valori[[#This Row],[LUKB_id]],PID,0),MATCH("BID",PLabel,0)-1,1,1)</f>
        <v>50.5</v>
      </c>
      <c r="AB357" s="1595" cm="1">
        <f t="array" aca="1" ref="AB357" ca="1">OFFSET(POrigin,MATCH(Valori[[#This Row],[LUKB_id]],PID,0),MATCH("ASK",PLabel,0)-1,1,1)</f>
        <v>54</v>
      </c>
      <c r="AC357" s="1594" cm="1">
        <f t="array" aca="1" ref="AC357" ca="1">OFFSET(POrigin,MATCH(Valori[[#This Row],[LUKB_id]],PID,0),MATCH("ASK:volume",PLabel,0)-1,1,1)</f>
        <v>35</v>
      </c>
      <c r="AD357" s="1596" cm="1">
        <f t="array" aca="1" ref="AD357" ca="1">OFFSET(POrigin,MATCH(Valori[[#This Row],[LUKB_id]],PID,0),MATCH("BID-ASK Spread %",PLabel,0)-1,1,1)</f>
        <v>4.5161290322580643E-2</v>
      </c>
      <c r="AE357" s="1597" t="str" cm="1">
        <f t="array" aca="1" ref="AE357" ca="1">IF(OFFSET(POrigin,MATCH(Valori[[#This Row],[LUKB_id]],PID,0),MATCH("MATURITY",PLabel,0)-1,1,1)&gt;0,OFFSET(POrigin,MATCH(Valori[[#This Row],[LUKB_id]],PID,0),MATCH("MATURITY",PLabel,0)-1,1,1),"")</f>
        <v/>
      </c>
      <c r="AF357" s="1598" cm="1">
        <f t="array" aca="1" ref="AF357" ca="1">OFFSET(POrigin,MATCH(Valori[[#This Row],[LUKB_id]],PID,0),MATCH("ACCINT",PLabel,0)-1,1,1)</f>
        <v>0</v>
      </c>
      <c r="AG357" s="1594" cm="1">
        <f t="array" aca="1" ref="AG357" ca="1">OFFSET(POrigin,MATCH(Valori[[#This Row],[LUKB_id]],PID,0),MATCH("DENOM",PLabel,0)-1,1,1)</f>
        <v>0</v>
      </c>
      <c r="AH357" s="1599" cm="1">
        <f t="array" aca="1" ref="AH357" ca="1">(OFFSET(POrigin,MATCH(Valori[[#This Row],[LUKB_id]],PID,0),MATCH("YIELD",PLabel,0)-1,1,1)+OFFSET(POrigin,MATCH(Valori[[#This Row],[LUKB_id]],PID,0),MATCH("YLDEQ",PLabel,0)-1,1,1))/100</f>
        <v>2.2373539999999997E-2</v>
      </c>
      <c r="AI357" s="1600">
        <f ca="1">OFFSET(POrigin,MATCH(Valori[[#This Row],[LUKB_id]],PID,0),MATCH("DIVIDEND",PLabel,0)-1,1,1)</f>
        <v>1.1500000000000001</v>
      </c>
      <c r="AJ357" s="1601">
        <f ca="1">OFFSET(POrigin,MATCH(Valori[[#This Row],[LUKB_id]],PID,0),MATCH("DIVIDEND:datetime",PLabel,0)-1,1,1)</f>
        <v>45835</v>
      </c>
      <c r="AK357" s="1602">
        <f ca="1">OFFSET(POrigin,MATCH(Valori[[#This Row],[LUKB_id]],PID,0),MATCH("INTEREST",PLabel,0)-1,1,1)</f>
        <v>0</v>
      </c>
      <c r="AL357" s="1603">
        <f ca="1">OFFSET(POrigin,MATCH(Valori[[#This Row],[LUKB_id]],PID,0),MATCH("4W_PERF_PR",PLabel,0)-1,1,1)/100</f>
        <v>-5.1660519999999995E-2</v>
      </c>
      <c r="AM357" s="1603">
        <f ca="1">OFFSET(POrigin,MATCH(Valori[[#This Row],[LUKB_id]],PID,0),MATCH("12W_PERF_PR",PLabel,0)-1,1,1)/100</f>
        <v>-5.80271E-3</v>
      </c>
      <c r="AN357" s="1603">
        <f ca="1">OFFSET(POrigin,MATCH(Valori[[#This Row],[LUKB_id]],PID,0),MATCH("YTD_PERF_PR",PLabel,0)-1,1,1)/100</f>
        <v>3.8910505836575904E-2</v>
      </c>
      <c r="AO357" s="1591"/>
      <c r="AP357" s="1591"/>
      <c r="AQ357" s="1591"/>
      <c r="AR357" s="1591"/>
      <c r="AS357" s="1890"/>
      <c r="AT357" s="1890" t="s">
        <v>1875</v>
      </c>
      <c r="AU357" s="610" t="s">
        <v>1876</v>
      </c>
      <c r="AV357" s="1891" t="str">
        <f>IF(Valori[[#This Row],[MS_Link]]&lt;&gt;"",Valori[[#This Row],[MS_Link]]&amp;"company/","")</f>
        <v>https://www.marketscreener.com/quote/stock/LANDIS-GYR-GROUP-AG-37186614/company/</v>
      </c>
      <c r="AW357" s="1604" t="str">
        <f ca="1">"https://boersenundmaerkte.lukb.ch/lukb/details/"&amp;Valori[[#This Row],[LUKB_id]]</f>
        <v>https://boersenundmaerkte.lukb.ch/lukb/details/37115349,4,1</v>
      </c>
      <c r="AX357" s="1605" t="str">
        <f>"https://www.zonebourse.com/mods_a/charts/TV/inc_dyna_graph.php?c="&amp;Valori[[#This Row],[MS_Code]]&amp;"&amp;style=TradingView.CANDLES&amp;interval=(null)&amp;mobile=(null)&amp;showAT=1"</f>
        <v>https://www.zonebourse.com/mods_a/charts/TV/inc_dyna_graph.php?c=37186614&amp;style=TradingView.CANDLES&amp;interval=(null)&amp;mobile=(null)&amp;showAT=1</v>
      </c>
      <c r="AY357" s="142"/>
      <c r="AZ357" s="142"/>
      <c r="BA357" s="142"/>
      <c r="BB357" s="142"/>
    </row>
    <row r="358" spans="1:54" ht="15" customHeight="1" x14ac:dyDescent="0.2">
      <c r="A358" s="142" t="s">
        <v>1877</v>
      </c>
      <c r="B358" s="142" t="str" cm="1">
        <f t="array" aca="1" ref="B358" ca="1">OFFSET(POrigin,MATCH(Valori[[#This Row],[smo_id]],Posizioni[smo_id],0),MATCH("LUKB_id",PIntestazioni,0)-1,1,1)</f>
        <v>1057076,4,1</v>
      </c>
      <c r="C358" s="1668" t="str">
        <f ca="1">HYPERLINK("https://boersenundmaerkte.lukb.ch/lukb/details/"&amp;Valori[[#This Row],[LUKB_id]],"è")</f>
        <v>è</v>
      </c>
      <c r="D358" s="142" t="str" cm="1">
        <f t="array" aca="1" ref="D358" ca="1">OFFSET(POrigin,MATCH(Valori[[#This Row],[LUKB_id]],PID,0),MATCH("SC_GROUPED",PIntestazioni,0)-1,1,1)</f>
        <v>EQU</v>
      </c>
      <c r="E358" s="413" t="str" cm="1">
        <f t="array" aca="1" ref="E358" ca="1">OFFSET(POrigin,MATCH(Valori[[#This Row],[LUKB_id]],PID,0),MATCH("isin",PIntestazioni,0)-1,1,1)</f>
        <v>CH0010570767</v>
      </c>
      <c r="F358" s="34" t="str" cm="1">
        <f t="array" aca="1" ref="F358" ca="1">OFFSET(POrigin,MATCH(Valori[[#This Row],[LUKB_id]],PID,0),MATCH("NSIN_CH",PLabel,0)-1,1,1)</f>
        <v>1057076</v>
      </c>
      <c r="G358" s="95" t="str" cm="1">
        <f t="array" aca="1" ref="G358" ca="1">IF(OFFSET(POrigin,MATCH(Valori[[#This Row],[LUKB_id]],PID,0),MATCH("INSTRUNIT",PLabel,0)-1,1,1)="Nominal","Pct","Unit")</f>
        <v>Unit</v>
      </c>
      <c r="H358" s="612">
        <f ca="1">MAX(OFFSET(POrigin,MATCH(Valori[[#This Row],[LUKB_id]],PID,0),MATCH("PRICINGAMT",PLabel,0)-1,1,1),1)</f>
        <v>1</v>
      </c>
      <c r="I358" s="615" t="str" cm="1">
        <f t="array" aca="1" ref="I358" ca="1">OFFSET(POrigin,MATCH(Valori[[#This Row],[LUKB_id]],PID,0),MATCH("M_NAME",PLabel,0)-1,1,1)</f>
        <v>Lindt&amp;Spruengli PS</v>
      </c>
      <c r="J358" s="142" t="s">
        <v>527</v>
      </c>
      <c r="L358" s="612">
        <v>4</v>
      </c>
      <c r="M358" s="142" t="str" cm="1">
        <f t="array" aca="1" ref="M3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Lindt &amp; Sp Ps</v>
      </c>
      <c r="N358" s="1563">
        <f ca="1">COUNTIF('CHF M'!smo_id,Valori[[#This Row],[smo_id]])+COUNTIF('CHF MA'!smo_id,Valori[[#This Row],[smo_id]])+COUNTIF('EUR MB'!smo_id,Valori[[#This Row],[smo_id]])+COUNTIF('EUR M'!smo_id,Valori[[#This Row],[smo_id]])+COUNTIF(AGCO!smo_id,Valori[[#This Row],[smo_id]])</f>
        <v>1</v>
      </c>
      <c r="O358" s="1590" cm="1">
        <f t="array" aca="1" ref="O358" ca="1">SUM(IF('CHF M'!smo_id=Valori[[#This Row],[smo_id]],'CHF M'!Posizione))+SUM(IF('CHF MA'!smo_id=Valori[[#This Row],[smo_id]],'CHF MA'!Posizione))+SUM(IF('EUR MB'!smo_id=Valori[[#This Row],[smo_id]],'EUR MB'!Posizione))+SUM(IF('EUR M'!smo_id=Valori[[#This Row],[smo_id]],'EUR M'!Posizione))+SUM(IF(AGCO!smo_id=Valori[[#This Row],[smo_id]],AGCO!Posizione))</f>
        <v>0</v>
      </c>
      <c r="P358" s="1661" t="str">
        <f ca="1">HYPERLINK(Valori[[#This Row],[P_Source]],"è")</f>
        <v>è</v>
      </c>
      <c r="Q358" s="1663" t="str">
        <f>HYPERLINK(Valori[[#This Row],[Info_W]],"i")</f>
        <v>i</v>
      </c>
      <c r="R358" s="1664" t="str">
        <f>HYPERLINK(Valori[[#This Row],[FN_W]],"")</f>
        <v></v>
      </c>
      <c r="S358" s="1665" t="str">
        <f>HYPERLINK(Valori[[#This Row],[MS_Link]],"")</f>
        <v></v>
      </c>
      <c r="T358" s="1665" t="str">
        <f>HYPERLINK(Valori[[#This Row],[C_source]],"")</f>
        <v></v>
      </c>
      <c r="U358" s="142" t="str" cm="1">
        <f t="array" aca="1" ref="U358" ca="1">OFFSET(POrigin,MATCH(Valori[[#This Row],[LUKB_id]],PID,0),MATCH("M_CUR",PLabel,0)-1,1,1)</f>
        <v>CHF</v>
      </c>
      <c r="V358" s="1562">
        <f ca="1">(Valori[[#This Row],[Last]]+Valori[[#This Row],[Acc. Int]])/Valori[[#This Row],[Pr.Amt]]/IF(Valori[[#This Row],[P_Type]]="Pct",100,1)</f>
        <v>12240</v>
      </c>
      <c r="W358" s="1591" cm="1">
        <f t="array" aca="1" ref="W358" ca="1">OFFSET(POrigin,MATCH(Valori[[#This Row],[LUKB_id]],PID,0),MATCH("NC2_PR",PLabel,0)-1,1,1)/100</f>
        <v>-2.8571428571428598E-2</v>
      </c>
      <c r="X358" s="1592" cm="1">
        <f t="array" aca="1" ref="X358" ca="1">OFFSET(POrigin,MATCH(Valori[[#This Row],[LUKB_id]],PID,0),MATCH("LVAL",PLabel,0)-1,1,1)</f>
        <v>12240</v>
      </c>
      <c r="Y358" s="1593" cm="1">
        <f t="array" aca="1" ref="Y358" ca="1">OFFSET(POrigin,MATCH(Valori[[#This Row],[LUKB_id]],PID,0),MATCH("LVAL:datetime",PLabel,0)-1,1,1)</f>
        <v>46084.730081018519</v>
      </c>
      <c r="Z358" s="1594" cm="1">
        <f t="array" aca="1" ref="Z358" ca="1">OFFSET(POrigin,MATCH(Valori[[#This Row],[LUKB_id]],PID,0),MATCH("BID:volume",PLabel,0)-1,1,1)</f>
        <v>0</v>
      </c>
      <c r="AA358" s="1595" cm="1">
        <f t="array" aca="1" ref="AA358" ca="1">OFFSET(POrigin,MATCH(Valori[[#This Row],[LUKB_id]],PID,0),MATCH("BID",PLabel,0)-1,1,1)</f>
        <v>0</v>
      </c>
      <c r="AB358" s="1595" cm="1">
        <f t="array" aca="1" ref="AB358" ca="1">OFFSET(POrigin,MATCH(Valori[[#This Row],[LUKB_id]],PID,0),MATCH("ASK",PLabel,0)-1,1,1)</f>
        <v>0</v>
      </c>
      <c r="AC358" s="1594" cm="1">
        <f t="array" aca="1" ref="AC358" ca="1">OFFSET(POrigin,MATCH(Valori[[#This Row],[LUKB_id]],PID,0),MATCH("ASK:volume",PLabel,0)-1,1,1)</f>
        <v>0</v>
      </c>
      <c r="AD358" s="1596" cm="1">
        <f t="array" aca="1" ref="AD358" ca="1">OFFSET(POrigin,MATCH(Valori[[#This Row],[LUKB_id]],PID,0),MATCH("BID-ASK Spread %",PLabel,0)-1,1,1)</f>
        <v>0</v>
      </c>
      <c r="AE358" s="1597" t="str" cm="1">
        <f t="array" aca="1" ref="AE358" ca="1">IF(OFFSET(POrigin,MATCH(Valori[[#This Row],[LUKB_id]],PID,0),MATCH("MATURITY",PLabel,0)-1,1,1)&gt;0,OFFSET(POrigin,MATCH(Valori[[#This Row],[LUKB_id]],PID,0),MATCH("MATURITY",PLabel,0)-1,1,1),"")</f>
        <v/>
      </c>
      <c r="AF358" s="1598" cm="1">
        <f t="array" aca="1" ref="AF358" ca="1">OFFSET(POrigin,MATCH(Valori[[#This Row],[LUKB_id]],PID,0),MATCH("ACCINT",PLabel,0)-1,1,1)</f>
        <v>0</v>
      </c>
      <c r="AG358" s="1594" cm="1">
        <f t="array" aca="1" ref="AG358" ca="1">OFFSET(POrigin,MATCH(Valori[[#This Row],[LUKB_id]],PID,0),MATCH("DENOM",PLabel,0)-1,1,1)</f>
        <v>0</v>
      </c>
      <c r="AH358" s="1599" cm="1">
        <f t="array" aca="1" ref="AH358" ca="1">(OFFSET(POrigin,MATCH(Valori[[#This Row],[LUKB_id]],PID,0),MATCH("YIELD",PLabel,0)-1,1,1)+OFFSET(POrigin,MATCH(Valori[[#This Row],[LUKB_id]],PID,0),MATCH("YLDEQ",PLabel,0)-1,1,1))/100</f>
        <v>1.2254900000000003E-2</v>
      </c>
      <c r="AI358" s="1600">
        <f ca="1">OFFSET(POrigin,MATCH(Valori[[#This Row],[LUKB_id]],PID,0),MATCH("DIVIDEND",PLabel,0)-1,1,1)</f>
        <v>150</v>
      </c>
      <c r="AJ358" s="1601">
        <f ca="1">OFFSET(POrigin,MATCH(Valori[[#This Row],[LUKB_id]],PID,0),MATCH("DIVIDEND:datetime",PLabel,0)-1,1,1)</f>
        <v>45769</v>
      </c>
      <c r="AK358" s="1602">
        <f ca="1">OFFSET(POrigin,MATCH(Valori[[#This Row],[LUKB_id]],PID,0),MATCH("INTEREST",PLabel,0)-1,1,1)</f>
        <v>0</v>
      </c>
      <c r="AL358" s="1603">
        <f ca="1">OFFSET(POrigin,MATCH(Valori[[#This Row],[LUKB_id]],PID,0),MATCH("4W_PERF_PR",PLabel,0)-1,1,1)/100</f>
        <v>9.1882249999999999E-2</v>
      </c>
      <c r="AM358" s="1603">
        <f ca="1">OFFSET(POrigin,MATCH(Valori[[#This Row],[LUKB_id]],PID,0),MATCH("12W_PERF_PR",PLabel,0)-1,1,1)/100</f>
        <v>5.245056E-2</v>
      </c>
      <c r="AN358" s="1603">
        <f ca="1">OFFSET(POrigin,MATCH(Valori[[#This Row],[LUKB_id]],PID,0),MATCH("YTD_PERF_PR",PLabel,0)-1,1,1)/100</f>
        <v>8.7144089732528004E-2</v>
      </c>
      <c r="AO358" s="1591"/>
      <c r="AP358" s="1591"/>
      <c r="AQ358" s="1591"/>
      <c r="AR358" s="1591"/>
      <c r="AS358" s="1890" t="s">
        <v>1878</v>
      </c>
      <c r="AT358" s="1890" t="s">
        <v>1879</v>
      </c>
      <c r="AU358" s="610" t="s">
        <v>1880</v>
      </c>
      <c r="AV358" s="1891" t="str">
        <f>IF(Valori[[#This Row],[MS_Link]]&lt;&gt;"",Valori[[#This Row],[MS_Link]]&amp;"company/","")</f>
        <v>https://www.marketscreener.com/quote/stock/LINDT-73889/company/</v>
      </c>
      <c r="AW358" s="1604" t="str">
        <f ca="1">"https://boersenundmaerkte.lukb.ch/lukb/details/"&amp;Valori[[#This Row],[LUKB_id]]</f>
        <v>https://boersenundmaerkte.lukb.ch/lukb/details/1057076,4,1</v>
      </c>
      <c r="AX358" s="1605" t="str">
        <f>"https://www.zonebourse.com/mods_a/charts/TV/inc_dyna_graph.php?c="&amp;Valori[[#This Row],[MS_Code]]&amp;"&amp;style=TradingView.CANDLES&amp;interval=(null)&amp;mobile=(null)&amp;showAT=1"</f>
        <v>https://www.zonebourse.com/mods_a/charts/TV/inc_dyna_graph.php?c=73889&amp;style=TradingView.CANDLES&amp;interval=(null)&amp;mobile=(null)&amp;showAT=1</v>
      </c>
      <c r="AY358" s="142"/>
      <c r="AZ358" s="142"/>
      <c r="BA358" s="142"/>
      <c r="BB358" s="142"/>
    </row>
    <row r="359" spans="1:54" ht="15" customHeight="1" x14ac:dyDescent="0.2">
      <c r="A359" s="142" t="s">
        <v>1881</v>
      </c>
      <c r="B359" s="142" t="str" cm="1">
        <f t="array" aca="1" ref="B359" ca="1">OFFSET(POrigin,MATCH(Valori[[#This Row],[smo_id]],Posizioni[smo_id],0),MATCH("LUKB_id",PIntestazioni,0)-1,1,1)</f>
        <v>2575132,4,1</v>
      </c>
      <c r="C359" s="1668" t="str">
        <f ca="1">HYPERLINK("https://boersenundmaerkte.lukb.ch/lukb/details/"&amp;Valori[[#This Row],[LUKB_id]],"è")</f>
        <v>è</v>
      </c>
      <c r="D359" s="142" t="str" cm="1">
        <f t="array" aca="1" ref="D359" ca="1">OFFSET(POrigin,MATCH(Valori[[#This Row],[LUKB_id]],PID,0),MATCH("SC_GROUPED",PIntestazioni,0)-1,1,1)</f>
        <v>EQU</v>
      </c>
      <c r="E359" s="413" t="str" cm="1">
        <f t="array" aca="1" ref="E359" ca="1">OFFSET(POrigin,MATCH(Valori[[#This Row],[LUKB_id]],PID,0),MATCH("isin",PIntestazioni,0)-1,1,1)</f>
        <v>CH0025751329</v>
      </c>
      <c r="F359" s="34" t="str" cm="1">
        <f t="array" aca="1" ref="F359" ca="1">OFFSET(POrigin,MATCH(Valori[[#This Row],[LUKB_id]],PID,0),MATCH("NSIN_CH",PLabel,0)-1,1,1)</f>
        <v>2575132</v>
      </c>
      <c r="G359" s="95" t="str" cm="1">
        <f t="array" aca="1" ref="G359" ca="1">IF(OFFSET(POrigin,MATCH(Valori[[#This Row],[LUKB_id]],PID,0),MATCH("INSTRUNIT",PLabel,0)-1,1,1)="Nominal","Pct","Unit")</f>
        <v>Unit</v>
      </c>
      <c r="H359" s="612">
        <f ca="1">MAX(OFFSET(POrigin,MATCH(Valori[[#This Row],[LUKB_id]],PID,0),MATCH("PRICINGAMT",PLabel,0)-1,1,1),1)</f>
        <v>1</v>
      </c>
      <c r="I359" s="615" t="str" cm="1">
        <f t="array" aca="1" ref="I359" ca="1">OFFSET(POrigin,MATCH(Valori[[#This Row],[LUKB_id]],PID,0),MATCH("M_NAME",PLabel,0)-1,1,1)</f>
        <v>Logitech Intl N</v>
      </c>
      <c r="J359" s="142" t="s">
        <v>823</v>
      </c>
      <c r="L359" s="612">
        <v>4</v>
      </c>
      <c r="M359" s="142" t="str" cm="1">
        <f t="array" aca="1" ref="M3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Logitech International SA </v>
      </c>
      <c r="N359" s="1563">
        <f ca="1">COUNTIF('CHF M'!smo_id,Valori[[#This Row],[smo_id]])+COUNTIF('CHF MA'!smo_id,Valori[[#This Row],[smo_id]])+COUNTIF('EUR MB'!smo_id,Valori[[#This Row],[smo_id]])+COUNTIF('EUR M'!smo_id,Valori[[#This Row],[smo_id]])+COUNTIF(AGCO!smo_id,Valori[[#This Row],[smo_id]])</f>
        <v>0</v>
      </c>
      <c r="O359" s="1590" cm="1">
        <f t="array" aca="1" ref="O359" ca="1">SUM(IF('CHF M'!smo_id=Valori[[#This Row],[smo_id]],'CHF M'!Posizione))+SUM(IF('CHF MA'!smo_id=Valori[[#This Row],[smo_id]],'CHF MA'!Posizione))+SUM(IF('EUR MB'!smo_id=Valori[[#This Row],[smo_id]],'EUR MB'!Posizione))+SUM(IF('EUR M'!smo_id=Valori[[#This Row],[smo_id]],'EUR M'!Posizione))+SUM(IF(AGCO!smo_id=Valori[[#This Row],[smo_id]],AGCO!Posizione))</f>
        <v>0</v>
      </c>
      <c r="P359" s="1661" t="str">
        <f ca="1">HYPERLINK(Valori[[#This Row],[P_Source]],"è")</f>
        <v>è</v>
      </c>
      <c r="Q359" s="1663" t="str">
        <f>HYPERLINK(Valori[[#This Row],[Info_W]],"i")</f>
        <v>i</v>
      </c>
      <c r="R359" s="1664" t="str">
        <f>HYPERLINK(Valori[[#This Row],[FN_W]],"")</f>
        <v></v>
      </c>
      <c r="S359" s="1665" t="str">
        <f>HYPERLINK(Valori[[#This Row],[MS_Link]],"")</f>
        <v></v>
      </c>
      <c r="T359" s="1665" t="str">
        <f>HYPERLINK(Valori[[#This Row],[C_source]],"")</f>
        <v></v>
      </c>
      <c r="U359" s="142" t="str" cm="1">
        <f t="array" aca="1" ref="U359" ca="1">OFFSET(POrigin,MATCH(Valori[[#This Row],[LUKB_id]],PID,0),MATCH("M_CUR",PLabel,0)-1,1,1)</f>
        <v>CHF</v>
      </c>
      <c r="V359" s="1562">
        <f ca="1">(Valori[[#This Row],[Last]]+Valori[[#This Row],[Acc. Int]])/Valori[[#This Row],[Pr.Amt]]/IF(Valori[[#This Row],[P_Type]]="Pct",100,1)</f>
        <v>70.540000000000006</v>
      </c>
      <c r="W359" s="1591" cm="1">
        <f t="array" aca="1" ref="W359" ca="1">OFFSET(POrigin,MATCH(Valori[[#This Row],[LUKB_id]],PID,0),MATCH("NC2_PR",PLabel,0)-1,1,1)/100</f>
        <v>-2.2630834512022998E-3</v>
      </c>
      <c r="X359" s="1592" cm="1">
        <f t="array" aca="1" ref="X359" ca="1">OFFSET(POrigin,MATCH(Valori[[#This Row],[LUKB_id]],PID,0),MATCH("LVAL",PLabel,0)-1,1,1)</f>
        <v>70.540000000000006</v>
      </c>
      <c r="Y359" s="1593" cm="1">
        <f t="array" aca="1" ref="Y359" ca="1">OFFSET(POrigin,MATCH(Valori[[#This Row],[LUKB_id]],PID,0),MATCH("LVAL:datetime",PLabel,0)-1,1,1)</f>
        <v>46084.733530092592</v>
      </c>
      <c r="Z359" s="1594" cm="1">
        <f t="array" aca="1" ref="Z359" ca="1">OFFSET(POrigin,MATCH(Valori[[#This Row],[LUKB_id]],PID,0),MATCH("BID:volume",PLabel,0)-1,1,1)</f>
        <v>100</v>
      </c>
      <c r="AA359" s="1595" cm="1">
        <f t="array" aca="1" ref="AA359" ca="1">OFFSET(POrigin,MATCH(Valori[[#This Row],[LUKB_id]],PID,0),MATCH("BID",PLabel,0)-1,1,1)</f>
        <v>69</v>
      </c>
      <c r="AB359" s="1595" cm="1">
        <f t="array" aca="1" ref="AB359" ca="1">OFFSET(POrigin,MATCH(Valori[[#This Row],[LUKB_id]],PID,0),MATCH("ASK",PLabel,0)-1,1,1)</f>
        <v>70.900000000000006</v>
      </c>
      <c r="AC359" s="1594" cm="1">
        <f t="array" aca="1" ref="AC359" ca="1">OFFSET(POrigin,MATCH(Valori[[#This Row],[LUKB_id]],PID,0),MATCH("ASK:volume",PLabel,0)-1,1,1)</f>
        <v>100</v>
      </c>
      <c r="AD359" s="1596" cm="1">
        <f t="array" aca="1" ref="AD359" ca="1">OFFSET(POrigin,MATCH(Valori[[#This Row],[LUKB_id]],PID,0),MATCH("BID-ASK Spread %",PLabel,0)-1,1,1)</f>
        <v>1.8190521780756398E-2</v>
      </c>
      <c r="AE359" s="1597" t="str" cm="1">
        <f t="array" aca="1" ref="AE359" ca="1">IF(OFFSET(POrigin,MATCH(Valori[[#This Row],[LUKB_id]],PID,0),MATCH("MATURITY",PLabel,0)-1,1,1)&gt;0,OFFSET(POrigin,MATCH(Valori[[#This Row],[LUKB_id]],PID,0),MATCH("MATURITY",PLabel,0)-1,1,1),"")</f>
        <v/>
      </c>
      <c r="AF359" s="1598" cm="1">
        <f t="array" aca="1" ref="AF359" ca="1">OFFSET(POrigin,MATCH(Valori[[#This Row],[LUKB_id]],PID,0),MATCH("ACCINT",PLabel,0)-1,1,1)</f>
        <v>0</v>
      </c>
      <c r="AG359" s="1594" cm="1">
        <f t="array" aca="1" ref="AG359" ca="1">OFFSET(POrigin,MATCH(Valori[[#This Row],[LUKB_id]],PID,0),MATCH("DENOM",PLabel,0)-1,1,1)</f>
        <v>0</v>
      </c>
      <c r="AH359" s="1599" cm="1">
        <f t="array" aca="1" ref="AH359" ca="1">(OFFSET(POrigin,MATCH(Valori[[#This Row],[LUKB_id]],PID,0),MATCH("YIELD",PLabel,0)-1,1,1)+OFFSET(POrigin,MATCH(Valori[[#This Row],[LUKB_id]],PID,0),MATCH("YLDEQ",PLabel,0)-1,1,1))/100</f>
        <v>1.786221E-2</v>
      </c>
      <c r="AI359" s="1600">
        <f ca="1">OFFSET(POrigin,MATCH(Valori[[#This Row],[LUKB_id]],PID,0),MATCH("DIVIDEND",PLabel,0)-1,1,1)</f>
        <v>1.26</v>
      </c>
      <c r="AJ359" s="1601">
        <f ca="1">OFFSET(POrigin,MATCH(Valori[[#This Row],[LUKB_id]],PID,0),MATCH("DIVIDEND:datetime",PLabel,0)-1,1,1)</f>
        <v>45922</v>
      </c>
      <c r="AK359" s="1602">
        <f ca="1">OFFSET(POrigin,MATCH(Valori[[#This Row],[LUKB_id]],PID,0),MATCH("INTEREST",PLabel,0)-1,1,1)</f>
        <v>0</v>
      </c>
      <c r="AL359" s="1603">
        <f ca="1">OFFSET(POrigin,MATCH(Valori[[#This Row],[LUKB_id]],PID,0),MATCH("4W_PERF_PR",PLabel,0)-1,1,1)/100</f>
        <v>3.3099000000000003E-2</v>
      </c>
      <c r="AM359" s="1603">
        <f ca="1">OFFSET(POrigin,MATCH(Valori[[#This Row],[LUKB_id]],PID,0),MATCH("12W_PERF_PR",PLabel,0)-1,1,1)/100</f>
        <v>-0.26825726</v>
      </c>
      <c r="AN359" s="1603">
        <f ca="1">OFFSET(POrigin,MATCH(Valori[[#This Row],[LUKB_id]],PID,0),MATCH("YTD_PERF_PR",PLabel,0)-1,1,1)/100</f>
        <v>-0.132940887907776</v>
      </c>
      <c r="AO359" s="1591"/>
      <c r="AP359" s="1591"/>
      <c r="AQ359" s="1591"/>
      <c r="AR359" s="1591"/>
      <c r="AS359" s="1890" t="s">
        <v>1882</v>
      </c>
      <c r="AT359" s="1890" t="s">
        <v>1883</v>
      </c>
      <c r="AU359" s="610" t="s">
        <v>1884</v>
      </c>
      <c r="AV359" s="1891" t="str">
        <f>IF(Valori[[#This Row],[MS_Link]]&lt;&gt;"",Valori[[#This Row],[MS_Link]]&amp;"company/","")</f>
        <v>https://www.marketscreener.com/quote/stock/LOGITECH-INTERNATIONAL-S-186712/company/</v>
      </c>
      <c r="AW359" s="1604" t="str">
        <f ca="1">"https://boersenundmaerkte.lukb.ch/lukb/details/"&amp;Valori[[#This Row],[LUKB_id]]</f>
        <v>https://boersenundmaerkte.lukb.ch/lukb/details/2575132,4,1</v>
      </c>
      <c r="AX359" s="1605" t="str">
        <f>"https://www.marketscreener.com/mods_a/charts/TV/inc_dyna_graph.php?c="&amp;Valori[[#This Row],[MS_Code]]&amp;"&amp;style=TradingView.CANDLES&amp;interval=(null)&amp;mobile=(null)&amp;showAT=1"</f>
        <v>https://www.marketscreener.com/mods_a/charts/TV/inc_dyna_graph.php?c=186712&amp;style=TradingView.CANDLES&amp;interval=(null)&amp;mobile=(null)&amp;showAT=1</v>
      </c>
      <c r="AY359" s="142"/>
      <c r="AZ359" s="142"/>
      <c r="BA359" s="142"/>
      <c r="BB359" s="142"/>
    </row>
    <row r="360" spans="1:54" ht="15" customHeight="1" x14ac:dyDescent="0.2">
      <c r="A360" s="142" t="s">
        <v>1885</v>
      </c>
      <c r="B360" s="142" t="str" cm="1">
        <f t="array" aca="1" ref="B360" ca="1">OFFSET(POrigin,MATCH(Valori[[#This Row],[smo_id]],Posizioni[smo_id],0),MATCH("LUKB_id",PIntestazioni,0)-1,1,1)</f>
        <v>1384101,4,1</v>
      </c>
      <c r="C360" s="1668" t="str">
        <f ca="1">HYPERLINK("https://boersenundmaerkte.lukb.ch/lukb/details/"&amp;Valori[[#This Row],[LUKB_id]],"è")</f>
        <v>è</v>
      </c>
      <c r="D360" s="142" t="str" cm="1">
        <f t="array" aca="1" ref="D360" ca="1">OFFSET(POrigin,MATCH(Valori[[#This Row],[LUKB_id]],PID,0),MATCH("SC_GROUPED",PIntestazioni,0)-1,1,1)</f>
        <v>EQU</v>
      </c>
      <c r="E360" s="413" t="str" cm="1">
        <f t="array" aca="1" ref="E360" ca="1">OFFSET(POrigin,MATCH(Valori[[#This Row],[LUKB_id]],PID,0),MATCH("isin",PIntestazioni,0)-1,1,1)</f>
        <v>CH0013841017</v>
      </c>
      <c r="F360" s="34" t="str" cm="1">
        <f t="array" aca="1" ref="F360" ca="1">OFFSET(POrigin,MATCH(Valori[[#This Row],[LUKB_id]],PID,0),MATCH("NSIN_CH",PLabel,0)-1,1,1)</f>
        <v>1384101</v>
      </c>
      <c r="G360" s="95" t="str" cm="1">
        <f t="array" aca="1" ref="G360" ca="1">IF(OFFSET(POrigin,MATCH(Valori[[#This Row],[LUKB_id]],PID,0),MATCH("INSTRUNIT",PLabel,0)-1,1,1)="Nominal","Pct","Unit")</f>
        <v>Unit</v>
      </c>
      <c r="H360" s="612">
        <f ca="1">MAX(OFFSET(POrigin,MATCH(Valori[[#This Row],[LUKB_id]],PID,0),MATCH("PRICINGAMT",PLabel,0)-1,1,1),1)</f>
        <v>1</v>
      </c>
      <c r="I360" s="615" t="str" cm="1">
        <f t="array" aca="1" ref="I360" ca="1">OFFSET(POrigin,MATCH(Valori[[#This Row],[LUKB_id]],PID,0),MATCH("M_NAME",PLabel,0)-1,1,1)</f>
        <v>Lonza Grp N</v>
      </c>
      <c r="J360" s="142" t="s">
        <v>475</v>
      </c>
      <c r="M360" s="142" t="str" cm="1">
        <f t="array" aca="1" ref="M3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Lonza Grp N</v>
      </c>
      <c r="N360" s="1563">
        <f ca="1">COUNTIF('CHF M'!smo_id,Valori[[#This Row],[smo_id]])+COUNTIF('CHF MA'!smo_id,Valori[[#This Row],[smo_id]])+COUNTIF('EUR MB'!smo_id,Valori[[#This Row],[smo_id]])+COUNTIF('EUR M'!smo_id,Valori[[#This Row],[smo_id]])+COUNTIF(AGCO!smo_id,Valori[[#This Row],[smo_id]])</f>
        <v>2</v>
      </c>
      <c r="O360" s="1590" cm="1">
        <f t="array" aca="1" ref="O360" ca="1">SUM(IF('CHF M'!smo_id=Valori[[#This Row],[smo_id]],'CHF M'!Posizione))+SUM(IF('CHF MA'!smo_id=Valori[[#This Row],[smo_id]],'CHF MA'!Posizione))+SUM(IF('EUR MB'!smo_id=Valori[[#This Row],[smo_id]],'EUR MB'!Posizione))+SUM(IF('EUR M'!smo_id=Valori[[#This Row],[smo_id]],'EUR M'!Posizione))+SUM(IF(AGCO!smo_id=Valori[[#This Row],[smo_id]],AGCO!Posizione))</f>
        <v>255</v>
      </c>
      <c r="P360" s="1661" t="str">
        <f ca="1">HYPERLINK(Valori[[#This Row],[P_Source]],"è")</f>
        <v>è</v>
      </c>
      <c r="Q360" s="1663" t="str">
        <f>HYPERLINK(Valori[[#This Row],[Info_W]],"i")</f>
        <v>i</v>
      </c>
      <c r="R360" s="1664" t="str">
        <f>HYPERLINK(Valori[[#This Row],[FN_W]],"")</f>
        <v></v>
      </c>
      <c r="S360" s="1665" t="str">
        <f>HYPERLINK(Valori[[#This Row],[MS_Link]],"")</f>
        <v></v>
      </c>
      <c r="T360" s="1665" t="str">
        <f>HYPERLINK(Valori[[#This Row],[C_source]],"")</f>
        <v></v>
      </c>
      <c r="U360" s="142" t="str" cm="1">
        <f t="array" aca="1" ref="U360" ca="1">OFFSET(POrigin,MATCH(Valori[[#This Row],[LUKB_id]],PID,0),MATCH("M_CUR",PLabel,0)-1,1,1)</f>
        <v>CHF</v>
      </c>
      <c r="V360" s="1562">
        <f ca="1">(Valori[[#This Row],[Last]]+Valori[[#This Row],[Acc. Int]])/Valori[[#This Row],[Pr.Amt]]/IF(Valori[[#This Row],[P_Type]]="Pct",100,1)</f>
        <v>518.20000000000005</v>
      </c>
      <c r="W360" s="1591" cm="1">
        <f t="array" aca="1" ref="W360" ca="1">OFFSET(POrigin,MATCH(Valori[[#This Row],[LUKB_id]],PID,0),MATCH("NC2_PR",PLabel,0)-1,1,1)/100</f>
        <v>-2.2632968691060001E-2</v>
      </c>
      <c r="X360" s="1592" cm="1">
        <f t="array" aca="1" ref="X360" ca="1">OFFSET(POrigin,MATCH(Valori[[#This Row],[LUKB_id]],PID,0),MATCH("LVAL",PLabel,0)-1,1,1)</f>
        <v>518.20000000000005</v>
      </c>
      <c r="Y360" s="1593" cm="1">
        <f t="array" aca="1" ref="Y360" ca="1">OFFSET(POrigin,MATCH(Valori[[#This Row],[LUKB_id]],PID,0),MATCH("LVAL:datetime",PLabel,0)-1,1,1)</f>
        <v>46084.732407407406</v>
      </c>
      <c r="Z360" s="1594" cm="1">
        <f t="array" aca="1" ref="Z360" ca="1">OFFSET(POrigin,MATCH(Valori[[#This Row],[LUKB_id]],PID,0),MATCH("BID:volume",PLabel,0)-1,1,1)</f>
        <v>0</v>
      </c>
      <c r="AA360" s="1595" cm="1">
        <f t="array" aca="1" ref="AA360" ca="1">OFFSET(POrigin,MATCH(Valori[[#This Row],[LUKB_id]],PID,0),MATCH("BID",PLabel,0)-1,1,1)</f>
        <v>0</v>
      </c>
      <c r="AB360" s="1595" cm="1">
        <f t="array" aca="1" ref="AB360" ca="1">OFFSET(POrigin,MATCH(Valori[[#This Row],[LUKB_id]],PID,0),MATCH("ASK",PLabel,0)-1,1,1)</f>
        <v>0</v>
      </c>
      <c r="AC360" s="1594" cm="1">
        <f t="array" aca="1" ref="AC360" ca="1">OFFSET(POrigin,MATCH(Valori[[#This Row],[LUKB_id]],PID,0),MATCH("ASK:volume",PLabel,0)-1,1,1)</f>
        <v>0</v>
      </c>
      <c r="AD360" s="1596" cm="1">
        <f t="array" aca="1" ref="AD360" ca="1">OFFSET(POrigin,MATCH(Valori[[#This Row],[LUKB_id]],PID,0),MATCH("BID-ASK Spread %",PLabel,0)-1,1,1)</f>
        <v>0</v>
      </c>
      <c r="AE360" s="1597" t="str" cm="1">
        <f t="array" aca="1" ref="AE360" ca="1">IF(OFFSET(POrigin,MATCH(Valori[[#This Row],[LUKB_id]],PID,0),MATCH("MATURITY",PLabel,0)-1,1,1)&gt;0,OFFSET(POrigin,MATCH(Valori[[#This Row],[LUKB_id]],PID,0),MATCH("MATURITY",PLabel,0)-1,1,1),"")</f>
        <v/>
      </c>
      <c r="AF360" s="1598" cm="1">
        <f t="array" aca="1" ref="AF360" ca="1">OFFSET(POrigin,MATCH(Valori[[#This Row],[LUKB_id]],PID,0),MATCH("ACCINT",PLabel,0)-1,1,1)</f>
        <v>0</v>
      </c>
      <c r="AG360" s="1594" cm="1">
        <f t="array" aca="1" ref="AG360" ca="1">OFFSET(POrigin,MATCH(Valori[[#This Row],[LUKB_id]],PID,0),MATCH("DENOM",PLabel,0)-1,1,1)</f>
        <v>0</v>
      </c>
      <c r="AH360" s="1599" cm="1">
        <f t="array" aca="1" ref="AH360" ca="1">(OFFSET(POrigin,MATCH(Valori[[#This Row],[LUKB_id]],PID,0),MATCH("YIELD",PLabel,0)-1,1,1)+OFFSET(POrigin,MATCH(Valori[[#This Row],[LUKB_id]],PID,0),MATCH("YLDEQ",PLabel,0)-1,1,1))/100</f>
        <v>7.71903E-3</v>
      </c>
      <c r="AI360" s="1600">
        <f ca="1">OFFSET(POrigin,MATCH(Valori[[#This Row],[LUKB_id]],PID,0),MATCH("DIVIDEND",PLabel,0)-1,1,1)</f>
        <v>4</v>
      </c>
      <c r="AJ360" s="1601">
        <f ca="1">OFFSET(POrigin,MATCH(Valori[[#This Row],[LUKB_id]],PID,0),MATCH("DIVIDEND:datetime",PLabel,0)-1,1,1)</f>
        <v>45790</v>
      </c>
      <c r="AK360" s="1602">
        <f ca="1">OFFSET(POrigin,MATCH(Valori[[#This Row],[LUKB_id]],PID,0),MATCH("INTEREST",PLabel,0)-1,1,1)</f>
        <v>0</v>
      </c>
      <c r="AL360" s="1603">
        <f ca="1">OFFSET(POrigin,MATCH(Valori[[#This Row],[LUKB_id]],PID,0),MATCH("4W_PERF_PR",PLabel,0)-1,1,1)/100</f>
        <v>-6.8992000000000012E-3</v>
      </c>
      <c r="AM360" s="1603">
        <f ca="1">OFFSET(POrigin,MATCH(Valori[[#This Row],[LUKB_id]],PID,0),MATCH("12W_PERF_PR",PLabel,0)-1,1,1)/100</f>
        <v>-4.3205319999999998E-2</v>
      </c>
      <c r="AN360" s="1603">
        <f ca="1">OFFSET(POrigin,MATCH(Valori[[#This Row],[LUKB_id]],PID,0),MATCH("YTD_PERF_PR",PLabel,0)-1,1,1)/100</f>
        <v>-1.41316474525847E-2</v>
      </c>
      <c r="AO360" s="1591"/>
      <c r="AP360" s="1591"/>
      <c r="AQ360" s="1591"/>
      <c r="AR360" s="1591"/>
      <c r="AS360" s="1890"/>
      <c r="AT360" s="1890" t="s">
        <v>1886</v>
      </c>
      <c r="AU360" s="610" t="s">
        <v>1887</v>
      </c>
      <c r="AV360" s="1891" t="str">
        <f>IF(Valori[[#This Row],[MS_Link]]&lt;&gt;"",Valori[[#This Row],[MS_Link]]&amp;"company/","")</f>
        <v>https://www.marketscreener.com/quote/stock/LONZA-GROUP-AG-2956013/company/</v>
      </c>
      <c r="AW360" s="1604" t="str">
        <f ca="1">"https://boersenundmaerkte.lukb.ch/lukb/details/"&amp;Valori[[#This Row],[LUKB_id]]</f>
        <v>https://boersenundmaerkte.lukb.ch/lukb/details/1384101,4,1</v>
      </c>
      <c r="AX360" s="1605" t="str">
        <f>"https://www.zonebourse.com/mods_a/charts/TV/inc_dyna_graph.php?c="&amp;Valori[[#This Row],[MS_Code]]&amp;"&amp;style=TradingView.CANDLES&amp;interval=(null)&amp;mobile=(null)&amp;showAT=1"</f>
        <v>https://www.zonebourse.com/mods_a/charts/TV/inc_dyna_graph.php?c=2956013&amp;style=TradingView.CANDLES&amp;interval=(null)&amp;mobile=(null)&amp;showAT=1</v>
      </c>
      <c r="AY360" s="142"/>
      <c r="AZ360" s="142"/>
      <c r="BA360" s="142"/>
      <c r="BB360" s="142"/>
    </row>
    <row r="361" spans="1:54" ht="15" customHeight="1" x14ac:dyDescent="0.2">
      <c r="A361" s="142" t="s">
        <v>1888</v>
      </c>
      <c r="B361" s="142" t="str" cm="1">
        <f t="array" aca="1" ref="B361" ca="1">OFFSET(POrigin,MATCH(Valori[[#This Row],[smo_id]],Posizioni[smo_id],0),MATCH("LUKB_id",PIntestazioni,0)-1,1,1)</f>
        <v>125293061,4,1</v>
      </c>
      <c r="C361" s="1668" t="str">
        <f ca="1">HYPERLINK("https://boersenundmaerkte.lukb.ch/lukb/details/"&amp;Valori[[#This Row],[LUKB_id]],"è")</f>
        <v>è</v>
      </c>
      <c r="D361" s="142" t="str" cm="1">
        <f t="array" aca="1" ref="D361" ca="1">OFFSET(POrigin,MATCH(Valori[[#This Row],[LUKB_id]],PID,0),MATCH("SC_GROUPED",PIntestazioni,0)-1,1,1)</f>
        <v>EQU</v>
      </c>
      <c r="E361" s="413" t="str" cm="1">
        <f t="array" aca="1" ref="E361" ca="1">OFFSET(POrigin,MATCH(Valori[[#This Row],[LUKB_id]],PID,0),MATCH("isin",PIntestazioni,0)-1,1,1)</f>
        <v>CH1252930610</v>
      </c>
      <c r="F361" s="34" t="str" cm="1">
        <f t="array" aca="1" ref="F361" ca="1">OFFSET(POrigin,MATCH(Valori[[#This Row],[LUKB_id]],PID,0),MATCH("NSIN_CH",PLabel,0)-1,1,1)</f>
        <v>125293061</v>
      </c>
      <c r="G361" s="95" t="str" cm="1">
        <f t="array" aca="1" ref="G361" ca="1">IF(OFFSET(POrigin,MATCH(Valori[[#This Row],[LUKB_id]],PID,0),MATCH("INSTRUNIT",PLabel,0)-1,1,1)="Nominal","Pct","Unit")</f>
        <v>Unit</v>
      </c>
      <c r="H361" s="612">
        <f ca="1">MAX(OFFSET(POrigin,MATCH(Valori[[#This Row],[LUKB_id]],PID,0),MATCH("PRICINGAMT",PLabel,0)-1,1,1),1)</f>
        <v>1</v>
      </c>
      <c r="I361" s="615" t="str" cm="1">
        <f t="array" aca="1" ref="I361" ca="1">OFFSET(POrigin,MATCH(Valori[[#This Row],[LUKB_id]],PID,0),MATCH("M_NAME",PLabel,0)-1,1,1)</f>
        <v>Luzerner KB N</v>
      </c>
      <c r="M361" s="142" t="str" cm="1">
        <f t="array" aca="1" ref="M3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Luzerner KB N</v>
      </c>
      <c r="N361" s="1563">
        <f ca="1">COUNTIF('CHF M'!smo_id,Valori[[#This Row],[smo_id]])+COUNTIF('CHF MA'!smo_id,Valori[[#This Row],[smo_id]])+COUNTIF('EUR MB'!smo_id,Valori[[#This Row],[smo_id]])+COUNTIF('EUR M'!smo_id,Valori[[#This Row],[smo_id]])+COUNTIF(AGCO!smo_id,Valori[[#This Row],[smo_id]])</f>
        <v>1</v>
      </c>
      <c r="O361" s="1590" cm="1">
        <f t="array" aca="1" ref="O361" ca="1">SUM(IF('CHF M'!smo_id=Valori[[#This Row],[smo_id]],'CHF M'!Posizione))+SUM(IF('CHF MA'!smo_id=Valori[[#This Row],[smo_id]],'CHF MA'!Posizione))+SUM(IF('EUR MB'!smo_id=Valori[[#This Row],[smo_id]],'EUR MB'!Posizione))+SUM(IF('EUR M'!smo_id=Valori[[#This Row],[smo_id]],'EUR M'!Posizione))+SUM(IF(AGCO!smo_id=Valori[[#This Row],[smo_id]],AGCO!Posizione))</f>
        <v>775</v>
      </c>
      <c r="P361" s="1661" t="str">
        <f ca="1">HYPERLINK(Valori[[#This Row],[P_Source]],"è")</f>
        <v>è</v>
      </c>
      <c r="Q361" s="1663" t="str">
        <f>HYPERLINK(Valori[[#This Row],[Info_W]],"i")</f>
        <v>i</v>
      </c>
      <c r="R361" s="1664" t="str">
        <f>HYPERLINK(Valori[[#This Row],[FN_W]],"")</f>
        <v></v>
      </c>
      <c r="S361" s="1665" t="str">
        <f>HYPERLINK(Valori[[#This Row],[MS_Link]],"")</f>
        <v></v>
      </c>
      <c r="T361" s="1665" t="str">
        <f>HYPERLINK(Valori[[#This Row],[C_source]],"")</f>
        <v></v>
      </c>
      <c r="U361" s="142" t="str" cm="1">
        <f t="array" aca="1" ref="U361" ca="1">OFFSET(POrigin,MATCH(Valori[[#This Row],[LUKB_id]],PID,0),MATCH("M_CUR",PLabel,0)-1,1,1)</f>
        <v>CHF</v>
      </c>
      <c r="V361" s="1562">
        <f ca="1">(Valori[[#This Row],[Last]]+Valori[[#This Row],[Acc. Int]])/Valori[[#This Row],[Pr.Amt]]/IF(Valori[[#This Row],[P_Type]]="Pct",100,1)</f>
        <v>104</v>
      </c>
      <c r="W361" s="1591" cm="1">
        <f t="array" aca="1" ref="W361" ca="1">OFFSET(POrigin,MATCH(Valori[[#This Row],[LUKB_id]],PID,0),MATCH("NC2_PR",PLabel,0)-1,1,1)/100</f>
        <v>-2.6217228464419602E-2</v>
      </c>
      <c r="X361" s="1592" cm="1">
        <f t="array" aca="1" ref="X361" ca="1">OFFSET(POrigin,MATCH(Valori[[#This Row],[LUKB_id]],PID,0),MATCH("LVAL",PLabel,0)-1,1,1)</f>
        <v>104</v>
      </c>
      <c r="Y361" s="1593" cm="1">
        <f t="array" aca="1" ref="Y361" ca="1">OFFSET(POrigin,MATCH(Valori[[#This Row],[LUKB_id]],PID,0),MATCH("LVAL:datetime",PLabel,0)-1,1,1)</f>
        <v>46084.730081018519</v>
      </c>
      <c r="Z361" s="1594" cm="1">
        <f t="array" aca="1" ref="Z361" ca="1">OFFSET(POrigin,MATCH(Valori[[#This Row],[LUKB_id]],PID,0),MATCH("BID:volume",PLabel,0)-1,1,1)</f>
        <v>3831</v>
      </c>
      <c r="AA361" s="1595" cm="1">
        <f t="array" aca="1" ref="AA361" ca="1">OFFSET(POrigin,MATCH(Valori[[#This Row],[LUKB_id]],PID,0),MATCH("BID",PLabel,0)-1,1,1)</f>
        <v>102.80000000000001</v>
      </c>
      <c r="AB361" s="1595" cm="1">
        <f t="array" aca="1" ref="AB361" ca="1">OFFSET(POrigin,MATCH(Valori[[#This Row],[LUKB_id]],PID,0),MATCH("ASK",PLabel,0)-1,1,1)</f>
        <v>105</v>
      </c>
      <c r="AC361" s="1594" cm="1">
        <f t="array" aca="1" ref="AC361" ca="1">OFFSET(POrigin,MATCH(Valori[[#This Row],[LUKB_id]],PID,0),MATCH("ASK:volume",PLabel,0)-1,1,1)</f>
        <v>290</v>
      </c>
      <c r="AD361" s="1596" cm="1">
        <f t="array" aca="1" ref="AD361" ca="1">OFFSET(POrigin,MATCH(Valori[[#This Row],[LUKB_id]],PID,0),MATCH("BID-ASK Spread %",PLabel,0)-1,1,1)</f>
        <v>1.4166130070830577E-2</v>
      </c>
      <c r="AE361" s="1597" t="str" cm="1">
        <f t="array" aca="1" ref="AE361" ca="1">IF(OFFSET(POrigin,MATCH(Valori[[#This Row],[LUKB_id]],PID,0),MATCH("MATURITY",PLabel,0)-1,1,1)&gt;0,OFFSET(POrigin,MATCH(Valori[[#This Row],[LUKB_id]],PID,0),MATCH("MATURITY",PLabel,0)-1,1,1),"")</f>
        <v/>
      </c>
      <c r="AF361" s="1598" cm="1">
        <f t="array" aca="1" ref="AF361" ca="1">OFFSET(POrigin,MATCH(Valori[[#This Row],[LUKB_id]],PID,0),MATCH("ACCINT",PLabel,0)-1,1,1)</f>
        <v>0</v>
      </c>
      <c r="AG361" s="1594" cm="1">
        <f t="array" aca="1" ref="AG361" ca="1">OFFSET(POrigin,MATCH(Valori[[#This Row],[LUKB_id]],PID,0),MATCH("DENOM",PLabel,0)-1,1,1)</f>
        <v>0</v>
      </c>
      <c r="AH361" s="1599" cm="1">
        <f t="array" aca="1" ref="AH361" ca="1">(OFFSET(POrigin,MATCH(Valori[[#This Row],[LUKB_id]],PID,0),MATCH("YIELD",PLabel,0)-1,1,1)+OFFSET(POrigin,MATCH(Valori[[#This Row],[LUKB_id]],PID,0),MATCH("YLDEQ",PLabel,0)-1,1,1))/100</f>
        <v>2.5961539999999998E-2</v>
      </c>
      <c r="AI361" s="1600">
        <f ca="1">OFFSET(POrigin,MATCH(Valori[[#This Row],[LUKB_id]],PID,0),MATCH("DIVIDEND",PLabel,0)-1,1,1)</f>
        <v>2.6</v>
      </c>
      <c r="AJ361" s="1601">
        <f ca="1">OFFSET(POrigin,MATCH(Valori[[#This Row],[LUKB_id]],PID,0),MATCH("DIVIDEND:datetime",PLabel,0)-1,1,1)</f>
        <v>45764</v>
      </c>
      <c r="AK361" s="1602">
        <f ca="1">OFFSET(POrigin,MATCH(Valori[[#This Row],[LUKB_id]],PID,0),MATCH("INTEREST",PLabel,0)-1,1,1)</f>
        <v>0</v>
      </c>
      <c r="AL361" s="1603">
        <f ca="1">OFFSET(POrigin,MATCH(Valori[[#This Row],[LUKB_id]],PID,0),MATCH("4W_PERF_PR",PLabel,0)-1,1,1)/100</f>
        <v>5.7985759999999997E-2</v>
      </c>
      <c r="AM361" s="1603">
        <f ca="1">OFFSET(POrigin,MATCH(Valori[[#This Row],[LUKB_id]],PID,0),MATCH("12W_PERF_PR",PLabel,0)-1,1,1)/100</f>
        <v>0.17913831999999999</v>
      </c>
      <c r="AN361" s="1603">
        <f ca="1">OFFSET(POrigin,MATCH(Valori[[#This Row],[LUKB_id]],PID,0),MATCH("YTD_PERF_PR",PLabel,0)-1,1,1)/100</f>
        <v>0.15210355987054999</v>
      </c>
      <c r="AO361" s="1591"/>
      <c r="AP361" s="1591"/>
      <c r="AQ361" s="1591"/>
      <c r="AR361" s="1591"/>
      <c r="AS361" s="1890"/>
      <c r="AT361" s="1890"/>
      <c r="AU361" s="610"/>
      <c r="AV361" s="1891"/>
      <c r="AW361" s="1604" t="str">
        <f ca="1">"https://boersenundmaerkte.lukb.ch/lukb/details/"&amp;Valori[[#This Row],[LUKB_id]]</f>
        <v>https://boersenundmaerkte.lukb.ch/lukb/details/125293061,4,1</v>
      </c>
      <c r="AX36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1" s="142"/>
      <c r="AZ361" s="142"/>
      <c r="BA361" s="142"/>
      <c r="BB361" s="142"/>
    </row>
    <row r="362" spans="1:54" ht="15" customHeight="1" x14ac:dyDescent="0.2">
      <c r="A362" s="142" t="s">
        <v>1889</v>
      </c>
      <c r="B362" s="142" t="str" cm="1">
        <f t="array" aca="1" ref="B362" ca="1">OFFSET(POrigin,MATCH(Valori[[#This Row],[smo_id]],Posizioni[smo_id],0),MATCH("LUKB_id",PIntestazioni,0)-1,1,1)</f>
        <v>2621968,111,88</v>
      </c>
      <c r="C362" s="1668" t="str">
        <f ca="1">HYPERLINK("https://boersenundmaerkte.lukb.ch/lukb/details/"&amp;Valori[[#This Row],[LUKB_id]],"è")</f>
        <v>è</v>
      </c>
      <c r="D362" s="142" t="str" cm="1">
        <f t="array" aca="1" ref="D362" ca="1">OFFSET(POrigin,MATCH(Valori[[#This Row],[LUKB_id]],PID,0),MATCH("SC_GROUPED",PIntestazioni,0)-1,1,1)</f>
        <v>EQU</v>
      </c>
      <c r="E362" s="413" t="str" cm="1">
        <f t="array" aca="1" ref="E362" ca="1">OFFSET(POrigin,MATCH(Valori[[#This Row],[LUKB_id]],PID,0),MATCH("isin",PIntestazioni,0)-1,1,1)</f>
        <v>AU000000MIN4</v>
      </c>
      <c r="F362" s="34" t="str" cm="1">
        <f t="array" aca="1" ref="F362" ca="1">OFFSET(POrigin,MATCH(Valori[[#This Row],[LUKB_id]],PID,0),MATCH("NSIN_CH",PLabel,0)-1,1,1)</f>
        <v>2621968</v>
      </c>
      <c r="G362" s="95" t="str" cm="1">
        <f t="array" aca="1" ref="G362" ca="1">IF(OFFSET(POrigin,MATCH(Valori[[#This Row],[LUKB_id]],PID,0),MATCH("INSTRUNIT",PLabel,0)-1,1,1)="Nominal","Pct","Unit")</f>
        <v>Unit</v>
      </c>
      <c r="H362" s="612">
        <f ca="1">MAX(OFFSET(POrigin,MATCH(Valori[[#This Row],[LUKB_id]],PID,0),MATCH("PRICINGAMT",PLabel,0)-1,1,1),1)</f>
        <v>1</v>
      </c>
      <c r="I362" s="615" t="str" cm="1">
        <f t="array" aca="1" ref="I362" ca="1">OFFSET(POrigin,MATCH(Valori[[#This Row],[LUKB_id]],PID,0),MATCH("M_NAME",PLabel,0)-1,1,1)</f>
        <v>Mineral Res Rg</v>
      </c>
      <c r="J362" s="142" t="s">
        <v>1890</v>
      </c>
      <c r="M362" s="142" t="str" cm="1">
        <f t="array" aca="1" ref="M3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Mineral Resources Ltd</v>
      </c>
      <c r="N362" s="1563">
        <f ca="1">COUNTIF('CHF M'!smo_id,Valori[[#This Row],[smo_id]])+COUNTIF('CHF MA'!smo_id,Valori[[#This Row],[smo_id]])+COUNTIF('EUR MB'!smo_id,Valori[[#This Row],[smo_id]])+COUNTIF('EUR M'!smo_id,Valori[[#This Row],[smo_id]])+COUNTIF(AGCO!smo_id,Valori[[#This Row],[smo_id]])</f>
        <v>0</v>
      </c>
      <c r="O362" s="1590" cm="1">
        <f t="array" aca="1" ref="O362" ca="1">SUM(IF('CHF M'!smo_id=Valori[[#This Row],[smo_id]],'CHF M'!Posizione))+SUM(IF('CHF MA'!smo_id=Valori[[#This Row],[smo_id]],'CHF MA'!Posizione))+SUM(IF('EUR MB'!smo_id=Valori[[#This Row],[smo_id]],'EUR MB'!Posizione))+SUM(IF('EUR M'!smo_id=Valori[[#This Row],[smo_id]],'EUR M'!Posizione))+SUM(IF(AGCO!smo_id=Valori[[#This Row],[smo_id]],AGCO!Posizione))</f>
        <v>0</v>
      </c>
      <c r="P362" s="1661" t="str">
        <f ca="1">HYPERLINK(Valori[[#This Row],[P_Source]],"è")</f>
        <v>è</v>
      </c>
      <c r="Q362" s="1663" t="str">
        <f>HYPERLINK(Valori[[#This Row],[Info_W]],"i")</f>
        <v>i</v>
      </c>
      <c r="R362" s="1664" t="str">
        <f>HYPERLINK(Valori[[#This Row],[FN_W]],"")</f>
        <v></v>
      </c>
      <c r="S362" s="1665" t="str">
        <f>HYPERLINK(Valori[[#This Row],[MS_Link]],"")</f>
        <v></v>
      </c>
      <c r="T362" s="1665" t="str">
        <f>HYPERLINK(Valori[[#This Row],[C_source]],"")</f>
        <v></v>
      </c>
      <c r="U362" s="142" t="str" cm="1">
        <f t="array" aca="1" ref="U362" ca="1">OFFSET(POrigin,MATCH(Valori[[#This Row],[LUKB_id]],PID,0),MATCH("M_CUR",PLabel,0)-1,1,1)</f>
        <v>AUD</v>
      </c>
      <c r="V362" s="1562">
        <f ca="1">(Valori[[#This Row],[Last]]+Valori[[#This Row],[Acc. Int]])/Valori[[#This Row],[Pr.Amt]]/IF(Valori[[#This Row],[P_Type]]="Pct",100,1)</f>
        <v>59.7</v>
      </c>
      <c r="W362" s="1591" cm="1">
        <f t="array" aca="1" ref="W362" ca="1">OFFSET(POrigin,MATCH(Valori[[#This Row],[LUKB_id]],PID,0),MATCH("NC2_PR",PLabel,0)-1,1,1)/100</f>
        <v>-2.09904886848148E-2</v>
      </c>
      <c r="X362" s="1592" cm="1">
        <f t="array" aca="1" ref="X362" ca="1">OFFSET(POrigin,MATCH(Valori[[#This Row],[LUKB_id]],PID,0),MATCH("LVAL",PLabel,0)-1,1,1)</f>
        <v>59.7</v>
      </c>
      <c r="Y362" s="1593" cm="1">
        <f t="array" aca="1" ref="Y362" ca="1">OFFSET(POrigin,MATCH(Valori[[#This Row],[LUKB_id]],PID,0),MATCH("LVAL:datetime",PLabel,0)-1,1,1)</f>
        <v>46083.257071759261</v>
      </c>
      <c r="Z362" s="1594" cm="1">
        <f t="array" aca="1" ref="Z362" ca="1">OFFSET(POrigin,MATCH(Valori[[#This Row],[LUKB_id]],PID,0),MATCH("BID:volume",PLabel,0)-1,1,1)</f>
        <v>0</v>
      </c>
      <c r="AA362" s="1595" cm="1">
        <f t="array" aca="1" ref="AA362" ca="1">OFFSET(POrigin,MATCH(Valori[[#This Row],[LUKB_id]],PID,0),MATCH("BID",PLabel,0)-1,1,1)</f>
        <v>0</v>
      </c>
      <c r="AB362" s="1595" cm="1">
        <f t="array" aca="1" ref="AB362" ca="1">OFFSET(POrigin,MATCH(Valori[[#This Row],[LUKB_id]],PID,0),MATCH("ASK",PLabel,0)-1,1,1)</f>
        <v>0</v>
      </c>
      <c r="AC362" s="1594" cm="1">
        <f t="array" aca="1" ref="AC362" ca="1">OFFSET(POrigin,MATCH(Valori[[#This Row],[LUKB_id]],PID,0),MATCH("ASK:volume",PLabel,0)-1,1,1)</f>
        <v>0</v>
      </c>
      <c r="AD362" s="1596" cm="1">
        <f t="array" aca="1" ref="AD362" ca="1">OFFSET(POrigin,MATCH(Valori[[#This Row],[LUKB_id]],PID,0),MATCH("BID-ASK Spread %",PLabel,0)-1,1,1)</f>
        <v>0</v>
      </c>
      <c r="AE362" s="1597" t="str" cm="1">
        <f t="array" aca="1" ref="AE362" ca="1">IF(OFFSET(POrigin,MATCH(Valori[[#This Row],[LUKB_id]],PID,0),MATCH("MATURITY",PLabel,0)-1,1,1)&gt;0,OFFSET(POrigin,MATCH(Valori[[#This Row],[LUKB_id]],PID,0),MATCH("MATURITY",PLabel,0)-1,1,1),"")</f>
        <v/>
      </c>
      <c r="AF362" s="1598" cm="1">
        <f t="array" aca="1" ref="AF362" ca="1">OFFSET(POrigin,MATCH(Valori[[#This Row],[LUKB_id]],PID,0),MATCH("ACCINT",PLabel,0)-1,1,1)</f>
        <v>0</v>
      </c>
      <c r="AG362" s="1594" cm="1">
        <f t="array" aca="1" ref="AG362" ca="1">OFFSET(POrigin,MATCH(Valori[[#This Row],[LUKB_id]],PID,0),MATCH("DENOM",PLabel,0)-1,1,1)</f>
        <v>0</v>
      </c>
      <c r="AH362" s="1599" cm="1">
        <f t="array" aca="1" ref="AH362" ca="1">(OFFSET(POrigin,MATCH(Valori[[#This Row],[LUKB_id]],PID,0),MATCH("YIELD",PLabel,0)-1,1,1)+OFFSET(POrigin,MATCH(Valori[[#This Row],[LUKB_id]],PID,0),MATCH("YLDEQ",PLabel,0)-1,1,1))/100</f>
        <v>0</v>
      </c>
      <c r="AI362" s="1600">
        <f ca="1">OFFSET(POrigin,MATCH(Valori[[#This Row],[LUKB_id]],PID,0),MATCH("DIVIDEND",PLabel,0)-1,1,1)</f>
        <v>0.2</v>
      </c>
      <c r="AJ362" s="1601">
        <f ca="1">OFFSET(POrigin,MATCH(Valori[[#This Row],[LUKB_id]],PID,0),MATCH("DIVIDEND:datetime",PLabel,0)-1,1,1)</f>
        <v>45351</v>
      </c>
      <c r="AK362" s="1602">
        <f ca="1">OFFSET(POrigin,MATCH(Valori[[#This Row],[LUKB_id]],PID,0),MATCH("INTEREST",PLabel,0)-1,1,1)</f>
        <v>0</v>
      </c>
      <c r="AL362" s="1603">
        <f ca="1">OFFSET(POrigin,MATCH(Valori[[#This Row],[LUKB_id]],PID,0),MATCH("4W_PERF_PR",PLabel,0)-1,1,1)/100</f>
        <v>6.0014204545454704E-2</v>
      </c>
      <c r="AM362" s="1603">
        <f ca="1">OFFSET(POrigin,MATCH(Valori[[#This Row],[LUKB_id]],PID,0),MATCH("12W_PERF_PR",PLabel,0)-1,1,1)/100</f>
        <v>0.15989897027394701</v>
      </c>
      <c r="AN362" s="1603">
        <f ca="1">OFFSET(POrigin,MATCH(Valori[[#This Row],[LUKB_id]],PID,0),MATCH("YTD_PERF_PR",PLabel,0)-1,1,1)/100</f>
        <v>9.78300845899229E-2</v>
      </c>
      <c r="AO362" s="1591"/>
      <c r="AP362" s="1591"/>
      <c r="AQ362" s="1591"/>
      <c r="AR362" s="1591"/>
      <c r="AS362" s="1890" t="s">
        <v>1891</v>
      </c>
      <c r="AT362" s="1890" t="s">
        <v>1892</v>
      </c>
      <c r="AU362" s="610" t="s">
        <v>1893</v>
      </c>
      <c r="AV362" s="1891" t="str">
        <f>IF(Valori[[#This Row],[MS_Link]]&lt;&gt;"",Valori[[#This Row],[MS_Link]]&amp;"company/","")</f>
        <v>https://www.marketscreener.com/quote/stock/MINERAL-RESOURCES-LIMITED-6498955/company/</v>
      </c>
      <c r="AW362" s="1604" t="str">
        <f ca="1">"https://boersenundmaerkte.lukb.ch/lukb/details/"&amp;Valori[[#This Row],[LUKB_id]]</f>
        <v>https://boersenundmaerkte.lukb.ch/lukb/details/2621968,111,88</v>
      </c>
      <c r="AX362" s="1605" t="str">
        <f>"https://www.zonebourse.com/mods_a/charts/TV/inc_dyna_graph.php?c="&amp;Valori[[#This Row],[MS_Code]]&amp;"&amp;style=TradingView.CANDLES&amp;interval=(null)&amp;mobile=(null)&amp;showAT=1"</f>
        <v>https://www.zonebourse.com/mods_a/charts/TV/inc_dyna_graph.php?c=6498955&amp;style=TradingView.CANDLES&amp;interval=(null)&amp;mobile=(null)&amp;showAT=1</v>
      </c>
      <c r="AY362" s="142"/>
      <c r="AZ362" s="142"/>
      <c r="BA362" s="142"/>
      <c r="BB362" s="142"/>
    </row>
    <row r="363" spans="1:54" ht="15" customHeight="1" x14ac:dyDescent="0.2">
      <c r="A363" s="142" t="s">
        <v>1894</v>
      </c>
      <c r="B363" s="142" t="str" cm="1">
        <f t="array" aca="1" ref="B363" ca="1">OFFSET(POrigin,MATCH(Valori[[#This Row],[smo_id]],Posizioni[smo_id],0),MATCH("LUKB_id",PIntestazioni,0)-1,1,1)</f>
        <v>3886335,4,1</v>
      </c>
      <c r="C363" s="1668" t="str">
        <f ca="1">HYPERLINK("https://boersenundmaerkte.lukb.ch/lukb/details/"&amp;Valori[[#This Row],[LUKB_id]],"è")</f>
        <v>è</v>
      </c>
      <c r="D363" s="142" t="str" cm="1">
        <f t="array" aca="1" ref="D363" ca="1">OFFSET(POrigin,MATCH(Valori[[#This Row],[LUKB_id]],PID,0),MATCH("SC_GROUPED",PIntestazioni,0)-1,1,1)</f>
        <v>EQU</v>
      </c>
      <c r="E363" s="413" t="str" cm="1">
        <f t="array" aca="1" ref="E363" ca="1">OFFSET(POrigin,MATCH(Valori[[#This Row],[LUKB_id]],PID,0),MATCH("isin",PIntestazioni,0)-1,1,1)</f>
        <v>CH0038863350</v>
      </c>
      <c r="F363" s="34" t="str" cm="1">
        <f t="array" aca="1" ref="F363" ca="1">OFFSET(POrigin,MATCH(Valori[[#This Row],[LUKB_id]],PID,0),MATCH("NSIN_CH",PLabel,0)-1,1,1)</f>
        <v>3886335</v>
      </c>
      <c r="G363" s="95" t="str" cm="1">
        <f t="array" aca="1" ref="G363" ca="1">IF(OFFSET(POrigin,MATCH(Valori[[#This Row],[LUKB_id]],PID,0),MATCH("INSTRUNIT",PLabel,0)-1,1,1)="Nominal","Pct","Unit")</f>
        <v>Unit</v>
      </c>
      <c r="H363" s="612">
        <f ca="1">MAX(OFFSET(POrigin,MATCH(Valori[[#This Row],[LUKB_id]],PID,0),MATCH("PRICINGAMT",PLabel,0)-1,1,1),1)</f>
        <v>1</v>
      </c>
      <c r="I363" s="615" t="str" cm="1">
        <f t="array" aca="1" ref="I363" ca="1">OFFSET(POrigin,MATCH(Valori[[#This Row],[LUKB_id]],PID,0),MATCH("M_NAME",PLabel,0)-1,1,1)</f>
        <v>Nestle N</v>
      </c>
      <c r="J363" s="142" t="s">
        <v>419</v>
      </c>
      <c r="M363" s="142" t="str" cm="1">
        <f t="array" aca="1" ref="M3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Nestle</v>
      </c>
      <c r="N363" s="1563">
        <f ca="1">COUNTIF('CHF M'!smo_id,Valori[[#This Row],[smo_id]])+COUNTIF('CHF MA'!smo_id,Valori[[#This Row],[smo_id]])+COUNTIF('EUR MB'!smo_id,Valori[[#This Row],[smo_id]])+COUNTIF('EUR M'!smo_id,Valori[[#This Row],[smo_id]])+COUNTIF(AGCO!smo_id,Valori[[#This Row],[smo_id]])</f>
        <v>2</v>
      </c>
      <c r="O363" s="1590" cm="1">
        <f t="array" aca="1" ref="O363" ca="1">SUM(IF('CHF M'!smo_id=Valori[[#This Row],[smo_id]],'CHF M'!Posizione))+SUM(IF('CHF MA'!smo_id=Valori[[#This Row],[smo_id]],'CHF MA'!Posizione))+SUM(IF('EUR MB'!smo_id=Valori[[#This Row],[smo_id]],'EUR MB'!Posizione))+SUM(IF('EUR M'!smo_id=Valori[[#This Row],[smo_id]],'EUR M'!Posizione))+SUM(IF(AGCO!smo_id=Valori[[#This Row],[smo_id]],AGCO!Posizione))</f>
        <v>175</v>
      </c>
      <c r="P363" s="1661" t="str">
        <f ca="1">HYPERLINK(Valori[[#This Row],[P_Source]],"è")</f>
        <v>è</v>
      </c>
      <c r="Q363" s="1663" t="str">
        <f>HYPERLINK(Valori[[#This Row],[Info_W]],"i")</f>
        <v>i</v>
      </c>
      <c r="R363" s="1664" t="str">
        <f>HYPERLINK(Valori[[#This Row],[FN_W]],"")</f>
        <v></v>
      </c>
      <c r="S363" s="1665" t="str">
        <f>HYPERLINK(Valori[[#This Row],[MS_Link]],"")</f>
        <v></v>
      </c>
      <c r="T363" s="1665" t="str">
        <f>HYPERLINK(Valori[[#This Row],[C_source]],"")</f>
        <v></v>
      </c>
      <c r="U363" s="142" t="str" cm="1">
        <f t="array" aca="1" ref="U363" ca="1">OFFSET(POrigin,MATCH(Valori[[#This Row],[LUKB_id]],PID,0),MATCH("M_CUR",PLabel,0)-1,1,1)</f>
        <v>CHF</v>
      </c>
      <c r="V363" s="1562">
        <f ca="1">(Valori[[#This Row],[Last]]+Valori[[#This Row],[Acc. Int]])/Valori[[#This Row],[Pr.Amt]]/IF(Valori[[#This Row],[P_Type]]="Pct",100,1)</f>
        <v>81.25</v>
      </c>
      <c r="W363" s="1591" cm="1">
        <f t="array" aca="1" ref="W363" ca="1">OFFSET(POrigin,MATCH(Valori[[#This Row],[LUKB_id]],PID,0),MATCH("NC2_PR",PLabel,0)-1,1,1)/100</f>
        <v>-2.3554861194568E-2</v>
      </c>
      <c r="X363" s="1592" cm="1">
        <f t="array" aca="1" ref="X363" ca="1">OFFSET(POrigin,MATCH(Valori[[#This Row],[LUKB_id]],PID,0),MATCH("LVAL",PLabel,0)-1,1,1)</f>
        <v>81.25</v>
      </c>
      <c r="Y363" s="1593" cm="1">
        <f t="array" aca="1" ref="Y363" ca="1">OFFSET(POrigin,MATCH(Valori[[#This Row],[LUKB_id]],PID,0),MATCH("LVAL:datetime",PLabel,0)-1,1,1)</f>
        <v>46084.733611111114</v>
      </c>
      <c r="Z363" s="1594" cm="1">
        <f t="array" aca="1" ref="Z363" ca="1">OFFSET(POrigin,MATCH(Valori[[#This Row],[LUKB_id]],PID,0),MATCH("BID:volume",PLabel,0)-1,1,1)</f>
        <v>100</v>
      </c>
      <c r="AA363" s="1595" cm="1">
        <f t="array" aca="1" ref="AA363" ca="1">OFFSET(POrigin,MATCH(Valori[[#This Row],[LUKB_id]],PID,0),MATCH("BID",PLabel,0)-1,1,1)</f>
        <v>81.100000000000009</v>
      </c>
      <c r="AB363" s="1595" cm="1">
        <f t="array" aca="1" ref="AB363" ca="1">OFFSET(POrigin,MATCH(Valori[[#This Row],[LUKB_id]],PID,0),MATCH("ASK",PLabel,0)-1,1,1)</f>
        <v>0</v>
      </c>
      <c r="AC363" s="1594" cm="1">
        <f t="array" aca="1" ref="AC363" ca="1">OFFSET(POrigin,MATCH(Valori[[#This Row],[LUKB_id]],PID,0),MATCH("ASK:volume",PLabel,0)-1,1,1)</f>
        <v>0</v>
      </c>
      <c r="AD363" s="1596" cm="1">
        <f t="array" aca="1" ref="AD363" ca="1">OFFSET(POrigin,MATCH(Valori[[#This Row],[LUKB_id]],PID,0),MATCH("BID-ASK Spread %",PLabel,0)-1,1,1)</f>
        <v>0</v>
      </c>
      <c r="AE363" s="1597" t="str" cm="1">
        <f t="array" aca="1" ref="AE363" ca="1">IF(OFFSET(POrigin,MATCH(Valori[[#This Row],[LUKB_id]],PID,0),MATCH("MATURITY",PLabel,0)-1,1,1)&gt;0,OFFSET(POrigin,MATCH(Valori[[#This Row],[LUKB_id]],PID,0),MATCH("MATURITY",PLabel,0)-1,1,1),"")</f>
        <v/>
      </c>
      <c r="AF363" s="1598" cm="1">
        <f t="array" aca="1" ref="AF363" ca="1">OFFSET(POrigin,MATCH(Valori[[#This Row],[LUKB_id]],PID,0),MATCH("ACCINT",PLabel,0)-1,1,1)</f>
        <v>0</v>
      </c>
      <c r="AG363" s="1594" cm="1">
        <f t="array" aca="1" ref="AG363" ca="1">OFFSET(POrigin,MATCH(Valori[[#This Row],[LUKB_id]],PID,0),MATCH("DENOM",PLabel,0)-1,1,1)</f>
        <v>0</v>
      </c>
      <c r="AH363" s="1599" cm="1">
        <f t="array" aca="1" ref="AH363" ca="1">(OFFSET(POrigin,MATCH(Valori[[#This Row],[LUKB_id]],PID,0),MATCH("YIELD",PLabel,0)-1,1,1)+OFFSET(POrigin,MATCH(Valori[[#This Row],[LUKB_id]],PID,0),MATCH("YLDEQ",PLabel,0)-1,1,1))/100</f>
        <v>3.8153850000000003E-2</v>
      </c>
      <c r="AI363" s="1600">
        <f ca="1">OFFSET(POrigin,MATCH(Valori[[#This Row],[LUKB_id]],PID,0),MATCH("DIVIDEND",PLabel,0)-1,1,1)</f>
        <v>3.0500000000000003</v>
      </c>
      <c r="AJ363" s="1601">
        <f ca="1">OFFSET(POrigin,MATCH(Valori[[#This Row],[LUKB_id]],PID,0),MATCH("DIVIDEND:datetime",PLabel,0)-1,1,1)</f>
        <v>45769</v>
      </c>
      <c r="AK363" s="1602">
        <f ca="1">OFFSET(POrigin,MATCH(Valori[[#This Row],[LUKB_id]],PID,0),MATCH("INTEREST",PLabel,0)-1,1,1)</f>
        <v>0</v>
      </c>
      <c r="AL363" s="1603">
        <f ca="1">OFFSET(POrigin,MATCH(Valori[[#This Row],[LUKB_id]],PID,0),MATCH("4W_PERF_PR",PLabel,0)-1,1,1)/100</f>
        <v>6.7954780000000006E-2</v>
      </c>
      <c r="AM363" s="1603">
        <f ca="1">OFFSET(POrigin,MATCH(Valori[[#This Row],[LUKB_id]],PID,0),MATCH("12W_PERF_PR",PLabel,0)-1,1,1)/100</f>
        <v>4.2334829999999997E-2</v>
      </c>
      <c r="AN363" s="1603">
        <f ca="1">OFFSET(POrigin,MATCH(Valori[[#This Row],[LUKB_id]],PID,0),MATCH("YTD_PERF_PR",PLabel,0)-1,1,1)/100</f>
        <v>5.6769113538227299E-2</v>
      </c>
      <c r="AO363" s="1591"/>
      <c r="AP363" s="1591"/>
      <c r="AQ363" s="1591"/>
      <c r="AR363" s="1591"/>
      <c r="AS363" s="1890" t="s">
        <v>1895</v>
      </c>
      <c r="AT363" s="1890" t="s">
        <v>1896</v>
      </c>
      <c r="AU363" s="610" t="s">
        <v>1897</v>
      </c>
      <c r="AV363" s="1891" t="str">
        <f>IF(Valori[[#This Row],[MS_Link]]&lt;&gt;"",Valori[[#This Row],[MS_Link]]&amp;"company/","")</f>
        <v>https://www.marketscreener.com/quote/stock/NESTLE-S-A-9365334/company/</v>
      </c>
      <c r="AW363" s="1604" t="str">
        <f ca="1">"https://boersenundmaerkte.lukb.ch/lukb/details/"&amp;Valori[[#This Row],[LUKB_id]]</f>
        <v>https://boersenundmaerkte.lukb.ch/lukb/details/3886335,4,1</v>
      </c>
      <c r="AX363" s="1605" t="str">
        <f>"https://www.zonebourse.com/mods_a/charts/TV/inc_dyna_graph.php?c="&amp;Valori[[#This Row],[MS_Code]]&amp;"&amp;style=TradingView.CANDLES&amp;interval=(null)&amp;mobile=(null)&amp;showAT=1"</f>
        <v>https://www.zonebourse.com/mods_a/charts/TV/inc_dyna_graph.php?c=9365334&amp;style=TradingView.CANDLES&amp;interval=(null)&amp;mobile=(null)&amp;showAT=1</v>
      </c>
      <c r="AY363" s="142"/>
      <c r="AZ363" s="142"/>
      <c r="BA363" s="142"/>
      <c r="BB363" s="142"/>
    </row>
    <row r="364" spans="1:54" ht="15" customHeight="1" x14ac:dyDescent="0.2">
      <c r="A364" s="142" t="s">
        <v>1898</v>
      </c>
      <c r="B364" s="142" t="str" cm="1">
        <f t="array" aca="1" ref="B364" ca="1">OFFSET(POrigin,MATCH(Valori[[#This Row],[smo_id]],Posizioni[smo_id],0),MATCH("LUKB_id",PIntestazioni,0)-1,1,1)</f>
        <v>599373,1573,662</v>
      </c>
      <c r="C364" s="1668" t="str">
        <f ca="1">HYPERLINK("https://boersenundmaerkte.lukb.ch/lukb/details/"&amp;Valori[[#This Row],[LUKB_id]],"è")</f>
        <v>è</v>
      </c>
      <c r="D364" s="142" t="str" cm="1">
        <f t="array" aca="1" ref="D364" ca="1">OFFSET(POrigin,MATCH(Valori[[#This Row],[LUKB_id]],PID,0),MATCH("SC_GROUPED",PIntestazioni,0)-1,1,1)</f>
        <v>EQU</v>
      </c>
      <c r="E364" s="413" t="str" cm="1">
        <f t="array" aca="1" ref="E364" ca="1">OFFSET(POrigin,MATCH(Valori[[#This Row],[LUKB_id]],PID,0),MATCH("isin",PIntestazioni,0)-1,1,1)</f>
        <v>NO0005052605</v>
      </c>
      <c r="F364" s="34" t="str" cm="1">
        <f t="array" aca="1" ref="F364" ca="1">OFFSET(POrigin,MATCH(Valori[[#This Row],[LUKB_id]],PID,0),MATCH("NSIN_CH",PLabel,0)-1,1,1)</f>
        <v>599373</v>
      </c>
      <c r="G364" s="95" t="str" cm="1">
        <f t="array" aca="1" ref="G364" ca="1">IF(OFFSET(POrigin,MATCH(Valori[[#This Row],[LUKB_id]],PID,0),MATCH("INSTRUNIT",PLabel,0)-1,1,1)="Nominal","Pct","Unit")</f>
        <v>Unit</v>
      </c>
      <c r="H364" s="612">
        <f ca="1">MAX(OFFSET(POrigin,MATCH(Valori[[#This Row],[LUKB_id]],PID,0),MATCH("PRICINGAMT",PLabel,0)-1,1,1),1)</f>
        <v>1</v>
      </c>
      <c r="I364" s="615" t="str" cm="1">
        <f t="array" aca="1" ref="I364" ca="1">OFFSET(POrigin,MATCH(Valori[[#This Row],[LUKB_id]],PID,0),MATCH("M_NAME",PLabel,0)-1,1,1)</f>
        <v>Norsk Hydro N</v>
      </c>
      <c r="J364" s="142" t="s">
        <v>1899</v>
      </c>
      <c r="M364" s="142" t="str" cm="1">
        <f t="array" aca="1" ref="M3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Norsk Hydro</v>
      </c>
      <c r="N364" s="1563">
        <f ca="1">COUNTIF('CHF M'!smo_id,Valori[[#This Row],[smo_id]])+COUNTIF('CHF MA'!smo_id,Valori[[#This Row],[smo_id]])+COUNTIF('EUR MB'!smo_id,Valori[[#This Row],[smo_id]])+COUNTIF('EUR M'!smo_id,Valori[[#This Row],[smo_id]])+COUNTIF(AGCO!smo_id,Valori[[#This Row],[smo_id]])</f>
        <v>0</v>
      </c>
      <c r="O364" s="1590" cm="1">
        <f t="array" aca="1" ref="O364" ca="1">SUM(IF('CHF M'!smo_id=Valori[[#This Row],[smo_id]],'CHF M'!Posizione))+SUM(IF('CHF MA'!smo_id=Valori[[#This Row],[smo_id]],'CHF MA'!Posizione))+SUM(IF('EUR MB'!smo_id=Valori[[#This Row],[smo_id]],'EUR MB'!Posizione))+SUM(IF('EUR M'!smo_id=Valori[[#This Row],[smo_id]],'EUR M'!Posizione))+SUM(IF(AGCO!smo_id=Valori[[#This Row],[smo_id]],AGCO!Posizione))</f>
        <v>0</v>
      </c>
      <c r="P364" s="1661" t="str">
        <f ca="1">HYPERLINK(Valori[[#This Row],[P_Source]],"è")</f>
        <v>è</v>
      </c>
      <c r="Q364" s="1663" t="str">
        <f>HYPERLINK(Valori[[#This Row],[Info_W]],"i")</f>
        <v>i</v>
      </c>
      <c r="R364" s="1664" t="str">
        <f>HYPERLINK(Valori[[#This Row],[FN_W]],"")</f>
        <v></v>
      </c>
      <c r="S364" s="1665" t="str">
        <f>HYPERLINK(Valori[[#This Row],[MS_Link]],"")</f>
        <v></v>
      </c>
      <c r="T364" s="1665" t="str">
        <f>HYPERLINK(Valori[[#This Row],[C_source]],"")</f>
        <v></v>
      </c>
      <c r="U364" s="142" t="str" cm="1">
        <f t="array" aca="1" ref="U364" ca="1">OFFSET(POrigin,MATCH(Valori[[#This Row],[LUKB_id]],PID,0),MATCH("M_CUR",PLabel,0)-1,1,1)</f>
        <v>NOK</v>
      </c>
      <c r="V364" s="1562">
        <f ca="1">(Valori[[#This Row],[Last]]+Valori[[#This Row],[Acc. Int]])/Valori[[#This Row],[Pr.Amt]]/IF(Valori[[#This Row],[P_Type]]="Pct",100,1)</f>
        <v>88.16</v>
      </c>
      <c r="W364" s="1591" cm="1">
        <f t="array" aca="1" ref="W364" ca="1">OFFSET(POrigin,MATCH(Valori[[#This Row],[LUKB_id]],PID,0),MATCH("NC2_PR",PLabel,0)-1,1,1)/100</f>
        <v>-2.60715863897482E-2</v>
      </c>
      <c r="X364" s="1592" cm="1">
        <f t="array" aca="1" ref="X364" ca="1">OFFSET(POrigin,MATCH(Valori[[#This Row],[LUKB_id]],PID,0),MATCH("LVAL",PLabel,0)-1,1,1)</f>
        <v>88.16</v>
      </c>
      <c r="Y364" s="1593" cm="1">
        <f t="array" aca="1" ref="Y364" ca="1">OFFSET(POrigin,MATCH(Valori[[#This Row],[LUKB_id]],PID,0),MATCH("LVAL:datetime",PLabel,0)-1,1,1)</f>
        <v>46084.680555555555</v>
      </c>
      <c r="Z364" s="1594" cm="1">
        <f t="array" aca="1" ref="Z364" ca="1">OFFSET(POrigin,MATCH(Valori[[#This Row],[LUKB_id]],PID,0),MATCH("BID:volume",PLabel,0)-1,1,1)</f>
        <v>1446</v>
      </c>
      <c r="AA364" s="1595" cm="1">
        <f t="array" aca="1" ref="AA364" ca="1">OFFSET(POrigin,MATCH(Valori[[#This Row],[LUKB_id]],PID,0),MATCH("BID",PLabel,0)-1,1,1)</f>
        <v>87.52</v>
      </c>
      <c r="AB364" s="1595" cm="1">
        <f t="array" aca="1" ref="AB364" ca="1">OFFSET(POrigin,MATCH(Valori[[#This Row],[LUKB_id]],PID,0),MATCH("ASK",PLabel,0)-1,1,1)</f>
        <v>87.52</v>
      </c>
      <c r="AC364" s="1594" cm="1">
        <f t="array" aca="1" ref="AC364" ca="1">OFFSET(POrigin,MATCH(Valori[[#This Row],[LUKB_id]],PID,0),MATCH("ASK:volume",PLabel,0)-1,1,1)</f>
        <v>1446</v>
      </c>
      <c r="AD364" s="1596" cm="1">
        <f t="array" aca="1" ref="AD364" ca="1">OFFSET(POrigin,MATCH(Valori[[#This Row],[LUKB_id]],PID,0),MATCH("BID-ASK Spread %",PLabel,0)-1,1,1)</f>
        <v>0</v>
      </c>
      <c r="AE364" s="1597" t="str" cm="1">
        <f t="array" aca="1" ref="AE364" ca="1">IF(OFFSET(POrigin,MATCH(Valori[[#This Row],[LUKB_id]],PID,0),MATCH("MATURITY",PLabel,0)-1,1,1)&gt;0,OFFSET(POrigin,MATCH(Valori[[#This Row],[LUKB_id]],PID,0),MATCH("MATURITY",PLabel,0)-1,1,1),"")</f>
        <v/>
      </c>
      <c r="AF364" s="1598" cm="1">
        <f t="array" aca="1" ref="AF364" ca="1">OFFSET(POrigin,MATCH(Valori[[#This Row],[LUKB_id]],PID,0),MATCH("ACCINT",PLabel,0)-1,1,1)</f>
        <v>0</v>
      </c>
      <c r="AG364" s="1594" cm="1">
        <f t="array" aca="1" ref="AG364" ca="1">OFFSET(POrigin,MATCH(Valori[[#This Row],[LUKB_id]],PID,0),MATCH("DENOM",PLabel,0)-1,1,1)</f>
        <v>0</v>
      </c>
      <c r="AH364" s="1599" cm="1">
        <f t="array" aca="1" ref="AH364" ca="1">(OFFSET(POrigin,MATCH(Valori[[#This Row],[LUKB_id]],PID,0),MATCH("YIELD",PLabel,0)-1,1,1)+OFFSET(POrigin,MATCH(Valori[[#This Row],[LUKB_id]],PID,0),MATCH("YLDEQ",PLabel,0)-1,1,1))/100</f>
        <v>3.402903811252269E-2</v>
      </c>
      <c r="AI364" s="1600">
        <f ca="1">OFFSET(POrigin,MATCH(Valori[[#This Row],[LUKB_id]],PID,0),MATCH("DIVIDEND",PLabel,0)-1,1,1)</f>
        <v>2.25</v>
      </c>
      <c r="AJ364" s="1601">
        <f ca="1">OFFSET(POrigin,MATCH(Valori[[#This Row],[LUKB_id]],PID,0),MATCH("DIVIDEND:datetime",PLabel,0)-1,1,1)</f>
        <v>45789</v>
      </c>
      <c r="AK364" s="1602">
        <f ca="1">OFFSET(POrigin,MATCH(Valori[[#This Row],[LUKB_id]],PID,0),MATCH("INTEREST",PLabel,0)-1,1,1)</f>
        <v>0</v>
      </c>
      <c r="AL364" s="1603">
        <f ca="1">OFFSET(POrigin,MATCH(Valori[[#This Row],[LUKB_id]],PID,0),MATCH("4W_PERF_PR",PLabel,0)-1,1,1)/100</f>
        <v>7.6580180592067861E-3</v>
      </c>
      <c r="AM364" s="1603">
        <f ca="1">OFFSET(POrigin,MATCH(Valori[[#This Row],[LUKB_id]],PID,0),MATCH("12W_PERF_PR",PLabel,0)-1,1,1)/100</f>
        <v>0.18781999461061705</v>
      </c>
      <c r="AN364" s="1603">
        <f ca="1">OFFSET(POrigin,MATCH(Valori[[#This Row],[LUKB_id]],PID,0),MATCH("YTD_PERF_PR",PLabel,0)-1,1,1)/100</f>
        <v>0.15621407587175901</v>
      </c>
      <c r="AO364" s="1591"/>
      <c r="AP364" s="1591"/>
      <c r="AQ364" s="1591"/>
      <c r="AR364" s="1591"/>
      <c r="AS364" s="1890" t="s">
        <v>1900</v>
      </c>
      <c r="AT364" s="1890" t="s">
        <v>1901</v>
      </c>
      <c r="AU364" s="610" t="s">
        <v>1902</v>
      </c>
      <c r="AV364" s="1891" t="str">
        <f>IF(Valori[[#This Row],[MS_Link]]&lt;&gt;"",Valori[[#This Row],[MS_Link]]&amp;"company/","")</f>
        <v>https://www.marketscreener.com/quote/stock/NORSK-HYDRO-ASA-1413211/company/</v>
      </c>
      <c r="AW364" s="1604" t="str">
        <f ca="1">"https://boersenundmaerkte.lukb.ch/lukb/details/"&amp;Valori[[#This Row],[LUKB_id]]</f>
        <v>https://boersenundmaerkte.lukb.ch/lukb/details/599373,1573,662</v>
      </c>
      <c r="AX364" s="1605" t="str">
        <f>"https://www.marketscreener.com/mods_a/charts/TV/inc_dyna_graph.php?c="&amp;Valori[[#This Row],[MS_Code]]&amp;"&amp;style=TradingView.CANDLES&amp;interval=(null)&amp;mobile=(null)&amp;showAT=1"</f>
        <v>https://www.marketscreener.com/mods_a/charts/TV/inc_dyna_graph.php?c=1413211&amp;style=TradingView.CANDLES&amp;interval=(null)&amp;mobile=(null)&amp;showAT=1</v>
      </c>
      <c r="AY364" s="142"/>
      <c r="AZ364" s="142"/>
      <c r="BA364" s="142"/>
      <c r="BB364" s="142"/>
    </row>
    <row r="365" spans="1:54" ht="15" customHeight="1" x14ac:dyDescent="0.2">
      <c r="A365" s="142" t="s">
        <v>1903</v>
      </c>
      <c r="B365" s="142" t="str" cm="1">
        <f t="array" aca="1" ref="B365" ca="1">OFFSET(POrigin,MATCH(Valori[[#This Row],[smo_id]],Posizioni[smo_id],0),MATCH("LUKB_id",PIntestazioni,0)-1,1,1)</f>
        <v>1200526,4,1</v>
      </c>
      <c r="C365" s="1668" t="str">
        <f ca="1">HYPERLINK("https://boersenundmaerkte.lukb.ch/lukb/details/"&amp;Valori[[#This Row],[LUKB_id]],"è")</f>
        <v>è</v>
      </c>
      <c r="D365" s="142" t="str" cm="1">
        <f t="array" aca="1" ref="D365" ca="1">OFFSET(POrigin,MATCH(Valori[[#This Row],[LUKB_id]],PID,0),MATCH("SC_GROUPED",PIntestazioni,0)-1,1,1)</f>
        <v>EQU</v>
      </c>
      <c r="E365" s="413" t="str" cm="1">
        <f t="array" aca="1" ref="E365" ca="1">OFFSET(POrigin,MATCH(Valori[[#This Row],[LUKB_id]],PID,0),MATCH("isin",PIntestazioni,0)-1,1,1)</f>
        <v>CH0012005267</v>
      </c>
      <c r="F365" s="34" t="str" cm="1">
        <f t="array" aca="1" ref="F365" ca="1">OFFSET(POrigin,MATCH(Valori[[#This Row],[LUKB_id]],PID,0),MATCH("NSIN_CH",PLabel,0)-1,1,1)</f>
        <v>1200526</v>
      </c>
      <c r="G365" s="95" t="str" cm="1">
        <f t="array" aca="1" ref="G365" ca="1">IF(OFFSET(POrigin,MATCH(Valori[[#This Row],[LUKB_id]],PID,0),MATCH("INSTRUNIT",PLabel,0)-1,1,1)="Nominal","Pct","Unit")</f>
        <v>Unit</v>
      </c>
      <c r="H365" s="612">
        <f ca="1">MAX(OFFSET(POrigin,MATCH(Valori[[#This Row],[LUKB_id]],PID,0),MATCH("PRICINGAMT",PLabel,0)-1,1,1),1)</f>
        <v>1</v>
      </c>
      <c r="I365" s="615" t="str" cm="1">
        <f t="array" aca="1" ref="I365" ca="1">OFFSET(POrigin,MATCH(Valori[[#This Row],[LUKB_id]],PID,0),MATCH("M_NAME",PLabel,0)-1,1,1)</f>
        <v>Novartis N</v>
      </c>
      <c r="J365" s="142" t="s">
        <v>443</v>
      </c>
      <c r="L365" s="612">
        <v>4</v>
      </c>
      <c r="M365" s="142" t="str" cm="1">
        <f t="array" aca="1" ref="M3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Novartis</v>
      </c>
      <c r="N365" s="1563">
        <f ca="1">COUNTIF('CHF M'!smo_id,Valori[[#This Row],[smo_id]])+COUNTIF('CHF MA'!smo_id,Valori[[#This Row],[smo_id]])+COUNTIF('EUR MB'!smo_id,Valori[[#This Row],[smo_id]])+COUNTIF('EUR M'!smo_id,Valori[[#This Row],[smo_id]])+COUNTIF(AGCO!smo_id,Valori[[#This Row],[smo_id]])</f>
        <v>2</v>
      </c>
      <c r="O365" s="1590" cm="1">
        <f t="array" aca="1" ref="O365" ca="1">SUM(IF('CHF M'!smo_id=Valori[[#This Row],[smo_id]],'CHF M'!Posizione))+SUM(IF('CHF MA'!smo_id=Valori[[#This Row],[smo_id]],'CHF MA'!Posizione))+SUM(IF('EUR MB'!smo_id=Valori[[#This Row],[smo_id]],'EUR MB'!Posizione))+SUM(IF('EUR M'!smo_id=Valori[[#This Row],[smo_id]],'EUR M'!Posizione))+SUM(IF(AGCO!smo_id=Valori[[#This Row],[smo_id]],AGCO!Posizione))</f>
        <v>260</v>
      </c>
      <c r="P365" s="1661" t="str">
        <f ca="1">HYPERLINK(Valori[[#This Row],[P_Source]],"è")</f>
        <v>è</v>
      </c>
      <c r="Q365" s="1663" t="str">
        <f>HYPERLINK(Valori[[#This Row],[Info_W]],"i")</f>
        <v>i</v>
      </c>
      <c r="R365" s="1664" t="str">
        <f>HYPERLINK(Valori[[#This Row],[FN_W]],"")</f>
        <v></v>
      </c>
      <c r="S365" s="1665" t="str">
        <f>HYPERLINK(Valori[[#This Row],[MS_Link]],"")</f>
        <v></v>
      </c>
      <c r="T365" s="1665" t="str">
        <f>HYPERLINK(Valori[[#This Row],[C_source]],"")</f>
        <v></v>
      </c>
      <c r="U365" s="142" t="str" cm="1">
        <f t="array" aca="1" ref="U365" ca="1">OFFSET(POrigin,MATCH(Valori[[#This Row],[LUKB_id]],PID,0),MATCH("M_CUR",PLabel,0)-1,1,1)</f>
        <v>CHF</v>
      </c>
      <c r="V365" s="1562">
        <f ca="1">(Valori[[#This Row],[Last]]+Valori[[#This Row],[Acc. Int]])/Valori[[#This Row],[Pr.Amt]]/IF(Valori[[#This Row],[P_Type]]="Pct",100,1)</f>
        <v>126.4</v>
      </c>
      <c r="W365" s="1591" cm="1">
        <f t="array" aca="1" ref="W365" ca="1">OFFSET(POrigin,MATCH(Valori[[#This Row],[LUKB_id]],PID,0),MATCH("NC2_PR",PLabel,0)-1,1,1)/100</f>
        <v>-2.73930440135427E-2</v>
      </c>
      <c r="X365" s="1592" cm="1">
        <f t="array" aca="1" ref="X365" ca="1">OFFSET(POrigin,MATCH(Valori[[#This Row],[LUKB_id]],PID,0),MATCH("LVAL",PLabel,0)-1,1,1)</f>
        <v>126.4</v>
      </c>
      <c r="Y365" s="1593" cm="1">
        <f t="array" aca="1" ref="Y365" ca="1">OFFSET(POrigin,MATCH(Valori[[#This Row],[LUKB_id]],PID,0),MATCH("LVAL:datetime",PLabel,0)-1,1,1)</f>
        <v>46084.735532407409</v>
      </c>
      <c r="Z365" s="1594" cm="1">
        <f t="array" aca="1" ref="Z365" ca="1">OFFSET(POrigin,MATCH(Valori[[#This Row],[LUKB_id]],PID,0),MATCH("BID:volume",PLabel,0)-1,1,1)</f>
        <v>1000</v>
      </c>
      <c r="AA365" s="1595" cm="1">
        <f t="array" aca="1" ref="AA365" ca="1">OFFSET(POrigin,MATCH(Valori[[#This Row],[LUKB_id]],PID,0),MATCH("BID",PLabel,0)-1,1,1)</f>
        <v>126.02</v>
      </c>
      <c r="AB365" s="1595" cm="1">
        <f t="array" aca="1" ref="AB365" ca="1">OFFSET(POrigin,MATCH(Valori[[#This Row],[LUKB_id]],PID,0),MATCH("ASK",PLabel,0)-1,1,1)</f>
        <v>0</v>
      </c>
      <c r="AC365" s="1594" cm="1">
        <f t="array" aca="1" ref="AC365" ca="1">OFFSET(POrigin,MATCH(Valori[[#This Row],[LUKB_id]],PID,0),MATCH("ASK:volume",PLabel,0)-1,1,1)</f>
        <v>0</v>
      </c>
      <c r="AD365" s="1596" cm="1">
        <f t="array" aca="1" ref="AD365" ca="1">OFFSET(POrigin,MATCH(Valori[[#This Row],[LUKB_id]],PID,0),MATCH("BID-ASK Spread %",PLabel,0)-1,1,1)</f>
        <v>0</v>
      </c>
      <c r="AE365" s="1597" t="str" cm="1">
        <f t="array" aca="1" ref="AE365" ca="1">IF(OFFSET(POrigin,MATCH(Valori[[#This Row],[LUKB_id]],PID,0),MATCH("MATURITY",PLabel,0)-1,1,1)&gt;0,OFFSET(POrigin,MATCH(Valori[[#This Row],[LUKB_id]],PID,0),MATCH("MATURITY",PLabel,0)-1,1,1),"")</f>
        <v/>
      </c>
      <c r="AF365" s="1598" cm="1">
        <f t="array" aca="1" ref="AF365" ca="1">OFFSET(POrigin,MATCH(Valori[[#This Row],[LUKB_id]],PID,0),MATCH("ACCINT",PLabel,0)-1,1,1)</f>
        <v>0</v>
      </c>
      <c r="AG365" s="1594" cm="1">
        <f t="array" aca="1" ref="AG365" ca="1">OFFSET(POrigin,MATCH(Valori[[#This Row],[LUKB_id]],PID,0),MATCH("DENOM",PLabel,0)-1,1,1)</f>
        <v>0</v>
      </c>
      <c r="AH365" s="1599" cm="1">
        <f t="array" aca="1" ref="AH365" ca="1">(OFFSET(POrigin,MATCH(Valori[[#This Row],[LUKB_id]],PID,0),MATCH("YIELD",PLabel,0)-1,1,1)+OFFSET(POrigin,MATCH(Valori[[#This Row],[LUKB_id]],PID,0),MATCH("YLDEQ",PLabel,0)-1,1,1))/100</f>
        <v>2.7689870000000002E-2</v>
      </c>
      <c r="AI365" s="1600">
        <f ca="1">OFFSET(POrigin,MATCH(Valori[[#This Row],[LUKB_id]],PID,0),MATCH("DIVIDEND",PLabel,0)-1,1,1)</f>
        <v>3.5</v>
      </c>
      <c r="AJ365" s="1601">
        <f ca="1">OFFSET(POrigin,MATCH(Valori[[#This Row],[LUKB_id]],PID,0),MATCH("DIVIDEND:datetime",PLabel,0)-1,1,1)</f>
        <v>45727</v>
      </c>
      <c r="AK365" s="1602">
        <f ca="1">OFFSET(POrigin,MATCH(Valori[[#This Row],[LUKB_id]],PID,0),MATCH("INTEREST",PLabel,0)-1,1,1)</f>
        <v>0</v>
      </c>
      <c r="AL365" s="1603">
        <f ca="1">OFFSET(POrigin,MATCH(Valori[[#This Row],[LUKB_id]],PID,0),MATCH("4W_PERF_PR",PLabel,0)-1,1,1)/100</f>
        <v>8.1451060000000006E-2</v>
      </c>
      <c r="AM365" s="1603">
        <f ca="1">OFFSET(POrigin,MATCH(Valori[[#This Row],[LUKB_id]],PID,0),MATCH("12W_PERF_PR",PLabel,0)-1,1,1)/100</f>
        <v>0.18329900999999998</v>
      </c>
      <c r="AN365" s="1603">
        <f ca="1">OFFSET(POrigin,MATCH(Valori[[#This Row],[LUKB_id]],PID,0),MATCH("YTD_PERF_PR",PLabel,0)-1,1,1)/100</f>
        <v>0.18576642335766499</v>
      </c>
      <c r="AO365" s="1591"/>
      <c r="AP365" s="1591"/>
      <c r="AQ365" s="1591"/>
      <c r="AR365" s="1591"/>
      <c r="AS365" s="1890" t="s">
        <v>1904</v>
      </c>
      <c r="AT365" s="1890" t="s">
        <v>1905</v>
      </c>
      <c r="AU365" s="610" t="s">
        <v>1906</v>
      </c>
      <c r="AV365" s="1891" t="str">
        <f>IF(Valori[[#This Row],[MS_Link]]&lt;&gt;"",Valori[[#This Row],[MS_Link]]&amp;"company/","")</f>
        <v>https://www.marketscreener.com/quote/stock/NOVARTIS-AG-9364983/company/</v>
      </c>
      <c r="AW365" s="1604" t="str">
        <f ca="1">"https://boersenundmaerkte.lukb.ch/lukb/details/"&amp;Valori[[#This Row],[LUKB_id]]</f>
        <v>https://boersenundmaerkte.lukb.ch/lukb/details/1200526,4,1</v>
      </c>
      <c r="AX365" s="1605" t="str">
        <f>"https://www.zonebourse.com/mods_a/charts/TV/inc_dyna_graph.php?c="&amp;Valori[[#This Row],[MS_Code]]&amp;"&amp;style=TradingView.CANDLES&amp;interval=(null)&amp;mobile=(null)&amp;showAT=1"</f>
        <v>https://www.zonebourse.com/mods_a/charts/TV/inc_dyna_graph.php?c=9364983&amp;style=TradingView.CANDLES&amp;interval=(null)&amp;mobile=(null)&amp;showAT=1</v>
      </c>
      <c r="AY365" s="142"/>
      <c r="AZ365" s="142"/>
      <c r="BA365" s="142"/>
      <c r="BB365" s="142"/>
    </row>
    <row r="366" spans="1:54" ht="15" customHeight="1" x14ac:dyDescent="0.2">
      <c r="A366" s="142" t="s">
        <v>1907</v>
      </c>
      <c r="B366" s="142" t="str" cm="1">
        <f t="array" aca="1" ref="B366" ca="1">OFFSET(POrigin,MATCH(Valori[[#This Row],[smo_id]],Posizioni[smo_id],0),MATCH("LUKB_id",PIntestazioni,0)-1,1,1)</f>
        <v>30100506,365,333</v>
      </c>
      <c r="C366" s="1668" t="str">
        <f ca="1">HYPERLINK("https://boersenundmaerkte.lukb.ch/lukb/details/"&amp;Valori[[#This Row],[LUKB_id]],"è")</f>
        <v>è</v>
      </c>
      <c r="D366" s="142" t="str" cm="1">
        <f t="array" aca="1" ref="D366" ca="1">OFFSET(POrigin,MATCH(Valori[[#This Row],[LUKB_id]],PID,0),MATCH("SC_GROUPED",PIntestazioni,0)-1,1,1)</f>
        <v>EQU</v>
      </c>
      <c r="E366" s="413" t="str" cm="1">
        <f t="array" aca="1" ref="E366" ca="1">OFFSET(POrigin,MATCH(Valori[[#This Row],[LUKB_id]],PID,0),MATCH("isin",PIntestazioni,0)-1,1,1)</f>
        <v>BSP733981026</v>
      </c>
      <c r="F366" s="34" t="str" cm="1">
        <f t="array" aca="1" ref="F366" ca="1">OFFSET(POrigin,MATCH(Valori[[#This Row],[LUKB_id]],PID,0),MATCH("NSIN_CH",PLabel,0)-1,1,1)</f>
        <v>30100506</v>
      </c>
      <c r="G366" s="95" t="str" cm="1">
        <f t="array" aca="1" ref="G366" ca="1">IF(OFFSET(POrigin,MATCH(Valori[[#This Row],[LUKB_id]],PID,0),MATCH("INSTRUNIT",PLabel,0)-1,1,1)="Nominal","Pct","Unit")</f>
        <v>Unit</v>
      </c>
      <c r="H366" s="612">
        <f ca="1">MAX(OFFSET(POrigin,MATCH(Valori[[#This Row],[LUKB_id]],PID,0),MATCH("PRICINGAMT",PLabel,0)-1,1,1),1)</f>
        <v>1</v>
      </c>
      <c r="I366" s="615" t="str" cm="1">
        <f t="array" aca="1" ref="I366" ca="1">OFFSET(POrigin,MATCH(Valori[[#This Row],[LUKB_id]],PID,0),MATCH("M_NAME",PLabel,0)-1,1,1)</f>
        <v>Nymox Pharma Rg</v>
      </c>
      <c r="J366" s="142" t="s">
        <v>766</v>
      </c>
      <c r="M366" s="142" t="str" cm="1">
        <f t="array" aca="1" ref="M3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Nymox Pharmaceutical</v>
      </c>
      <c r="N366" s="1563">
        <f ca="1">COUNTIF('CHF M'!smo_id,Valori[[#This Row],[smo_id]])+COUNTIF('CHF MA'!smo_id,Valori[[#This Row],[smo_id]])+COUNTIF('EUR MB'!smo_id,Valori[[#This Row],[smo_id]])+COUNTIF('EUR M'!smo_id,Valori[[#This Row],[smo_id]])+COUNTIF(AGCO!smo_id,Valori[[#This Row],[smo_id]])</f>
        <v>1</v>
      </c>
      <c r="O366" s="1590" cm="1">
        <f t="array" aca="1" ref="O366" ca="1">SUM(IF('CHF M'!smo_id=Valori[[#This Row],[smo_id]],'CHF M'!Posizione))+SUM(IF('CHF MA'!smo_id=Valori[[#This Row],[smo_id]],'CHF MA'!Posizione))+SUM(IF('EUR MB'!smo_id=Valori[[#This Row],[smo_id]],'EUR MB'!Posizione))+SUM(IF('EUR M'!smo_id=Valori[[#This Row],[smo_id]],'EUR M'!Posizione))+SUM(IF(AGCO!smo_id=Valori[[#This Row],[smo_id]],AGCO!Posizione))</f>
        <v>15000</v>
      </c>
      <c r="P366" s="1661" t="str">
        <f ca="1">HYPERLINK(Valori[[#This Row],[P_Source]],"è")</f>
        <v>è</v>
      </c>
      <c r="Q366" s="1663" t="str">
        <f>HYPERLINK(Valori[[#This Row],[Info_W]],"i")</f>
        <v>i</v>
      </c>
      <c r="R366" s="1664" t="str">
        <f>HYPERLINK(Valori[[#This Row],[FN_W]],"")</f>
        <v></v>
      </c>
      <c r="S366" s="1665" t="str">
        <f>HYPERLINK(Valori[[#This Row],[MS_Link]],"")</f>
        <v></v>
      </c>
      <c r="T366" s="1665" t="str">
        <f>HYPERLINK(Valori[[#This Row],[C_source]],"")</f>
        <v></v>
      </c>
      <c r="U366" s="142" t="str" cm="1">
        <f t="array" aca="1" ref="U366" ca="1">OFFSET(POrigin,MATCH(Valori[[#This Row],[LUKB_id]],PID,0),MATCH("M_CUR",PLabel,0)-1,1,1)</f>
        <v>USD</v>
      </c>
      <c r="V366" s="1562">
        <f ca="1">(Valori[[#This Row],[Last]]+Valori[[#This Row],[Acc. Int]])/Valori[[#This Row],[Pr.Amt]]/IF(Valori[[#This Row],[P_Type]]="Pct",100,1)</f>
        <v>5.0500000000000003E-2</v>
      </c>
      <c r="W366" s="1591" cm="1">
        <f t="array" aca="1" ref="W366" ca="1">OFFSET(POrigin,MATCH(Valori[[#This Row],[LUKB_id]],PID,0),MATCH("NC2_PR",PLabel,0)-1,1,1)/100</f>
        <v>-1.9762845849801997E-3</v>
      </c>
      <c r="X366" s="1592" cm="1">
        <f t="array" aca="1" ref="X366" ca="1">OFFSET(POrigin,MATCH(Valori[[#This Row],[LUKB_id]],PID,0),MATCH("LVAL",PLabel,0)-1,1,1)</f>
        <v>5.0500000000000003E-2</v>
      </c>
      <c r="Y366" s="1593" cm="1">
        <f t="array" aca="1" ref="Y366" ca="1">OFFSET(POrigin,MATCH(Valori[[#This Row],[LUKB_id]],PID,0),MATCH("LVAL:datetime",PLabel,0)-1,1,1)</f>
        <v>46084.645868055559</v>
      </c>
      <c r="Z366" s="1594" cm="1">
        <f t="array" aca="1" ref="Z366" ca="1">OFFSET(POrigin,MATCH(Valori[[#This Row],[LUKB_id]],PID,0),MATCH("BID:volume",PLabel,0)-1,1,1)</f>
        <v>0</v>
      </c>
      <c r="AA366" s="1595" cm="1">
        <f t="array" aca="1" ref="AA366" ca="1">OFFSET(POrigin,MATCH(Valori[[#This Row],[LUKB_id]],PID,0),MATCH("BID",PLabel,0)-1,1,1)</f>
        <v>0</v>
      </c>
      <c r="AB366" s="1595" cm="1">
        <f t="array" aca="1" ref="AB366" ca="1">OFFSET(POrigin,MATCH(Valori[[#This Row],[LUKB_id]],PID,0),MATCH("ASK",PLabel,0)-1,1,1)</f>
        <v>0</v>
      </c>
      <c r="AC366" s="1594" cm="1">
        <f t="array" aca="1" ref="AC366" ca="1">OFFSET(POrigin,MATCH(Valori[[#This Row],[LUKB_id]],PID,0),MATCH("ASK:volume",PLabel,0)-1,1,1)</f>
        <v>0</v>
      </c>
      <c r="AD366" s="1596" cm="1">
        <f t="array" aca="1" ref="AD366" ca="1">OFFSET(POrigin,MATCH(Valori[[#This Row],[LUKB_id]],PID,0),MATCH("BID-ASK Spread %",PLabel,0)-1,1,1)</f>
        <v>0</v>
      </c>
      <c r="AE366" s="1597" t="str" cm="1">
        <f t="array" aca="1" ref="AE366" ca="1">IF(OFFSET(POrigin,MATCH(Valori[[#This Row],[LUKB_id]],PID,0),MATCH("MATURITY",PLabel,0)-1,1,1)&gt;0,OFFSET(POrigin,MATCH(Valori[[#This Row],[LUKB_id]],PID,0),MATCH("MATURITY",PLabel,0)-1,1,1),"")</f>
        <v/>
      </c>
      <c r="AF366" s="1598" cm="1">
        <f t="array" aca="1" ref="AF366" ca="1">OFFSET(POrigin,MATCH(Valori[[#This Row],[LUKB_id]],PID,0),MATCH("ACCINT",PLabel,0)-1,1,1)</f>
        <v>0</v>
      </c>
      <c r="AG366" s="1594" cm="1">
        <f t="array" aca="1" ref="AG366" ca="1">OFFSET(POrigin,MATCH(Valori[[#This Row],[LUKB_id]],PID,0),MATCH("DENOM",PLabel,0)-1,1,1)</f>
        <v>0</v>
      </c>
      <c r="AH366" s="1599" cm="1">
        <f t="array" aca="1" ref="AH366" ca="1">(OFFSET(POrigin,MATCH(Valori[[#This Row],[LUKB_id]],PID,0),MATCH("YIELD",PLabel,0)-1,1,1)+OFFSET(POrigin,MATCH(Valori[[#This Row],[LUKB_id]],PID,0),MATCH("YLDEQ",PLabel,0)-1,1,1))/100</f>
        <v>0</v>
      </c>
      <c r="AI366" s="1600">
        <f ca="1">OFFSET(POrigin,MATCH(Valori[[#This Row],[LUKB_id]],PID,0),MATCH("DIVIDEND",PLabel,0)-1,1,1)</f>
        <v>0</v>
      </c>
      <c r="AJ366" s="1601">
        <f ca="1">OFFSET(POrigin,MATCH(Valori[[#This Row],[LUKB_id]],PID,0),MATCH("DIVIDEND:datetime",PLabel,0)-1,1,1)</f>
        <v>0</v>
      </c>
      <c r="AK366" s="1602">
        <f ca="1">OFFSET(POrigin,MATCH(Valori[[#This Row],[LUKB_id]],PID,0),MATCH("INTEREST",PLabel,0)-1,1,1)</f>
        <v>0</v>
      </c>
      <c r="AL366" s="1603">
        <f ca="1">OFFSET(POrigin,MATCH(Valori[[#This Row],[LUKB_id]],PID,0),MATCH("4W_PERF_PR",PLabel,0)-1,1,1)/100</f>
        <v>0.12222221999999999</v>
      </c>
      <c r="AM366" s="1603">
        <f ca="1">OFFSET(POrigin,MATCH(Valori[[#This Row],[LUKB_id]],PID,0),MATCH("12W_PERF_PR",PLabel,0)-1,1,1)/100</f>
        <v>-0.33324531000000002</v>
      </c>
      <c r="AN366" s="1603">
        <f ca="1">OFFSET(POrigin,MATCH(Valori[[#This Row],[LUKB_id]],PID,0),MATCH("YTD_PERF_PR",PLabel,0)-1,1,1)/100</f>
        <v>0.25870646766169203</v>
      </c>
      <c r="AO366" s="1591"/>
      <c r="AP366" s="1591"/>
      <c r="AQ366" s="1591"/>
      <c r="AR366" s="1591"/>
      <c r="AS366" s="1890" t="s">
        <v>1908</v>
      </c>
      <c r="AT366" s="1890" t="s">
        <v>1909</v>
      </c>
      <c r="AU366" s="610" t="s">
        <v>1910</v>
      </c>
      <c r="AV366" s="1891" t="str">
        <f>IF(Valori[[#This Row],[MS_Link]]&lt;&gt;"",Valori[[#This Row],[MS_Link]]&amp;"company/","")</f>
        <v>https://www.marketscreener.com/quote/stock/NYMOX-PHARMACEUTICAL-CORP-25054783/company/</v>
      </c>
      <c r="AW366" s="1604" t="str">
        <f ca="1">"https://boersenundmaerkte.lukb.ch/lukb/details/"&amp;Valori[[#This Row],[LUKB_id]]</f>
        <v>https://boersenundmaerkte.lukb.ch/lukb/details/30100506,365,333</v>
      </c>
      <c r="AX366" s="1605" t="str">
        <f>"https://www.zonebourse.com/mods_a/charts/TV/inc_dyna_graph.php?c="&amp;Valori[[#This Row],[MS_Code]]&amp;"&amp;style=TradingView.CANDLES&amp;interval=(null)&amp;mobile=(null)&amp;showAT=1"</f>
        <v>https://www.zonebourse.com/mods_a/charts/TV/inc_dyna_graph.php?c=25054783&amp;style=TradingView.CANDLES&amp;interval=(null)&amp;mobile=(null)&amp;showAT=1</v>
      </c>
      <c r="AY366" s="142"/>
      <c r="AZ366" s="142"/>
      <c r="BA366" s="142"/>
      <c r="BB366" s="142"/>
    </row>
    <row r="367" spans="1:54" ht="15" customHeight="1" x14ac:dyDescent="0.2">
      <c r="A367" s="142" t="s">
        <v>1911</v>
      </c>
      <c r="B367" s="142" t="str" cm="1">
        <f t="array" aca="1" ref="B367" ca="1">OFFSET(POrigin,MATCH(Valori[[#This Row],[smo_id]],Posizioni[smo_id],0),MATCH("LUKB_id",PIntestazioni,0)-1,1,1)</f>
        <v>963896,321,333</v>
      </c>
      <c r="C367" s="1668" t="str">
        <f ca="1">HYPERLINK("https://boersenundmaerkte.lukb.ch/lukb/details/"&amp;Valori[[#This Row],[LUKB_id]],"è")</f>
        <v>è</v>
      </c>
      <c r="D367" s="142" t="str" cm="1">
        <f t="array" aca="1" ref="D367" ca="1">OFFSET(POrigin,MATCH(Valori[[#This Row],[LUKB_id]],PID,0),MATCH("SC_GROUPED",PIntestazioni,0)-1,1,1)</f>
        <v>EQU</v>
      </c>
      <c r="E367" s="413" t="str" cm="1">
        <f t="array" aca="1" ref="E367" ca="1">OFFSET(POrigin,MATCH(Valori[[#This Row],[LUKB_id]],PID,0),MATCH("isin",PIntestazioni,0)-1,1,1)</f>
        <v>US7427181091</v>
      </c>
      <c r="F367" s="34" t="str" cm="1">
        <f t="array" aca="1" ref="F367" ca="1">OFFSET(POrigin,MATCH(Valori[[#This Row],[LUKB_id]],PID,0),MATCH("NSIN_CH",PLabel,0)-1,1,1)</f>
        <v>963896</v>
      </c>
      <c r="G367" s="95" t="str" cm="1">
        <f t="array" aca="1" ref="G367" ca="1">IF(OFFSET(POrigin,MATCH(Valori[[#This Row],[LUKB_id]],PID,0),MATCH("INSTRUNIT",PLabel,0)-1,1,1)="Nominal","Pct","Unit")</f>
        <v>Unit</v>
      </c>
      <c r="H367" s="612">
        <f ca="1">MAX(OFFSET(POrigin,MATCH(Valori[[#This Row],[LUKB_id]],PID,0),MATCH("PRICINGAMT",PLabel,0)-1,1,1),1)</f>
        <v>1</v>
      </c>
      <c r="I367" s="615" t="str" cm="1">
        <f t="array" aca="1" ref="I367" ca="1">OFFSET(POrigin,MATCH(Valori[[#This Row],[LUKB_id]],PID,0),MATCH("M_NAME",PLabel,0)-1,1,1)</f>
        <v>Procter&amp;Gamble Rg</v>
      </c>
      <c r="J367" s="142" t="s">
        <v>453</v>
      </c>
      <c r="M367" s="142" t="str" cm="1">
        <f t="array" aca="1" ref="M3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Procter &amp; Gamble Company</v>
      </c>
      <c r="N367" s="1563">
        <f ca="1">COUNTIF('CHF M'!smo_id,Valori[[#This Row],[smo_id]])+COUNTIF('CHF MA'!smo_id,Valori[[#This Row],[smo_id]])+COUNTIF('EUR MB'!smo_id,Valori[[#This Row],[smo_id]])+COUNTIF('EUR M'!smo_id,Valori[[#This Row],[smo_id]])+COUNTIF(AGCO!smo_id,Valori[[#This Row],[smo_id]])</f>
        <v>0</v>
      </c>
      <c r="O367" s="1590" cm="1">
        <f t="array" aca="1" ref="O367" ca="1">SUM(IF('CHF M'!smo_id=Valori[[#This Row],[smo_id]],'CHF M'!Posizione))+SUM(IF('CHF MA'!smo_id=Valori[[#This Row],[smo_id]],'CHF MA'!Posizione))+SUM(IF('EUR MB'!smo_id=Valori[[#This Row],[smo_id]],'EUR MB'!Posizione))+SUM(IF('EUR M'!smo_id=Valori[[#This Row],[smo_id]],'EUR M'!Posizione))+SUM(IF(AGCO!smo_id=Valori[[#This Row],[smo_id]],AGCO!Posizione))</f>
        <v>0</v>
      </c>
      <c r="P367" s="1661" t="str">
        <f ca="1">HYPERLINK(Valori[[#This Row],[P_Source]],"è")</f>
        <v>è</v>
      </c>
      <c r="Q367" s="1663" t="str">
        <f>HYPERLINK(Valori[[#This Row],[Info_W]],"i")</f>
        <v>i</v>
      </c>
      <c r="R367" s="1664" t="str">
        <f>HYPERLINK(Valori[[#This Row],[FN_W]],"")</f>
        <v></v>
      </c>
      <c r="S367" s="1665" t="str">
        <f>HYPERLINK(Valori[[#This Row],[MS_Link]],"")</f>
        <v></v>
      </c>
      <c r="T367" s="1665" t="str">
        <f>HYPERLINK(Valori[[#This Row],[C_source]],"")</f>
        <v></v>
      </c>
      <c r="U367" s="142" t="str" cm="1">
        <f t="array" aca="1" ref="U367" ca="1">OFFSET(POrigin,MATCH(Valori[[#This Row],[LUKB_id]],PID,0),MATCH("M_CUR",PLabel,0)-1,1,1)</f>
        <v>USD</v>
      </c>
      <c r="V367" s="1562">
        <f ca="1">(Valori[[#This Row],[Last]]+Valori[[#This Row],[Acc. Int]])/Valori[[#This Row],[Pr.Amt]]/IF(Valori[[#This Row],[P_Type]]="Pct",100,1)</f>
        <v>159.41499999999999</v>
      </c>
      <c r="W367" s="1591" cm="1">
        <f t="array" aca="1" ref="W367" ca="1">OFFSET(POrigin,MATCH(Valori[[#This Row],[LUKB_id]],PID,0),MATCH("NC2_PR",PLabel,0)-1,1,1)/100</f>
        <v>-2.5044339795731202E-2</v>
      </c>
      <c r="X367" s="1592" cm="1">
        <f t="array" aca="1" ref="X367" ca="1">OFFSET(POrigin,MATCH(Valori[[#This Row],[LUKB_id]],PID,0),MATCH("LVAL",PLabel,0)-1,1,1)</f>
        <v>159.41499999999999</v>
      </c>
      <c r="Y367" s="1593" cm="1">
        <f t="array" aca="1" ref="Y367" ca="1">OFFSET(POrigin,MATCH(Valori[[#This Row],[LUKB_id]],PID,0),MATCH("LVAL:datetime",PLabel,0)-1,1,1)</f>
        <v>46084.785879629628</v>
      </c>
      <c r="Z367" s="1594" cm="1">
        <f t="array" aca="1" ref="Z367" ca="1">OFFSET(POrigin,MATCH(Valori[[#This Row],[LUKB_id]],PID,0),MATCH("BID:volume",PLabel,0)-1,1,1)</f>
        <v>100</v>
      </c>
      <c r="AA367" s="1595" cm="1">
        <f t="array" aca="1" ref="AA367" ca="1">OFFSET(POrigin,MATCH(Valori[[#This Row],[LUKB_id]],PID,0),MATCH("BID",PLabel,0)-1,1,1)</f>
        <v>159.4</v>
      </c>
      <c r="AB367" s="1595" cm="1">
        <f t="array" aca="1" ref="AB367" ca="1">OFFSET(POrigin,MATCH(Valori[[#This Row],[LUKB_id]],PID,0),MATCH("ASK",PLabel,0)-1,1,1)</f>
        <v>159.43</v>
      </c>
      <c r="AC367" s="1594" cm="1">
        <f t="array" aca="1" ref="AC367" ca="1">OFFSET(POrigin,MATCH(Valori[[#This Row],[LUKB_id]],PID,0),MATCH("ASK:volume",PLabel,0)-1,1,1)</f>
        <v>200</v>
      </c>
      <c r="AD367" s="1596" cm="1">
        <f t="array" aca="1" ref="AD367" ca="1">OFFSET(POrigin,MATCH(Valori[[#This Row],[LUKB_id]],PID,0),MATCH("BID-ASK Spread %",PLabel,0)-1,1,1)</f>
        <v>1.2546264349790325E-4</v>
      </c>
      <c r="AE367" s="1597" t="str" cm="1">
        <f t="array" aca="1" ref="AE367" ca="1">IF(OFFSET(POrigin,MATCH(Valori[[#This Row],[LUKB_id]],PID,0),MATCH("MATURITY",PLabel,0)-1,1,1)&gt;0,OFFSET(POrigin,MATCH(Valori[[#This Row],[LUKB_id]],PID,0),MATCH("MATURITY",PLabel,0)-1,1,1),"")</f>
        <v/>
      </c>
      <c r="AF367" s="1598" cm="1">
        <f t="array" aca="1" ref="AF367" ca="1">OFFSET(POrigin,MATCH(Valori[[#This Row],[LUKB_id]],PID,0),MATCH("ACCINT",PLabel,0)-1,1,1)</f>
        <v>0</v>
      </c>
      <c r="AG367" s="1594" cm="1">
        <f t="array" aca="1" ref="AG367" ca="1">OFFSET(POrigin,MATCH(Valori[[#This Row],[LUKB_id]],PID,0),MATCH("DENOM",PLabel,0)-1,1,1)</f>
        <v>0</v>
      </c>
      <c r="AH367" s="1599" cm="1">
        <f t="array" aca="1" ref="AH367" ca="1">(OFFSET(POrigin,MATCH(Valori[[#This Row],[LUKB_id]],PID,0),MATCH("YIELD",PLabel,0)-1,1,1)+OFFSET(POrigin,MATCH(Valori[[#This Row],[LUKB_id]],PID,0),MATCH("YLDEQ",PLabel,0)-1,1,1))/100</f>
        <v>2.6516949999999997E-2</v>
      </c>
      <c r="AI367" s="1600">
        <f ca="1">OFFSET(POrigin,MATCH(Valori[[#This Row],[LUKB_id]],PID,0),MATCH("DIVIDEND",PLabel,0)-1,1,1)</f>
        <v>1.0568</v>
      </c>
      <c r="AJ367" s="1601">
        <f ca="1">OFFSET(POrigin,MATCH(Valori[[#This Row],[LUKB_id]],PID,0),MATCH("DIVIDEND:datetime",PLabel,0)-1,1,1)</f>
        <v>46045</v>
      </c>
      <c r="AK367" s="1602">
        <f ca="1">OFFSET(POrigin,MATCH(Valori[[#This Row],[LUKB_id]],PID,0),MATCH("INTEREST",PLabel,0)-1,1,1)</f>
        <v>0</v>
      </c>
      <c r="AL367" s="1603">
        <f ca="1">OFFSET(POrigin,MATCH(Valori[[#This Row],[LUKB_id]],PID,0),MATCH("4W_PERF_PR",PLabel,0)-1,1,1)/100</f>
        <v>2.636492E-2</v>
      </c>
      <c r="AM367" s="1603">
        <f ca="1">OFFSET(POrigin,MATCH(Valori[[#This Row],[LUKB_id]],PID,0),MATCH("12W_PERF_PR",PLabel,0)-1,1,1)/100</f>
        <v>0.14169590999999998</v>
      </c>
      <c r="AN367" s="1603">
        <f ca="1">OFFSET(POrigin,MATCH(Valori[[#This Row],[LUKB_id]],PID,0),MATCH("YTD_PERF_PR",PLabel,0)-1,1,1)/100</f>
        <v>0.140953178424395</v>
      </c>
      <c r="AO367" s="1591"/>
      <c r="AP367" s="1591"/>
      <c r="AQ367" s="1591"/>
      <c r="AR367" s="1591"/>
      <c r="AS367" s="1890" t="s">
        <v>1912</v>
      </c>
      <c r="AT367" s="1890" t="s">
        <v>1913</v>
      </c>
      <c r="AU367" s="610" t="s">
        <v>1914</v>
      </c>
      <c r="AV367" s="1891" t="str">
        <f>IF(Valori[[#This Row],[MS_Link]]&lt;&gt;"",Valori[[#This Row],[MS_Link]]&amp;"company/","")</f>
        <v>https://www.marketscreener.com/quote/stock/THE-PROCTER-GAMBLE-COMP-4838/company/</v>
      </c>
      <c r="AW367" s="1604" t="str">
        <f ca="1">"https://boersenundmaerkte.lukb.ch/lukb/details/"&amp;Valori[[#This Row],[LUKB_id]]</f>
        <v>https://boersenundmaerkte.lukb.ch/lukb/details/963896,321,333</v>
      </c>
      <c r="AX367" s="1605" t="str">
        <f>"https://www.zonebourse.com/mods_a/charts/TV/inc_dyna_graph.php?c="&amp;Valori[[#This Row],[MS_Code]]&amp;"&amp;style=TradingView.CANDLES&amp;interval=(null)&amp;mobile=(null)&amp;showAT=1"</f>
        <v>https://www.zonebourse.com/mods_a/charts/TV/inc_dyna_graph.php?c=4838&amp;style=TradingView.CANDLES&amp;interval=(null)&amp;mobile=(null)&amp;showAT=1</v>
      </c>
      <c r="AY367" s="142"/>
      <c r="AZ367" s="142"/>
      <c r="BA367" s="142"/>
      <c r="BB367" s="142"/>
    </row>
    <row r="368" spans="1:54" ht="15" customHeight="1" x14ac:dyDescent="0.2">
      <c r="A368" s="142" t="s">
        <v>1915</v>
      </c>
      <c r="B368" s="142" t="str" cm="1">
        <f t="array" aca="1" ref="B368" ca="1">OFFSET(POrigin,MATCH(Valori[[#This Row],[smo_id]],Posizioni[smo_id],0),MATCH("LUKB_id",PIntestazioni,0)-1,1,1)</f>
        <v>180622,25,814</v>
      </c>
      <c r="C368" s="1668" t="str">
        <f ca="1">HYPERLINK("https://boersenundmaerkte.lukb.ch/lukb/details/"&amp;Valori[[#This Row],[LUKB_id]],"è")</f>
        <v>è</v>
      </c>
      <c r="D368" s="142" t="str" cm="1">
        <f t="array" aca="1" ref="D368" ca="1">OFFSET(POrigin,MATCH(Valori[[#This Row],[LUKB_id]],PID,0),MATCH("SC_GROUPED",PIntestazioni,0)-1,1,1)</f>
        <v>EQU</v>
      </c>
      <c r="E368" s="413" t="str" cm="1">
        <f t="array" aca="1" ref="E368" ca="1">OFFSET(POrigin,MATCH(Valori[[#This Row],[LUKB_id]],PID,0),MATCH("isin",PIntestazioni,0)-1,1,1)</f>
        <v>FR0000130577</v>
      </c>
      <c r="F368" s="34" t="str" cm="1">
        <f t="array" aca="1" ref="F368" ca="1">OFFSET(POrigin,MATCH(Valori[[#This Row],[LUKB_id]],PID,0),MATCH("NSIN_CH",PLabel,0)-1,1,1)</f>
        <v>180622</v>
      </c>
      <c r="G368" s="95" t="str" cm="1">
        <f t="array" aca="1" ref="G368" ca="1">IF(OFFSET(POrigin,MATCH(Valori[[#This Row],[LUKB_id]],PID,0),MATCH("INSTRUNIT",PLabel,0)-1,1,1)="Nominal","Pct","Unit")</f>
        <v>Unit</v>
      </c>
      <c r="H368" s="612">
        <f ca="1">MAX(OFFSET(POrigin,MATCH(Valori[[#This Row],[LUKB_id]],PID,0),MATCH("PRICINGAMT",PLabel,0)-1,1,1),1)</f>
        <v>1</v>
      </c>
      <c r="I368" s="615" t="str" cm="1">
        <f t="array" aca="1" ref="I368" ca="1">OFFSET(POrigin,MATCH(Valori[[#This Row],[LUKB_id]],PID,0),MATCH("M_NAME",PLabel,0)-1,1,1)</f>
        <v>Publicis Grp</v>
      </c>
      <c r="M368" s="142" t="str" cm="1">
        <f t="array" aca="1" ref="M3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Publicis Grp</v>
      </c>
      <c r="N368" s="1563">
        <f ca="1">COUNTIF('CHF M'!smo_id,Valori[[#This Row],[smo_id]])+COUNTIF('CHF MA'!smo_id,Valori[[#This Row],[smo_id]])+COUNTIF('EUR MB'!smo_id,Valori[[#This Row],[smo_id]])+COUNTIF('EUR M'!smo_id,Valori[[#This Row],[smo_id]])+COUNTIF(AGCO!smo_id,Valori[[#This Row],[smo_id]])</f>
        <v>0</v>
      </c>
      <c r="O368" s="1590" cm="1">
        <f t="array" aca="1" ref="O368" ca="1">SUM(IF('CHF M'!smo_id=Valori[[#This Row],[smo_id]],'CHF M'!Posizione))+SUM(IF('CHF MA'!smo_id=Valori[[#This Row],[smo_id]],'CHF MA'!Posizione))+SUM(IF('EUR MB'!smo_id=Valori[[#This Row],[smo_id]],'EUR MB'!Posizione))+SUM(IF('EUR M'!smo_id=Valori[[#This Row],[smo_id]],'EUR M'!Posizione))+SUM(IF(AGCO!smo_id=Valori[[#This Row],[smo_id]],AGCO!Posizione))</f>
        <v>0</v>
      </c>
      <c r="P368" s="1661" t="str">
        <f ca="1">HYPERLINK(Valori[[#This Row],[P_Source]],"è")</f>
        <v>è</v>
      </c>
      <c r="Q368" s="1663" t="str">
        <f>HYPERLINK(Valori[[#This Row],[Info_W]],"i")</f>
        <v>i</v>
      </c>
      <c r="R368" s="1664" t="str">
        <f>HYPERLINK(Valori[[#This Row],[FN_W]],"")</f>
        <v></v>
      </c>
      <c r="S368" s="1665" t="str">
        <f>HYPERLINK(Valori[[#This Row],[MS_Link]],"")</f>
        <v></v>
      </c>
      <c r="T368" s="1665" t="str">
        <f>HYPERLINK(Valori[[#This Row],[C_source]],"")</f>
        <v></v>
      </c>
      <c r="U368" s="142" t="str" cm="1">
        <f t="array" aca="1" ref="U368" ca="1">OFFSET(POrigin,MATCH(Valori[[#This Row],[LUKB_id]],PID,0),MATCH("M_CUR",PLabel,0)-1,1,1)</f>
        <v>EUR</v>
      </c>
      <c r="V368" s="1562">
        <f ca="1">(Valori[[#This Row],[Last]]+Valori[[#This Row],[Acc. Int]])/Valori[[#This Row],[Pr.Amt]]/IF(Valori[[#This Row],[P_Type]]="Pct",100,1)</f>
        <v>74.36</v>
      </c>
      <c r="W368" s="1591" cm="1">
        <f t="array" aca="1" ref="W368" ca="1">OFFSET(POrigin,MATCH(Valori[[#This Row],[LUKB_id]],PID,0),MATCH("NC2_PR",PLabel,0)-1,1,1)/100</f>
        <v>-1.4054627419782599E-2</v>
      </c>
      <c r="X368" s="1592" cm="1">
        <f t="array" aca="1" ref="X368" ca="1">OFFSET(POrigin,MATCH(Valori[[#This Row],[LUKB_id]],PID,0),MATCH("LVAL",PLabel,0)-1,1,1)</f>
        <v>74.36</v>
      </c>
      <c r="Y368" s="1593" cm="1">
        <f t="array" aca="1" ref="Y368" ca="1">OFFSET(POrigin,MATCH(Valori[[#This Row],[LUKB_id]],PID,0),MATCH("LVAL:datetime",PLabel,0)-1,1,1)</f>
        <v>46083.746527777781</v>
      </c>
      <c r="Z368" s="1594" cm="1">
        <f t="array" aca="1" ref="Z368" ca="1">OFFSET(POrigin,MATCH(Valori[[#This Row],[LUKB_id]],PID,0),MATCH("BID:volume",PLabel,0)-1,1,1)</f>
        <v>0</v>
      </c>
      <c r="AA368" s="1595" cm="1">
        <f t="array" aca="1" ref="AA368" ca="1">OFFSET(POrigin,MATCH(Valori[[#This Row],[LUKB_id]],PID,0),MATCH("BID",PLabel,0)-1,1,1)</f>
        <v>0</v>
      </c>
      <c r="AB368" s="1595" cm="1">
        <f t="array" aca="1" ref="AB368" ca="1">OFFSET(POrigin,MATCH(Valori[[#This Row],[LUKB_id]],PID,0),MATCH("ASK",PLabel,0)-1,1,1)</f>
        <v>0</v>
      </c>
      <c r="AC368" s="1594" cm="1">
        <f t="array" aca="1" ref="AC368" ca="1">OFFSET(POrigin,MATCH(Valori[[#This Row],[LUKB_id]],PID,0),MATCH("ASK:volume",PLabel,0)-1,1,1)</f>
        <v>0</v>
      </c>
      <c r="AD368" s="1596" cm="1">
        <f t="array" aca="1" ref="AD368" ca="1">OFFSET(POrigin,MATCH(Valori[[#This Row],[LUKB_id]],PID,0),MATCH("BID-ASK Spread %",PLabel,0)-1,1,1)</f>
        <v>0</v>
      </c>
      <c r="AE368" s="1597" t="str" cm="1">
        <f t="array" aca="1" ref="AE368" ca="1">IF(OFFSET(POrigin,MATCH(Valori[[#This Row],[LUKB_id]],PID,0),MATCH("MATURITY",PLabel,0)-1,1,1)&gt;0,OFFSET(POrigin,MATCH(Valori[[#This Row],[LUKB_id]],PID,0),MATCH("MATURITY",PLabel,0)-1,1,1),"")</f>
        <v/>
      </c>
      <c r="AF368" s="1598" cm="1">
        <f t="array" aca="1" ref="AF368" ca="1">OFFSET(POrigin,MATCH(Valori[[#This Row],[LUKB_id]],PID,0),MATCH("ACCINT",PLabel,0)-1,1,1)</f>
        <v>0</v>
      </c>
      <c r="AG368" s="1594" cm="1">
        <f t="array" aca="1" ref="AG368" ca="1">OFFSET(POrigin,MATCH(Valori[[#This Row],[LUKB_id]],PID,0),MATCH("DENOM",PLabel,0)-1,1,1)</f>
        <v>0</v>
      </c>
      <c r="AH368" s="1599" cm="1">
        <f t="array" aca="1" ref="AH368" ca="1">(OFFSET(POrigin,MATCH(Valori[[#This Row],[LUKB_id]],PID,0),MATCH("YIELD",PLabel,0)-1,1,1)+OFFSET(POrigin,MATCH(Valori[[#This Row],[LUKB_id]],PID,0),MATCH("YLDEQ",PLabel,0)-1,1,1))/100</f>
        <v>0</v>
      </c>
      <c r="AI368" s="1600">
        <f ca="1">OFFSET(POrigin,MATCH(Valori[[#This Row],[LUKB_id]],PID,0),MATCH("DIVIDEND",PLabel,0)-1,1,1)</f>
        <v>3.6</v>
      </c>
      <c r="AJ368" s="1601">
        <f ca="1">OFFSET(POrigin,MATCH(Valori[[#This Row],[LUKB_id]],PID,0),MATCH("DIVIDEND:datetime",PLabel,0)-1,1,1)</f>
        <v>45839</v>
      </c>
      <c r="AK368" s="1602">
        <f ca="1">OFFSET(POrigin,MATCH(Valori[[#This Row],[LUKB_id]],PID,0),MATCH("INTEREST",PLabel,0)-1,1,1)</f>
        <v>0</v>
      </c>
      <c r="AL368" s="1603">
        <f ca="1">OFFSET(POrigin,MATCH(Valori[[#This Row],[LUKB_id]],PID,0),MATCH("4W_PERF_PR",PLabel,0)-1,1,1)/100</f>
        <v>-0.13915258161611502</v>
      </c>
      <c r="AM368" s="1603">
        <f ca="1">OFFSET(POrigin,MATCH(Valori[[#This Row],[LUKB_id]],PID,0),MATCH("12W_PERF_PR",PLabel,0)-1,1,1)/100</f>
        <v>-0.14958828911253499</v>
      </c>
      <c r="AN368" s="1603">
        <f ca="1">OFFSET(POrigin,MATCH(Valori[[#This Row],[LUKB_id]],PID,0),MATCH("YTD_PERF_PR",PLabel,0)-1,1,1)/100</f>
        <v>-0.16091175806815702</v>
      </c>
      <c r="AO368" s="1591"/>
      <c r="AP368" s="1591"/>
      <c r="AQ368" s="1591"/>
      <c r="AR368" s="1591"/>
      <c r="AS368" s="1890"/>
      <c r="AT368" s="1890"/>
      <c r="AU368" s="610"/>
      <c r="AV368" s="1891"/>
      <c r="AW368" s="1604" t="str">
        <f ca="1">"https://boersenundmaerkte.lukb.ch/lukb/details/"&amp;Valori[[#This Row],[LUKB_id]]</f>
        <v>https://boersenundmaerkte.lukb.ch/lukb/details/180622,25,814</v>
      </c>
      <c r="AX36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8" s="142"/>
      <c r="AZ368" s="142"/>
      <c r="BA368" s="142"/>
      <c r="BB368" s="142"/>
    </row>
    <row r="369" spans="1:54" ht="15" customHeight="1" x14ac:dyDescent="0.2">
      <c r="A369" s="142" t="s">
        <v>4301</v>
      </c>
      <c r="B369" s="142" t="str" cm="1">
        <f t="array" aca="1" ref="B369" ca="1">OFFSET(POrigin,MATCH(Valori[[#This Row],[smo_id]],Posizioni[smo_id],0),MATCH("LUKB_id",PIntestazioni,0)-1,1,1)</f>
        <v>345850,44,814</v>
      </c>
      <c r="C369" s="1668" t="str">
        <f ca="1">HYPERLINK("https://boersenundmaerkte.lukb.ch/lukb/details/"&amp;Valori[[#This Row],[LUKB_id]],"è")</f>
        <v>è</v>
      </c>
      <c r="D369" s="142" t="str" cm="1">
        <f t="array" aca="1" ref="D369" ca="1">OFFSET(POrigin,MATCH(Valori[[#This Row],[LUKB_id]],PID,0),MATCH("SC_GROUPED",PIntestazioni,0)-1,1,1)</f>
        <v>EQU</v>
      </c>
      <c r="E369" s="413" t="str" cm="1">
        <f t="array" aca="1" ref="E369" ca="1">OFFSET(POrigin,MATCH(Valori[[#This Row],[LUKB_id]],PID,0),MATCH("isin",PIntestazioni,0)-1,1,1)</f>
        <v>DE0007030009</v>
      </c>
      <c r="F369" s="34" t="str" cm="1">
        <f t="array" aca="1" ref="F369" ca="1">OFFSET(POrigin,MATCH(Valori[[#This Row],[LUKB_id]],PID,0),MATCH("NSIN_CH",PLabel,0)-1,1,1)</f>
        <v>345850</v>
      </c>
      <c r="G369" s="95" t="str" cm="1">
        <f t="array" aca="1" ref="G369" ca="1">IF(OFFSET(POrigin,MATCH(Valori[[#This Row],[LUKB_id]],PID,0),MATCH("INSTRUNIT",PLabel,0)-1,1,1)="Nominal","Pct","Unit")</f>
        <v>Unit</v>
      </c>
      <c r="H369" s="612">
        <f ca="1">MAX(OFFSET(POrigin,MATCH(Valori[[#This Row],[LUKB_id]],PID,0),MATCH("PRICINGAMT",PLabel,0)-1,1,1),1)</f>
        <v>1</v>
      </c>
      <c r="I369" s="615" t="str" cm="1">
        <f t="array" aca="1" ref="I369" ca="1">OFFSET(POrigin,MATCH(Valori[[#This Row],[LUKB_id]],PID,0),MATCH("M_NAME",PLabel,0)-1,1,1)</f>
        <v>Rheinmetall I</v>
      </c>
      <c r="M369" s="142" t="str" cm="1">
        <f t="array" aca="1" ref="M3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Rheinmetall I</v>
      </c>
      <c r="N369" s="1563">
        <f ca="1">COUNTIF('CHF M'!smo_id,Valori[[#This Row],[smo_id]])+COUNTIF('CHF MA'!smo_id,Valori[[#This Row],[smo_id]])+COUNTIF('EUR MB'!smo_id,Valori[[#This Row],[smo_id]])+COUNTIF('EUR M'!smo_id,Valori[[#This Row],[smo_id]])+COUNTIF(AGCO!smo_id,Valori[[#This Row],[smo_id]])</f>
        <v>0</v>
      </c>
      <c r="O369" s="1590" cm="1">
        <f t="array" aca="1" ref="O369" ca="1">SUM(IF('CHF M'!smo_id=Valori[[#This Row],[smo_id]],'CHF M'!Posizione))+SUM(IF('CHF MA'!smo_id=Valori[[#This Row],[smo_id]],'CHF MA'!Posizione))+SUM(IF('EUR MB'!smo_id=Valori[[#This Row],[smo_id]],'EUR MB'!Posizione))+SUM(IF('EUR M'!smo_id=Valori[[#This Row],[smo_id]],'EUR M'!Posizione))+SUM(IF(AGCO!smo_id=Valori[[#This Row],[smo_id]],AGCO!Posizione))</f>
        <v>0</v>
      </c>
      <c r="P369" s="1661" t="str">
        <f ca="1">HYPERLINK(Valori[[#This Row],[P_Source]],"è")</f>
        <v>è</v>
      </c>
      <c r="Q369" s="1663" t="str">
        <f>HYPERLINK(Valori[[#This Row],[Info_W]],"i")</f>
        <v>i</v>
      </c>
      <c r="R369" s="1664" t="str">
        <f>HYPERLINK(Valori[[#This Row],[FN_W]],"")</f>
        <v></v>
      </c>
      <c r="S369" s="1665" t="str">
        <f>HYPERLINK(Valori[[#This Row],[MS_Link]],"")</f>
        <v></v>
      </c>
      <c r="T369" s="1665" t="str">
        <f>HYPERLINK(Valori[[#This Row],[C_source]],"")</f>
        <v></v>
      </c>
      <c r="U369" s="142" t="str" cm="1">
        <f t="array" aca="1" ref="U369" ca="1">OFFSET(POrigin,MATCH(Valori[[#This Row],[LUKB_id]],PID,0),MATCH("M_CUR",PLabel,0)-1,1,1)</f>
        <v>EUR</v>
      </c>
      <c r="V369" s="1562">
        <f ca="1">(Valori[[#This Row],[Last]]+Valori[[#This Row],[Acc. Int]])/Valori[[#This Row],[Pr.Amt]]/IF(Valori[[#This Row],[P_Type]]="Pct",100,1)</f>
        <v>1627.5</v>
      </c>
      <c r="W369" s="1591" cm="1">
        <f t="array" aca="1" ref="W369" ca="1">OFFSET(POrigin,MATCH(Valori[[#This Row],[LUKB_id]],PID,0),MATCH("NC2_PR",PLabel,0)-1,1,1)/100</f>
        <v>-2.1641118124436497E-2</v>
      </c>
      <c r="X369" s="1592" cm="1">
        <f t="array" aca="1" ref="X369" ca="1">OFFSET(POrigin,MATCH(Valori[[#This Row],[LUKB_id]],PID,0),MATCH("LVAL",PLabel,0)-1,1,1)</f>
        <v>1627.5</v>
      </c>
      <c r="Y369" s="1593" cm="1">
        <f t="array" aca="1" ref="Y369" ca="1">OFFSET(POrigin,MATCH(Valori[[#This Row],[LUKB_id]],PID,0),MATCH("LVAL:datetime",PLabel,0)-1,1,1)</f>
        <v>46083.73541666667</v>
      </c>
      <c r="Z369" s="1594" cm="1">
        <f t="array" aca="1" ref="Z369" ca="1">OFFSET(POrigin,MATCH(Valori[[#This Row],[LUKB_id]],PID,0),MATCH("BID:volume",PLabel,0)-1,1,1)</f>
        <v>0</v>
      </c>
      <c r="AA369" s="1595" cm="1">
        <f t="array" aca="1" ref="AA369" ca="1">OFFSET(POrigin,MATCH(Valori[[#This Row],[LUKB_id]],PID,0),MATCH("BID",PLabel,0)-1,1,1)</f>
        <v>0</v>
      </c>
      <c r="AB369" s="1595" cm="1">
        <f t="array" aca="1" ref="AB369" ca="1">OFFSET(POrigin,MATCH(Valori[[#This Row],[LUKB_id]],PID,0),MATCH("ASK",PLabel,0)-1,1,1)</f>
        <v>0</v>
      </c>
      <c r="AC369" s="1594" cm="1">
        <f t="array" aca="1" ref="AC369" ca="1">OFFSET(POrigin,MATCH(Valori[[#This Row],[LUKB_id]],PID,0),MATCH("ASK:volume",PLabel,0)-1,1,1)</f>
        <v>0</v>
      </c>
      <c r="AD369" s="1596" cm="1">
        <f t="array" aca="1" ref="AD369" ca="1">OFFSET(POrigin,MATCH(Valori[[#This Row],[LUKB_id]],PID,0),MATCH("BID-ASK Spread %",PLabel,0)-1,1,1)</f>
        <v>0</v>
      </c>
      <c r="AE369" s="1597" t="str" cm="1">
        <f t="array" aca="1" ref="AE369" ca="1">IF(OFFSET(POrigin,MATCH(Valori[[#This Row],[LUKB_id]],PID,0),MATCH("MATURITY",PLabel,0)-1,1,1)&gt;0,OFFSET(POrigin,MATCH(Valori[[#This Row],[LUKB_id]],PID,0),MATCH("MATURITY",PLabel,0)-1,1,1),"")</f>
        <v/>
      </c>
      <c r="AF369" s="1598" cm="1">
        <f t="array" aca="1" ref="AF369" ca="1">OFFSET(POrigin,MATCH(Valori[[#This Row],[LUKB_id]],PID,0),MATCH("ACCINT",PLabel,0)-1,1,1)</f>
        <v>0</v>
      </c>
      <c r="AG369" s="1594" cm="1">
        <f t="array" aca="1" ref="AG369" ca="1">OFFSET(POrigin,MATCH(Valori[[#This Row],[LUKB_id]],PID,0),MATCH("DENOM",PLabel,0)-1,1,1)</f>
        <v>0</v>
      </c>
      <c r="AH369" s="1599" cm="1">
        <f t="array" aca="1" ref="AH369" ca="1">(OFFSET(POrigin,MATCH(Valori[[#This Row],[LUKB_id]],PID,0),MATCH("YIELD",PLabel,0)-1,1,1)+OFFSET(POrigin,MATCH(Valori[[#This Row],[LUKB_id]],PID,0),MATCH("YLDEQ",PLabel,0)-1,1,1))/100</f>
        <v>0</v>
      </c>
      <c r="AI369" s="1600">
        <f ca="1">OFFSET(POrigin,MATCH(Valori[[#This Row],[LUKB_id]],PID,0),MATCH("DIVIDEND",PLabel,0)-1,1,1)</f>
        <v>8.1</v>
      </c>
      <c r="AJ369" s="1601">
        <f ca="1">OFFSET(POrigin,MATCH(Valori[[#This Row],[LUKB_id]],PID,0),MATCH("DIVIDEND:datetime",PLabel,0)-1,1,1)</f>
        <v>45791</v>
      </c>
      <c r="AK369" s="1602">
        <f ca="1">OFFSET(POrigin,MATCH(Valori[[#This Row],[LUKB_id]],PID,0),MATCH("INTEREST",PLabel,0)-1,1,1)</f>
        <v>0</v>
      </c>
      <c r="AL369" s="1603">
        <f ca="1">OFFSET(POrigin,MATCH(Valori[[#This Row],[LUKB_id]],PID,0),MATCH("4W_PERF_PR",PLabel,0)-1,1,1)/100</f>
        <v>-5.8704453441295594E-2</v>
      </c>
      <c r="AM369" s="1603">
        <f ca="1">OFFSET(POrigin,MATCH(Valori[[#This Row],[LUKB_id]],PID,0),MATCH("12W_PERF_PR",PLabel,0)-1,1,1)/100</f>
        <v>2.6813880126183003E-2</v>
      </c>
      <c r="AN369" s="1603">
        <f ca="1">OFFSET(POrigin,MATCH(Valori[[#This Row],[LUKB_id]],PID,0),MATCH("YTD_PERF_PR",PLabel,0)-1,1,1)/100</f>
        <v>4.2600896860986601E-2</v>
      </c>
      <c r="AO369" s="1591"/>
      <c r="AP369" s="1591"/>
      <c r="AQ369" s="1591"/>
      <c r="AR369" s="1591"/>
      <c r="AS369" s="1890"/>
      <c r="AT369" s="1890"/>
      <c r="AU369" s="610"/>
      <c r="AV369" s="1891"/>
      <c r="AW369" s="1604" t="str">
        <f ca="1">"https://boersenundmaerkte.lukb.ch/lukb/details/"&amp;Valori[[#This Row],[LUKB_id]]</f>
        <v>https://boersenundmaerkte.lukb.ch/lukb/details/345850,44,814</v>
      </c>
      <c r="AX36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9" s="142"/>
      <c r="AZ369" s="142"/>
      <c r="BA369" s="142"/>
      <c r="BB369" s="142"/>
    </row>
    <row r="370" spans="1:54" ht="15" customHeight="1" x14ac:dyDescent="0.2">
      <c r="A370" s="142" t="s">
        <v>4262</v>
      </c>
      <c r="B370" s="142" t="str" cm="1">
        <f t="array" aca="1" ref="B370" ca="1">OFFSET(POrigin,MATCH(Valori[[#This Row],[smo_id]],Posizioni[smo_id],0),MATCH("LUKB_id",PIntestazioni,0)-1,1,1)</f>
        <v>21048333,4,1</v>
      </c>
      <c r="C370" s="1669" t="str">
        <f ca="1">HYPERLINK("https://boersenundmaerkte.lukb.ch/lukb/details/"&amp;Valori[[#This Row],[LUKB_id]],"è")</f>
        <v>è</v>
      </c>
      <c r="D370" s="142" t="str" cm="1">
        <f t="array" aca="1" ref="D370" ca="1">OFFSET(POrigin,MATCH(Valori[[#This Row],[LUKB_id]],PID,0),MATCH("SC_GROUPED",PIntestazioni,0)-1,1,1)</f>
        <v>EQU</v>
      </c>
      <c r="E370" s="142" t="str" cm="1">
        <f t="array" aca="1" ref="E370" ca="1">OFFSET(POrigin,MATCH(Valori[[#This Row],[LUKB_id]],PID,0),MATCH("isin",PIntestazioni,0)-1,1,1)</f>
        <v>CH0210483332</v>
      </c>
      <c r="F370" s="34" t="str" cm="1">
        <f t="array" aca="1" ref="F370" ca="1">OFFSET(POrigin,MATCH(Valori[[#This Row],[LUKB_id]],PID,0),MATCH("NSIN_CH",PLabel,0)-1,1,1)</f>
        <v>21048333</v>
      </c>
      <c r="G370" s="95" t="str" cm="1">
        <f t="array" aca="1" ref="G370" ca="1">IF(OFFSET(POrigin,MATCH(Valori[[#This Row],[LUKB_id]],PID,0),MATCH("INSTRUNIT",PLabel,0)-1,1,1)="Nominal","Pct","Unit")</f>
        <v>Unit</v>
      </c>
      <c r="H370" s="612">
        <f ca="1">MAX(OFFSET(POrigin,MATCH(Valori[[#This Row],[LUKB_id]],PID,0),MATCH("PRICINGAMT",PLabel,0)-1,1,1),1)</f>
        <v>1</v>
      </c>
      <c r="I370" s="615" t="str" cm="1">
        <f t="array" aca="1" ref="I370" ca="1">OFFSET(POrigin,MATCH(Valori[[#This Row],[LUKB_id]],PID,0),MATCH("M_NAME",PLabel,0)-1,1,1)</f>
        <v>CieFinRichemont N</v>
      </c>
      <c r="J370" s="142" t="s">
        <v>4279</v>
      </c>
      <c r="M370" s="142" t="str" cm="1">
        <f t="array" aca="1" ref="M3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Richemont N</v>
      </c>
      <c r="N370" s="1563">
        <f ca="1">COUNTIF('CHF M'!smo_id,Valori[[#This Row],[smo_id]])+COUNTIF('CHF MA'!smo_id,Valori[[#This Row],[smo_id]])+COUNTIF('EUR MB'!smo_id,Valori[[#This Row],[smo_id]])+COUNTIF('EUR M'!smo_id,Valori[[#This Row],[smo_id]])+COUNTIF(AGCO!smo_id,Valori[[#This Row],[smo_id]])</f>
        <v>0</v>
      </c>
      <c r="O370" s="704" cm="1">
        <f t="array" aca="1" ref="O370" ca="1">SUM(IF('CHF M'!smo_id=Valori[[#This Row],[smo_id]],'CHF M'!Posizione))+SUM(IF('CHF MA'!smo_id=Valori[[#This Row],[smo_id]],'CHF MA'!Posizione))+SUM(IF('EUR MB'!smo_id=Valori[[#This Row],[smo_id]],'EUR MB'!Posizione))+SUM(IF('EUR M'!smo_id=Valori[[#This Row],[smo_id]],'EUR M'!Posizione))+SUM(IF(AGCO!smo_id=Valori[[#This Row],[smo_id]],AGCO!Posizione))</f>
        <v>0</v>
      </c>
      <c r="P370" s="1661" t="str">
        <f ca="1">HYPERLINK(Valori[[#This Row],[P_Source]],"è")</f>
        <v>è</v>
      </c>
      <c r="Q370" s="1663" t="str">
        <f>HYPERLINK(Valori[[#This Row],[Info_W]],"i")</f>
        <v>i</v>
      </c>
      <c r="R370" s="1664" t="str">
        <f>HYPERLINK(Valori[[#This Row],[FN_W]],"")</f>
        <v></v>
      </c>
      <c r="S370" s="1665" t="str">
        <f>HYPERLINK(Valori[[#This Row],[MS_Link]],"")</f>
        <v></v>
      </c>
      <c r="T370" s="1665" t="str">
        <f>HYPERLINK(Valori[[#This Row],[C_source]],"")</f>
        <v></v>
      </c>
      <c r="U370" s="142" t="str" cm="1">
        <f t="array" aca="1" ref="U370" ca="1">OFFSET(POrigin,MATCH(Valori[[#This Row],[LUKB_id]],PID,0),MATCH("M_CUR",PLabel,0)-1,1,1)</f>
        <v>CHF</v>
      </c>
      <c r="V370" s="1562">
        <f ca="1">(Valori[[#This Row],[Last]]+Valori[[#This Row],[Acc. Int]])/Valori[[#This Row],[Pr.Amt]]/IF(Valori[[#This Row],[P_Type]]="Pct",100,1)</f>
        <v>142.25</v>
      </c>
      <c r="W370" s="1892" cm="1">
        <f t="array" aca="1" ref="W370" ca="1">OFFSET(POrigin,MATCH(Valori[[#This Row],[LUKB_id]],PID,0),MATCH("NC2_PR",PLabel,0)-1,1,1)/100</f>
        <v>-4.0472175379426698E-2</v>
      </c>
      <c r="X370" s="1893" cm="1">
        <f t="array" aca="1" ref="X370" ca="1">OFFSET(POrigin,MATCH(Valori[[#This Row],[LUKB_id]],PID,0),MATCH("LVAL",PLabel,0)-1,1,1)</f>
        <v>142.25</v>
      </c>
      <c r="Y370" s="1894" cm="1">
        <f t="array" aca="1" ref="Y370" ca="1">OFFSET(POrigin,MATCH(Valori[[#This Row],[LUKB_id]],PID,0),MATCH("LVAL:datetime",PLabel,0)-1,1,1)</f>
        <v>46084.732916666668</v>
      </c>
      <c r="Z370" s="1895" cm="1">
        <f t="array" aca="1" ref="Z370" ca="1">OFFSET(POrigin,MATCH(Valori[[#This Row],[LUKB_id]],PID,0),MATCH("BID:volume",PLabel,0)-1,1,1)</f>
        <v>1000</v>
      </c>
      <c r="AA370" s="1896" cm="1">
        <f t="array" aca="1" ref="AA370" ca="1">OFFSET(POrigin,MATCH(Valori[[#This Row],[LUKB_id]],PID,0),MATCH("BID",PLabel,0)-1,1,1)</f>
        <v>142</v>
      </c>
      <c r="AB370" s="1896" cm="1">
        <f t="array" aca="1" ref="AB370" ca="1">OFFSET(POrigin,MATCH(Valori[[#This Row],[LUKB_id]],PID,0),MATCH("ASK",PLabel,0)-1,1,1)</f>
        <v>144</v>
      </c>
      <c r="AC370" s="1606" cm="1">
        <f t="array" aca="1" ref="AC370" ca="1">OFFSET(POrigin,MATCH(Valori[[#This Row],[LUKB_id]],PID,0),MATCH("ASK:volume",PLabel,0)-1,1,1)</f>
        <v>200</v>
      </c>
      <c r="AD370" s="1897" cm="1">
        <f t="array" aca="1" ref="AD370" ca="1">OFFSET(POrigin,MATCH(Valori[[#This Row],[LUKB_id]],PID,0),MATCH("BID-ASK Spread %",PLabel,0)-1,1,1)</f>
        <v>9.3457943925233638E-3</v>
      </c>
      <c r="AE370" s="1898" t="str" cm="1">
        <f t="array" aca="1" ref="AE370" ca="1">IF(OFFSET(POrigin,MATCH(Valori[[#This Row],[LUKB_id]],PID,0),MATCH("MATURITY",PLabel,0)-1,1,1)&gt;0,OFFSET(POrigin,MATCH(Valori[[#This Row],[LUKB_id]],PID,0),MATCH("MATURITY",PLabel,0)-1,1,1),"")</f>
        <v/>
      </c>
      <c r="AF370" s="1899" cm="1">
        <f t="array" aca="1" ref="AF370" ca="1">OFFSET(POrigin,MATCH(Valori[[#This Row],[LUKB_id]],PID,0),MATCH("ACCINT",PLabel,0)-1,1,1)</f>
        <v>0</v>
      </c>
      <c r="AG370" s="1895" cm="1">
        <f t="array" aca="1" ref="AG370" ca="1">OFFSET(POrigin,MATCH(Valori[[#This Row],[LUKB_id]],PID,0),MATCH("DENOM",PLabel,0)-1,1,1)</f>
        <v>0</v>
      </c>
      <c r="AH370" s="1900" cm="1">
        <f t="array" aca="1" ref="AH370" ca="1">(OFFSET(POrigin,MATCH(Valori[[#This Row],[LUKB_id]],PID,0),MATCH("YIELD",PLabel,0)-1,1,1)+OFFSET(POrigin,MATCH(Valori[[#This Row],[LUKB_id]],PID,0),MATCH("YLDEQ",PLabel,0)-1,1,1))/100</f>
        <v>2.1089629999999998E-2</v>
      </c>
      <c r="AI370" s="1901">
        <f ca="1">OFFSET(POrigin,MATCH(Valori[[#This Row],[LUKB_id]],PID,0),MATCH("DIVIDEND",PLabel,0)-1,1,1)</f>
        <v>3</v>
      </c>
      <c r="AJ370" s="1902">
        <f ca="1">OFFSET(POrigin,MATCH(Valori[[#This Row],[LUKB_id]],PID,0),MATCH("DIVIDEND:datetime",PLabel,0)-1,1,1)</f>
        <v>45917</v>
      </c>
      <c r="AK370" s="1903">
        <f ca="1">OFFSET(POrigin,MATCH(Valori[[#This Row],[LUKB_id]],PID,0),MATCH("INTEREST",PLabel,0)-1,1,1)</f>
        <v>0</v>
      </c>
      <c r="AL370" s="1904">
        <f ca="1">OFFSET(POrigin,MATCH(Valori[[#This Row],[LUKB_id]],PID,0),MATCH("4W_PERF_PR",PLabel,0)-1,1,1)/100</f>
        <v>-5.7634979999999995E-2</v>
      </c>
      <c r="AM370" s="1904">
        <f ca="1">OFFSET(POrigin,MATCH(Valori[[#This Row],[LUKB_id]],PID,0),MATCH("12W_PERF_PR",PLabel,0)-1,1,1)/100</f>
        <v>-0.16348133000000001</v>
      </c>
      <c r="AN370" s="1904">
        <f ca="1">OFFSET(POrigin,MATCH(Valori[[#This Row],[LUKB_id]],PID,0),MATCH("YTD_PERF_PR",PLabel,0)-1,1,1)/100</f>
        <v>-0.13833188026736501</v>
      </c>
      <c r="AO370" s="1892"/>
      <c r="AP370" s="1892"/>
      <c r="AQ370" s="1892"/>
      <c r="AR370" s="1892"/>
      <c r="AS370" s="1890"/>
      <c r="AT370" s="1890"/>
      <c r="AU370" s="1607"/>
      <c r="AV370" s="1608"/>
      <c r="AW370" s="1609" t="str">
        <f ca="1">"https://boersenundmaerkte.lukb.ch/lukb/details/"&amp;Valori[[#This Row],[LUKB_id]]</f>
        <v>https://boersenundmaerkte.lukb.ch/lukb/details/21048333,4,1</v>
      </c>
      <c r="AX370" s="1610"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0" s="142"/>
      <c r="AZ370" s="142"/>
      <c r="BA370" s="142"/>
      <c r="BB370" s="142"/>
    </row>
    <row r="371" spans="1:54" ht="15" customHeight="1" x14ac:dyDescent="0.2">
      <c r="A371" s="142" t="s">
        <v>1916</v>
      </c>
      <c r="B371" s="142" t="str" cm="1">
        <f t="array" aca="1" ref="B371" ca="1">OFFSET(POrigin,MATCH(Valori[[#This Row],[smo_id]],Posizioni[smo_id],0),MATCH("LUKB_id",PIntestazioni,0)-1,1,1)</f>
        <v>603520,111,88</v>
      </c>
      <c r="C371" s="1668" t="str">
        <f ca="1">HYPERLINK("https://boersenundmaerkte.lukb.ch/lukb/details/"&amp;Valori[[#This Row],[LUKB_id]],"è")</f>
        <v>è</v>
      </c>
      <c r="D371" s="142" t="str" cm="1">
        <f t="array" aca="1" ref="D371" ca="1">OFFSET(POrigin,MATCH(Valori[[#This Row],[LUKB_id]],PID,0),MATCH("SC_GROUPED",PIntestazioni,0)-1,1,1)</f>
        <v>EQU</v>
      </c>
      <c r="E371" s="413" t="str" cm="1">
        <f t="array" aca="1" ref="E371" ca="1">OFFSET(POrigin,MATCH(Valori[[#This Row],[LUKB_id]],PID,0),MATCH("isin",PIntestazioni,0)-1,1,1)</f>
        <v>AU000000RIO1</v>
      </c>
      <c r="F371" s="34" t="str" cm="1">
        <f t="array" aca="1" ref="F371" ca="1">OFFSET(POrigin,MATCH(Valori[[#This Row],[LUKB_id]],PID,0),MATCH("NSIN_CH",PLabel,0)-1,1,1)</f>
        <v>603520</v>
      </c>
      <c r="G371" s="95" t="str" cm="1">
        <f t="array" aca="1" ref="G371" ca="1">IF(OFFSET(POrigin,MATCH(Valori[[#This Row],[LUKB_id]],PID,0),MATCH("INSTRUNIT",PLabel,0)-1,1,1)="Nominal","Pct","Unit")</f>
        <v>Unit</v>
      </c>
      <c r="H371" s="612">
        <f ca="1">MAX(OFFSET(POrigin,MATCH(Valori[[#This Row],[LUKB_id]],PID,0),MATCH("PRICINGAMT",PLabel,0)-1,1,1),1)</f>
        <v>1</v>
      </c>
      <c r="I371" s="615" t="str" cm="1">
        <f t="array" aca="1" ref="I371" ca="1">OFFSET(POrigin,MATCH(Valori[[#This Row],[LUKB_id]],PID,0),MATCH("M_NAME",PLabel,0)-1,1,1)</f>
        <v>Rio Tinto Rg</v>
      </c>
      <c r="J371" s="142" t="s">
        <v>769</v>
      </c>
      <c r="M371" s="142" t="str" cm="1">
        <f t="array" aca="1" ref="M3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Rio Tinto Ltd</v>
      </c>
      <c r="N371" s="1563">
        <f ca="1">COUNTIF('CHF M'!smo_id,Valori[[#This Row],[smo_id]])+COUNTIF('CHF MA'!smo_id,Valori[[#This Row],[smo_id]])+COUNTIF('EUR MB'!smo_id,Valori[[#This Row],[smo_id]])+COUNTIF('EUR M'!smo_id,Valori[[#This Row],[smo_id]])+COUNTIF(AGCO!smo_id,Valori[[#This Row],[smo_id]])</f>
        <v>2</v>
      </c>
      <c r="O371" s="1590" cm="1">
        <f t="array" aca="1" ref="O371" ca="1">SUM(IF('CHF M'!smo_id=Valori[[#This Row],[smo_id]],'CHF M'!Posizione))+SUM(IF('CHF MA'!smo_id=Valori[[#This Row],[smo_id]],'CHF MA'!Posizione))+SUM(IF('EUR MB'!smo_id=Valori[[#This Row],[smo_id]],'EUR MB'!Posizione))+SUM(IF('EUR M'!smo_id=Valori[[#This Row],[smo_id]],'EUR M'!Posizione))+SUM(IF(AGCO!smo_id=Valori[[#This Row],[smo_id]],AGCO!Posizione))</f>
        <v>1650</v>
      </c>
      <c r="P371" s="1661" t="str">
        <f ca="1">HYPERLINK(Valori[[#This Row],[P_Source]],"è")</f>
        <v>è</v>
      </c>
      <c r="Q371" s="1663" t="str">
        <f>HYPERLINK(Valori[[#This Row],[Info_W]],"i")</f>
        <v>i</v>
      </c>
      <c r="R371" s="1664" t="str">
        <f>HYPERLINK(Valori[[#This Row],[FN_W]],"")</f>
        <v></v>
      </c>
      <c r="S371" s="1665" t="str">
        <f>HYPERLINK(Valori[[#This Row],[MS_Link]],"")</f>
        <v></v>
      </c>
      <c r="T371" s="1665" t="str">
        <f>HYPERLINK(Valori[[#This Row],[C_source]],"")</f>
        <v></v>
      </c>
      <c r="U371" s="142" t="str" cm="1">
        <f t="array" aca="1" ref="U371" ca="1">OFFSET(POrigin,MATCH(Valori[[#This Row],[LUKB_id]],PID,0),MATCH("M_CUR",PLabel,0)-1,1,1)</f>
        <v>AUD</v>
      </c>
      <c r="V371" s="1562">
        <f ca="1">(Valori[[#This Row],[Last]]+Valori[[#This Row],[Acc. Int]])/Valori[[#This Row],[Pr.Amt]]/IF(Valori[[#This Row],[P_Type]]="Pct",100,1)</f>
        <v>169.44</v>
      </c>
      <c r="W371" s="1591" cm="1">
        <f t="array" aca="1" ref="W371" ca="1">OFFSET(POrigin,MATCH(Valori[[#This Row],[LUKB_id]],PID,0),MATCH("NC2_PR",PLabel,0)-1,1,1)/100</f>
        <v>1.2609812944480901E-2</v>
      </c>
      <c r="X371" s="1592" cm="1">
        <f t="array" aca="1" ref="X371" ca="1">OFFSET(POrigin,MATCH(Valori[[#This Row],[LUKB_id]],PID,0),MATCH("LVAL",PLabel,0)-1,1,1)</f>
        <v>169.44</v>
      </c>
      <c r="Y371" s="1593" cm="1">
        <f t="array" aca="1" ref="Y371" ca="1">OFFSET(POrigin,MATCH(Valori[[#This Row],[LUKB_id]],PID,0),MATCH("LVAL:datetime",PLabel,0)-1,1,1)</f>
        <v>46083.264293981483</v>
      </c>
      <c r="Z371" s="1594" cm="1">
        <f t="array" aca="1" ref="Z371" ca="1">OFFSET(POrigin,MATCH(Valori[[#This Row],[LUKB_id]],PID,0),MATCH("BID:volume",PLabel,0)-1,1,1)</f>
        <v>0</v>
      </c>
      <c r="AA371" s="1595" cm="1">
        <f t="array" aca="1" ref="AA371" ca="1">OFFSET(POrigin,MATCH(Valori[[#This Row],[LUKB_id]],PID,0),MATCH("BID",PLabel,0)-1,1,1)</f>
        <v>0</v>
      </c>
      <c r="AB371" s="1595" cm="1">
        <f t="array" aca="1" ref="AB371" ca="1">OFFSET(POrigin,MATCH(Valori[[#This Row],[LUKB_id]],PID,0),MATCH("ASK",PLabel,0)-1,1,1)</f>
        <v>0</v>
      </c>
      <c r="AC371" s="1594" cm="1">
        <f t="array" aca="1" ref="AC371" ca="1">OFFSET(POrigin,MATCH(Valori[[#This Row],[LUKB_id]],PID,0),MATCH("ASK:volume",PLabel,0)-1,1,1)</f>
        <v>0</v>
      </c>
      <c r="AD371" s="1596" cm="1">
        <f t="array" aca="1" ref="AD371" ca="1">OFFSET(POrigin,MATCH(Valori[[#This Row],[LUKB_id]],PID,0),MATCH("BID-ASK Spread %",PLabel,0)-1,1,1)</f>
        <v>0</v>
      </c>
      <c r="AE371" s="1597" t="str" cm="1">
        <f t="array" aca="1" ref="AE371" ca="1">IF(OFFSET(POrigin,MATCH(Valori[[#This Row],[LUKB_id]],PID,0),MATCH("MATURITY",PLabel,0)-1,1,1)&gt;0,OFFSET(POrigin,MATCH(Valori[[#This Row],[LUKB_id]],PID,0),MATCH("MATURITY",PLabel,0)-1,1,1),"")</f>
        <v/>
      </c>
      <c r="AF371" s="1598" cm="1">
        <f t="array" aca="1" ref="AF371" ca="1">OFFSET(POrigin,MATCH(Valori[[#This Row],[LUKB_id]],PID,0),MATCH("ACCINT",PLabel,0)-1,1,1)</f>
        <v>0</v>
      </c>
      <c r="AG371" s="1594" cm="1">
        <f t="array" aca="1" ref="AG371" ca="1">OFFSET(POrigin,MATCH(Valori[[#This Row],[LUKB_id]],PID,0),MATCH("DENOM",PLabel,0)-1,1,1)</f>
        <v>0</v>
      </c>
      <c r="AH371" s="1599" cm="1">
        <f t="array" aca="1" ref="AH371" ca="1">(OFFSET(POrigin,MATCH(Valori[[#This Row],[LUKB_id]],PID,0),MATCH("YIELD",PLabel,0)-1,1,1)+OFFSET(POrigin,MATCH(Valori[[#This Row],[LUKB_id]],PID,0),MATCH("YLDEQ",PLabel,0)-1,1,1))/100</f>
        <v>0</v>
      </c>
      <c r="AI371" s="1600">
        <f ca="1">OFFSET(POrigin,MATCH(Valori[[#This Row],[LUKB_id]],PID,0),MATCH("DIVIDEND",PLabel,0)-1,1,1)</f>
        <v>3.7131779999999996</v>
      </c>
      <c r="AJ371" s="1601">
        <f ca="1">OFFSET(POrigin,MATCH(Valori[[#This Row],[LUKB_id]],PID,0),MATCH("DIVIDEND:datetime",PLabel,0)-1,1,1)</f>
        <v>45721</v>
      </c>
      <c r="AK371" s="1602">
        <f ca="1">OFFSET(POrigin,MATCH(Valori[[#This Row],[LUKB_id]],PID,0),MATCH("INTEREST",PLabel,0)-1,1,1)</f>
        <v>0</v>
      </c>
      <c r="AL371" s="1603">
        <f ca="1">OFFSET(POrigin,MATCH(Valori[[#This Row],[LUKB_id]],PID,0),MATCH("4W_PERF_PR",PLabel,0)-1,1,1)/100</f>
        <v>0.12975063341779</v>
      </c>
      <c r="AM371" s="1603">
        <f ca="1">OFFSET(POrigin,MATCH(Valori[[#This Row],[LUKB_id]],PID,0),MATCH("12W_PERF_PR",PLabel,0)-1,1,1)/100</f>
        <v>0.23516547601691301</v>
      </c>
      <c r="AN371" s="1603">
        <f ca="1">OFFSET(POrigin,MATCH(Valori[[#This Row],[LUKB_id]],PID,0),MATCH("YTD_PERF_PR",PLabel,0)-1,1,1)/100</f>
        <v>0.154066203514508</v>
      </c>
      <c r="AO371" s="1591"/>
      <c r="AP371" s="1591"/>
      <c r="AQ371" s="1591"/>
      <c r="AR371" s="1591"/>
      <c r="AS371" s="1890" t="s">
        <v>1917</v>
      </c>
      <c r="AT371" s="1890" t="s">
        <v>1918</v>
      </c>
      <c r="AU371" s="610" t="s">
        <v>1919</v>
      </c>
      <c r="AV371" s="1891" t="str">
        <f>IF(Valori[[#This Row],[MS_Link]]&lt;&gt;"",Valori[[#This Row],[MS_Link]]&amp;"company/","")</f>
        <v>https://www.marketscreener.com/quote/stock/RIO-TINTO-GROUP-6492854/company/</v>
      </c>
      <c r="AW371" s="1604" t="str">
        <f ca="1">"https://boersenundmaerkte.lukb.ch/lukb/details/"&amp;Valori[[#This Row],[LUKB_id]]</f>
        <v>https://boersenundmaerkte.lukb.ch/lukb/details/603520,111,88</v>
      </c>
      <c r="AX371" s="1605" t="str">
        <f>"https://www.zonebourse.com/mods_a/charts/TV/inc_dyna_graph.php?c="&amp;Valori[[#This Row],[MS_Code]]&amp;"&amp;style=TradingView.CANDLES&amp;interval=(null)&amp;mobile=(null)&amp;showAT=1"</f>
        <v>https://www.zonebourse.com/mods_a/charts/TV/inc_dyna_graph.php?c=6492854&amp;style=TradingView.CANDLES&amp;interval=(null)&amp;mobile=(null)&amp;showAT=1</v>
      </c>
      <c r="AY371" s="142"/>
      <c r="AZ371" s="142"/>
      <c r="BA371" s="142"/>
      <c r="BB371" s="142"/>
    </row>
    <row r="372" spans="1:54" ht="15" customHeight="1" x14ac:dyDescent="0.2">
      <c r="A372" s="142" t="s">
        <v>1920</v>
      </c>
      <c r="B372" s="142" t="str" cm="1">
        <f t="array" aca="1" ref="B372" ca="1">OFFSET(POrigin,MATCH(Valori[[#This Row],[smo_id]],Posizioni[smo_id],0),MATCH("LUKB_id",PIntestazioni,0)-1,1,1)</f>
        <v>1203204,4,1</v>
      </c>
      <c r="C372" s="1668" t="str">
        <f ca="1">HYPERLINK("https://boersenundmaerkte.lukb.ch/lukb/details/"&amp;Valori[[#This Row],[LUKB_id]],"è")</f>
        <v>è</v>
      </c>
      <c r="D372" s="142" t="str" cm="1">
        <f t="array" aca="1" ref="D372" ca="1">OFFSET(POrigin,MATCH(Valori[[#This Row],[LUKB_id]],PID,0),MATCH("SC_GROUPED",PIntestazioni,0)-1,1,1)</f>
        <v>EQU</v>
      </c>
      <c r="E372" s="413" t="str" cm="1">
        <f t="array" aca="1" ref="E372" ca="1">OFFSET(POrigin,MATCH(Valori[[#This Row],[LUKB_id]],PID,0),MATCH("isin",PIntestazioni,0)-1,1,1)</f>
        <v>CH0012032048</v>
      </c>
      <c r="F372" s="34" t="str" cm="1">
        <f t="array" aca="1" ref="F372" ca="1">OFFSET(POrigin,MATCH(Valori[[#This Row],[LUKB_id]],PID,0),MATCH("NSIN_CH",PLabel,0)-1,1,1)</f>
        <v>1203204</v>
      </c>
      <c r="G372" s="95" t="str" cm="1">
        <f t="array" aca="1" ref="G372" ca="1">IF(OFFSET(POrigin,MATCH(Valori[[#This Row],[LUKB_id]],PID,0),MATCH("INSTRUNIT",PLabel,0)-1,1,1)="Nominal","Pct","Unit")</f>
        <v>Unit</v>
      </c>
      <c r="H372" s="612">
        <f ca="1">MAX(OFFSET(POrigin,MATCH(Valori[[#This Row],[LUKB_id]],PID,0),MATCH("PRICINGAMT",PLabel,0)-1,1,1),1)</f>
        <v>1</v>
      </c>
      <c r="I372" s="615" t="str" cm="1">
        <f t="array" aca="1" ref="I372" ca="1">OFFSET(POrigin,MATCH(Valori[[#This Row],[LUKB_id]],PID,0),MATCH("M_NAME",PLabel,0)-1,1,1)</f>
        <v>Roche Hldg G</v>
      </c>
      <c r="J372" s="142" t="s">
        <v>525</v>
      </c>
      <c r="M372" s="142" t="str" cm="1">
        <f t="array" aca="1" ref="M3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Roche Holding AG (PS)</v>
      </c>
      <c r="N372" s="1563">
        <f ca="1">COUNTIF('CHF M'!smo_id,Valori[[#This Row],[smo_id]])+COUNTIF('CHF MA'!smo_id,Valori[[#This Row],[smo_id]])+COUNTIF('EUR MB'!smo_id,Valori[[#This Row],[smo_id]])+COUNTIF('EUR M'!smo_id,Valori[[#This Row],[smo_id]])+COUNTIF(AGCO!smo_id,Valori[[#This Row],[smo_id]])</f>
        <v>4</v>
      </c>
      <c r="O372" s="1590" cm="1">
        <f t="array" aca="1" ref="O372" ca="1">SUM(IF('CHF M'!smo_id=Valori[[#This Row],[smo_id]],'CHF M'!Posizione))+SUM(IF('CHF MA'!smo_id=Valori[[#This Row],[smo_id]],'CHF MA'!Posizione))+SUM(IF('EUR MB'!smo_id=Valori[[#This Row],[smo_id]],'EUR MB'!Posizione))+SUM(IF('EUR M'!smo_id=Valori[[#This Row],[smo_id]],'EUR M'!Posizione))+SUM(IF(AGCO!smo_id=Valori[[#This Row],[smo_id]],AGCO!Posizione))</f>
        <v>1270</v>
      </c>
      <c r="P372" s="1661" t="str">
        <f ca="1">HYPERLINK(Valori[[#This Row],[P_Source]],"è")</f>
        <v>è</v>
      </c>
      <c r="Q372" s="1663" t="str">
        <f>HYPERLINK(Valori[[#This Row],[Info_W]],"i")</f>
        <v>i</v>
      </c>
      <c r="R372" s="1664" t="str">
        <f>HYPERLINK(Valori[[#This Row],[FN_W]],"")</f>
        <v></v>
      </c>
      <c r="S372" s="1665" t="str">
        <f>HYPERLINK(Valori[[#This Row],[MS_Link]],"")</f>
        <v></v>
      </c>
      <c r="T372" s="1665" t="str">
        <f>HYPERLINK(Valori[[#This Row],[C_source]],"")</f>
        <v></v>
      </c>
      <c r="U372" s="142" t="str" cm="1">
        <f t="array" aca="1" ref="U372" ca="1">OFFSET(POrigin,MATCH(Valori[[#This Row],[LUKB_id]],PID,0),MATCH("M_CUR",PLabel,0)-1,1,1)</f>
        <v>CHF</v>
      </c>
      <c r="V372" s="1562">
        <f ca="1">(Valori[[#This Row],[Last]]+Valori[[#This Row],[Acc. Int]])/Valori[[#This Row],[Pr.Amt]]/IF(Valori[[#This Row],[P_Type]]="Pct",100,1)</f>
        <v>355.40000000000003</v>
      </c>
      <c r="W372" s="1591" cm="1">
        <f t="array" aca="1" ref="W372" ca="1">OFFSET(POrigin,MATCH(Valori[[#This Row],[LUKB_id]],PID,0),MATCH("NC2_PR",PLabel,0)-1,1,1)/100</f>
        <v>-2.0666850372003397E-2</v>
      </c>
      <c r="X372" s="1592" cm="1">
        <f t="array" aca="1" ref="X372" ca="1">OFFSET(POrigin,MATCH(Valori[[#This Row],[LUKB_id]],PID,0),MATCH("LVAL",PLabel,0)-1,1,1)</f>
        <v>355.40000000000003</v>
      </c>
      <c r="Y372" s="1593" cm="1">
        <f t="array" aca="1" ref="Y372" ca="1">OFFSET(POrigin,MATCH(Valori[[#This Row],[LUKB_id]],PID,0),MATCH("LVAL:datetime",PLabel,0)-1,1,1)</f>
        <v>46084.734525462962</v>
      </c>
      <c r="Z372" s="1594" cm="1">
        <f t="array" aca="1" ref="Z372" ca="1">OFFSET(POrigin,MATCH(Valori[[#This Row],[LUKB_id]],PID,0),MATCH("BID:volume",PLabel,0)-1,1,1)</f>
        <v>25</v>
      </c>
      <c r="AA372" s="1595" cm="1">
        <f t="array" aca="1" ref="AA372" ca="1">OFFSET(POrigin,MATCH(Valori[[#This Row],[LUKB_id]],PID,0),MATCH("BID",PLabel,0)-1,1,1)</f>
        <v>355</v>
      </c>
      <c r="AB372" s="1595" cm="1">
        <f t="array" aca="1" ref="AB372" ca="1">OFFSET(POrigin,MATCH(Valori[[#This Row],[LUKB_id]],PID,0),MATCH("ASK",PLabel,0)-1,1,1)</f>
        <v>0</v>
      </c>
      <c r="AC372" s="1594" cm="1">
        <f t="array" aca="1" ref="AC372" ca="1">OFFSET(POrigin,MATCH(Valori[[#This Row],[LUKB_id]],PID,0),MATCH("ASK:volume",PLabel,0)-1,1,1)</f>
        <v>0</v>
      </c>
      <c r="AD372" s="1596" cm="1">
        <f t="array" aca="1" ref="AD372" ca="1">OFFSET(POrigin,MATCH(Valori[[#This Row],[LUKB_id]],PID,0),MATCH("BID-ASK Spread %",PLabel,0)-1,1,1)</f>
        <v>0</v>
      </c>
      <c r="AE372" s="1597" t="str" cm="1">
        <f t="array" aca="1" ref="AE372" ca="1">IF(OFFSET(POrigin,MATCH(Valori[[#This Row],[LUKB_id]],PID,0),MATCH("MATURITY",PLabel,0)-1,1,1)&gt;0,OFFSET(POrigin,MATCH(Valori[[#This Row],[LUKB_id]],PID,0),MATCH("MATURITY",PLabel,0)-1,1,1),"")</f>
        <v/>
      </c>
      <c r="AF372" s="1598" cm="1">
        <f t="array" aca="1" ref="AF372" ca="1">OFFSET(POrigin,MATCH(Valori[[#This Row],[LUKB_id]],PID,0),MATCH("ACCINT",PLabel,0)-1,1,1)</f>
        <v>0</v>
      </c>
      <c r="AG372" s="1594" cm="1">
        <f t="array" aca="1" ref="AG372" ca="1">OFFSET(POrigin,MATCH(Valori[[#This Row],[LUKB_id]],PID,0),MATCH("DENOM",PLabel,0)-1,1,1)</f>
        <v>0</v>
      </c>
      <c r="AH372" s="1599" cm="1">
        <f t="array" aca="1" ref="AH372" ca="1">(OFFSET(POrigin,MATCH(Valori[[#This Row],[LUKB_id]],PID,0),MATCH("YIELD",PLabel,0)-1,1,1)+OFFSET(POrigin,MATCH(Valori[[#This Row],[LUKB_id]],PID,0),MATCH("YLDEQ",PLabel,0)-1,1,1))/100</f>
        <v>2.7574559999999998E-2</v>
      </c>
      <c r="AI372" s="1600">
        <f ca="1">OFFSET(POrigin,MATCH(Valori[[#This Row],[LUKB_id]],PID,0),MATCH("DIVIDEND",PLabel,0)-1,1,1)</f>
        <v>9.7000000000000011</v>
      </c>
      <c r="AJ372" s="1601">
        <f ca="1">OFFSET(POrigin,MATCH(Valori[[#This Row],[LUKB_id]],PID,0),MATCH("DIVIDEND:datetime",PLabel,0)-1,1,1)</f>
        <v>45743</v>
      </c>
      <c r="AK372" s="1602">
        <f ca="1">OFFSET(POrigin,MATCH(Valori[[#This Row],[LUKB_id]],PID,0),MATCH("INTEREST",PLabel,0)-1,1,1)</f>
        <v>0</v>
      </c>
      <c r="AL372" s="1603">
        <f ca="1">OFFSET(POrigin,MATCH(Valori[[#This Row],[LUKB_id]],PID,0),MATCH("4W_PERF_PR",PLabel,0)-1,1,1)/100</f>
        <v>8.2269500000000002E-3</v>
      </c>
      <c r="AM372" s="1603">
        <f ca="1">OFFSET(POrigin,MATCH(Valori[[#This Row],[LUKB_id]],PID,0),MATCH("12W_PERF_PR",PLabel,0)-1,1,1)/100</f>
        <v>0.12718046</v>
      </c>
      <c r="AN372" s="1603">
        <f ca="1">OFFSET(POrigin,MATCH(Valori[[#This Row],[LUKB_id]],PID,0),MATCH("YTD_PERF_PR",PLabel,0)-1,1,1)/100</f>
        <v>0.105728214503352</v>
      </c>
      <c r="AO372" s="1591"/>
      <c r="AP372" s="1591"/>
      <c r="AQ372" s="1591"/>
      <c r="AR372" s="1591"/>
      <c r="AS372" s="1890" t="s">
        <v>1921</v>
      </c>
      <c r="AT372" s="1890" t="s">
        <v>1922</v>
      </c>
      <c r="AU372" s="610" t="s">
        <v>1923</v>
      </c>
      <c r="AV372" s="1891" t="str">
        <f>IF(Valori[[#This Row],[MS_Link]]&lt;&gt;"",Valori[[#This Row],[MS_Link]]&amp;"company/","")</f>
        <v>https://www.marketscreener.com/quote/stock/ROCHE-HOLDING-AG-9364975/company/</v>
      </c>
      <c r="AW372" s="1604" t="str">
        <f ca="1">"https://boersenundmaerkte.lukb.ch/lukb/details/"&amp;Valori[[#This Row],[LUKB_id]]</f>
        <v>https://boersenundmaerkte.lukb.ch/lukb/details/1203204,4,1</v>
      </c>
      <c r="AX372" s="1605" t="str">
        <f>"https://www.zonebourse.com/mods_a/charts/TV/inc_dyna_graph.php?c="&amp;Valori[[#This Row],[MS_Code]]&amp;"&amp;style=TradingView.CANDLES&amp;interval=(null)&amp;mobile=(null)&amp;showAT=1"</f>
        <v>https://www.zonebourse.com/mods_a/charts/TV/inc_dyna_graph.php?c=9364975&amp;style=TradingView.CANDLES&amp;interval=(null)&amp;mobile=(null)&amp;showAT=1</v>
      </c>
      <c r="AY372" s="142"/>
      <c r="AZ372" s="142"/>
      <c r="BA372" s="142"/>
      <c r="BB372" s="142"/>
    </row>
    <row r="373" spans="1:54" ht="15" customHeight="1" x14ac:dyDescent="0.2">
      <c r="A373" s="142" t="s">
        <v>1924</v>
      </c>
      <c r="B373" s="142" t="str" cm="1">
        <f t="array" aca="1" ref="B373" ca="1">OFFSET(POrigin,MATCH(Valori[[#This Row],[smo_id]],Posizioni[smo_id],0),MATCH("LUKB_id",PIntestazioni,0)-1,1,1)</f>
        <v>124359842,4,1</v>
      </c>
      <c r="C373" s="1668" t="str">
        <f ca="1">HYPERLINK("https://boersenundmaerkte.lukb.ch/lukb/details/"&amp;Valori[[#This Row],[LUKB_id]],"è")</f>
        <v>è</v>
      </c>
      <c r="D373" s="142" t="str" cm="1">
        <f t="array" aca="1" ref="D373" ca="1">OFFSET(POrigin,MATCH(Valori[[#This Row],[LUKB_id]],PID,0),MATCH("SC_GROUPED",PIntestazioni,0)-1,1,1)</f>
        <v>EQU</v>
      </c>
      <c r="E373" s="413" t="str" cm="1">
        <f t="array" aca="1" ref="E373" ca="1">OFFSET(POrigin,MATCH(Valori[[#This Row],[LUKB_id]],PID,0),MATCH("isin",PIntestazioni,0)-1,1,1)</f>
        <v>CH1243598427</v>
      </c>
      <c r="F373" s="34" t="str" cm="1">
        <f t="array" aca="1" ref="F373" ca="1">OFFSET(POrigin,MATCH(Valori[[#This Row],[LUKB_id]],PID,0),MATCH("NSIN_CH",PLabel,0)-1,1,1)</f>
        <v>124359842</v>
      </c>
      <c r="G373" s="95" t="str" cm="1">
        <f t="array" aca="1" ref="G373" ca="1">IF(OFFSET(POrigin,MATCH(Valori[[#This Row],[LUKB_id]],PID,0),MATCH("INSTRUNIT",PLabel,0)-1,1,1)="Nominal","Pct","Unit")</f>
        <v>Unit</v>
      </c>
      <c r="H373" s="612">
        <f ca="1">MAX(OFFSET(POrigin,MATCH(Valori[[#This Row],[LUKB_id]],PID,0),MATCH("PRICINGAMT",PLabel,0)-1,1,1),1)</f>
        <v>1</v>
      </c>
      <c r="I373" s="615" t="str" cm="1">
        <f t="array" aca="1" ref="I373" ca="1">OFFSET(POrigin,MATCH(Valori[[#This Row],[LUKB_id]],PID,0),MATCH("M_NAME",PLabel,0)-1,1,1)</f>
        <v>Sandoz Group N</v>
      </c>
      <c r="M373" s="142" t="str" cm="1">
        <f t="array" aca="1" ref="M3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Sandoz Group N</v>
      </c>
      <c r="N373" s="1563">
        <f ca="1">COUNTIF('CHF M'!smo_id,Valori[[#This Row],[smo_id]])+COUNTIF('CHF MA'!smo_id,Valori[[#This Row],[smo_id]])+COUNTIF('EUR MB'!smo_id,Valori[[#This Row],[smo_id]])+COUNTIF('EUR M'!smo_id,Valori[[#This Row],[smo_id]])+COUNTIF(AGCO!smo_id,Valori[[#This Row],[smo_id]])</f>
        <v>2</v>
      </c>
      <c r="O373" s="1590" cm="1">
        <f t="array" aca="1" ref="O373" ca="1">SUM(IF('CHF M'!smo_id=Valori[[#This Row],[smo_id]],'CHF M'!Posizione))+SUM(IF('CHF MA'!smo_id=Valori[[#This Row],[smo_id]],'CHF MA'!Posizione))+SUM(IF('EUR MB'!smo_id=Valori[[#This Row],[smo_id]],'EUR MB'!Posizione))+SUM(IF('EUR M'!smo_id=Valori[[#This Row],[smo_id]],'EUR M'!Posizione))+SUM(IF(AGCO!smo_id=Valori[[#This Row],[smo_id]],AGCO!Posizione))</f>
        <v>2500</v>
      </c>
      <c r="P373" s="1661" t="str">
        <f ca="1">HYPERLINK(Valori[[#This Row],[P_Source]],"è")</f>
        <v>è</v>
      </c>
      <c r="Q373" s="1663" t="str">
        <f>HYPERLINK(Valori[[#This Row],[Info_W]],"i")</f>
        <v>i</v>
      </c>
      <c r="R373" s="1664" t="str">
        <f>HYPERLINK(Valori[[#This Row],[FN_W]],"")</f>
        <v></v>
      </c>
      <c r="S373" s="1665" t="str">
        <f>HYPERLINK(Valori[[#This Row],[MS_Link]],"")</f>
        <v></v>
      </c>
      <c r="T373" s="1665" t="str">
        <f>HYPERLINK(Valori[[#This Row],[C_source]],"")</f>
        <v></v>
      </c>
      <c r="U373" s="142" t="str" cm="1">
        <f t="array" aca="1" ref="U373" ca="1">OFFSET(POrigin,MATCH(Valori[[#This Row],[LUKB_id]],PID,0),MATCH("M_CUR",PLabel,0)-1,1,1)</f>
        <v>CHF</v>
      </c>
      <c r="V373" s="1562">
        <f ca="1">(Valori[[#This Row],[Last]]+Valori[[#This Row],[Acc. Int]])/Valori[[#This Row],[Pr.Amt]]/IF(Valori[[#This Row],[P_Type]]="Pct",100,1)</f>
        <v>65.44</v>
      </c>
      <c r="W373" s="1591" cm="1">
        <f t="array" aca="1" ref="W373" ca="1">OFFSET(POrigin,MATCH(Valori[[#This Row],[LUKB_id]],PID,0),MATCH("NC2_PR",PLabel,0)-1,1,1)/100</f>
        <v>-3.1952662721893697E-2</v>
      </c>
      <c r="X373" s="1592" cm="1">
        <f t="array" aca="1" ref="X373" ca="1">OFFSET(POrigin,MATCH(Valori[[#This Row],[LUKB_id]],PID,0),MATCH("LVAL",PLabel,0)-1,1,1)</f>
        <v>65.44</v>
      </c>
      <c r="Y373" s="1593" cm="1">
        <f t="array" aca="1" ref="Y373" ca="1">OFFSET(POrigin,MATCH(Valori[[#This Row],[LUKB_id]],PID,0),MATCH("LVAL:datetime",PLabel,0)-1,1,1)</f>
        <v>46084.731238425928</v>
      </c>
      <c r="Z373" s="1594" cm="1">
        <f t="array" aca="1" ref="Z373" ca="1">OFFSET(POrigin,MATCH(Valori[[#This Row],[LUKB_id]],PID,0),MATCH("BID:volume",PLabel,0)-1,1,1)</f>
        <v>50</v>
      </c>
      <c r="AA373" s="1595" cm="1">
        <f t="array" aca="1" ref="AA373" ca="1">OFFSET(POrigin,MATCH(Valori[[#This Row],[LUKB_id]],PID,0),MATCH("BID",PLabel,0)-1,1,1)</f>
        <v>64.760000000000005</v>
      </c>
      <c r="AB373" s="1595" cm="1">
        <f t="array" aca="1" ref="AB373" ca="1">OFFSET(POrigin,MATCH(Valori[[#This Row],[LUKB_id]],PID,0),MATCH("ASK",PLabel,0)-1,1,1)</f>
        <v>0</v>
      </c>
      <c r="AC373" s="1594" cm="1">
        <f t="array" aca="1" ref="AC373" ca="1">OFFSET(POrigin,MATCH(Valori[[#This Row],[LUKB_id]],PID,0),MATCH("ASK:volume",PLabel,0)-1,1,1)</f>
        <v>0</v>
      </c>
      <c r="AD373" s="1596" cm="1">
        <f t="array" aca="1" ref="AD373" ca="1">OFFSET(POrigin,MATCH(Valori[[#This Row],[LUKB_id]],PID,0),MATCH("BID-ASK Spread %",PLabel,0)-1,1,1)</f>
        <v>0</v>
      </c>
      <c r="AE373" s="1597" t="str" cm="1">
        <f t="array" aca="1" ref="AE373" ca="1">IF(OFFSET(POrigin,MATCH(Valori[[#This Row],[LUKB_id]],PID,0),MATCH("MATURITY",PLabel,0)-1,1,1)&gt;0,OFFSET(POrigin,MATCH(Valori[[#This Row],[LUKB_id]],PID,0),MATCH("MATURITY",PLabel,0)-1,1,1),"")</f>
        <v/>
      </c>
      <c r="AF373" s="1598" cm="1">
        <f t="array" aca="1" ref="AF373" ca="1">OFFSET(POrigin,MATCH(Valori[[#This Row],[LUKB_id]],PID,0),MATCH("ACCINT",PLabel,0)-1,1,1)</f>
        <v>0</v>
      </c>
      <c r="AG373" s="1594" cm="1">
        <f t="array" aca="1" ref="AG373" ca="1">OFFSET(POrigin,MATCH(Valori[[#This Row],[LUKB_id]],PID,0),MATCH("DENOM",PLabel,0)-1,1,1)</f>
        <v>0</v>
      </c>
      <c r="AH373" s="1599" cm="1">
        <f t="array" aca="1" ref="AH373" ca="1">(OFFSET(POrigin,MATCH(Valori[[#This Row],[LUKB_id]],PID,0),MATCH("YIELD",PLabel,0)-1,1,1)+OFFSET(POrigin,MATCH(Valori[[#This Row],[LUKB_id]],PID,0),MATCH("YLDEQ",PLabel,0)-1,1,1))/100</f>
        <v>1.222494E-2</v>
      </c>
      <c r="AI373" s="1600">
        <f ca="1">OFFSET(POrigin,MATCH(Valori[[#This Row],[LUKB_id]],PID,0),MATCH("DIVIDEND",PLabel,0)-1,1,1)</f>
        <v>0.60000000000000009</v>
      </c>
      <c r="AJ373" s="1601">
        <f ca="1">OFFSET(POrigin,MATCH(Valori[[#This Row],[LUKB_id]],PID,0),MATCH("DIVIDEND:datetime",PLabel,0)-1,1,1)</f>
        <v>45764</v>
      </c>
      <c r="AK373" s="1602">
        <f ca="1">OFFSET(POrigin,MATCH(Valori[[#This Row],[LUKB_id]],PID,0),MATCH("INTEREST",PLabel,0)-1,1,1)</f>
        <v>0</v>
      </c>
      <c r="AL373" s="1603">
        <f ca="1">OFFSET(POrigin,MATCH(Valori[[#This Row],[LUKB_id]],PID,0),MATCH("4W_PERF_PR",PLabel,0)-1,1,1)/100</f>
        <v>8.3085069999999983E-2</v>
      </c>
      <c r="AM373" s="1603">
        <f ca="1">OFFSET(POrigin,MATCH(Valori[[#This Row],[LUKB_id]],PID,0),MATCH("12W_PERF_PR",PLabel,0)-1,1,1)/100</f>
        <v>0.10990501999999999</v>
      </c>
      <c r="AN373" s="1603">
        <f ca="1">OFFSET(POrigin,MATCH(Valori[[#This Row],[LUKB_id]],PID,0),MATCH("YTD_PERF_PR",PLabel,0)-1,1,1)/100</f>
        <v>0.16874135546334801</v>
      </c>
      <c r="AO373" s="1591"/>
      <c r="AP373" s="1591"/>
      <c r="AQ373" s="1591"/>
      <c r="AR373" s="1591"/>
      <c r="AS373" s="1890"/>
      <c r="AT373" s="1890"/>
      <c r="AU373" s="610"/>
      <c r="AV373" s="1891"/>
      <c r="AW373" s="1604" t="str">
        <f ca="1">"https://boersenundmaerkte.lukb.ch/lukb/details/"&amp;Valori[[#This Row],[LUKB_id]]</f>
        <v>https://boersenundmaerkte.lukb.ch/lukb/details/124359842,4,1</v>
      </c>
      <c r="AX37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3" s="142"/>
      <c r="AZ373" s="142"/>
      <c r="BA373" s="142"/>
      <c r="BB373" s="142"/>
    </row>
    <row r="374" spans="1:54" ht="15" customHeight="1" x14ac:dyDescent="0.2">
      <c r="A374" s="142" t="s">
        <v>1925</v>
      </c>
      <c r="B374" s="142" t="str" cm="1">
        <f t="array" aca="1" ref="B374" ca="1">OFFSET(POrigin,MATCH(Valori[[#This Row],[smo_id]],Posizioni[smo_id],0),MATCH("LUKB_id",PIntestazioni,0)-1,1,1)</f>
        <v>699381,25,814</v>
      </c>
      <c r="C374" s="1668" t="str">
        <f ca="1">HYPERLINK("https://boersenundmaerkte.lukb.ch/lukb/details/"&amp;Valori[[#This Row],[LUKB_id]],"è")</f>
        <v>è</v>
      </c>
      <c r="D374" s="142" t="str" cm="1">
        <f t="array" aca="1" ref="D374" ca="1">OFFSET(POrigin,MATCH(Valori[[#This Row],[LUKB_id]],PID,0),MATCH("SC_GROUPED",PIntestazioni,0)-1,1,1)</f>
        <v>EQU</v>
      </c>
      <c r="E374" s="413" t="str" cm="1">
        <f t="array" aca="1" ref="E374" ca="1">OFFSET(POrigin,MATCH(Valori[[#This Row],[LUKB_id]],PID,0),MATCH("isin",PIntestazioni,0)-1,1,1)</f>
        <v>FR0000120578</v>
      </c>
      <c r="F374" s="34" t="str" cm="1">
        <f t="array" aca="1" ref="F374" ca="1">OFFSET(POrigin,MATCH(Valori[[#This Row],[LUKB_id]],PID,0),MATCH("NSIN_CH",PLabel,0)-1,1,1)</f>
        <v>699381</v>
      </c>
      <c r="G374" s="95" t="str" cm="1">
        <f t="array" aca="1" ref="G374" ca="1">IF(OFFSET(POrigin,MATCH(Valori[[#This Row],[LUKB_id]],PID,0),MATCH("INSTRUNIT",PLabel,0)-1,1,1)="Nominal","Pct","Unit")</f>
        <v>Unit</v>
      </c>
      <c r="H374" s="612">
        <f ca="1">MAX(OFFSET(POrigin,MATCH(Valori[[#This Row],[LUKB_id]],PID,0),MATCH("PRICINGAMT",PLabel,0)-1,1,1),1)</f>
        <v>1</v>
      </c>
      <c r="I374" s="615" t="str" cm="1">
        <f t="array" aca="1" ref="I374" ca="1">OFFSET(POrigin,MATCH(Valori[[#This Row],[LUKB_id]],PID,0),MATCH("M_NAME",PLabel,0)-1,1,1)</f>
        <v>Sanofi</v>
      </c>
      <c r="J374" s="142" t="s">
        <v>417</v>
      </c>
      <c r="M374" s="142" t="str" cm="1">
        <f t="array" aca="1" ref="M3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Sanofi</v>
      </c>
      <c r="N374" s="1563">
        <f ca="1">COUNTIF('CHF M'!smo_id,Valori[[#This Row],[smo_id]])+COUNTIF('CHF MA'!smo_id,Valori[[#This Row],[smo_id]])+COUNTIF('EUR MB'!smo_id,Valori[[#This Row],[smo_id]])+COUNTIF('EUR M'!smo_id,Valori[[#This Row],[smo_id]])+COUNTIF(AGCO!smo_id,Valori[[#This Row],[smo_id]])</f>
        <v>1</v>
      </c>
      <c r="O374" s="1590" cm="1">
        <f t="array" aca="1" ref="O374" ca="1">SUM(IF('CHF M'!smo_id=Valori[[#This Row],[smo_id]],'CHF M'!Posizione))+SUM(IF('CHF MA'!smo_id=Valori[[#This Row],[smo_id]],'CHF MA'!Posizione))+SUM(IF('EUR MB'!smo_id=Valori[[#This Row],[smo_id]],'EUR MB'!Posizione))+SUM(IF('EUR M'!smo_id=Valori[[#This Row],[smo_id]],'EUR M'!Posizione))+SUM(IF(AGCO!smo_id=Valori[[#This Row],[smo_id]],AGCO!Posizione))</f>
        <v>0</v>
      </c>
      <c r="P374" s="1661" t="str">
        <f ca="1">HYPERLINK(Valori[[#This Row],[P_Source]],"è")</f>
        <v>è</v>
      </c>
      <c r="Q374" s="1663" t="str">
        <f>HYPERLINK(Valori[[#This Row],[Info_W]],"i")</f>
        <v>i</v>
      </c>
      <c r="R374" s="1664" t="str">
        <f>HYPERLINK(Valori[[#This Row],[FN_W]],"")</f>
        <v></v>
      </c>
      <c r="S374" s="1665" t="str">
        <f>HYPERLINK(Valori[[#This Row],[MS_Link]],"")</f>
        <v></v>
      </c>
      <c r="T374" s="1665" t="str">
        <f>HYPERLINK(Valori[[#This Row],[C_source]],"")</f>
        <v></v>
      </c>
      <c r="U374" s="142" t="str" cm="1">
        <f t="array" aca="1" ref="U374" ca="1">OFFSET(POrigin,MATCH(Valori[[#This Row],[LUKB_id]],PID,0),MATCH("M_CUR",PLabel,0)-1,1,1)</f>
        <v>EUR</v>
      </c>
      <c r="V374" s="1562">
        <f ca="1">(Valori[[#This Row],[Last]]+Valori[[#This Row],[Acc. Int]])/Valori[[#This Row],[Pr.Amt]]/IF(Valori[[#This Row],[P_Type]]="Pct",100,1)</f>
        <v>81.45</v>
      </c>
      <c r="W374" s="1591" cm="1">
        <f t="array" aca="1" ref="W374" ca="1">OFFSET(POrigin,MATCH(Valori[[#This Row],[LUKB_id]],PID,0),MATCH("NC2_PR",PLabel,0)-1,1,1)/100</f>
        <v>-9.1240875912408995E-3</v>
      </c>
      <c r="X374" s="1592" cm="1">
        <f t="array" aca="1" ref="X374" ca="1">OFFSET(POrigin,MATCH(Valori[[#This Row],[LUKB_id]],PID,0),MATCH("LVAL",PLabel,0)-1,1,1)</f>
        <v>81.45</v>
      </c>
      <c r="Y374" s="1593" cm="1">
        <f t="array" aca="1" ref="Y374" ca="1">OFFSET(POrigin,MATCH(Valori[[#This Row],[LUKB_id]],PID,0),MATCH("LVAL:datetime",PLabel,0)-1,1,1)</f>
        <v>46083.746527777781</v>
      </c>
      <c r="Z374" s="1594" cm="1">
        <f t="array" aca="1" ref="Z374" ca="1">OFFSET(POrigin,MATCH(Valori[[#This Row],[LUKB_id]],PID,0),MATCH("BID:volume",PLabel,0)-1,1,1)</f>
        <v>0</v>
      </c>
      <c r="AA374" s="1595" cm="1">
        <f t="array" aca="1" ref="AA374" ca="1">OFFSET(POrigin,MATCH(Valori[[#This Row],[LUKB_id]],PID,0),MATCH("BID",PLabel,0)-1,1,1)</f>
        <v>0</v>
      </c>
      <c r="AB374" s="1595" cm="1">
        <f t="array" aca="1" ref="AB374" ca="1">OFFSET(POrigin,MATCH(Valori[[#This Row],[LUKB_id]],PID,0),MATCH("ASK",PLabel,0)-1,1,1)</f>
        <v>0</v>
      </c>
      <c r="AC374" s="1594" cm="1">
        <f t="array" aca="1" ref="AC374" ca="1">OFFSET(POrigin,MATCH(Valori[[#This Row],[LUKB_id]],PID,0),MATCH("ASK:volume",PLabel,0)-1,1,1)</f>
        <v>0</v>
      </c>
      <c r="AD374" s="1596" cm="1">
        <f t="array" aca="1" ref="AD374" ca="1">OFFSET(POrigin,MATCH(Valori[[#This Row],[LUKB_id]],PID,0),MATCH("BID-ASK Spread %",PLabel,0)-1,1,1)</f>
        <v>0</v>
      </c>
      <c r="AE374" s="1597" t="str" cm="1">
        <f t="array" aca="1" ref="AE374" ca="1">IF(OFFSET(POrigin,MATCH(Valori[[#This Row],[LUKB_id]],PID,0),MATCH("MATURITY",PLabel,0)-1,1,1)&gt;0,OFFSET(POrigin,MATCH(Valori[[#This Row],[LUKB_id]],PID,0),MATCH("MATURITY",PLabel,0)-1,1,1),"")</f>
        <v/>
      </c>
      <c r="AF374" s="1598" cm="1">
        <f t="array" aca="1" ref="AF374" ca="1">OFFSET(POrigin,MATCH(Valori[[#This Row],[LUKB_id]],PID,0),MATCH("ACCINT",PLabel,0)-1,1,1)</f>
        <v>0</v>
      </c>
      <c r="AG374" s="1594" cm="1">
        <f t="array" aca="1" ref="AG374" ca="1">OFFSET(POrigin,MATCH(Valori[[#This Row],[LUKB_id]],PID,0),MATCH("DENOM",PLabel,0)-1,1,1)</f>
        <v>0</v>
      </c>
      <c r="AH374" s="1599" cm="1">
        <f t="array" aca="1" ref="AH374" ca="1">(OFFSET(POrigin,MATCH(Valori[[#This Row],[LUKB_id]],PID,0),MATCH("YIELD",PLabel,0)-1,1,1)+OFFSET(POrigin,MATCH(Valori[[#This Row],[LUKB_id]],PID,0),MATCH("YLDEQ",PLabel,0)-1,1,1))/100</f>
        <v>0</v>
      </c>
      <c r="AI374" s="1600">
        <f ca="1">OFFSET(POrigin,MATCH(Valori[[#This Row],[LUKB_id]],PID,0),MATCH("DIVIDEND",PLabel,0)-1,1,1)</f>
        <v>3.92</v>
      </c>
      <c r="AJ374" s="1601">
        <f ca="1">OFFSET(POrigin,MATCH(Valori[[#This Row],[LUKB_id]],PID,0),MATCH("DIVIDEND:datetime",PLabel,0)-1,1,1)</f>
        <v>45789</v>
      </c>
      <c r="AK374" s="1602">
        <f ca="1">OFFSET(POrigin,MATCH(Valori[[#This Row],[LUKB_id]],PID,0),MATCH("INTEREST",PLabel,0)-1,1,1)</f>
        <v>0</v>
      </c>
      <c r="AL374" s="1603">
        <f ca="1">OFFSET(POrigin,MATCH(Valori[[#This Row],[LUKB_id]],PID,0),MATCH("4W_PERF_PR",PLabel,0)-1,1,1)/100</f>
        <v>1.2430080795525201E-2</v>
      </c>
      <c r="AM374" s="1603">
        <f ca="1">OFFSET(POrigin,MATCH(Valori[[#This Row],[LUKB_id]],PID,0),MATCH("12W_PERF_PR",PLabel,0)-1,1,1)/100</f>
        <v>-2.5717703349282403E-2</v>
      </c>
      <c r="AN374" s="1603">
        <f ca="1">OFFSET(POrigin,MATCH(Valori[[#This Row],[LUKB_id]],PID,0),MATCH("YTD_PERF_PR",PLabel,0)-1,1,1)/100</f>
        <v>-1.5352998065764002E-2</v>
      </c>
      <c r="AO374" s="1591"/>
      <c r="AP374" s="1591"/>
      <c r="AQ374" s="1591"/>
      <c r="AR374" s="1591"/>
      <c r="AS374" s="1890" t="s">
        <v>1926</v>
      </c>
      <c r="AT374" s="1890" t="s">
        <v>1927</v>
      </c>
      <c r="AU374" s="610" t="s">
        <v>1928</v>
      </c>
      <c r="AV374" s="1891" t="str">
        <f>IF(Valori[[#This Row],[MS_Link]]&lt;&gt;"",Valori[[#This Row],[MS_Link]]&amp;"company/","")</f>
        <v>https://www.marketscreener.com/quote/stock/SANOFI-4698/company/</v>
      </c>
      <c r="AW374" s="1604" t="str">
        <f ca="1">"https://boersenundmaerkte.lukb.ch/lukb/details/"&amp;Valori[[#This Row],[LUKB_id]]</f>
        <v>https://boersenundmaerkte.lukb.ch/lukb/details/699381,25,814</v>
      </c>
      <c r="AX374" s="1605" t="str">
        <f>"https://www.zonebourse.com/mods_a/charts/TV/inc_dyna_graph.php?c="&amp;Valori[[#This Row],[MS_Code]]&amp;"&amp;style=TradingView.CANDLES&amp;interval=(null)&amp;mobile=(null)&amp;showAT=1"</f>
        <v>https://www.zonebourse.com/mods_a/charts/TV/inc_dyna_graph.php?c=4698&amp;style=TradingView.CANDLES&amp;interval=(null)&amp;mobile=(null)&amp;showAT=1</v>
      </c>
      <c r="AY374" s="142"/>
      <c r="AZ374" s="142"/>
      <c r="BA374" s="142"/>
      <c r="BB374" s="142"/>
    </row>
    <row r="375" spans="1:54" ht="15" customHeight="1" x14ac:dyDescent="0.2">
      <c r="A375" s="142" t="s">
        <v>1929</v>
      </c>
      <c r="B375" s="142" t="str" cm="1">
        <f t="array" aca="1" ref="B375" ca="1">OFFSET(POrigin,MATCH(Valori[[#This Row],[smo_id]],Posizioni[smo_id],0),MATCH("LUKB_id",PIntestazioni,0)-1,1,1)</f>
        <v>345952,1573,814</v>
      </c>
      <c r="C375" s="1668" t="str">
        <f ca="1">HYPERLINK("https://boersenundmaerkte.lukb.ch/lukb/details/"&amp;Valori[[#This Row],[LUKB_id]],"è")</f>
        <v>è</v>
      </c>
      <c r="D375" s="142" t="str" cm="1">
        <f t="array" aca="1" ref="D375" ca="1">OFFSET(POrigin,MATCH(Valori[[#This Row],[LUKB_id]],PID,0),MATCH("SC_GROUPED",PIntestazioni,0)-1,1,1)</f>
        <v>EQU</v>
      </c>
      <c r="E375" s="413" t="str" cm="1">
        <f t="array" aca="1" ref="E375" ca="1">OFFSET(POrigin,MATCH(Valori[[#This Row],[LUKB_id]],PID,0),MATCH("isin",PIntestazioni,0)-1,1,1)</f>
        <v>DE0007164600</v>
      </c>
      <c r="F375" s="34" t="str" cm="1">
        <f t="array" aca="1" ref="F375" ca="1">OFFSET(POrigin,MATCH(Valori[[#This Row],[LUKB_id]],PID,0),MATCH("NSIN_CH",PLabel,0)-1,1,1)</f>
        <v>345952</v>
      </c>
      <c r="G375" s="95" t="str" cm="1">
        <f t="array" aca="1" ref="G375" ca="1">IF(OFFSET(POrigin,MATCH(Valori[[#This Row],[LUKB_id]],PID,0),MATCH("INSTRUNIT",PLabel,0)-1,1,1)="Nominal","Pct","Unit")</f>
        <v>Unit</v>
      </c>
      <c r="H375" s="612">
        <f ca="1">MAX(OFFSET(POrigin,MATCH(Valori[[#This Row],[LUKB_id]],PID,0),MATCH("PRICINGAMT",PLabel,0)-1,1,1),1)</f>
        <v>1</v>
      </c>
      <c r="I375" s="615" t="str" cm="1">
        <f t="array" aca="1" ref="I375" ca="1">OFFSET(POrigin,MATCH(Valori[[#This Row],[LUKB_id]],PID,0),MATCH("M_NAME",PLabel,0)-1,1,1)</f>
        <v>SAP I</v>
      </c>
      <c r="J375" s="142" t="s">
        <v>404</v>
      </c>
      <c r="M375" s="142" t="str" cm="1">
        <f t="array" aca="1" ref="M3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SAP SE</v>
      </c>
      <c r="N375" s="1563">
        <f ca="1">COUNTIF('CHF M'!smo_id,Valori[[#This Row],[smo_id]])+COUNTIF('CHF MA'!smo_id,Valori[[#This Row],[smo_id]])+COUNTIF('EUR MB'!smo_id,Valori[[#This Row],[smo_id]])+COUNTIF('EUR M'!smo_id,Valori[[#This Row],[smo_id]])+COUNTIF(AGCO!smo_id,Valori[[#This Row],[smo_id]])</f>
        <v>1</v>
      </c>
      <c r="O375" s="1590" cm="1">
        <f t="array" aca="1" ref="O375" ca="1">SUM(IF('CHF M'!smo_id=Valori[[#This Row],[smo_id]],'CHF M'!Posizione))+SUM(IF('CHF MA'!smo_id=Valori[[#This Row],[smo_id]],'CHF MA'!Posizione))+SUM(IF('EUR MB'!smo_id=Valori[[#This Row],[smo_id]],'EUR MB'!Posizione))+SUM(IF('EUR M'!smo_id=Valori[[#This Row],[smo_id]],'EUR M'!Posizione))+SUM(IF(AGCO!smo_id=Valori[[#This Row],[smo_id]],AGCO!Posizione))</f>
        <v>300</v>
      </c>
      <c r="P375" s="1661" t="str">
        <f ca="1">HYPERLINK(Valori[[#This Row],[P_Source]],"è")</f>
        <v>è</v>
      </c>
      <c r="Q375" s="1663" t="str">
        <f>HYPERLINK(Valori[[#This Row],[Info_W]],"i")</f>
        <v>i</v>
      </c>
      <c r="R375" s="1664" t="str">
        <f>HYPERLINK(Valori[[#This Row],[FN_W]],"")</f>
        <v></v>
      </c>
      <c r="S375" s="1665" t="str">
        <f>HYPERLINK(Valori[[#This Row],[MS_Link]],"")</f>
        <v></v>
      </c>
      <c r="T375" s="1665" t="str">
        <f>HYPERLINK(Valori[[#This Row],[C_source]],"")</f>
        <v></v>
      </c>
      <c r="U375" s="142" t="str" cm="1">
        <f t="array" aca="1" ref="U375" ca="1">OFFSET(POrigin,MATCH(Valori[[#This Row],[LUKB_id]],PID,0),MATCH("M_CUR",PLabel,0)-1,1,1)</f>
        <v>EUR</v>
      </c>
      <c r="V375" s="1562">
        <f ca="1">(Valori[[#This Row],[Last]]+Valori[[#This Row],[Acc. Int]])/Valori[[#This Row],[Pr.Amt]]/IF(Valori[[#This Row],[P_Type]]="Pct",100,1)</f>
        <v>165.04</v>
      </c>
      <c r="W375" s="1591" cm="1">
        <f t="array" aca="1" ref="W375" ca="1">OFFSET(POrigin,MATCH(Valori[[#This Row],[LUKB_id]],PID,0),MATCH("NC2_PR",PLabel,0)-1,1,1)/100</f>
        <v>-1.28005742313675E-2</v>
      </c>
      <c r="X375" s="1592" cm="1">
        <f t="array" aca="1" ref="X375" ca="1">OFFSET(POrigin,MATCH(Valori[[#This Row],[LUKB_id]],PID,0),MATCH("LVAL",PLabel,0)-1,1,1)</f>
        <v>165.04</v>
      </c>
      <c r="Y375" s="1593" cm="1">
        <f t="array" aca="1" ref="Y375" ca="1">OFFSET(POrigin,MATCH(Valori[[#This Row],[LUKB_id]],PID,0),MATCH("LVAL:datetime",PLabel,0)-1,1,1)</f>
        <v>46084.729166666664</v>
      </c>
      <c r="Z375" s="1594" cm="1">
        <f t="array" aca="1" ref="Z375" ca="1">OFFSET(POrigin,MATCH(Valori[[#This Row],[LUKB_id]],PID,0),MATCH("BID:volume",PLabel,0)-1,1,1)</f>
        <v>109</v>
      </c>
      <c r="AA375" s="1595" cm="1">
        <f t="array" aca="1" ref="AA375" ca="1">OFFSET(POrigin,MATCH(Valori[[#This Row],[LUKB_id]],PID,0),MATCH("BID",PLabel,0)-1,1,1)</f>
        <v>165.48</v>
      </c>
      <c r="AB375" s="1595" cm="1">
        <f t="array" aca="1" ref="AB375" ca="1">OFFSET(POrigin,MATCH(Valori[[#This Row],[LUKB_id]],PID,0),MATCH("ASK",PLabel,0)-1,1,1)</f>
        <v>165.48</v>
      </c>
      <c r="AC375" s="1594" cm="1">
        <f t="array" aca="1" ref="AC375" ca="1">OFFSET(POrigin,MATCH(Valori[[#This Row],[LUKB_id]],PID,0),MATCH("ASK:volume",PLabel,0)-1,1,1)</f>
        <v>109</v>
      </c>
      <c r="AD375" s="1596" cm="1">
        <f t="array" aca="1" ref="AD375" ca="1">OFFSET(POrigin,MATCH(Valori[[#This Row],[LUKB_id]],PID,0),MATCH("BID-ASK Spread %",PLabel,0)-1,1,1)</f>
        <v>0</v>
      </c>
      <c r="AE375" s="1597" t="str" cm="1">
        <f t="array" aca="1" ref="AE375" ca="1">IF(OFFSET(POrigin,MATCH(Valori[[#This Row],[LUKB_id]],PID,0),MATCH("MATURITY",PLabel,0)-1,1,1)&gt;0,OFFSET(POrigin,MATCH(Valori[[#This Row],[LUKB_id]],PID,0),MATCH("MATURITY",PLabel,0)-1,1,1),"")</f>
        <v/>
      </c>
      <c r="AF375" s="1598" cm="1">
        <f t="array" aca="1" ref="AF375" ca="1">OFFSET(POrigin,MATCH(Valori[[#This Row],[LUKB_id]],PID,0),MATCH("ACCINT",PLabel,0)-1,1,1)</f>
        <v>0</v>
      </c>
      <c r="AG375" s="1594" cm="1">
        <f t="array" aca="1" ref="AG375" ca="1">OFFSET(POrigin,MATCH(Valori[[#This Row],[LUKB_id]],PID,0),MATCH("DENOM",PLabel,0)-1,1,1)</f>
        <v>0</v>
      </c>
      <c r="AH375" s="1599" cm="1">
        <f t="array" aca="1" ref="AH375" ca="1">(OFFSET(POrigin,MATCH(Valori[[#This Row],[LUKB_id]],PID,0),MATCH("YIELD",PLabel,0)-1,1,1)+OFFSET(POrigin,MATCH(Valori[[#This Row],[LUKB_id]],PID,0),MATCH("YLDEQ",PLabel,0)-1,1,1))/100</f>
        <v>1.4238972370334467E-2</v>
      </c>
      <c r="AI375" s="1600">
        <f ca="1">OFFSET(POrigin,MATCH(Valori[[#This Row],[LUKB_id]],PID,0),MATCH("DIVIDEND",PLabel,0)-1,1,1)</f>
        <v>2.35</v>
      </c>
      <c r="AJ375" s="1601">
        <f ca="1">OFFSET(POrigin,MATCH(Valori[[#This Row],[LUKB_id]],PID,0),MATCH("DIVIDEND:datetime",PLabel,0)-1,1,1)</f>
        <v>45791</v>
      </c>
      <c r="AK375" s="1602">
        <f ca="1">OFFSET(POrigin,MATCH(Valori[[#This Row],[LUKB_id]],PID,0),MATCH("INTEREST",PLabel,0)-1,1,1)</f>
        <v>0</v>
      </c>
      <c r="AL375" s="1603">
        <f ca="1">OFFSET(POrigin,MATCH(Valori[[#This Row],[LUKB_id]],PID,0),MATCH("4W_PERF_PR",PLabel,0)-1,1,1)/100</f>
        <v>-9.2448072997960169E-3</v>
      </c>
      <c r="AM375" s="1603">
        <f ca="1">OFFSET(POrigin,MATCH(Valori[[#This Row],[LUKB_id]],PID,0),MATCH("12W_PERF_PR",PLabel,0)-1,1,1)/100</f>
        <v>-0.21297091082498817</v>
      </c>
      <c r="AN375" s="1603">
        <f ca="1">OFFSET(POrigin,MATCH(Valori[[#This Row],[LUKB_id]],PID,0),MATCH("YTD_PERF_PR",PLabel,0)-1,1,1)/100</f>
        <v>-0.20181427548340899</v>
      </c>
      <c r="AO375" s="1591"/>
      <c r="AP375" s="1591"/>
      <c r="AQ375" s="1591"/>
      <c r="AR375" s="1591"/>
      <c r="AS375" s="1890" t="s">
        <v>1930</v>
      </c>
      <c r="AT375" s="1890" t="s">
        <v>1931</v>
      </c>
      <c r="AU375" s="610" t="s">
        <v>1932</v>
      </c>
      <c r="AV375" s="1891" t="str">
        <f>IF(Valori[[#This Row],[MS_Link]]&lt;&gt;"",Valori[[#This Row],[MS_Link]]&amp;"company/","")</f>
        <v>https://www.marketscreener.com/quote/stock/SAP-SE-436555/company/</v>
      </c>
      <c r="AW375" s="1604" t="str">
        <f ca="1">"https://boersenundmaerkte.lukb.ch/lukb/details/"&amp;Valori[[#This Row],[LUKB_id]]</f>
        <v>https://boersenundmaerkte.lukb.ch/lukb/details/345952,1573,814</v>
      </c>
      <c r="AX375" s="1605" t="str">
        <f>"https://www.zonebourse.com/mods_a/charts/TV/inc_dyna_graph.php?c="&amp;Valori[[#This Row],[MS_Code]]&amp;"&amp;style=TradingView.CANDLES&amp;interval=(null)&amp;mobile=(null)&amp;showAT=1"</f>
        <v>https://www.zonebourse.com/mods_a/charts/TV/inc_dyna_graph.php?c=436555&amp;style=TradingView.CANDLES&amp;interval=(null)&amp;mobile=(null)&amp;showAT=1</v>
      </c>
      <c r="AY375" s="142"/>
      <c r="AZ375" s="142"/>
      <c r="BA375" s="142"/>
      <c r="BB375" s="142"/>
    </row>
    <row r="376" spans="1:54" ht="15" customHeight="1" x14ac:dyDescent="0.2">
      <c r="A376" s="142" t="s">
        <v>1933</v>
      </c>
      <c r="B376" s="142" t="str" cm="1">
        <f t="array" aca="1" ref="B376" ca="1">OFFSET(POrigin,MATCH(Valori[[#This Row],[smo_id]],Posizioni[smo_id],0),MATCH("LUKB_id",PIntestazioni,0)-1,1,1)</f>
        <v>2463821,4,1</v>
      </c>
      <c r="C376" s="1668" t="str">
        <f ca="1">HYPERLINK("https://boersenundmaerkte.lukb.ch/lukb/details/"&amp;Valori[[#This Row],[LUKB_id]],"è")</f>
        <v>è</v>
      </c>
      <c r="D376" s="142" t="str" cm="1">
        <f t="array" aca="1" ref="D376" ca="1">OFFSET(POrigin,MATCH(Valori[[#This Row],[LUKB_id]],PID,0),MATCH("SC_GROUPED",PIntestazioni,0)-1,1,1)</f>
        <v>EQU</v>
      </c>
      <c r="E376" s="413" t="str" cm="1">
        <f t="array" aca="1" ref="E376" ca="1">OFFSET(POrigin,MATCH(Valori[[#This Row],[LUKB_id]],PID,0),MATCH("isin",PIntestazioni,0)-1,1,1)</f>
        <v>CH0024638212</v>
      </c>
      <c r="F376" s="34" t="str" cm="1">
        <f t="array" aca="1" ref="F376" ca="1">OFFSET(POrigin,MATCH(Valori[[#This Row],[LUKB_id]],PID,0),MATCH("NSIN_CH",PLabel,0)-1,1,1)</f>
        <v>2463821</v>
      </c>
      <c r="G376" s="95" t="str" cm="1">
        <f t="array" aca="1" ref="G376" ca="1">IF(OFFSET(POrigin,MATCH(Valori[[#This Row],[LUKB_id]],PID,0),MATCH("INSTRUNIT",PLabel,0)-1,1,1)="Nominal","Pct","Unit")</f>
        <v>Unit</v>
      </c>
      <c r="H376" s="612">
        <f ca="1">MAX(OFFSET(POrigin,MATCH(Valori[[#This Row],[LUKB_id]],PID,0),MATCH("PRICINGAMT",PLabel,0)-1,1,1),1)</f>
        <v>1</v>
      </c>
      <c r="I376" s="615" t="str" cm="1">
        <f t="array" aca="1" ref="I376" ca="1">OFFSET(POrigin,MATCH(Valori[[#This Row],[LUKB_id]],PID,0),MATCH("M_NAME",PLabel,0)-1,1,1)</f>
        <v>Schindler Hldg N</v>
      </c>
      <c r="J376" s="142" t="s">
        <v>573</v>
      </c>
      <c r="M376" s="142" t="str" cm="1">
        <f t="array" aca="1" ref="M3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Schindler Holding AG</v>
      </c>
      <c r="N376" s="1563">
        <f ca="1">COUNTIF('CHF M'!smo_id,Valori[[#This Row],[smo_id]])+COUNTIF('CHF MA'!smo_id,Valori[[#This Row],[smo_id]])+COUNTIF('EUR MB'!smo_id,Valori[[#This Row],[smo_id]])+COUNTIF('EUR M'!smo_id,Valori[[#This Row],[smo_id]])+COUNTIF(AGCO!smo_id,Valori[[#This Row],[smo_id]])</f>
        <v>3</v>
      </c>
      <c r="O376" s="1590" cm="1">
        <f t="array" aca="1" ref="O376" ca="1">SUM(IF('CHF M'!smo_id=Valori[[#This Row],[smo_id]],'CHF M'!Posizione))+SUM(IF('CHF MA'!smo_id=Valori[[#This Row],[smo_id]],'CHF MA'!Posizione))+SUM(IF('EUR MB'!smo_id=Valori[[#This Row],[smo_id]],'EUR MB'!Posizione))+SUM(IF('EUR M'!smo_id=Valori[[#This Row],[smo_id]],'EUR M'!Posizione))+SUM(IF(AGCO!smo_id=Valori[[#This Row],[smo_id]],AGCO!Posizione))</f>
        <v>200</v>
      </c>
      <c r="P376" s="1661" t="str">
        <f ca="1">HYPERLINK(Valori[[#This Row],[P_Source]],"è")</f>
        <v>è</v>
      </c>
      <c r="Q376" s="1663" t="str">
        <f>HYPERLINK(Valori[[#This Row],[Info_W]],"i")</f>
        <v>i</v>
      </c>
      <c r="R376" s="1664" t="str">
        <f>HYPERLINK(Valori[[#This Row],[FN_W]],"")</f>
        <v></v>
      </c>
      <c r="S376" s="1665" t="str">
        <f>HYPERLINK(Valori[[#This Row],[MS_Link]],"")</f>
        <v></v>
      </c>
      <c r="T376" s="1665" t="str">
        <f>HYPERLINK(Valori[[#This Row],[C_source]],"")</f>
        <v></v>
      </c>
      <c r="U376" s="142" t="str" cm="1">
        <f t="array" aca="1" ref="U376" ca="1">OFFSET(POrigin,MATCH(Valori[[#This Row],[LUKB_id]],PID,0),MATCH("M_CUR",PLabel,0)-1,1,1)</f>
        <v>CHF</v>
      </c>
      <c r="V376" s="1562">
        <f ca="1">(Valori[[#This Row],[Last]]+Valori[[#This Row],[Acc. Int]])/Valori[[#This Row],[Pr.Amt]]/IF(Valori[[#This Row],[P_Type]]="Pct",100,1)</f>
        <v>275.5</v>
      </c>
      <c r="W376" s="1591" cm="1">
        <f t="array" aca="1" ref="W376" ca="1">OFFSET(POrigin,MATCH(Valori[[#This Row],[LUKB_id]],PID,0),MATCH("NC2_PR",PLabel,0)-1,1,1)/100</f>
        <v>-1.9572953736654897E-2</v>
      </c>
      <c r="X376" s="1592" cm="1">
        <f t="array" aca="1" ref="X376" ca="1">OFFSET(POrigin,MATCH(Valori[[#This Row],[LUKB_id]],PID,0),MATCH("LVAL",PLabel,0)-1,1,1)</f>
        <v>275.5</v>
      </c>
      <c r="Y376" s="1593" cm="1">
        <f t="array" aca="1" ref="Y376" ca="1">OFFSET(POrigin,MATCH(Valori[[#This Row],[LUKB_id]],PID,0),MATCH("LVAL:datetime",PLabel,0)-1,1,1)</f>
        <v>46084.730081018519</v>
      </c>
      <c r="Z376" s="1594" cm="1">
        <f t="array" aca="1" ref="Z376" ca="1">OFFSET(POrigin,MATCH(Valori[[#This Row],[LUKB_id]],PID,0),MATCH("BID:volume",PLabel,0)-1,1,1)</f>
        <v>91</v>
      </c>
      <c r="AA376" s="1595" cm="1">
        <f t="array" aca="1" ref="AA376" ca="1">OFFSET(POrigin,MATCH(Valori[[#This Row],[LUKB_id]],PID,0),MATCH("BID",PLabel,0)-1,1,1)</f>
        <v>270</v>
      </c>
      <c r="AB376" s="1595" cm="1">
        <f t="array" aca="1" ref="AB376" ca="1">OFFSET(POrigin,MATCH(Valori[[#This Row],[LUKB_id]],PID,0),MATCH("ASK",PLabel,0)-1,1,1)</f>
        <v>0</v>
      </c>
      <c r="AC376" s="1594" cm="1">
        <f t="array" aca="1" ref="AC376" ca="1">OFFSET(POrigin,MATCH(Valori[[#This Row],[LUKB_id]],PID,0),MATCH("ASK:volume",PLabel,0)-1,1,1)</f>
        <v>0</v>
      </c>
      <c r="AD376" s="1596" cm="1">
        <f t="array" aca="1" ref="AD376" ca="1">OFFSET(POrigin,MATCH(Valori[[#This Row],[LUKB_id]],PID,0),MATCH("BID-ASK Spread %",PLabel,0)-1,1,1)</f>
        <v>0</v>
      </c>
      <c r="AE376" s="1597" t="str" cm="1">
        <f t="array" aca="1" ref="AE376" ca="1">IF(OFFSET(POrigin,MATCH(Valori[[#This Row],[LUKB_id]],PID,0),MATCH("MATURITY",PLabel,0)-1,1,1)&gt;0,OFFSET(POrigin,MATCH(Valori[[#This Row],[LUKB_id]],PID,0),MATCH("MATURITY",PLabel,0)-1,1,1),"")</f>
        <v/>
      </c>
      <c r="AF376" s="1598" cm="1">
        <f t="array" aca="1" ref="AF376" ca="1">OFFSET(POrigin,MATCH(Valori[[#This Row],[LUKB_id]],PID,0),MATCH("ACCINT",PLabel,0)-1,1,1)</f>
        <v>0</v>
      </c>
      <c r="AG376" s="1594" cm="1">
        <f t="array" aca="1" ref="AG376" ca="1">OFFSET(POrigin,MATCH(Valori[[#This Row],[LUKB_id]],PID,0),MATCH("DENOM",PLabel,0)-1,1,1)</f>
        <v>0</v>
      </c>
      <c r="AH376" s="1599" cm="1">
        <f t="array" aca="1" ref="AH376" ca="1">(OFFSET(POrigin,MATCH(Valori[[#This Row],[LUKB_id]],PID,0),MATCH("YIELD",PLabel,0)-1,1,1)+OFFSET(POrigin,MATCH(Valori[[#This Row],[LUKB_id]],PID,0),MATCH("YLDEQ",PLabel,0)-1,1,1))/100</f>
        <v>2.1778580000000002E-2</v>
      </c>
      <c r="AI376" s="1600">
        <f ca="1">OFFSET(POrigin,MATCH(Valori[[#This Row],[LUKB_id]],PID,0),MATCH("DIVIDEND",PLabel,0)-1,1,1)</f>
        <v>6</v>
      </c>
      <c r="AJ376" s="1601">
        <f ca="1">OFFSET(POrigin,MATCH(Valori[[#This Row],[LUKB_id]],PID,0),MATCH("DIVIDEND:datetime",PLabel,0)-1,1,1)</f>
        <v>45743</v>
      </c>
      <c r="AK376" s="1602">
        <f ca="1">OFFSET(POrigin,MATCH(Valori[[#This Row],[LUKB_id]],PID,0),MATCH("INTEREST",PLabel,0)-1,1,1)</f>
        <v>0</v>
      </c>
      <c r="AL376" s="1603">
        <f ca="1">OFFSET(POrigin,MATCH(Valori[[#This Row],[LUKB_id]],PID,0),MATCH("4W_PERF_PR",PLabel,0)-1,1,1)/100</f>
        <v>-6.1328790000000001E-2</v>
      </c>
      <c r="AM376" s="1603">
        <f ca="1">OFFSET(POrigin,MATCH(Valori[[#This Row],[LUKB_id]],PID,0),MATCH("12W_PERF_PR",PLabel,0)-1,1,1)/100</f>
        <v>9.1575100000000006E-3</v>
      </c>
      <c r="AN376" s="1603">
        <f ca="1">OFFSET(POrigin,MATCH(Valori[[#This Row],[LUKB_id]],PID,0),MATCH("YTD_PERF_PR",PLabel,0)-1,1,1)/100</f>
        <v>-1.7761989342807E-3</v>
      </c>
      <c r="AO376" s="1591"/>
      <c r="AP376" s="1591"/>
      <c r="AQ376" s="1591"/>
      <c r="AR376" s="1591"/>
      <c r="AS376" s="1890" t="s">
        <v>1934</v>
      </c>
      <c r="AT376" s="1890" t="s">
        <v>1935</v>
      </c>
      <c r="AU376" s="610" t="s">
        <v>1936</v>
      </c>
      <c r="AV376" s="1891" t="str">
        <f>IF(Valori[[#This Row],[MS_Link]]&lt;&gt;"",Valori[[#This Row],[MS_Link]]&amp;"company/","")</f>
        <v>https://www.marketscreener.com/quote/stock/SCHINDLER-HOLDING-AG-175296/company/</v>
      </c>
      <c r="AW376" s="1604" t="str">
        <f ca="1">"https://boersenundmaerkte.lukb.ch/lukb/details/"&amp;Valori[[#This Row],[LUKB_id]]</f>
        <v>https://boersenundmaerkte.lukb.ch/lukb/details/2463821,4,1</v>
      </c>
      <c r="AX376" s="1605" t="str">
        <f>"https://www.zonebourse.com/mods_a/charts/TV/inc_dyna_graph.php?c="&amp;Valori[[#This Row],[MS_Code]]&amp;"&amp;style=TradingView.CANDLES&amp;interval=(null)&amp;mobile=(null)&amp;showAT=1"</f>
        <v>https://www.zonebourse.com/mods_a/charts/TV/inc_dyna_graph.php?c=175296&amp;style=TradingView.CANDLES&amp;interval=(null)&amp;mobile=(null)&amp;showAT=1</v>
      </c>
      <c r="AY376" s="142"/>
      <c r="AZ376" s="142"/>
      <c r="BA376" s="142"/>
      <c r="BB376" s="142"/>
    </row>
    <row r="377" spans="1:54" ht="15" customHeight="1" x14ac:dyDescent="0.2">
      <c r="A377" s="142" t="s">
        <v>1937</v>
      </c>
      <c r="B377" s="142" t="str" cm="1">
        <f t="array" aca="1" ref="B377" ca="1">OFFSET(POrigin,MATCH(Valori[[#This Row],[smo_id]],Posizioni[smo_id],0),MATCH("LUKB_id",PIntestazioni,0)-1,1,1)</f>
        <v>509120,25,814</v>
      </c>
      <c r="C377" s="1668" t="str">
        <f ca="1">HYPERLINK("https://boersenundmaerkte.lukb.ch/lukb/details/"&amp;Valori[[#This Row],[LUKB_id]],"è")</f>
        <v>è</v>
      </c>
      <c r="D377" s="142" t="str" cm="1">
        <f t="array" aca="1" ref="D377" ca="1">OFFSET(POrigin,MATCH(Valori[[#This Row],[LUKB_id]],PID,0),MATCH("SC_GROUPED",PIntestazioni,0)-1,1,1)</f>
        <v>EQU</v>
      </c>
      <c r="E377" s="413" t="str" cm="1">
        <f t="array" aca="1" ref="E377" ca="1">OFFSET(POrigin,MATCH(Valori[[#This Row],[LUKB_id]],PID,0),MATCH("isin",PIntestazioni,0)-1,1,1)</f>
        <v>FR0000121972</v>
      </c>
      <c r="F377" s="34" t="str" cm="1">
        <f t="array" aca="1" ref="F377" ca="1">OFFSET(POrigin,MATCH(Valori[[#This Row],[LUKB_id]],PID,0),MATCH("NSIN_CH",PLabel,0)-1,1,1)</f>
        <v>509120</v>
      </c>
      <c r="G377" s="95" t="str" cm="1">
        <f t="array" aca="1" ref="G377" ca="1">IF(OFFSET(POrigin,MATCH(Valori[[#This Row],[LUKB_id]],PID,0),MATCH("INSTRUNIT",PLabel,0)-1,1,1)="Nominal","Pct","Unit")</f>
        <v>Unit</v>
      </c>
      <c r="H377" s="612">
        <f ca="1">MAX(OFFSET(POrigin,MATCH(Valori[[#This Row],[LUKB_id]],PID,0),MATCH("PRICINGAMT",PLabel,0)-1,1,1),1)</f>
        <v>1</v>
      </c>
      <c r="I377" s="615" t="str" cm="1">
        <f t="array" aca="1" ref="I377" ca="1">OFFSET(POrigin,MATCH(Valori[[#This Row],[LUKB_id]],PID,0),MATCH("M_NAME",PLabel,0)-1,1,1)</f>
        <v>Schneider El</v>
      </c>
      <c r="J377" s="142" t="s">
        <v>3892</v>
      </c>
      <c r="M377" s="142" t="str" cm="1">
        <f t="array" aca="1" ref="M3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Schneider Electric</v>
      </c>
      <c r="N377" s="1563">
        <f ca="1">COUNTIF('CHF M'!smo_id,Valori[[#This Row],[smo_id]])+COUNTIF('CHF MA'!smo_id,Valori[[#This Row],[smo_id]])+COUNTIF('EUR MB'!smo_id,Valori[[#This Row],[smo_id]])+COUNTIF('EUR M'!smo_id,Valori[[#This Row],[smo_id]])+COUNTIF(AGCO!smo_id,Valori[[#This Row],[smo_id]])</f>
        <v>3</v>
      </c>
      <c r="O377" s="1590" cm="1">
        <f t="array" aca="1" ref="O377" ca="1">SUM(IF('CHF M'!smo_id=Valori[[#This Row],[smo_id]],'CHF M'!Posizione))+SUM(IF('CHF MA'!smo_id=Valori[[#This Row],[smo_id]],'CHF MA'!Posizione))+SUM(IF('EUR MB'!smo_id=Valori[[#This Row],[smo_id]],'EUR MB'!Posizione))+SUM(IF('EUR M'!smo_id=Valori[[#This Row],[smo_id]],'EUR M'!Posizione))+SUM(IF(AGCO!smo_id=Valori[[#This Row],[smo_id]],AGCO!Posizione))</f>
        <v>0</v>
      </c>
      <c r="P377" s="1661" t="str">
        <f ca="1">HYPERLINK(Valori[[#This Row],[P_Source]],"è")</f>
        <v>è</v>
      </c>
      <c r="Q377" s="1663" t="str">
        <f>HYPERLINK(Valori[[#This Row],[Info_W]],"i")</f>
        <v>i</v>
      </c>
      <c r="R377" s="1664" t="str">
        <f>HYPERLINK(Valori[[#This Row],[FN_W]],"")</f>
        <v></v>
      </c>
      <c r="S377" s="1665" t="str">
        <f>HYPERLINK(Valori[[#This Row],[MS_Link]],"")</f>
        <v></v>
      </c>
      <c r="T377" s="1665" t="str">
        <f>HYPERLINK(Valori[[#This Row],[C_source]],"")</f>
        <v></v>
      </c>
      <c r="U377" s="142" t="str" cm="1">
        <f t="array" aca="1" ref="U377" ca="1">OFFSET(POrigin,MATCH(Valori[[#This Row],[LUKB_id]],PID,0),MATCH("M_CUR",PLabel,0)-1,1,1)</f>
        <v>EUR</v>
      </c>
      <c r="V377" s="1562">
        <f ca="1">(Valori[[#This Row],[Last]]+Valori[[#This Row],[Acc. Int]])/Valori[[#This Row],[Pr.Amt]]/IF(Valori[[#This Row],[P_Type]]="Pct",100,1)</f>
        <v>267.75</v>
      </c>
      <c r="W377" s="1591" cm="1">
        <f t="array" aca="1" ref="W377" ca="1">OFFSET(POrigin,MATCH(Valori[[#This Row],[LUKB_id]],PID,0),MATCH("NC2_PR",PLabel,0)-1,1,1)/100</f>
        <v>-3.2345500542103396E-2</v>
      </c>
      <c r="X377" s="1592" cm="1">
        <f t="array" aca="1" ref="X377" ca="1">OFFSET(POrigin,MATCH(Valori[[#This Row],[LUKB_id]],PID,0),MATCH("LVAL",PLabel,0)-1,1,1)</f>
        <v>267.75</v>
      </c>
      <c r="Y377" s="1593" cm="1">
        <f t="array" aca="1" ref="Y377" ca="1">OFFSET(POrigin,MATCH(Valori[[#This Row],[LUKB_id]],PID,0),MATCH("LVAL:datetime",PLabel,0)-1,1,1)</f>
        <v>46083.746527777781</v>
      </c>
      <c r="Z377" s="1594" cm="1">
        <f t="array" aca="1" ref="Z377" ca="1">OFFSET(POrigin,MATCH(Valori[[#This Row],[LUKB_id]],PID,0),MATCH("BID:volume",PLabel,0)-1,1,1)</f>
        <v>0</v>
      </c>
      <c r="AA377" s="1595" cm="1">
        <f t="array" aca="1" ref="AA377" ca="1">OFFSET(POrigin,MATCH(Valori[[#This Row],[LUKB_id]],PID,0),MATCH("BID",PLabel,0)-1,1,1)</f>
        <v>0</v>
      </c>
      <c r="AB377" s="1595" cm="1">
        <f t="array" aca="1" ref="AB377" ca="1">OFFSET(POrigin,MATCH(Valori[[#This Row],[LUKB_id]],PID,0),MATCH("ASK",PLabel,0)-1,1,1)</f>
        <v>0</v>
      </c>
      <c r="AC377" s="1594" cm="1">
        <f t="array" aca="1" ref="AC377" ca="1">OFFSET(POrigin,MATCH(Valori[[#This Row],[LUKB_id]],PID,0),MATCH("ASK:volume",PLabel,0)-1,1,1)</f>
        <v>0</v>
      </c>
      <c r="AD377" s="1596" cm="1">
        <f t="array" aca="1" ref="AD377" ca="1">OFFSET(POrigin,MATCH(Valori[[#This Row],[LUKB_id]],PID,0),MATCH("BID-ASK Spread %",PLabel,0)-1,1,1)</f>
        <v>0</v>
      </c>
      <c r="AE377" s="1597" t="str" cm="1">
        <f t="array" aca="1" ref="AE377" ca="1">IF(OFFSET(POrigin,MATCH(Valori[[#This Row],[LUKB_id]],PID,0),MATCH("MATURITY",PLabel,0)-1,1,1)&gt;0,OFFSET(POrigin,MATCH(Valori[[#This Row],[LUKB_id]],PID,0),MATCH("MATURITY",PLabel,0)-1,1,1),"")</f>
        <v/>
      </c>
      <c r="AF377" s="1598" cm="1">
        <f t="array" aca="1" ref="AF377" ca="1">OFFSET(POrigin,MATCH(Valori[[#This Row],[LUKB_id]],PID,0),MATCH("ACCINT",PLabel,0)-1,1,1)</f>
        <v>0</v>
      </c>
      <c r="AG377" s="1594" cm="1">
        <f t="array" aca="1" ref="AG377" ca="1">OFFSET(POrigin,MATCH(Valori[[#This Row],[LUKB_id]],PID,0),MATCH("DENOM",PLabel,0)-1,1,1)</f>
        <v>0</v>
      </c>
      <c r="AH377" s="1599" cm="1">
        <f t="array" aca="1" ref="AH377" ca="1">(OFFSET(POrigin,MATCH(Valori[[#This Row],[LUKB_id]],PID,0),MATCH("YIELD",PLabel,0)-1,1,1)+OFFSET(POrigin,MATCH(Valori[[#This Row],[LUKB_id]],PID,0),MATCH("YLDEQ",PLabel,0)-1,1,1))/100</f>
        <v>0</v>
      </c>
      <c r="AI377" s="1600">
        <f ca="1">OFFSET(POrigin,MATCH(Valori[[#This Row],[LUKB_id]],PID,0),MATCH("DIVIDEND",PLabel,0)-1,1,1)</f>
        <v>3.9000000000000004</v>
      </c>
      <c r="AJ377" s="1601">
        <f ca="1">OFFSET(POrigin,MATCH(Valori[[#This Row],[LUKB_id]],PID,0),MATCH("DIVIDEND:datetime",PLabel,0)-1,1,1)</f>
        <v>45790</v>
      </c>
      <c r="AK377" s="1602">
        <f ca="1">OFFSET(POrigin,MATCH(Valori[[#This Row],[LUKB_id]],PID,0),MATCH("INTEREST",PLabel,0)-1,1,1)</f>
        <v>0</v>
      </c>
      <c r="AL377" s="1603">
        <f ca="1">OFFSET(POrigin,MATCH(Valori[[#This Row],[LUKB_id]],PID,0),MATCH("4W_PERF_PR",PLabel,0)-1,1,1)/100</f>
        <v>8.5766423357664212E-2</v>
      </c>
      <c r="AM377" s="1603">
        <f ca="1">OFFSET(POrigin,MATCH(Valori[[#This Row],[LUKB_id]],PID,0),MATCH("12W_PERF_PR",PLabel,0)-1,1,1)/100</f>
        <v>0.12689393939394</v>
      </c>
      <c r="AN377" s="1603">
        <f ca="1">OFFSET(POrigin,MATCH(Valori[[#This Row],[LUKB_id]],PID,0),MATCH("YTD_PERF_PR",PLabel,0)-1,1,1)/100</f>
        <v>0.13984674329502</v>
      </c>
      <c r="AO377" s="1591"/>
      <c r="AP377" s="1591"/>
      <c r="AQ377" s="1591"/>
      <c r="AR377" s="1591"/>
      <c r="AS377" s="1890" t="s">
        <v>1938</v>
      </c>
      <c r="AT377" s="1890" t="s">
        <v>1939</v>
      </c>
      <c r="AU377" s="610" t="s">
        <v>1940</v>
      </c>
      <c r="AV377" s="1891" t="str">
        <f>IF(Valori[[#This Row],[MS_Link]]&lt;&gt;"",Valori[[#This Row],[MS_Link]]&amp;"company/","")</f>
        <v>https://www.marketscreener.com/quote/stock/SCHNEIDER-ELECTRIC-SE-4699/company/</v>
      </c>
      <c r="AW377" s="1604" t="str">
        <f ca="1">"https://boersenundmaerkte.lukb.ch/lukb/details/"&amp;Valori[[#This Row],[LUKB_id]]</f>
        <v>https://boersenundmaerkte.lukb.ch/lukb/details/509120,25,814</v>
      </c>
      <c r="AX377" s="1605" t="str">
        <f>"https://www.marketscreener.com/mods_a/charts/TV/inc_dyna_graph.php?c="&amp;Valori[[#This Row],[MS_Code]]&amp;"&amp;style=TradingView.CANDLES&amp;interval=(null)&amp;mobile=(null)&amp;showAT=1"</f>
        <v>https://www.marketscreener.com/mods_a/charts/TV/inc_dyna_graph.php?c=4699&amp;style=TradingView.CANDLES&amp;interval=(null)&amp;mobile=(null)&amp;showAT=1</v>
      </c>
      <c r="AY377" s="142"/>
      <c r="AZ377" s="142"/>
      <c r="BA377" s="142"/>
      <c r="BB377" s="142"/>
    </row>
    <row r="378" spans="1:54" ht="15" customHeight="1" x14ac:dyDescent="0.2">
      <c r="A378" s="142" t="s">
        <v>1941</v>
      </c>
      <c r="B378" s="142" t="str" cm="1">
        <f t="array" aca="1" ref="B378" ca="1">OFFSET(POrigin,MATCH(Valori[[#This Row],[smo_id]],Posizioni[smo_id],0),MATCH("LUKB_id",PIntestazioni,0)-1,1,1)</f>
        <v>41879292,4,1</v>
      </c>
      <c r="C378" s="1668" t="str">
        <f ca="1">HYPERLINK("https://boersenundmaerkte.lukb.ch/lukb/details/"&amp;Valori[[#This Row],[LUKB_id]],"è")</f>
        <v>è</v>
      </c>
      <c r="D378" s="142" t="str" cm="1">
        <f t="array" aca="1" ref="D378" ca="1">OFFSET(POrigin,MATCH(Valori[[#This Row],[LUKB_id]],PID,0),MATCH("SC_GROUPED",PIntestazioni,0)-1,1,1)</f>
        <v>EQU</v>
      </c>
      <c r="E378" s="413" t="str" cm="1">
        <f t="array" aca="1" ref="E378" ca="1">OFFSET(POrigin,MATCH(Valori[[#This Row],[LUKB_id]],PID,0),MATCH("isin",PIntestazioni,0)-1,1,1)</f>
        <v>CH0418792922</v>
      </c>
      <c r="F378" s="34" t="str" cm="1">
        <f t="array" aca="1" ref="F378" ca="1">OFFSET(POrigin,MATCH(Valori[[#This Row],[LUKB_id]],PID,0),MATCH("NSIN_CH",PLabel,0)-1,1,1)</f>
        <v>41879292</v>
      </c>
      <c r="G378" s="95" t="str" cm="1">
        <f t="array" aca="1" ref="G378" ca="1">IF(OFFSET(POrigin,MATCH(Valori[[#This Row],[LUKB_id]],PID,0),MATCH("INSTRUNIT",PLabel,0)-1,1,1)="Nominal","Pct","Unit")</f>
        <v>Unit</v>
      </c>
      <c r="H378" s="612">
        <f ca="1">MAX(OFFSET(POrigin,MATCH(Valori[[#This Row],[LUKB_id]],PID,0),MATCH("PRICINGAMT",PLabel,0)-1,1,1),1)</f>
        <v>1</v>
      </c>
      <c r="I378" s="615" t="str" cm="1">
        <f t="array" aca="1" ref="I378" ca="1">OFFSET(POrigin,MATCH(Valori[[#This Row],[LUKB_id]],PID,0),MATCH("M_NAME",PLabel,0)-1,1,1)</f>
        <v>Sika N</v>
      </c>
      <c r="J378" s="142" t="s">
        <v>428</v>
      </c>
      <c r="M378" s="142" t="str" cm="1">
        <f t="array" aca="1" ref="M3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Sika AG</v>
      </c>
      <c r="N378" s="1563">
        <f ca="1">COUNTIF('CHF M'!smo_id,Valori[[#This Row],[smo_id]])+COUNTIF('CHF MA'!smo_id,Valori[[#This Row],[smo_id]])+COUNTIF('EUR MB'!smo_id,Valori[[#This Row],[smo_id]])+COUNTIF('EUR M'!smo_id,Valori[[#This Row],[smo_id]])+COUNTIF(AGCO!smo_id,Valori[[#This Row],[smo_id]])</f>
        <v>0</v>
      </c>
      <c r="O378" s="1590" cm="1">
        <f t="array" aca="1" ref="O378" ca="1">SUM(IF('CHF M'!smo_id=Valori[[#This Row],[smo_id]],'CHF M'!Posizione))+SUM(IF('CHF MA'!smo_id=Valori[[#This Row],[smo_id]],'CHF MA'!Posizione))+SUM(IF('EUR MB'!smo_id=Valori[[#This Row],[smo_id]],'EUR MB'!Posizione))+SUM(IF('EUR M'!smo_id=Valori[[#This Row],[smo_id]],'EUR M'!Posizione))+SUM(IF(AGCO!smo_id=Valori[[#This Row],[smo_id]],AGCO!Posizione))</f>
        <v>0</v>
      </c>
      <c r="P378" s="1661" t="str">
        <f ca="1">HYPERLINK(Valori[[#This Row],[P_Source]],"è")</f>
        <v>è</v>
      </c>
      <c r="Q378" s="1663" t="str">
        <f>HYPERLINK(Valori[[#This Row],[Info_W]],"i")</f>
        <v>i</v>
      </c>
      <c r="R378" s="1664" t="str">
        <f>HYPERLINK(Valori[[#This Row],[FN_W]],"")</f>
        <v></v>
      </c>
      <c r="S378" s="1665" t="str">
        <f>HYPERLINK(Valori[[#This Row],[MS_Link]],"")</f>
        <v></v>
      </c>
      <c r="T378" s="1665" t="str">
        <f>HYPERLINK(Valori[[#This Row],[C_source]],"")</f>
        <v></v>
      </c>
      <c r="U378" s="142" t="str" cm="1">
        <f t="array" aca="1" ref="U378" ca="1">OFFSET(POrigin,MATCH(Valori[[#This Row],[LUKB_id]],PID,0),MATCH("M_CUR",PLabel,0)-1,1,1)</f>
        <v>CHF</v>
      </c>
      <c r="V378" s="1562">
        <f ca="1">(Valori[[#This Row],[Last]]+Valori[[#This Row],[Acc. Int]])/Valori[[#This Row],[Pr.Amt]]/IF(Valori[[#This Row],[P_Type]]="Pct",100,1)</f>
        <v>151.55000000000001</v>
      </c>
      <c r="W378" s="1591" cm="1">
        <f t="array" aca="1" ref="W378" ca="1">OFFSET(POrigin,MATCH(Valori[[#This Row],[LUKB_id]],PID,0),MATCH("NC2_PR",PLabel,0)-1,1,1)/100</f>
        <v>-3.7166454891994903E-2</v>
      </c>
      <c r="X378" s="1592" cm="1">
        <f t="array" aca="1" ref="X378" ca="1">OFFSET(POrigin,MATCH(Valori[[#This Row],[LUKB_id]],PID,0),MATCH("LVAL",PLabel,0)-1,1,1)</f>
        <v>151.55000000000001</v>
      </c>
      <c r="Y378" s="1593" cm="1">
        <f t="array" aca="1" ref="Y378" ca="1">OFFSET(POrigin,MATCH(Valori[[#This Row],[LUKB_id]],PID,0),MATCH("LVAL:datetime",PLabel,0)-1,1,1)</f>
        <v>46084.732916666668</v>
      </c>
      <c r="Z378" s="1594" cm="1">
        <f t="array" aca="1" ref="Z378" ca="1">OFFSET(POrigin,MATCH(Valori[[#This Row],[LUKB_id]],PID,0),MATCH("BID:volume",PLabel,0)-1,1,1)</f>
        <v>0</v>
      </c>
      <c r="AA378" s="1595" cm="1">
        <f t="array" aca="1" ref="AA378" ca="1">OFFSET(POrigin,MATCH(Valori[[#This Row],[LUKB_id]],PID,0),MATCH("BID",PLabel,0)-1,1,1)</f>
        <v>0</v>
      </c>
      <c r="AB378" s="1595" cm="1">
        <f t="array" aca="1" ref="AB378" ca="1">OFFSET(POrigin,MATCH(Valori[[#This Row],[LUKB_id]],PID,0),MATCH("ASK",PLabel,0)-1,1,1)</f>
        <v>0</v>
      </c>
      <c r="AC378" s="1594" cm="1">
        <f t="array" aca="1" ref="AC378" ca="1">OFFSET(POrigin,MATCH(Valori[[#This Row],[LUKB_id]],PID,0),MATCH("ASK:volume",PLabel,0)-1,1,1)</f>
        <v>0</v>
      </c>
      <c r="AD378" s="1596" cm="1">
        <f t="array" aca="1" ref="AD378" ca="1">OFFSET(POrigin,MATCH(Valori[[#This Row],[LUKB_id]],PID,0),MATCH("BID-ASK Spread %",PLabel,0)-1,1,1)</f>
        <v>0</v>
      </c>
      <c r="AE378" s="1597" t="str" cm="1">
        <f t="array" aca="1" ref="AE378" ca="1">IF(OFFSET(POrigin,MATCH(Valori[[#This Row],[LUKB_id]],PID,0),MATCH("MATURITY",PLabel,0)-1,1,1)&gt;0,OFFSET(POrigin,MATCH(Valori[[#This Row],[LUKB_id]],PID,0),MATCH("MATURITY",PLabel,0)-1,1,1),"")</f>
        <v/>
      </c>
      <c r="AF378" s="1598" cm="1">
        <f t="array" aca="1" ref="AF378" ca="1">OFFSET(POrigin,MATCH(Valori[[#This Row],[LUKB_id]],PID,0),MATCH("ACCINT",PLabel,0)-1,1,1)</f>
        <v>0</v>
      </c>
      <c r="AG378" s="1594" cm="1">
        <f t="array" aca="1" ref="AG378" ca="1">OFFSET(POrigin,MATCH(Valori[[#This Row],[LUKB_id]],PID,0),MATCH("DENOM",PLabel,0)-1,1,1)</f>
        <v>0</v>
      </c>
      <c r="AH378" s="1599" cm="1">
        <f t="array" aca="1" ref="AH378" ca="1">(OFFSET(POrigin,MATCH(Valori[[#This Row],[LUKB_id]],PID,0),MATCH("YIELD",PLabel,0)-1,1,1)+OFFSET(POrigin,MATCH(Valori[[#This Row],[LUKB_id]],PID,0),MATCH("YLDEQ",PLabel,0)-1,1,1))/100</f>
        <v>2.4414379999999999E-2</v>
      </c>
      <c r="AI378" s="1600">
        <f ca="1">OFFSET(POrigin,MATCH(Valori[[#This Row],[LUKB_id]],PID,0),MATCH("DIVIDEND",PLabel,0)-1,1,1)</f>
        <v>3.6</v>
      </c>
      <c r="AJ378" s="1601">
        <f ca="1">OFFSET(POrigin,MATCH(Valori[[#This Row],[LUKB_id]],PID,0),MATCH("DIVIDEND:datetime",PLabel,0)-1,1,1)</f>
        <v>45743</v>
      </c>
      <c r="AK378" s="1602">
        <f ca="1">OFFSET(POrigin,MATCH(Valori[[#This Row],[LUKB_id]],PID,0),MATCH("INTEREST",PLabel,0)-1,1,1)</f>
        <v>0</v>
      </c>
      <c r="AL378" s="1603">
        <f ca="1">OFFSET(POrigin,MATCH(Valori[[#This Row],[LUKB_id]],PID,0),MATCH("4W_PERF_PR",PLabel,0)-1,1,1)/100</f>
        <v>1.9834699999999998E-3</v>
      </c>
      <c r="AM378" s="1603">
        <f ca="1">OFFSET(POrigin,MATCH(Valori[[#This Row],[LUKB_id]],PID,0),MATCH("12W_PERF_PR",PLabel,0)-1,1,1)/100</f>
        <v>-3.6248009999999997E-2</v>
      </c>
      <c r="AN378" s="1603">
        <f ca="1">OFFSET(POrigin,MATCH(Valori[[#This Row],[LUKB_id]],PID,0),MATCH("YTD_PERF_PR",PLabel,0)-1,1,1)/100</f>
        <v>-3.1980319803198196E-2</v>
      </c>
      <c r="AO378" s="1591"/>
      <c r="AP378" s="1591"/>
      <c r="AQ378" s="1591"/>
      <c r="AR378" s="1591"/>
      <c r="AS378" s="1890" t="s">
        <v>1942</v>
      </c>
      <c r="AT378" s="1890" t="s">
        <v>1943</v>
      </c>
      <c r="AU378" s="610" t="s">
        <v>1944</v>
      </c>
      <c r="AV378" s="1891" t="str">
        <f>IF(Valori[[#This Row],[MS_Link]]&lt;&gt;"",Valori[[#This Row],[MS_Link]]&amp;"company/","")</f>
        <v>https://www.marketscreener.com/quote/stock/SIKA-AG-44231526/company/</v>
      </c>
      <c r="AW378" s="1604" t="str">
        <f ca="1">"https://boersenundmaerkte.lukb.ch/lukb/details/"&amp;Valori[[#This Row],[LUKB_id]]</f>
        <v>https://boersenundmaerkte.lukb.ch/lukb/details/41879292,4,1</v>
      </c>
      <c r="AX378" s="1605" t="str">
        <f>"https://www.marketscreener.com/mods_a/charts/TV/inc_dyna_graph.php?c="&amp;Valori[[#This Row],[MS_Code]]&amp;"&amp;style=TradingView.CANDLES&amp;interval=(null)&amp;mobile=(null)&amp;showAT=1"</f>
        <v>https://www.marketscreener.com/mods_a/charts/TV/inc_dyna_graph.php?c=44231526&amp;style=TradingView.CANDLES&amp;interval=(null)&amp;mobile=(null)&amp;showAT=1</v>
      </c>
      <c r="AY378" s="142"/>
      <c r="AZ378" s="142"/>
      <c r="BA378" s="142"/>
      <c r="BB378" s="142"/>
    </row>
    <row r="379" spans="1:54" ht="15" customHeight="1" x14ac:dyDescent="0.2">
      <c r="A379" s="142" t="s">
        <v>4420</v>
      </c>
      <c r="B379" s="142" t="str" cm="1">
        <f t="array" aca="1" ref="B379" ca="1">OFFSET(POrigin,MATCH(Valori[[#This Row],[smo_id]],Posizioni[smo_id],0),MATCH("LUKB_id",PIntestazioni,0)-1,1,1)</f>
        <v>138622040,4,1</v>
      </c>
      <c r="C379" s="1668" t="str">
        <f ca="1">HYPERLINK("https://boersenundmaerkte.lukb.ch/lukb/details/"&amp;Valori[[#This Row],[LUKB_id]],"è")</f>
        <v>è</v>
      </c>
      <c r="D379" s="142" t="str" cm="1">
        <f t="array" aca="1" ref="D379" ca="1">OFFSET(POrigin,MATCH(Valori[[#This Row],[LUKB_id]],PID,0),MATCH("SC_GROUPED",PIntestazioni,0)-1,1,1)</f>
        <v>EQU</v>
      </c>
      <c r="E379" s="413" t="str" cm="1">
        <f t="array" aca="1" ref="E379" ca="1">OFFSET(POrigin,MATCH(Valori[[#This Row],[LUKB_id]],PID,0),MATCH("isin",PIntestazioni,0)-1,1,1)</f>
        <v>CH1386220409</v>
      </c>
      <c r="F379" s="34" t="str" cm="1">
        <f t="array" aca="1" ref="F379" ca="1">OFFSET(POrigin,MATCH(Valori[[#This Row],[LUKB_id]],PID,0),MATCH("NSIN_CH",PLabel,0)-1,1,1)</f>
        <v>138622040</v>
      </c>
      <c r="G379" s="95" t="str" cm="1">
        <f t="array" aca="1" ref="G379" ca="1">IF(OFFSET(POrigin,MATCH(Valori[[#This Row],[LUKB_id]],PID,0),MATCH("INSTRUNIT",PLabel,0)-1,1,1)="Nominal","Pct","Unit")</f>
        <v>Unit</v>
      </c>
      <c r="H379" s="612">
        <f ca="1">MAX(OFFSET(POrigin,MATCH(Valori[[#This Row],[LUKB_id]],PID,0),MATCH("PRICINGAMT",PLabel,0)-1,1,1),1)</f>
        <v>1</v>
      </c>
      <c r="I379" s="615" t="str" cm="1">
        <f t="array" aca="1" ref="I379" ca="1">OFFSET(POrigin,MATCH(Valori[[#This Row],[LUKB_id]],PID,0),MATCH("M_NAME",PLabel,0)-1,1,1)</f>
        <v>Sunrise Commun N-A</v>
      </c>
      <c r="J379" s="142" t="s">
        <v>4426</v>
      </c>
      <c r="M379" s="142" t="str" cm="1">
        <f t="array" aca="1" ref="M3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Sunrise Communications</v>
      </c>
      <c r="N379" s="1563">
        <f ca="1">COUNTIF('CHF M'!smo_id,Valori[[#This Row],[smo_id]])+COUNTIF('CHF MA'!smo_id,Valori[[#This Row],[smo_id]])+COUNTIF('EUR MB'!smo_id,Valori[[#This Row],[smo_id]])+COUNTIF('EUR M'!smo_id,Valori[[#This Row],[smo_id]])+COUNTIF(AGCO!smo_id,Valori[[#This Row],[smo_id]])</f>
        <v>3</v>
      </c>
      <c r="O379" s="1590" cm="1">
        <f t="array" aca="1" ref="O379" ca="1">SUM(IF('CHF M'!smo_id=Valori[[#This Row],[smo_id]],'CHF M'!Posizione))+SUM(IF('CHF MA'!smo_id=Valori[[#This Row],[smo_id]],'CHF MA'!Posizione))+SUM(IF('EUR MB'!smo_id=Valori[[#This Row],[smo_id]],'EUR MB'!Posizione))+SUM(IF('EUR M'!smo_id=Valori[[#This Row],[smo_id]],'EUR M'!Posizione))+SUM(IF(AGCO!smo_id=Valori[[#This Row],[smo_id]],AGCO!Posizione))</f>
        <v>360</v>
      </c>
      <c r="P379" s="1661" t="str">
        <f ca="1">HYPERLINK(Valori[[#This Row],[P_Source]],"è")</f>
        <v>è</v>
      </c>
      <c r="Q379" s="1663" t="str">
        <f>HYPERLINK(Valori[[#This Row],[Info_W]],"i")</f>
        <v>i</v>
      </c>
      <c r="R379" s="1664" t="str">
        <f>HYPERLINK(Valori[[#This Row],[FN_W]],"")</f>
        <v></v>
      </c>
      <c r="S379" s="1665" t="str">
        <f>HYPERLINK(Valori[[#This Row],[MS_Link]],"")</f>
        <v></v>
      </c>
      <c r="T379" s="1665" t="str">
        <f>HYPERLINK(Valori[[#This Row],[C_source]],"")</f>
        <v></v>
      </c>
      <c r="U379" s="142" t="str" cm="1">
        <f t="array" aca="1" ref="U379" ca="1">OFFSET(POrigin,MATCH(Valori[[#This Row],[LUKB_id]],PID,0),MATCH("M_CUR",PLabel,0)-1,1,1)</f>
        <v>CHF</v>
      </c>
      <c r="V379" s="1562">
        <f ca="1">(Valori[[#This Row],[Last]]+Valori[[#This Row],[Acc. Int]])/Valori[[#This Row],[Pr.Amt]]/IF(Valori[[#This Row],[P_Type]]="Pct",100,1)</f>
        <v>48.660000000000004</v>
      </c>
      <c r="W379" s="1591" cm="1">
        <f t="array" aca="1" ref="W379" ca="1">OFFSET(POrigin,MATCH(Valori[[#This Row],[LUKB_id]],PID,0),MATCH("NC2_PR",PLabel,0)-1,1,1)/100</f>
        <v>-1.7366720516962898E-2</v>
      </c>
      <c r="X379" s="1592" cm="1">
        <f t="array" aca="1" ref="X379" ca="1">OFFSET(POrigin,MATCH(Valori[[#This Row],[LUKB_id]],PID,0),MATCH("LVAL",PLabel,0)-1,1,1)</f>
        <v>48.660000000000004</v>
      </c>
      <c r="Y379" s="1593" cm="1">
        <f t="array" aca="1" ref="Y379" ca="1">OFFSET(POrigin,MATCH(Valori[[#This Row],[LUKB_id]],PID,0),MATCH("LVAL:datetime",PLabel,0)-1,1,1)</f>
        <v>46084.730081018519</v>
      </c>
      <c r="Z379" s="1594" cm="1">
        <f t="array" aca="1" ref="Z379" ca="1">OFFSET(POrigin,MATCH(Valori[[#This Row],[LUKB_id]],PID,0),MATCH("BID:volume",PLabel,0)-1,1,1)</f>
        <v>1000</v>
      </c>
      <c r="AA379" s="1595" cm="1">
        <f t="array" aca="1" ref="AA379" ca="1">OFFSET(POrigin,MATCH(Valori[[#This Row],[LUKB_id]],PID,0),MATCH("BID",PLabel,0)-1,1,1)</f>
        <v>49.5</v>
      </c>
      <c r="AB379" s="1595" cm="1">
        <f t="array" aca="1" ref="AB379" ca="1">OFFSET(POrigin,MATCH(Valori[[#This Row],[LUKB_id]],PID,0),MATCH("ASK",PLabel,0)-1,1,1)</f>
        <v>48.300000000000004</v>
      </c>
      <c r="AC379" s="1594" cm="1">
        <f t="array" aca="1" ref="AC379" ca="1">OFFSET(POrigin,MATCH(Valori[[#This Row],[LUKB_id]],PID,0),MATCH("ASK:volume",PLabel,0)-1,1,1)</f>
        <v>15</v>
      </c>
      <c r="AD379" s="1596" cm="1">
        <f t="array" aca="1" ref="AD379" ca="1">OFFSET(POrigin,MATCH(Valori[[#This Row],[LUKB_id]],PID,0),MATCH("BID-ASK Spread %",PLabel,0)-1,1,1)</f>
        <v>-1.6293279022403198E-2</v>
      </c>
      <c r="AE379" s="1597" t="str" cm="1">
        <f t="array" aca="1" ref="AE379" ca="1">IF(OFFSET(POrigin,MATCH(Valori[[#This Row],[LUKB_id]],PID,0),MATCH("MATURITY",PLabel,0)-1,1,1)&gt;0,OFFSET(POrigin,MATCH(Valori[[#This Row],[LUKB_id]],PID,0),MATCH("MATURITY",PLabel,0)-1,1,1),"")</f>
        <v/>
      </c>
      <c r="AF379" s="1598" cm="1">
        <f t="array" aca="1" ref="AF379" ca="1">OFFSET(POrigin,MATCH(Valori[[#This Row],[LUKB_id]],PID,0),MATCH("ACCINT",PLabel,0)-1,1,1)</f>
        <v>0</v>
      </c>
      <c r="AG379" s="1594" cm="1">
        <f t="array" aca="1" ref="AG379" ca="1">OFFSET(POrigin,MATCH(Valori[[#This Row],[LUKB_id]],PID,0),MATCH("DENOM",PLabel,0)-1,1,1)</f>
        <v>0</v>
      </c>
      <c r="AH379" s="1599" cm="1">
        <f t="array" aca="1" ref="AH379" ca="1">(OFFSET(POrigin,MATCH(Valori[[#This Row],[LUKB_id]],PID,0),MATCH("YIELD",PLabel,0)-1,1,1)+OFFSET(POrigin,MATCH(Valori[[#This Row],[LUKB_id]],PID,0),MATCH("YLDEQ",PLabel,0)-1,1,1))/100</f>
        <v>7.0283600000000002E-2</v>
      </c>
      <c r="AI379" s="1600">
        <f ca="1">OFFSET(POrigin,MATCH(Valori[[#This Row],[LUKB_id]],PID,0),MATCH("DIVIDEND",PLabel,0)-1,1,1)</f>
        <v>0</v>
      </c>
      <c r="AJ379" s="1601">
        <f ca="1">OFFSET(POrigin,MATCH(Valori[[#This Row],[LUKB_id]],PID,0),MATCH("DIVIDEND:datetime",PLabel,0)-1,1,1)</f>
        <v>0</v>
      </c>
      <c r="AK379" s="1602">
        <f ca="1">OFFSET(POrigin,MATCH(Valori[[#This Row],[LUKB_id]],PID,0),MATCH("INTEREST",PLabel,0)-1,1,1)</f>
        <v>0</v>
      </c>
      <c r="AL379" s="1603">
        <f ca="1">OFFSET(POrigin,MATCH(Valori[[#This Row],[LUKB_id]],PID,0),MATCH("4W_PERF_PR",PLabel,0)-1,1,1)/100</f>
        <v>0.11965024999999999</v>
      </c>
      <c r="AM379" s="1603">
        <f ca="1">OFFSET(POrigin,MATCH(Valori[[#This Row],[LUKB_id]],PID,0),MATCH("12W_PERF_PR",PLabel,0)-1,1,1)/100</f>
        <v>0.20744416999999998</v>
      </c>
      <c r="AN379" s="1603">
        <f ca="1">OFFSET(POrigin,MATCH(Valori[[#This Row],[LUKB_id]],PID,0),MATCH("YTD_PERF_PR",PLabel,0)-1,1,1)/100</f>
        <v>0.167373880245168</v>
      </c>
      <c r="AO379" s="1591"/>
      <c r="AP379" s="1591"/>
      <c r="AQ379" s="1591"/>
      <c r="AR379" s="1591"/>
      <c r="AS379" s="1890"/>
      <c r="AT379" s="1890"/>
      <c r="AU379" s="610"/>
      <c r="AV379" s="1891"/>
      <c r="AW379" s="1604" t="str">
        <f ca="1">"https://boersenundmaerkte.lukb.ch/lukb/details/"&amp;Valori[[#This Row],[LUKB_id]]</f>
        <v>https://boersenundmaerkte.lukb.ch/lukb/details/138622040,4,1</v>
      </c>
      <c r="AX37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9" s="142"/>
      <c r="AZ379" s="142"/>
      <c r="BA379" s="142"/>
      <c r="BB379" s="142"/>
    </row>
    <row r="380" spans="1:54" ht="15" customHeight="1" x14ac:dyDescent="0.2">
      <c r="A380" s="142" t="s">
        <v>1945</v>
      </c>
      <c r="B380" s="142" t="str" cm="1">
        <f t="array" aca="1" ref="B380" ca="1">OFFSET(POrigin,MATCH(Valori[[#This Row],[smo_id]],Posizioni[smo_id],0),MATCH("LUKB_id",PIntestazioni,0)-1,1,1)</f>
        <v>1485278,4,1</v>
      </c>
      <c r="C380" s="1668" t="str">
        <f ca="1">HYPERLINK("https://boersenundmaerkte.lukb.ch/lukb/details/"&amp;Valori[[#This Row],[LUKB_id]],"è")</f>
        <v>è</v>
      </c>
      <c r="D380" s="142" t="str" cm="1">
        <f t="array" aca="1" ref="D380" ca="1">OFFSET(POrigin,MATCH(Valori[[#This Row],[LUKB_id]],PID,0),MATCH("SC_GROUPED",PIntestazioni,0)-1,1,1)</f>
        <v>EQU</v>
      </c>
      <c r="E380" s="413" t="str" cm="1">
        <f t="array" aca="1" ref="E380" ca="1">OFFSET(POrigin,MATCH(Valori[[#This Row],[LUKB_id]],PID,0),MATCH("isin",PIntestazioni,0)-1,1,1)</f>
        <v>CH0014852781</v>
      </c>
      <c r="F380" s="34" t="str" cm="1">
        <f t="array" aca="1" ref="F380" ca="1">OFFSET(POrigin,MATCH(Valori[[#This Row],[LUKB_id]],PID,0),MATCH("NSIN_CH",PLabel,0)-1,1,1)</f>
        <v>1485278</v>
      </c>
      <c r="G380" s="95" t="str" cm="1">
        <f t="array" aca="1" ref="G380" ca="1">IF(OFFSET(POrigin,MATCH(Valori[[#This Row],[LUKB_id]],PID,0),MATCH("INSTRUNIT",PLabel,0)-1,1,1)="Nominal","Pct","Unit")</f>
        <v>Unit</v>
      </c>
      <c r="H380" s="612">
        <f ca="1">MAX(OFFSET(POrigin,MATCH(Valori[[#This Row],[LUKB_id]],PID,0),MATCH("PRICINGAMT",PLabel,0)-1,1,1),1)</f>
        <v>1</v>
      </c>
      <c r="I380" s="615" t="str" cm="1">
        <f t="array" aca="1" ref="I380" ca="1">OFFSET(POrigin,MATCH(Valori[[#This Row],[LUKB_id]],PID,0),MATCH("M_NAME",PLabel,0)-1,1,1)</f>
        <v>Swiss Life Hldg N</v>
      </c>
      <c r="L380" s="612">
        <v>3</v>
      </c>
      <c r="M380" s="142" t="str" cm="1">
        <f t="array" aca="1" ref="M3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Life Hldg N</v>
      </c>
      <c r="N380" s="1563">
        <f ca="1">COUNTIF('CHF M'!smo_id,Valori[[#This Row],[smo_id]])+COUNTIF('CHF MA'!smo_id,Valori[[#This Row],[smo_id]])+COUNTIF('EUR MB'!smo_id,Valori[[#This Row],[smo_id]])+COUNTIF('EUR M'!smo_id,Valori[[#This Row],[smo_id]])+COUNTIF(AGCO!smo_id,Valori[[#This Row],[smo_id]])</f>
        <v>0</v>
      </c>
      <c r="O380" s="1590" cm="1">
        <f t="array" aca="1" ref="O380" ca="1">SUM(IF('CHF M'!smo_id=Valori[[#This Row],[smo_id]],'CHF M'!Posizione))+SUM(IF('CHF MA'!smo_id=Valori[[#This Row],[smo_id]],'CHF MA'!Posizione))+SUM(IF('EUR MB'!smo_id=Valori[[#This Row],[smo_id]],'EUR MB'!Posizione))+SUM(IF('EUR M'!smo_id=Valori[[#This Row],[smo_id]],'EUR M'!Posizione))+SUM(IF(AGCO!smo_id=Valori[[#This Row],[smo_id]],AGCO!Posizione))</f>
        <v>0</v>
      </c>
      <c r="P380" s="1661" t="str">
        <f ca="1">HYPERLINK(Valori[[#This Row],[P_Source]],"è")</f>
        <v>è</v>
      </c>
      <c r="Q380" s="1663" t="str">
        <f>HYPERLINK(Valori[[#This Row],[Info_W]],"i")</f>
        <v>i</v>
      </c>
      <c r="R380" s="1664" t="str">
        <f>HYPERLINK(Valori[[#This Row],[FN_W]],"")</f>
        <v></v>
      </c>
      <c r="S380" s="1665" t="str">
        <f>HYPERLINK(Valori[[#This Row],[MS_Link]],"")</f>
        <v></v>
      </c>
      <c r="T380" s="1665" t="str">
        <f>HYPERLINK(Valori[[#This Row],[C_source]],"")</f>
        <v></v>
      </c>
      <c r="U380" s="142" t="str" cm="1">
        <f t="array" aca="1" ref="U380" ca="1">OFFSET(POrigin,MATCH(Valori[[#This Row],[LUKB_id]],PID,0),MATCH("M_CUR",PLabel,0)-1,1,1)</f>
        <v>CHF</v>
      </c>
      <c r="V380" s="1562">
        <f ca="1">(Valori[[#This Row],[Last]]+Valori[[#This Row],[Acc. Int]])/Valori[[#This Row],[Pr.Amt]]/IF(Valori[[#This Row],[P_Type]]="Pct",100,1)</f>
        <v>828</v>
      </c>
      <c r="W380" s="1591" cm="1">
        <f t="array" aca="1" ref="W380" ca="1">OFFSET(POrigin,MATCH(Valori[[#This Row],[LUKB_id]],PID,0),MATCH("NC2_PR",PLabel,0)-1,1,1)/100</f>
        <v>-4.6522339935513697E-2</v>
      </c>
      <c r="X380" s="1592" cm="1">
        <f t="array" aca="1" ref="X380" ca="1">OFFSET(POrigin,MATCH(Valori[[#This Row],[LUKB_id]],PID,0),MATCH("LVAL",PLabel,0)-1,1,1)</f>
        <v>828</v>
      </c>
      <c r="Y380" s="1593" cm="1">
        <f t="array" aca="1" ref="Y380" ca="1">OFFSET(POrigin,MATCH(Valori[[#This Row],[LUKB_id]],PID,0),MATCH("LVAL:datetime",PLabel,0)-1,1,1)</f>
        <v>46084.732407407406</v>
      </c>
      <c r="Z380" s="1594" cm="1">
        <f t="array" aca="1" ref="Z380" ca="1">OFFSET(POrigin,MATCH(Valori[[#This Row],[LUKB_id]],PID,0),MATCH("BID:volume",PLabel,0)-1,1,1)</f>
        <v>0</v>
      </c>
      <c r="AA380" s="1595" cm="1">
        <f t="array" aca="1" ref="AA380" ca="1">OFFSET(POrigin,MATCH(Valori[[#This Row],[LUKB_id]],PID,0),MATCH("BID",PLabel,0)-1,1,1)</f>
        <v>0</v>
      </c>
      <c r="AB380" s="1595" cm="1">
        <f t="array" aca="1" ref="AB380" ca="1">OFFSET(POrigin,MATCH(Valori[[#This Row],[LUKB_id]],PID,0),MATCH("ASK",PLabel,0)-1,1,1)</f>
        <v>845</v>
      </c>
      <c r="AC380" s="1594" cm="1">
        <f t="array" aca="1" ref="AC380" ca="1">OFFSET(POrigin,MATCH(Valori[[#This Row],[LUKB_id]],PID,0),MATCH("ASK:volume",PLabel,0)-1,1,1)</f>
        <v>100</v>
      </c>
      <c r="AD380" s="1596" cm="1">
        <f t="array" aca="1" ref="AD380" ca="1">OFFSET(POrigin,MATCH(Valori[[#This Row],[LUKB_id]],PID,0),MATCH("BID-ASK Spread %",PLabel,0)-1,1,1)</f>
        <v>0</v>
      </c>
      <c r="AE380" s="1597" t="str" cm="1">
        <f t="array" aca="1" ref="AE380" ca="1">IF(OFFSET(POrigin,MATCH(Valori[[#This Row],[LUKB_id]],PID,0),MATCH("MATURITY",PLabel,0)-1,1,1)&gt;0,OFFSET(POrigin,MATCH(Valori[[#This Row],[LUKB_id]],PID,0),MATCH("MATURITY",PLabel,0)-1,1,1),"")</f>
        <v/>
      </c>
      <c r="AF380" s="1598" cm="1">
        <f t="array" aca="1" ref="AF380" ca="1">OFFSET(POrigin,MATCH(Valori[[#This Row],[LUKB_id]],PID,0),MATCH("ACCINT",PLabel,0)-1,1,1)</f>
        <v>0</v>
      </c>
      <c r="AG380" s="1594" cm="1">
        <f t="array" aca="1" ref="AG380" ca="1">OFFSET(POrigin,MATCH(Valori[[#This Row],[LUKB_id]],PID,0),MATCH("DENOM",PLabel,0)-1,1,1)</f>
        <v>0</v>
      </c>
      <c r="AH380" s="1599" cm="1">
        <f t="array" aca="1" ref="AH380" ca="1">(OFFSET(POrigin,MATCH(Valori[[#This Row],[LUKB_id]],PID,0),MATCH("YIELD",PLabel,0)-1,1,1)+OFFSET(POrigin,MATCH(Valori[[#This Row],[LUKB_id]],PID,0),MATCH("YLDEQ",PLabel,0)-1,1,1))/100</f>
        <v>4.2270530000000001E-2</v>
      </c>
      <c r="AI380" s="1600">
        <f ca="1">OFFSET(POrigin,MATCH(Valori[[#This Row],[LUKB_id]],PID,0),MATCH("DIVIDEND",PLabel,0)-1,1,1)</f>
        <v>35</v>
      </c>
      <c r="AJ380" s="1601">
        <f ca="1">OFFSET(POrigin,MATCH(Valori[[#This Row],[LUKB_id]],PID,0),MATCH("DIVIDEND:datetime",PLabel,0)-1,1,1)</f>
        <v>45793</v>
      </c>
      <c r="AK380" s="1602">
        <f ca="1">OFFSET(POrigin,MATCH(Valori[[#This Row],[LUKB_id]],PID,0),MATCH("INTEREST",PLabel,0)-1,1,1)</f>
        <v>0</v>
      </c>
      <c r="AL380" s="1603">
        <f ca="1">OFFSET(POrigin,MATCH(Valori[[#This Row],[LUKB_id]],PID,0),MATCH("4W_PERF_PR",PLabel,0)-1,1,1)/100</f>
        <v>-3.0444959999999997E-2</v>
      </c>
      <c r="AM380" s="1603">
        <f ca="1">OFFSET(POrigin,MATCH(Valori[[#This Row],[LUKB_id]],PID,0),MATCH("12W_PERF_PR",PLabel,0)-1,1,1)/100</f>
        <v>-6.0158909999999996E-2</v>
      </c>
      <c r="AN380" s="1603">
        <f ca="1">OFFSET(POrigin,MATCH(Valori[[#This Row],[LUKB_id]],PID,0),MATCH("YTD_PERF_PR",PLabel,0)-1,1,1)/100</f>
        <v>-5.2792321116928498E-2</v>
      </c>
      <c r="AO380" s="1591"/>
      <c r="AP380" s="1591"/>
      <c r="AQ380" s="1591"/>
      <c r="AR380" s="1591"/>
      <c r="AS380" s="1890"/>
      <c r="AT380" s="1890" t="s">
        <v>1946</v>
      </c>
      <c r="AU380" s="610" t="s">
        <v>1947</v>
      </c>
      <c r="AV380" s="1891"/>
      <c r="AW380" s="1604" t="str">
        <f ca="1">"https://boersenundmaerkte.lukb.ch/lukb/details/"&amp;Valori[[#This Row],[LUKB_id]]</f>
        <v>https://boersenundmaerkte.lukb.ch/lukb/details/1485278,4,1</v>
      </c>
      <c r="AX380" s="1605" t="str">
        <f>"https://www.marketscreener.com/mods_a/charts/TV/inc_dyna_graph.php?c="&amp;Valori[[#This Row],[MS_Code]]&amp;"&amp;style=TradingView.CANDLES&amp;interval=(null)&amp;mobile=(null)&amp;showAT=1"</f>
        <v>https://www.marketscreener.com/mods_a/charts/TV/inc_dyna_graph.php?c=142734&amp;style=TradingView.CANDLES&amp;interval=(null)&amp;mobile=(null)&amp;showAT=1</v>
      </c>
      <c r="AY380" s="142"/>
      <c r="AZ380" s="142"/>
      <c r="BA380" s="142"/>
      <c r="BB380" s="142"/>
    </row>
    <row r="381" spans="1:54" ht="15" customHeight="1" x14ac:dyDescent="0.2">
      <c r="A381" s="142" t="s">
        <v>1948</v>
      </c>
      <c r="B381" s="142" t="str" cm="1">
        <f t="array" aca="1" ref="B381" ca="1">OFFSET(POrigin,MATCH(Valori[[#This Row],[smo_id]],Posizioni[smo_id],0),MATCH("LUKB_id",PIntestazioni,0)-1,1,1)</f>
        <v>803838,4,1</v>
      </c>
      <c r="C381" s="1668" t="str">
        <f ca="1">HYPERLINK("https://boersenundmaerkte.lukb.ch/lukb/details/"&amp;Valori[[#This Row],[LUKB_id]],"è")</f>
        <v>è</v>
      </c>
      <c r="D381" s="142" t="str" cm="1">
        <f t="array" aca="1" ref="D381" ca="1">OFFSET(POrigin,MATCH(Valori[[#This Row],[LUKB_id]],PID,0),MATCH("SC_GROUPED",PIntestazioni,0)-1,1,1)</f>
        <v>EQU</v>
      </c>
      <c r="E381" s="413" t="str" cm="1">
        <f t="array" aca="1" ref="E381" ca="1">OFFSET(POrigin,MATCH(Valori[[#This Row],[LUKB_id]],PID,0),MATCH("isin",PIntestazioni,0)-1,1,1)</f>
        <v>CH0008038389</v>
      </c>
      <c r="F381" s="34" t="str" cm="1">
        <f t="array" aca="1" ref="F381" ca="1">OFFSET(POrigin,MATCH(Valori[[#This Row],[LUKB_id]],PID,0),MATCH("NSIN_CH",PLabel,0)-1,1,1)</f>
        <v>803838</v>
      </c>
      <c r="G381" s="95" t="str" cm="1">
        <f t="array" aca="1" ref="G381" ca="1">IF(OFFSET(POrigin,MATCH(Valori[[#This Row],[LUKB_id]],PID,0),MATCH("INSTRUNIT",PLabel,0)-1,1,1)="Nominal","Pct","Unit")</f>
        <v>Unit</v>
      </c>
      <c r="H381" s="612">
        <f ca="1">MAX(OFFSET(POrigin,MATCH(Valori[[#This Row],[LUKB_id]],PID,0),MATCH("PRICINGAMT",PLabel,0)-1,1,1),1)</f>
        <v>1</v>
      </c>
      <c r="I381" s="615" t="str" cm="1">
        <f t="array" aca="1" ref="I381" ca="1">OFFSET(POrigin,MATCH(Valori[[#This Row],[LUKB_id]],PID,0),MATCH("M_NAME",PLabel,0)-1,1,1)</f>
        <v>SPS N</v>
      </c>
      <c r="J381" s="142" t="s">
        <v>440</v>
      </c>
      <c r="M381" s="142" t="str" cm="1">
        <f t="array" aca="1" ref="M3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Prime Site</v>
      </c>
      <c r="N381" s="1563">
        <f ca="1">COUNTIF('CHF M'!smo_id,Valori[[#This Row],[smo_id]])+COUNTIF('CHF MA'!smo_id,Valori[[#This Row],[smo_id]])+COUNTIF('EUR MB'!smo_id,Valori[[#This Row],[smo_id]])+COUNTIF('EUR M'!smo_id,Valori[[#This Row],[smo_id]])+COUNTIF(AGCO!smo_id,Valori[[#This Row],[smo_id]])</f>
        <v>2</v>
      </c>
      <c r="O381" s="1590" cm="1">
        <f t="array" aca="1" ref="O381" ca="1">SUM(IF('CHF M'!smo_id=Valori[[#This Row],[smo_id]],'CHF M'!Posizione))+SUM(IF('CHF MA'!smo_id=Valori[[#This Row],[smo_id]],'CHF MA'!Posizione))+SUM(IF('EUR MB'!smo_id=Valori[[#This Row],[smo_id]],'EUR MB'!Posizione))+SUM(IF('EUR M'!smo_id=Valori[[#This Row],[smo_id]],'EUR M'!Posizione))+SUM(IF(AGCO!smo_id=Valori[[#This Row],[smo_id]],AGCO!Posizione))</f>
        <v>1000</v>
      </c>
      <c r="P381" s="1661" t="str">
        <f ca="1">HYPERLINK(Valori[[#This Row],[P_Source]],"è")</f>
        <v>è</v>
      </c>
      <c r="Q381" s="1663" t="str">
        <f>HYPERLINK(Valori[[#This Row],[Info_W]],"i")</f>
        <v>i</v>
      </c>
      <c r="R381" s="1664" t="str">
        <f>HYPERLINK(Valori[[#This Row],[FN_W]],"")</f>
        <v></v>
      </c>
      <c r="S381" s="1665" t="str">
        <f>HYPERLINK(Valori[[#This Row],[MS_Link]],"")</f>
        <v></v>
      </c>
      <c r="T381" s="1665" t="str">
        <f>HYPERLINK(Valori[[#This Row],[C_source]],"")</f>
        <v></v>
      </c>
      <c r="U381" s="142" t="str" cm="1">
        <f t="array" aca="1" ref="U381" ca="1">OFFSET(POrigin,MATCH(Valori[[#This Row],[LUKB_id]],PID,0),MATCH("M_CUR",PLabel,0)-1,1,1)</f>
        <v>CHF</v>
      </c>
      <c r="V381" s="1562">
        <f ca="1">(Valori[[#This Row],[Last]]+Valori[[#This Row],[Acc. Int]])/Valori[[#This Row],[Pr.Amt]]/IF(Valori[[#This Row],[P_Type]]="Pct",100,1)</f>
        <v>144.5</v>
      </c>
      <c r="W381" s="1591" cm="1">
        <f t="array" aca="1" ref="W381" ca="1">OFFSET(POrigin,MATCH(Valori[[#This Row],[LUKB_id]],PID,0),MATCH("NC2_PR",PLabel,0)-1,1,1)/100</f>
        <v>-1.3821700069110003E-3</v>
      </c>
      <c r="X381" s="1592" cm="1">
        <f t="array" aca="1" ref="X381" ca="1">OFFSET(POrigin,MATCH(Valori[[#This Row],[LUKB_id]],PID,0),MATCH("LVAL",PLabel,0)-1,1,1)</f>
        <v>144.5</v>
      </c>
      <c r="Y381" s="1593" cm="1">
        <f t="array" aca="1" ref="Y381" ca="1">OFFSET(POrigin,MATCH(Valori[[#This Row],[LUKB_id]],PID,0),MATCH("LVAL:datetime",PLabel,0)-1,1,1)</f>
        <v>46084.730081018519</v>
      </c>
      <c r="Z381" s="1594" cm="1">
        <f t="array" aca="1" ref="Z381" ca="1">OFFSET(POrigin,MATCH(Valori[[#This Row],[LUKB_id]],PID,0),MATCH("BID:volume",PLabel,0)-1,1,1)</f>
        <v>1958</v>
      </c>
      <c r="AA381" s="1595" cm="1">
        <f t="array" aca="1" ref="AA381" ca="1">OFFSET(POrigin,MATCH(Valori[[#This Row],[LUKB_id]],PID,0),MATCH("BID",PLabel,0)-1,1,1)</f>
        <v>142.30000000000001</v>
      </c>
      <c r="AB381" s="1595" cm="1">
        <f t="array" aca="1" ref="AB381" ca="1">OFFSET(POrigin,MATCH(Valori[[#This Row],[LUKB_id]],PID,0),MATCH("ASK",PLabel,0)-1,1,1)</f>
        <v>145</v>
      </c>
      <c r="AC381" s="1594" cm="1">
        <f t="array" aca="1" ref="AC381" ca="1">OFFSET(POrigin,MATCH(Valori[[#This Row],[LUKB_id]],PID,0),MATCH("ASK:volume",PLabel,0)-1,1,1)</f>
        <v>619</v>
      </c>
      <c r="AD381" s="1596" cm="1">
        <f t="array" aca="1" ref="AD381" ca="1">OFFSET(POrigin,MATCH(Valori[[#This Row],[LUKB_id]],PID,0),MATCH("BID-ASK Spread %",PLabel,0)-1,1,1)</f>
        <v>1.2569832402234584E-2</v>
      </c>
      <c r="AE381" s="1597" t="str" cm="1">
        <f t="array" aca="1" ref="AE381" ca="1">IF(OFFSET(POrigin,MATCH(Valori[[#This Row],[LUKB_id]],PID,0),MATCH("MATURITY",PLabel,0)-1,1,1)&gt;0,OFFSET(POrigin,MATCH(Valori[[#This Row],[LUKB_id]],PID,0),MATCH("MATURITY",PLabel,0)-1,1,1),"")</f>
        <v/>
      </c>
      <c r="AF381" s="1598" cm="1">
        <f t="array" aca="1" ref="AF381" ca="1">OFFSET(POrigin,MATCH(Valori[[#This Row],[LUKB_id]],PID,0),MATCH("ACCINT",PLabel,0)-1,1,1)</f>
        <v>0</v>
      </c>
      <c r="AG381" s="1594" cm="1">
        <f t="array" aca="1" ref="AG381" ca="1">OFFSET(POrigin,MATCH(Valori[[#This Row],[LUKB_id]],PID,0),MATCH("DENOM",PLabel,0)-1,1,1)</f>
        <v>0</v>
      </c>
      <c r="AH381" s="1599" cm="1">
        <f t="array" aca="1" ref="AH381" ca="1">(OFFSET(POrigin,MATCH(Valori[[#This Row],[LUKB_id]],PID,0),MATCH("YIELD",PLabel,0)-1,1,1)+OFFSET(POrigin,MATCH(Valori[[#This Row],[LUKB_id]],PID,0),MATCH("YLDEQ",PLabel,0)-1,1,1))/100</f>
        <v>2.4221449999999999E-2</v>
      </c>
      <c r="AI381" s="1600">
        <f ca="1">OFFSET(POrigin,MATCH(Valori[[#This Row],[LUKB_id]],PID,0),MATCH("DIVIDEND",PLabel,0)-1,1,1)</f>
        <v>3.45</v>
      </c>
      <c r="AJ381" s="1601">
        <f ca="1">OFFSET(POrigin,MATCH(Valori[[#This Row],[LUKB_id]],PID,0),MATCH("DIVIDEND:datetime",PLabel,0)-1,1,1)</f>
        <v>45737</v>
      </c>
      <c r="AK381" s="1602">
        <f ca="1">OFFSET(POrigin,MATCH(Valori[[#This Row],[LUKB_id]],PID,0),MATCH("INTEREST",PLabel,0)-1,1,1)</f>
        <v>0</v>
      </c>
      <c r="AL381" s="1603">
        <f ca="1">OFFSET(POrigin,MATCH(Valori[[#This Row],[LUKB_id]],PID,0),MATCH("4W_PERF_PR",PLabel,0)-1,1,1)/100</f>
        <v>9.5526909999999993E-2</v>
      </c>
      <c r="AM381" s="1603">
        <f ca="1">OFFSET(POrigin,MATCH(Valori[[#This Row],[LUKB_id]],PID,0),MATCH("12W_PERF_PR",PLabel,0)-1,1,1)/100</f>
        <v>0.22978722999999998</v>
      </c>
      <c r="AN381" s="1603">
        <f ca="1">OFFSET(POrigin,MATCH(Valori[[#This Row],[LUKB_id]],PID,0),MATCH("YTD_PERF_PR",PLabel,0)-1,1,1)/100</f>
        <v>0.17451298701298801</v>
      </c>
      <c r="AO381" s="1591"/>
      <c r="AP381" s="1591"/>
      <c r="AQ381" s="1591"/>
      <c r="AR381" s="1591"/>
      <c r="AS381" s="1890"/>
      <c r="AT381" s="1890"/>
      <c r="AU381" s="610"/>
      <c r="AV381" s="1891"/>
      <c r="AW381" s="1604" t="str">
        <f ca="1">"https://boersenundmaerkte.lukb.ch/lukb/details/"&amp;Valori[[#This Row],[LUKB_id]]</f>
        <v>https://boersenundmaerkte.lukb.ch/lukb/details/803838,4,1</v>
      </c>
      <c r="AX38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1" s="142"/>
      <c r="AZ381" s="142"/>
      <c r="BA381" s="142"/>
      <c r="BB381" s="142"/>
    </row>
    <row r="382" spans="1:54" ht="15" customHeight="1" x14ac:dyDescent="0.2">
      <c r="A382" s="142" t="s">
        <v>1949</v>
      </c>
      <c r="B382" s="142" t="str" cm="1">
        <f t="array" aca="1" ref="B382" ca="1">OFFSET(POrigin,MATCH(Valori[[#This Row],[smo_id]],Posizioni[smo_id],0),MATCH("LUKB_id",PIntestazioni,0)-1,1,1)</f>
        <v>12688156,4,1</v>
      </c>
      <c r="C382" s="1668" t="str">
        <f ca="1">HYPERLINK("https://boersenundmaerkte.lukb.ch/lukb/details/"&amp;Valori[[#This Row],[LUKB_id]],"è")</f>
        <v>è</v>
      </c>
      <c r="D382" s="142" t="str" cm="1">
        <f t="array" aca="1" ref="D382" ca="1">OFFSET(POrigin,MATCH(Valori[[#This Row],[LUKB_id]],PID,0),MATCH("SC_GROUPED",PIntestazioni,0)-1,1,1)</f>
        <v>EQU</v>
      </c>
      <c r="E382" s="413" t="str" cm="1">
        <f t="array" aca="1" ref="E382" ca="1">OFFSET(POrigin,MATCH(Valori[[#This Row],[LUKB_id]],PID,0),MATCH("isin",PIntestazioni,0)-1,1,1)</f>
        <v>CH0126881561</v>
      </c>
      <c r="F382" s="34" t="str" cm="1">
        <f t="array" aca="1" ref="F382" ca="1">OFFSET(POrigin,MATCH(Valori[[#This Row],[LUKB_id]],PID,0),MATCH("NSIN_CH",PLabel,0)-1,1,1)</f>
        <v>12688156</v>
      </c>
      <c r="G382" s="95" t="str" cm="1">
        <f t="array" aca="1" ref="G382" ca="1">IF(OFFSET(POrigin,MATCH(Valori[[#This Row],[LUKB_id]],PID,0),MATCH("INSTRUNIT",PLabel,0)-1,1,1)="Nominal","Pct","Unit")</f>
        <v>Unit</v>
      </c>
      <c r="H382" s="612">
        <f ca="1">MAX(OFFSET(POrigin,MATCH(Valori[[#This Row],[LUKB_id]],PID,0),MATCH("PRICINGAMT",PLabel,0)-1,1,1),1)</f>
        <v>1</v>
      </c>
      <c r="I382" s="615" t="str" cm="1">
        <f t="array" aca="1" ref="I382" ca="1">OFFSET(POrigin,MATCH(Valori[[#This Row],[LUKB_id]],PID,0),MATCH("M_NAME",PLabel,0)-1,1,1)</f>
        <v>Swiss Re N</v>
      </c>
      <c r="J382" s="142" t="s">
        <v>474</v>
      </c>
      <c r="L382" s="612">
        <v>4</v>
      </c>
      <c r="M382" s="142" t="str" cm="1">
        <f t="array" aca="1" ref="M3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Swiss Re AG </v>
      </c>
      <c r="N382" s="1563">
        <f ca="1">COUNTIF('CHF M'!smo_id,Valori[[#This Row],[smo_id]])+COUNTIF('CHF MA'!smo_id,Valori[[#This Row],[smo_id]])+COUNTIF('EUR MB'!smo_id,Valori[[#This Row],[smo_id]])+COUNTIF('EUR M'!smo_id,Valori[[#This Row],[smo_id]])+COUNTIF(AGCO!smo_id,Valori[[#This Row],[smo_id]])</f>
        <v>1</v>
      </c>
      <c r="O382" s="1590" cm="1">
        <f t="array" aca="1" ref="O382" ca="1">SUM(IF('CHF M'!smo_id=Valori[[#This Row],[smo_id]],'CHF M'!Posizione))+SUM(IF('CHF MA'!smo_id=Valori[[#This Row],[smo_id]],'CHF MA'!Posizione))+SUM(IF('EUR MB'!smo_id=Valori[[#This Row],[smo_id]],'EUR MB'!Posizione))+SUM(IF('EUR M'!smo_id=Valori[[#This Row],[smo_id]],'EUR M'!Posizione))+SUM(IF(AGCO!smo_id=Valori[[#This Row],[smo_id]],AGCO!Posizione))</f>
        <v>150</v>
      </c>
      <c r="P382" s="1661" t="str">
        <f ca="1">HYPERLINK(Valori[[#This Row],[P_Source]],"è")</f>
        <v>è</v>
      </c>
      <c r="Q382" s="1663" t="str">
        <f>HYPERLINK(Valori[[#This Row],[Info_W]],"i")</f>
        <v>i</v>
      </c>
      <c r="R382" s="1664" t="str">
        <f>HYPERLINK(Valori[[#This Row],[FN_W]],"")</f>
        <v></v>
      </c>
      <c r="S382" s="1665" t="str">
        <f>HYPERLINK(Valori[[#This Row],[MS_Link]],"")</f>
        <v></v>
      </c>
      <c r="T382" s="1665" t="str">
        <f>HYPERLINK(Valori[[#This Row],[C_source]],"")</f>
        <v></v>
      </c>
      <c r="U382" s="142" t="str" cm="1">
        <f t="array" aca="1" ref="U382" ca="1">OFFSET(POrigin,MATCH(Valori[[#This Row],[LUKB_id]],PID,0),MATCH("M_CUR",PLabel,0)-1,1,1)</f>
        <v>CHF</v>
      </c>
      <c r="V382" s="1562">
        <f ca="1">(Valori[[#This Row],[Last]]+Valori[[#This Row],[Acc. Int]])/Valori[[#This Row],[Pr.Amt]]/IF(Valori[[#This Row],[P_Type]]="Pct",100,1)</f>
        <v>128.5</v>
      </c>
      <c r="W382" s="1591" cm="1">
        <f t="array" aca="1" ref="W382" ca="1">OFFSET(POrigin,MATCH(Valori[[#This Row],[LUKB_id]],PID,0),MATCH("NC2_PR",PLabel,0)-1,1,1)/100</f>
        <v>-4.1044776119403006E-2</v>
      </c>
      <c r="X382" s="1592" cm="1">
        <f t="array" aca="1" ref="X382" ca="1">OFFSET(POrigin,MATCH(Valori[[#This Row],[LUKB_id]],PID,0),MATCH("LVAL",PLabel,0)-1,1,1)</f>
        <v>128.5</v>
      </c>
      <c r="Y382" s="1593" cm="1">
        <f t="array" aca="1" ref="Y382" ca="1">OFFSET(POrigin,MATCH(Valori[[#This Row],[LUKB_id]],PID,0),MATCH("LVAL:datetime",PLabel,0)-1,1,1)</f>
        <v>46084.735578703701</v>
      </c>
      <c r="Z382" s="1594" cm="1">
        <f t="array" aca="1" ref="Z382" ca="1">OFFSET(POrigin,MATCH(Valori[[#This Row],[LUKB_id]],PID,0),MATCH("BID:volume",PLabel,0)-1,1,1)</f>
        <v>0</v>
      </c>
      <c r="AA382" s="1595" cm="1">
        <f t="array" aca="1" ref="AA382" ca="1">OFFSET(POrigin,MATCH(Valori[[#This Row],[LUKB_id]],PID,0),MATCH("BID",PLabel,0)-1,1,1)</f>
        <v>0</v>
      </c>
      <c r="AB382" s="1595" cm="1">
        <f t="array" aca="1" ref="AB382" ca="1">OFFSET(POrigin,MATCH(Valori[[#This Row],[LUKB_id]],PID,0),MATCH("ASK",PLabel,0)-1,1,1)</f>
        <v>129.9</v>
      </c>
      <c r="AC382" s="1594" cm="1">
        <f t="array" aca="1" ref="AC382" ca="1">OFFSET(POrigin,MATCH(Valori[[#This Row],[LUKB_id]],PID,0),MATCH("ASK:volume",PLabel,0)-1,1,1)</f>
        <v>200</v>
      </c>
      <c r="AD382" s="1596" cm="1">
        <f t="array" aca="1" ref="AD382" ca="1">OFFSET(POrigin,MATCH(Valori[[#This Row],[LUKB_id]],PID,0),MATCH("BID-ASK Spread %",PLabel,0)-1,1,1)</f>
        <v>0</v>
      </c>
      <c r="AE382" s="1597" t="str" cm="1">
        <f t="array" aca="1" ref="AE382" ca="1">IF(OFFSET(POrigin,MATCH(Valori[[#This Row],[LUKB_id]],PID,0),MATCH("MATURITY",PLabel,0)-1,1,1)&gt;0,OFFSET(POrigin,MATCH(Valori[[#This Row],[LUKB_id]],PID,0),MATCH("MATURITY",PLabel,0)-1,1,1),"")</f>
        <v/>
      </c>
      <c r="AF382" s="1598" cm="1">
        <f t="array" aca="1" ref="AF382" ca="1">OFFSET(POrigin,MATCH(Valori[[#This Row],[LUKB_id]],PID,0),MATCH("ACCINT",PLabel,0)-1,1,1)</f>
        <v>0</v>
      </c>
      <c r="AG382" s="1594" cm="1">
        <f t="array" aca="1" ref="AG382" ca="1">OFFSET(POrigin,MATCH(Valori[[#This Row],[LUKB_id]],PID,0),MATCH("DENOM",PLabel,0)-1,1,1)</f>
        <v>0</v>
      </c>
      <c r="AH382" s="1599" cm="1">
        <f t="array" aca="1" ref="AH382" ca="1">(OFFSET(POrigin,MATCH(Valori[[#This Row],[LUKB_id]],PID,0),MATCH("YIELD",PLabel,0)-1,1,1)+OFFSET(POrigin,MATCH(Valori[[#This Row],[LUKB_id]],PID,0),MATCH("YLDEQ",PLabel,0)-1,1,1))/100</f>
        <v>4.6751129999999995E-2</v>
      </c>
      <c r="AI382" s="1600">
        <f ca="1">OFFSET(POrigin,MATCH(Valori[[#This Row],[LUKB_id]],PID,0),MATCH("DIVIDEND",PLabel,0)-1,1,1)</f>
        <v>6.0075200000000004</v>
      </c>
      <c r="AJ382" s="1601">
        <f ca="1">OFFSET(POrigin,MATCH(Valori[[#This Row],[LUKB_id]],PID,0),MATCH("DIVIDEND:datetime",PLabel,0)-1,1,1)</f>
        <v>45762</v>
      </c>
      <c r="AK382" s="1602">
        <f ca="1">OFFSET(POrigin,MATCH(Valori[[#This Row],[LUKB_id]],PID,0),MATCH("INTEREST",PLabel,0)-1,1,1)</f>
        <v>0</v>
      </c>
      <c r="AL382" s="1603">
        <f ca="1">OFFSET(POrigin,MATCH(Valori[[#This Row],[LUKB_id]],PID,0),MATCH("4W_PERF_PR",PLabel,0)-1,1,1)/100</f>
        <v>3.7126720000000002E-2</v>
      </c>
      <c r="AM382" s="1603">
        <f ca="1">OFFSET(POrigin,MATCH(Valori[[#This Row],[LUKB_id]],PID,0),MATCH("12W_PERF_PR",PLabel,0)-1,1,1)/100</f>
        <v>1.5588499999999999E-3</v>
      </c>
      <c r="AN382" s="1603">
        <f ca="1">OFFSET(POrigin,MATCH(Valori[[#This Row],[LUKB_id]],PID,0),MATCH("YTD_PERF_PR",PLabel,0)-1,1,1)/100</f>
        <v>8.6563793752352999E-3</v>
      </c>
      <c r="AO382" s="1591"/>
      <c r="AP382" s="1591"/>
      <c r="AQ382" s="1591"/>
      <c r="AR382" s="1591"/>
      <c r="AS382" s="1890" t="s">
        <v>1950</v>
      </c>
      <c r="AT382" s="1890" t="s">
        <v>1951</v>
      </c>
      <c r="AU382" s="610" t="s">
        <v>1952</v>
      </c>
      <c r="AV382" s="1891" t="str">
        <f>IF(Valori[[#This Row],[MS_Link]]&lt;&gt;"",Valori[[#This Row],[MS_Link]]&amp;"company/","")</f>
        <v>https://www.marketscreener.com/quote/stock/SWISS-RE-LTD-9365870/company/</v>
      </c>
      <c r="AW382" s="1604" t="str">
        <f ca="1">"https://boersenundmaerkte.lukb.ch/lukb/details/"&amp;Valori[[#This Row],[LUKB_id]]</f>
        <v>https://boersenundmaerkte.lukb.ch/lukb/details/12688156,4,1</v>
      </c>
      <c r="AX382" s="1605" t="str">
        <f>"https://www.zonebourse.com/mods_a/charts/TV/inc_dyna_graph.php?c="&amp;Valori[[#This Row],[MS_Code]]&amp;"&amp;style=TradingView.CANDLES&amp;interval=(null)&amp;mobile=(null)&amp;showAT=1"</f>
        <v>https://www.zonebourse.com/mods_a/charts/TV/inc_dyna_graph.php?c=9365870&amp;style=TradingView.CANDLES&amp;interval=(null)&amp;mobile=(null)&amp;showAT=1</v>
      </c>
      <c r="AY382" s="142"/>
      <c r="AZ382" s="142"/>
      <c r="BA382" s="142"/>
      <c r="BB382" s="142"/>
    </row>
    <row r="383" spans="1:54" ht="15" customHeight="1" x14ac:dyDescent="0.2">
      <c r="A383" s="142" t="s">
        <v>1953</v>
      </c>
      <c r="B383" s="142" t="str" cm="1">
        <f t="array" aca="1" ref="B383" ca="1">OFFSET(POrigin,MATCH(Valori[[#This Row],[smo_id]],Posizioni[smo_id],0),MATCH("LUKB_id",PIntestazioni,0)-1,1,1)</f>
        <v>874251,4,1</v>
      </c>
      <c r="C383" s="1668" t="str">
        <f ca="1">HYPERLINK("https://boersenundmaerkte.lukb.ch/lukb/details/"&amp;Valori[[#This Row],[LUKB_id]],"è")</f>
        <v>è</v>
      </c>
      <c r="D383" s="142" t="str" cm="1">
        <f t="array" aca="1" ref="D383" ca="1">OFFSET(POrigin,MATCH(Valori[[#This Row],[LUKB_id]],PID,0),MATCH("SC_GROUPED",PIntestazioni,0)-1,1,1)</f>
        <v>EQU</v>
      </c>
      <c r="E383" s="413" t="str" cm="1">
        <f t="array" aca="1" ref="E383" ca="1">OFFSET(POrigin,MATCH(Valori[[#This Row],[LUKB_id]],PID,0),MATCH("isin",PIntestazioni,0)-1,1,1)</f>
        <v>CH0008742519</v>
      </c>
      <c r="F383" s="34" t="str" cm="1">
        <f t="array" aca="1" ref="F383" ca="1">OFFSET(POrigin,MATCH(Valori[[#This Row],[LUKB_id]],PID,0),MATCH("NSIN_CH",PLabel,0)-1,1,1)</f>
        <v>874251</v>
      </c>
      <c r="G383" s="95" t="str" cm="1">
        <f t="array" aca="1" ref="G383" ca="1">IF(OFFSET(POrigin,MATCH(Valori[[#This Row],[LUKB_id]],PID,0),MATCH("INSTRUNIT",PLabel,0)-1,1,1)="Nominal","Pct","Unit")</f>
        <v>Unit</v>
      </c>
      <c r="H383" s="612">
        <f ca="1">MAX(OFFSET(POrigin,MATCH(Valori[[#This Row],[LUKB_id]],PID,0),MATCH("PRICINGAMT",PLabel,0)-1,1,1),1)</f>
        <v>1</v>
      </c>
      <c r="I383" s="615" t="str" cm="1">
        <f t="array" aca="1" ref="I383" ca="1">OFFSET(POrigin,MATCH(Valori[[#This Row],[LUKB_id]],PID,0),MATCH("M_NAME",PLabel,0)-1,1,1)</f>
        <v>Swisscom N</v>
      </c>
      <c r="J383" s="142" t="s">
        <v>435</v>
      </c>
      <c r="L383" s="612">
        <v>4</v>
      </c>
      <c r="M383" s="142" t="str" cm="1">
        <f t="array" aca="1" ref="M3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Swisscom AG</v>
      </c>
      <c r="N383" s="1563">
        <f ca="1">COUNTIF('CHF M'!smo_id,Valori[[#This Row],[smo_id]])+COUNTIF('CHF MA'!smo_id,Valori[[#This Row],[smo_id]])+COUNTIF('EUR MB'!smo_id,Valori[[#This Row],[smo_id]])+COUNTIF('EUR M'!smo_id,Valori[[#This Row],[smo_id]])+COUNTIF(AGCO!smo_id,Valori[[#This Row],[smo_id]])</f>
        <v>2</v>
      </c>
      <c r="O383" s="1590" cm="1">
        <f t="array" aca="1" ref="O383" ca="1">SUM(IF('CHF M'!smo_id=Valori[[#This Row],[smo_id]],'CHF M'!Posizione))+SUM(IF('CHF MA'!smo_id=Valori[[#This Row],[smo_id]],'CHF MA'!Posizione))+SUM(IF('EUR MB'!smo_id=Valori[[#This Row],[smo_id]],'EUR MB'!Posizione))+SUM(IF('EUR M'!smo_id=Valori[[#This Row],[smo_id]],'EUR M'!Posizione))+SUM(IF(AGCO!smo_id=Valori[[#This Row],[smo_id]],AGCO!Posizione))</f>
        <v>141</v>
      </c>
      <c r="P383" s="1661" t="str">
        <f ca="1">HYPERLINK(Valori[[#This Row],[P_Source]],"è")</f>
        <v>è</v>
      </c>
      <c r="Q383" s="1663" t="str">
        <f>HYPERLINK(Valori[[#This Row],[Info_W]],"i")</f>
        <v>i</v>
      </c>
      <c r="R383" s="1664" t="str">
        <f>HYPERLINK(Valori[[#This Row],[FN_W]],"")</f>
        <v></v>
      </c>
      <c r="S383" s="1665" t="str">
        <f>HYPERLINK(Valori[[#This Row],[MS_Link]],"")</f>
        <v></v>
      </c>
      <c r="T383" s="1665" t="str">
        <f>HYPERLINK(Valori[[#This Row],[C_source]],"")</f>
        <v></v>
      </c>
      <c r="U383" s="142" t="str" cm="1">
        <f t="array" aca="1" ref="U383" ca="1">OFFSET(POrigin,MATCH(Valori[[#This Row],[LUKB_id]],PID,0),MATCH("M_CUR",PLabel,0)-1,1,1)</f>
        <v>CHF</v>
      </c>
      <c r="V383" s="1562">
        <f ca="1">(Valori[[#This Row],[Last]]+Valori[[#This Row],[Acc. Int]])/Valori[[#This Row],[Pr.Amt]]/IF(Valori[[#This Row],[P_Type]]="Pct",100,1)</f>
        <v>715.5</v>
      </c>
      <c r="W383" s="1591" cm="1">
        <f t="array" aca="1" ref="W383" ca="1">OFFSET(POrigin,MATCH(Valori[[#This Row],[LUKB_id]],PID,0),MATCH("NC2_PR",PLabel,0)-1,1,1)/100</f>
        <v>-2.0920502092049999E-3</v>
      </c>
      <c r="X383" s="1592" cm="1">
        <f t="array" aca="1" ref="X383" ca="1">OFFSET(POrigin,MATCH(Valori[[#This Row],[LUKB_id]],PID,0),MATCH("LVAL",PLabel,0)-1,1,1)</f>
        <v>715.5</v>
      </c>
      <c r="Y383" s="1593" cm="1">
        <f t="array" aca="1" ref="Y383" ca="1">OFFSET(POrigin,MATCH(Valori[[#This Row],[LUKB_id]],PID,0),MATCH("LVAL:datetime",PLabel,0)-1,1,1)</f>
        <v>46084.732916666668</v>
      </c>
      <c r="Z383" s="1594" cm="1">
        <f t="array" aca="1" ref="Z383" ca="1">OFFSET(POrigin,MATCH(Valori[[#This Row],[LUKB_id]],PID,0),MATCH("BID:volume",PLabel,0)-1,1,1)</f>
        <v>0</v>
      </c>
      <c r="AA383" s="1595" cm="1">
        <f t="array" aca="1" ref="AA383" ca="1">OFFSET(POrigin,MATCH(Valori[[#This Row],[LUKB_id]],PID,0),MATCH("BID",PLabel,0)-1,1,1)</f>
        <v>0</v>
      </c>
      <c r="AB383" s="1595" cm="1">
        <f t="array" aca="1" ref="AB383" ca="1">OFFSET(POrigin,MATCH(Valori[[#This Row],[LUKB_id]],PID,0),MATCH("ASK",PLabel,0)-1,1,1)</f>
        <v>0</v>
      </c>
      <c r="AC383" s="1594" cm="1">
        <f t="array" aca="1" ref="AC383" ca="1">OFFSET(POrigin,MATCH(Valori[[#This Row],[LUKB_id]],PID,0),MATCH("ASK:volume",PLabel,0)-1,1,1)</f>
        <v>0</v>
      </c>
      <c r="AD383" s="1596" cm="1">
        <f t="array" aca="1" ref="AD383" ca="1">OFFSET(POrigin,MATCH(Valori[[#This Row],[LUKB_id]],PID,0),MATCH("BID-ASK Spread %",PLabel,0)-1,1,1)</f>
        <v>0</v>
      </c>
      <c r="AE383" s="1597" t="str" cm="1">
        <f t="array" aca="1" ref="AE383" ca="1">IF(OFFSET(POrigin,MATCH(Valori[[#This Row],[LUKB_id]],PID,0),MATCH("MATURITY",PLabel,0)-1,1,1)&gt;0,OFFSET(POrigin,MATCH(Valori[[#This Row],[LUKB_id]],PID,0),MATCH("MATURITY",PLabel,0)-1,1,1),"")</f>
        <v/>
      </c>
      <c r="AF383" s="1598" cm="1">
        <f t="array" aca="1" ref="AF383" ca="1">OFFSET(POrigin,MATCH(Valori[[#This Row],[LUKB_id]],PID,0),MATCH("ACCINT",PLabel,0)-1,1,1)</f>
        <v>0</v>
      </c>
      <c r="AG383" s="1594" cm="1">
        <f t="array" aca="1" ref="AG383" ca="1">OFFSET(POrigin,MATCH(Valori[[#This Row],[LUKB_id]],PID,0),MATCH("DENOM",PLabel,0)-1,1,1)</f>
        <v>0</v>
      </c>
      <c r="AH383" s="1599" cm="1">
        <f t="array" aca="1" ref="AH383" ca="1">(OFFSET(POrigin,MATCH(Valori[[#This Row],[LUKB_id]],PID,0),MATCH("YIELD",PLabel,0)-1,1,1)+OFFSET(POrigin,MATCH(Valori[[#This Row],[LUKB_id]],PID,0),MATCH("YLDEQ",PLabel,0)-1,1,1))/100</f>
        <v>3.6338229999999999E-2</v>
      </c>
      <c r="AI383" s="1600">
        <f ca="1">OFFSET(POrigin,MATCH(Valori[[#This Row],[LUKB_id]],PID,0),MATCH("DIVIDEND",PLabel,0)-1,1,1)</f>
        <v>22</v>
      </c>
      <c r="AJ383" s="1601">
        <f ca="1">OFFSET(POrigin,MATCH(Valori[[#This Row],[LUKB_id]],PID,0),MATCH("DIVIDEND:datetime",PLabel,0)-1,1,1)</f>
        <v>45744</v>
      </c>
      <c r="AK383" s="1602">
        <f ca="1">OFFSET(POrigin,MATCH(Valori[[#This Row],[LUKB_id]],PID,0),MATCH("INTEREST",PLabel,0)-1,1,1)</f>
        <v>0</v>
      </c>
      <c r="AL383" s="1603">
        <f ca="1">OFFSET(POrigin,MATCH(Valori[[#This Row],[LUKB_id]],PID,0),MATCH("4W_PERF_PR",PLabel,0)-1,1,1)/100</f>
        <v>0.12411626000000001</v>
      </c>
      <c r="AM383" s="1603">
        <f ca="1">OFFSET(POrigin,MATCH(Valori[[#This Row],[LUKB_id]],PID,0),MATCH("12W_PERF_PR",PLabel,0)-1,1,1)/100</f>
        <v>0.29737080999999999</v>
      </c>
      <c r="AN383" s="1603">
        <f ca="1">OFFSET(POrigin,MATCH(Valori[[#This Row],[LUKB_id]],PID,0),MATCH("YTD_PERF_PR",PLabel,0)-1,1,1)/100</f>
        <v>0.24587315377932298</v>
      </c>
      <c r="AO383" s="1591"/>
      <c r="AP383" s="1591"/>
      <c r="AQ383" s="1591"/>
      <c r="AR383" s="1591"/>
      <c r="AS383" s="1890" t="s">
        <v>1954</v>
      </c>
      <c r="AT383" s="1890" t="s">
        <v>1955</v>
      </c>
      <c r="AU383" s="610" t="s">
        <v>1956</v>
      </c>
      <c r="AV383" s="1891" t="str">
        <f>IF(Valori[[#This Row],[MS_Link]]&lt;&gt;"",Valori[[#This Row],[MS_Link]]&amp;"company/","")</f>
        <v>https://www.marketscreener.com/quote/stock/SWISSCOM-AG-2955930/company/</v>
      </c>
      <c r="AW383" s="1604" t="str">
        <f ca="1">"https://boersenundmaerkte.lukb.ch/lukb/details/"&amp;Valori[[#This Row],[LUKB_id]]</f>
        <v>https://boersenundmaerkte.lukb.ch/lukb/details/874251,4,1</v>
      </c>
      <c r="AX383" s="1605" t="str">
        <f>"https://www.zonebourse.com/mods_a/charts/TV/inc_dyna_graph.php?c="&amp;Valori[[#This Row],[MS_Code]]&amp;"&amp;style=TradingView.CANDLES&amp;interval=(null)&amp;mobile=(null)&amp;showAT=1"</f>
        <v>https://www.zonebourse.com/mods_a/charts/TV/inc_dyna_graph.php?c=2955930&amp;style=TradingView.CANDLES&amp;interval=(null)&amp;mobile=(null)&amp;showAT=1</v>
      </c>
      <c r="AY383" s="142"/>
      <c r="AZ383" s="142"/>
      <c r="BA383" s="142"/>
      <c r="BB383" s="142"/>
    </row>
    <row r="384" spans="1:54" ht="15" customHeight="1" x14ac:dyDescent="0.2">
      <c r="A384" s="142" t="s">
        <v>1957</v>
      </c>
      <c r="B384" s="142" t="str" cm="1">
        <f t="array" aca="1" ref="B384" ca="1">OFFSET(POrigin,MATCH(Valori[[#This Row],[smo_id]],Posizioni[smo_id],0),MATCH("LUKB_id",PIntestazioni,0)-1,1,1)</f>
        <v>1067586,4,1</v>
      </c>
      <c r="C384" s="1668" t="str">
        <f ca="1">HYPERLINK("https://boersenundmaerkte.lukb.ch/lukb/details/"&amp;Valori[[#This Row],[LUKB_id]],"è")</f>
        <v>è</v>
      </c>
      <c r="D384" s="142" t="str" cm="1">
        <f t="array" aca="1" ref="D384" ca="1">OFFSET(POrigin,MATCH(Valori[[#This Row],[LUKB_id]],PID,0),MATCH("SC_GROUPED",PIntestazioni,0)-1,1,1)</f>
        <v>EQU</v>
      </c>
      <c r="E384" s="413" t="str" cm="1">
        <f t="array" aca="1" ref="E384" ca="1">OFFSET(POrigin,MATCH(Valori[[#This Row],[LUKB_id]],PID,0),MATCH("isin",PIntestazioni,0)-1,1,1)</f>
        <v>CH0010675863</v>
      </c>
      <c r="F384" s="34" t="str" cm="1">
        <f t="array" aca="1" ref="F384" ca="1">OFFSET(POrigin,MATCH(Valori[[#This Row],[LUKB_id]],PID,0),MATCH("NSIN_CH",PLabel,0)-1,1,1)</f>
        <v>1067586</v>
      </c>
      <c r="G384" s="95" t="str" cm="1">
        <f t="array" aca="1" ref="G384" ca="1">IF(OFFSET(POrigin,MATCH(Valori[[#This Row],[LUKB_id]],PID,0),MATCH("INSTRUNIT",PLabel,0)-1,1,1)="Nominal","Pct","Unit")</f>
        <v>Unit</v>
      </c>
      <c r="H384" s="612">
        <f ca="1">MAX(OFFSET(POrigin,MATCH(Valori[[#This Row],[LUKB_id]],PID,0),MATCH("PRICINGAMT",PLabel,0)-1,1,1),1)</f>
        <v>1</v>
      </c>
      <c r="I384" s="615" t="str" cm="1">
        <f t="array" aca="1" ref="I384" ca="1">OFFSET(POrigin,MATCH(Valori[[#This Row],[LUKB_id]],PID,0),MATCH("M_NAME",PLabel,0)-1,1,1)</f>
        <v>Swissquote Grp Hl N</v>
      </c>
      <c r="J384" s="142" t="s">
        <v>436</v>
      </c>
      <c r="M384" s="142" t="str" cm="1">
        <f t="array" aca="1" ref="M3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Swissquote N</v>
      </c>
      <c r="N384" s="1563">
        <f ca="1">COUNTIF('CHF M'!smo_id,Valori[[#This Row],[smo_id]])+COUNTIF('CHF MA'!smo_id,Valori[[#This Row],[smo_id]])+COUNTIF('EUR MB'!smo_id,Valori[[#This Row],[smo_id]])+COUNTIF('EUR M'!smo_id,Valori[[#This Row],[smo_id]])+COUNTIF(AGCO!smo_id,Valori[[#This Row],[smo_id]])</f>
        <v>0</v>
      </c>
      <c r="O384" s="1590" cm="1">
        <f t="array" aca="1" ref="O384" ca="1">SUM(IF('CHF M'!smo_id=Valori[[#This Row],[smo_id]],'CHF M'!Posizione))+SUM(IF('CHF MA'!smo_id=Valori[[#This Row],[smo_id]],'CHF MA'!Posizione))+SUM(IF('EUR MB'!smo_id=Valori[[#This Row],[smo_id]],'EUR MB'!Posizione))+SUM(IF('EUR M'!smo_id=Valori[[#This Row],[smo_id]],'EUR M'!Posizione))+SUM(IF(AGCO!smo_id=Valori[[#This Row],[smo_id]],AGCO!Posizione))</f>
        <v>0</v>
      </c>
      <c r="P384" s="1661" t="str">
        <f ca="1">HYPERLINK(Valori[[#This Row],[P_Source]],"è")</f>
        <v>è</v>
      </c>
      <c r="Q384" s="1663" t="str">
        <f>HYPERLINK(Valori[[#This Row],[Info_W]],"i")</f>
        <v>i</v>
      </c>
      <c r="R384" s="1664" t="str">
        <f>HYPERLINK(Valori[[#This Row],[FN_W]],"")</f>
        <v></v>
      </c>
      <c r="S384" s="1665" t="str">
        <f>HYPERLINK(Valori[[#This Row],[MS_Link]],"")</f>
        <v></v>
      </c>
      <c r="T384" s="1665" t="str">
        <f>HYPERLINK(Valori[[#This Row],[C_source]],"")</f>
        <v></v>
      </c>
      <c r="U384" s="142" t="str" cm="1">
        <f t="array" aca="1" ref="U384" ca="1">OFFSET(POrigin,MATCH(Valori[[#This Row],[LUKB_id]],PID,0),MATCH("M_CUR",PLabel,0)-1,1,1)</f>
        <v>CHF</v>
      </c>
      <c r="V384" s="1562">
        <f ca="1">(Valori[[#This Row],[Last]]+Valori[[#This Row],[Acc. Int]])/Valori[[#This Row],[Pr.Amt]]/IF(Valori[[#This Row],[P_Type]]="Pct",100,1)</f>
        <v>407.40000000000003</v>
      </c>
      <c r="W384" s="1591" cm="1">
        <f t="array" aca="1" ref="W384" ca="1">OFFSET(POrigin,MATCH(Valori[[#This Row],[LUKB_id]],PID,0),MATCH("NC2_PR",PLabel,0)-1,1,1)/100</f>
        <v>-3.6879432624113501E-2</v>
      </c>
      <c r="X384" s="1592" cm="1">
        <f t="array" aca="1" ref="X384" ca="1">OFFSET(POrigin,MATCH(Valori[[#This Row],[LUKB_id]],PID,0),MATCH("LVAL",PLabel,0)-1,1,1)</f>
        <v>407.40000000000003</v>
      </c>
      <c r="Y384" s="1593" cm="1">
        <f t="array" aca="1" ref="Y384" ca="1">OFFSET(POrigin,MATCH(Valori[[#This Row],[LUKB_id]],PID,0),MATCH("LVAL:datetime",PLabel,0)-1,1,1)</f>
        <v>46084.730787037035</v>
      </c>
      <c r="Z384" s="1594" cm="1">
        <f t="array" aca="1" ref="Z384" ca="1">OFFSET(POrigin,MATCH(Valori[[#This Row],[LUKB_id]],PID,0),MATCH("BID:volume",PLabel,0)-1,1,1)</f>
        <v>1</v>
      </c>
      <c r="AA384" s="1595" cm="1">
        <f t="array" aca="1" ref="AA384" ca="1">OFFSET(POrigin,MATCH(Valori[[#This Row],[LUKB_id]],PID,0),MATCH("BID",PLabel,0)-1,1,1)</f>
        <v>401</v>
      </c>
      <c r="AB384" s="1595" cm="1">
        <f t="array" aca="1" ref="AB384" ca="1">OFFSET(POrigin,MATCH(Valori[[#This Row],[LUKB_id]],PID,0),MATCH("ASK",PLabel,0)-1,1,1)</f>
        <v>0</v>
      </c>
      <c r="AC384" s="1594" cm="1">
        <f t="array" aca="1" ref="AC384" ca="1">OFFSET(POrigin,MATCH(Valori[[#This Row],[LUKB_id]],PID,0),MATCH("ASK:volume",PLabel,0)-1,1,1)</f>
        <v>0</v>
      </c>
      <c r="AD384" s="1596" cm="1">
        <f t="array" aca="1" ref="AD384" ca="1">OFFSET(POrigin,MATCH(Valori[[#This Row],[LUKB_id]],PID,0),MATCH("BID-ASK Spread %",PLabel,0)-1,1,1)</f>
        <v>0</v>
      </c>
      <c r="AE384" s="1597" t="str" cm="1">
        <f t="array" aca="1" ref="AE384" ca="1">IF(OFFSET(POrigin,MATCH(Valori[[#This Row],[LUKB_id]],PID,0),MATCH("MATURITY",PLabel,0)-1,1,1)&gt;0,OFFSET(POrigin,MATCH(Valori[[#This Row],[LUKB_id]],PID,0),MATCH("MATURITY",PLabel,0)-1,1,1),"")</f>
        <v/>
      </c>
      <c r="AF384" s="1598" cm="1">
        <f t="array" aca="1" ref="AF384" ca="1">OFFSET(POrigin,MATCH(Valori[[#This Row],[LUKB_id]],PID,0),MATCH("ACCINT",PLabel,0)-1,1,1)</f>
        <v>0</v>
      </c>
      <c r="AG384" s="1594" cm="1">
        <f t="array" aca="1" ref="AG384" ca="1">OFFSET(POrigin,MATCH(Valori[[#This Row],[LUKB_id]],PID,0),MATCH("DENOM",PLabel,0)-1,1,1)</f>
        <v>0</v>
      </c>
      <c r="AH384" s="1599" cm="1">
        <f t="array" aca="1" ref="AH384" ca="1">(OFFSET(POrigin,MATCH(Valori[[#This Row],[LUKB_id]],PID,0),MATCH("YIELD",PLabel,0)-1,1,1)+OFFSET(POrigin,MATCH(Valori[[#This Row],[LUKB_id]],PID,0),MATCH("YLDEQ",PLabel,0)-1,1,1))/100</f>
        <v>1.4727539999999999E-2</v>
      </c>
      <c r="AI384" s="1600">
        <f ca="1">OFFSET(POrigin,MATCH(Valori[[#This Row],[LUKB_id]],PID,0),MATCH("DIVIDEND",PLabel,0)-1,1,1)</f>
        <v>6</v>
      </c>
      <c r="AJ384" s="1601">
        <f ca="1">OFFSET(POrigin,MATCH(Valori[[#This Row],[LUKB_id]],PID,0),MATCH("DIVIDEND:datetime",PLabel,0)-1,1,1)</f>
        <v>45789</v>
      </c>
      <c r="AK384" s="1602">
        <f ca="1">OFFSET(POrigin,MATCH(Valori[[#This Row],[LUKB_id]],PID,0),MATCH("INTEREST",PLabel,0)-1,1,1)</f>
        <v>0</v>
      </c>
      <c r="AL384" s="1603">
        <f ca="1">OFFSET(POrigin,MATCH(Valori[[#This Row],[LUKB_id]],PID,0),MATCH("4W_PERF_PR",PLabel,0)-1,1,1)/100</f>
        <v>-6.473828999999999E-2</v>
      </c>
      <c r="AM384" s="1603">
        <f ca="1">OFFSET(POrigin,MATCH(Valori[[#This Row],[LUKB_id]],PID,0),MATCH("12W_PERF_PR",PLabel,0)-1,1,1)/100</f>
        <v>-0.14734197999999998</v>
      </c>
      <c r="AN384" s="1603">
        <f ca="1">OFFSET(POrigin,MATCH(Valori[[#This Row],[LUKB_id]],PID,0),MATCH("YTD_PERF_PR",PLabel,0)-1,1,1)/100</f>
        <v>-0.13141683778234001</v>
      </c>
      <c r="AO384" s="1591"/>
      <c r="AP384" s="1591"/>
      <c r="AQ384" s="1591"/>
      <c r="AR384" s="1591"/>
      <c r="AS384" s="1890" t="s">
        <v>1958</v>
      </c>
      <c r="AT384" s="1890" t="s">
        <v>1959</v>
      </c>
      <c r="AU384" s="610" t="s">
        <v>1960</v>
      </c>
      <c r="AV384" s="1891" t="s">
        <v>1959</v>
      </c>
      <c r="AW384" s="1604" t="str">
        <f ca="1">"https://boersenundmaerkte.lukb.ch/lukb/details/"&amp;Valori[[#This Row],[LUKB_id]]</f>
        <v>https://boersenundmaerkte.lukb.ch/lukb/details/1067586,4,1</v>
      </c>
      <c r="AX384" s="1605" t="str">
        <f>"https://www.marketscreener.com/mods_a/charts/TV/inc_dyna_graph.php?c="&amp;Valori[[#This Row],[MS_Code]]&amp;"&amp;style=TradingView.CANDLES&amp;interval=(null)&amp;mobile=(null)&amp;showAT=1"</f>
        <v>https://www.marketscreener.com/mods_a/charts/TV/inc_dyna_graph.php?c=71211&amp;style=TradingView.CANDLES&amp;interval=(null)&amp;mobile=(null)&amp;showAT=1</v>
      </c>
      <c r="AY384" s="142"/>
      <c r="AZ384" s="142"/>
      <c r="BA384" s="142"/>
      <c r="BB384" s="142"/>
    </row>
    <row r="385" spans="1:50" ht="15" customHeight="1" x14ac:dyDescent="0.2">
      <c r="A385" s="142" t="s">
        <v>1961</v>
      </c>
      <c r="B385" s="142" t="str" cm="1">
        <f t="array" aca="1" ref="B385" ca="1">OFFSET(POrigin,MATCH(Valori[[#This Row],[smo_id]],Posizioni[smo_id],0),MATCH("LUKB_id",PIntestazioni,0)-1,1,1)</f>
        <v>826858,1058,814</v>
      </c>
      <c r="C385" s="1668" t="str">
        <f ca="1">HYPERLINK("https://boersenundmaerkte.lukb.ch/lukb/details/"&amp;Valori[[#This Row],[LUKB_id]],"è")</f>
        <v>è</v>
      </c>
      <c r="D385" s="142" t="str" cm="1">
        <f t="array" aca="1" ref="D385" ca="1">OFFSET(POrigin,MATCH(Valori[[#This Row],[LUKB_id]],PID,0),MATCH("SC_GROUPED",PIntestazioni,0)-1,1,1)</f>
        <v>EQU</v>
      </c>
      <c r="E385" s="413" t="str" cm="1">
        <f t="array" aca="1" ref="E385" ca="1">OFFSET(POrigin,MATCH(Valori[[#This Row],[LUKB_id]],PID,0),MATCH("isin",PIntestazioni,0)-1,1,1)</f>
        <v>ES0178430E18</v>
      </c>
      <c r="F385" s="34" t="str" cm="1">
        <f t="array" aca="1" ref="F385" ca="1">OFFSET(POrigin,MATCH(Valori[[#This Row],[LUKB_id]],PID,0),MATCH("NSIN_CH",PLabel,0)-1,1,1)</f>
        <v>826858</v>
      </c>
      <c r="G385" s="95" t="str" cm="1">
        <f t="array" aca="1" ref="G385" ca="1">IF(OFFSET(POrigin,MATCH(Valori[[#This Row],[LUKB_id]],PID,0),MATCH("INSTRUNIT",PLabel,0)-1,1,1)="Nominal","Pct","Unit")</f>
        <v>Unit</v>
      </c>
      <c r="H385" s="612">
        <f ca="1">MAX(OFFSET(POrigin,MATCH(Valori[[#This Row],[LUKB_id]],PID,0),MATCH("PRICINGAMT",PLabel,0)-1,1,1),1)</f>
        <v>1</v>
      </c>
      <c r="I385" s="615" t="str" cm="1">
        <f t="array" aca="1" ref="I385" ca="1">OFFSET(POrigin,MATCH(Valori[[#This Row],[LUKB_id]],PID,0),MATCH("M_NAME",PLabel,0)-1,1,1)</f>
        <v>Telefonica Br</v>
      </c>
      <c r="J385" s="142" t="s">
        <v>891</v>
      </c>
      <c r="M385" s="142" t="str" cm="1">
        <f t="array" aca="1" ref="M3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Telefonica SA</v>
      </c>
      <c r="N385" s="1563">
        <f ca="1">COUNTIF('CHF M'!smo_id,Valori[[#This Row],[smo_id]])+COUNTIF('CHF MA'!smo_id,Valori[[#This Row],[smo_id]])+COUNTIF('EUR MB'!smo_id,Valori[[#This Row],[smo_id]])+COUNTIF('EUR M'!smo_id,Valori[[#This Row],[smo_id]])+COUNTIF(AGCO!smo_id,Valori[[#This Row],[smo_id]])</f>
        <v>1</v>
      </c>
      <c r="O385" s="1590" cm="1">
        <f t="array" aca="1" ref="O385" ca="1">SUM(IF('CHF M'!smo_id=Valori[[#This Row],[smo_id]],'CHF M'!Posizione))+SUM(IF('CHF MA'!smo_id=Valori[[#This Row],[smo_id]],'CHF MA'!Posizione))+SUM(IF('EUR MB'!smo_id=Valori[[#This Row],[smo_id]],'EUR MB'!Posizione))+SUM(IF('EUR M'!smo_id=Valori[[#This Row],[smo_id]],'EUR M'!Posizione))+SUM(IF(AGCO!smo_id=Valori[[#This Row],[smo_id]],AGCO!Posizione))</f>
        <v>10000</v>
      </c>
      <c r="P385" s="1661" t="str">
        <f ca="1">HYPERLINK(Valori[[#This Row],[P_Source]],"è")</f>
        <v>è</v>
      </c>
      <c r="Q385" s="1663" t="str">
        <f>HYPERLINK(Valori[[#This Row],[Info_W]],"i")</f>
        <v>i</v>
      </c>
      <c r="R385" s="1664" t="str">
        <f>HYPERLINK(Valori[[#This Row],[FN_W]],"")</f>
        <v></v>
      </c>
      <c r="S385" s="1665" t="str">
        <f>HYPERLINK(Valori[[#This Row],[MS_Link]],"")</f>
        <v></v>
      </c>
      <c r="T385" s="1665" t="str">
        <f>HYPERLINK(Valori[[#This Row],[C_source]],"")</f>
        <v></v>
      </c>
      <c r="U385" s="142" t="str" cm="1">
        <f t="array" aca="1" ref="U385" ca="1">OFFSET(POrigin,MATCH(Valori[[#This Row],[LUKB_id]],PID,0),MATCH("M_CUR",PLabel,0)-1,1,1)</f>
        <v>EUR</v>
      </c>
      <c r="V385" s="1562">
        <f ca="1">(Valori[[#This Row],[Last]]+Valori[[#This Row],[Acc. Int]])/Valori[[#This Row],[Pr.Amt]]/IF(Valori[[#This Row],[P_Type]]="Pct",100,1)</f>
        <v>3.7189999999999999</v>
      </c>
      <c r="W385" s="1591" cm="1">
        <f t="array" aca="1" ref="W385" ca="1">OFFSET(POrigin,MATCH(Valori[[#This Row],[LUKB_id]],PID,0),MATCH("NC2_PR",PLabel,0)-1,1,1)/100</f>
        <v>-3.2727272727272799E-2</v>
      </c>
      <c r="X385" s="1592" cm="1">
        <f t="array" aca="1" ref="X385" ca="1">OFFSET(POrigin,MATCH(Valori[[#This Row],[LUKB_id]],PID,0),MATCH("LVAL",PLabel,0)-1,1,1)</f>
        <v>3.7189999999999999</v>
      </c>
      <c r="Y385" s="1593" cm="1">
        <f t="array" aca="1" ref="Y385" ca="1">OFFSET(POrigin,MATCH(Valori[[#This Row],[LUKB_id]],PID,0),MATCH("LVAL:datetime",PLabel,0)-1,1,1)</f>
        <v>46083.732824074075</v>
      </c>
      <c r="Z385" s="1594" cm="1">
        <f t="array" aca="1" ref="Z385" ca="1">OFFSET(POrigin,MATCH(Valori[[#This Row],[LUKB_id]],PID,0),MATCH("BID:volume",PLabel,0)-1,1,1)</f>
        <v>0</v>
      </c>
      <c r="AA385" s="1595" cm="1">
        <f t="array" aca="1" ref="AA385" ca="1">OFFSET(POrigin,MATCH(Valori[[#This Row],[LUKB_id]],PID,0),MATCH("BID",PLabel,0)-1,1,1)</f>
        <v>0</v>
      </c>
      <c r="AB385" s="1595" cm="1">
        <f t="array" aca="1" ref="AB385" ca="1">OFFSET(POrigin,MATCH(Valori[[#This Row],[LUKB_id]],PID,0),MATCH("ASK",PLabel,0)-1,1,1)</f>
        <v>0</v>
      </c>
      <c r="AC385" s="1594" cm="1">
        <f t="array" aca="1" ref="AC385" ca="1">OFFSET(POrigin,MATCH(Valori[[#This Row],[LUKB_id]],PID,0),MATCH("ASK:volume",PLabel,0)-1,1,1)</f>
        <v>0</v>
      </c>
      <c r="AD385" s="1596" cm="1">
        <f t="array" aca="1" ref="AD385" ca="1">OFFSET(POrigin,MATCH(Valori[[#This Row],[LUKB_id]],PID,0),MATCH("BID-ASK Spread %",PLabel,0)-1,1,1)</f>
        <v>0</v>
      </c>
      <c r="AE385" s="1597" t="str" cm="1">
        <f t="array" aca="1" ref="AE385" ca="1">IF(OFFSET(POrigin,MATCH(Valori[[#This Row],[LUKB_id]],PID,0),MATCH("MATURITY",PLabel,0)-1,1,1)&gt;0,OFFSET(POrigin,MATCH(Valori[[#This Row],[LUKB_id]],PID,0),MATCH("MATURITY",PLabel,0)-1,1,1),"")</f>
        <v/>
      </c>
      <c r="AF385" s="1598" cm="1">
        <f t="array" aca="1" ref="AF385" ca="1">OFFSET(POrigin,MATCH(Valori[[#This Row],[LUKB_id]],PID,0),MATCH("ACCINT",PLabel,0)-1,1,1)</f>
        <v>0</v>
      </c>
      <c r="AG385" s="1594" cm="1">
        <f t="array" aca="1" ref="AG385" ca="1">OFFSET(POrigin,MATCH(Valori[[#This Row],[LUKB_id]],PID,0),MATCH("DENOM",PLabel,0)-1,1,1)</f>
        <v>0</v>
      </c>
      <c r="AH385" s="1599" cm="1">
        <f t="array" aca="1" ref="AH385" ca="1">(OFFSET(POrigin,MATCH(Valori[[#This Row],[LUKB_id]],PID,0),MATCH("YIELD",PLabel,0)-1,1,1)+OFFSET(POrigin,MATCH(Valori[[#This Row],[LUKB_id]],PID,0),MATCH("YLDEQ",PLabel,0)-1,1,1))/100</f>
        <v>0</v>
      </c>
      <c r="AI385" s="1600">
        <f ca="1">OFFSET(POrigin,MATCH(Valori[[#This Row],[LUKB_id]],PID,0),MATCH("DIVIDEND",PLabel,0)-1,1,1)</f>
        <v>0.15</v>
      </c>
      <c r="AJ385" s="1601">
        <f ca="1">OFFSET(POrigin,MATCH(Valori[[#This Row],[LUKB_id]],PID,0),MATCH("DIVIDEND:datetime",PLabel,0)-1,1,1)</f>
        <v>46007</v>
      </c>
      <c r="AK385" s="1602">
        <f ca="1">OFFSET(POrigin,MATCH(Valori[[#This Row],[LUKB_id]],PID,0),MATCH("INTEREST",PLabel,0)-1,1,1)</f>
        <v>0</v>
      </c>
      <c r="AL385" s="1603">
        <f ca="1">OFFSET(POrigin,MATCH(Valori[[#This Row],[LUKB_id]],PID,0),MATCH("4W_PERF_PR",PLabel,0)-1,1,1)/100</f>
        <v>7.7971014492753593E-2</v>
      </c>
      <c r="AM385" s="1603">
        <f ca="1">OFFSET(POrigin,MATCH(Valori[[#This Row],[LUKB_id]],PID,0),MATCH("12W_PERF_PR",PLabel,0)-1,1,1)/100</f>
        <v>2.5330396475771001E-2</v>
      </c>
      <c r="AN385" s="1603">
        <f ca="1">OFFSET(POrigin,MATCH(Valori[[#This Row],[LUKB_id]],PID,0),MATCH("YTD_PERF_PR",PLabel,0)-1,1,1)/100</f>
        <v>6.6132264529058307E-2</v>
      </c>
      <c r="AO385" s="1591"/>
      <c r="AP385" s="1591"/>
      <c r="AQ385" s="1591"/>
      <c r="AR385" s="1591"/>
      <c r="AS385" s="1890" t="s">
        <v>1962</v>
      </c>
      <c r="AT385" s="1890" t="s">
        <v>1963</v>
      </c>
      <c r="AU385" s="610" t="s">
        <v>1964</v>
      </c>
      <c r="AV385" s="1891" t="str">
        <f>IF(Valori[[#This Row],[MS_Link]]&lt;&gt;"",Valori[[#This Row],[MS_Link]]&amp;"company/","")</f>
        <v>https://www.marketscreener.com/quote/stock/TELEF-NICA-S-A-68962/company/</v>
      </c>
      <c r="AW385" s="1604" t="str">
        <f ca="1">"https://boersenundmaerkte.lukb.ch/lukb/details/"&amp;Valori[[#This Row],[LUKB_id]]</f>
        <v>https://boersenundmaerkte.lukb.ch/lukb/details/826858,1058,814</v>
      </c>
      <c r="AX385" s="1605" t="str">
        <f>"https://www.zonebourse.com/mods_a/charts/TV/inc_dyna_graph.php?c="&amp;Valori[[#This Row],[MS_Code]]&amp;"&amp;style=TradingView.CANDLES&amp;interval=(null)&amp;mobile=(null)&amp;showAT=1"</f>
        <v>https://www.zonebourse.com/mods_a/charts/TV/inc_dyna_graph.php?c=68962&amp;style=TradingView.CANDLES&amp;interval=(null)&amp;mobile=(null)&amp;showAT=1</v>
      </c>
    </row>
    <row r="386" spans="1:50" ht="15" customHeight="1" x14ac:dyDescent="0.2">
      <c r="A386" s="142" t="s">
        <v>1965</v>
      </c>
      <c r="B386" s="142" t="str" cm="1">
        <f t="array" aca="1" ref="B386" ca="1">OFFSET(POrigin,MATCH(Valori[[#This Row],[smo_id]],Posizioni[smo_id],0),MATCH("LUKB_id",PIntestazioni,0)-1,1,1)</f>
        <v>28688848,537,333</v>
      </c>
      <c r="C386" s="1668" t="str">
        <f ca="1">HYPERLINK("https://boersenundmaerkte.lukb.ch/lukb/details/"&amp;Valori[[#This Row],[LUKB_id]],"è")</f>
        <v>è</v>
      </c>
      <c r="D386" s="142" t="str" cm="1">
        <f t="array" aca="1" ref="D386" ca="1">OFFSET(POrigin,MATCH(Valori[[#This Row],[LUKB_id]],PID,0),MATCH("SC_GROUPED",PIntestazioni,0)-1,1,1)</f>
        <v>EQU</v>
      </c>
      <c r="E386" s="413" t="str" cm="1">
        <f t="array" aca="1" ref="E386" ca="1">OFFSET(POrigin,MATCH(Valori[[#This Row],[LUKB_id]],PID,0),MATCH("isin",PIntestazioni,0)-1,1,1)</f>
        <v>US5007541064</v>
      </c>
      <c r="F386" s="34" t="str" cm="1">
        <f t="array" aca="1" ref="F386" ca="1">OFFSET(POrigin,MATCH(Valori[[#This Row],[LUKB_id]],PID,0),MATCH("NSIN_CH",PLabel,0)-1,1,1)</f>
        <v>28688848</v>
      </c>
      <c r="G386" s="95" t="str" cm="1">
        <f t="array" aca="1" ref="G386" ca="1">IF(OFFSET(POrigin,MATCH(Valori[[#This Row],[LUKB_id]],PID,0),MATCH("INSTRUNIT",PLabel,0)-1,1,1)="Nominal","Pct","Unit")</f>
        <v>Unit</v>
      </c>
      <c r="H386" s="612">
        <f ca="1">MAX(OFFSET(POrigin,MATCH(Valori[[#This Row],[LUKB_id]],PID,0),MATCH("PRICINGAMT",PLabel,0)-1,1,1),1)</f>
        <v>1</v>
      </c>
      <c r="I386" s="615" t="str" cm="1">
        <f t="array" aca="1" ref="I386" ca="1">OFFSET(POrigin,MATCH(Valori[[#This Row],[LUKB_id]],PID,0),MATCH("M_NAME",PLabel,0)-1,1,1)</f>
        <v>The Kraft Heinz Rg</v>
      </c>
      <c r="J386" s="142" t="s">
        <v>896</v>
      </c>
      <c r="M386" s="142" t="str" cm="1">
        <f t="array" aca="1" ref="M3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The Kraft Heinz Company</v>
      </c>
      <c r="N386" s="1563">
        <f ca="1">COUNTIF('CHF M'!smo_id,Valori[[#This Row],[smo_id]])+COUNTIF('CHF MA'!smo_id,Valori[[#This Row],[smo_id]])+COUNTIF('EUR MB'!smo_id,Valori[[#This Row],[smo_id]])+COUNTIF('EUR M'!smo_id,Valori[[#This Row],[smo_id]])+COUNTIF(AGCO!smo_id,Valori[[#This Row],[smo_id]])</f>
        <v>1</v>
      </c>
      <c r="O386" s="1590" cm="1">
        <f t="array" aca="1" ref="O386" ca="1">SUM(IF('CHF M'!smo_id=Valori[[#This Row],[smo_id]],'CHF M'!Posizione))+SUM(IF('CHF MA'!smo_id=Valori[[#This Row],[smo_id]],'CHF MA'!Posizione))+SUM(IF('EUR MB'!smo_id=Valori[[#This Row],[smo_id]],'EUR MB'!Posizione))+SUM(IF('EUR M'!smo_id=Valori[[#This Row],[smo_id]],'EUR M'!Posizione))+SUM(IF(AGCO!smo_id=Valori[[#This Row],[smo_id]],AGCO!Posizione))</f>
        <v>1600</v>
      </c>
      <c r="P386" s="1661" t="str">
        <f ca="1">HYPERLINK(Valori[[#This Row],[P_Source]],"è")</f>
        <v>è</v>
      </c>
      <c r="Q386" s="1663" t="str">
        <f>HYPERLINK(Valori[[#This Row],[Info_W]],"i")</f>
        <v>i</v>
      </c>
      <c r="R386" s="1664" t="str">
        <f>HYPERLINK(Valori[[#This Row],[FN_W]],"")</f>
        <v></v>
      </c>
      <c r="S386" s="1665" t="str">
        <f>HYPERLINK(Valori[[#This Row],[MS_Link]],"")</f>
        <v></v>
      </c>
      <c r="T386" s="1665" t="str">
        <f>HYPERLINK(Valori[[#This Row],[C_source]],"")</f>
        <v></v>
      </c>
      <c r="U386" s="142" t="str" cm="1">
        <f t="array" aca="1" ref="U386" ca="1">OFFSET(POrigin,MATCH(Valori[[#This Row],[LUKB_id]],PID,0),MATCH("M_CUR",PLabel,0)-1,1,1)</f>
        <v>USD</v>
      </c>
      <c r="V386" s="1562">
        <f ca="1">(Valori[[#This Row],[Last]]+Valori[[#This Row],[Acc. Int]])/Valori[[#This Row],[Pr.Amt]]/IF(Valori[[#This Row],[P_Type]]="Pct",100,1)</f>
        <v>24.205000000000002</v>
      </c>
      <c r="W386" s="1591" cm="1">
        <f t="array" aca="1" ref="W386" ca="1">OFFSET(POrigin,MATCH(Valori[[#This Row],[LUKB_id]],PID,0),MATCH("NC2_PR",PLabel,0)-1,1,1)/100</f>
        <v>-1.2443900448796398E-2</v>
      </c>
      <c r="X386" s="1592" cm="1">
        <f t="array" aca="1" ref="X386" ca="1">OFFSET(POrigin,MATCH(Valori[[#This Row],[LUKB_id]],PID,0),MATCH("LVAL",PLabel,0)-1,1,1)</f>
        <v>24.205000000000002</v>
      </c>
      <c r="Y386" s="1593" cm="1">
        <f t="array" aca="1" ref="Y386" ca="1">OFFSET(POrigin,MATCH(Valori[[#This Row],[LUKB_id]],PID,0),MATCH("LVAL:datetime",PLabel,0)-1,1,1)</f>
        <v>46084.785868055558</v>
      </c>
      <c r="Z386" s="1594" cm="1">
        <f t="array" aca="1" ref="Z386" ca="1">OFFSET(POrigin,MATCH(Valori[[#This Row],[LUKB_id]],PID,0),MATCH("BID:volume",PLabel,0)-1,1,1)</f>
        <v>1700</v>
      </c>
      <c r="AA386" s="1595" cm="1">
        <f t="array" aca="1" ref="AA386" ca="1">OFFSET(POrigin,MATCH(Valori[[#This Row],[LUKB_id]],PID,0),MATCH("BID",PLabel,0)-1,1,1)</f>
        <v>24.200000000000003</v>
      </c>
      <c r="AB386" s="1595" cm="1">
        <f t="array" aca="1" ref="AB386" ca="1">OFFSET(POrigin,MATCH(Valori[[#This Row],[LUKB_id]],PID,0),MATCH("ASK",PLabel,0)-1,1,1)</f>
        <v>24.21</v>
      </c>
      <c r="AC386" s="1594" cm="1">
        <f t="array" aca="1" ref="AC386" ca="1">OFFSET(POrigin,MATCH(Valori[[#This Row],[LUKB_id]],PID,0),MATCH("ASK:volume",PLabel,0)-1,1,1)</f>
        <v>1900</v>
      </c>
      <c r="AD386" s="1596" cm="1">
        <f t="array" aca="1" ref="AD386" ca="1">OFFSET(POrigin,MATCH(Valori[[#This Row],[LUKB_id]],PID,0),MATCH("BID-ASK Spread %",PLabel,0)-1,1,1)</f>
        <v>2.7544415369778292E-4</v>
      </c>
      <c r="AE386" s="1597" t="str" cm="1">
        <f t="array" aca="1" ref="AE386" ca="1">IF(OFFSET(POrigin,MATCH(Valori[[#This Row],[LUKB_id]],PID,0),MATCH("MATURITY",PLabel,0)-1,1,1)&gt;0,OFFSET(POrigin,MATCH(Valori[[#This Row],[LUKB_id]],PID,0),MATCH("MATURITY",PLabel,0)-1,1,1),"")</f>
        <v/>
      </c>
      <c r="AF386" s="1598" cm="1">
        <f t="array" aca="1" ref="AF386" ca="1">OFFSET(POrigin,MATCH(Valori[[#This Row],[LUKB_id]],PID,0),MATCH("ACCINT",PLabel,0)-1,1,1)</f>
        <v>0</v>
      </c>
      <c r="AG386" s="1594" cm="1">
        <f t="array" aca="1" ref="AG386" ca="1">OFFSET(POrigin,MATCH(Valori[[#This Row],[LUKB_id]],PID,0),MATCH("DENOM",PLabel,0)-1,1,1)</f>
        <v>0</v>
      </c>
      <c r="AH386" s="1599" cm="1">
        <f t="array" aca="1" ref="AH386" ca="1">(OFFSET(POrigin,MATCH(Valori[[#This Row],[LUKB_id]],PID,0),MATCH("YIELD",PLabel,0)-1,1,1)+OFFSET(POrigin,MATCH(Valori[[#This Row],[LUKB_id]],PID,0),MATCH("YLDEQ",PLabel,0)-1,1,1))/100</f>
        <v>6.6102049999999996E-2</v>
      </c>
      <c r="AI386" s="1600">
        <f ca="1">OFFSET(POrigin,MATCH(Valori[[#This Row],[LUKB_id]],PID,0),MATCH("DIVIDEND",PLabel,0)-1,1,1)</f>
        <v>0.4</v>
      </c>
      <c r="AJ386" s="1601">
        <f ca="1">OFFSET(POrigin,MATCH(Valori[[#This Row],[LUKB_id]],PID,0),MATCH("DIVIDEND:datetime",PLabel,0)-1,1,1)</f>
        <v>45989</v>
      </c>
      <c r="AK386" s="1602">
        <f ca="1">OFFSET(POrigin,MATCH(Valori[[#This Row],[LUKB_id]],PID,0),MATCH("INTEREST",PLabel,0)-1,1,1)</f>
        <v>0</v>
      </c>
      <c r="AL386" s="1603">
        <f ca="1">OFFSET(POrigin,MATCH(Valori[[#This Row],[LUKB_id]],PID,0),MATCH("4W_PERF_PR",PLabel,0)-1,1,1)/100</f>
        <v>1.4034349999999999E-2</v>
      </c>
      <c r="AM386" s="1603">
        <f ca="1">OFFSET(POrigin,MATCH(Valori[[#This Row],[LUKB_id]],PID,0),MATCH("12W_PERF_PR",PLabel,0)-1,1,1)/100</f>
        <v>-1.0317799999999999E-3</v>
      </c>
      <c r="AN386" s="1603">
        <f ca="1">OFFSET(POrigin,MATCH(Valori[[#This Row],[LUKB_id]],PID,0),MATCH("YTD_PERF_PR",PLabel,0)-1,1,1)/100</f>
        <v>1.0721649484536199E-2</v>
      </c>
      <c r="AO386" s="1591"/>
      <c r="AP386" s="1591"/>
      <c r="AQ386" s="1591"/>
      <c r="AR386" s="1591"/>
      <c r="AS386" s="1890" t="s">
        <v>1966</v>
      </c>
      <c r="AT386" s="1890" t="s">
        <v>1967</v>
      </c>
      <c r="AU386" s="610" t="s">
        <v>1968</v>
      </c>
      <c r="AV386" s="1891" t="str">
        <f>IF(Valori[[#This Row],[MS_Link]]&lt;&gt;"",Valori[[#This Row],[MS_Link]]&amp;"company/","")</f>
        <v>https://www.marketscreener.com/quote/stock/THE-KRAFT-HEINZ-COMPANY-22816979/company/</v>
      </c>
      <c r="AW386" s="1604" t="str">
        <f ca="1">"https://boersenundmaerkte.lukb.ch/lukb/details/"&amp;Valori[[#This Row],[LUKB_id]]</f>
        <v>https://boersenundmaerkte.lukb.ch/lukb/details/28688848,537,333</v>
      </c>
      <c r="AX386" s="1605" t="str">
        <f>"https://www.zonebourse.com/mods_a/charts/TV/inc_dyna_graph.php?c="&amp;Valori[[#This Row],[MS_Code]]&amp;"&amp;style=TradingView.CANDLES&amp;interval=(null)&amp;mobile=(null)&amp;showAT=1"</f>
        <v>https://www.zonebourse.com/mods_a/charts/TV/inc_dyna_graph.php?c=22816979&amp;style=TradingView.CANDLES&amp;interval=(null)&amp;mobile=(null)&amp;showAT=1</v>
      </c>
    </row>
    <row r="387" spans="1:50" ht="15" customHeight="1" x14ac:dyDescent="0.2">
      <c r="A387" s="142" t="s">
        <v>1969</v>
      </c>
      <c r="B387" s="142" t="str" cm="1">
        <f t="array" aca="1" ref="B387" ca="1">OFFSET(POrigin,MATCH(Valori[[#This Row],[smo_id]],Posizioni[smo_id],0),MATCH("LUKB_id",PIntestazioni,0)-1,1,1)</f>
        <v>24476758,4,1</v>
      </c>
      <c r="C387" s="1668" t="str">
        <f ca="1">HYPERLINK("https://boersenundmaerkte.lukb.ch/lukb/details/"&amp;Valori[[#This Row],[LUKB_id]],"è")</f>
        <v>è</v>
      </c>
      <c r="D387" s="142" t="str" cm="1">
        <f t="array" aca="1" ref="D387" ca="1">OFFSET(POrigin,MATCH(Valori[[#This Row],[LUKB_id]],PID,0),MATCH("SC_GROUPED",PIntestazioni,0)-1,1,1)</f>
        <v>EQU</v>
      </c>
      <c r="E387" s="413" t="str" cm="1">
        <f t="array" aca="1" ref="E387" ca="1">OFFSET(POrigin,MATCH(Valori[[#This Row],[LUKB_id]],PID,0),MATCH("isin",PIntestazioni,0)-1,1,1)</f>
        <v>CH0244767585</v>
      </c>
      <c r="F387" s="34" t="str" cm="1">
        <f t="array" aca="1" ref="F387" ca="1">OFFSET(POrigin,MATCH(Valori[[#This Row],[LUKB_id]],PID,0),MATCH("NSIN_CH",PLabel,0)-1,1,1)</f>
        <v>24476758</v>
      </c>
      <c r="G387" s="95" t="str" cm="1">
        <f t="array" aca="1" ref="G387" ca="1">IF(OFFSET(POrigin,MATCH(Valori[[#This Row],[LUKB_id]],PID,0),MATCH("INSTRUNIT",PLabel,0)-1,1,1)="Nominal","Pct","Unit")</f>
        <v>Unit</v>
      </c>
      <c r="H387" s="612">
        <f ca="1">MAX(OFFSET(POrigin,MATCH(Valori[[#This Row],[LUKB_id]],PID,0),MATCH("PRICINGAMT",PLabel,0)-1,1,1),1)</f>
        <v>1</v>
      </c>
      <c r="I387" s="615" t="str" cm="1">
        <f t="array" aca="1" ref="I387" ca="1">OFFSET(POrigin,MATCH(Valori[[#This Row],[LUKB_id]],PID,0),MATCH("M_NAME",PLabel,0)-1,1,1)</f>
        <v>UBS Group N</v>
      </c>
      <c r="J387" s="142" t="s">
        <v>484</v>
      </c>
      <c r="M387" s="142" t="str" cm="1">
        <f t="array" aca="1" ref="M3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v>
      </c>
      <c r="N387" s="1563">
        <f ca="1">COUNTIF('CHF M'!smo_id,Valori[[#This Row],[smo_id]])+COUNTIF('CHF MA'!smo_id,Valori[[#This Row],[smo_id]])+COUNTIF('EUR MB'!smo_id,Valori[[#This Row],[smo_id]])+COUNTIF('EUR M'!smo_id,Valori[[#This Row],[smo_id]])+COUNTIF(AGCO!smo_id,Valori[[#This Row],[smo_id]])</f>
        <v>1</v>
      </c>
      <c r="O387" s="1590" cm="1">
        <f t="array" aca="1" ref="O387" ca="1">SUM(IF('CHF M'!smo_id=Valori[[#This Row],[smo_id]],'CHF M'!Posizione))+SUM(IF('CHF MA'!smo_id=Valori[[#This Row],[smo_id]],'CHF MA'!Posizione))+SUM(IF('EUR MB'!smo_id=Valori[[#This Row],[smo_id]],'EUR MB'!Posizione))+SUM(IF('EUR M'!smo_id=Valori[[#This Row],[smo_id]],'EUR M'!Posizione))+SUM(IF(AGCO!smo_id=Valori[[#This Row],[smo_id]],AGCO!Posizione))</f>
        <v>3000</v>
      </c>
      <c r="P387" s="1661" t="str">
        <f ca="1">HYPERLINK(Valori[[#This Row],[P_Source]],"è")</f>
        <v>è</v>
      </c>
      <c r="Q387" s="1663" t="str">
        <f>HYPERLINK(Valori[[#This Row],[Info_W]],"i")</f>
        <v>i</v>
      </c>
      <c r="R387" s="1664" t="str">
        <f>HYPERLINK(Valori[[#This Row],[FN_W]],"")</f>
        <v></v>
      </c>
      <c r="S387" s="1665" t="str">
        <f>HYPERLINK(Valori[[#This Row],[MS_Link]],"")</f>
        <v></v>
      </c>
      <c r="T387" s="1665" t="str">
        <f>HYPERLINK(Valori[[#This Row],[C_source]],"")</f>
        <v></v>
      </c>
      <c r="U387" s="142" t="str" cm="1">
        <f t="array" aca="1" ref="U387" ca="1">OFFSET(POrigin,MATCH(Valori[[#This Row],[LUKB_id]],PID,0),MATCH("M_CUR",PLabel,0)-1,1,1)</f>
        <v>CHF</v>
      </c>
      <c r="V387" s="1562">
        <f ca="1">(Valori[[#This Row],[Last]]+Valori[[#This Row],[Acc. Int]])/Valori[[#This Row],[Pr.Amt]]/IF(Valori[[#This Row],[P_Type]]="Pct",100,1)</f>
        <v>30.68</v>
      </c>
      <c r="W387" s="1591" cm="1">
        <f t="array" aca="1" ref="W387" ca="1">OFFSET(POrigin,MATCH(Valori[[#This Row],[LUKB_id]],PID,0),MATCH("NC2_PR",PLabel,0)-1,1,1)/100</f>
        <v>-3.6129437637449004E-2</v>
      </c>
      <c r="X387" s="1592" cm="1">
        <f t="array" aca="1" ref="X387" ca="1">OFFSET(POrigin,MATCH(Valori[[#This Row],[LUKB_id]],PID,0),MATCH("LVAL",PLabel,0)-1,1,1)</f>
        <v>30.68</v>
      </c>
      <c r="Y387" s="1593" cm="1">
        <f t="array" aca="1" ref="Y387" ca="1">OFFSET(POrigin,MATCH(Valori[[#This Row],[LUKB_id]],PID,0),MATCH("LVAL:datetime",PLabel,0)-1,1,1)</f>
        <v>46084.731215277781</v>
      </c>
      <c r="Z387" s="1594" cm="1">
        <f t="array" aca="1" ref="Z387" ca="1">OFFSET(POrigin,MATCH(Valori[[#This Row],[LUKB_id]],PID,0),MATCH("BID:volume",PLabel,0)-1,1,1)</f>
        <v>0</v>
      </c>
      <c r="AA387" s="1595" cm="1">
        <f t="array" aca="1" ref="AA387" ca="1">OFFSET(POrigin,MATCH(Valori[[#This Row],[LUKB_id]],PID,0),MATCH("BID",PLabel,0)-1,1,1)</f>
        <v>0</v>
      </c>
      <c r="AB387" s="1595" cm="1">
        <f t="array" aca="1" ref="AB387" ca="1">OFFSET(POrigin,MATCH(Valori[[#This Row],[LUKB_id]],PID,0),MATCH("ASK",PLabel,0)-1,1,1)</f>
        <v>0</v>
      </c>
      <c r="AC387" s="1594" cm="1">
        <f t="array" aca="1" ref="AC387" ca="1">OFFSET(POrigin,MATCH(Valori[[#This Row],[LUKB_id]],PID,0),MATCH("ASK:volume",PLabel,0)-1,1,1)</f>
        <v>0</v>
      </c>
      <c r="AD387" s="1596" cm="1">
        <f t="array" aca="1" ref="AD387" ca="1">OFFSET(POrigin,MATCH(Valori[[#This Row],[LUKB_id]],PID,0),MATCH("BID-ASK Spread %",PLabel,0)-1,1,1)</f>
        <v>0</v>
      </c>
      <c r="AE387" s="1597" t="str" cm="1">
        <f t="array" aca="1" ref="AE387" ca="1">IF(OFFSET(POrigin,MATCH(Valori[[#This Row],[LUKB_id]],PID,0),MATCH("MATURITY",PLabel,0)-1,1,1)&gt;0,OFFSET(POrigin,MATCH(Valori[[#This Row],[LUKB_id]],PID,0),MATCH("MATURITY",PLabel,0)-1,1,1),"")</f>
        <v/>
      </c>
      <c r="AF387" s="1598" cm="1">
        <f t="array" aca="1" ref="AF387" ca="1">OFFSET(POrigin,MATCH(Valori[[#This Row],[LUKB_id]],PID,0),MATCH("ACCINT",PLabel,0)-1,1,1)</f>
        <v>0</v>
      </c>
      <c r="AG387" s="1594" cm="1">
        <f t="array" aca="1" ref="AG387" ca="1">OFFSET(POrigin,MATCH(Valori[[#This Row],[LUKB_id]],PID,0),MATCH("DENOM",PLabel,0)-1,1,1)</f>
        <v>0</v>
      </c>
      <c r="AH387" s="1599" cm="1">
        <f t="array" aca="1" ref="AH387" ca="1">(OFFSET(POrigin,MATCH(Valori[[#This Row],[LUKB_id]],PID,0),MATCH("YIELD",PLabel,0)-1,1,1)+OFFSET(POrigin,MATCH(Valori[[#This Row],[LUKB_id]],PID,0),MATCH("YLDEQ",PLabel,0)-1,1,1))/100</f>
        <v>2.3976989999999997E-2</v>
      </c>
      <c r="AI387" s="1600">
        <f ca="1">OFFSET(POrigin,MATCH(Valori[[#This Row],[LUKB_id]],PID,0),MATCH("DIVIDEND",PLabel,0)-1,1,1)</f>
        <v>0.73561599999999994</v>
      </c>
      <c r="AJ387" s="1601">
        <f ca="1">OFFSET(POrigin,MATCH(Valori[[#This Row],[LUKB_id]],PID,0),MATCH("DIVIDEND:datetime",PLabel,0)-1,1,1)</f>
        <v>45762</v>
      </c>
      <c r="AK387" s="1602">
        <f ca="1">OFFSET(POrigin,MATCH(Valori[[#This Row],[LUKB_id]],PID,0),MATCH("INTEREST",PLabel,0)-1,1,1)</f>
        <v>0</v>
      </c>
      <c r="AL387" s="1603">
        <f ca="1">OFFSET(POrigin,MATCH(Valori[[#This Row],[LUKB_id]],PID,0),MATCH("4W_PERF_PR",PLabel,0)-1,1,1)/100</f>
        <v>-0.17304581999999999</v>
      </c>
      <c r="AM387" s="1603">
        <f ca="1">OFFSET(POrigin,MATCH(Valori[[#This Row],[LUKB_id]],PID,0),MATCH("12W_PERF_PR",PLabel,0)-1,1,1)/100</f>
        <v>-7.7015639999999996E-2</v>
      </c>
      <c r="AN387" s="1603">
        <f ca="1">OFFSET(POrigin,MATCH(Valori[[#This Row],[LUKB_id]],PID,0),MATCH("YTD_PERF_PR",PLabel,0)-1,1,1)/100</f>
        <v>-0.138798701298702</v>
      </c>
      <c r="AO387" s="1591"/>
      <c r="AP387" s="1591"/>
      <c r="AQ387" s="1591"/>
      <c r="AR387" s="1591"/>
      <c r="AS387" s="1890" t="s">
        <v>1970</v>
      </c>
      <c r="AT387" s="1890" t="s">
        <v>1971</v>
      </c>
      <c r="AU387" s="610" t="s">
        <v>1972</v>
      </c>
      <c r="AV387" s="1891" t="str">
        <f>IF(Valori[[#This Row],[MS_Link]]&lt;&gt;"",Valori[[#This Row],[MS_Link]]&amp;"company/","")</f>
        <v>https://www.marketscreener.com/quote/stock/UBS-GROUP-AG-19156942/company/</v>
      </c>
      <c r="AW387" s="1604" t="str">
        <f ca="1">"https://boersenundmaerkte.lukb.ch/lukb/details/"&amp;Valori[[#This Row],[LUKB_id]]</f>
        <v>https://boersenundmaerkte.lukb.ch/lukb/details/24476758,4,1</v>
      </c>
      <c r="AX387" s="1605" t="str">
        <f>"https://www.marketscreener.com/mods_a/charts/TV/inc_dyna_graph.php?c="&amp;Valori[[#This Row],[MS_Code]]&amp;"&amp;style=TradingView.CANDLES&amp;interval=(null)&amp;mobile=(null)&amp;showAT=1"</f>
        <v>https://www.marketscreener.com/mods_a/charts/TV/inc_dyna_graph.php?c=19156942&amp;style=TradingView.CANDLES&amp;interval=(null)&amp;mobile=(null)&amp;showAT=1</v>
      </c>
    </row>
    <row r="388" spans="1:50" ht="15" customHeight="1" x14ac:dyDescent="0.2">
      <c r="A388" s="142" t="s">
        <v>1973</v>
      </c>
      <c r="B388" s="142" t="str" cm="1">
        <f t="array" aca="1" ref="B388" ca="1">OFFSET(POrigin,MATCH(Valori[[#This Row],[smo_id]],Posizioni[smo_id],0),MATCH("LUKB_id",PIntestazioni,0)-1,1,1)</f>
        <v>24476758,4,1</v>
      </c>
      <c r="C388" s="1668" t="str">
        <f ca="1">HYPERLINK("https://boersenundmaerkte.lukb.ch/lukb/details/"&amp;Valori[[#This Row],[LUKB_id]],"è")</f>
        <v>è</v>
      </c>
      <c r="D388" s="142" t="str" cm="1">
        <f t="array" aca="1" ref="D388" ca="1">OFFSET(POrigin,MATCH(Valori[[#This Row],[LUKB_id]],PID,0),MATCH("SC_GROUPED",PIntestazioni,0)-1,1,1)</f>
        <v>EQU</v>
      </c>
      <c r="E388" s="413" t="str" cm="1">
        <f t="array" aca="1" ref="E388" ca="1">OFFSET(POrigin,MATCH(Valori[[#This Row],[LUKB_id]],PID,0),MATCH("isin",PIntestazioni,0)-1,1,1)</f>
        <v>CH0244767585</v>
      </c>
      <c r="F388" s="34" t="str" cm="1">
        <f t="array" aca="1" ref="F388" ca="1">OFFSET(POrigin,MATCH(Valori[[#This Row],[LUKB_id]],PID,0),MATCH("NSIN_CH",PLabel,0)-1,1,1)</f>
        <v>24476758</v>
      </c>
      <c r="G388" s="95" t="str" cm="1">
        <f t="array" aca="1" ref="G388" ca="1">IF(OFFSET(POrigin,MATCH(Valori[[#This Row],[LUKB_id]],PID,0),MATCH("INSTRUNIT",PLabel,0)-1,1,1)="Nominal","Pct","Unit")</f>
        <v>Unit</v>
      </c>
      <c r="H388" s="612">
        <f ca="1">MAX(OFFSET(POrigin,MATCH(Valori[[#This Row],[LUKB_id]],PID,0),MATCH("PRICINGAMT",PLabel,0)-1,1,1),1)</f>
        <v>1</v>
      </c>
      <c r="I388" s="615" t="str" cm="1">
        <f t="array" aca="1" ref="I388" ca="1">OFFSET(POrigin,MATCH(Valori[[#This Row],[LUKB_id]],PID,0),MATCH("M_NAME",PLabel,0)-1,1,1)</f>
        <v>UBS Group N</v>
      </c>
      <c r="M388" s="142" t="str" cm="1">
        <f t="array" aca="1" ref="M3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 N</v>
      </c>
      <c r="N388" s="1563">
        <f ca="1">COUNTIF('CHF M'!smo_id,Valori[[#This Row],[smo_id]])+COUNTIF('CHF MA'!smo_id,Valori[[#This Row],[smo_id]])+COUNTIF('EUR MB'!smo_id,Valori[[#This Row],[smo_id]])+COUNTIF('EUR M'!smo_id,Valori[[#This Row],[smo_id]])+COUNTIF(AGCO!smo_id,Valori[[#This Row],[smo_id]])</f>
        <v>0</v>
      </c>
      <c r="O388" s="1590" cm="1">
        <f t="array" aca="1" ref="O388" ca="1">SUM(IF('CHF M'!smo_id=Valori[[#This Row],[smo_id]],'CHF M'!Posizione))+SUM(IF('CHF MA'!smo_id=Valori[[#This Row],[smo_id]],'CHF MA'!Posizione))+SUM(IF('EUR MB'!smo_id=Valori[[#This Row],[smo_id]],'EUR MB'!Posizione))+SUM(IF('EUR M'!smo_id=Valori[[#This Row],[smo_id]],'EUR M'!Posizione))+SUM(IF(AGCO!smo_id=Valori[[#This Row],[smo_id]],AGCO!Posizione))</f>
        <v>0</v>
      </c>
      <c r="P388" s="1661" t="str">
        <f ca="1">HYPERLINK(Valori[[#This Row],[P_Source]],"è")</f>
        <v>è</v>
      </c>
      <c r="Q388" s="1663" t="str">
        <f>HYPERLINK(Valori[[#This Row],[Info_W]],"i")</f>
        <v>i</v>
      </c>
      <c r="R388" s="1664" t="str">
        <f>HYPERLINK(Valori[[#This Row],[FN_W]],"")</f>
        <v></v>
      </c>
      <c r="S388" s="1665" t="str">
        <f>HYPERLINK(Valori[[#This Row],[MS_Link]],"")</f>
        <v></v>
      </c>
      <c r="T388" s="1665" t="str">
        <f>HYPERLINK(Valori[[#This Row],[C_source]],"")</f>
        <v></v>
      </c>
      <c r="U388" s="142" t="str" cm="1">
        <f t="array" aca="1" ref="U388" ca="1">OFFSET(POrigin,MATCH(Valori[[#This Row],[LUKB_id]],PID,0),MATCH("M_CUR",PLabel,0)-1,1,1)</f>
        <v>CHF</v>
      </c>
      <c r="V388" s="1562">
        <f ca="1">(Valori[[#This Row],[Last]]+Valori[[#This Row],[Acc. Int]])/Valori[[#This Row],[Pr.Amt]]/IF(Valori[[#This Row],[P_Type]]="Pct",100,1)</f>
        <v>30.68</v>
      </c>
      <c r="W388" s="1591" cm="1">
        <f t="array" aca="1" ref="W388" ca="1">OFFSET(POrigin,MATCH(Valori[[#This Row],[LUKB_id]],PID,0),MATCH("NC2_PR",PLabel,0)-1,1,1)/100</f>
        <v>-3.6129437637449004E-2</v>
      </c>
      <c r="X388" s="1592" cm="1">
        <f t="array" aca="1" ref="X388" ca="1">OFFSET(POrigin,MATCH(Valori[[#This Row],[LUKB_id]],PID,0),MATCH("LVAL",PLabel,0)-1,1,1)</f>
        <v>30.68</v>
      </c>
      <c r="Y388" s="1593" cm="1">
        <f t="array" aca="1" ref="Y388" ca="1">OFFSET(POrigin,MATCH(Valori[[#This Row],[LUKB_id]],PID,0),MATCH("LVAL:datetime",PLabel,0)-1,1,1)</f>
        <v>46084.731215277781</v>
      </c>
      <c r="Z388" s="1594" cm="1">
        <f t="array" aca="1" ref="Z388" ca="1">OFFSET(POrigin,MATCH(Valori[[#This Row],[LUKB_id]],PID,0),MATCH("BID:volume",PLabel,0)-1,1,1)</f>
        <v>0</v>
      </c>
      <c r="AA388" s="1595" cm="1">
        <f t="array" aca="1" ref="AA388" ca="1">OFFSET(POrigin,MATCH(Valori[[#This Row],[LUKB_id]],PID,0),MATCH("BID",PLabel,0)-1,1,1)</f>
        <v>0</v>
      </c>
      <c r="AB388" s="1595" cm="1">
        <f t="array" aca="1" ref="AB388" ca="1">OFFSET(POrigin,MATCH(Valori[[#This Row],[LUKB_id]],PID,0),MATCH("ASK",PLabel,0)-1,1,1)</f>
        <v>0</v>
      </c>
      <c r="AC388" s="1594" cm="1">
        <f t="array" aca="1" ref="AC388" ca="1">OFFSET(POrigin,MATCH(Valori[[#This Row],[LUKB_id]],PID,0),MATCH("ASK:volume",PLabel,0)-1,1,1)</f>
        <v>0</v>
      </c>
      <c r="AD388" s="1596" cm="1">
        <f t="array" aca="1" ref="AD388" ca="1">OFFSET(POrigin,MATCH(Valori[[#This Row],[LUKB_id]],PID,0),MATCH("BID-ASK Spread %",PLabel,0)-1,1,1)</f>
        <v>0</v>
      </c>
      <c r="AE388" s="1597" t="str" cm="1">
        <f t="array" aca="1" ref="AE388" ca="1">IF(OFFSET(POrigin,MATCH(Valori[[#This Row],[LUKB_id]],PID,0),MATCH("MATURITY",PLabel,0)-1,1,1)&gt;0,OFFSET(POrigin,MATCH(Valori[[#This Row],[LUKB_id]],PID,0),MATCH("MATURITY",PLabel,0)-1,1,1),"")</f>
        <v/>
      </c>
      <c r="AF388" s="1598" cm="1">
        <f t="array" aca="1" ref="AF388" ca="1">OFFSET(POrigin,MATCH(Valori[[#This Row],[LUKB_id]],PID,0),MATCH("ACCINT",PLabel,0)-1,1,1)</f>
        <v>0</v>
      </c>
      <c r="AG388" s="1594" cm="1">
        <f t="array" aca="1" ref="AG388" ca="1">OFFSET(POrigin,MATCH(Valori[[#This Row],[LUKB_id]],PID,0),MATCH("DENOM",PLabel,0)-1,1,1)</f>
        <v>0</v>
      </c>
      <c r="AH388" s="1599" cm="1">
        <f t="array" aca="1" ref="AH388" ca="1">(OFFSET(POrigin,MATCH(Valori[[#This Row],[LUKB_id]],PID,0),MATCH("YIELD",PLabel,0)-1,1,1)+OFFSET(POrigin,MATCH(Valori[[#This Row],[LUKB_id]],PID,0),MATCH("YLDEQ",PLabel,0)-1,1,1))/100</f>
        <v>2.3976989999999997E-2</v>
      </c>
      <c r="AI388" s="1600">
        <f ca="1">OFFSET(POrigin,MATCH(Valori[[#This Row],[LUKB_id]],PID,0),MATCH("DIVIDEND",PLabel,0)-1,1,1)</f>
        <v>0.73561599999999994</v>
      </c>
      <c r="AJ388" s="1601">
        <f ca="1">OFFSET(POrigin,MATCH(Valori[[#This Row],[LUKB_id]],PID,0),MATCH("DIVIDEND:datetime",PLabel,0)-1,1,1)</f>
        <v>45762</v>
      </c>
      <c r="AK388" s="1602">
        <f ca="1">OFFSET(POrigin,MATCH(Valori[[#This Row],[LUKB_id]],PID,0),MATCH("INTEREST",PLabel,0)-1,1,1)</f>
        <v>0</v>
      </c>
      <c r="AL388" s="1603">
        <f ca="1">OFFSET(POrigin,MATCH(Valori[[#This Row],[LUKB_id]],PID,0),MATCH("4W_PERF_PR",PLabel,0)-1,1,1)/100</f>
        <v>-0.17304581999999999</v>
      </c>
      <c r="AM388" s="1603">
        <f ca="1">OFFSET(POrigin,MATCH(Valori[[#This Row],[LUKB_id]],PID,0),MATCH("12W_PERF_PR",PLabel,0)-1,1,1)/100</f>
        <v>-7.7015639999999996E-2</v>
      </c>
      <c r="AN388" s="1603">
        <f ca="1">OFFSET(POrigin,MATCH(Valori[[#This Row],[LUKB_id]],PID,0),MATCH("YTD_PERF_PR",PLabel,0)-1,1,1)/100</f>
        <v>-0.138798701298702</v>
      </c>
      <c r="AO388" s="1591"/>
      <c r="AP388" s="1591"/>
      <c r="AQ388" s="1591"/>
      <c r="AR388" s="1591"/>
      <c r="AS388" s="1890"/>
      <c r="AT388" s="1890"/>
      <c r="AU388" s="610"/>
      <c r="AV388" s="1891"/>
      <c r="AW388" s="1604" t="str">
        <f ca="1">"https://boersenundmaerkte.lukb.ch/lukb/details/"&amp;Valori[[#This Row],[LUKB_id]]</f>
        <v>https://boersenundmaerkte.lukb.ch/lukb/details/24476758,4,1</v>
      </c>
      <c r="AX388"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89" spans="1:50" ht="15" customHeight="1" x14ac:dyDescent="0.2">
      <c r="A389" s="142" t="s">
        <v>1974</v>
      </c>
      <c r="B389" s="142" t="str" cm="1">
        <f t="array" aca="1" ref="B389" ca="1">OFFSET(POrigin,MATCH(Valori[[#This Row],[smo_id]],Posizioni[smo_id],0),MATCH("LUKB_id",PIntestazioni,0)-1,1,1)</f>
        <v>31186490,4,1</v>
      </c>
      <c r="C389" s="1668" t="str">
        <f ca="1">HYPERLINK("https://boersenundmaerkte.lukb.ch/lukb/details/"&amp;Valori[[#This Row],[LUKB_id]],"è")</f>
        <v>è</v>
      </c>
      <c r="D389" s="142" t="str" cm="1">
        <f t="array" aca="1" ref="D389" ca="1">OFFSET(POrigin,MATCH(Valori[[#This Row],[LUKB_id]],PID,0),MATCH("SC_GROUPED",PIntestazioni,0)-1,1,1)</f>
        <v>EQU</v>
      </c>
      <c r="E389" s="413" t="str" cm="1">
        <f t="array" aca="1" ref="E389" ca="1">OFFSET(POrigin,MATCH(Valori[[#This Row],[LUKB_id]],PID,0),MATCH("isin",PIntestazioni,0)-1,1,1)</f>
        <v>CH0311864901</v>
      </c>
      <c r="F389" s="34" t="str" cm="1">
        <f t="array" aca="1" ref="F389" ca="1">OFFSET(POrigin,MATCH(Valori[[#This Row],[LUKB_id]],PID,0),MATCH("NSIN_CH",PLabel,0)-1,1,1)</f>
        <v>31186490</v>
      </c>
      <c r="G389" s="95" t="str" cm="1">
        <f t="array" aca="1" ref="G389" ca="1">IF(OFFSET(POrigin,MATCH(Valori[[#This Row],[LUKB_id]],PID,0),MATCH("INSTRUNIT",PLabel,0)-1,1,1)="Nominal","Pct","Unit")</f>
        <v>Unit</v>
      </c>
      <c r="H389" s="612">
        <f ca="1">MAX(OFFSET(POrigin,MATCH(Valori[[#This Row],[LUKB_id]],PID,0),MATCH("PRICINGAMT",PLabel,0)-1,1,1),1)</f>
        <v>1</v>
      </c>
      <c r="I389" s="615" t="str" cm="1">
        <f t="array" aca="1" ref="I389" ca="1">OFFSET(POrigin,MATCH(Valori[[#This Row],[LUKB_id]],PID,0),MATCH("M_NAME",PLabel,0)-1,1,1)</f>
        <v>VAT Group N</v>
      </c>
      <c r="L389" s="612">
        <v>3</v>
      </c>
      <c r="M389" s="142" t="str" cm="1">
        <f t="array" aca="1" ref="M3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VAT Group N</v>
      </c>
      <c r="N389" s="1563">
        <f ca="1">COUNTIF('CHF M'!smo_id,Valori[[#This Row],[smo_id]])+COUNTIF('CHF MA'!smo_id,Valori[[#This Row],[smo_id]])+COUNTIF('EUR MB'!smo_id,Valori[[#This Row],[smo_id]])+COUNTIF('EUR M'!smo_id,Valori[[#This Row],[smo_id]])+COUNTIF(AGCO!smo_id,Valori[[#This Row],[smo_id]])</f>
        <v>0</v>
      </c>
      <c r="O389" s="1590" cm="1">
        <f t="array" aca="1" ref="O389" ca="1">SUM(IF('CHF M'!smo_id=Valori[[#This Row],[smo_id]],'CHF M'!Posizione))+SUM(IF('CHF MA'!smo_id=Valori[[#This Row],[smo_id]],'CHF MA'!Posizione))+SUM(IF('EUR MB'!smo_id=Valori[[#This Row],[smo_id]],'EUR MB'!Posizione))+SUM(IF('EUR M'!smo_id=Valori[[#This Row],[smo_id]],'EUR M'!Posizione))+SUM(IF(AGCO!smo_id=Valori[[#This Row],[smo_id]],AGCO!Posizione))</f>
        <v>0</v>
      </c>
      <c r="P389" s="1661" t="str">
        <f ca="1">HYPERLINK(Valori[[#This Row],[P_Source]],"è")</f>
        <v>è</v>
      </c>
      <c r="Q389" s="1663" t="str">
        <f>HYPERLINK(Valori[[#This Row],[Info_W]],"i")</f>
        <v>i</v>
      </c>
      <c r="R389" s="1664" t="str">
        <f>HYPERLINK(Valori[[#This Row],[FN_W]],"")</f>
        <v></v>
      </c>
      <c r="S389" s="1665" t="str">
        <f>HYPERLINK(Valori[[#This Row],[MS_Link]],"")</f>
        <v></v>
      </c>
      <c r="T389" s="1665" t="str">
        <f>HYPERLINK(Valori[[#This Row],[C_source]],"")</f>
        <v></v>
      </c>
      <c r="U389" s="142" t="str" cm="1">
        <f t="array" aca="1" ref="U389" ca="1">OFFSET(POrigin,MATCH(Valori[[#This Row],[LUKB_id]],PID,0),MATCH("M_CUR",PLabel,0)-1,1,1)</f>
        <v>CHF</v>
      </c>
      <c r="V389" s="1562">
        <f ca="1">(Valori[[#This Row],[Last]]+Valori[[#This Row],[Acc. Int]])/Valori[[#This Row],[Pr.Amt]]/IF(Valori[[#This Row],[P_Type]]="Pct",100,1)</f>
        <v>526.4</v>
      </c>
      <c r="W389" s="1591" cm="1">
        <f t="array" aca="1" ref="W389" ca="1">OFFSET(POrigin,MATCH(Valori[[#This Row],[LUKB_id]],PID,0),MATCH("NC2_PR",PLabel,0)-1,1,1)/100</f>
        <v>-2.0104244229337497E-2</v>
      </c>
      <c r="X389" s="1592" cm="1">
        <f t="array" aca="1" ref="X389" ca="1">OFFSET(POrigin,MATCH(Valori[[#This Row],[LUKB_id]],PID,0),MATCH("LVAL",PLabel,0)-1,1,1)</f>
        <v>526.4</v>
      </c>
      <c r="Y389" s="1593" cm="1">
        <f t="array" aca="1" ref="Y389" ca="1">OFFSET(POrigin,MATCH(Valori[[#This Row],[LUKB_id]],PID,0),MATCH("LVAL:datetime",PLabel,0)-1,1,1)</f>
        <v>46084.731215277781</v>
      </c>
      <c r="Z389" s="1594" cm="1">
        <f t="array" aca="1" ref="Z389" ca="1">OFFSET(POrigin,MATCH(Valori[[#This Row],[LUKB_id]],PID,0),MATCH("BID:volume",PLabel,0)-1,1,1)</f>
        <v>20</v>
      </c>
      <c r="AA389" s="1595" cm="1">
        <f t="array" aca="1" ref="AA389" ca="1">OFFSET(POrigin,MATCH(Valori[[#This Row],[LUKB_id]],PID,0),MATCH("BID",PLabel,0)-1,1,1)</f>
        <v>520</v>
      </c>
      <c r="AB389" s="1595" cm="1">
        <f t="array" aca="1" ref="AB389" ca="1">OFFSET(POrigin,MATCH(Valori[[#This Row],[LUKB_id]],PID,0),MATCH("ASK",PLabel,0)-1,1,1)</f>
        <v>526</v>
      </c>
      <c r="AC389" s="1594" cm="1">
        <f t="array" aca="1" ref="AC389" ca="1">OFFSET(POrigin,MATCH(Valori[[#This Row],[LUKB_id]],PID,0),MATCH("ASK:volume",PLabel,0)-1,1,1)</f>
        <v>35</v>
      </c>
      <c r="AD389" s="1596" cm="1">
        <f t="array" aca="1" ref="AD389" ca="1">OFFSET(POrigin,MATCH(Valori[[#This Row],[LUKB_id]],PID,0),MATCH("BID-ASK Spread %",PLabel,0)-1,1,1)</f>
        <v>7.6628352490421452E-3</v>
      </c>
      <c r="AE389" s="1597" t="str" cm="1">
        <f t="array" aca="1" ref="AE389" ca="1">IF(OFFSET(POrigin,MATCH(Valori[[#This Row],[LUKB_id]],PID,0),MATCH("MATURITY",PLabel,0)-1,1,1)&gt;0,OFFSET(POrigin,MATCH(Valori[[#This Row],[LUKB_id]],PID,0),MATCH("MATURITY",PLabel,0)-1,1,1),"")</f>
        <v/>
      </c>
      <c r="AF389" s="1598" cm="1">
        <f t="array" aca="1" ref="AF389" ca="1">OFFSET(POrigin,MATCH(Valori[[#This Row],[LUKB_id]],PID,0),MATCH("ACCINT",PLabel,0)-1,1,1)</f>
        <v>0</v>
      </c>
      <c r="AG389" s="1594" cm="1">
        <f t="array" aca="1" ref="AG389" ca="1">OFFSET(POrigin,MATCH(Valori[[#This Row],[LUKB_id]],PID,0),MATCH("DENOM",PLabel,0)-1,1,1)</f>
        <v>0</v>
      </c>
      <c r="AH389" s="1599" cm="1">
        <f t="array" aca="1" ref="AH389" ca="1">(OFFSET(POrigin,MATCH(Valori[[#This Row],[LUKB_id]],PID,0),MATCH("YIELD",PLabel,0)-1,1,1)+OFFSET(POrigin,MATCH(Valori[[#This Row],[LUKB_id]],PID,0),MATCH("YLDEQ",PLabel,0)-1,1,1))/100</f>
        <v>1.1873100000000001E-2</v>
      </c>
      <c r="AI389" s="1600">
        <f ca="1">OFFSET(POrigin,MATCH(Valori[[#This Row],[LUKB_id]],PID,0),MATCH("DIVIDEND",PLabel,0)-1,1,1)</f>
        <v>6.25</v>
      </c>
      <c r="AJ389" s="1601">
        <f ca="1">OFFSET(POrigin,MATCH(Valori[[#This Row],[LUKB_id]],PID,0),MATCH("DIVIDEND:datetime",PLabel,0)-1,1,1)</f>
        <v>45779</v>
      </c>
      <c r="AK389" s="1602">
        <f ca="1">OFFSET(POrigin,MATCH(Valori[[#This Row],[LUKB_id]],PID,0),MATCH("INTEREST",PLabel,0)-1,1,1)</f>
        <v>0</v>
      </c>
      <c r="AL389" s="1603">
        <f ca="1">OFFSET(POrigin,MATCH(Valori[[#This Row],[LUKB_id]],PID,0),MATCH("4W_PERF_PR",PLabel,0)-1,1,1)/100</f>
        <v>6.2146889999999996E-2</v>
      </c>
      <c r="AM389" s="1603">
        <f ca="1">OFFSET(POrigin,MATCH(Valori[[#This Row],[LUKB_id]],PID,0),MATCH("12W_PERF_PR",PLabel,0)-1,1,1)/100</f>
        <v>0.35043611999999996</v>
      </c>
      <c r="AN389" s="1603">
        <f ca="1">OFFSET(POrigin,MATCH(Valori[[#This Row],[LUKB_id]],PID,0),MATCH("YTD_PERF_PR",PLabel,0)-1,1,1)/100</f>
        <v>0.39207048458149801</v>
      </c>
      <c r="AO389" s="1591"/>
      <c r="AP389" s="1591"/>
      <c r="AQ389" s="1591"/>
      <c r="AR389" s="1591"/>
      <c r="AS389" s="1890"/>
      <c r="AT389" s="1890" t="s">
        <v>1975</v>
      </c>
      <c r="AU389" s="610" t="s">
        <v>1976</v>
      </c>
      <c r="AV389" s="1891"/>
      <c r="AW389" s="1604" t="str">
        <f ca="1">"https://boersenundmaerkte.lukb.ch/lukb/details/"&amp;Valori[[#This Row],[LUKB_id]]</f>
        <v>https://boersenundmaerkte.lukb.ch/lukb/details/31186490,4,1</v>
      </c>
      <c r="AX389" s="1605" t="str">
        <f>"https://www.marketscreener.com/mods_a/charts/TV/inc_dyna_graph.php?c="&amp;Valori[[#This Row],[MS_Code]]&amp;"&amp;style=TradingView.CANDLES&amp;interval=(null)&amp;mobile=(null)&amp;showAT=1"</f>
        <v>https://www.marketscreener.com/mods_a/charts/TV/inc_dyna_graph.php?c=27114104&amp;style=TradingView.CANDLES&amp;interval=(null)&amp;mobile=(null)&amp;showAT=1</v>
      </c>
    </row>
    <row r="390" spans="1:50" ht="15" customHeight="1" x14ac:dyDescent="0.2">
      <c r="A390" s="142" t="s">
        <v>4238</v>
      </c>
      <c r="B390" s="142" t="str" cm="1">
        <f t="array" aca="1" ref="B390" ca="1">OFFSET(POrigin,MATCH(Valori[[#This Row],[smo_id]],Posizioni[smo_id],0),MATCH("LUKB_id",PIntestazioni,0)-1,1,1)</f>
        <v>1098758,1573,814</v>
      </c>
      <c r="C390" s="1668" t="str">
        <f ca="1">HYPERLINK("https://boersenundmaerkte.lukb.ch/lukb/details/"&amp;Valori[[#This Row],[LUKB_id]],"è")</f>
        <v>è</v>
      </c>
      <c r="D390" s="142" t="str" cm="1">
        <f t="array" aca="1" ref="D390" ca="1">OFFSET(POrigin,MATCH(Valori[[#This Row],[LUKB_id]],PID,0),MATCH("SC_GROUPED",PIntestazioni,0)-1,1,1)</f>
        <v>EQU</v>
      </c>
      <c r="E390" s="413" t="str" cm="1">
        <f t="array" aca="1" ref="E390" ca="1">OFFSET(POrigin,MATCH(Valori[[#This Row],[LUKB_id]],PID,0),MATCH("isin",PIntestazioni,0)-1,1,1)</f>
        <v>FR0000124141</v>
      </c>
      <c r="F390" s="34" t="str" cm="1">
        <f t="array" aca="1" ref="F390" ca="1">OFFSET(POrigin,MATCH(Valori[[#This Row],[LUKB_id]],PID,0),MATCH("NSIN_CH",PLabel,0)-1,1,1)</f>
        <v>1098758</v>
      </c>
      <c r="G390" s="95" t="str" cm="1">
        <f t="array" aca="1" ref="G390" ca="1">IF(OFFSET(POrigin,MATCH(Valori[[#This Row],[LUKB_id]],PID,0),MATCH("INSTRUNIT",PLabel,0)-1,1,1)="Nominal","Pct","Unit")</f>
        <v>Unit</v>
      </c>
      <c r="H390" s="612">
        <f ca="1">MAX(OFFSET(POrigin,MATCH(Valori[[#This Row],[LUKB_id]],PID,0),MATCH("PRICINGAMT",PLabel,0)-1,1,1),1)</f>
        <v>1</v>
      </c>
      <c r="I390" s="615" t="str" cm="1">
        <f t="array" aca="1" ref="I390" ca="1">OFFSET(POrigin,MATCH(Valori[[#This Row],[LUKB_id]],PID,0),MATCH("M_NAME",PLabel,0)-1,1,1)</f>
        <v>Veolia Environnem</v>
      </c>
      <c r="M390" s="142" t="str" cm="1">
        <f t="array" aca="1" ref="M3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Veolia Environnem</v>
      </c>
      <c r="N390" s="1563">
        <f ca="1">COUNTIF('CHF M'!smo_id,Valori[[#This Row],[smo_id]])+COUNTIF('CHF MA'!smo_id,Valori[[#This Row],[smo_id]])+COUNTIF('EUR MB'!smo_id,Valori[[#This Row],[smo_id]])+COUNTIF('EUR M'!smo_id,Valori[[#This Row],[smo_id]])+COUNTIF(AGCO!smo_id,Valori[[#This Row],[smo_id]])</f>
        <v>0</v>
      </c>
      <c r="O390" s="1590" cm="1">
        <f t="array" aca="1" ref="O390" ca="1">SUM(IF('CHF M'!smo_id=Valori[[#This Row],[smo_id]],'CHF M'!Posizione))+SUM(IF('CHF MA'!smo_id=Valori[[#This Row],[smo_id]],'CHF MA'!Posizione))+SUM(IF('EUR MB'!smo_id=Valori[[#This Row],[smo_id]],'EUR MB'!Posizione))+SUM(IF('EUR M'!smo_id=Valori[[#This Row],[smo_id]],'EUR M'!Posizione))+SUM(IF(AGCO!smo_id=Valori[[#This Row],[smo_id]],AGCO!Posizione))</f>
        <v>0</v>
      </c>
      <c r="P390" s="1661" t="str">
        <f ca="1">HYPERLINK(Valori[[#This Row],[P_Source]],"è")</f>
        <v>è</v>
      </c>
      <c r="Q390" s="1663" t="str">
        <f>HYPERLINK(Valori[[#This Row],[Info_W]],"i")</f>
        <v>i</v>
      </c>
      <c r="R390" s="1664" t="str">
        <f>HYPERLINK(Valori[[#This Row],[FN_W]],"")</f>
        <v></v>
      </c>
      <c r="S390" s="1665" t="str">
        <f>HYPERLINK(Valori[[#This Row],[MS_Link]],"")</f>
        <v></v>
      </c>
      <c r="T390" s="1665" t="str">
        <f>HYPERLINK(Valori[[#This Row],[C_source]],"")</f>
        <v></v>
      </c>
      <c r="U390" s="142" t="str" cm="1">
        <f t="array" aca="1" ref="U390" ca="1">OFFSET(POrigin,MATCH(Valori[[#This Row],[LUKB_id]],PID,0),MATCH("M_CUR",PLabel,0)-1,1,1)</f>
        <v>EUR</v>
      </c>
      <c r="V390" s="1562">
        <f ca="1">(Valori[[#This Row],[Last]]+Valori[[#This Row],[Acc. Int]])/Valori[[#This Row],[Pr.Amt]]/IF(Valori[[#This Row],[P_Type]]="Pct",100,1)</f>
        <v>33.21</v>
      </c>
      <c r="W390" s="1591" cm="1">
        <f t="array" aca="1" ref="W390" ca="1">OFFSET(POrigin,MATCH(Valori[[#This Row],[LUKB_id]],PID,0),MATCH("NC2_PR",PLabel,0)-1,1,1)/100</f>
        <v>-4.4316546762589899E-2</v>
      </c>
      <c r="X390" s="1592" cm="1">
        <f t="array" aca="1" ref="X390" ca="1">OFFSET(POrigin,MATCH(Valori[[#This Row],[LUKB_id]],PID,0),MATCH("LVAL",PLabel,0)-1,1,1)</f>
        <v>33.21</v>
      </c>
      <c r="Y390" s="1593" cm="1">
        <f t="array" aca="1" ref="Y390" ca="1">OFFSET(POrigin,MATCH(Valori[[#This Row],[LUKB_id]],PID,0),MATCH("LVAL:datetime",PLabel,0)-1,1,1)</f>
        <v>46084.729166666664</v>
      </c>
      <c r="Z390" s="1594" cm="1">
        <f t="array" aca="1" ref="Z390" ca="1">OFFSET(POrigin,MATCH(Valori[[#This Row],[LUKB_id]],PID,0),MATCH("BID:volume",PLabel,0)-1,1,1)</f>
        <v>440</v>
      </c>
      <c r="AA390" s="1595" cm="1">
        <f t="array" aca="1" ref="AA390" ca="1">OFFSET(POrigin,MATCH(Valori[[#This Row],[LUKB_id]],PID,0),MATCH("BID",PLabel,0)-1,1,1)</f>
        <v>33.25</v>
      </c>
      <c r="AB390" s="1595" cm="1">
        <f t="array" aca="1" ref="AB390" ca="1">OFFSET(POrigin,MATCH(Valori[[#This Row],[LUKB_id]],PID,0),MATCH("ASK",PLabel,0)-1,1,1)</f>
        <v>33.25</v>
      </c>
      <c r="AC390" s="1594" cm="1">
        <f t="array" aca="1" ref="AC390" ca="1">OFFSET(POrigin,MATCH(Valori[[#This Row],[LUKB_id]],PID,0),MATCH("ASK:volume",PLabel,0)-1,1,1)</f>
        <v>440</v>
      </c>
      <c r="AD390" s="1596" cm="1">
        <f t="array" aca="1" ref="AD390" ca="1">OFFSET(POrigin,MATCH(Valori[[#This Row],[LUKB_id]],PID,0),MATCH("BID-ASK Spread %",PLabel,0)-1,1,1)</f>
        <v>0</v>
      </c>
      <c r="AE390" s="1597" t="str" cm="1">
        <f t="array" aca="1" ref="AE390" ca="1">IF(OFFSET(POrigin,MATCH(Valori[[#This Row],[LUKB_id]],PID,0),MATCH("MATURITY",PLabel,0)-1,1,1)&gt;0,OFFSET(POrigin,MATCH(Valori[[#This Row],[LUKB_id]],PID,0),MATCH("MATURITY",PLabel,0)-1,1,1),"")</f>
        <v/>
      </c>
      <c r="AF390" s="1598" cm="1">
        <f t="array" aca="1" ref="AF390" ca="1">OFFSET(POrigin,MATCH(Valori[[#This Row],[LUKB_id]],PID,0),MATCH("ACCINT",PLabel,0)-1,1,1)</f>
        <v>0</v>
      </c>
      <c r="AG390" s="1594" cm="1">
        <f t="array" aca="1" ref="AG390" ca="1">OFFSET(POrigin,MATCH(Valori[[#This Row],[LUKB_id]],PID,0),MATCH("DENOM",PLabel,0)-1,1,1)</f>
        <v>0</v>
      </c>
      <c r="AH390" s="1599" cm="1">
        <f t="array" aca="1" ref="AH390" ca="1">(OFFSET(POrigin,MATCH(Valori[[#This Row],[LUKB_id]],PID,0),MATCH("YIELD",PLabel,0)-1,1,1)+OFFSET(POrigin,MATCH(Valori[[#This Row],[LUKB_id]],PID,0),MATCH("YLDEQ",PLabel,0)-1,1,1))/100</f>
        <v>4.2155977115326711E-2</v>
      </c>
      <c r="AI390" s="1600">
        <f ca="1">OFFSET(POrigin,MATCH(Valori[[#This Row],[LUKB_id]],PID,0),MATCH("DIVIDEND",PLabel,0)-1,1,1)</f>
        <v>1.4000000000000001</v>
      </c>
      <c r="AJ390" s="1601">
        <f ca="1">OFFSET(POrigin,MATCH(Valori[[#This Row],[LUKB_id]],PID,0),MATCH("DIVIDEND:datetime",PLabel,0)-1,1,1)</f>
        <v>45789</v>
      </c>
      <c r="AK390" s="1602">
        <f ca="1">OFFSET(POrigin,MATCH(Valori[[#This Row],[LUKB_id]],PID,0),MATCH("INTEREST",PLabel,0)-1,1,1)</f>
        <v>0</v>
      </c>
      <c r="AL390" s="1603">
        <f ca="1">OFFSET(POrigin,MATCH(Valori[[#This Row],[LUKB_id]],PID,0),MATCH("4W_PERF_PR",PLabel,0)-1,1,1)/100</f>
        <v>3.7650367130135864E-2</v>
      </c>
      <c r="AM390" s="1603">
        <f ca="1">OFFSET(POrigin,MATCH(Valori[[#This Row],[LUKB_id]],PID,0),MATCH("12W_PERF_PR",PLabel,0)-1,1,1)/100</f>
        <v>0.13170897938319995</v>
      </c>
      <c r="AN390" s="1603">
        <f ca="1">OFFSET(POrigin,MATCH(Valori[[#This Row],[LUKB_id]],PID,0),MATCH("YTD_PERF_PR",PLabel,0)-1,1,1)/100</f>
        <v>0.16865646544476301</v>
      </c>
      <c r="AO390" s="1591"/>
      <c r="AP390" s="1591"/>
      <c r="AQ390" s="1591"/>
      <c r="AR390" s="1591"/>
      <c r="AS390" s="1890"/>
      <c r="AT390" s="1890"/>
      <c r="AU390" s="610"/>
      <c r="AV390" s="1891"/>
      <c r="AW390" s="1604" t="str">
        <f ca="1">"https://boersenundmaerkte.lukb.ch/lukb/details/"&amp;Valori[[#This Row],[LUKB_id]]</f>
        <v>https://boersenundmaerkte.lukb.ch/lukb/details/1098758,1573,814</v>
      </c>
      <c r="AX390"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1" spans="1:50" ht="15" customHeight="1" x14ac:dyDescent="0.2">
      <c r="A391" s="142" t="s">
        <v>1977</v>
      </c>
      <c r="B391" s="142" t="str" cm="1">
        <f t="array" aca="1" ref="B391" ca="1">OFFSET(POrigin,MATCH(Valori[[#This Row],[smo_id]],Posizioni[smo_id],0),MATCH("LUKB_id",PIntestazioni,0)-1,1,1)</f>
        <v>508670,1573,814</v>
      </c>
      <c r="C391" s="1668" t="str">
        <f ca="1">HYPERLINK("https://boersenundmaerkte.lukb.ch/lukb/details/"&amp;Valori[[#This Row],[LUKB_id]],"è")</f>
        <v>è</v>
      </c>
      <c r="D391" s="142" t="str" cm="1">
        <f t="array" aca="1" ref="D391" ca="1">OFFSET(POrigin,MATCH(Valori[[#This Row],[LUKB_id]],PID,0),MATCH("SC_GROUPED",PIntestazioni,0)-1,1,1)</f>
        <v>EQU</v>
      </c>
      <c r="E391" s="413" t="str" cm="1">
        <f t="array" aca="1" ref="E391" ca="1">OFFSET(POrigin,MATCH(Valori[[#This Row],[LUKB_id]],PID,0),MATCH("isin",PIntestazioni,0)-1,1,1)</f>
        <v>FR0000125486</v>
      </c>
      <c r="F391" s="34" t="str" cm="1">
        <f t="array" aca="1" ref="F391" ca="1">OFFSET(POrigin,MATCH(Valori[[#This Row],[LUKB_id]],PID,0),MATCH("NSIN_CH",PLabel,0)-1,1,1)</f>
        <v>508670</v>
      </c>
      <c r="G391" s="95" t="str" cm="1">
        <f t="array" aca="1" ref="G391" ca="1">IF(OFFSET(POrigin,MATCH(Valori[[#This Row],[LUKB_id]],PID,0),MATCH("INSTRUNIT",PLabel,0)-1,1,1)="Nominal","Pct","Unit")</f>
        <v>Unit</v>
      </c>
      <c r="H391" s="612">
        <f ca="1">MAX(OFFSET(POrigin,MATCH(Valori[[#This Row],[LUKB_id]],PID,0),MATCH("PRICINGAMT",PLabel,0)-1,1,1),1)</f>
        <v>1</v>
      </c>
      <c r="I391" s="615" t="str" cm="1">
        <f t="array" aca="1" ref="I391" ca="1">OFFSET(POrigin,MATCH(Valori[[#This Row],[LUKB_id]],PID,0),MATCH("M_NAME",PLabel,0)-1,1,1)</f>
        <v>Vinci</v>
      </c>
      <c r="M391" s="142" t="str" cm="1">
        <f t="array" aca="1" ref="M3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Vinci</v>
      </c>
      <c r="N391" s="1563">
        <f ca="1">COUNTIF('CHF M'!smo_id,Valori[[#This Row],[smo_id]])+COUNTIF('CHF MA'!smo_id,Valori[[#This Row],[smo_id]])+COUNTIF('EUR MB'!smo_id,Valori[[#This Row],[smo_id]])+COUNTIF('EUR M'!smo_id,Valori[[#This Row],[smo_id]])+COUNTIF(AGCO!smo_id,Valori[[#This Row],[smo_id]])</f>
        <v>4</v>
      </c>
      <c r="O391" s="1590" cm="1">
        <f t="array" aca="1" ref="O391" ca="1">SUM(IF('CHF M'!smo_id=Valori[[#This Row],[smo_id]],'CHF M'!Posizione))+SUM(IF('CHF MA'!smo_id=Valori[[#This Row],[smo_id]],'CHF MA'!Posizione))+SUM(IF('EUR MB'!smo_id=Valori[[#This Row],[smo_id]],'EUR MB'!Posizione))+SUM(IF('EUR M'!smo_id=Valori[[#This Row],[smo_id]],'EUR M'!Posizione))+SUM(IF(AGCO!smo_id=Valori[[#This Row],[smo_id]],AGCO!Posizione))</f>
        <v>1088</v>
      </c>
      <c r="P391" s="1661" t="str">
        <f ca="1">HYPERLINK(Valori[[#This Row],[P_Source]],"è")</f>
        <v>è</v>
      </c>
      <c r="Q391" s="1663" t="str">
        <f>HYPERLINK(Valori[[#This Row],[Info_W]],"i")</f>
        <v>i</v>
      </c>
      <c r="R391" s="1664" t="str">
        <f>HYPERLINK(Valori[[#This Row],[FN_W]],"")</f>
        <v></v>
      </c>
      <c r="S391" s="1665" t="str">
        <f>HYPERLINK(Valori[[#This Row],[MS_Link]],"")</f>
        <v></v>
      </c>
      <c r="T391" s="1665" t="str">
        <f>HYPERLINK(Valori[[#This Row],[C_source]],"")</f>
        <v></v>
      </c>
      <c r="U391" s="142" t="str" cm="1">
        <f t="array" aca="1" ref="U391" ca="1">OFFSET(POrigin,MATCH(Valori[[#This Row],[LUKB_id]],PID,0),MATCH("M_CUR",PLabel,0)-1,1,1)</f>
        <v>EUR</v>
      </c>
      <c r="V391" s="1562">
        <f ca="1">(Valori[[#This Row],[Last]]+Valori[[#This Row],[Acc. Int]])/Valori[[#This Row],[Pr.Amt]]/IF(Valori[[#This Row],[P_Type]]="Pct",100,1)</f>
        <v>133.1</v>
      </c>
      <c r="W391" s="1591" cm="1">
        <f t="array" aca="1" ref="W391" ca="1">OFFSET(POrigin,MATCH(Valori[[#This Row],[LUKB_id]],PID,0),MATCH("NC2_PR",PLabel,0)-1,1,1)/100</f>
        <v>-3.65544697792256E-2</v>
      </c>
      <c r="X391" s="1592" cm="1">
        <f t="array" aca="1" ref="X391" ca="1">OFFSET(POrigin,MATCH(Valori[[#This Row],[LUKB_id]],PID,0),MATCH("LVAL",PLabel,0)-1,1,1)</f>
        <v>133.1</v>
      </c>
      <c r="Y391" s="1593" cm="1">
        <f t="array" aca="1" ref="Y391" ca="1">OFFSET(POrigin,MATCH(Valori[[#This Row],[LUKB_id]],PID,0),MATCH("LVAL:datetime",PLabel,0)-1,1,1)</f>
        <v>46084.729166666664</v>
      </c>
      <c r="Z391" s="1594" cm="1">
        <f t="array" aca="1" ref="Z391" ca="1">OFFSET(POrigin,MATCH(Valori[[#This Row],[LUKB_id]],PID,0),MATCH("BID:volume",PLabel,0)-1,1,1)</f>
        <v>77</v>
      </c>
      <c r="AA391" s="1595" cm="1">
        <f t="array" aca="1" ref="AA391" ca="1">OFFSET(POrigin,MATCH(Valori[[#This Row],[LUKB_id]],PID,0),MATCH("BID",PLabel,0)-1,1,1)</f>
        <v>133.25</v>
      </c>
      <c r="AB391" s="1595" cm="1">
        <f t="array" aca="1" ref="AB391" ca="1">OFFSET(POrigin,MATCH(Valori[[#This Row],[LUKB_id]],PID,0),MATCH("ASK",PLabel,0)-1,1,1)</f>
        <v>133.25</v>
      </c>
      <c r="AC391" s="1594" cm="1">
        <f t="array" aca="1" ref="AC391" ca="1">OFFSET(POrigin,MATCH(Valori[[#This Row],[LUKB_id]],PID,0),MATCH("ASK:volume",PLabel,0)-1,1,1)</f>
        <v>77</v>
      </c>
      <c r="AD391" s="1596" cm="1">
        <f t="array" aca="1" ref="AD391" ca="1">OFFSET(POrigin,MATCH(Valori[[#This Row],[LUKB_id]],PID,0),MATCH("BID-ASK Spread %",PLabel,0)-1,1,1)</f>
        <v>0</v>
      </c>
      <c r="AE391" s="1597" t="str" cm="1">
        <f t="array" aca="1" ref="AE391" ca="1">IF(OFFSET(POrigin,MATCH(Valori[[#This Row],[LUKB_id]],PID,0),MATCH("MATURITY",PLabel,0)-1,1,1)&gt;0,OFFSET(POrigin,MATCH(Valori[[#This Row],[LUKB_id]],PID,0),MATCH("MATURITY",PLabel,0)-1,1,1),"")</f>
        <v/>
      </c>
      <c r="AF391" s="1598" cm="1">
        <f t="array" aca="1" ref="AF391" ca="1">OFFSET(POrigin,MATCH(Valori[[#This Row],[LUKB_id]],PID,0),MATCH("ACCINT",PLabel,0)-1,1,1)</f>
        <v>0</v>
      </c>
      <c r="AG391" s="1594" cm="1">
        <f t="array" aca="1" ref="AG391" ca="1">OFFSET(POrigin,MATCH(Valori[[#This Row],[LUKB_id]],PID,0),MATCH("DENOM",PLabel,0)-1,1,1)</f>
        <v>0</v>
      </c>
      <c r="AH391" s="1599" cm="1">
        <f t="array" aca="1" ref="AH391" ca="1">(OFFSET(POrigin,MATCH(Valori[[#This Row],[LUKB_id]],PID,0),MATCH("YIELD",PLabel,0)-1,1,1)+OFFSET(POrigin,MATCH(Valori[[#This Row],[LUKB_id]],PID,0),MATCH("YLDEQ",PLabel,0)-1,1,1))/100</f>
        <v>3.7565740045078892E-2</v>
      </c>
      <c r="AI391" s="1600">
        <f ca="1">OFFSET(POrigin,MATCH(Valori[[#This Row],[LUKB_id]],PID,0),MATCH("DIVIDEND",PLabel,0)-1,1,1)</f>
        <v>1.05</v>
      </c>
      <c r="AJ391" s="1601">
        <f ca="1">OFFSET(POrigin,MATCH(Valori[[#This Row],[LUKB_id]],PID,0),MATCH("DIVIDEND:datetime",PLabel,0)-1,1,1)</f>
        <v>45944</v>
      </c>
      <c r="AK391" s="1602">
        <f ca="1">OFFSET(POrigin,MATCH(Valori[[#This Row],[LUKB_id]],PID,0),MATCH("INTEREST",PLabel,0)-1,1,1)</f>
        <v>0</v>
      </c>
      <c r="AL391" s="1603">
        <f ca="1">OFFSET(POrigin,MATCH(Valori[[#This Row],[LUKB_id]],PID,0),MATCH("4W_PERF_PR",PLabel,0)-1,1,1)/100</f>
        <v>8.6752398448662865E-2</v>
      </c>
      <c r="AM391" s="1603">
        <f ca="1">OFFSET(POrigin,MATCH(Valori[[#This Row],[LUKB_id]],PID,0),MATCH("12W_PERF_PR",PLabel,0)-1,1,1)/100</f>
        <v>0.10617078745065439</v>
      </c>
      <c r="AN391" s="1603">
        <f ca="1">OFFSET(POrigin,MATCH(Valori[[#This Row],[LUKB_id]],PID,0),MATCH("YTD_PERF_PR",PLabel,0)-1,1,1)/100</f>
        <v>0.15269086357947501</v>
      </c>
      <c r="AO391" s="1591"/>
      <c r="AP391" s="1591"/>
      <c r="AQ391" s="1591"/>
      <c r="AR391" s="1591"/>
      <c r="AS391" s="1890"/>
      <c r="AT391" s="1890"/>
      <c r="AU391" s="610"/>
      <c r="AV391" s="1891"/>
      <c r="AW391" s="1604" t="str">
        <f ca="1">"https://boersenundmaerkte.lukb.ch/lukb/details/"&amp;Valori[[#This Row],[LUKB_id]]</f>
        <v>https://boersenundmaerkte.lukb.ch/lukb/details/508670,1573,814</v>
      </c>
      <c r="AX391"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2" spans="1:50" ht="15" customHeight="1" x14ac:dyDescent="0.2">
      <c r="A392" s="142" t="s">
        <v>1978</v>
      </c>
      <c r="B392" s="142" t="str" cm="1">
        <f t="array" aca="1" ref="B392" ca="1">OFFSET(POrigin,MATCH(Valori[[#This Row],[smo_id]],Posizioni[smo_id],0),MATCH("LUKB_id",PIntestazioni,0)-1,1,1)</f>
        <v>52875158,4,1</v>
      </c>
      <c r="C392" s="1668" t="str">
        <f ca="1">HYPERLINK("https://boersenundmaerkte.lukb.ch/lukb/details/"&amp;Valori[[#This Row],[LUKB_id]],"è")</f>
        <v>è</v>
      </c>
      <c r="D392" s="142" t="str" cm="1">
        <f t="array" aca="1" ref="D392" ca="1">OFFSET(POrigin,MATCH(Valori[[#This Row],[LUKB_id]],PID,0),MATCH("SC_GROUPED",PIntestazioni,0)-1,1,1)</f>
        <v>EQU</v>
      </c>
      <c r="E392" s="413" t="str" cm="1">
        <f t="array" aca="1" ref="E392" ca="1">OFFSET(POrigin,MATCH(Valori[[#This Row],[LUKB_id]],PID,0),MATCH("isin",PIntestazioni,0)-1,1,1)</f>
        <v>CH0528751586</v>
      </c>
      <c r="F392" s="34" t="str" cm="1">
        <f t="array" aca="1" ref="F392" ca="1">OFFSET(POrigin,MATCH(Valori[[#This Row],[LUKB_id]],PID,0),MATCH("NSIN_CH",PLabel,0)-1,1,1)</f>
        <v>52875158</v>
      </c>
      <c r="G392" s="95" t="str" cm="1">
        <f t="array" aca="1" ref="G392" ca="1">IF(OFFSET(POrigin,MATCH(Valori[[#This Row],[LUKB_id]],PID,0),MATCH("INSTRUNIT",PLabel,0)-1,1,1)="Nominal","Pct","Unit")</f>
        <v>Unit</v>
      </c>
      <c r="H392" s="612">
        <f ca="1">MAX(OFFSET(POrigin,MATCH(Valori[[#This Row],[LUKB_id]],PID,0),MATCH("PRICINGAMT",PLabel,0)-1,1,1),1)</f>
        <v>1</v>
      </c>
      <c r="I392" s="615" t="str" cm="1">
        <f t="array" aca="1" ref="I392" ca="1">OFFSET(POrigin,MATCH(Valori[[#This Row],[LUKB_id]],PID,0),MATCH("M_NAME",PLabel,0)-1,1,1)</f>
        <v>VZ Holding N</v>
      </c>
      <c r="L392" s="612">
        <v>4</v>
      </c>
      <c r="M392" s="142" t="str" cm="1">
        <f t="array" aca="1" ref="M3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VZ Holding N</v>
      </c>
      <c r="N392" s="1563">
        <f ca="1">COUNTIF('CHF M'!smo_id,Valori[[#This Row],[smo_id]])+COUNTIF('CHF MA'!smo_id,Valori[[#This Row],[smo_id]])+COUNTIF('EUR MB'!smo_id,Valori[[#This Row],[smo_id]])+COUNTIF('EUR M'!smo_id,Valori[[#This Row],[smo_id]])+COUNTIF(AGCO!smo_id,Valori[[#This Row],[smo_id]])</f>
        <v>0</v>
      </c>
      <c r="O392" s="1590">
        <v>615</v>
      </c>
      <c r="P392" s="1661" t="str">
        <f ca="1">HYPERLINK(Valori[[#This Row],[P_Source]],"è")</f>
        <v>è</v>
      </c>
      <c r="Q392" s="1663" t="str">
        <f>HYPERLINK(Valori[[#This Row],[Info_W]],"i")</f>
        <v>i</v>
      </c>
      <c r="R392" s="1664" t="str">
        <f>HYPERLINK(Valori[[#This Row],[FN_W]],"")</f>
        <v></v>
      </c>
      <c r="S392" s="1665" t="str">
        <f>HYPERLINK(Valori[[#This Row],[MS_Link]],"")</f>
        <v></v>
      </c>
      <c r="T392" s="1665" t="str">
        <f>HYPERLINK(Valori[[#This Row],[C_source]],"")</f>
        <v></v>
      </c>
      <c r="U392" s="142" t="str" cm="1">
        <f t="array" aca="1" ref="U392" ca="1">OFFSET(POrigin,MATCH(Valori[[#This Row],[LUKB_id]],PID,0),MATCH("M_CUR",PLabel,0)-1,1,1)</f>
        <v>CHF</v>
      </c>
      <c r="V392" s="1562">
        <f ca="1">(Valori[[#This Row],[Last]]+Valori[[#This Row],[Acc. Int]])/Valori[[#This Row],[Pr.Amt]]/IF(Valori[[#This Row],[P_Type]]="Pct",100,1)</f>
        <v>142.4</v>
      </c>
      <c r="W392" s="1591" cm="1">
        <f t="array" aca="1" ref="W392" ca="1">OFFSET(POrigin,MATCH(Valori[[#This Row],[LUKB_id]],PID,0),MATCH("NC2_PR",PLabel,0)-1,1,1)/100</f>
        <v>-1.5214384508990299E-2</v>
      </c>
      <c r="X392" s="1592" cm="1">
        <f t="array" aca="1" ref="X392" ca="1">OFFSET(POrigin,MATCH(Valori[[#This Row],[LUKB_id]],PID,0),MATCH("LVAL",PLabel,0)-1,1,1)</f>
        <v>142.4</v>
      </c>
      <c r="Y392" s="1593" cm="1">
        <f t="array" aca="1" ref="Y392" ca="1">OFFSET(POrigin,MATCH(Valori[[#This Row],[LUKB_id]],PID,0),MATCH("LVAL:datetime",PLabel,0)-1,1,1)</f>
        <v>46084.731238425928</v>
      </c>
      <c r="Z392" s="1594" cm="1">
        <f t="array" aca="1" ref="Z392" ca="1">OFFSET(POrigin,MATCH(Valori[[#This Row],[LUKB_id]],PID,0),MATCH("BID:volume",PLabel,0)-1,1,1)</f>
        <v>500</v>
      </c>
      <c r="AA392" s="1595" cm="1">
        <f t="array" aca="1" ref="AA392" ca="1">OFFSET(POrigin,MATCH(Valori[[#This Row],[LUKB_id]],PID,0),MATCH("BID",PLabel,0)-1,1,1)</f>
        <v>139.6</v>
      </c>
      <c r="AB392" s="1595" cm="1">
        <f t="array" aca="1" ref="AB392" ca="1">OFFSET(POrigin,MATCH(Valori[[#This Row],[LUKB_id]],PID,0),MATCH("ASK",PLabel,0)-1,1,1)</f>
        <v>147</v>
      </c>
      <c r="AC392" s="1594" cm="1">
        <f t="array" aca="1" ref="AC392" ca="1">OFFSET(POrigin,MATCH(Valori[[#This Row],[LUKB_id]],PID,0),MATCH("ASK:volume",PLabel,0)-1,1,1)</f>
        <v>78</v>
      </c>
      <c r="AD392" s="1596" cm="1">
        <f t="array" aca="1" ref="AD392" ca="1">OFFSET(POrigin,MATCH(Valori[[#This Row],[LUKB_id]],PID,0),MATCH("BID-ASK Spread %",PLabel,0)-1,1,1)</f>
        <v>3.4725480994838132E-2</v>
      </c>
      <c r="AE392" s="1597" t="str" cm="1">
        <f t="array" aca="1" ref="AE392" ca="1">IF(OFFSET(POrigin,MATCH(Valori[[#This Row],[LUKB_id]],PID,0),MATCH("MATURITY",PLabel,0)-1,1,1)&gt;0,OFFSET(POrigin,MATCH(Valori[[#This Row],[LUKB_id]],PID,0),MATCH("MATURITY",PLabel,0)-1,1,1),"")</f>
        <v/>
      </c>
      <c r="AF392" s="1598" cm="1">
        <f t="array" aca="1" ref="AF392" ca="1">OFFSET(POrigin,MATCH(Valori[[#This Row],[LUKB_id]],PID,0),MATCH("ACCINT",PLabel,0)-1,1,1)</f>
        <v>0</v>
      </c>
      <c r="AG392" s="1594" cm="1">
        <f t="array" aca="1" ref="AG392" ca="1">OFFSET(POrigin,MATCH(Valori[[#This Row],[LUKB_id]],PID,0),MATCH("DENOM",PLabel,0)-1,1,1)</f>
        <v>0</v>
      </c>
      <c r="AH392" s="1599" cm="1">
        <f t="array" aca="1" ref="AH392" ca="1">(OFFSET(POrigin,MATCH(Valori[[#This Row],[LUKB_id]],PID,0),MATCH("YIELD",PLabel,0)-1,1,1)+OFFSET(POrigin,MATCH(Valori[[#This Row],[LUKB_id]],PID,0),MATCH("YLDEQ",PLabel,0)-1,1,1))/100</f>
        <v>2.0716289999999998E-2</v>
      </c>
      <c r="AI392" s="1600">
        <f ca="1">OFFSET(POrigin,MATCH(Valori[[#This Row],[LUKB_id]],PID,0),MATCH("DIVIDEND",PLabel,0)-1,1,1)</f>
        <v>2.73</v>
      </c>
      <c r="AJ392" s="1601">
        <f ca="1">OFFSET(POrigin,MATCH(Valori[[#This Row],[LUKB_id]],PID,0),MATCH("DIVIDEND:datetime",PLabel,0)-1,1,1)</f>
        <v>45758</v>
      </c>
      <c r="AK392" s="1602">
        <f ca="1">OFFSET(POrigin,MATCH(Valori[[#This Row],[LUKB_id]],PID,0),MATCH("INTEREST",PLabel,0)-1,1,1)</f>
        <v>0</v>
      </c>
      <c r="AL392" s="1603">
        <f ca="1">OFFSET(POrigin,MATCH(Valori[[#This Row],[LUKB_id]],PID,0),MATCH("4W_PERF_PR",PLabel,0)-1,1,1)/100</f>
        <v>-4.301075E-2</v>
      </c>
      <c r="AM392" s="1603">
        <f ca="1">OFFSET(POrigin,MATCH(Valori[[#This Row],[LUKB_id]],PID,0),MATCH("12W_PERF_PR",PLabel,0)-1,1,1)/100</f>
        <v>-4.5576409999999991E-2</v>
      </c>
      <c r="AN392" s="1603">
        <f ca="1">OFFSET(POrigin,MATCH(Valori[[#This Row],[LUKB_id]],PID,0),MATCH("YTD_PERF_PR",PLabel,0)-1,1,1)/100</f>
        <v>-3.2128514056225001E-2</v>
      </c>
      <c r="AO392" s="1591"/>
      <c r="AP392" s="1591"/>
      <c r="AQ392" s="1591"/>
      <c r="AR392" s="1591"/>
      <c r="AS392" s="1890" t="s">
        <v>1979</v>
      </c>
      <c r="AT392" s="1890" t="s">
        <v>1980</v>
      </c>
      <c r="AU392" s="610" t="s">
        <v>1981</v>
      </c>
      <c r="AV392" s="1891" t="str">
        <f>IF(Valori[[#This Row],[MS_Link]]&lt;&gt;"",Valori[[#This Row],[MS_Link]]&amp;"company/","")</f>
        <v>https://www.marketscreener.com/quote/stock/VZ-HOLDING-AG-237887/company/</v>
      </c>
      <c r="AW392" s="1604" t="str">
        <f ca="1">"https://boersenundmaerkte.lukb.ch/lukb/details/"&amp;Valori[[#This Row],[LUKB_id]]</f>
        <v>https://boersenundmaerkte.lukb.ch/lukb/details/52875158,4,1</v>
      </c>
      <c r="AX392" s="1605" t="str">
        <f>"https://www.marketscreener.com/mods_a/charts/TV/inc_dyna_graph.php?c="&amp;Valori[[#This Row],[MS_Code]]&amp;"&amp;style=TradingView.CANDLES&amp;interval=(null)&amp;mobile=(null)&amp;showAT=1"</f>
        <v>https://www.marketscreener.com/mods_a/charts/TV/inc_dyna_graph.php?c=237887&amp;style=TradingView.CANDLES&amp;interval=(null)&amp;mobile=(null)&amp;showAT=1</v>
      </c>
    </row>
    <row r="393" spans="1:50" ht="15" customHeight="1" x14ac:dyDescent="0.2">
      <c r="A393" s="142" t="s">
        <v>1982</v>
      </c>
      <c r="B393" s="142" t="str" cm="1">
        <f t="array" aca="1" ref="B393" ca="1">OFFSET(POrigin,MATCH(Valori[[#This Row],[smo_id]],Posizioni[smo_id],0),MATCH("LUKB_id",PIntestazioni,0)-1,1,1)</f>
        <v>1939699,4,1</v>
      </c>
      <c r="C393" s="1668" t="str">
        <f ca="1">HYPERLINK("https://boersenundmaerkte.lukb.ch/lukb/details/"&amp;Valori[[#This Row],[LUKB_id]],"è")</f>
        <v>è</v>
      </c>
      <c r="D393" s="142" t="str" cm="1">
        <f t="array" aca="1" ref="D393" ca="1">OFFSET(POrigin,MATCH(Valori[[#This Row],[LUKB_id]],PID,0),MATCH("SC_GROUPED",PIntestazioni,0)-1,1,1)</f>
        <v>EQU</v>
      </c>
      <c r="E393" s="413" t="str" cm="1">
        <f t="array" aca="1" ref="E393" ca="1">OFFSET(POrigin,MATCH(Valori[[#This Row],[LUKB_id]],PID,0),MATCH("isin",PIntestazioni,0)-1,1,1)</f>
        <v>CH0019396990</v>
      </c>
      <c r="F393" s="34" t="str" cm="1">
        <f t="array" aca="1" ref="F393" ca="1">OFFSET(POrigin,MATCH(Valori[[#This Row],[LUKB_id]],PID,0),MATCH("NSIN_CH",PLabel,0)-1,1,1)</f>
        <v>1939699</v>
      </c>
      <c r="G393" s="95" t="str" cm="1">
        <f t="array" aca="1" ref="G393" ca="1">IF(OFFSET(POrigin,MATCH(Valori[[#This Row],[LUKB_id]],PID,0),MATCH("INSTRUNIT",PLabel,0)-1,1,1)="Nominal","Pct","Unit")</f>
        <v>Unit</v>
      </c>
      <c r="H393" s="612">
        <f ca="1">MAX(OFFSET(POrigin,MATCH(Valori[[#This Row],[LUKB_id]],PID,0),MATCH("PRICINGAMT",PLabel,0)-1,1,1),1)</f>
        <v>1</v>
      </c>
      <c r="I393" s="615" t="str" cm="1">
        <f t="array" aca="1" ref="I393" ca="1">OFFSET(POrigin,MATCH(Valori[[#This Row],[LUKB_id]],PID,0),MATCH("M_NAME",PLabel,0)-1,1,1)</f>
        <v>Ypsomed Hldg N</v>
      </c>
      <c r="M393" s="142" t="str" cm="1">
        <f t="array" aca="1" ref="M3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Ypsomed Hldg N</v>
      </c>
      <c r="N393" s="1563">
        <f ca="1">COUNTIF('CHF M'!smo_id,Valori[[#This Row],[smo_id]])+COUNTIF('CHF MA'!smo_id,Valori[[#This Row],[smo_id]])+COUNTIF('EUR MB'!smo_id,Valori[[#This Row],[smo_id]])+COUNTIF('EUR M'!smo_id,Valori[[#This Row],[smo_id]])+COUNTIF(AGCO!smo_id,Valori[[#This Row],[smo_id]])</f>
        <v>0</v>
      </c>
      <c r="O393" s="1590" cm="1">
        <f t="array" aca="1" ref="O393" ca="1">SUM(IF('CHF M'!smo_id=Valori[[#This Row],[smo_id]],'CHF M'!Posizione))+SUM(IF('CHF MA'!smo_id=Valori[[#This Row],[smo_id]],'CHF MA'!Posizione))+SUM(IF('EUR MB'!smo_id=Valori[[#This Row],[smo_id]],'EUR MB'!Posizione))+SUM(IF('EUR M'!smo_id=Valori[[#This Row],[smo_id]],'EUR M'!Posizione))+SUM(IF(AGCO!smo_id=Valori[[#This Row],[smo_id]],AGCO!Posizione))</f>
        <v>0</v>
      </c>
      <c r="P393" s="1661" t="str">
        <f ca="1">HYPERLINK(Valori[[#This Row],[P_Source]],"è")</f>
        <v>è</v>
      </c>
      <c r="Q393" s="1663" t="str">
        <f>HYPERLINK(Valori[[#This Row],[Info_W]],"i")</f>
        <v>i</v>
      </c>
      <c r="R393" s="1664" t="str">
        <f>HYPERLINK(Valori[[#This Row],[FN_W]],"")</f>
        <v></v>
      </c>
      <c r="S393" s="1665" t="str">
        <f>HYPERLINK(Valori[[#This Row],[MS_Link]],"")</f>
        <v></v>
      </c>
      <c r="T393" s="1665" t="str">
        <f>HYPERLINK(Valori[[#This Row],[C_source]],"")</f>
        <v></v>
      </c>
      <c r="U393" s="142" t="str" cm="1">
        <f t="array" aca="1" ref="U393" ca="1">OFFSET(POrigin,MATCH(Valori[[#This Row],[LUKB_id]],PID,0),MATCH("M_CUR",PLabel,0)-1,1,1)</f>
        <v>CHF</v>
      </c>
      <c r="V393" s="1562">
        <f ca="1">(Valori[[#This Row],[Last]]+Valori[[#This Row],[Acc. Int]])/Valori[[#This Row],[Pr.Amt]]/IF(Valori[[#This Row],[P_Type]]="Pct",100,1)</f>
        <v>269</v>
      </c>
      <c r="W393" s="1591" cm="1">
        <f t="array" aca="1" ref="W393" ca="1">OFFSET(POrigin,MATCH(Valori[[#This Row],[LUKB_id]],PID,0),MATCH("NC2_PR",PLabel,0)-1,1,1)/100</f>
        <v>-2.18181818181819E-2</v>
      </c>
      <c r="X393" s="1592" cm="1">
        <f t="array" aca="1" ref="X393" ca="1">OFFSET(POrigin,MATCH(Valori[[#This Row],[LUKB_id]],PID,0),MATCH("LVAL",PLabel,0)-1,1,1)</f>
        <v>269</v>
      </c>
      <c r="Y393" s="1593" cm="1">
        <f t="array" aca="1" ref="Y393" ca="1">OFFSET(POrigin,MATCH(Valori[[#This Row],[LUKB_id]],PID,0),MATCH("LVAL:datetime",PLabel,0)-1,1,1)</f>
        <v>46084.732928240737</v>
      </c>
      <c r="Z393" s="1594" cm="1">
        <f t="array" aca="1" ref="Z393" ca="1">OFFSET(POrigin,MATCH(Valori[[#This Row],[LUKB_id]],PID,0),MATCH("BID:volume",PLabel,0)-1,1,1)</f>
        <v>1</v>
      </c>
      <c r="AA393" s="1595" cm="1">
        <f t="array" aca="1" ref="AA393" ca="1">OFFSET(POrigin,MATCH(Valori[[#This Row],[LUKB_id]],PID,0),MATCH("BID",PLabel,0)-1,1,1)</f>
        <v>284</v>
      </c>
      <c r="AB393" s="1595" cm="1">
        <f t="array" aca="1" ref="AB393" ca="1">OFFSET(POrigin,MATCH(Valori[[#This Row],[LUKB_id]],PID,0),MATCH("ASK",PLabel,0)-1,1,1)</f>
        <v>274</v>
      </c>
      <c r="AC393" s="1594" cm="1">
        <f t="array" aca="1" ref="AC393" ca="1">OFFSET(POrigin,MATCH(Valori[[#This Row],[LUKB_id]],PID,0),MATCH("ASK:volume",PLabel,0)-1,1,1)</f>
        <v>40</v>
      </c>
      <c r="AD393" s="1596" cm="1">
        <f t="array" aca="1" ref="AD393" ca="1">OFFSET(POrigin,MATCH(Valori[[#This Row],[LUKB_id]],PID,0),MATCH("BID-ASK Spread %",PLabel,0)-1,1,1)</f>
        <v>-2.3752969121140142E-2</v>
      </c>
      <c r="AE393" s="1597" t="str" cm="1">
        <f t="array" aca="1" ref="AE393" ca="1">IF(OFFSET(POrigin,MATCH(Valori[[#This Row],[LUKB_id]],PID,0),MATCH("MATURITY",PLabel,0)-1,1,1)&gt;0,OFFSET(POrigin,MATCH(Valori[[#This Row],[LUKB_id]],PID,0),MATCH("MATURITY",PLabel,0)-1,1,1),"")</f>
        <v/>
      </c>
      <c r="AF393" s="1598" cm="1">
        <f t="array" aca="1" ref="AF393" ca="1">OFFSET(POrigin,MATCH(Valori[[#This Row],[LUKB_id]],PID,0),MATCH("ACCINT",PLabel,0)-1,1,1)</f>
        <v>0</v>
      </c>
      <c r="AG393" s="1594" cm="1">
        <f t="array" aca="1" ref="AG393" ca="1">OFFSET(POrigin,MATCH(Valori[[#This Row],[LUKB_id]],PID,0),MATCH("DENOM",PLabel,0)-1,1,1)</f>
        <v>0</v>
      </c>
      <c r="AH393" s="1599" cm="1">
        <f t="array" aca="1" ref="AH393" ca="1">(OFFSET(POrigin,MATCH(Valori[[#This Row],[LUKB_id]],PID,0),MATCH("YIELD",PLabel,0)-1,1,1)+OFFSET(POrigin,MATCH(Valori[[#This Row],[LUKB_id]],PID,0),MATCH("YLDEQ",PLabel,0)-1,1,1))/100</f>
        <v>8.1784400000000004E-3</v>
      </c>
      <c r="AI393" s="1600">
        <f ca="1">OFFSET(POrigin,MATCH(Valori[[#This Row],[LUKB_id]],PID,0),MATCH("DIVIDEND",PLabel,0)-1,1,1)</f>
        <v>2.2000000000000002</v>
      </c>
      <c r="AJ393" s="1601">
        <f ca="1">OFFSET(POrigin,MATCH(Valori[[#This Row],[LUKB_id]],PID,0),MATCH("DIVIDEND:datetime",PLabel,0)-1,1,1)</f>
        <v>45842</v>
      </c>
      <c r="AK393" s="1602">
        <f ca="1">OFFSET(POrigin,MATCH(Valori[[#This Row],[LUKB_id]],PID,0),MATCH("INTEREST",PLabel,0)-1,1,1)</f>
        <v>0</v>
      </c>
      <c r="AL393" s="1603">
        <f ca="1">OFFSET(POrigin,MATCH(Valori[[#This Row],[LUKB_id]],PID,0),MATCH("4W_PERF_PR",PLabel,0)-1,1,1)/100</f>
        <v>-0.11074380000000002</v>
      </c>
      <c r="AM393" s="1603">
        <f ca="1">OFFSET(POrigin,MATCH(Valori[[#This Row],[LUKB_id]],PID,0),MATCH("12W_PERF_PR",PLabel,0)-1,1,1)/100</f>
        <v>-0.1433121</v>
      </c>
      <c r="AN393" s="1603">
        <f ca="1">OFFSET(POrigin,MATCH(Valori[[#This Row],[LUKB_id]],PID,0),MATCH("YTD_PERF_PR",PLabel,0)-1,1,1)/100</f>
        <v>-0.16158536585365901</v>
      </c>
      <c r="AO393" s="1591"/>
      <c r="AP393" s="1591"/>
      <c r="AQ393" s="1591"/>
      <c r="AR393" s="1591"/>
      <c r="AS393" s="1890"/>
      <c r="AT393" s="1890"/>
      <c r="AU393" s="610"/>
      <c r="AV393" s="1891"/>
      <c r="AW393" s="1604" t="str">
        <f ca="1">"https://boersenundmaerkte.lukb.ch/lukb/details/"&amp;Valori[[#This Row],[LUKB_id]]</f>
        <v>https://boersenundmaerkte.lukb.ch/lukb/details/1939699,4,1</v>
      </c>
      <c r="AX393"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4" spans="1:50" ht="15" customHeight="1" x14ac:dyDescent="0.2">
      <c r="A394" s="142" t="s">
        <v>1983</v>
      </c>
      <c r="B394" s="142" t="str" cm="1">
        <f t="array" aca="1" ref="B394" ca="1">OFFSET(POrigin,MATCH(Valori[[#This Row],[smo_id]],Posizioni[smo_id],0),MATCH("LUKB_id",PIntestazioni,0)-1,1,1)</f>
        <v>27653461,4,1</v>
      </c>
      <c r="C394" s="1668" t="str">
        <f ca="1">HYPERLINK("https://boersenundmaerkte.lukb.ch/lukb/details/"&amp;Valori[[#This Row],[LUKB_id]],"è")</f>
        <v>è</v>
      </c>
      <c r="D394" s="142" t="str" cm="1">
        <f t="array" aca="1" ref="D394" ca="1">OFFSET(POrigin,MATCH(Valori[[#This Row],[LUKB_id]],PID,0),MATCH("SC_GROUPED",PIntestazioni,0)-1,1,1)</f>
        <v>EQU</v>
      </c>
      <c r="E394" s="413" t="str" cm="1">
        <f t="array" aca="1" ref="E394" ca="1">OFFSET(POrigin,MATCH(Valori[[#This Row],[LUKB_id]],PID,0),MATCH("isin",PIntestazioni,0)-1,1,1)</f>
        <v>CH0276534614</v>
      </c>
      <c r="F394" s="34" t="str" cm="1">
        <f t="array" aca="1" ref="F394" ca="1">OFFSET(POrigin,MATCH(Valori[[#This Row],[LUKB_id]],PID,0),MATCH("NSIN_CH",PLabel,0)-1,1,1)</f>
        <v>27653461</v>
      </c>
      <c r="G394" s="95" t="str" cm="1">
        <f t="array" aca="1" ref="G394" ca="1">IF(OFFSET(POrigin,MATCH(Valori[[#This Row],[LUKB_id]],PID,0),MATCH("INSTRUNIT",PLabel,0)-1,1,1)="Nominal","Pct","Unit")</f>
        <v>Unit</v>
      </c>
      <c r="H394" s="612">
        <f ca="1">MAX(OFFSET(POrigin,MATCH(Valori[[#This Row],[LUKB_id]],PID,0),MATCH("PRICINGAMT",PLabel,0)-1,1,1),1)</f>
        <v>1</v>
      </c>
      <c r="I394" s="615" t="str" cm="1">
        <f t="array" aca="1" ref="I394" ca="1">OFFSET(POrigin,MATCH(Valori[[#This Row],[LUKB_id]],PID,0),MATCH("M_NAME",PLabel,0)-1,1,1)</f>
        <v>Zehnder Grp -A- N</v>
      </c>
      <c r="M394" s="142" t="str" cm="1">
        <f t="array" aca="1" ref="M3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Zehnder Grp -A- N</v>
      </c>
      <c r="N394" s="1563">
        <f ca="1">COUNTIF('CHF M'!smo_id,Valori[[#This Row],[smo_id]])+COUNTIF('CHF MA'!smo_id,Valori[[#This Row],[smo_id]])+COUNTIF('EUR MB'!smo_id,Valori[[#This Row],[smo_id]])+COUNTIF('EUR M'!smo_id,Valori[[#This Row],[smo_id]])+COUNTIF(AGCO!smo_id,Valori[[#This Row],[smo_id]])</f>
        <v>0</v>
      </c>
      <c r="O394" s="1590" cm="1">
        <f t="array" aca="1" ref="O394" ca="1">SUM(IF('CHF M'!smo_id=Valori[[#This Row],[smo_id]],'CHF M'!Posizione))+SUM(IF('CHF MA'!smo_id=Valori[[#This Row],[smo_id]],'CHF MA'!Posizione))+SUM(IF('EUR MB'!smo_id=Valori[[#This Row],[smo_id]],'EUR MB'!Posizione))+SUM(IF('EUR M'!smo_id=Valori[[#This Row],[smo_id]],'EUR M'!Posizione))+SUM(IF(AGCO!smo_id=Valori[[#This Row],[smo_id]],AGCO!Posizione))</f>
        <v>0</v>
      </c>
      <c r="P394" s="1661" t="str">
        <f ca="1">HYPERLINK(Valori[[#This Row],[P_Source]],"è")</f>
        <v>è</v>
      </c>
      <c r="Q394" s="1663" t="str">
        <f>HYPERLINK(Valori[[#This Row],[Info_W]],"i")</f>
        <v>i</v>
      </c>
      <c r="R394" s="1664" t="str">
        <f>HYPERLINK(Valori[[#This Row],[FN_W]],"")</f>
        <v></v>
      </c>
      <c r="S394" s="1665" t="str">
        <f>HYPERLINK(Valori[[#This Row],[MS_Link]],"")</f>
        <v></v>
      </c>
      <c r="T394" s="1665" t="str">
        <f>HYPERLINK(Valori[[#This Row],[C_source]],"")</f>
        <v></v>
      </c>
      <c r="U394" s="142" t="str" cm="1">
        <f t="array" aca="1" ref="U394" ca="1">OFFSET(POrigin,MATCH(Valori[[#This Row],[LUKB_id]],PID,0),MATCH("M_CUR",PLabel,0)-1,1,1)</f>
        <v>CHF</v>
      </c>
      <c r="V394" s="1562">
        <f ca="1">(Valori[[#This Row],[Last]]+Valori[[#This Row],[Acc. Int]])/Valori[[#This Row],[Pr.Amt]]/IF(Valori[[#This Row],[P_Type]]="Pct",100,1)</f>
        <v>78.400000000000006</v>
      </c>
      <c r="W394" s="1591" cm="1">
        <f t="array" aca="1" ref="W394" ca="1">OFFSET(POrigin,MATCH(Valori[[#This Row],[LUKB_id]],PID,0),MATCH("NC2_PR",PLabel,0)-1,1,1)/100</f>
        <v>-2.6086956521739001E-2</v>
      </c>
      <c r="X394" s="1592" cm="1">
        <f t="array" aca="1" ref="X394" ca="1">OFFSET(POrigin,MATCH(Valori[[#This Row],[LUKB_id]],PID,0),MATCH("LVAL",PLabel,0)-1,1,1)</f>
        <v>78.400000000000006</v>
      </c>
      <c r="Y394" s="1593" cm="1">
        <f t="array" aca="1" ref="Y394" ca="1">OFFSET(POrigin,MATCH(Valori[[#This Row],[LUKB_id]],PID,0),MATCH("LVAL:datetime",PLabel,0)-1,1,1)</f>
        <v>46084.730081018519</v>
      </c>
      <c r="Z394" s="1594" cm="1">
        <f t="array" aca="1" ref="Z394" ca="1">OFFSET(POrigin,MATCH(Valori[[#This Row],[LUKB_id]],PID,0),MATCH("BID:volume",PLabel,0)-1,1,1)</f>
        <v>6</v>
      </c>
      <c r="AA394" s="1595" cm="1">
        <f t="array" aca="1" ref="AA394" ca="1">OFFSET(POrigin,MATCH(Valori[[#This Row],[LUKB_id]],PID,0),MATCH("BID",PLabel,0)-1,1,1)</f>
        <v>78</v>
      </c>
      <c r="AB394" s="1595" cm="1">
        <f t="array" aca="1" ref="AB394" ca="1">OFFSET(POrigin,MATCH(Valori[[#This Row],[LUKB_id]],PID,0),MATCH("ASK",PLabel,0)-1,1,1)</f>
        <v>83.4</v>
      </c>
      <c r="AC394" s="1594" cm="1">
        <f t="array" aca="1" ref="AC394" ca="1">OFFSET(POrigin,MATCH(Valori[[#This Row],[LUKB_id]],PID,0),MATCH("ASK:volume",PLabel,0)-1,1,1)</f>
        <v>1140</v>
      </c>
      <c r="AD394" s="1596" cm="1">
        <f t="array" aca="1" ref="AD394" ca="1">OFFSET(POrigin,MATCH(Valori[[#This Row],[LUKB_id]],PID,0),MATCH("BID-ASK Spread %",PLabel,0)-1,1,1)</f>
        <v>4.5112781954887264E-2</v>
      </c>
      <c r="AE394" s="1597" t="str" cm="1">
        <f t="array" aca="1" ref="AE394" ca="1">IF(OFFSET(POrigin,MATCH(Valori[[#This Row],[LUKB_id]],PID,0),MATCH("MATURITY",PLabel,0)-1,1,1)&gt;0,OFFSET(POrigin,MATCH(Valori[[#This Row],[LUKB_id]],PID,0),MATCH("MATURITY",PLabel,0)-1,1,1),"")</f>
        <v/>
      </c>
      <c r="AF394" s="1598" cm="1">
        <f t="array" aca="1" ref="AF394" ca="1">OFFSET(POrigin,MATCH(Valori[[#This Row],[LUKB_id]],PID,0),MATCH("ACCINT",PLabel,0)-1,1,1)</f>
        <v>0</v>
      </c>
      <c r="AG394" s="1594" cm="1">
        <f t="array" aca="1" ref="AG394" ca="1">OFFSET(POrigin,MATCH(Valori[[#This Row],[LUKB_id]],PID,0),MATCH("DENOM",PLabel,0)-1,1,1)</f>
        <v>0</v>
      </c>
      <c r="AH394" s="1599" cm="1">
        <f t="array" aca="1" ref="AH394" ca="1">(OFFSET(POrigin,MATCH(Valori[[#This Row],[LUKB_id]],PID,0),MATCH("YIELD",PLabel,0)-1,1,1)+OFFSET(POrigin,MATCH(Valori[[#This Row],[LUKB_id]],PID,0),MATCH("YLDEQ",PLabel,0)-1,1,1))/100</f>
        <v>1.7857140000000001E-2</v>
      </c>
      <c r="AI394" s="1600">
        <f ca="1">OFFSET(POrigin,MATCH(Valori[[#This Row],[LUKB_id]],PID,0),MATCH("DIVIDEND",PLabel,0)-1,1,1)</f>
        <v>1</v>
      </c>
      <c r="AJ394" s="1601">
        <f ca="1">OFFSET(POrigin,MATCH(Valori[[#This Row],[LUKB_id]],PID,0),MATCH("DIVIDEND:datetime",PLabel,0)-1,1,1)</f>
        <v>45754</v>
      </c>
      <c r="AK394" s="1602">
        <f ca="1">OFFSET(POrigin,MATCH(Valori[[#This Row],[LUKB_id]],PID,0),MATCH("INTEREST",PLabel,0)-1,1,1)</f>
        <v>0</v>
      </c>
      <c r="AL394" s="1603">
        <f ca="1">OFFSET(POrigin,MATCH(Valori[[#This Row],[LUKB_id]],PID,0),MATCH("4W_PERF_PR",PLabel,0)-1,1,1)/100</f>
        <v>-7.2189349999999999E-2</v>
      </c>
      <c r="AM394" s="1603">
        <f ca="1">OFFSET(POrigin,MATCH(Valori[[#This Row],[LUKB_id]],PID,0),MATCH("12W_PERF_PR",PLabel,0)-1,1,1)/100</f>
        <v>5.8029690000000002E-2</v>
      </c>
      <c r="AN394" s="1603">
        <f ca="1">OFFSET(POrigin,MATCH(Valori[[#This Row],[LUKB_id]],PID,0),MATCH("YTD_PERF_PR",PLabel,0)-1,1,1)/100</f>
        <v>-1.5892420537897502E-2</v>
      </c>
      <c r="AO394" s="1591"/>
      <c r="AP394" s="1591"/>
      <c r="AQ394" s="1591"/>
      <c r="AR394" s="1591"/>
      <c r="AS394" s="1890"/>
      <c r="AT394" s="1890"/>
      <c r="AU394" s="610"/>
      <c r="AV394" s="1891"/>
      <c r="AW394" s="1604" t="str">
        <f ca="1">"https://boersenundmaerkte.lukb.ch/lukb/details/"&amp;Valori[[#This Row],[LUKB_id]]</f>
        <v>https://boersenundmaerkte.lukb.ch/lukb/details/27653461,4,1</v>
      </c>
      <c r="AX394"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5" spans="1:50" ht="15" customHeight="1" x14ac:dyDescent="0.2">
      <c r="A395" s="142" t="s">
        <v>1984</v>
      </c>
      <c r="B395" s="142" t="str" cm="1">
        <f t="array" aca="1" ref="B395" ca="1">OFFSET(POrigin,MATCH(Valori[[#This Row],[smo_id]],Posizioni[smo_id],0),MATCH("LUKB_id",PIntestazioni,0)-1,1,1)</f>
        <v>1107539,4,1</v>
      </c>
      <c r="C395" s="1668" t="str">
        <f ca="1">HYPERLINK("https://boersenundmaerkte.lukb.ch/lukb/details/"&amp;Valori[[#This Row],[LUKB_id]],"è")</f>
        <v>è</v>
      </c>
      <c r="D395" s="142" t="str" cm="1">
        <f t="array" aca="1" ref="D395" ca="1">OFFSET(POrigin,MATCH(Valori[[#This Row],[LUKB_id]],PID,0),MATCH("SC_GROUPED",PIntestazioni,0)-1,1,1)</f>
        <v>EQU</v>
      </c>
      <c r="E395" s="413" t="str" cm="1">
        <f t="array" aca="1" ref="E395" ca="1">OFFSET(POrigin,MATCH(Valori[[#This Row],[LUKB_id]],PID,0),MATCH("isin",PIntestazioni,0)-1,1,1)</f>
        <v>CH0011075394</v>
      </c>
      <c r="F395" s="34" t="str" cm="1">
        <f t="array" aca="1" ref="F395" ca="1">OFFSET(POrigin,MATCH(Valori[[#This Row],[LUKB_id]],PID,0),MATCH("NSIN_CH",PLabel,0)-1,1,1)</f>
        <v>1107539</v>
      </c>
      <c r="G395" s="95" t="str" cm="1">
        <f t="array" aca="1" ref="G395" ca="1">IF(OFFSET(POrigin,MATCH(Valori[[#This Row],[LUKB_id]],PID,0),MATCH("INSTRUNIT",PLabel,0)-1,1,1)="Nominal","Pct","Unit")</f>
        <v>Unit</v>
      </c>
      <c r="H395" s="612">
        <f ca="1">MAX(OFFSET(POrigin,MATCH(Valori[[#This Row],[LUKB_id]],PID,0),MATCH("PRICINGAMT",PLabel,0)-1,1,1),1)</f>
        <v>1</v>
      </c>
      <c r="I395" s="615" t="str" cm="1">
        <f t="array" aca="1" ref="I395" ca="1">OFFSET(POrigin,MATCH(Valori[[#This Row],[LUKB_id]],PID,0),MATCH("M_NAME",PLabel,0)-1,1,1)</f>
        <v>Zurich Insur Gr N</v>
      </c>
      <c r="J395" s="142" t="s">
        <v>398</v>
      </c>
      <c r="M395" s="142" t="str" cm="1">
        <f t="array" aca="1" ref="M3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Zurich Insurance Group AG</v>
      </c>
      <c r="N395" s="1563">
        <f ca="1">COUNTIF('CHF M'!smo_id,Valori[[#This Row],[smo_id]])+COUNTIF('CHF MA'!smo_id,Valori[[#This Row],[smo_id]])+COUNTIF('EUR MB'!smo_id,Valori[[#This Row],[smo_id]])+COUNTIF('EUR M'!smo_id,Valori[[#This Row],[smo_id]])+COUNTIF(AGCO!smo_id,Valori[[#This Row],[smo_id]])</f>
        <v>1</v>
      </c>
      <c r="O395" s="1590" cm="1">
        <f t="array" aca="1" ref="O395" ca="1">SUM(IF('CHF M'!smo_id=Valori[[#This Row],[smo_id]],'CHF M'!Posizione))+SUM(IF('CHF MA'!smo_id=Valori[[#This Row],[smo_id]],'CHF MA'!Posizione))+SUM(IF('EUR MB'!smo_id=Valori[[#This Row],[smo_id]],'EUR MB'!Posizione))+SUM(IF('EUR M'!smo_id=Valori[[#This Row],[smo_id]],'EUR M'!Posizione))+SUM(IF(AGCO!smo_id=Valori[[#This Row],[smo_id]],AGCO!Posizione))</f>
        <v>100</v>
      </c>
      <c r="P395" s="1661" t="str">
        <f ca="1">HYPERLINK(Valori[[#This Row],[P_Source]],"è")</f>
        <v>è</v>
      </c>
      <c r="Q395" s="1663" t="str">
        <f>HYPERLINK(Valori[[#This Row],[Info_W]],"i")</f>
        <v>i</v>
      </c>
      <c r="R395" s="1664" t="str">
        <f>HYPERLINK(Valori[[#This Row],[FN_W]],"")</f>
        <v></v>
      </c>
      <c r="S395" s="1665" t="str">
        <f>HYPERLINK(Valori[[#This Row],[MS_Link]],"")</f>
        <v></v>
      </c>
      <c r="T395" s="1665" t="str">
        <f>HYPERLINK(Valori[[#This Row],[C_source]],"")</f>
        <v></v>
      </c>
      <c r="U395" s="142" t="str" cm="1">
        <f t="array" aca="1" ref="U395" ca="1">OFFSET(POrigin,MATCH(Valori[[#This Row],[LUKB_id]],PID,0),MATCH("M_CUR",PLabel,0)-1,1,1)</f>
        <v>CHF</v>
      </c>
      <c r="V395" s="1562">
        <f ca="1">(Valori[[#This Row],[Last]]+Valori[[#This Row],[Acc. Int]])/Valori[[#This Row],[Pr.Amt]]/IF(Valori[[#This Row],[P_Type]]="Pct",100,1)</f>
        <v>536.6</v>
      </c>
      <c r="W395" s="1591" cm="1">
        <f t="array" aca="1" ref="W395" ca="1">OFFSET(POrigin,MATCH(Valori[[#This Row],[LUKB_id]],PID,0),MATCH("NC2_PR",PLabel,0)-1,1,1)/100</f>
        <v>-6.6782608695652196E-2</v>
      </c>
      <c r="X395" s="1592" cm="1">
        <f t="array" aca="1" ref="X395" ca="1">OFFSET(POrigin,MATCH(Valori[[#This Row],[LUKB_id]],PID,0),MATCH("LVAL",PLabel,0)-1,1,1)</f>
        <v>536.6</v>
      </c>
      <c r="Y395" s="1593" cm="1">
        <f t="array" aca="1" ref="Y395" ca="1">OFFSET(POrigin,MATCH(Valori[[#This Row],[LUKB_id]],PID,0),MATCH("LVAL:datetime",PLabel,0)-1,1,1)</f>
        <v>46084.735196759262</v>
      </c>
      <c r="Z395" s="1594" cm="1">
        <f t="array" aca="1" ref="Z395" ca="1">OFFSET(POrigin,MATCH(Valori[[#This Row],[LUKB_id]],PID,0),MATCH("BID:volume",PLabel,0)-1,1,1)</f>
        <v>0</v>
      </c>
      <c r="AA395" s="1595" cm="1">
        <f t="array" aca="1" ref="AA395" ca="1">OFFSET(POrigin,MATCH(Valori[[#This Row],[LUKB_id]],PID,0),MATCH("BID",PLabel,0)-1,1,1)</f>
        <v>0</v>
      </c>
      <c r="AB395" s="1595" cm="1">
        <f t="array" aca="1" ref="AB395" ca="1">OFFSET(POrigin,MATCH(Valori[[#This Row],[LUKB_id]],PID,0),MATCH("ASK",PLabel,0)-1,1,1)</f>
        <v>0</v>
      </c>
      <c r="AC395" s="1594" cm="1">
        <f t="array" aca="1" ref="AC395" ca="1">OFFSET(POrigin,MATCH(Valori[[#This Row],[LUKB_id]],PID,0),MATCH("ASK:volume",PLabel,0)-1,1,1)</f>
        <v>0</v>
      </c>
      <c r="AD395" s="1596" cm="1">
        <f t="array" aca="1" ref="AD395" ca="1">OFFSET(POrigin,MATCH(Valori[[#This Row],[LUKB_id]],PID,0),MATCH("BID-ASK Spread %",PLabel,0)-1,1,1)</f>
        <v>0</v>
      </c>
      <c r="AE395" s="1597" t="str" cm="1">
        <f t="array" aca="1" ref="AE395" ca="1">IF(OFFSET(POrigin,MATCH(Valori[[#This Row],[LUKB_id]],PID,0),MATCH("MATURITY",PLabel,0)-1,1,1)&gt;0,OFFSET(POrigin,MATCH(Valori[[#This Row],[LUKB_id]],PID,0),MATCH("MATURITY",PLabel,0)-1,1,1),"")</f>
        <v/>
      </c>
      <c r="AF395" s="1598" cm="1">
        <f t="array" aca="1" ref="AF395" ca="1">OFFSET(POrigin,MATCH(Valori[[#This Row],[LUKB_id]],PID,0),MATCH("ACCINT",PLabel,0)-1,1,1)</f>
        <v>0</v>
      </c>
      <c r="AG395" s="1594" cm="1">
        <f t="array" aca="1" ref="AG395" ca="1">OFFSET(POrigin,MATCH(Valori[[#This Row],[LUKB_id]],PID,0),MATCH("DENOM",PLabel,0)-1,1,1)</f>
        <v>0</v>
      </c>
      <c r="AH395" s="1599" cm="1">
        <f t="array" aca="1" ref="AH395" ca="1">(OFFSET(POrigin,MATCH(Valori[[#This Row],[LUKB_id]],PID,0),MATCH("YIELD",PLabel,0)-1,1,1)+OFFSET(POrigin,MATCH(Valori[[#This Row],[LUKB_id]],PID,0),MATCH("YLDEQ",PLabel,0)-1,1,1))/100</f>
        <v>5.5907569999999997E-2</v>
      </c>
      <c r="AI395" s="1600">
        <f ca="1">OFFSET(POrigin,MATCH(Valori[[#This Row],[LUKB_id]],PID,0),MATCH("DIVIDEND",PLabel,0)-1,1,1)</f>
        <v>28</v>
      </c>
      <c r="AJ395" s="1601">
        <f ca="1">OFFSET(POrigin,MATCH(Valori[[#This Row],[LUKB_id]],PID,0),MATCH("DIVIDEND:datetime",PLabel,0)-1,1,1)</f>
        <v>45758</v>
      </c>
      <c r="AK395" s="1602">
        <f ca="1">OFFSET(POrigin,MATCH(Valori[[#This Row],[LUKB_id]],PID,0),MATCH("INTEREST",PLabel,0)-1,1,1)</f>
        <v>0</v>
      </c>
      <c r="AL395" s="1603">
        <f ca="1">OFFSET(POrigin,MATCH(Valori[[#This Row],[LUKB_id]],PID,0),MATCH("4W_PERF_PR",PLabel,0)-1,1,1)/100</f>
        <v>-3.5585909999999998E-2</v>
      </c>
      <c r="AM395" s="1603">
        <f ca="1">OFFSET(POrigin,MATCH(Valori[[#This Row],[LUKB_id]],PID,0),MATCH("12W_PERF_PR",PLabel,0)-1,1,1)/100</f>
        <v>-8.1793289999999991E-2</v>
      </c>
      <c r="AN395" s="1603">
        <f ca="1">OFFSET(POrigin,MATCH(Valori[[#This Row],[LUKB_id]],PID,0),MATCH("YTD_PERF_PR",PLabel,0)-1,1,1)/100</f>
        <v>-4.4533067464274004E-2</v>
      </c>
      <c r="AO395" s="1591"/>
      <c r="AP395" s="1591"/>
      <c r="AQ395" s="1591"/>
      <c r="AR395" s="1591"/>
      <c r="AS395" s="1890" t="s">
        <v>1985</v>
      </c>
      <c r="AT395" s="1890" t="s">
        <v>1986</v>
      </c>
      <c r="AU395" s="610" t="s">
        <v>1987</v>
      </c>
      <c r="AV395" s="1891" t="str">
        <f>IF(Valori[[#This Row],[MS_Link]]&lt;&gt;"",Valori[[#This Row],[MS_Link]]&amp;"company/","")</f>
        <v>https://www.marketscreener.com/quote/stock/ZURICH-INSURANCE-GROUP-LT-2955923/company/</v>
      </c>
      <c r="AW395" s="1604" t="str">
        <f ca="1">"https://boersenundmaerkte.lukb.ch/lukb/details/"&amp;Valori[[#This Row],[LUKB_id]]</f>
        <v>https://boersenundmaerkte.lukb.ch/lukb/details/1107539,4,1</v>
      </c>
      <c r="AX395" s="1605" t="str">
        <f>"https://www.zonebourse.com/mods_a/charts/TV/inc_dyna_graph.php?c="&amp;Valori[[#This Row],[MS_Code]]&amp;"&amp;style=TradingView.CANDLES&amp;interval=(null)&amp;mobile=(null)&amp;showAT=1"</f>
        <v>https://www.zonebourse.com/mods_a/charts/TV/inc_dyna_graph.php?c=2955923&amp;style=TradingView.CANDLES&amp;interval=(null)&amp;mobile=(null)&amp;showAT=1</v>
      </c>
    </row>
    <row r="396" spans="1:50" ht="15" customHeight="1" x14ac:dyDescent="0.2">
      <c r="A396" s="142" t="s">
        <v>4406</v>
      </c>
      <c r="B396" s="142" t="str" cm="1">
        <f t="array" aca="1" ref="B396" ca="1">OFFSET(POrigin,MATCH(Valori[[#This Row],[smo_id]],Posizioni[smo_id],0),MATCH("LUKB_id",PIntestazioni,0)-1,1,1)</f>
        <v>1781011,2779,814</v>
      </c>
      <c r="C396" s="1668" t="str">
        <f ca="1">HYPERLINK("https://boersenundmaerkte.lukb.ch/lukb/details/"&amp;Valori[[#This Row],[LUKB_id]],"è")</f>
        <v>è</v>
      </c>
      <c r="D396" s="142" t="str" cm="1">
        <f t="array" aca="1" ref="D396" ca="1">OFFSET(POrigin,MATCH(Valori[[#This Row],[LUKB_id]],PID,0),MATCH("SC_GROUPED",PIntestazioni,0)-1,1,1)</f>
        <v>TFO</v>
      </c>
      <c r="E396" s="413" t="str" cm="1">
        <f t="array" aca="1" ref="E396" ca="1">OFFSET(POrigin,MATCH(Valori[[#This Row],[LUKB_id]],PID,0),MATCH("isin",PIntestazioni,0)-1,1,1)</f>
        <v>LU0171305526</v>
      </c>
      <c r="F396" s="34" t="str" cm="1">
        <f t="array" aca="1" ref="F396" ca="1">OFFSET(POrigin,MATCH(Valori[[#This Row],[LUKB_id]],PID,0),MATCH("NSIN_CH",PLabel,0)-1,1,1)</f>
        <v>1781011</v>
      </c>
      <c r="G396" s="95" t="str" cm="1">
        <f t="array" aca="1" ref="G396" ca="1">IF(OFFSET(POrigin,MATCH(Valori[[#This Row],[LUKB_id]],PID,0),MATCH("INSTRUNIT",PLabel,0)-1,1,1)="Nominal","Pct","Unit")</f>
        <v>Unit</v>
      </c>
      <c r="H396" s="612">
        <f ca="1">MAX(OFFSET(POrigin,MATCH(Valori[[#This Row],[LUKB_id]],PID,0),MATCH("PRICINGAMT",PLabel,0)-1,1,1),1)</f>
        <v>1</v>
      </c>
      <c r="I396" s="615" t="str" cm="1">
        <f t="array" aca="1" ref="I396" ca="1">OFFSET(POrigin,MATCH(Valori[[#This Row],[LUKB_id]],PID,0),MATCH("M_NAME",PLabel,0)-1,1,1)</f>
        <v>BlackRock Global Funds SICAV - World Gold Fund</v>
      </c>
      <c r="J396" s="142" t="s">
        <v>492</v>
      </c>
      <c r="M396" s="142" t="str" cm="1">
        <f t="array" aca="1" ref="M3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Global Funds - World Gold Fund A2RF - EUR</v>
      </c>
      <c r="N396" s="1563">
        <f ca="1">COUNTIF('CHF M'!smo_id,Valori[[#This Row],[smo_id]])+COUNTIF('CHF MA'!smo_id,Valori[[#This Row],[smo_id]])+COUNTIF('EUR MB'!smo_id,Valori[[#This Row],[smo_id]])+COUNTIF('EUR M'!smo_id,Valori[[#This Row],[smo_id]])+COUNTIF(AGCO!smo_id,Valori[[#This Row],[smo_id]])</f>
        <v>1</v>
      </c>
      <c r="O396" s="1590" cm="1">
        <f t="array" aca="1" ref="O396" ca="1">SUM(IF('CHF M'!smo_id=Valori[[#This Row],[smo_id]],'CHF M'!Posizione))+SUM(IF('CHF MA'!smo_id=Valori[[#This Row],[smo_id]],'CHF MA'!Posizione))+SUM(IF('EUR MB'!smo_id=Valori[[#This Row],[smo_id]],'EUR MB'!Posizione))+SUM(IF('EUR M'!smo_id=Valori[[#This Row],[smo_id]],'EUR M'!Posizione))+SUM(IF(AGCO!smo_id=Valori[[#This Row],[smo_id]],AGCO!Posizione))</f>
        <v>400</v>
      </c>
      <c r="P396" s="1661" t="str">
        <f ca="1">HYPERLINK(Valori[[#This Row],[P_Source]],"è")</f>
        <v>è</v>
      </c>
      <c r="Q396" s="1663" t="str">
        <f>HYPERLINK(Valori[[#This Row],[Info_W]],"i")</f>
        <v>i</v>
      </c>
      <c r="R396" s="1664" t="str">
        <f>HYPERLINK(Valori[[#This Row],[FN_W]],"")</f>
        <v></v>
      </c>
      <c r="S396" s="1665" t="str">
        <f>HYPERLINK(Valori[[#This Row],[MS_Link]],"")</f>
        <v></v>
      </c>
      <c r="T396" s="1665" t="str">
        <f>HYPERLINK(Valori[[#This Row],[C_source]],"")</f>
        <v></v>
      </c>
      <c r="U396" s="142" t="str" cm="1">
        <f t="array" aca="1" ref="U396" ca="1">OFFSET(POrigin,MATCH(Valori[[#This Row],[LUKB_id]],PID,0),MATCH("M_CUR",PLabel,0)-1,1,1)</f>
        <v>EUR</v>
      </c>
      <c r="V396" s="1562">
        <f ca="1">(Valori[[#This Row],[Last]]+Valori[[#This Row],[Acc. Int]])/Valori[[#This Row],[Pr.Amt]]/IF(Valori[[#This Row],[P_Type]]="Pct",100,1)</f>
        <v>104.575</v>
      </c>
      <c r="W396" s="1591" cm="1">
        <f t="array" aca="1" ref="W396" ca="1">OFFSET(POrigin,MATCH(Valori[[#This Row],[LUKB_id]],PID,0),MATCH("NC2_PR",PLabel,0)-1,1,1)/100</f>
        <v>-6.1888870947485602E-2</v>
      </c>
      <c r="X396" s="1592" cm="1">
        <f t="array" aca="1" ref="X396" ca="1">OFFSET(POrigin,MATCH(Valori[[#This Row],[LUKB_id]],PID,0),MATCH("LVAL",PLabel,0)-1,1,1)</f>
        <v>104.575</v>
      </c>
      <c r="Y396" s="1593" cm="1">
        <f t="array" aca="1" ref="Y396" ca="1">OFFSET(POrigin,MATCH(Valori[[#This Row],[LUKB_id]],PID,0),MATCH("LVAL:datetime",PLabel,0)-1,1,1)</f>
        <v>46084.714432870373</v>
      </c>
      <c r="Z396" s="1594" cm="1">
        <f t="array" aca="1" ref="Z396" ca="1">OFFSET(POrigin,MATCH(Valori[[#This Row],[LUKB_id]],PID,0),MATCH("BID:volume",PLabel,0)-1,1,1)</f>
        <v>107</v>
      </c>
      <c r="AA396" s="1595" cm="1">
        <f t="array" aca="1" ref="AA396" ca="1">OFFSET(POrigin,MATCH(Valori[[#This Row],[LUKB_id]],PID,0),MATCH("BID",PLabel,0)-1,1,1)</f>
        <v>103.57300000000001</v>
      </c>
      <c r="AB396" s="1595" cm="1">
        <f t="array" aca="1" ref="AB396" ca="1">OFFSET(POrigin,MATCH(Valori[[#This Row],[LUKB_id]],PID,0),MATCH("ASK",PLabel,0)-1,1,1)</f>
        <v>105.074</v>
      </c>
      <c r="AC396" s="1594" cm="1">
        <f t="array" aca="1" ref="AC396" ca="1">OFFSET(POrigin,MATCH(Valori[[#This Row],[LUKB_id]],PID,0),MATCH("ASK:volume",PLabel,0)-1,1,1)</f>
        <v>105</v>
      </c>
      <c r="AD396" s="1596" cm="1">
        <f t="array" aca="1" ref="AD396" ca="1">OFFSET(POrigin,MATCH(Valori[[#This Row],[LUKB_id]],PID,0),MATCH("BID-ASK Spread %",PLabel,0)-1,1,1)</f>
        <v>9.6150150534878645E-3</v>
      </c>
      <c r="AE396" s="1597" t="str" cm="1">
        <f t="array" aca="1" ref="AE396" ca="1">IF(OFFSET(POrigin,MATCH(Valori[[#This Row],[LUKB_id]],PID,0),MATCH("MATURITY",PLabel,0)-1,1,1)&gt;0,OFFSET(POrigin,MATCH(Valori[[#This Row],[LUKB_id]],PID,0),MATCH("MATURITY",PLabel,0)-1,1,1),"")</f>
        <v/>
      </c>
      <c r="AF396" s="1598" cm="1">
        <f t="array" aca="1" ref="AF396" ca="1">OFFSET(POrigin,MATCH(Valori[[#This Row],[LUKB_id]],PID,0),MATCH("ACCINT",PLabel,0)-1,1,1)</f>
        <v>0</v>
      </c>
      <c r="AG396" s="1594" cm="1">
        <f t="array" aca="1" ref="AG396" ca="1">OFFSET(POrigin,MATCH(Valori[[#This Row],[LUKB_id]],PID,0),MATCH("DENOM",PLabel,0)-1,1,1)</f>
        <v>0</v>
      </c>
      <c r="AH396" s="1599" cm="1">
        <f t="array" aca="1" ref="AH396" ca="1">(OFFSET(POrigin,MATCH(Valori[[#This Row],[LUKB_id]],PID,0),MATCH("YIELD",PLabel,0)-1,1,1)+OFFSET(POrigin,MATCH(Valori[[#This Row],[LUKB_id]],PID,0),MATCH("YLDEQ",PLabel,0)-1,1,1))/100</f>
        <v>0</v>
      </c>
      <c r="AI396" s="1600">
        <f ca="1">OFFSET(POrigin,MATCH(Valori[[#This Row],[LUKB_id]],PID,0),MATCH("DIVIDEND",PLabel,0)-1,1,1)</f>
        <v>0</v>
      </c>
      <c r="AJ396" s="1601">
        <f ca="1">OFFSET(POrigin,MATCH(Valori[[#This Row],[LUKB_id]],PID,0),MATCH("DIVIDEND:datetime",PLabel,0)-1,1,1)</f>
        <v>0</v>
      </c>
      <c r="AK396" s="1602">
        <f ca="1">OFFSET(POrigin,MATCH(Valori[[#This Row],[LUKB_id]],PID,0),MATCH("INTEREST",PLabel,0)-1,1,1)</f>
        <v>0</v>
      </c>
      <c r="AL396" s="1603">
        <f ca="1">OFFSET(POrigin,MATCH(Valori[[#This Row],[LUKB_id]],PID,0),MATCH("4W_PERF_PR",PLabel,0)-1,1,1)/100</f>
        <v>0.10223978919631098</v>
      </c>
      <c r="AM396" s="1603">
        <f ca="1">OFFSET(POrigin,MATCH(Valori[[#This Row],[LUKB_id]],PID,0),MATCH("12W_PERF_PR",PLabel,0)-1,1,1)/100</f>
        <v>0.40618613921336127</v>
      </c>
      <c r="AN396" s="1603">
        <f ca="1">OFFSET(POrigin,MATCH(Valori[[#This Row],[LUKB_id]],PID,0),MATCH("YTD_PERF_PR",PLabel,0)-1,1,1)/100</f>
        <v>0.28189972401104002</v>
      </c>
      <c r="AO396" s="1591"/>
      <c r="AP396" s="1591"/>
      <c r="AQ396" s="1591"/>
      <c r="AR396" s="1591"/>
      <c r="AS396" s="1890" t="s">
        <v>1989</v>
      </c>
      <c r="AT396" s="1890" t="s">
        <v>1990</v>
      </c>
      <c r="AU396" s="610" t="s">
        <v>1991</v>
      </c>
      <c r="AV396" s="1891" t="s">
        <v>1992</v>
      </c>
      <c r="AW396" s="1604" t="str">
        <f ca="1">"https://boersenundmaerkte.lukb.ch/lukb/details/"&amp;Valori[[#This Row],[LUKB_id]]</f>
        <v>https://boersenundmaerkte.lukb.ch/lukb/details/1781011,2779,814</v>
      </c>
      <c r="AX396" s="1605" t="str">
        <f>"https://www.zonebourse.com/mods_a/charts/TV/inc_dyna_graph.php?c="&amp;Valori[[#This Row],[MS_Code]]&amp;"&amp;style=TradingView.CANDLES&amp;interval=(null)&amp;mobile=(null)&amp;showAT=1"</f>
        <v>https://www.zonebourse.com/mods_a/charts/TV/inc_dyna_graph.php?c=52080955&amp;style=TradingView.CANDLES&amp;interval=(null)&amp;mobile=(null)&amp;showAT=1</v>
      </c>
    </row>
    <row r="397" spans="1:50" ht="15" customHeight="1" x14ac:dyDescent="0.2">
      <c r="A397" s="142" t="s">
        <v>2018</v>
      </c>
      <c r="B397" s="142" t="str" cm="1">
        <f t="array" aca="1" ref="B397" ca="1">OFFSET(POrigin,MATCH(Valori[[#This Row],[smo_id]],Posizioni[smo_id],0),MATCH("LUKB_id",PIntestazioni,0)-1,1,1)</f>
        <v>4613240,13,814</v>
      </c>
      <c r="C397" s="1668" t="str">
        <f ca="1">HYPERLINK("https://boersenundmaerkte.lukb.ch/lukb/details/"&amp;Valori[[#This Row],[LUKB_id]],"è")</f>
        <v>è</v>
      </c>
      <c r="D397" s="142" t="str" cm="1">
        <f t="array" aca="1" ref="D397" ca="1">OFFSET(POrigin,MATCH(Valori[[#This Row],[LUKB_id]],PID,0),MATCH("SC_GROUPED",PIntestazioni,0)-1,1,1)</f>
        <v>TFO</v>
      </c>
      <c r="E397" s="413" t="str" cm="1">
        <f t="array" aca="1" ref="E397" ca="1">OFFSET(POrigin,MATCH(Valori[[#This Row],[LUKB_id]],PID,0),MATCH("isin",PIntestazioni,0)-1,1,1)</f>
        <v>LU0390135332</v>
      </c>
      <c r="F397" s="34" t="str" cm="1">
        <f t="array" aca="1" ref="F397" ca="1">OFFSET(POrigin,MATCH(Valori[[#This Row],[LUKB_id]],PID,0),MATCH("NSIN_CH",PLabel,0)-1,1,1)</f>
        <v>4613240</v>
      </c>
      <c r="G397" s="95" t="str" cm="1">
        <f t="array" aca="1" ref="G397" ca="1">IF(OFFSET(POrigin,MATCH(Valori[[#This Row],[LUKB_id]],PID,0),MATCH("INSTRUNIT",PLabel,0)-1,1,1)="Nominal","Pct","Unit")</f>
        <v>Unit</v>
      </c>
      <c r="H397" s="612">
        <f ca="1">MAX(OFFSET(POrigin,MATCH(Valori[[#This Row],[LUKB_id]],PID,0),MATCH("PRICINGAMT",PLabel,0)-1,1,1),1)</f>
        <v>1</v>
      </c>
      <c r="I397" s="615" t="str" cm="1">
        <f t="array" aca="1" ref="I397" ca="1">OFFSET(POrigin,MATCH(Valori[[#This Row],[LUKB_id]],PID,0),MATCH("M_NAME",PLabel,0)-1,1,1)</f>
        <v>Franklin Templeton Investment Funds SICAV - Templeton Asian Smaller Companies Fund</v>
      </c>
      <c r="J397" s="142" t="s">
        <v>849</v>
      </c>
      <c r="M397" s="142" t="str" cm="1">
        <f t="array" aca="1" ref="M3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(EUR)</v>
      </c>
      <c r="N397" s="1563">
        <f ca="1">COUNTIF('CHF M'!smo_id,Valori[[#This Row],[smo_id]])+COUNTIF('CHF MA'!smo_id,Valori[[#This Row],[smo_id]])+COUNTIF('EUR MB'!smo_id,Valori[[#This Row],[smo_id]])+COUNTIF('EUR M'!smo_id,Valori[[#This Row],[smo_id]])+COUNTIF(AGCO!smo_id,Valori[[#This Row],[smo_id]])</f>
        <v>1</v>
      </c>
      <c r="O397" s="1590" cm="1">
        <f t="array" aca="1" ref="O397" ca="1">SUM(IF('CHF M'!smo_id=Valori[[#This Row],[smo_id]],'CHF M'!Posizione))+SUM(IF('CHF MA'!smo_id=Valori[[#This Row],[smo_id]],'CHF MA'!Posizione))+SUM(IF('EUR MB'!smo_id=Valori[[#This Row],[smo_id]],'EUR MB'!Posizione))+SUM(IF('EUR M'!smo_id=Valori[[#This Row],[smo_id]],'EUR M'!Posizione))+SUM(IF(AGCO!smo_id=Valori[[#This Row],[smo_id]],AGCO!Posizione))</f>
        <v>0</v>
      </c>
      <c r="P397" s="1661" t="str">
        <f ca="1">HYPERLINK(Valori[[#This Row],[P_Source]],"è")</f>
        <v>è</v>
      </c>
      <c r="Q397" s="1663" t="str">
        <f>HYPERLINK(Valori[[#This Row],[Info_W]],"i")</f>
        <v>i</v>
      </c>
      <c r="R397" s="1664" t="str">
        <f>HYPERLINK(Valori[[#This Row],[FN_W]],"")</f>
        <v></v>
      </c>
      <c r="S397" s="1665" t="str">
        <f>HYPERLINK(Valori[[#This Row],[MS_Link]],"")</f>
        <v></v>
      </c>
      <c r="T397" s="1665" t="str">
        <f>HYPERLINK(Valori[[#This Row],[C_source]],"")</f>
        <v></v>
      </c>
      <c r="U397" s="142" t="str" cm="1">
        <f t="array" aca="1" ref="U397" ca="1">OFFSET(POrigin,MATCH(Valori[[#This Row],[LUKB_id]],PID,0),MATCH("M_CUR",PLabel,0)-1,1,1)</f>
        <v>EUR</v>
      </c>
      <c r="V397" s="1562">
        <f ca="1">(Valori[[#This Row],[Last]]+Valori[[#This Row],[Acc. Int]])/Valori[[#This Row],[Pr.Amt]]/IF(Valori[[#This Row],[P_Type]]="Pct",100,1)</f>
        <v>61.829000000000001</v>
      </c>
      <c r="W397" s="1591" cm="1">
        <f t="array" aca="1" ref="W397" ca="1">OFFSET(POrigin,MATCH(Valori[[#This Row],[LUKB_id]],PID,0),MATCH("NC2_PR",PLabel,0)-1,1,1)/100</f>
        <v>-0.12592110966623399</v>
      </c>
      <c r="X397" s="1592" cm="1">
        <f t="array" aca="1" ref="X397" ca="1">OFFSET(POrigin,MATCH(Valori[[#This Row],[LUKB_id]],PID,0),MATCH("LVAL",PLabel,0)-1,1,1)</f>
        <v>61.829000000000001</v>
      </c>
      <c r="Y397" s="1593" cm="1">
        <f t="array" aca="1" ref="Y397" ca="1">OFFSET(POrigin,MATCH(Valori[[#This Row],[LUKB_id]],PID,0),MATCH("LVAL:datetime",PLabel,0)-1,1,1)</f>
        <v>46083.817812499998</v>
      </c>
      <c r="Z397" s="1594" cm="1">
        <f t="array" aca="1" ref="Z397" ca="1">OFFSET(POrigin,MATCH(Valori[[#This Row],[LUKB_id]],PID,0),MATCH("BID:volume",PLabel,0)-1,1,1)</f>
        <v>0</v>
      </c>
      <c r="AA397" s="1595" cm="1">
        <f t="array" aca="1" ref="AA397" ca="1">OFFSET(POrigin,MATCH(Valori[[#This Row],[LUKB_id]],PID,0),MATCH("BID",PLabel,0)-1,1,1)</f>
        <v>0</v>
      </c>
      <c r="AB397" s="1595" cm="1">
        <f t="array" aca="1" ref="AB397" ca="1">OFFSET(POrigin,MATCH(Valori[[#This Row],[LUKB_id]],PID,0),MATCH("ASK",PLabel,0)-1,1,1)</f>
        <v>0</v>
      </c>
      <c r="AC397" s="1594" cm="1">
        <f t="array" aca="1" ref="AC397" ca="1">OFFSET(POrigin,MATCH(Valori[[#This Row],[LUKB_id]],PID,0),MATCH("ASK:volume",PLabel,0)-1,1,1)</f>
        <v>0</v>
      </c>
      <c r="AD397" s="1596" cm="1">
        <f t="array" aca="1" ref="AD397" ca="1">OFFSET(POrigin,MATCH(Valori[[#This Row],[LUKB_id]],PID,0),MATCH("BID-ASK Spread %",PLabel,0)-1,1,1)</f>
        <v>0</v>
      </c>
      <c r="AE397" s="1597" t="str" cm="1">
        <f t="array" aca="1" ref="AE397" ca="1">IF(OFFSET(POrigin,MATCH(Valori[[#This Row],[LUKB_id]],PID,0),MATCH("MATURITY",PLabel,0)-1,1,1)&gt;0,OFFSET(POrigin,MATCH(Valori[[#This Row],[LUKB_id]],PID,0),MATCH("MATURITY",PLabel,0)-1,1,1),"")</f>
        <v/>
      </c>
      <c r="AF397" s="1598" cm="1">
        <f t="array" aca="1" ref="AF397" ca="1">OFFSET(POrigin,MATCH(Valori[[#This Row],[LUKB_id]],PID,0),MATCH("ACCINT",PLabel,0)-1,1,1)</f>
        <v>0</v>
      </c>
      <c r="AG397" s="1594" cm="1">
        <f t="array" aca="1" ref="AG397" ca="1">OFFSET(POrigin,MATCH(Valori[[#This Row],[LUKB_id]],PID,0),MATCH("DENOM",PLabel,0)-1,1,1)</f>
        <v>0</v>
      </c>
      <c r="AH397" s="1599" cm="1">
        <f t="array" aca="1" ref="AH397" ca="1">(OFFSET(POrigin,MATCH(Valori[[#This Row],[LUKB_id]],PID,0),MATCH("YIELD",PLabel,0)-1,1,1)+OFFSET(POrigin,MATCH(Valori[[#This Row],[LUKB_id]],PID,0),MATCH("YLDEQ",PLabel,0)-1,1,1))/100</f>
        <v>0</v>
      </c>
      <c r="AI397" s="1600">
        <f ca="1">OFFSET(POrigin,MATCH(Valori[[#This Row],[LUKB_id]],PID,0),MATCH("DIVIDEND",PLabel,0)-1,1,1)</f>
        <v>0</v>
      </c>
      <c r="AJ397" s="1601">
        <f ca="1">OFFSET(POrigin,MATCH(Valori[[#This Row],[LUKB_id]],PID,0),MATCH("DIVIDEND:datetime",PLabel,0)-1,1,1)</f>
        <v>0</v>
      </c>
      <c r="AK397" s="1602">
        <f ca="1">OFFSET(POrigin,MATCH(Valori[[#This Row],[LUKB_id]],PID,0),MATCH("INTEREST",PLabel,0)-1,1,1)</f>
        <v>0</v>
      </c>
      <c r="AL397" s="1603">
        <f ca="1">OFFSET(POrigin,MATCH(Valori[[#This Row],[LUKB_id]],PID,0),MATCH("4W_PERF_PR",PLabel,0)-1,1,1)/100</f>
        <v>5.0638073714081744E-2</v>
      </c>
      <c r="AM397" s="1603">
        <f ca="1">OFFSET(POrigin,MATCH(Valori[[#This Row],[LUKB_id]],PID,0),MATCH("12W_PERF_PR",PLabel,0)-1,1,1)/100</f>
        <v>5.6978254923413546E-2</v>
      </c>
      <c r="AN397" s="1603">
        <f ca="1">OFFSET(POrigin,MATCH(Valori[[#This Row],[LUKB_id]],PID,0),MATCH("YTD_PERF_PR",PLabel,0)-1,1,1)/100</f>
        <v>-8.9141765114662999E-2</v>
      </c>
      <c r="AO397" s="1591"/>
      <c r="AP397" s="1591"/>
      <c r="AQ397" s="1591"/>
      <c r="AR397" s="1591"/>
      <c r="AS397" s="1890"/>
      <c r="AT397" s="1890"/>
      <c r="AU397" s="610"/>
      <c r="AV397" s="1891"/>
      <c r="AW397" s="1604" t="str">
        <f ca="1">"https://boersenundmaerkte.lukb.ch/lukb/details/"&amp;Valori[[#This Row],[LUKB_id]]</f>
        <v>https://boersenundmaerkte.lukb.ch/lukb/details/4613240,13,814</v>
      </c>
      <c r="AX397"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8" spans="1:50" ht="15" customHeight="1" x14ac:dyDescent="0.2">
      <c r="A398" s="142" t="s">
        <v>2019</v>
      </c>
      <c r="B398" s="142" t="str" cm="1">
        <f t="array" aca="1" ref="B398" ca="1">OFFSET(POrigin,MATCH(Valori[[#This Row],[smo_id]],Posizioni[smo_id],0),MATCH("LUKB_id",PIntestazioni,0)-1,1,1)</f>
        <v>4613685,349,333</v>
      </c>
      <c r="C398" s="1668" t="str">
        <f ca="1">HYPERLINK("https://boersenundmaerkte.lukb.ch/lukb/details/"&amp;Valori[[#This Row],[LUKB_id]],"è")</f>
        <v>è</v>
      </c>
      <c r="D398" s="142" t="str" cm="1">
        <f t="array" aca="1" ref="D398" ca="1">OFFSET(POrigin,MATCH(Valori[[#This Row],[LUKB_id]],PID,0),MATCH("SC_GROUPED",PIntestazioni,0)-1,1,1)</f>
        <v>TFO</v>
      </c>
      <c r="E398" s="413" t="str" cm="1">
        <f t="array" aca="1" ref="E398" ca="1">OFFSET(POrigin,MATCH(Valori[[#This Row],[LUKB_id]],PID,0),MATCH("isin",PIntestazioni,0)-1,1,1)</f>
        <v>LU0390136736</v>
      </c>
      <c r="F398" s="34" t="str" cm="1">
        <f t="array" aca="1" ref="F398" ca="1">OFFSET(POrigin,MATCH(Valori[[#This Row],[LUKB_id]],PID,0),MATCH("NSIN_CH",PLabel,0)-1,1,1)</f>
        <v>4613685</v>
      </c>
      <c r="G398" s="95" t="str" cm="1">
        <f t="array" aca="1" ref="G398" ca="1">IF(OFFSET(POrigin,MATCH(Valori[[#This Row],[LUKB_id]],PID,0),MATCH("INSTRUNIT",PLabel,0)-1,1,1)="Nominal","Pct","Unit")</f>
        <v>Unit</v>
      </c>
      <c r="H398" s="612">
        <f ca="1">MAX(OFFSET(POrigin,MATCH(Valori[[#This Row],[LUKB_id]],PID,0),MATCH("PRICINGAMT",PLabel,0)-1,1,1),1)</f>
        <v>1</v>
      </c>
      <c r="I398" s="615" t="str" cm="1">
        <f t="array" aca="1" ref="I398" ca="1">OFFSET(POrigin,MATCH(Valori[[#This Row],[LUKB_id]],PID,0),MATCH("M_NAME",PLabel,0)-1,1,1)</f>
        <v>Franklin Templeton Investment Funds SICAV - Templeton Frontier Markets Fund</v>
      </c>
      <c r="J398" s="142" t="s">
        <v>424</v>
      </c>
      <c r="M398" s="142" t="str" cm="1">
        <f t="array" aca="1" ref="M3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Frontier Markets Fund - A (Acc)</v>
      </c>
      <c r="N398" s="1563">
        <f ca="1">COUNTIF('CHF M'!smo_id,Valori[[#This Row],[smo_id]])+COUNTIF('CHF MA'!smo_id,Valori[[#This Row],[smo_id]])+COUNTIF('EUR MB'!smo_id,Valori[[#This Row],[smo_id]])+COUNTIF('EUR M'!smo_id,Valori[[#This Row],[smo_id]])+COUNTIF(AGCO!smo_id,Valori[[#This Row],[smo_id]])</f>
        <v>5</v>
      </c>
      <c r="O398" s="1590" cm="1">
        <f t="array" aca="1" ref="O398" ca="1">SUM(IF('CHF M'!smo_id=Valori[[#This Row],[smo_id]],'CHF M'!Posizione))+SUM(IF('CHF MA'!smo_id=Valori[[#This Row],[smo_id]],'CHF MA'!Posizione))+SUM(IF('EUR MB'!smo_id=Valori[[#This Row],[smo_id]],'EUR MB'!Posizione))+SUM(IF('EUR M'!smo_id=Valori[[#This Row],[smo_id]],'EUR M'!Posizione))+SUM(IF(AGCO!smo_id=Valori[[#This Row],[smo_id]],AGCO!Posizione))</f>
        <v>8340</v>
      </c>
      <c r="P398" s="1661" t="str">
        <f ca="1">HYPERLINK(Valori[[#This Row],[P_Source]],"è")</f>
        <v>è</v>
      </c>
      <c r="Q398" s="1663" t="str">
        <f>HYPERLINK(Valori[[#This Row],[Info_W]],"i")</f>
        <v>i</v>
      </c>
      <c r="R398" s="1664" t="str">
        <f>HYPERLINK(Valori[[#This Row],[FN_W]],"")</f>
        <v></v>
      </c>
      <c r="S398" s="1665" t="str">
        <f>HYPERLINK(Valori[[#This Row],[MS_Link]],"")</f>
        <v></v>
      </c>
      <c r="T398" s="1665" t="str">
        <f>HYPERLINK(Valori[[#This Row],[C_source]],"")</f>
        <v></v>
      </c>
      <c r="U398" s="142" t="str" cm="1">
        <f t="array" aca="1" ref="U398" ca="1">OFFSET(POrigin,MATCH(Valori[[#This Row],[LUKB_id]],PID,0),MATCH("M_CUR",PLabel,0)-1,1,1)</f>
        <v>USD</v>
      </c>
      <c r="V398" s="1562">
        <f ca="1">(Valori[[#This Row],[Last]]+Valori[[#This Row],[Acc. Int]])/Valori[[#This Row],[Pr.Amt]]/IF(Valori[[#This Row],[P_Type]]="Pct",100,1)</f>
        <v>31.73</v>
      </c>
      <c r="W398" s="1591" cm="1">
        <f t="array" aca="1" ref="W398" ca="1">OFFSET(POrigin,MATCH(Valori[[#This Row],[LUKB_id]],PID,0),MATCH("NC2_PR",PLabel,0)-1,1,1)/100</f>
        <v>3.7096088435374201E-2</v>
      </c>
      <c r="X398" s="1592" cm="1">
        <f t="array" aca="1" ref="X398" ca="1">OFFSET(POrigin,MATCH(Valori[[#This Row],[LUKB_id]],PID,0),MATCH("LVAL",PLabel,0)-1,1,1)</f>
        <v>31.73</v>
      </c>
      <c r="Y398" s="1593" cm="1">
        <f t="array" aca="1" ref="Y398" ca="1">OFFSET(POrigin,MATCH(Valori[[#This Row],[LUKB_id]],PID,0),MATCH("LVAL:datetime",PLabel,0)-1,1,1)</f>
        <v>46084.736481481479</v>
      </c>
      <c r="Z398" s="1594" cm="1">
        <f t="array" aca="1" ref="Z398" ca="1">OFFSET(POrigin,MATCH(Valori[[#This Row],[LUKB_id]],PID,0),MATCH("BID:volume",PLabel,0)-1,1,1)</f>
        <v>20200</v>
      </c>
      <c r="AA398" s="1595" cm="1">
        <f t="array" aca="1" ref="AA398" ca="1">OFFSET(POrigin,MATCH(Valori[[#This Row],[LUKB_id]],PID,0),MATCH("BID",PLabel,0)-1,1,1)</f>
        <v>31.310000000000002</v>
      </c>
      <c r="AB398" s="1595" cm="1">
        <f t="array" aca="1" ref="AB398" ca="1">OFFSET(POrigin,MATCH(Valori[[#This Row],[LUKB_id]],PID,0),MATCH("ASK",PLabel,0)-1,1,1)</f>
        <v>31.73</v>
      </c>
      <c r="AC398" s="1594" cm="1">
        <f t="array" aca="1" ref="AC398" ca="1">OFFSET(POrigin,MATCH(Valori[[#This Row],[LUKB_id]],PID,0),MATCH("ASK:volume",PLabel,0)-1,1,1)</f>
        <v>20200</v>
      </c>
      <c r="AD398" s="1596" cm="1">
        <f t="array" aca="1" ref="AD398" ca="1">OFFSET(POrigin,MATCH(Valori[[#This Row],[LUKB_id]],PID,0),MATCH("BID-ASK Spread %",PLabel,0)-1,1,1)</f>
        <v>8.9030206677265106E-3</v>
      </c>
      <c r="AE398" s="1597" t="str" cm="1">
        <f t="array" aca="1" ref="AE398" ca="1">IF(OFFSET(POrigin,MATCH(Valori[[#This Row],[LUKB_id]],PID,0),MATCH("MATURITY",PLabel,0)-1,1,1)&gt;0,OFFSET(POrigin,MATCH(Valori[[#This Row],[LUKB_id]],PID,0),MATCH("MATURITY",PLabel,0)-1,1,1),"")</f>
        <v/>
      </c>
      <c r="AF398" s="1598" cm="1">
        <f t="array" aca="1" ref="AF398" ca="1">OFFSET(POrigin,MATCH(Valori[[#This Row],[LUKB_id]],PID,0),MATCH("ACCINT",PLabel,0)-1,1,1)</f>
        <v>0</v>
      </c>
      <c r="AG398" s="1594" cm="1">
        <f t="array" aca="1" ref="AG398" ca="1">OFFSET(POrigin,MATCH(Valori[[#This Row],[LUKB_id]],PID,0),MATCH("DENOM",PLabel,0)-1,1,1)</f>
        <v>0</v>
      </c>
      <c r="AH398" s="1599" cm="1">
        <f t="array" aca="1" ref="AH398" ca="1">(OFFSET(POrigin,MATCH(Valori[[#This Row],[LUKB_id]],PID,0),MATCH("YIELD",PLabel,0)-1,1,1)+OFFSET(POrigin,MATCH(Valori[[#This Row],[LUKB_id]],PID,0),MATCH("YLDEQ",PLabel,0)-1,1,1))/100</f>
        <v>0</v>
      </c>
      <c r="AI398" s="1600">
        <f ca="1">OFFSET(POrigin,MATCH(Valori[[#This Row],[LUKB_id]],PID,0),MATCH("DIVIDEND",PLabel,0)-1,1,1)</f>
        <v>0</v>
      </c>
      <c r="AJ398" s="1601">
        <f ca="1">OFFSET(POrigin,MATCH(Valori[[#This Row],[LUKB_id]],PID,0),MATCH("DIVIDEND:datetime",PLabel,0)-1,1,1)</f>
        <v>0</v>
      </c>
      <c r="AK398" s="1602">
        <f ca="1">OFFSET(POrigin,MATCH(Valori[[#This Row],[LUKB_id]],PID,0),MATCH("INTEREST",PLabel,0)-1,1,1)</f>
        <v>0</v>
      </c>
      <c r="AL398" s="1603">
        <f ca="1">OFFSET(POrigin,MATCH(Valori[[#This Row],[LUKB_id]],PID,0),MATCH("4W_PERF_PR",PLabel,0)-1,1,1)/100</f>
        <v>1.4840543100726203E-2</v>
      </c>
      <c r="AM398" s="1603">
        <f ca="1">OFFSET(POrigin,MATCH(Valori[[#This Row],[LUKB_id]],PID,0),MATCH("12W_PERF_PR",PLabel,0)-1,1,1)/100</f>
        <v>0.10446735395189</v>
      </c>
      <c r="AN398" s="1603">
        <f ca="1">OFFSET(POrigin,MATCH(Valori[[#This Row],[LUKB_id]],PID,0),MATCH("YTD_PERF_PR",PLabel,0)-1,1,1)/100</f>
        <v>-0.34384667114996703</v>
      </c>
      <c r="AO398" s="1591">
        <v>5.7500000000000002E-2</v>
      </c>
      <c r="AP398" s="1591">
        <v>0</v>
      </c>
      <c r="AQ398" s="1591">
        <v>2.5399999999999999E-2</v>
      </c>
      <c r="AR398" s="1591">
        <v>0</v>
      </c>
      <c r="AS398" s="1890" t="s">
        <v>2020</v>
      </c>
      <c r="AT398" s="1890" t="s">
        <v>2021</v>
      </c>
      <c r="AU398" s="610" t="s">
        <v>2022</v>
      </c>
      <c r="AV398" s="1891" t="s">
        <v>2023</v>
      </c>
      <c r="AW398" s="1604" t="str">
        <f ca="1">"https://boersenundmaerkte.lukb.ch/lukb/details/"&amp;Valori[[#This Row],[LUKB_id]]</f>
        <v>https://boersenundmaerkte.lukb.ch/lukb/details/4613685,349,333</v>
      </c>
      <c r="AX398" s="1605" t="str">
        <f>"https://www.zonebourse.com/mods_a/charts/TV/inc_dyna_graph.php?c="&amp;Valori[[#This Row],[MS_Code]]&amp;"&amp;style=TradingView.CANDLES&amp;interval=(null)&amp;mobile=(null)&amp;showAT=1"</f>
        <v>https://www.zonebourse.com/mods_a/charts/TV/inc_dyna_graph.php?c=41562602&amp;style=TradingView.CANDLES&amp;interval=(null)&amp;mobile=(null)&amp;showAT=1</v>
      </c>
    </row>
    <row r="399" spans="1:50" ht="15" customHeight="1" x14ac:dyDescent="0.2">
      <c r="A399" s="142" t="s">
        <v>2024</v>
      </c>
      <c r="B399" s="142" t="str" cm="1">
        <f t="array" aca="1" ref="B399" ca="1">OFFSET(POrigin,MATCH(Valori[[#This Row],[smo_id]],Posizioni[smo_id],0),MATCH("LUKB_id",PIntestazioni,0)-1,1,1)</f>
        <v>1704395,4,1</v>
      </c>
      <c r="C399" s="1668" t="str">
        <f ca="1">HYPERLINK("https://boersenundmaerkte.lukb.ch/lukb/details/"&amp;Valori[[#This Row],[LUKB_id]],"è")</f>
        <v>è</v>
      </c>
      <c r="D399" s="142" t="str" cm="1">
        <f t="array" aca="1" ref="D399" ca="1">OFFSET(POrigin,MATCH(Valori[[#This Row],[LUKB_id]],PID,0),MATCH("SC_GROUPED",PIntestazioni,0)-1,1,1)</f>
        <v>TFO</v>
      </c>
      <c r="E399" s="413" t="str" cm="1">
        <f t="array" aca="1" ref="E399" ca="1">OFFSET(POrigin,MATCH(Valori[[#This Row],[LUKB_id]],PID,0),MATCH("isin",PIntestazioni,0)-1,1,1)</f>
        <v>CH0017043958</v>
      </c>
      <c r="F399" s="34" t="str" cm="1">
        <f t="array" aca="1" ref="F399" ca="1">OFFSET(POrigin,MATCH(Valori[[#This Row],[LUKB_id]],PID,0),MATCH("NSIN_CH",PLabel,0)-1,1,1)</f>
        <v>1704395</v>
      </c>
      <c r="G399" s="95" t="str" cm="1">
        <f t="array" aca="1" ref="G399" ca="1">IF(OFFSET(POrigin,MATCH(Valori[[#This Row],[LUKB_id]],PID,0),MATCH("INSTRUNIT",PLabel,0)-1,1,1)="Nominal","Pct","Unit")</f>
        <v>Unit</v>
      </c>
      <c r="H399" s="612">
        <f ca="1">MAX(OFFSET(POrigin,MATCH(Valori[[#This Row],[LUKB_id]],PID,0),MATCH("PRICINGAMT",PLabel,0)-1,1,1),1)</f>
        <v>1</v>
      </c>
      <c r="I399" s="615" t="str" cm="1">
        <f t="array" aca="1" ref="I399" ca="1">OFFSET(POrigin,MATCH(Valori[[#This Row],[LUKB_id]],PID,0),MATCH("M_NAME",PLabel,0)-1,1,1)</f>
        <v>UBS (CH) Equity Fund - Swiss Income (CHF)</v>
      </c>
      <c r="J399" s="142" t="s">
        <v>622</v>
      </c>
      <c r="M399" s="142" t="str" cm="1">
        <f t="array" aca="1" ref="M3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P</v>
      </c>
      <c r="N399" s="1563">
        <f ca="1">COUNTIF('CHF M'!smo_id,Valori[[#This Row],[smo_id]])+COUNTIF('CHF MA'!smo_id,Valori[[#This Row],[smo_id]])+COUNTIF('EUR MB'!smo_id,Valori[[#This Row],[smo_id]])+COUNTIF('EUR M'!smo_id,Valori[[#This Row],[smo_id]])+COUNTIF(AGCO!smo_id,Valori[[#This Row],[smo_id]])</f>
        <v>1</v>
      </c>
      <c r="O399" s="1590" cm="1">
        <f t="array" aca="1" ref="O399" ca="1">SUM(IF('CHF M'!smo_id=Valori[[#This Row],[smo_id]],'CHF M'!Posizione))+SUM(IF('CHF MA'!smo_id=Valori[[#This Row],[smo_id]],'CHF MA'!Posizione))+SUM(IF('EUR MB'!smo_id=Valori[[#This Row],[smo_id]],'EUR MB'!Posizione))+SUM(IF('EUR M'!smo_id=Valori[[#This Row],[smo_id]],'EUR M'!Posizione))+SUM(IF(AGCO!smo_id=Valori[[#This Row],[smo_id]],AGCO!Posizione))</f>
        <v>0</v>
      </c>
      <c r="P399" s="1661" t="str">
        <f ca="1">HYPERLINK(Valori[[#This Row],[P_Source]],"è")</f>
        <v>è</v>
      </c>
      <c r="Q399" s="1663" t="str">
        <f>HYPERLINK(Valori[[#This Row],[Info_W]],"i")</f>
        <v>i</v>
      </c>
      <c r="R399" s="1664" t="str">
        <f>HYPERLINK(Valori[[#This Row],[FN_W]],"")</f>
        <v></v>
      </c>
      <c r="S399" s="1665" t="str">
        <f>HYPERLINK(Valori[[#This Row],[MS_Link]],"")</f>
        <v></v>
      </c>
      <c r="T399" s="1665" t="str">
        <f>HYPERLINK(Valori[[#This Row],[C_source]],"")</f>
        <v></v>
      </c>
      <c r="U399" s="142" t="str" cm="1">
        <f t="array" aca="1" ref="U399" ca="1">OFFSET(POrigin,MATCH(Valori[[#This Row],[LUKB_id]],PID,0),MATCH("M_CUR",PLabel,0)-1,1,1)</f>
        <v>CHF</v>
      </c>
      <c r="V399" s="1562">
        <f ca="1">(Valori[[#This Row],[Last]]+Valori[[#This Row],[Acc. Int]])/Valori[[#This Row],[Pr.Amt]]/IF(Valori[[#This Row],[P_Type]]="Pct",100,1)</f>
        <v>18.776</v>
      </c>
      <c r="W399" s="1591" cm="1">
        <f t="array" aca="1" ref="W399" ca="1">OFFSET(POrigin,MATCH(Valori[[#This Row],[LUKB_id]],PID,0),MATCH("NC2_PR",PLabel,0)-1,1,1)/100</f>
        <v>-3.3659289758106004E-2</v>
      </c>
      <c r="X399" s="1592" cm="1">
        <f t="array" aca="1" ref="X399" ca="1">OFFSET(POrigin,MATCH(Valori[[#This Row],[LUKB_id]],PID,0),MATCH("LVAL",PLabel,0)-1,1,1)</f>
        <v>18.776</v>
      </c>
      <c r="Y399" s="1593" cm="1">
        <f t="array" aca="1" ref="Y399" ca="1">OFFSET(POrigin,MATCH(Valori[[#This Row],[LUKB_id]],PID,0),MATCH("LVAL:datetime",PLabel,0)-1,1,1)</f>
        <v>46084.447939814818</v>
      </c>
      <c r="Z399" s="1594" cm="1">
        <f t="array" aca="1" ref="Z399" ca="1">OFFSET(POrigin,MATCH(Valori[[#This Row],[LUKB_id]],PID,0),MATCH("BID:volume",PLabel,0)-1,1,1)</f>
        <v>3000</v>
      </c>
      <c r="AA399" s="1595" cm="1">
        <f t="array" aca="1" ref="AA399" ca="1">OFFSET(POrigin,MATCH(Valori[[#This Row],[LUKB_id]],PID,0),MATCH("BID",PLabel,0)-1,1,1)</f>
        <v>18</v>
      </c>
      <c r="AB399" s="1595" cm="1">
        <f t="array" aca="1" ref="AB399" ca="1">OFFSET(POrigin,MATCH(Valori[[#This Row],[LUKB_id]],PID,0),MATCH("ASK",PLabel,0)-1,1,1)</f>
        <v>19.700000000000003</v>
      </c>
      <c r="AC399" s="1594" cm="1">
        <f t="array" aca="1" ref="AC399" ca="1">OFFSET(POrigin,MATCH(Valori[[#This Row],[LUKB_id]],PID,0),MATCH("ASK:volume",PLabel,0)-1,1,1)</f>
        <v>1500</v>
      </c>
      <c r="AD399" s="1596" cm="1">
        <f t="array" aca="1" ref="AD399" ca="1">OFFSET(POrigin,MATCH(Valori[[#This Row],[LUKB_id]],PID,0),MATCH("BID-ASK Spread %",PLabel,0)-1,1,1)</f>
        <v>6.1041292639138336E-2</v>
      </c>
      <c r="AE399" s="1597" t="str" cm="1">
        <f t="array" aca="1" ref="AE399" ca="1">IF(OFFSET(POrigin,MATCH(Valori[[#This Row],[LUKB_id]],PID,0),MATCH("MATURITY",PLabel,0)-1,1,1)&gt;0,OFFSET(POrigin,MATCH(Valori[[#This Row],[LUKB_id]],PID,0),MATCH("MATURITY",PLabel,0)-1,1,1),"")</f>
        <v/>
      </c>
      <c r="AF399" s="1598" cm="1">
        <f t="array" aca="1" ref="AF399" ca="1">OFFSET(POrigin,MATCH(Valori[[#This Row],[LUKB_id]],PID,0),MATCH("ACCINT",PLabel,0)-1,1,1)</f>
        <v>0</v>
      </c>
      <c r="AG399" s="1594" cm="1">
        <f t="array" aca="1" ref="AG399" ca="1">OFFSET(POrigin,MATCH(Valori[[#This Row],[LUKB_id]],PID,0),MATCH("DENOM",PLabel,0)-1,1,1)</f>
        <v>0</v>
      </c>
      <c r="AH399" s="1599" cm="1">
        <f t="array" aca="1" ref="AH399" ca="1">(OFFSET(POrigin,MATCH(Valori[[#This Row],[LUKB_id]],PID,0),MATCH("YIELD",PLabel,0)-1,1,1)+OFFSET(POrigin,MATCH(Valori[[#This Row],[LUKB_id]],PID,0),MATCH("YLDEQ",PLabel,0)-1,1,1))/100</f>
        <v>0</v>
      </c>
      <c r="AI399" s="1600">
        <f ca="1">OFFSET(POrigin,MATCH(Valori[[#This Row],[LUKB_id]],PID,0),MATCH("DIVIDEND",PLabel,0)-1,1,1)</f>
        <v>1.23</v>
      </c>
      <c r="AJ399" s="1601">
        <f ca="1">OFFSET(POrigin,MATCH(Valori[[#This Row],[LUKB_id]],PID,0),MATCH("DIVIDEND:datetime",PLabel,0)-1,1,1)</f>
        <v>46036</v>
      </c>
      <c r="AK399" s="1602">
        <f ca="1">OFFSET(POrigin,MATCH(Valori[[#This Row],[LUKB_id]],PID,0),MATCH("INTEREST",PLabel,0)-1,1,1)</f>
        <v>0</v>
      </c>
      <c r="AL399" s="1603">
        <f ca="1">OFFSET(POrigin,MATCH(Valori[[#This Row],[LUKB_id]],PID,0),MATCH("4W_PERF_PR",PLabel,0)-1,1,1)/100</f>
        <v>6.4901078195330666E-3</v>
      </c>
      <c r="AM399" s="1603">
        <f ca="1">OFFSET(POrigin,MATCH(Valori[[#This Row],[LUKB_id]],PID,0),MATCH("12W_PERF_PR",PLabel,0)-1,1,1)/100</f>
        <v>-2.0376974019358052E-2</v>
      </c>
      <c r="AN399" s="1603">
        <f ca="1">OFFSET(POrigin,MATCH(Valori[[#This Row],[LUKB_id]],PID,0),MATCH("YTD_PERF_PR",PLabel,0)-1,1,1)/100</f>
        <v>-3.57320099255585E-2</v>
      </c>
      <c r="AO399" s="1591"/>
      <c r="AP399" s="1591"/>
      <c r="AQ399" s="1591"/>
      <c r="AR399" s="1591"/>
      <c r="AS399" s="1890"/>
      <c r="AT399" s="1890"/>
      <c r="AU399" s="610"/>
      <c r="AV399" s="1891"/>
      <c r="AW399" s="1604" t="str">
        <f ca="1">"https://boersenundmaerkte.lukb.ch/lukb/details/"&amp;Valori[[#This Row],[LUKB_id]]</f>
        <v>https://boersenundmaerkte.lukb.ch/lukb/details/1704395,4,1</v>
      </c>
      <c r="AX399" s="1605"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400" spans="1:50" ht="15" customHeight="1" x14ac:dyDescent="0.2">
      <c r="A400" s="142" t="s">
        <v>2025</v>
      </c>
      <c r="B400" s="142" t="str" cm="1">
        <f t="array" aca="1" ref="B400" ca="1">OFFSET(POrigin,MATCH(Valori[[#This Row],[smo_id]],Posizioni[smo_id],0),MATCH("LUKB_id",PIntestazioni,0)-1,1,1)</f>
        <v>1442082,4,1</v>
      </c>
      <c r="C400" s="1668" t="str">
        <f ca="1">HYPERLINK("https://boersenundmaerkte.lukb.ch/lukb/details/"&amp;Valori[[#This Row],[LUKB_id]],"è")</f>
        <v>è</v>
      </c>
      <c r="D400" s="142" t="str" cm="1">
        <f t="array" aca="1" ref="D400" ca="1">OFFSET(POrigin,MATCH(Valori[[#This Row],[LUKB_id]],PID,0),MATCH("SC_GROUPED",PIntestazioni,0)-1,1,1)</f>
        <v>TFO</v>
      </c>
      <c r="E400" s="413" t="str" cm="1">
        <f t="array" aca="1" ref="E400" ca="1">OFFSET(POrigin,MATCH(Valori[[#This Row],[LUKB_id]],PID,0),MATCH("isin",PIntestazioni,0)-1,1,1)</f>
        <v>CH0014420829</v>
      </c>
      <c r="F400" s="34" t="str" cm="1">
        <f t="array" aca="1" ref="F400" ca="1">OFFSET(POrigin,MATCH(Valori[[#This Row],[LUKB_id]],PID,0),MATCH("NSIN_CH",PLabel,0)-1,1,1)</f>
        <v>1442082</v>
      </c>
      <c r="G400" s="95" t="str" cm="1">
        <f t="array" aca="1" ref="G400" ca="1">IF(OFFSET(POrigin,MATCH(Valori[[#This Row],[LUKB_id]],PID,0),MATCH("INSTRUNIT",PLabel,0)-1,1,1)="Nominal","Pct","Unit")</f>
        <v>Unit</v>
      </c>
      <c r="H400" s="612">
        <f ca="1">MAX(OFFSET(POrigin,MATCH(Valori[[#This Row],[LUKB_id]],PID,0),MATCH("PRICINGAMT",PLabel,0)-1,1,1),1)</f>
        <v>1</v>
      </c>
      <c r="I400" s="615" t="str" cm="1">
        <f t="array" aca="1" ref="I400" ca="1">OFFSET(POrigin,MATCH(Valori[[#This Row],[LUKB_id]],PID,0),MATCH("M_NAME",PLabel,0)-1,1,1)</f>
        <v>UBS (CH) Property Fund - Swiss Residential 'Anfos'</v>
      </c>
      <c r="J400" s="142" t="s">
        <v>578</v>
      </c>
      <c r="M400" s="142" t="str" cm="1">
        <f t="array" aca="1" ref="M4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Prop. Fund - Swiss Residential Anfos</v>
      </c>
      <c r="N400" s="1563">
        <f ca="1">COUNTIF('CHF M'!smo_id,Valori[[#This Row],[smo_id]])+COUNTIF('CHF MA'!smo_id,Valori[[#This Row],[smo_id]])+COUNTIF('EUR MB'!smo_id,Valori[[#This Row],[smo_id]])+COUNTIF('EUR M'!smo_id,Valori[[#This Row],[smo_id]])+COUNTIF(AGCO!smo_id,Valori[[#This Row],[smo_id]])</f>
        <v>5</v>
      </c>
      <c r="O400" s="1590" cm="1">
        <f t="array" aca="1" ref="O400" ca="1">SUM(IF('CHF M'!smo_id=Valori[[#This Row],[smo_id]],'CHF M'!Posizione))+SUM(IF('CHF MA'!smo_id=Valori[[#This Row],[smo_id]],'CHF MA'!Posizione))+SUM(IF('EUR MB'!smo_id=Valori[[#This Row],[smo_id]],'EUR MB'!Posizione))+SUM(IF('EUR M'!smo_id=Valori[[#This Row],[smo_id]],'EUR M'!Posizione))+SUM(IF(AGCO!smo_id=Valori[[#This Row],[smo_id]],AGCO!Posizione))</f>
        <v>0</v>
      </c>
      <c r="P400" s="1661" t="str">
        <f ca="1">HYPERLINK(Valori[[#This Row],[P_Source]],"è")</f>
        <v>è</v>
      </c>
      <c r="Q400" s="1663" t="str">
        <f>HYPERLINK(Valori[[#This Row],[Info_W]],"i")</f>
        <v>i</v>
      </c>
      <c r="R400" s="1664" t="str">
        <f>HYPERLINK(Valori[[#This Row],[FN_W]],"")</f>
        <v></v>
      </c>
      <c r="S400" s="1665" t="str">
        <f>HYPERLINK(Valori[[#This Row],[MS_Link]],"")</f>
        <v></v>
      </c>
      <c r="T400" s="1665" t="str">
        <f>HYPERLINK(Valori[[#This Row],[C_source]],"")</f>
        <v></v>
      </c>
      <c r="U400" s="142" t="str" cm="1">
        <f t="array" aca="1" ref="U400" ca="1">OFFSET(POrigin,MATCH(Valori[[#This Row],[LUKB_id]],PID,0),MATCH("M_CUR",PLabel,0)-1,1,1)</f>
        <v>CHF</v>
      </c>
      <c r="V400" s="1562">
        <f ca="1">(Valori[[#This Row],[Last]]+Valori[[#This Row],[Acc. Int]])/Valori[[#This Row],[Pr.Amt]]/IF(Valori[[#This Row],[P_Type]]="Pct",100,1)</f>
        <v>103.80000000000001</v>
      </c>
      <c r="W400" s="1591" cm="1">
        <f t="array" aca="1" ref="W400" ca="1">OFFSET(POrigin,MATCH(Valori[[#This Row],[LUKB_id]],PID,0),MATCH("NC2_PR",PLabel,0)-1,1,1)/100</f>
        <v>-1.9230769230768998E-3</v>
      </c>
      <c r="X400" s="1592" cm="1">
        <f t="array" aca="1" ref="X400" ca="1">OFFSET(POrigin,MATCH(Valori[[#This Row],[LUKB_id]],PID,0),MATCH("LVAL",PLabel,0)-1,1,1)</f>
        <v>103.80000000000001</v>
      </c>
      <c r="Y400" s="1593" cm="1">
        <f t="array" aca="1" ref="Y400" ca="1">OFFSET(POrigin,MATCH(Valori[[#This Row],[LUKB_id]],PID,0),MATCH("LVAL:datetime",PLabel,0)-1,1,1)</f>
        <v>46084.730081018519</v>
      </c>
      <c r="Z400" s="1594" cm="1">
        <f t="array" aca="1" ref="Z400" ca="1">OFFSET(POrigin,MATCH(Valori[[#This Row],[LUKB_id]],PID,0),MATCH("BID:volume",PLabel,0)-1,1,1)</f>
        <v>7650</v>
      </c>
      <c r="AA400" s="1595" cm="1">
        <f t="array" aca="1" ref="AA400" ca="1">OFFSET(POrigin,MATCH(Valori[[#This Row],[LUKB_id]],PID,0),MATCH("BID",PLabel,0)-1,1,1)</f>
        <v>103</v>
      </c>
      <c r="AB400" s="1595" cm="1">
        <f t="array" aca="1" ref="AB400" ca="1">OFFSET(POrigin,MATCH(Valori[[#This Row],[LUKB_id]],PID,0),MATCH("ASK",PLabel,0)-1,1,1)</f>
        <v>103.80000000000001</v>
      </c>
      <c r="AC400" s="1594" cm="1">
        <f t="array" aca="1" ref="AC400" ca="1">OFFSET(POrigin,MATCH(Valori[[#This Row],[LUKB_id]],PID,0),MATCH("ASK:volume",PLabel,0)-1,1,1)</f>
        <v>44</v>
      </c>
      <c r="AD400" s="1596" cm="1">
        <f t="array" aca="1" ref="AD400" ca="1">OFFSET(POrigin,MATCH(Valori[[#This Row],[LUKB_id]],PID,0),MATCH("BID-ASK Spread %",PLabel,0)-1,1,1)</f>
        <v>5.1646223369916809E-3</v>
      </c>
      <c r="AE400" s="1597" t="str" cm="1">
        <f t="array" aca="1" ref="AE400" ca="1">IF(OFFSET(POrigin,MATCH(Valori[[#This Row],[LUKB_id]],PID,0),MATCH("MATURITY",PLabel,0)-1,1,1)&gt;0,OFFSET(POrigin,MATCH(Valori[[#This Row],[LUKB_id]],PID,0),MATCH("MATURITY",PLabel,0)-1,1,1),"")</f>
        <v/>
      </c>
      <c r="AF400" s="1598" cm="1">
        <f t="array" aca="1" ref="AF400" ca="1">OFFSET(POrigin,MATCH(Valori[[#This Row],[LUKB_id]],PID,0),MATCH("ACCINT",PLabel,0)-1,1,1)</f>
        <v>0</v>
      </c>
      <c r="AG400" s="1594" cm="1">
        <f t="array" aca="1" ref="AG400" ca="1">OFFSET(POrigin,MATCH(Valori[[#This Row],[LUKB_id]],PID,0),MATCH("DENOM",PLabel,0)-1,1,1)</f>
        <v>0</v>
      </c>
      <c r="AH400" s="1599" cm="1">
        <f t="array" aca="1" ref="AH400" ca="1">(OFFSET(POrigin,MATCH(Valori[[#This Row],[LUKB_id]],PID,0),MATCH("YIELD",PLabel,0)-1,1,1)+OFFSET(POrigin,MATCH(Valori[[#This Row],[LUKB_id]],PID,0),MATCH("YLDEQ",PLabel,0)-1,1,1))/100</f>
        <v>0</v>
      </c>
      <c r="AI400" s="1600">
        <f ca="1">OFFSET(POrigin,MATCH(Valori[[#This Row],[LUKB_id]],PID,0),MATCH("DIVIDEND",PLabel,0)-1,1,1)</f>
        <v>1.9000000000000001</v>
      </c>
      <c r="AJ400" s="1601">
        <f ca="1">OFFSET(POrigin,MATCH(Valori[[#This Row],[LUKB_id]],PID,0),MATCH("DIVIDEND:datetime",PLabel,0)-1,1,1)</f>
        <v>45986</v>
      </c>
      <c r="AK400" s="1602">
        <f ca="1">OFFSET(POrigin,MATCH(Valori[[#This Row],[LUKB_id]],PID,0),MATCH("INTEREST",PLabel,0)-1,1,1)</f>
        <v>0</v>
      </c>
      <c r="AL400" s="1603">
        <f ca="1">OFFSET(POrigin,MATCH(Valori[[#This Row],[LUKB_id]],PID,0),MATCH("4W_PERF_PR",PLabel,0)-1,1,1)/100</f>
        <v>5.81395E-3</v>
      </c>
      <c r="AM400" s="1603">
        <f ca="1">OFFSET(POrigin,MATCH(Valori[[#This Row],[LUKB_id]],PID,0),MATCH("12W_PERF_PR",PLabel,0)-1,1,1)/100</f>
        <v>6.1349689999999998E-2</v>
      </c>
      <c r="AN400" s="1603">
        <f ca="1">OFFSET(POrigin,MATCH(Valori[[#This Row],[LUKB_id]],PID,0),MATCH("YTD_PERF_PR",PLabel,0)-1,1,1)/100</f>
        <v>3.58565737051793E-2</v>
      </c>
      <c r="AO400" s="1591"/>
      <c r="AP400" s="1591"/>
      <c r="AQ400" s="1591"/>
      <c r="AR400" s="1591"/>
      <c r="AS400" s="1890" t="s">
        <v>2026</v>
      </c>
      <c r="AT400" s="1890" t="s">
        <v>2027</v>
      </c>
      <c r="AU400" s="610" t="s">
        <v>2028</v>
      </c>
      <c r="AV400" s="1891" t="s">
        <v>2029</v>
      </c>
      <c r="AW400" s="1604" t="str">
        <f ca="1">"https://boersenundmaerkte.lukb.ch/lukb/details/"&amp;Valori[[#This Row],[LUKB_id]]</f>
        <v>https://boersenundmaerkte.lukb.ch/lukb/details/1442082,4,1</v>
      </c>
      <c r="AX400" s="1605" t="str">
        <f>"https://www.zonebourse.com/mods_a/charts/TV/inc_dyna_graph.php?c="&amp;Valori[[#This Row],[MS_Code]]&amp;"&amp;style=TradingView.CANDLES&amp;interval=(null)&amp;mobile=(null)&amp;showAT=1"</f>
        <v>https://www.zonebourse.com/mods_a/charts/TV/inc_dyna_graph.php?c=9427889&amp;style=TradingView.CANDLES&amp;interval=(null)&amp;mobile=(null)&amp;showAT=1</v>
      </c>
    </row>
  </sheetData>
  <dataConsolidate link="1"/>
  <phoneticPr fontId="14" type="noConversion"/>
  <conditionalFormatting sqref="V3:W400">
    <cfRule type="expression" dxfId="142" priority="60">
      <formula>$G3="Pct"</formula>
    </cfRule>
  </conditionalFormatting>
  <conditionalFormatting sqref="M3:N400">
    <cfRule type="expression" dxfId="141" priority="4">
      <formula>IFERROR(AND($AE3&gt;0,$AE3-TODAY()&lt;30),FALSE)</formula>
    </cfRule>
  </conditionalFormatting>
  <conditionalFormatting sqref="A3:A400">
    <cfRule type="duplicateValues" dxfId="140" priority="11683"/>
  </conditionalFormatting>
  <hyperlinks>
    <hyperlink ref="AV82" r:id="rId1" xr:uid="{653904D0-112C-493C-81C4-55C30BA112C2}"/>
    <hyperlink ref="AV147" r:id="rId2" xr:uid="{EEA944B1-127D-4AC6-8092-630C3ED28EFE}"/>
    <hyperlink ref="AV131" r:id="rId3" xr:uid="{F2416055-3E90-4B0C-8DAA-407D814545A1}"/>
    <hyperlink ref="AV248" r:id="rId4" xr:uid="{A85AC7A0-0A66-4A99-86DF-FB968F3FD43B}"/>
    <hyperlink ref="AV94" r:id="rId5" xr:uid="{0B198045-7DED-417E-A258-F020FE4327EB}"/>
    <hyperlink ref="AV103" r:id="rId6" xr:uid="{6C2111A7-317A-4732-A69E-D3FFAF8E730C}"/>
    <hyperlink ref="AV113" r:id="rId7" xr:uid="{952F0A58-5F93-419A-82CB-C6C2A3C70695}"/>
    <hyperlink ref="AV112" r:id="rId8" xr:uid="{5534463C-F595-4008-9B7D-065357F04B6D}"/>
    <hyperlink ref="AV231" r:id="rId9" xr:uid="{6CD63FA5-BF07-4194-BA9C-08956C603E40}"/>
    <hyperlink ref="AV230" r:id="rId10" xr:uid="{BC5B6646-DFA8-400C-A68F-05F075C5DC55}"/>
    <hyperlink ref="AV358" r:id="rId11" display="https://www.investing.com/equities/lindt---sp-ps" xr:uid="{749CCB98-D677-4A5C-BA8A-18517AA7CFB7}"/>
    <hyperlink ref="AV359" r:id="rId12" display="https://www.investing.com/equities/logitech" xr:uid="{02E8D7A5-B886-451A-BA97-FBECBFD5EEA3}"/>
    <hyperlink ref="AV398" r:id="rId13" xr:uid="{6CA04D1A-4C6D-4A48-87A2-69858368FDB3}"/>
    <hyperlink ref="AV279" r:id="rId14" xr:uid="{C21E3476-7097-44F8-908C-2BE9FFE97098}"/>
    <hyperlink ref="AV179" r:id="rId15" xr:uid="{93FFC82D-60DB-4FCE-AD70-CC895CAB8135}"/>
    <hyperlink ref="AV255" r:id="rId16" xr:uid="{91605C31-B620-4F7F-B1CD-4019A2393D05}"/>
    <hyperlink ref="AV243" r:id="rId17" xr:uid="{6F027ACB-8F16-4821-9AE3-B62BE2B73A58}"/>
    <hyperlink ref="AV378" r:id="rId18" display="https://markets.ft.com/data/equities/tearsheet/summary?s=SIKA:VTX" xr:uid="{64388F03-0575-4A6C-8DDB-4B620BA837A5}"/>
    <hyperlink ref="AV376" r:id="rId19" display="https://markets.ft.com/data/equities/tearsheet/summary?s=SCHP:VTX" xr:uid="{E5096FB4-7E69-4D33-A453-93906E3B9D7D}"/>
    <hyperlink ref="AV372" r:id="rId20" display="https://markets.ft.com/data/equities/tearsheet/summary?s=RDSA:AEX" xr:uid="{37642FA2-2C0D-4B61-96A5-99105C39F9B7}"/>
    <hyperlink ref="AV135" r:id="rId21" xr:uid="{EEB92C49-655F-4E31-885F-6C003A0EBEEA}"/>
    <hyperlink ref="AV271" r:id="rId22" location="OFST020000=LU0821169405" display="OFST020000=LU0821169405" xr:uid="{37CBA6C2-784D-4DCA-9A49-AD1ED90500AB}"/>
    <hyperlink ref="AV76" r:id="rId23" xr:uid="{781AE27F-15FE-4E6A-8DEB-7FDDEEDB2CFF}"/>
    <hyperlink ref="AV280" r:id="rId24" xr:uid="{27D64C2E-AD71-408C-8E3C-4705C6D718C6}"/>
    <hyperlink ref="AV371" r:id="rId25" display="https://www.marketscreener.com/quote/stock/RIO-TINTO-GROUP-6492854/company/" xr:uid="{45E7F724-879B-4B21-AF8F-0172DA612161}"/>
    <hyperlink ref="AV311" r:id="rId26" display="https://www.investing.com/equities/abb-ltd" xr:uid="{D5BE8AAE-50AD-427E-99AD-7019694AC4EA}"/>
    <hyperlink ref="AV382" r:id="rId27" display="https://www.investing.com/equities/swiss-re" xr:uid="{A9F5E578-643F-4FFB-A469-D2E0922E59B5}"/>
    <hyperlink ref="AV174" r:id="rId28" xr:uid="{472B0FD2-9A9B-49B0-B2C1-9C2B296FDDAE}"/>
    <hyperlink ref="AV332" r:id="rId29" display="https://www.marketscreener.com/quote/stock/COLGATE-PALMOLIVE-COMPANY-12089/?type_recherche=rapide&amp;mots=colgate" xr:uid="{E7F8D22B-7E35-47F6-A5D3-036DE387583A}"/>
    <hyperlink ref="AV287" r:id="rId30" xr:uid="{546ECF6C-B974-4B92-AEDA-40AEF46EB879}"/>
    <hyperlink ref="AV385" r:id="rId31" display="https://www.investing.com/equities/telefonica" xr:uid="{C3A94F87-3E51-4ACD-B2B2-82344A71B394}"/>
    <hyperlink ref="AV83" r:id="rId32" xr:uid="{22A8D59D-A9AA-487E-A3FB-BF753F316165}"/>
    <hyperlink ref="AV144" r:id="rId33" xr:uid="{FFD37129-24D2-4AD8-B624-CCA2623FD7BB}"/>
    <hyperlink ref="AV98" r:id="rId34" xr:uid="{BAF8E634-43FB-4320-8902-68F05CA36C23}"/>
    <hyperlink ref="AV342" r:id="rId35" display="https://www.marketscreener.com/quote/stock/ERICSSON-AB-6494918/" xr:uid="{D0561266-0C12-4C86-95C4-AFFBCBA95267}"/>
    <hyperlink ref="AV190" r:id="rId36" xr:uid="{390D883F-3E64-4299-9FC8-53EC57210164}"/>
    <hyperlink ref="AV337" r:id="rId37" display="https://www.investing.com/equities/emmi-ag" xr:uid="{E1C50F1C-0AFE-4874-ACA4-73B069CA03DD}"/>
    <hyperlink ref="AV118" r:id="rId38" xr:uid="{E9E0A2BD-E4BE-4A96-8B1F-10E9AE7DE388}"/>
    <hyperlink ref="AV352" r:id="rId39" display="https://online.capitalcube.com/stock/CH/SWF/HUBN/summary" xr:uid="{728260B4-736F-4A38-B90D-3F37E1E78E5A}"/>
    <hyperlink ref="AV117" r:id="rId40" xr:uid="{1A7ABCD3-E76D-4D7B-8A7F-62DE4B4E6523}"/>
    <hyperlink ref="AV192" r:id="rId41" xr:uid="{1873BD2F-7B51-4479-B41D-A2574881D3E1}"/>
    <hyperlink ref="AV229" r:id="rId42" xr:uid="{1BE79FED-935C-4FE8-B4EF-44C8296C147D}"/>
    <hyperlink ref="AV228" r:id="rId43" xr:uid="{5DC2A249-4757-40EA-9652-C8ECE1AFF896}"/>
    <hyperlink ref="AV168" r:id="rId44" xr:uid="{D4FB7E4C-E444-4610-9AA4-F80D898B3AC9}"/>
    <hyperlink ref="AV386" r:id="rId45" display="https://www.marketscreener.com/quote/stock/THE-KRAFT-HEINZ-COMPANY-22816979/" xr:uid="{AB48037A-F50C-4B37-AF3A-DDFE00C6D823}"/>
    <hyperlink ref="AV395" r:id="rId46" display="https://www.investing.com/equities/zurich-fin" xr:uid="{EA39086C-6B65-4DC6-B272-99CBA9E42709}"/>
    <hyperlink ref="AV236" r:id="rId47" xr:uid="{ABBE693E-CA5B-4100-95C5-783F5396F1AF}"/>
    <hyperlink ref="AV193" r:id="rId48" xr:uid="{720CF433-B99E-40B1-9FAE-69FFAAD701F1}"/>
    <hyperlink ref="AV196" r:id="rId49" display="https://www.ssga.com/ch/en_gb/intermediary/etfs/funds/spdr-sp-us-communication-services-select-sector-ucits-etf-acc-zpdk-gy" xr:uid="{4C3DDF7E-AA02-4D3E-B1F0-075DDE0B79DD}"/>
    <hyperlink ref="AV80" r:id="rId50" xr:uid="{309F7160-B520-422F-942D-826B9152759B}"/>
    <hyperlink ref="AV84" r:id="rId51" xr:uid="{E61D3A71-E984-45DD-A0D3-EB63718B0FC8}"/>
    <hyperlink ref="AV338" r:id="rId52" display="https://www.investing.com/equities/eni" xr:uid="{3CA03ECD-EEF5-42B3-A396-66B9B18A7D18}"/>
    <hyperlink ref="AS11" r:id="rId53" xr:uid="{855C9749-0178-4F1A-91B8-AB8F0506200E}"/>
    <hyperlink ref="AT107" r:id="rId54" xr:uid="{CD0650D5-CCE1-4719-AF47-D110FF221844}"/>
    <hyperlink ref="AV107" r:id="rId55" xr:uid="{3ED6905E-CC5D-411A-8EC7-B928A1113B66}"/>
    <hyperlink ref="AT184" r:id="rId56" xr:uid="{B2811FE4-28FA-44F8-8B91-F5A3DCF81F68}"/>
    <hyperlink ref="AS253" r:id="rId57" xr:uid="{E3750D02-A58D-421C-880F-D87368DBD15C}"/>
    <hyperlink ref="AV275" r:id="rId58" xr:uid="{28129750-79DC-4231-A0D9-C2A60C8A96E4}"/>
    <hyperlink ref="AV128" r:id="rId59" xr:uid="{89FC4972-79B1-4DDD-B6CF-D1AE51E7216A}"/>
    <hyperlink ref="AS128" r:id="rId60" xr:uid="{49E4CC1F-5987-4B5D-8F91-3D753AB65758}"/>
    <hyperlink ref="AT128" r:id="rId61" xr:uid="{71F7FDA3-6CBB-44F4-90FD-FF57058E6E82}"/>
    <hyperlink ref="AV109" r:id="rId62" xr:uid="{9629B855-89FE-46EA-8132-4451D3EE75E9}"/>
    <hyperlink ref="AS109" r:id="rId63" xr:uid="{DBED20C6-DC7D-4B1B-A572-75857CF86674}"/>
    <hyperlink ref="AS177" r:id="rId64" xr:uid="{DDAEB484-5492-4FA9-8C27-16200C250E57}"/>
    <hyperlink ref="AT177" r:id="rId65" xr:uid="{C915C0B7-4FEE-4087-9741-76CFAA53D98E}"/>
    <hyperlink ref="AV177" r:id="rId66" xr:uid="{C7669090-E1C1-49F2-8A41-EAB660B8FC87}"/>
    <hyperlink ref="AS178" r:id="rId67" xr:uid="{3A6C73D8-7EFD-4D0C-9D7E-DCCCDE49F3A5}"/>
    <hyperlink ref="AT178" r:id="rId68" xr:uid="{4C837DD9-93B0-4272-B150-B87A5A83C3D5}"/>
    <hyperlink ref="AV178" r:id="rId69" xr:uid="{DF39F9BB-FAB5-4BD8-8EE2-60BB53088168}"/>
    <hyperlink ref="AV111" r:id="rId70" xr:uid="{297D725C-1FB0-48A0-B98F-7738A9A94C01}"/>
    <hyperlink ref="AT111" r:id="rId71" xr:uid="{8CF620AD-EA56-412F-90B8-CDE9DE791C17}"/>
    <hyperlink ref="AV341" r:id="rId72" display="https://www.marketscreener.com/quote/stock/EQUINOR-ASA-1413290/company/" xr:uid="{02B9D669-E38D-4D06-B79E-C0FB66CCB115}"/>
    <hyperlink ref="AT341" r:id="rId73" xr:uid="{B1455B24-E98C-4B52-9667-3671143F9CA8}"/>
    <hyperlink ref="AS266" r:id="rId74" xr:uid="{7F583609-5EED-4BE6-8410-C3119C714497}"/>
    <hyperlink ref="AS112" r:id="rId75" xr:uid="{8B5B8028-C46B-40B9-97AB-44B51C678FFD}"/>
    <hyperlink ref="AS113" r:id="rId76" xr:uid="{529D27E2-2D42-4CDE-A80D-C7E9D3E48386}"/>
    <hyperlink ref="AS114" r:id="rId77" xr:uid="{842D4EAA-CFA7-499F-A1B4-5DA9B2DFEEFA}"/>
    <hyperlink ref="AS196" r:id="rId78" xr:uid="{219CA611-7314-485D-B5C5-721F6465D7DD}"/>
    <hyperlink ref="AV114" r:id="rId79" xr:uid="{26802AF8-A1F2-4A5D-A8CC-BB00B55CF5B7}"/>
    <hyperlink ref="AX5:AX217" r:id="rId80" display="https://www.marketscreener.com/mods_a/charts/TV/inc_dyna_graph.php?c=&quot;&amp;[@[MS_Code]]&amp;&quot;&amp;style=TradingView.CANDLES&amp;interval=(null)&amp;mobile=(null)&amp;showAT=1" xr:uid="{85AA2488-772E-424B-9702-55F7B61B927A}"/>
    <hyperlink ref="AS364" r:id="rId81" xr:uid="{CFC00241-D8CF-45DA-8312-452ED96F0762}"/>
    <hyperlink ref="AT364" r:id="rId82" xr:uid="{6C16382F-39B0-4699-AC30-F72A4C5C4D79}"/>
    <hyperlink ref="AX364" r:id="rId83" display="https://www.marketscreener.com/mods_a/charts/TV/inc_dyna_graph.php?c=&quot;&amp;[@[MS_Code]]&amp;&quot;&amp;style=TradingView.CANDLES&amp;interval=(null)&amp;mobile=(null)&amp;showAT=1" xr:uid="{653810A4-3B51-47B8-9F2A-F21E0DA542DE}"/>
    <hyperlink ref="AV364" r:id="rId84" display="https://www.marketscreener.com/quote/stock/NORSK-HYDRO-ASA-1413211/" xr:uid="{56270BEC-8A08-4001-9DEA-722AE58AFB84}"/>
    <hyperlink ref="AX195" r:id="rId85" display="https://www.marketscreener.com/mods_a/charts/TV/inc_dyna_graph.php?c=&quot;&amp;[@[MS_Code]]&amp;&quot;&amp;style=TradingView.CANDLES&amp;interval=(null)&amp;mobile=(null)&amp;showAT=1" xr:uid="{5B7C99B4-AC31-418A-BBCE-551DFB0DEDE2}"/>
    <hyperlink ref="AS195" r:id="rId86" xr:uid="{B5D3C9B0-3D22-4B98-A869-DDC120CFCB12}"/>
    <hyperlink ref="AT195" r:id="rId87" xr:uid="{0E3996E2-46EA-40B3-B610-0BC47FFBFC46}"/>
    <hyperlink ref="AV195" r:id="rId88" xr:uid="{2A700AE6-983F-4AA4-82CB-2D0929EE996E}"/>
    <hyperlink ref="AX214" r:id="rId89" display="https://www.marketscreener.com/mods_a/charts/TV/inc_dyna_graph.php?c=&quot;&amp;[@[MS_Code]]&amp;&quot;&amp;style=TradingView.CANDLES&amp;interval=(null)&amp;mobile=(null)&amp;showAT=1" xr:uid="{E566364D-E84E-4D59-9EA5-4715AFD78EBB}"/>
    <hyperlink ref="AT214" r:id="rId90" xr:uid="{0B6BA5FB-6842-4CD2-B82F-5C499F809D91}"/>
    <hyperlink ref="AV214" r:id="rId91" xr:uid="{C9D3F67A-7C2C-479A-B99F-323553D7CA6F}"/>
    <hyperlink ref="AX212" r:id="rId92" display="https://www.marketscreener.com/mods_a/charts/TV/inc_dyna_graph.php?c=&quot;&amp;[@[MS_Code]]&amp;&quot;&amp;style=TradingView.CANDLES&amp;interval=(null)&amp;mobile=(null)&amp;showAT=1" xr:uid="{8B6A9E47-8CA5-4BAA-92DF-DFC6AADC04A8}"/>
    <hyperlink ref="AV212" r:id="rId93" xr:uid="{1FC7AD3E-4C03-44CD-AE85-D59CF4D4E274}"/>
    <hyperlink ref="AX216" r:id="rId94" display="https://www.marketscreener.com/mods_a/charts/TV/inc_dyna_graph.php?c=&quot;&amp;[@[MS_Code]]&amp;&quot;&amp;style=TradingView.CANDLES&amp;interval=(null)&amp;mobile=(null)&amp;showAT=1" xr:uid="{F4BFE926-1BFD-4A62-8016-F0E9D18D327F}"/>
    <hyperlink ref="AV216" r:id="rId95" xr:uid="{D1B610F1-28FD-421E-93A3-C8FA0B46A736}"/>
    <hyperlink ref="AX209" r:id="rId96" display="https://www.marketscreener.com/mods_a/charts/TV/inc_dyna_graph.php?c=&quot;&amp;[@[MS_Code]]&amp;&quot;&amp;style=TradingView.CANDLES&amp;interval=(null)&amp;mobile=(null)&amp;showAT=1" xr:uid="{7A498DBD-598C-415E-94AD-418A9FA7794D}"/>
    <hyperlink ref="AX210" r:id="rId97" display="https://www.marketscreener.com/mods_a/charts/TV/inc_dyna_graph.php?c=&quot;&amp;[@[MS_Code]]&amp;&quot;&amp;style=TradingView.CANDLES&amp;interval=(null)&amp;mobile=(null)&amp;showAT=1" xr:uid="{7C25B36C-7638-4E4C-9D32-4897F97C45D2}"/>
    <hyperlink ref="AX215" r:id="rId98" display="https://www.marketscreener.com/mods_a/charts/TV/inc_dyna_graph.php?c=&quot;&amp;[@[MS_Code]]&amp;&quot;&amp;style=TradingView.CANDLES&amp;interval=(null)&amp;mobile=(null)&amp;showAT=1" xr:uid="{6DED59FC-35FC-4044-B34E-2FD644C51635}"/>
    <hyperlink ref="AX207" r:id="rId99" display="https://www.marketscreener.com/mods_a/charts/TV/inc_dyna_graph.php?c=&quot;&amp;[@[MS_Code]]&amp;&quot;&amp;style=TradingView.CANDLES&amp;interval=(null)&amp;mobile=(null)&amp;showAT=1" xr:uid="{6E66D9FB-11B7-4A3D-A6D0-AA5610EB2CC9}"/>
    <hyperlink ref="AX208" r:id="rId100" display="https://www.marketscreener.com/mods_a/charts/TV/inc_dyna_graph.php?c=&quot;&amp;[@[MS_Code]]&amp;&quot;&amp;style=TradingView.CANDLES&amp;interval=(null)&amp;mobile=(null)&amp;showAT=1" xr:uid="{F20D7615-D90D-447E-90B5-F430FBAA9FA0}"/>
    <hyperlink ref="AX217" r:id="rId101" display="https://www.marketscreener.com/mods_a/charts/TV/inc_dyna_graph.php?c=&quot;&amp;[@[MS_Code]]&amp;&quot;&amp;style=TradingView.CANDLES&amp;interval=(null)&amp;mobile=(null)&amp;showAT=1" xr:uid="{9140C098-ECCD-4D44-8DDA-5A187ABE031C}"/>
    <hyperlink ref="AX211" r:id="rId102" display="https://www.marketscreener.com/mods_a/charts/TV/inc_dyna_graph.php?c=&quot;&amp;[@[MS_Code]]&amp;&quot;&amp;style=TradingView.CANDLES&amp;interval=(null)&amp;mobile=(null)&amp;showAT=1" xr:uid="{169B4657-8A87-4447-8A2C-5EFE290406BE}"/>
    <hyperlink ref="AX213" r:id="rId103" display="https://www.marketscreener.com/mods_a/charts/TV/inc_dyna_graph.php?c=&quot;&amp;[@[MS_Code]]&amp;&quot;&amp;style=TradingView.CANDLES&amp;interval=(null)&amp;mobile=(null)&amp;showAT=1" xr:uid="{904184C7-140A-4414-8582-23866DBACC46}"/>
    <hyperlink ref="AT251" r:id="rId104" xr:uid="{3FC53171-7666-493C-94F6-A64DD7F679D8}"/>
    <hyperlink ref="AS251" r:id="rId105" xr:uid="{4CF5865D-2D58-4B24-8CB9-235CD4565FCD}"/>
    <hyperlink ref="AV234" r:id="rId106" xr:uid="{1144D0D6-753D-4755-AB4C-7D2F350079E3}"/>
    <hyperlink ref="AV232" r:id="rId107" xr:uid="{38BEA0C4-597A-45C8-9446-FA7FD93CB7BD}"/>
    <hyperlink ref="AX119" r:id="rId108" display="https://www.marketscreener.com/mods_a/charts/TV/inc_dyna_graph.php?c=&quot;&amp;[@[MS_Code]]&amp;&quot;&amp;style=TradingView.CANDLES&amp;interval=(null)&amp;mobile=(null)&amp;showAT=1" xr:uid="{AD5FE06F-58EF-4F42-BCB9-61F65C7DF049}"/>
    <hyperlink ref="AV119" r:id="rId109" xr:uid="{659FF897-0B0E-4E9C-957D-F2926E935FEE}"/>
    <hyperlink ref="AS270" r:id="rId110" xr:uid="{CCAD844C-E0A1-4431-A872-959E20246148}"/>
    <hyperlink ref="AV270" r:id="rId111" xr:uid="{60A4C58D-C5AE-4615-86C6-4F0732921C2B}"/>
    <hyperlink ref="AX257" r:id="rId112" display="https://www.marketscreener.com/mods_a/charts/TV/inc_dyna_graph.php?c=&quot;&amp;[@[MS_Code]]&amp;&quot;&amp;style=TradingView.CANDLES&amp;interval=(null)&amp;mobile=(null)&amp;showAT=1" xr:uid="{837C5FB8-0008-4FC0-BD68-2BA4DD3A544D}"/>
    <hyperlink ref="AV257" r:id="rId113" xr:uid="{DBF90F78-F8B1-42A4-9F80-A4F2AFB7AB1E}"/>
    <hyperlink ref="AS257" r:id="rId114" xr:uid="{49AE967D-1F9F-49CE-BC67-28494383DC93}"/>
    <hyperlink ref="AT257" r:id="rId115" xr:uid="{D913CC1A-E7ED-4DE6-A10D-278BA8F1BF5C}"/>
    <hyperlink ref="AV99" r:id="rId116" xr:uid="{ABD56434-69C0-4982-BF10-F2381B703BA4}"/>
    <hyperlink ref="AX99" r:id="rId117" display="https://www.marketscreener.com/mods_a/charts/TV/inc_dyna_graph.php?c=&quot;&amp;[@[MS_Code]]&amp;&quot;&amp;style=TradingView.CANDLES&amp;interval=(null)&amp;mobile=(null)&amp;showAT=1" xr:uid="{B21C8D2C-574C-4B45-9A3F-8BD41186994B}"/>
    <hyperlink ref="AX304" r:id="rId118" display="https://www.marketscreener.com/mods_a/charts/TV/inc_dyna_graph.php?c=&quot;&amp;[@[MS_Code]]&amp;&quot;&amp;style=TradingView.CANDLES&amp;interval=(null)&amp;mobile=(null)&amp;showAT=1" xr:uid="{2ACD3A1E-9EB9-4B86-A3A1-BCC2BEAFC619}"/>
    <hyperlink ref="AX296" r:id="rId119" display="https://www.marketscreener.com/mods_a/charts/TV/inc_dyna_graph.php?c=&quot;&amp;[@[MS_Code]]&amp;&quot;&amp;style=TradingView.CANDLES&amp;interval=(null)&amp;mobile=(null)&amp;showAT=1" xr:uid="{11038C16-3B84-47BE-8BE3-8205C946DB7D}"/>
    <hyperlink ref="AX46" r:id="rId120" display="https://www.marketscreener.com/mods_a/charts/TV/inc_dyna_graph.php?c=&quot;&amp;[@[MS_Code]]&amp;&quot;&amp;style=TradingView.CANDLES&amp;interval=(null)&amp;mobile=(null)&amp;showAT=1" xr:uid="{E2E6CBA6-245D-408D-BFF8-59620F5A2CD2}"/>
    <hyperlink ref="AX58" r:id="rId121" display="https://www.marketscreener.com/mods_a/charts/TV/inc_dyna_graph.php?c=&quot;&amp;[@[MS_Code]]&amp;&quot;&amp;style=TradingView.CANDLES&amp;interval=(null)&amp;mobile=(null)&amp;showAT=1" xr:uid="{89B6F6D9-E818-45EB-AC28-E8BCE467A2FF}"/>
    <hyperlink ref="AX40" r:id="rId122" display="https://www.marketscreener.com/mods_a/charts/TV/inc_dyna_graph.php?c=&quot;&amp;[@[MS_Code]]&amp;&quot;&amp;style=TradingView.CANDLES&amp;interval=(null)&amp;mobile=(null)&amp;showAT=1" xr:uid="{5219D280-8AF1-4E49-8902-0CA472DBF955}"/>
    <hyperlink ref="AX96" r:id="rId123" display="https://www.marketscreener.com/mods_a/charts/TV/inc_dyna_graph.php?c=&quot;&amp;[@[MS_Code]]&amp;&quot;&amp;style=TradingView.CANDLES&amp;interval=(null)&amp;mobile=(null)&amp;showAT=1" xr:uid="{A953FA9E-A9C9-4AFA-AEB0-C57FAA8DC6CA}"/>
    <hyperlink ref="AS96" r:id="rId124" xr:uid="{FB49D4D5-F037-4095-97B0-00E2D5B601CA}"/>
    <hyperlink ref="AT96" r:id="rId125" xr:uid="{C658229F-22E6-4503-99D3-D238791E2C73}"/>
    <hyperlink ref="AV96" r:id="rId126" xr:uid="{4BAB4A42-F4AC-4C84-B570-7E61DA4780DC}"/>
    <hyperlink ref="AT126" r:id="rId127" xr:uid="{CC7ED7A7-8661-437D-94A8-A9BE5588D229}"/>
    <hyperlink ref="AS349" r:id="rId128" xr:uid="{328A39CD-7274-4B4F-B90B-57B504C9EF11}"/>
    <hyperlink ref="AV349" r:id="rId129" display="https://www.investing.com/equities/helvetia-hldg" xr:uid="{6D920A09-9083-4DED-9269-6F647E642DBC}"/>
    <hyperlink ref="AS314" r:id="rId130" xr:uid="{4E965C91-9BE0-43C6-943F-E62F426D66BD}"/>
    <hyperlink ref="AT314" r:id="rId131" xr:uid="{1A303604-8243-4005-BEE6-46EFA13D4564}"/>
    <hyperlink ref="AV314" r:id="rId132" display="https://www.marketscreener.com/quote/stock/AIR-LIQUIDE-4605/company/" xr:uid="{4B04AF74-934D-44CE-8C85-9C192FAE0E9A}"/>
    <hyperlink ref="AS322" r:id="rId133" xr:uid="{5F0B5336-2C52-4DAE-80F5-373524681AD7}"/>
    <hyperlink ref="AT322" r:id="rId134" xr:uid="{794746DF-47C1-4A5F-834E-59D3C0C5BCC0}"/>
    <hyperlink ref="AV322" r:id="rId135" display="https://www.marketscreener.com/quote/stock/BE-SEMICONDUCTOR-INDUSTRI-6318/company/" xr:uid="{A3F64DB7-2BB4-4F29-9F64-039F1A9485D0}"/>
    <hyperlink ref="AS355" r:id="rId136" xr:uid="{CF514E18-26C3-422F-9B08-DE17A5CA04AA}"/>
    <hyperlink ref="AT355" r:id="rId137" xr:uid="{6A011A49-AF68-45CE-B171-FD6ECC4FD9B9}"/>
    <hyperlink ref="AV355" r:id="rId138" display="https://www.marketscreener.com/quote/stock/INDITEX-16943135/company/" xr:uid="{5BB1B1C4-9EA8-41AF-AD5F-6A4F05DAC5CF}"/>
    <hyperlink ref="AS377" r:id="rId139" xr:uid="{D3EB7453-E552-40FF-BF67-671F2B5C1529}"/>
    <hyperlink ref="AT377" r:id="rId140" xr:uid="{CA04CE1B-45BF-4ECF-942C-BCE718CA8E6B}"/>
    <hyperlink ref="AV377" r:id="rId141" display="https://www.marketscreener.com/quote/stock/SCHNEIDER-ELECTRIC-SE-4699/company/" xr:uid="{6D248A70-421A-4F3B-BA66-40897DCD88C8}"/>
    <hyperlink ref="AV189" r:id="rId142" xr:uid="{E8398FD8-DE13-4D98-8C68-8856D6D53824}"/>
    <hyperlink ref="AX305" r:id="rId143" display="https://www.marketscreener.com/mods_a/charts/TV/inc_dyna_graph.php?c=&quot;&amp;[@[MS_Code]]&amp;&quot;&amp;style=TradingView.CANDLES&amp;interval=(null)&amp;mobile=(null)&amp;showAT=1" xr:uid="{06A51BA5-8E5F-4B01-80B6-D32FC5C5BFB9}"/>
    <hyperlink ref="AS312" r:id="rId144" xr:uid="{E5678F4F-E2C9-4918-8E58-CC9AEB688E5C}"/>
    <hyperlink ref="AT312" r:id="rId145" xr:uid="{DF589784-9241-41EE-AF91-6F9089D0ED78}"/>
    <hyperlink ref="AS319" r:id="rId146" xr:uid="{2BD28E5E-13DF-4B77-8622-F3C7C50FA27F}"/>
    <hyperlink ref="AT319" r:id="rId147" xr:uid="{B99080BC-6D35-4270-812A-E3CB43042AB3}"/>
    <hyperlink ref="AT392" r:id="rId148" xr:uid="{CDBA9840-9D0B-4429-9E0A-3633FA12D94E}"/>
    <hyperlink ref="AS392" r:id="rId149" xr:uid="{46BA635C-CA63-429D-8FFD-FA73865C45E4}"/>
    <hyperlink ref="AV316" r:id="rId150" xr:uid="{10F435E3-FD39-48CD-9FE5-80B11575593D}"/>
    <hyperlink ref="AS316" r:id="rId151" xr:uid="{34C2D44A-3157-426B-8286-D67A4A221DAE}"/>
    <hyperlink ref="AV309" r:id="rId152" xr:uid="{5A08CABA-4DCD-4D11-A599-C40FF9982F2A}"/>
    <hyperlink ref="AV186" r:id="rId153" xr:uid="{6940270D-17E9-46A9-8477-BC7678505E87}"/>
    <hyperlink ref="AV187" r:id="rId154" xr:uid="{3B96D6DE-C94C-483A-B70F-2D8BA7327B6C}"/>
    <hyperlink ref="AV188" r:id="rId155" xr:uid="{770E9371-7BBB-438D-8577-769662DB2361}"/>
    <hyperlink ref="AV191" r:id="rId156" xr:uid="{A67F46A4-7C58-495F-BA3C-7E87A8CE1194}"/>
    <hyperlink ref="AV194" r:id="rId157" xr:uid="{30E4A26E-7FE2-49D3-94A1-7241D23B0250}"/>
    <hyperlink ref="AV197" r:id="rId158" xr:uid="{EDCDC3CD-B12B-49C2-9C08-8AB13248435F}"/>
    <hyperlink ref="AV198" r:id="rId159" xr:uid="{B1A95991-8440-4CD2-A076-8AC1F2F1C246}"/>
    <hyperlink ref="AV199" r:id="rId160" xr:uid="{46E43AC9-13AE-498C-B065-953D9DD21FF1}"/>
    <hyperlink ref="AV200" r:id="rId161" xr:uid="{18FAD32E-F1C7-4918-9B7D-9C0C6D122ED2}"/>
    <hyperlink ref="AV201" r:id="rId162" xr:uid="{C68932DF-0147-4A4C-9956-A76DC78C8A59}"/>
    <hyperlink ref="AV202" r:id="rId163" xr:uid="{C85CB673-2B8C-45B0-908B-FCB33A7379BF}"/>
    <hyperlink ref="AV203" r:id="rId164" xr:uid="{3EA8F6C4-545E-40E1-82EE-E794EC97569E}"/>
    <hyperlink ref="AV205" r:id="rId165" xr:uid="{891820A2-953A-4F3C-9E23-A31C22D83023}"/>
    <hyperlink ref="AV206" r:id="rId166" xr:uid="{B4618251-B2A6-4C4F-8DE0-227406FC8E6D}"/>
    <hyperlink ref="AT213" r:id="rId167" xr:uid="{023CB33A-C485-4E7F-8C4B-B124E1D46550}"/>
    <hyperlink ref="AT211" r:id="rId168" xr:uid="{930B3CF6-FA5E-492E-86E1-DB3716762D17}"/>
    <hyperlink ref="AT208" r:id="rId169" xr:uid="{61556941-CF5F-40C1-8BC1-D33558979B6A}"/>
    <hyperlink ref="AT209" r:id="rId170" xr:uid="{C9789D83-584E-432C-B2AD-FBDEA61E61F8}"/>
    <hyperlink ref="AT207" r:id="rId171" xr:uid="{CDEBC6CC-A3B7-4A12-B19B-6C8297FE0E16}"/>
    <hyperlink ref="AT210" r:id="rId172" xr:uid="{7B3B7866-EDA7-4D23-B97D-1CF2309033DD}"/>
    <hyperlink ref="AT212" r:id="rId173" xr:uid="{30941FAC-855E-4C28-98EE-DFFC1E1E86CB}"/>
    <hyperlink ref="AT217" r:id="rId174" xr:uid="{A88EF081-D401-40FA-9274-EC9C62D085D1}"/>
    <hyperlink ref="AT216" r:id="rId175" xr:uid="{3FC7DCEE-B886-4D27-B748-AA8428B738BB}"/>
    <hyperlink ref="AT206" r:id="rId176" xr:uid="{A39BA5CC-E54C-4082-AF5A-FCAA2B2305D9}"/>
    <hyperlink ref="AT202" r:id="rId177" xr:uid="{BDA1B90B-50DC-47C1-9BCE-FBDF1C45E524}"/>
    <hyperlink ref="AT200" r:id="rId178" xr:uid="{87697479-536C-4400-BEBD-070245204C43}"/>
    <hyperlink ref="AT197" r:id="rId179" xr:uid="{40DBC615-C5BB-443D-9CD7-54A17665CC20}"/>
    <hyperlink ref="AT198" r:id="rId180" xr:uid="{C7C5EDB1-DEE9-4EEC-ACDC-5C02A62B92C8}"/>
    <hyperlink ref="AT196" r:id="rId181" xr:uid="{90F54FA8-1B76-45AF-85D6-4D47D72C6389}"/>
    <hyperlink ref="AT199" r:id="rId182" xr:uid="{F4C073F0-C236-45DF-BCF9-A16D682D6CD6}"/>
    <hyperlink ref="AT201" r:id="rId183" xr:uid="{27E54C58-A4EB-4D60-8C23-6032F33E31CF}"/>
    <hyperlink ref="AT203" r:id="rId184" xr:uid="{00139621-1221-49F2-A5D8-6368E403EED0}"/>
    <hyperlink ref="AT205" r:id="rId185" xr:uid="{219F8F5C-2CE9-4D6C-BBDB-2221600A7674}"/>
    <hyperlink ref="AT194" r:id="rId186" xr:uid="{6267F4E9-55DD-4422-971C-CD293C193684}"/>
    <hyperlink ref="AS309" r:id="rId187" xr:uid="{C8AA2314-1AA9-4E8C-967B-0E12334211B4}"/>
    <hyperlink ref="AS186" r:id="rId188" xr:uid="{5F50AD6C-89A7-4E45-8B1B-FE3D759AA2A8}"/>
    <hyperlink ref="AS187" r:id="rId189" xr:uid="{D411F5C6-CB02-4C96-A3B0-069B0FDE9DA8}"/>
    <hyperlink ref="AS188" r:id="rId190" xr:uid="{829D429B-FD2D-4AC2-8CA0-9E83E4D3BA78}"/>
    <hyperlink ref="AS189" r:id="rId191" xr:uid="{7B494BC0-A2AB-4594-968B-BEB2ABB95922}"/>
    <hyperlink ref="AS191" r:id="rId192" xr:uid="{6E9A03DE-E50C-46F5-A01C-2028EAC8E14A}"/>
    <hyperlink ref="AS190" r:id="rId193" xr:uid="{54C7784A-0255-45C6-9ED9-EBCB0F3D5314}"/>
    <hyperlink ref="AT190" r:id="rId194" xr:uid="{2F1DE360-82E1-4303-8805-8990B6F3393B}"/>
    <hyperlink ref="AS192" r:id="rId195" xr:uid="{7B1F1ED1-B0CD-4A8E-BE22-79EFCDA5A463}"/>
    <hyperlink ref="AS193" r:id="rId196" xr:uid="{6F5E5842-3A4D-4478-B3A5-F06D97142881}"/>
    <hyperlink ref="AS194" r:id="rId197" xr:uid="{54F6F469-CED8-457C-9A1C-F4817A7DE9E1}"/>
    <hyperlink ref="AT309" r:id="rId198" xr:uid="{0C30CE0D-7788-4A2C-A56E-C9A5C2066C72}"/>
    <hyperlink ref="AT186" r:id="rId199" xr:uid="{1E103993-E94E-4B35-BF8B-2189D40C2BF0}"/>
    <hyperlink ref="AT187" r:id="rId200" xr:uid="{0033E6AC-6C7A-41C7-AABB-396261433E8C}"/>
    <hyperlink ref="AT188" r:id="rId201" xr:uid="{FC7CA63D-D114-4E90-BE57-ACC6E68FD8B7}"/>
    <hyperlink ref="AT189" r:id="rId202" xr:uid="{65718CC4-5F22-470D-9701-C2B3EF47EA03}"/>
    <hyperlink ref="AT191" r:id="rId203" xr:uid="{EC53A132-670D-45AF-9A1D-63D4EAE179D7}"/>
    <hyperlink ref="AT192" r:id="rId204" xr:uid="{13C832DF-EA75-4C67-8725-9BF52421FA52}"/>
    <hyperlink ref="AT193" r:id="rId205" xr:uid="{DC874F2F-AE35-4FA8-B993-D4E7384C5A47}"/>
    <hyperlink ref="AS197" r:id="rId206" xr:uid="{52852AC4-74FE-41D5-B71E-C0B4807CB42F}"/>
    <hyperlink ref="AS198" r:id="rId207" xr:uid="{CCEC9B62-060E-4A98-B4C7-4A22B775C456}"/>
    <hyperlink ref="AS199" r:id="rId208" xr:uid="{32B7F9AC-D0E2-4A1C-B247-F339E670178C}"/>
    <hyperlink ref="AS200" r:id="rId209" xr:uid="{04E4B437-12BB-4570-972F-801E2DEFDF8F}"/>
    <hyperlink ref="AS201" r:id="rId210" xr:uid="{40B7C5A9-EF4F-42D5-97D7-32EEDDA4B381}"/>
    <hyperlink ref="AS202" r:id="rId211" xr:uid="{7BD4CB87-C061-486C-851A-BAA6A808A5D0}"/>
    <hyperlink ref="AS203" r:id="rId212" xr:uid="{F518BAAF-BCF5-4C28-8BEF-484645C43E86}"/>
    <hyperlink ref="AS205" r:id="rId213" xr:uid="{381D8C26-BFE6-4CCA-9382-5CB4916A9D60}"/>
    <hyperlink ref="AS206" r:id="rId214" xr:uid="{9C7D6BB9-0F13-4608-940C-E39372268E06}"/>
    <hyperlink ref="AT144" r:id="rId215" xr:uid="{32531F0B-BE59-4459-9C32-72678F054331}"/>
    <hyperlink ref="AS144" r:id="rId216" xr:uid="{A9F23731-DEE3-40B7-9794-039EE330F376}"/>
    <hyperlink ref="AT324" r:id="rId217" xr:uid="{9AA48047-67C3-4F70-BAB9-0EDAFCBD0C3B}"/>
    <hyperlink ref="AT336" r:id="rId218" xr:uid="{50904FD3-018E-4AB5-875F-B09B00C1E471}"/>
    <hyperlink ref="AT339" r:id="rId219" xr:uid="{65584A54-8529-4F9F-9EFC-13AEF5296F8B}"/>
    <hyperlink ref="AT340" r:id="rId220" xr:uid="{3C166508-0BA6-415C-B544-024014500B80}"/>
    <hyperlink ref="AT345" r:id="rId221" xr:uid="{0D66FBBA-A81D-4DE3-95A7-9F33101F9BCC}"/>
    <hyperlink ref="AT349" r:id="rId222" xr:uid="{1C4744A7-F02C-4707-9E9F-63D44EB9009C}"/>
    <hyperlink ref="AT357" r:id="rId223" xr:uid="{F130EB15-C631-46B0-8053-2DB9EE5E1BCA}"/>
    <hyperlink ref="AT360" r:id="rId224" xr:uid="{8AEDC646-F010-4468-B820-0B33C57C07A7}"/>
    <hyperlink ref="AT389" r:id="rId225" xr:uid="{375F752A-6CCE-46DE-99A2-1F37787FC48C}"/>
    <hyperlink ref="AT302" r:id="rId226" xr:uid="{6201B88A-906F-454E-9D6D-5738F1E19D8D}"/>
    <hyperlink ref="AV276" r:id="rId227" xr:uid="{50D79444-A32D-4B30-A875-EA883A7D64D1}"/>
    <hyperlink ref="AT380" r:id="rId228" xr:uid="{D63483DC-66B7-4640-B2FA-68F1479E0B20}"/>
    <hyperlink ref="AX45" r:id="rId229" display="https://www.marketscreener.com/mods_a/charts/TV/inc_dyna_graph.php?c=&quot;&amp;[@[MS_Code]]&amp;&quot;&amp;style=TradingView.CANDLES&amp;interval=(null)&amp;mobile=(null)&amp;showAT=1" xr:uid="{B75DFE13-F368-4189-9C0C-CA33B2B16CB0}"/>
    <hyperlink ref="AX27" r:id="rId230" display="https://www.marketscreener.com/mods_a/charts/TV/inc_dyna_graph.php?c=&quot;&amp;[@[MS_Code]]&amp;&quot;&amp;style=TradingView.CANDLES&amp;interval=(null)&amp;mobile=(null)&amp;showAT=1" xr:uid="{64810A7B-C061-4602-AAE1-474109D460FE}"/>
    <hyperlink ref="AW4" r:id="rId231" display="https://boersenundmaerkte.lukb.ch/lukb/details/&quot;&amp;[@[LUKB_id]]" xr:uid="{8A91013D-5C7D-4F0A-AB32-347F5570E429}"/>
    <hyperlink ref="AW5:AW290" r:id="rId232" display="https://boersenundmaerkte.lukb.ch/lukb/details/&quot;&amp;[@[LUKB_id]]" xr:uid="{34A6A650-22A0-4A76-827A-11D34A9A7ACF}"/>
    <hyperlink ref="AS320" r:id="rId233" xr:uid="{7E0F5B94-50DD-4169-9885-9BB85159EFFC}"/>
    <hyperlink ref="AS124" r:id="rId234" xr:uid="{18ACE709-38DB-442F-AFA0-BDA20BC1AE60}"/>
    <hyperlink ref="AT124" r:id="rId235" xr:uid="{6005D505-BF47-4BF2-ADD1-7B07E3E6AF7B}"/>
    <hyperlink ref="AV124" r:id="rId236" xr:uid="{973EF803-43A9-4DD7-9836-353956140078}"/>
    <hyperlink ref="AT135" r:id="rId237" xr:uid="{D520B6F8-1233-4846-AE3D-05D3B6A3651A}"/>
    <hyperlink ref="AT110" r:id="rId238" xr:uid="{EEFE7886-E81A-48FF-A380-E3CD3ED0DCC9}"/>
    <hyperlink ref="AV110" r:id="rId239" xr:uid="{CAAFD677-B4CF-41F6-9D16-EEA60AA295FF}"/>
    <hyperlink ref="AS110" r:id="rId240" xr:uid="{CC4151B6-5760-4601-9A26-B80995D85D54}"/>
    <hyperlink ref="AS91" r:id="rId241" xr:uid="{B0B34F9A-9772-455C-B86A-B34645F391F5}"/>
    <hyperlink ref="AV384" r:id="rId242" xr:uid="{27FDCF06-B977-43BB-8152-FF66CF58312A}"/>
    <hyperlink ref="AT384" r:id="rId243" xr:uid="{5EBA22AB-72CE-4FC1-8E56-639570D1D2C1}"/>
    <hyperlink ref="AS384" r:id="rId244" xr:uid="{33B9CF80-A12B-40EB-BA24-113478D1BE76}"/>
    <hyperlink ref="AX204" r:id="rId245" display="https://www.marketscreener.com/mods_a/charts/TV/inc_dyna_graph.php?c=&quot;&amp;[@[MS_Code]]&amp;&quot;&amp;style=TradingView.CANDLES&amp;interval=(null)&amp;mobile=(null)&amp;showAT=1" xr:uid="{012AEBD2-C711-477D-874C-B98FA5B859EB}"/>
    <hyperlink ref="AV204" r:id="rId246" xr:uid="{3687CDE6-AE8F-453D-985D-7D94A170AFF0}"/>
    <hyperlink ref="AT204" r:id="rId247" xr:uid="{FF19970A-5E74-4D9B-8851-42D7CED79D15}"/>
    <hyperlink ref="AS204" r:id="rId248" xr:uid="{F6DFCF76-8C66-4E0A-BFF3-2C1171D0BAD2}"/>
    <hyperlink ref="AW204" r:id="rId249" display="https://boersenundmaerkte.lukb.ch/lukb/details/&quot;&amp;[@[LUKB_id]]" xr:uid="{33E19199-D805-4680-A9FE-38D8F3E76EE3}"/>
    <hyperlink ref="AV237" r:id="rId250" xr:uid="{AB00E23A-52CF-46D2-BDD5-7E212C73A559}"/>
  </hyperlinks>
  <pageMargins left="0.7" right="0.7" top="0.75" bottom="0.75" header="0.3" footer="0.3"/>
  <pageSetup paperSize="9" orientation="portrait" r:id="rId251"/>
  <drawing r:id="rId252"/>
  <legacyDrawing r:id="rId253"/>
  <tableParts count="1">
    <tablePart r:id="rId254"/>
  </tableParts>
  <extLst>
    <ext xmlns:x15="http://schemas.microsoft.com/office/spreadsheetml/2010/11/main" uri="{3A4CF648-6AED-40f4-86FF-DC5316D8AED3}">
      <x14:slicerList xmlns:x14="http://schemas.microsoft.com/office/spreadsheetml/2009/9/main">
        <x14:slicer r:id="rId25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B23B3-05EE-4B2D-B21D-6ECD6231C962}">
  <sheetPr codeName="Posizioni">
    <tabColor theme="7" tint="0.79998168889431442"/>
  </sheetPr>
  <dimension ref="A1:CY401"/>
  <sheetViews>
    <sheetView tabSelected="1" topLeftCell="A3" workbookViewId="0">
      <selection activeCell="A3" sqref="A3:AG401"/>
    </sheetView>
  </sheetViews>
  <sheetFormatPr defaultColWidth="8.85546875" defaultRowHeight="12" outlineLevelRow="1" outlineLevelCol="1" x14ac:dyDescent="0.2"/>
  <cols>
    <col min="1" max="1" width="19.42578125" style="747" customWidth="1"/>
    <col min="2" max="2" width="16.42578125" style="747" bestFit="1" customWidth="1"/>
    <col min="3" max="3" width="13.28515625" style="747" customWidth="1"/>
    <col min="4" max="4" width="6.140625" style="747" customWidth="1"/>
    <col min="5" max="5" width="5.140625" style="747" customWidth="1"/>
    <col min="6" max="6" width="5.42578125" style="747" customWidth="1"/>
    <col min="7" max="7" width="80.85546875" style="747" bestFit="1" customWidth="1"/>
    <col min="8" max="8" width="8.85546875" style="747" hidden="1" customWidth="1" outlineLevel="1"/>
    <col min="9" max="9" width="5.85546875" style="747" hidden="1" customWidth="1" outlineLevel="1"/>
    <col min="10" max="10" width="59.42578125" style="747" hidden="1" customWidth="1" outlineLevel="1"/>
    <col min="11" max="11" width="10.42578125" style="1627" customWidth="1" collapsed="1"/>
    <col min="12" max="12" width="5.85546875" style="747" customWidth="1"/>
    <col min="13" max="13" width="12.42578125" style="747" bestFit="1" customWidth="1"/>
    <col min="14" max="15" width="8.42578125" style="747" bestFit="1" customWidth="1"/>
    <col min="16" max="16" width="13" style="747" bestFit="1" customWidth="1"/>
    <col min="17" max="17" width="14.85546875" style="747" bestFit="1" customWidth="1"/>
    <col min="18" max="18" width="10.140625" style="747" bestFit="1" customWidth="1"/>
    <col min="19" max="19" width="8.28515625" style="747" customWidth="1"/>
    <col min="20" max="20" width="9.85546875" style="1628" customWidth="1"/>
    <col min="21" max="21" width="13.85546875" style="747" bestFit="1" customWidth="1"/>
    <col min="22" max="22" width="14.7109375" style="747" bestFit="1" customWidth="1"/>
    <col min="23" max="23" width="14.140625" style="747" bestFit="1" customWidth="1"/>
    <col min="24" max="24" width="18.140625" style="747" bestFit="1" customWidth="1"/>
    <col min="25" max="25" width="9.140625" style="747"/>
    <col min="26" max="26" width="8.85546875" style="747" bestFit="1" customWidth="1"/>
    <col min="27" max="27" width="13.7109375" style="747" bestFit="1" customWidth="1"/>
    <col min="28" max="28" width="11.140625" style="747" bestFit="1" customWidth="1"/>
    <col min="29" max="29" width="18.140625" style="747" bestFit="1" customWidth="1"/>
    <col min="30" max="30" width="11.140625" style="747" bestFit="1" customWidth="1"/>
    <col min="31" max="31" width="18.7109375" style="747" bestFit="1" customWidth="1"/>
    <col min="32" max="32" width="13.7109375" style="747" bestFit="1" customWidth="1"/>
    <col min="33" max="33" width="12" style="747" bestFit="1" customWidth="1"/>
    <col min="34" max="34" width="9.5703125" style="747" bestFit="1" customWidth="1"/>
    <col min="35" max="35" width="16.85546875" style="747" bestFit="1" customWidth="1"/>
    <col min="36" max="16384" width="8.85546875" style="747"/>
  </cols>
  <sheetData>
    <row r="1" spans="1:33" hidden="1" outlineLevel="1" x14ac:dyDescent="0.2">
      <c r="A1" s="1623" t="s">
        <v>2030</v>
      </c>
      <c r="B1" s="1623"/>
      <c r="C1" s="1624" t="s">
        <v>2031</v>
      </c>
      <c r="D1" s="1624" t="s">
        <v>2032</v>
      </c>
      <c r="E1" s="1624" t="s">
        <v>2033</v>
      </c>
      <c r="F1" s="1624" t="s">
        <v>2034</v>
      </c>
      <c r="G1" s="1624" t="s">
        <v>2035</v>
      </c>
      <c r="H1" s="1624" t="s">
        <v>2036</v>
      </c>
      <c r="I1" s="1624" t="s">
        <v>2037</v>
      </c>
      <c r="J1" s="1624" t="s">
        <v>2038</v>
      </c>
      <c r="K1" s="1625" t="s">
        <v>2039</v>
      </c>
      <c r="L1" s="1624" t="s">
        <v>2040</v>
      </c>
      <c r="M1" s="1624" t="s">
        <v>2041</v>
      </c>
      <c r="N1" s="1624" t="s">
        <v>2042</v>
      </c>
      <c r="O1" s="1624" t="s">
        <v>2043</v>
      </c>
      <c r="P1" s="1624" t="s">
        <v>2044</v>
      </c>
      <c r="Q1" s="1624" t="s">
        <v>2045</v>
      </c>
      <c r="R1" s="1624" t="s">
        <v>2046</v>
      </c>
      <c r="S1" s="1624" t="s">
        <v>2047</v>
      </c>
      <c r="T1" s="1626" t="s">
        <v>2048</v>
      </c>
      <c r="U1" s="1624" t="s">
        <v>2049</v>
      </c>
      <c r="V1" s="1624" t="s">
        <v>2050</v>
      </c>
      <c r="W1" s="1624" t="s">
        <v>2051</v>
      </c>
      <c r="X1" s="1624" t="s">
        <v>2052</v>
      </c>
      <c r="Y1" s="1624" t="s">
        <v>2053</v>
      </c>
      <c r="Z1" s="1624" t="s">
        <v>2054</v>
      </c>
      <c r="AA1" s="1624" t="s">
        <v>2055</v>
      </c>
      <c r="AB1" s="1624" t="s">
        <v>2056</v>
      </c>
      <c r="AC1" s="1624" t="s">
        <v>2057</v>
      </c>
      <c r="AD1" s="1624" t="s">
        <v>2058</v>
      </c>
      <c r="AE1" s="1624" t="s">
        <v>2059</v>
      </c>
      <c r="AF1" s="1624" t="s">
        <v>2060</v>
      </c>
      <c r="AG1" s="835"/>
    </row>
    <row r="2" spans="1:33" hidden="1" outlineLevel="1" x14ac:dyDescent="0.2"/>
    <row r="3" spans="1:33" collapsed="1" x14ac:dyDescent="0.2">
      <c r="A3" s="747" t="s">
        <v>678</v>
      </c>
      <c r="B3" s="747" t="s">
        <v>908</v>
      </c>
      <c r="C3" s="747" t="s">
        <v>679</v>
      </c>
      <c r="D3" s="747" t="s">
        <v>2061</v>
      </c>
      <c r="E3" s="747" t="s">
        <v>2062</v>
      </c>
      <c r="F3" s="747" t="s">
        <v>2063</v>
      </c>
      <c r="G3" s="747" t="s">
        <v>2064</v>
      </c>
      <c r="H3" s="1629" t="s">
        <v>2065</v>
      </c>
      <c r="I3" s="747" t="s">
        <v>2066</v>
      </c>
      <c r="J3" s="747" t="s">
        <v>2067</v>
      </c>
      <c r="K3" s="1627" t="s">
        <v>2068</v>
      </c>
      <c r="L3" s="747" t="s">
        <v>2069</v>
      </c>
      <c r="M3" s="747" t="s">
        <v>2070</v>
      </c>
      <c r="N3" s="747" t="s">
        <v>2071</v>
      </c>
      <c r="O3" s="747" t="s">
        <v>2072</v>
      </c>
      <c r="P3" s="747" t="s">
        <v>2073</v>
      </c>
      <c r="Q3" s="747" t="s">
        <v>2074</v>
      </c>
      <c r="R3" s="747" t="s">
        <v>2075</v>
      </c>
      <c r="S3" s="747" t="s">
        <v>2076</v>
      </c>
      <c r="T3" s="1628" t="s">
        <v>2077</v>
      </c>
      <c r="U3" s="747" t="s">
        <v>2078</v>
      </c>
      <c r="V3" s="747" t="s">
        <v>2079</v>
      </c>
      <c r="W3" s="747" t="s">
        <v>2080</v>
      </c>
      <c r="X3" s="747" t="s">
        <v>2081</v>
      </c>
      <c r="Y3" s="747" t="s">
        <v>2082</v>
      </c>
      <c r="Z3" s="747" t="s">
        <v>2083</v>
      </c>
      <c r="AA3" s="747" t="s">
        <v>2084</v>
      </c>
      <c r="AB3" s="747" t="s">
        <v>2085</v>
      </c>
      <c r="AC3" s="747" t="s">
        <v>2086</v>
      </c>
      <c r="AD3" s="747" t="s">
        <v>2087</v>
      </c>
      <c r="AE3" s="747" t="s">
        <v>2088</v>
      </c>
      <c r="AF3" s="747" t="s">
        <v>2089</v>
      </c>
      <c r="AG3" s="747" t="s">
        <v>2090</v>
      </c>
    </row>
    <row r="4" spans="1:33" x14ac:dyDescent="0.2">
      <c r="A4" s="747" t="s">
        <v>937</v>
      </c>
      <c r="B4" s="747" t="s">
        <v>938</v>
      </c>
      <c r="C4" s="747" t="s">
        <v>2091</v>
      </c>
      <c r="D4" s="747" t="s">
        <v>2092</v>
      </c>
      <c r="F4" s="747" t="s">
        <v>381</v>
      </c>
      <c r="G4" s="747" t="s">
        <v>2093</v>
      </c>
      <c r="H4" s="1840" t="s">
        <v>2094</v>
      </c>
      <c r="L4" s="1630"/>
      <c r="N4" s="747">
        <v>0.60570000000000002</v>
      </c>
      <c r="O4" s="747">
        <v>0.60650000000000004</v>
      </c>
      <c r="Q4" s="1631">
        <v>46084.796307870369</v>
      </c>
      <c r="R4" s="747">
        <v>0.60610000000000008</v>
      </c>
      <c r="T4" s="1628">
        <v>-0.255081</v>
      </c>
      <c r="U4" s="747">
        <v>3.1138639063295397</v>
      </c>
      <c r="V4" s="747">
        <v>6.7832352165890448</v>
      </c>
      <c r="W4" s="747">
        <v>6.6795739999999997</v>
      </c>
      <c r="X4" s="747" t="s">
        <v>2093</v>
      </c>
      <c r="AA4" s="1631"/>
      <c r="AC4" s="1627"/>
      <c r="AD4" s="747">
        <v>1</v>
      </c>
      <c r="AG4" s="1628">
        <v>8.8013642114530266E-4</v>
      </c>
    </row>
    <row r="5" spans="1:33" x14ac:dyDescent="0.2">
      <c r="A5" s="747" t="s">
        <v>1004</v>
      </c>
      <c r="B5" s="747" t="s">
        <v>2095</v>
      </c>
      <c r="C5" s="747" t="s">
        <v>2096</v>
      </c>
      <c r="D5" s="747" t="s">
        <v>2097</v>
      </c>
      <c r="E5" s="747" t="s">
        <v>2098</v>
      </c>
      <c r="F5" s="747" t="s">
        <v>381</v>
      </c>
      <c r="G5" s="747" t="s">
        <v>2099</v>
      </c>
      <c r="H5" s="1840" t="s">
        <v>2100</v>
      </c>
      <c r="I5" s="747">
        <v>1.75</v>
      </c>
      <c r="J5" s="747" t="s">
        <v>2101</v>
      </c>
      <c r="K5" s="1627">
        <v>46447</v>
      </c>
      <c r="L5" s="1630">
        <v>2.436127275</v>
      </c>
      <c r="M5" s="747">
        <v>1000000</v>
      </c>
      <c r="N5" s="747">
        <v>99.307000000000002</v>
      </c>
      <c r="O5" s="747">
        <v>99.478000000000009</v>
      </c>
      <c r="P5" s="747">
        <v>1000000</v>
      </c>
      <c r="Q5" s="1631">
        <v>46084.754641203705</v>
      </c>
      <c r="R5" s="747">
        <v>99.307000000000002</v>
      </c>
      <c r="S5" s="747">
        <v>9.7222220000000008E-3</v>
      </c>
      <c r="T5" s="1628">
        <v>-3.020022750839E-2</v>
      </c>
      <c r="U5" s="747">
        <v>5.7413376309440003E-2</v>
      </c>
      <c r="V5" s="747">
        <v>0.22492309244037001</v>
      </c>
      <c r="W5" s="747">
        <v>0.16531591468085</v>
      </c>
      <c r="X5" s="747" t="s">
        <v>2099</v>
      </c>
      <c r="Y5" s="747" t="s">
        <v>2102</v>
      </c>
      <c r="AA5" s="1631">
        <v>46081</v>
      </c>
      <c r="AC5" s="1627"/>
      <c r="AE5" s="747" t="s">
        <v>2103</v>
      </c>
      <c r="AF5" s="747">
        <v>1000</v>
      </c>
      <c r="AG5" s="1628">
        <v>1.1472968076969962E-3</v>
      </c>
    </row>
    <row r="6" spans="1:33" x14ac:dyDescent="0.2">
      <c r="A6" s="747" t="s">
        <v>724</v>
      </c>
      <c r="B6" s="747" t="s">
        <v>939</v>
      </c>
      <c r="C6" s="747" t="s">
        <v>2104</v>
      </c>
      <c r="D6" s="747" t="s">
        <v>2092</v>
      </c>
      <c r="F6" s="747" t="s">
        <v>369</v>
      </c>
      <c r="G6" s="747" t="s">
        <v>2105</v>
      </c>
      <c r="H6" s="1840" t="s">
        <v>2106</v>
      </c>
      <c r="L6" s="1630"/>
      <c r="N6" s="747">
        <v>0.54930000000000001</v>
      </c>
      <c r="O6" s="747">
        <v>0.55080000000000007</v>
      </c>
      <c r="Q6" s="1631">
        <v>46084.796249999999</v>
      </c>
      <c r="R6" s="747">
        <v>0.55005000000000004</v>
      </c>
      <c r="T6" s="1628">
        <v>-0.57840000000000003</v>
      </c>
      <c r="U6" s="747">
        <v>2.1227503461005912</v>
      </c>
      <c r="V6" s="747">
        <v>3.5563874590547528</v>
      </c>
      <c r="W6" s="747">
        <v>4.0086979999999999</v>
      </c>
      <c r="X6" s="747" t="s">
        <v>2105</v>
      </c>
      <c r="AA6" s="1631"/>
      <c r="AC6" s="1627"/>
      <c r="AD6" s="747">
        <v>1</v>
      </c>
      <c r="AG6" s="1628">
        <v>1.8188432157148742E-3</v>
      </c>
    </row>
    <row r="7" spans="1:33" x14ac:dyDescent="0.2">
      <c r="A7" s="747" t="s">
        <v>4404</v>
      </c>
      <c r="B7" s="747" t="s">
        <v>4405</v>
      </c>
      <c r="C7" s="747" t="s">
        <v>3038</v>
      </c>
      <c r="D7" s="747" t="s">
        <v>2120</v>
      </c>
      <c r="F7" s="747" t="s">
        <v>369</v>
      </c>
      <c r="G7" s="747" t="s">
        <v>753</v>
      </c>
      <c r="H7" s="1840" t="s">
        <v>3039</v>
      </c>
      <c r="J7" s="747" t="s">
        <v>3040</v>
      </c>
      <c r="L7" s="1630"/>
      <c r="O7" s="747">
        <v>48.78</v>
      </c>
      <c r="P7" s="747">
        <v>41</v>
      </c>
      <c r="Q7" s="1631">
        <v>46084.731238425928</v>
      </c>
      <c r="R7" s="747">
        <v>47.800000000000004</v>
      </c>
      <c r="T7" s="1628">
        <v>-2.86527128632392</v>
      </c>
      <c r="U7" s="747">
        <v>14.326715999999999</v>
      </c>
      <c r="V7" s="747">
        <v>13.674196999999999</v>
      </c>
      <c r="W7" s="747">
        <v>12.9446867110398</v>
      </c>
      <c r="Y7" s="747" t="s">
        <v>3041</v>
      </c>
      <c r="AA7" s="1631"/>
      <c r="AC7" s="1627"/>
      <c r="AD7" s="747">
        <v>1</v>
      </c>
      <c r="AG7" s="1628"/>
    </row>
    <row r="8" spans="1:33" x14ac:dyDescent="0.2">
      <c r="A8" s="747" t="s">
        <v>941</v>
      </c>
      <c r="B8" s="747" t="s">
        <v>2114</v>
      </c>
      <c r="C8" s="747" t="s">
        <v>2115</v>
      </c>
      <c r="D8" s="747" t="s">
        <v>2092</v>
      </c>
      <c r="F8" s="747" t="s">
        <v>369</v>
      </c>
      <c r="G8" s="747" t="s">
        <v>2116</v>
      </c>
      <c r="H8" s="1840" t="s">
        <v>2117</v>
      </c>
      <c r="L8" s="1630"/>
      <c r="N8" s="747">
        <v>0.5716</v>
      </c>
      <c r="O8" s="747">
        <v>0.57310000000000005</v>
      </c>
      <c r="Q8" s="1631">
        <v>46084.79619212963</v>
      </c>
      <c r="R8" s="747">
        <v>0.57235000000000003</v>
      </c>
      <c r="T8" s="1628">
        <v>0.456341</v>
      </c>
      <c r="U8" s="747">
        <v>-1.754847766956023E-2</v>
      </c>
      <c r="V8" s="747">
        <v>-2.1636472911479254</v>
      </c>
      <c r="W8" s="747">
        <v>-0.88319300000000001</v>
      </c>
      <c r="X8" s="747" t="s">
        <v>2116</v>
      </c>
      <c r="AA8" s="1631"/>
      <c r="AC8" s="1627"/>
      <c r="AD8" s="747">
        <v>1</v>
      </c>
      <c r="AG8" s="1628">
        <v>1.7479461632582379E-3</v>
      </c>
    </row>
    <row r="9" spans="1:33" x14ac:dyDescent="0.2">
      <c r="A9" s="747" t="s">
        <v>1015</v>
      </c>
      <c r="B9" s="747" t="s">
        <v>2107</v>
      </c>
      <c r="C9" s="747" t="s">
        <v>2108</v>
      </c>
      <c r="D9" s="747" t="s">
        <v>2097</v>
      </c>
      <c r="E9" s="747" t="s">
        <v>2109</v>
      </c>
      <c r="F9" s="747" t="s">
        <v>369</v>
      </c>
      <c r="G9" s="747" t="s">
        <v>2110</v>
      </c>
      <c r="H9" s="1840" t="s">
        <v>2111</v>
      </c>
      <c r="I9" s="747">
        <v>0.5</v>
      </c>
      <c r="J9" s="747" t="s">
        <v>2112</v>
      </c>
      <c r="K9" s="1627">
        <v>47003</v>
      </c>
      <c r="L9" s="1630">
        <v>0.62088291700000009</v>
      </c>
      <c r="M9" s="747">
        <v>250000</v>
      </c>
      <c r="N9" s="747">
        <v>99.15</v>
      </c>
      <c r="O9" s="747">
        <v>99.65</v>
      </c>
      <c r="P9" s="747">
        <v>100000</v>
      </c>
      <c r="Q9" s="1631">
        <v>46084.396157407406</v>
      </c>
      <c r="R9" s="747">
        <v>99.300000000000011</v>
      </c>
      <c r="S9" s="747">
        <v>0.24444444400000001</v>
      </c>
      <c r="T9" s="1628">
        <v>-0.40120361083249001</v>
      </c>
      <c r="U9" s="747">
        <v>-0.40120400000000001</v>
      </c>
      <c r="V9" s="747">
        <v>0.25138260432379</v>
      </c>
      <c r="W9" s="747">
        <v>0.25138260432379</v>
      </c>
      <c r="X9" s="747" t="s">
        <v>2110</v>
      </c>
      <c r="Y9" s="747" t="s">
        <v>2113</v>
      </c>
      <c r="AA9" s="1631">
        <v>46084.916666666664</v>
      </c>
      <c r="AC9" s="1627"/>
      <c r="AE9" s="747" t="s">
        <v>2103</v>
      </c>
      <c r="AF9" s="747">
        <v>5000</v>
      </c>
      <c r="AG9" s="1628">
        <v>3.3562678301728472E-3</v>
      </c>
    </row>
    <row r="10" spans="1:33" x14ac:dyDescent="0.2">
      <c r="A10" s="747" t="s">
        <v>944</v>
      </c>
      <c r="B10" s="747" t="s">
        <v>945</v>
      </c>
      <c r="C10" s="747" t="s">
        <v>2124</v>
      </c>
      <c r="D10" s="747" t="s">
        <v>2092</v>
      </c>
      <c r="F10" s="747" t="s">
        <v>381</v>
      </c>
      <c r="G10" s="747" t="s">
        <v>2125</v>
      </c>
      <c r="H10" s="1840" t="s">
        <v>2126</v>
      </c>
      <c r="L10" s="1630"/>
      <c r="N10" s="747">
        <v>0.630413</v>
      </c>
      <c r="O10" s="747">
        <v>0.63078899999999993</v>
      </c>
      <c r="Q10" s="1631">
        <v>46084.796284722222</v>
      </c>
      <c r="R10" s="747">
        <v>0.63060101000000002</v>
      </c>
      <c r="T10" s="1628">
        <v>0.80697599999999992</v>
      </c>
      <c r="U10" s="747">
        <v>0.92858539626485304</v>
      </c>
      <c r="V10" s="747">
        <v>0.86521972559339511</v>
      </c>
      <c r="W10" s="747">
        <v>1.6717219999999999</v>
      </c>
      <c r="X10" s="747" t="s">
        <v>2125</v>
      </c>
      <c r="AA10" s="1631"/>
      <c r="AC10" s="1627"/>
      <c r="AD10" s="747">
        <v>1</v>
      </c>
      <c r="AG10" s="1628">
        <v>3.9754389767466636E-4</v>
      </c>
    </row>
    <row r="11" spans="1:33" x14ac:dyDescent="0.2">
      <c r="A11" s="747" t="s">
        <v>1833</v>
      </c>
      <c r="B11" s="747" t="s">
        <v>2118</v>
      </c>
      <c r="C11" s="747" t="s">
        <v>2119</v>
      </c>
      <c r="D11" s="747" t="s">
        <v>2120</v>
      </c>
      <c r="F11" s="747" t="s">
        <v>366</v>
      </c>
      <c r="G11" s="747" t="s">
        <v>544</v>
      </c>
      <c r="H11" s="1840" t="s">
        <v>2121</v>
      </c>
      <c r="J11" s="747" t="s">
        <v>2122</v>
      </c>
      <c r="L11" s="1630"/>
      <c r="M11" s="747">
        <v>40</v>
      </c>
      <c r="N11" s="747">
        <v>967.42000000000007</v>
      </c>
      <c r="O11" s="747">
        <v>968.91</v>
      </c>
      <c r="P11" s="747">
        <v>40</v>
      </c>
      <c r="Q11" s="1631">
        <v>46084.785798611112</v>
      </c>
      <c r="R11" s="747">
        <v>968.16499999999996</v>
      </c>
      <c r="T11" s="1628">
        <v>0.21374598902805</v>
      </c>
      <c r="U11" s="747">
        <v>20.744422</v>
      </c>
      <c r="V11" s="747">
        <v>30.714758</v>
      </c>
      <c r="W11" s="747">
        <v>26.096376735929901</v>
      </c>
      <c r="Y11" s="747" t="s">
        <v>2123</v>
      </c>
      <c r="Z11" s="747">
        <v>1.986232</v>
      </c>
      <c r="AA11" s="1631"/>
      <c r="AB11" s="747">
        <v>5.16</v>
      </c>
      <c r="AC11" s="1627">
        <v>46078</v>
      </c>
      <c r="AD11" s="747">
        <v>1</v>
      </c>
      <c r="AG11" s="1628">
        <v>1.0262591476538237E-3</v>
      </c>
    </row>
    <row r="12" spans="1:33" x14ac:dyDescent="0.2">
      <c r="A12" s="747" t="s">
        <v>719</v>
      </c>
      <c r="B12" s="747" t="s">
        <v>2134</v>
      </c>
      <c r="D12" s="747" t="s">
        <v>2092</v>
      </c>
      <c r="F12" s="747" t="s">
        <v>369</v>
      </c>
      <c r="G12" s="747" t="s">
        <v>2135</v>
      </c>
      <c r="H12" s="1840" t="s">
        <v>2136</v>
      </c>
      <c r="L12" s="1630"/>
      <c r="N12" s="747">
        <v>0.99948899999999996</v>
      </c>
      <c r="O12" s="747">
        <v>1.0005109999999999</v>
      </c>
      <c r="Q12" s="1631">
        <v>46084.796284722222</v>
      </c>
      <c r="R12" s="747">
        <v>1.0000001300000001</v>
      </c>
      <c r="T12" s="1628">
        <v>0</v>
      </c>
      <c r="U12" s="747">
        <v>0</v>
      </c>
      <c r="V12" s="747">
        <v>0</v>
      </c>
      <c r="W12" s="747">
        <v>0</v>
      </c>
      <c r="X12" s="747" t="s">
        <v>2135</v>
      </c>
      <c r="AA12" s="1631"/>
      <c r="AC12" s="1627"/>
      <c r="AD12" s="747">
        <v>1</v>
      </c>
      <c r="AG12" s="1628">
        <v>6.8144940688228393E-4</v>
      </c>
    </row>
    <row r="13" spans="1:33" x14ac:dyDescent="0.2">
      <c r="A13" s="747" t="s">
        <v>4406</v>
      </c>
      <c r="B13" s="747" t="s">
        <v>2127</v>
      </c>
      <c r="C13" s="747" t="s">
        <v>2128</v>
      </c>
      <c r="D13" s="747" t="s">
        <v>2129</v>
      </c>
      <c r="E13" s="747" t="s">
        <v>2130</v>
      </c>
      <c r="F13" s="747" t="s">
        <v>381</v>
      </c>
      <c r="G13" s="747" t="s">
        <v>2131</v>
      </c>
      <c r="H13" s="1840" t="s">
        <v>2132</v>
      </c>
      <c r="J13" s="747" t="s">
        <v>2131</v>
      </c>
      <c r="L13" s="1630"/>
      <c r="M13" s="747">
        <v>107</v>
      </c>
      <c r="N13" s="747">
        <v>103.57300000000001</v>
      </c>
      <c r="O13" s="747">
        <v>105.074</v>
      </c>
      <c r="P13" s="747">
        <v>105</v>
      </c>
      <c r="Q13" s="1631">
        <v>46084.714432870373</v>
      </c>
      <c r="R13" s="747">
        <v>104.575</v>
      </c>
      <c r="T13" s="1628">
        <v>-6.1888870947485604</v>
      </c>
      <c r="U13" s="747">
        <v>10.223978919631097</v>
      </c>
      <c r="V13" s="747">
        <v>40.618613921336127</v>
      </c>
      <c r="W13" s="747">
        <v>28.189972401104001</v>
      </c>
      <c r="Y13" s="747" t="s">
        <v>2133</v>
      </c>
      <c r="AA13" s="1631"/>
      <c r="AC13" s="1627"/>
      <c r="AD13" s="747">
        <v>1</v>
      </c>
      <c r="AG13" s="1628">
        <v>9.6150150534878645E-3</v>
      </c>
    </row>
    <row r="14" spans="1:33" x14ac:dyDescent="0.2">
      <c r="A14" s="747" t="s">
        <v>833</v>
      </c>
      <c r="B14" s="747" t="s">
        <v>946</v>
      </c>
      <c r="C14" s="747" t="s">
        <v>2141</v>
      </c>
      <c r="D14" s="747" t="s">
        <v>2092</v>
      </c>
      <c r="F14" s="747" t="s">
        <v>381</v>
      </c>
      <c r="G14" s="747" t="s">
        <v>2142</v>
      </c>
      <c r="H14" s="1840" t="s">
        <v>2143</v>
      </c>
      <c r="L14" s="1630"/>
      <c r="N14" s="747">
        <v>1.101329</v>
      </c>
      <c r="O14" s="747">
        <v>1.1021479999999999</v>
      </c>
      <c r="Q14" s="1631">
        <v>46084.796284722222</v>
      </c>
      <c r="R14" s="747">
        <v>1.10173835</v>
      </c>
      <c r="T14" s="1628">
        <v>0.33595599999999998</v>
      </c>
      <c r="U14" s="747">
        <v>0.94906515809089453</v>
      </c>
      <c r="V14" s="747">
        <v>3.1090390360869127</v>
      </c>
      <c r="W14" s="747">
        <v>2.5769679999999999</v>
      </c>
      <c r="X14" s="747" t="s">
        <v>2142</v>
      </c>
      <c r="AA14" s="1631"/>
      <c r="AC14" s="1627"/>
      <c r="AD14" s="747">
        <v>1</v>
      </c>
      <c r="AG14" s="1628">
        <v>4.9564180166696806E-4</v>
      </c>
    </row>
    <row r="15" spans="1:33" x14ac:dyDescent="0.2">
      <c r="A15" s="747" t="s">
        <v>1409</v>
      </c>
      <c r="B15" s="747" t="s">
        <v>2152</v>
      </c>
      <c r="C15" s="747" t="s">
        <v>2153</v>
      </c>
      <c r="D15" s="747" t="s">
        <v>2139</v>
      </c>
      <c r="E15" s="747" t="s">
        <v>2109</v>
      </c>
      <c r="F15" s="747" t="s">
        <v>381</v>
      </c>
      <c r="G15" s="747" t="s">
        <v>4449</v>
      </c>
      <c r="H15" s="1840" t="s">
        <v>2154</v>
      </c>
      <c r="J15" s="747" t="s">
        <v>4449</v>
      </c>
      <c r="L15" s="1630"/>
      <c r="M15" s="747">
        <v>602</v>
      </c>
      <c r="N15" s="747">
        <v>250.10000000000002</v>
      </c>
      <c r="O15" s="747">
        <v>252.20000000000002</v>
      </c>
      <c r="P15" s="747">
        <v>602</v>
      </c>
      <c r="Q15" s="1631">
        <v>46084.732719907406</v>
      </c>
      <c r="R15" s="747">
        <v>250.75</v>
      </c>
      <c r="T15" s="1628">
        <v>-4.1626885621539005</v>
      </c>
      <c r="U15" s="747">
        <v>2.6800329999999999</v>
      </c>
      <c r="V15" s="747">
        <v>13.912846</v>
      </c>
      <c r="W15" s="747">
        <v>16.793041926851</v>
      </c>
      <c r="Y15" s="747" t="s">
        <v>2133</v>
      </c>
      <c r="AA15" s="1631"/>
      <c r="AC15" s="1627"/>
      <c r="AD15" s="747">
        <v>1</v>
      </c>
      <c r="AG15" s="1628">
        <v>5.5821371610845138E-3</v>
      </c>
    </row>
    <row r="16" spans="1:33" x14ac:dyDescent="0.2">
      <c r="A16" s="747" t="s">
        <v>947</v>
      </c>
      <c r="B16" s="747" t="s">
        <v>2148</v>
      </c>
      <c r="C16" s="747" t="s">
        <v>2149</v>
      </c>
      <c r="D16" s="747" t="s">
        <v>2092</v>
      </c>
      <c r="F16" s="747" t="s">
        <v>369</v>
      </c>
      <c r="G16" s="747" t="s">
        <v>2150</v>
      </c>
      <c r="H16" s="1840" t="s">
        <v>2151</v>
      </c>
      <c r="L16" s="1630"/>
      <c r="N16" s="747">
        <v>0.113343</v>
      </c>
      <c r="O16" s="747">
        <v>0.11343299999999999</v>
      </c>
      <c r="Q16" s="1631">
        <v>46084.796284722222</v>
      </c>
      <c r="R16" s="747">
        <v>0.11338803</v>
      </c>
      <c r="T16" s="1628">
        <v>0.153116</v>
      </c>
      <c r="U16" s="747">
        <v>0.86517197687386893</v>
      </c>
      <c r="V16" s="747">
        <v>-0.77826379218020547</v>
      </c>
      <c r="W16" s="747">
        <v>5.0692000000000001E-2</v>
      </c>
      <c r="X16" s="747" t="s">
        <v>2150</v>
      </c>
      <c r="AA16" s="1631"/>
      <c r="AC16" s="1627"/>
      <c r="AD16" s="747">
        <v>1</v>
      </c>
      <c r="AG16" s="1628">
        <v>5.2922653541844389E-4</v>
      </c>
    </row>
    <row r="17" spans="1:33" x14ac:dyDescent="0.2">
      <c r="A17" s="747" t="s">
        <v>4408</v>
      </c>
      <c r="B17" s="747" t="s">
        <v>4409</v>
      </c>
      <c r="C17" s="747" t="s">
        <v>4410</v>
      </c>
      <c r="D17" s="747" t="s">
        <v>2120</v>
      </c>
      <c r="F17" s="747" t="s">
        <v>369</v>
      </c>
      <c r="G17" s="747" t="s">
        <v>4411</v>
      </c>
      <c r="H17" s="1840" t="s">
        <v>4412</v>
      </c>
      <c r="J17" s="747" t="s">
        <v>4413</v>
      </c>
      <c r="L17" s="1630"/>
      <c r="M17" s="747">
        <v>500</v>
      </c>
      <c r="N17" s="747">
        <v>71</v>
      </c>
      <c r="O17" s="747">
        <v>71.25</v>
      </c>
      <c r="P17" s="747">
        <v>100</v>
      </c>
      <c r="Q17" s="1631">
        <v>46084.731238425928</v>
      </c>
      <c r="R17" s="747">
        <v>71.350000000000009</v>
      </c>
      <c r="T17" s="1628">
        <v>-2.66030013642564</v>
      </c>
      <c r="U17" s="747">
        <v>-4.6122990000000001</v>
      </c>
      <c r="V17" s="747">
        <v>11.137072</v>
      </c>
      <c r="W17" s="747">
        <v>19.090170593013802</v>
      </c>
      <c r="Y17" s="747" t="s">
        <v>2655</v>
      </c>
      <c r="Z17" s="747">
        <v>1.751927</v>
      </c>
      <c r="AA17" s="1631"/>
      <c r="AB17" s="747">
        <v>1.25</v>
      </c>
      <c r="AC17" s="1627">
        <v>45803</v>
      </c>
      <c r="AD17" s="747">
        <v>1</v>
      </c>
      <c r="AG17" s="1628">
        <v>2.3446658851113715E-3</v>
      </c>
    </row>
    <row r="18" spans="1:33" x14ac:dyDescent="0.2">
      <c r="A18" s="747" t="s">
        <v>832</v>
      </c>
      <c r="B18" s="747" t="s">
        <v>950</v>
      </c>
      <c r="D18" s="747" t="s">
        <v>2092</v>
      </c>
      <c r="F18" s="747" t="s">
        <v>381</v>
      </c>
      <c r="G18" s="747" t="s">
        <v>2155</v>
      </c>
      <c r="H18" s="1840" t="s">
        <v>2156</v>
      </c>
      <c r="L18" s="1630"/>
      <c r="Q18" s="1631">
        <v>45085.927268518521</v>
      </c>
      <c r="R18" s="747">
        <v>1</v>
      </c>
      <c r="T18" s="1628">
        <v>0</v>
      </c>
      <c r="W18" s="747">
        <v>0</v>
      </c>
      <c r="X18" s="747" t="s">
        <v>2155</v>
      </c>
      <c r="AA18" s="1631"/>
      <c r="AC18" s="1627"/>
      <c r="AD18" s="747">
        <v>1</v>
      </c>
      <c r="AG18" s="1628"/>
    </row>
    <row r="19" spans="1:33" x14ac:dyDescent="0.2">
      <c r="A19" s="747" t="s">
        <v>1018</v>
      </c>
      <c r="B19" s="747" t="s">
        <v>2198</v>
      </c>
      <c r="C19" s="747" t="s">
        <v>2199</v>
      </c>
      <c r="D19" s="747" t="s">
        <v>2097</v>
      </c>
      <c r="E19" s="747" t="s">
        <v>2159</v>
      </c>
      <c r="F19" s="747" t="s">
        <v>369</v>
      </c>
      <c r="G19" s="747" t="s">
        <v>2200</v>
      </c>
      <c r="H19" s="1840" t="s">
        <v>2201</v>
      </c>
      <c r="I19" s="747">
        <v>0.8</v>
      </c>
      <c r="J19" s="747" t="s">
        <v>2202</v>
      </c>
      <c r="K19" s="1627">
        <v>47084</v>
      </c>
      <c r="L19" s="1630">
        <v>1.1366164570000001</v>
      </c>
      <c r="M19" s="747">
        <v>15000</v>
      </c>
      <c r="N19" s="747">
        <v>98.7</v>
      </c>
      <c r="O19" s="747">
        <v>99.05</v>
      </c>
      <c r="P19" s="747">
        <v>5000</v>
      </c>
      <c r="Q19" s="1631">
        <v>46084.484513888892</v>
      </c>
      <c r="R19" s="747">
        <v>98.850000000000009</v>
      </c>
      <c r="S19" s="747">
        <v>0.21333333300000001</v>
      </c>
      <c r="T19" s="1628">
        <v>-0.35282258064515998</v>
      </c>
      <c r="U19" s="747">
        <v>-0.25226999999999999</v>
      </c>
      <c r="V19" s="747">
        <v>0.45731699999999997</v>
      </c>
      <c r="W19" s="747">
        <v>0.81300813008130002</v>
      </c>
      <c r="X19" s="747" t="s">
        <v>2200</v>
      </c>
      <c r="Y19" s="747" t="s">
        <v>2203</v>
      </c>
      <c r="AA19" s="1631">
        <v>46084.958333333336</v>
      </c>
      <c r="AC19" s="1627"/>
      <c r="AE19" s="747" t="s">
        <v>2103</v>
      </c>
      <c r="AF19" s="747">
        <v>5000</v>
      </c>
      <c r="AG19" s="1628">
        <v>2.3612750885477775E-3</v>
      </c>
    </row>
    <row r="20" spans="1:33" x14ac:dyDescent="0.2">
      <c r="A20" s="747" t="s">
        <v>720</v>
      </c>
      <c r="B20" s="747" t="s">
        <v>951</v>
      </c>
      <c r="C20" s="747" t="s">
        <v>2162</v>
      </c>
      <c r="D20" s="747" t="s">
        <v>2092</v>
      </c>
      <c r="F20" s="747" t="s">
        <v>369</v>
      </c>
      <c r="G20" s="747" t="s">
        <v>2163</v>
      </c>
      <c r="H20" s="1840" t="s">
        <v>2164</v>
      </c>
      <c r="L20" s="1630"/>
      <c r="N20" s="747">
        <v>0.9073</v>
      </c>
      <c r="O20" s="747">
        <v>0.90780000000000005</v>
      </c>
      <c r="Q20" s="1631">
        <v>46084.796307870369</v>
      </c>
      <c r="R20" s="747">
        <v>0.90755000000000008</v>
      </c>
      <c r="T20" s="1628">
        <v>-0.340416</v>
      </c>
      <c r="U20" s="747">
        <v>-0.9463207701093207</v>
      </c>
      <c r="V20" s="747">
        <v>-3.0036747084198754</v>
      </c>
      <c r="W20" s="747">
        <v>-2.5030889999999997</v>
      </c>
      <c r="X20" s="747" t="s">
        <v>2163</v>
      </c>
      <c r="AA20" s="1631"/>
      <c r="AC20" s="1627"/>
      <c r="AD20" s="747">
        <v>1</v>
      </c>
      <c r="AG20" s="1628">
        <v>3.6732295033797824E-4</v>
      </c>
    </row>
    <row r="21" spans="1:33" x14ac:dyDescent="0.2">
      <c r="A21" s="747" t="s">
        <v>2025</v>
      </c>
      <c r="B21" s="747" t="s">
        <v>3524</v>
      </c>
      <c r="C21" s="747" t="s">
        <v>3525</v>
      </c>
      <c r="D21" s="747" t="s">
        <v>2129</v>
      </c>
      <c r="E21" s="747" t="s">
        <v>2159</v>
      </c>
      <c r="F21" s="747" t="s">
        <v>369</v>
      </c>
      <c r="G21" s="747" t="s">
        <v>3526</v>
      </c>
      <c r="H21" s="1840" t="s">
        <v>3527</v>
      </c>
      <c r="J21" s="747" t="s">
        <v>3526</v>
      </c>
      <c r="L21" s="1630"/>
      <c r="M21" s="747">
        <v>7650</v>
      </c>
      <c r="N21" s="747">
        <v>103</v>
      </c>
      <c r="O21" s="747">
        <v>103.80000000000001</v>
      </c>
      <c r="P21" s="747">
        <v>44</v>
      </c>
      <c r="Q21" s="1631">
        <v>46084.730081018519</v>
      </c>
      <c r="R21" s="747">
        <v>103.80000000000001</v>
      </c>
      <c r="T21" s="1628">
        <v>-0.19230769230768999</v>
      </c>
      <c r="U21" s="747">
        <v>0.581395</v>
      </c>
      <c r="V21" s="747">
        <v>6.1349689999999999</v>
      </c>
      <c r="W21" s="747">
        <v>3.58565737051793</v>
      </c>
      <c r="Y21" s="747" t="s">
        <v>2133</v>
      </c>
      <c r="AA21" s="1631"/>
      <c r="AB21" s="747">
        <v>1.9000000000000001</v>
      </c>
      <c r="AC21" s="1627">
        <v>45986</v>
      </c>
      <c r="AD21" s="747">
        <v>1</v>
      </c>
      <c r="AG21" s="1628">
        <v>5.1646223369916809E-3</v>
      </c>
    </row>
    <row r="22" spans="1:33" x14ac:dyDescent="0.2">
      <c r="A22" s="747" t="s">
        <v>835</v>
      </c>
      <c r="B22" s="747" t="s">
        <v>954</v>
      </c>
      <c r="C22" s="747" t="s">
        <v>2169</v>
      </c>
      <c r="D22" s="747" t="s">
        <v>2092</v>
      </c>
      <c r="F22" s="747" t="s">
        <v>381</v>
      </c>
      <c r="G22" s="747" t="s">
        <v>2170</v>
      </c>
      <c r="H22" s="1840" t="s">
        <v>2171</v>
      </c>
      <c r="L22" s="1630"/>
      <c r="N22" s="747">
        <v>1.1490469999999999</v>
      </c>
      <c r="O22" s="747">
        <v>1.149467</v>
      </c>
      <c r="Q22" s="1631">
        <v>46084.796284722222</v>
      </c>
      <c r="R22" s="747">
        <v>1.1492567300000001</v>
      </c>
      <c r="T22" s="1628">
        <v>0.21744000000000002</v>
      </c>
      <c r="U22" s="747">
        <v>-1.0560116091561884</v>
      </c>
      <c r="V22" s="747">
        <v>0.17663118348037574</v>
      </c>
      <c r="W22" s="747">
        <v>0.19039899999999998</v>
      </c>
      <c r="X22" s="747" t="s">
        <v>2170</v>
      </c>
      <c r="AA22" s="1631"/>
      <c r="AC22" s="1627"/>
      <c r="AD22" s="747">
        <v>1</v>
      </c>
      <c r="AG22" s="1628">
        <v>2.4365051118752475E-4</v>
      </c>
    </row>
    <row r="23" spans="1:33" x14ac:dyDescent="0.2">
      <c r="A23" s="747" t="s">
        <v>1204</v>
      </c>
      <c r="B23" s="747" t="s">
        <v>2221</v>
      </c>
      <c r="C23" s="747" t="s">
        <v>2222</v>
      </c>
      <c r="D23" s="747" t="s">
        <v>2139</v>
      </c>
      <c r="E23" s="747" t="s">
        <v>2109</v>
      </c>
      <c r="F23" s="747" t="s">
        <v>366</v>
      </c>
      <c r="G23" s="747" t="s">
        <v>452</v>
      </c>
      <c r="H23" s="1840" t="s">
        <v>2223</v>
      </c>
      <c r="J23" s="747" t="s">
        <v>452</v>
      </c>
      <c r="L23" s="1630"/>
      <c r="M23" s="747">
        <v>41665</v>
      </c>
      <c r="N23" s="747">
        <v>6</v>
      </c>
      <c r="O23" s="747">
        <v>7.274</v>
      </c>
      <c r="P23" s="747">
        <v>7912</v>
      </c>
      <c r="Q23" s="1631">
        <v>46084.732858796298</v>
      </c>
      <c r="R23" s="747">
        <v>7.2450000000000001</v>
      </c>
      <c r="T23" s="1628">
        <v>-1.4159292035398201</v>
      </c>
      <c r="U23" s="747">
        <v>0.69531399999999999</v>
      </c>
      <c r="V23" s="747">
        <v>5.1401189999999994</v>
      </c>
      <c r="W23" s="747">
        <v>5.3348630431665001</v>
      </c>
      <c r="Y23" s="747" t="s">
        <v>2133</v>
      </c>
      <c r="AA23" s="1631"/>
      <c r="AC23" s="1627"/>
      <c r="AD23" s="747">
        <v>1</v>
      </c>
      <c r="AG23" s="1628">
        <v>0.13219881705925079</v>
      </c>
    </row>
    <row r="24" spans="1:33" x14ac:dyDescent="0.2">
      <c r="A24" s="747" t="s">
        <v>722</v>
      </c>
      <c r="B24" s="747" t="s">
        <v>955</v>
      </c>
      <c r="C24" s="747" t="s">
        <v>2175</v>
      </c>
      <c r="D24" s="747" t="s">
        <v>2092</v>
      </c>
      <c r="F24" s="747" t="s">
        <v>369</v>
      </c>
      <c r="G24" s="747" t="s">
        <v>2176</v>
      </c>
      <c r="H24" s="1840" t="s">
        <v>2177</v>
      </c>
      <c r="L24" s="1630"/>
      <c r="N24" s="747">
        <v>1.0426</v>
      </c>
      <c r="O24" s="747">
        <v>1.0436000000000001</v>
      </c>
      <c r="Q24" s="1631">
        <v>46084.796261574076</v>
      </c>
      <c r="R24" s="747">
        <v>1.0431000000000001</v>
      </c>
      <c r="T24" s="1628">
        <v>-0.124473</v>
      </c>
      <c r="U24" s="747">
        <v>-1.9894894894894994</v>
      </c>
      <c r="V24" s="747">
        <v>-2.837473253325888</v>
      </c>
      <c r="W24" s="747">
        <v>-2.313167</v>
      </c>
      <c r="X24" s="747" t="s">
        <v>2176</v>
      </c>
      <c r="AA24" s="1631"/>
      <c r="AC24" s="1627"/>
      <c r="AD24" s="747">
        <v>1</v>
      </c>
      <c r="AG24" s="1628">
        <v>6.3922270519055986E-4</v>
      </c>
    </row>
    <row r="25" spans="1:33" x14ac:dyDescent="0.2">
      <c r="A25" s="747" t="s">
        <v>1203</v>
      </c>
      <c r="B25" s="747" t="s">
        <v>2233</v>
      </c>
      <c r="C25" s="747" t="s">
        <v>2234</v>
      </c>
      <c r="D25" s="747" t="s">
        <v>2139</v>
      </c>
      <c r="E25" s="747" t="s">
        <v>2109</v>
      </c>
      <c r="F25" s="747" t="s">
        <v>366</v>
      </c>
      <c r="G25" s="747" t="s">
        <v>2235</v>
      </c>
      <c r="H25" s="1840" t="s">
        <v>2236</v>
      </c>
      <c r="J25" s="747" t="s">
        <v>2235</v>
      </c>
      <c r="L25" s="1630"/>
      <c r="M25" s="747">
        <v>200</v>
      </c>
      <c r="N25" s="747">
        <v>52.13</v>
      </c>
      <c r="O25" s="747">
        <v>56.900000000000006</v>
      </c>
      <c r="P25" s="747">
        <v>8803</v>
      </c>
      <c r="Q25" s="1631">
        <v>46084.73265046296</v>
      </c>
      <c r="R25" s="747">
        <v>55.17</v>
      </c>
      <c r="T25" s="1628">
        <v>-5.5469953775038601</v>
      </c>
      <c r="U25" s="747">
        <v>-3.3292449999999998</v>
      </c>
      <c r="V25" s="747">
        <v>7.3973139999999997</v>
      </c>
      <c r="W25" s="747">
        <v>11.341974837971801</v>
      </c>
      <c r="Y25" s="747" t="s">
        <v>2133</v>
      </c>
      <c r="AA25" s="1631"/>
      <c r="AC25" s="1627"/>
      <c r="AD25" s="747">
        <v>1</v>
      </c>
      <c r="AG25" s="1628">
        <v>5.9195830230826536E-2</v>
      </c>
    </row>
    <row r="26" spans="1:33" x14ac:dyDescent="0.2">
      <c r="A26" s="747" t="s">
        <v>957</v>
      </c>
      <c r="B26" s="747" t="s">
        <v>2181</v>
      </c>
      <c r="C26" s="747" t="s">
        <v>2182</v>
      </c>
      <c r="D26" s="747" t="s">
        <v>2092</v>
      </c>
      <c r="F26" s="747" t="s">
        <v>369</v>
      </c>
      <c r="G26" s="747" t="s">
        <v>2183</v>
      </c>
      <c r="H26" s="1840" t="s">
        <v>2184</v>
      </c>
      <c r="L26" s="1630"/>
      <c r="N26" s="747">
        <v>4.4238E-2</v>
      </c>
      <c r="O26" s="747">
        <v>4.4334999999999999E-2</v>
      </c>
      <c r="Q26" s="1631">
        <v>46084.796284722222</v>
      </c>
      <c r="R26" s="747">
        <v>4.4286499999999999E-2</v>
      </c>
      <c r="T26" s="1628">
        <v>-1.5797159999999999</v>
      </c>
      <c r="U26" s="747">
        <v>0.41776268000114808</v>
      </c>
      <c r="V26" s="747">
        <v>1.8297170323701972</v>
      </c>
      <c r="W26" s="747">
        <v>0.612286</v>
      </c>
      <c r="X26" s="747" t="s">
        <v>2183</v>
      </c>
      <c r="AA26" s="1631"/>
      <c r="AC26" s="1627"/>
      <c r="AD26" s="747">
        <v>1</v>
      </c>
      <c r="AG26" s="1628">
        <v>1.4607223799233476E-3</v>
      </c>
    </row>
    <row r="27" spans="1:33" x14ac:dyDescent="0.2">
      <c r="A27" s="747" t="s">
        <v>1655</v>
      </c>
      <c r="B27" s="747" t="s">
        <v>2245</v>
      </c>
      <c r="C27" s="747" t="s">
        <v>2246</v>
      </c>
      <c r="D27" s="747" t="s">
        <v>2158</v>
      </c>
      <c r="E27" s="747" t="s">
        <v>2130</v>
      </c>
      <c r="F27" s="747" t="s">
        <v>381</v>
      </c>
      <c r="G27" s="747" t="s">
        <v>2247</v>
      </c>
      <c r="H27" s="1840" t="s">
        <v>2248</v>
      </c>
      <c r="J27" s="747" t="s">
        <v>2247</v>
      </c>
      <c r="L27" s="1630"/>
      <c r="Q27" s="1631">
        <v>46083.947974537034</v>
      </c>
      <c r="R27" s="747">
        <v>23.6</v>
      </c>
      <c r="T27" s="1628">
        <v>0.51107325383305358</v>
      </c>
      <c r="U27" s="747">
        <v>4.0105773468488399</v>
      </c>
      <c r="V27" s="747">
        <v>11.0065851364064</v>
      </c>
      <c r="W27" s="747">
        <v>7.566089334548769</v>
      </c>
      <c r="Y27" s="747" t="s">
        <v>2133</v>
      </c>
      <c r="AA27" s="1631"/>
      <c r="AC27" s="1627"/>
      <c r="AD27" s="747">
        <v>1</v>
      </c>
      <c r="AG27" s="1628"/>
    </row>
    <row r="28" spans="1:33" x14ac:dyDescent="0.2">
      <c r="A28" s="747" t="s">
        <v>959</v>
      </c>
      <c r="B28" s="747" t="s">
        <v>2187</v>
      </c>
      <c r="C28" s="747" t="s">
        <v>2188</v>
      </c>
      <c r="D28" s="747" t="s">
        <v>2092</v>
      </c>
      <c r="F28" s="747" t="s">
        <v>369</v>
      </c>
      <c r="G28" s="747" t="s">
        <v>2189</v>
      </c>
      <c r="H28" s="1840" t="s">
        <v>2190</v>
      </c>
      <c r="L28" s="1630"/>
      <c r="N28" s="747">
        <v>8.0619999999999994</v>
      </c>
      <c r="O28" s="747">
        <v>8.0660000000000007</v>
      </c>
      <c r="Q28" s="1631">
        <v>46084.796157407407</v>
      </c>
      <c r="R28" s="747">
        <v>8.0640000000000001</v>
      </c>
      <c r="T28" s="1628">
        <v>-0.57333099999999992</v>
      </c>
      <c r="W28" s="747">
        <v>2.7195719999999999</v>
      </c>
      <c r="X28" s="747" t="s">
        <v>2189</v>
      </c>
      <c r="AA28" s="1631"/>
      <c r="AC28" s="1627"/>
      <c r="AD28" s="747">
        <v>100</v>
      </c>
      <c r="AG28" s="1628">
        <v>3.3071517155860574E-4</v>
      </c>
    </row>
    <row r="29" spans="1:33" x14ac:dyDescent="0.2">
      <c r="A29" s="747" t="s">
        <v>1859</v>
      </c>
      <c r="B29" s="747" t="s">
        <v>2251</v>
      </c>
      <c r="C29" s="747" t="s">
        <v>2252</v>
      </c>
      <c r="D29" s="747" t="s">
        <v>2120</v>
      </c>
      <c r="F29" s="747" t="s">
        <v>381</v>
      </c>
      <c r="G29" s="747" t="s">
        <v>2253</v>
      </c>
      <c r="H29" s="1840" t="s">
        <v>2254</v>
      </c>
      <c r="J29" s="747" t="s">
        <v>2255</v>
      </c>
      <c r="L29" s="1630"/>
      <c r="Q29" s="1631">
        <v>46083.73542824074</v>
      </c>
      <c r="R29" s="747">
        <v>80.820000000000007</v>
      </c>
      <c r="T29" s="1628">
        <v>-2.8372204856936798</v>
      </c>
      <c r="U29" s="747">
        <v>9.1867062955957994</v>
      </c>
      <c r="V29" s="747">
        <v>18.817994707438999</v>
      </c>
      <c r="W29" s="747">
        <v>16.154067260707201</v>
      </c>
      <c r="Y29" s="747" t="s">
        <v>2256</v>
      </c>
      <c r="AA29" s="1631"/>
      <c r="AB29" s="747">
        <v>2.04</v>
      </c>
      <c r="AC29" s="1627">
        <v>45776</v>
      </c>
      <c r="AD29" s="747">
        <v>1</v>
      </c>
      <c r="AG29" s="1628"/>
    </row>
    <row r="30" spans="1:33" x14ac:dyDescent="0.2">
      <c r="A30" s="747" t="s">
        <v>962</v>
      </c>
      <c r="B30" s="747" t="s">
        <v>2194</v>
      </c>
      <c r="C30" s="747" t="s">
        <v>2195</v>
      </c>
      <c r="D30" s="747" t="s">
        <v>2092</v>
      </c>
      <c r="F30" s="747" t="s">
        <v>369</v>
      </c>
      <c r="G30" s="747" t="s">
        <v>2196</v>
      </c>
      <c r="H30" s="1840" t="s">
        <v>2197</v>
      </c>
      <c r="L30" s="1630"/>
      <c r="N30" s="747">
        <v>0.46026000000000006</v>
      </c>
      <c r="O30" s="747">
        <v>0.46035000000000004</v>
      </c>
      <c r="Q30" s="1631">
        <v>46084.796342592592</v>
      </c>
      <c r="R30" s="747">
        <v>0.46030499999999996</v>
      </c>
      <c r="T30" s="1628">
        <v>-0.55952199999999996</v>
      </c>
      <c r="W30" s="747">
        <v>1.0859539999999999</v>
      </c>
      <c r="X30" s="747" t="s">
        <v>2196</v>
      </c>
      <c r="AA30" s="1631"/>
      <c r="AC30" s="1627"/>
      <c r="AD30" s="747">
        <v>1</v>
      </c>
      <c r="AG30" s="1628">
        <v>1.3035260379323031E-4</v>
      </c>
    </row>
    <row r="31" spans="1:33" x14ac:dyDescent="0.2">
      <c r="A31" s="747" t="s">
        <v>1630</v>
      </c>
      <c r="B31" s="747" t="s">
        <v>2262</v>
      </c>
      <c r="C31" s="747" t="s">
        <v>2263</v>
      </c>
      <c r="D31" s="747" t="s">
        <v>2158</v>
      </c>
      <c r="E31" s="747" t="s">
        <v>2130</v>
      </c>
      <c r="F31" s="747" t="s">
        <v>381</v>
      </c>
      <c r="G31" s="747" t="s">
        <v>2264</v>
      </c>
      <c r="H31" s="1840" t="s">
        <v>2265</v>
      </c>
      <c r="J31" s="747" t="s">
        <v>2264</v>
      </c>
      <c r="L31" s="1630"/>
      <c r="Q31" s="1631">
        <v>46083.885474537034</v>
      </c>
      <c r="R31" s="747">
        <v>208.83</v>
      </c>
      <c r="T31" s="1628">
        <v>-0.24362281456004148</v>
      </c>
      <c r="U31" s="747">
        <v>0.94745492338184001</v>
      </c>
      <c r="V31" s="747">
        <v>1.5858345089264001</v>
      </c>
      <c r="W31" s="747">
        <v>1.2312763585244173</v>
      </c>
      <c r="Y31" s="747" t="s">
        <v>2133</v>
      </c>
      <c r="AA31" s="1631"/>
      <c r="AC31" s="1627"/>
      <c r="AD31" s="747">
        <v>1</v>
      </c>
      <c r="AG31" s="1628"/>
    </row>
    <row r="32" spans="1:33" x14ac:dyDescent="0.2">
      <c r="A32" s="747" t="s">
        <v>965</v>
      </c>
      <c r="B32" s="747" t="s">
        <v>2204</v>
      </c>
      <c r="C32" s="747" t="s">
        <v>2205</v>
      </c>
      <c r="D32" s="747" t="s">
        <v>2092</v>
      </c>
      <c r="F32" s="747" t="s">
        <v>369</v>
      </c>
      <c r="G32" s="747" t="s">
        <v>2206</v>
      </c>
      <c r="H32" s="1840" t="s">
        <v>2207</v>
      </c>
      <c r="L32" s="1630"/>
      <c r="N32" s="747">
        <v>1.0073220000000001</v>
      </c>
      <c r="O32" s="747">
        <v>1.0079400000000001</v>
      </c>
      <c r="Q32" s="1631">
        <v>46084.796284722222</v>
      </c>
      <c r="R32" s="747">
        <v>1.0076313100000001</v>
      </c>
      <c r="T32" s="1628">
        <v>0.179008</v>
      </c>
      <c r="U32" s="747">
        <v>-1.3865936226903441</v>
      </c>
      <c r="V32" s="747">
        <v>-4.5854390320899707</v>
      </c>
      <c r="W32" s="747">
        <v>0.55730599999999997</v>
      </c>
      <c r="X32" s="747" t="s">
        <v>2206</v>
      </c>
      <c r="AA32" s="1631"/>
      <c r="AC32" s="1627"/>
      <c r="AD32" s="747">
        <v>100</v>
      </c>
      <c r="AG32" s="1628">
        <v>4.0892163790981983E-4</v>
      </c>
    </row>
    <row r="33" spans="1:33" x14ac:dyDescent="0.2">
      <c r="A33" s="747" t="s">
        <v>4301</v>
      </c>
      <c r="B33" s="747" t="s">
        <v>4302</v>
      </c>
      <c r="C33" s="747" t="s">
        <v>4303</v>
      </c>
      <c r="D33" s="747" t="s">
        <v>2120</v>
      </c>
      <c r="F33" s="747" t="s">
        <v>381</v>
      </c>
      <c r="G33" s="747" t="s">
        <v>4304</v>
      </c>
      <c r="H33" s="1840" t="s">
        <v>4305</v>
      </c>
      <c r="J33" s="747" t="s">
        <v>4306</v>
      </c>
      <c r="L33" s="1630"/>
      <c r="Q33" s="1631">
        <v>46083.73541666667</v>
      </c>
      <c r="R33" s="747">
        <v>1627.5</v>
      </c>
      <c r="T33" s="1628">
        <v>-2.1641118124436498</v>
      </c>
      <c r="U33" s="747">
        <v>-5.8704453441295597</v>
      </c>
      <c r="V33" s="747">
        <v>2.6813880126183003</v>
      </c>
      <c r="W33" s="747">
        <v>4.2600896860986603</v>
      </c>
      <c r="Y33" s="747" t="s">
        <v>2914</v>
      </c>
      <c r="AA33" s="1631"/>
      <c r="AB33" s="747">
        <v>8.1</v>
      </c>
      <c r="AC33" s="1627">
        <v>45791</v>
      </c>
      <c r="AD33" s="747">
        <v>1</v>
      </c>
      <c r="AG33" s="1628"/>
    </row>
    <row r="34" spans="1:33" x14ac:dyDescent="0.2">
      <c r="A34" s="747" t="s">
        <v>968</v>
      </c>
      <c r="B34" s="747" t="s">
        <v>2213</v>
      </c>
      <c r="C34" s="747" t="s">
        <v>2214</v>
      </c>
      <c r="D34" s="747" t="s">
        <v>2092</v>
      </c>
      <c r="F34" s="747" t="s">
        <v>369</v>
      </c>
      <c r="G34" s="747" t="s">
        <v>2215</v>
      </c>
      <c r="H34" s="1840" t="s">
        <v>2216</v>
      </c>
      <c r="L34" s="1630"/>
      <c r="N34" s="747">
        <v>8.4190000000000005</v>
      </c>
      <c r="O34" s="747">
        <v>8.4220000000000006</v>
      </c>
      <c r="Q34" s="1631">
        <v>46084.796354166669</v>
      </c>
      <c r="R34" s="747">
        <v>8.4205000000000005</v>
      </c>
      <c r="T34" s="1628">
        <v>-1.0109919999999999</v>
      </c>
      <c r="U34" s="747">
        <v>-2.1566597653554171</v>
      </c>
      <c r="V34" s="747">
        <v>-0.93746360777918847</v>
      </c>
      <c r="W34" s="747">
        <v>-2.0872090000000001</v>
      </c>
      <c r="X34" s="747" t="s">
        <v>2215</v>
      </c>
      <c r="AA34" s="1631"/>
      <c r="AC34" s="1627"/>
      <c r="AD34" s="747">
        <v>100</v>
      </c>
      <c r="AG34" s="1628">
        <v>2.3752969121141042E-4</v>
      </c>
    </row>
    <row r="35" spans="1:33" x14ac:dyDescent="0.2">
      <c r="A35" s="747" t="s">
        <v>1503</v>
      </c>
      <c r="B35" s="747" t="s">
        <v>2277</v>
      </c>
      <c r="C35" s="747" t="s">
        <v>2278</v>
      </c>
      <c r="D35" s="747" t="s">
        <v>2139</v>
      </c>
      <c r="E35" s="747" t="s">
        <v>2109</v>
      </c>
      <c r="F35" s="747" t="s">
        <v>369</v>
      </c>
      <c r="G35" s="747" t="s">
        <v>2279</v>
      </c>
      <c r="H35" s="1840" t="s">
        <v>2280</v>
      </c>
      <c r="J35" s="747" t="s">
        <v>2279</v>
      </c>
      <c r="L35" s="1630"/>
      <c r="M35" s="747">
        <v>634</v>
      </c>
      <c r="N35" s="747">
        <v>47.300000000000004</v>
      </c>
      <c r="O35" s="747">
        <v>49.7</v>
      </c>
      <c r="P35" s="747">
        <v>900</v>
      </c>
      <c r="Q35" s="1631">
        <v>46084.73300925926</v>
      </c>
      <c r="R35" s="747">
        <v>47.77</v>
      </c>
      <c r="T35" s="1628">
        <v>-1.16892520947554</v>
      </c>
      <c r="U35" s="747">
        <v>-2.57979</v>
      </c>
      <c r="V35" s="747">
        <v>-2.4305559999999997</v>
      </c>
      <c r="W35" s="747">
        <v>-1.2866333095068001</v>
      </c>
      <c r="Y35" s="747" t="s">
        <v>2133</v>
      </c>
      <c r="AA35" s="1631"/>
      <c r="AC35" s="1627"/>
      <c r="AD35" s="747">
        <v>1</v>
      </c>
      <c r="AG35" s="1628">
        <v>3.3264033264033245E-2</v>
      </c>
    </row>
    <row r="36" spans="1:33" x14ac:dyDescent="0.2">
      <c r="A36" s="747" t="s">
        <v>971</v>
      </c>
      <c r="B36" s="747" t="s">
        <v>2217</v>
      </c>
      <c r="C36" s="747" t="s">
        <v>2218</v>
      </c>
      <c r="D36" s="747" t="s">
        <v>2092</v>
      </c>
      <c r="F36" s="747" t="s">
        <v>369</v>
      </c>
      <c r="G36" s="747" t="s">
        <v>2219</v>
      </c>
      <c r="H36" s="1840" t="s">
        <v>2220</v>
      </c>
      <c r="L36" s="1630"/>
      <c r="N36" s="747">
        <v>1.7787000000000001E-2</v>
      </c>
      <c r="O36" s="747">
        <v>1.78E-2</v>
      </c>
      <c r="Q36" s="1631">
        <v>46084.796284722222</v>
      </c>
      <c r="R36" s="747">
        <v>1.7793590000000001E-2</v>
      </c>
      <c r="T36" s="1628">
        <v>0.40679399999999999</v>
      </c>
      <c r="U36" s="747">
        <v>-1.1989485157402142</v>
      </c>
      <c r="V36" s="747">
        <v>-6.5258625054856232</v>
      </c>
      <c r="W36" s="747">
        <v>-3.5646249999999999</v>
      </c>
      <c r="X36" s="747" t="s">
        <v>2219</v>
      </c>
      <c r="AA36" s="1631"/>
      <c r="AC36" s="1627"/>
      <c r="AD36" s="747">
        <v>1</v>
      </c>
      <c r="AG36" s="1628">
        <v>4.8712856446955907E-4</v>
      </c>
    </row>
    <row r="37" spans="1:33" x14ac:dyDescent="0.2">
      <c r="A37" s="747" t="s">
        <v>721</v>
      </c>
      <c r="B37" s="747" t="s">
        <v>974</v>
      </c>
      <c r="C37" s="747" t="s">
        <v>2224</v>
      </c>
      <c r="D37" s="747" t="s">
        <v>2092</v>
      </c>
      <c r="F37" s="747" t="s">
        <v>369</v>
      </c>
      <c r="G37" s="747" t="s">
        <v>519</v>
      </c>
      <c r="H37" s="1840" t="s">
        <v>2225</v>
      </c>
      <c r="L37" s="1630"/>
      <c r="N37" s="747">
        <v>0.78200000000000003</v>
      </c>
      <c r="O37" s="747">
        <v>0.78250000000000008</v>
      </c>
      <c r="Q37" s="1631">
        <v>46084.796249999999</v>
      </c>
      <c r="R37" s="747">
        <v>0.78225000000000011</v>
      </c>
      <c r="T37" s="1628">
        <v>0.39786899999999997</v>
      </c>
      <c r="U37" s="747">
        <v>-6.4131340986347193E-2</v>
      </c>
      <c r="V37" s="747">
        <v>-3.4331040466009863</v>
      </c>
      <c r="W37" s="747">
        <v>-1.287147</v>
      </c>
      <c r="X37" s="747" t="s">
        <v>519</v>
      </c>
      <c r="AA37" s="1631"/>
      <c r="AC37" s="1627"/>
      <c r="AD37" s="747">
        <v>1</v>
      </c>
      <c r="AG37" s="1628">
        <v>4.2616663115282836E-4</v>
      </c>
    </row>
    <row r="38" spans="1:33" x14ac:dyDescent="0.2">
      <c r="A38" s="747" t="s">
        <v>1508</v>
      </c>
      <c r="B38" s="747" t="s">
        <v>1509</v>
      </c>
      <c r="C38" s="747" t="s">
        <v>2288</v>
      </c>
      <c r="D38" s="747" t="s">
        <v>2139</v>
      </c>
      <c r="E38" s="747" t="s">
        <v>2130</v>
      </c>
      <c r="F38" s="747" t="s">
        <v>369</v>
      </c>
      <c r="G38" s="747" t="s">
        <v>2289</v>
      </c>
      <c r="H38" s="1840" t="s">
        <v>2290</v>
      </c>
      <c r="J38" s="747" t="s">
        <v>2289</v>
      </c>
      <c r="L38" s="1630"/>
      <c r="M38" s="747">
        <v>10697</v>
      </c>
      <c r="N38" s="747">
        <v>4.9000000000000004</v>
      </c>
      <c r="O38" s="747">
        <v>4.95</v>
      </c>
      <c r="P38" s="747">
        <v>268</v>
      </c>
      <c r="Q38" s="1631">
        <v>46084.73300925926</v>
      </c>
      <c r="R38" s="747">
        <v>4.95</v>
      </c>
      <c r="T38" s="1628">
        <v>-3.2258064516128999</v>
      </c>
      <c r="U38" s="747">
        <v>-1.9607839999999999</v>
      </c>
      <c r="V38" s="747">
        <v>3.6432159999999998</v>
      </c>
      <c r="W38" s="747">
        <v>4.6440261865793904</v>
      </c>
      <c r="Y38" s="747" t="s">
        <v>2133</v>
      </c>
      <c r="AA38" s="1631"/>
      <c r="AC38" s="1627"/>
      <c r="AD38" s="747">
        <v>1</v>
      </c>
      <c r="AG38" s="1628">
        <v>6.7796610169491281E-3</v>
      </c>
    </row>
    <row r="39" spans="1:33" x14ac:dyDescent="0.2">
      <c r="A39" s="747" t="s">
        <v>834</v>
      </c>
      <c r="B39" s="747" t="s">
        <v>976</v>
      </c>
      <c r="C39" s="747" t="s">
        <v>2230</v>
      </c>
      <c r="D39" s="747" t="s">
        <v>2092</v>
      </c>
      <c r="F39" s="747" t="s">
        <v>381</v>
      </c>
      <c r="G39" s="747" t="s">
        <v>2231</v>
      </c>
      <c r="H39" s="1840" t="s">
        <v>2232</v>
      </c>
      <c r="L39" s="1630"/>
      <c r="N39" s="747">
        <v>0.8619</v>
      </c>
      <c r="O39" s="747">
        <v>0.86210000000000009</v>
      </c>
      <c r="Q39" s="1631">
        <v>46084.796284722222</v>
      </c>
      <c r="R39" s="747">
        <v>0.86199999999999999</v>
      </c>
      <c r="T39" s="1628">
        <v>0.74801299999999993</v>
      </c>
      <c r="U39" s="747">
        <v>0.88432967810399132</v>
      </c>
      <c r="V39" s="747">
        <v>-0.43058303270103998</v>
      </c>
      <c r="W39" s="747">
        <v>1.256901</v>
      </c>
      <c r="X39" s="747" t="s">
        <v>2231</v>
      </c>
      <c r="AA39" s="1631"/>
      <c r="AC39" s="1627"/>
      <c r="AD39" s="747">
        <v>1</v>
      </c>
      <c r="AG39" s="1628">
        <v>1.5468502262275339E-4</v>
      </c>
    </row>
    <row r="40" spans="1:33" x14ac:dyDescent="0.2">
      <c r="A40" s="747" t="s">
        <v>1788</v>
      </c>
      <c r="B40" s="747" t="s">
        <v>2297</v>
      </c>
      <c r="C40" s="747" t="s">
        <v>2298</v>
      </c>
      <c r="D40" s="747" t="s">
        <v>2120</v>
      </c>
      <c r="F40" s="747" t="s">
        <v>381</v>
      </c>
      <c r="G40" s="747" t="s">
        <v>2299</v>
      </c>
      <c r="H40" s="1840" t="s">
        <v>2300</v>
      </c>
      <c r="J40" s="747" t="s">
        <v>2301</v>
      </c>
      <c r="L40" s="1630"/>
      <c r="Q40" s="1631">
        <v>46083.746527777781</v>
      </c>
      <c r="R40" s="747">
        <v>40.53</v>
      </c>
      <c r="T40" s="1628">
        <v>-2.2431259044862601</v>
      </c>
      <c r="U40" s="747">
        <v>4.10994091959929</v>
      </c>
      <c r="V40" s="747">
        <v>4.4049459041731005</v>
      </c>
      <c r="W40" s="747">
        <v>-1.0498046875</v>
      </c>
      <c r="Y40" s="747" t="s">
        <v>2168</v>
      </c>
      <c r="AA40" s="1631"/>
      <c r="AB40" s="747">
        <v>2.15</v>
      </c>
      <c r="AC40" s="1627">
        <v>45782</v>
      </c>
      <c r="AD40" s="747">
        <v>1</v>
      </c>
      <c r="AG40" s="1628"/>
    </row>
    <row r="41" spans="1:33" x14ac:dyDescent="0.2">
      <c r="A41" s="747" t="s">
        <v>986</v>
      </c>
      <c r="B41" s="747" t="s">
        <v>2272</v>
      </c>
      <c r="C41" s="747" t="s">
        <v>2273</v>
      </c>
      <c r="D41" s="747" t="s">
        <v>2097</v>
      </c>
      <c r="E41" s="747" t="s">
        <v>2098</v>
      </c>
      <c r="F41" s="747" t="s">
        <v>381</v>
      </c>
      <c r="G41" s="747" t="s">
        <v>2274</v>
      </c>
      <c r="H41" s="1840" t="s">
        <v>2275</v>
      </c>
      <c r="I41" s="747">
        <v>0.01</v>
      </c>
      <c r="J41" s="747" t="s">
        <v>2276</v>
      </c>
      <c r="K41" s="1627">
        <v>46076</v>
      </c>
      <c r="L41" s="1630"/>
      <c r="Q41" s="1631">
        <v>46071.908101851855</v>
      </c>
      <c r="R41" s="747">
        <v>99.872</v>
      </c>
      <c r="S41" s="747">
        <v>9.9178080000000002E-3</v>
      </c>
      <c r="T41" s="1628">
        <v>7.6233273817876104E-2</v>
      </c>
      <c r="U41" s="747">
        <v>0.10424184107129</v>
      </c>
      <c r="V41" s="747">
        <v>0.45968918171301998</v>
      </c>
      <c r="W41" s="747">
        <v>0.22099447513813</v>
      </c>
      <c r="X41" s="747" t="s">
        <v>2274</v>
      </c>
      <c r="Y41" s="747" t="s">
        <v>2102</v>
      </c>
      <c r="AA41" s="1631">
        <v>46075</v>
      </c>
      <c r="AC41" s="1627"/>
      <c r="AE41" s="747" t="s">
        <v>2103</v>
      </c>
      <c r="AF41" s="747">
        <v>1000</v>
      </c>
      <c r="AG41" s="1628"/>
    </row>
    <row r="42" spans="1:33" x14ac:dyDescent="0.2">
      <c r="A42" s="747" t="s">
        <v>1798</v>
      </c>
      <c r="B42" s="747" t="s">
        <v>2319</v>
      </c>
      <c r="C42" s="747" t="s">
        <v>2320</v>
      </c>
      <c r="D42" s="747" t="s">
        <v>2120</v>
      </c>
      <c r="F42" s="747" t="s">
        <v>478</v>
      </c>
      <c r="G42" s="747" t="s">
        <v>585</v>
      </c>
      <c r="H42" s="1840" t="s">
        <v>2321</v>
      </c>
      <c r="J42" s="747" t="s">
        <v>2322</v>
      </c>
      <c r="L42" s="1630"/>
      <c r="Q42" s="1631">
        <v>46083.263912037037</v>
      </c>
      <c r="R42" s="747">
        <v>59.25</v>
      </c>
      <c r="T42" s="1628">
        <v>1.43810991268618</v>
      </c>
      <c r="U42" s="747">
        <v>19.890732496964802</v>
      </c>
      <c r="V42" s="747">
        <v>33.235889363615996</v>
      </c>
      <c r="W42" s="747">
        <v>30.2484062431304</v>
      </c>
      <c r="Y42" s="747" t="s">
        <v>2323</v>
      </c>
      <c r="AA42" s="1631"/>
      <c r="AB42" s="747">
        <v>0.79093499999999994</v>
      </c>
      <c r="AC42" s="1627">
        <v>45721</v>
      </c>
      <c r="AD42" s="747">
        <v>1</v>
      </c>
      <c r="AG42" s="1628"/>
    </row>
    <row r="43" spans="1:33" x14ac:dyDescent="0.2">
      <c r="A43" s="747" t="s">
        <v>988</v>
      </c>
      <c r="B43" s="747" t="s">
        <v>2283</v>
      </c>
      <c r="C43" s="747" t="s">
        <v>2284</v>
      </c>
      <c r="D43" s="747" t="s">
        <v>2097</v>
      </c>
      <c r="E43" s="747" t="s">
        <v>2159</v>
      </c>
      <c r="F43" s="747" t="s">
        <v>369</v>
      </c>
      <c r="G43" s="747" t="s">
        <v>2285</v>
      </c>
      <c r="H43" s="1840" t="s">
        <v>2286</v>
      </c>
      <c r="I43" s="747">
        <v>0.75</v>
      </c>
      <c r="J43" s="747" t="s">
        <v>2287</v>
      </c>
      <c r="K43" s="1627">
        <v>46101</v>
      </c>
      <c r="L43" s="1630">
        <v>0.26802007900000002</v>
      </c>
      <c r="M43" s="747">
        <v>200000</v>
      </c>
      <c r="N43" s="747">
        <v>100.01</v>
      </c>
      <c r="O43" s="747">
        <v>100.02</v>
      </c>
      <c r="P43" s="747">
        <v>200000</v>
      </c>
      <c r="Q43" s="1631">
        <v>46084.567881944444</v>
      </c>
      <c r="R43" s="747">
        <v>100.01</v>
      </c>
      <c r="S43" s="747">
        <v>0.7145833330000001</v>
      </c>
      <c r="T43" s="1628">
        <v>-9.9980003999199998E-3</v>
      </c>
      <c r="U43" s="747">
        <v>-1.9992003198740001E-2</v>
      </c>
      <c r="V43" s="747">
        <v>-5.9952038369299999E-2</v>
      </c>
      <c r="W43" s="747">
        <v>-5.9952038369299999E-2</v>
      </c>
      <c r="X43" s="747" t="s">
        <v>2285</v>
      </c>
      <c r="Y43" s="747" t="s">
        <v>2123</v>
      </c>
      <c r="AA43" s="1631">
        <v>46084.958333333336</v>
      </c>
      <c r="AC43" s="1627"/>
      <c r="AE43" s="747" t="s">
        <v>2103</v>
      </c>
      <c r="AF43" s="747">
        <v>5000</v>
      </c>
      <c r="AG43" s="1628">
        <v>6.6657778962744333E-5</v>
      </c>
    </row>
    <row r="44" spans="1:33" x14ac:dyDescent="0.2">
      <c r="A44" s="747" t="s">
        <v>989</v>
      </c>
      <c r="B44" s="747" t="s">
        <v>990</v>
      </c>
      <c r="C44" s="747" t="s">
        <v>2291</v>
      </c>
      <c r="D44" s="747" t="s">
        <v>2097</v>
      </c>
      <c r="E44" s="747" t="s">
        <v>2292</v>
      </c>
      <c r="F44" s="747" t="s">
        <v>366</v>
      </c>
      <c r="G44" s="747" t="s">
        <v>2293</v>
      </c>
      <c r="H44" s="1840" t="s">
        <v>2294</v>
      </c>
      <c r="I44" s="747">
        <v>1.05</v>
      </c>
      <c r="J44" s="747" t="s">
        <v>2295</v>
      </c>
      <c r="K44" s="1627">
        <v>46126</v>
      </c>
      <c r="L44" s="1630">
        <v>4.0835644169999998</v>
      </c>
      <c r="M44" s="747">
        <v>500000</v>
      </c>
      <c r="N44" s="747">
        <v>99.683000000000007</v>
      </c>
      <c r="O44" s="747">
        <v>99.688000000000002</v>
      </c>
      <c r="P44" s="747">
        <v>500000</v>
      </c>
      <c r="Q44" s="1631">
        <v>46084.751736111109</v>
      </c>
      <c r="R44" s="747">
        <v>99.683999999999997</v>
      </c>
      <c r="S44" s="747">
        <v>0.40541666700000001</v>
      </c>
      <c r="T44" s="1628">
        <v>1.3042911177769999E-2</v>
      </c>
      <c r="U44" s="747">
        <v>0.22121446742617001</v>
      </c>
      <c r="V44" s="747">
        <v>0.67065965032775998</v>
      </c>
      <c r="W44" s="747">
        <v>-3.8407258064516201</v>
      </c>
      <c r="X44" s="747" t="s">
        <v>2293</v>
      </c>
      <c r="Y44" s="747" t="s">
        <v>2296</v>
      </c>
      <c r="AA44" s="1631">
        <v>46084.916666666664</v>
      </c>
      <c r="AC44" s="1627"/>
      <c r="AE44" s="747" t="s">
        <v>2103</v>
      </c>
      <c r="AF44" s="747">
        <v>1000</v>
      </c>
      <c r="AG44" s="1628">
        <v>3.3438776943264106E-5</v>
      </c>
    </row>
    <row r="45" spans="1:33" x14ac:dyDescent="0.2">
      <c r="A45" s="747" t="s">
        <v>1128</v>
      </c>
      <c r="B45" s="747" t="s">
        <v>2353</v>
      </c>
      <c r="C45" s="747" t="s">
        <v>2354</v>
      </c>
      <c r="D45" s="747" t="s">
        <v>2139</v>
      </c>
      <c r="E45" s="747" t="s">
        <v>2355</v>
      </c>
      <c r="F45" s="747" t="s">
        <v>366</v>
      </c>
      <c r="G45" s="747" t="s">
        <v>1129</v>
      </c>
      <c r="H45" s="1840" t="s">
        <v>2356</v>
      </c>
      <c r="J45" s="747" t="s">
        <v>1129</v>
      </c>
      <c r="L45" s="1630"/>
      <c r="M45" s="747">
        <v>2300</v>
      </c>
      <c r="N45" s="747">
        <v>46.77</v>
      </c>
      <c r="O45" s="747">
        <v>46.79</v>
      </c>
      <c r="P45" s="747">
        <v>900</v>
      </c>
      <c r="Q45" s="1631">
        <v>46084.785439814812</v>
      </c>
      <c r="R45" s="747">
        <v>46.78</v>
      </c>
      <c r="T45" s="1628">
        <v>-0.88353073288557005</v>
      </c>
      <c r="U45" s="747">
        <v>-5.4498709999999999</v>
      </c>
      <c r="V45" s="747">
        <v>-14.337720000000001</v>
      </c>
      <c r="W45" s="747">
        <v>-12.5127670893632</v>
      </c>
      <c r="Y45" s="747" t="s">
        <v>2133</v>
      </c>
      <c r="AA45" s="1631"/>
      <c r="AB45" s="747">
        <v>9.0000000000000011E-3</v>
      </c>
      <c r="AC45" s="1627">
        <v>45831</v>
      </c>
      <c r="AD45" s="747">
        <v>1</v>
      </c>
      <c r="AG45" s="1628">
        <v>2.8504240005695176E-4</v>
      </c>
    </row>
    <row r="46" spans="1:33" x14ac:dyDescent="0.2">
      <c r="A46" s="747" t="s">
        <v>991</v>
      </c>
      <c r="B46" s="747" t="s">
        <v>2302</v>
      </c>
      <c r="C46" s="747" t="s">
        <v>2303</v>
      </c>
      <c r="D46" s="747" t="s">
        <v>2097</v>
      </c>
      <c r="E46" s="747" t="s">
        <v>2159</v>
      </c>
      <c r="F46" s="747" t="s">
        <v>369</v>
      </c>
      <c r="G46" s="747" t="s">
        <v>2304</v>
      </c>
      <c r="H46" s="1840" t="s">
        <v>2305</v>
      </c>
      <c r="I46" s="747">
        <v>1.8</v>
      </c>
      <c r="J46" s="747" t="s">
        <v>2306</v>
      </c>
      <c r="K46" s="1627">
        <v>46157</v>
      </c>
      <c r="L46" s="1630">
        <v>0.86026335200000004</v>
      </c>
      <c r="M46" s="747">
        <v>100000</v>
      </c>
      <c r="N46" s="747">
        <v>100.17</v>
      </c>
      <c r="O46" s="747">
        <v>100.26</v>
      </c>
      <c r="P46" s="747">
        <v>100000</v>
      </c>
      <c r="Q46" s="1631">
        <v>46084.708333333336</v>
      </c>
      <c r="R46" s="747">
        <v>100.18</v>
      </c>
      <c r="S46" s="747">
        <v>1.44</v>
      </c>
      <c r="T46" s="1628">
        <v>0</v>
      </c>
      <c r="U46" s="747">
        <v>-0.1196410767697</v>
      </c>
      <c r="V46" s="747">
        <v>-0.15945784333266999</v>
      </c>
      <c r="W46" s="747">
        <v>-8.9757654333289999E-2</v>
      </c>
      <c r="X46" s="747" t="s">
        <v>2304</v>
      </c>
      <c r="Y46" s="747" t="s">
        <v>2307</v>
      </c>
      <c r="AA46" s="1631">
        <v>46084.916666666664</v>
      </c>
      <c r="AC46" s="1627"/>
      <c r="AE46" s="747" t="s">
        <v>2103</v>
      </c>
      <c r="AF46" s="747">
        <v>5000</v>
      </c>
      <c r="AG46" s="1628">
        <v>5.9880239520960349E-4</v>
      </c>
    </row>
    <row r="47" spans="1:33" x14ac:dyDescent="0.2">
      <c r="A47" s="747" t="s">
        <v>1487</v>
      </c>
      <c r="B47" s="747" t="s">
        <v>2363</v>
      </c>
      <c r="C47" s="747" t="s">
        <v>2364</v>
      </c>
      <c r="D47" s="747" t="s">
        <v>2139</v>
      </c>
      <c r="E47" s="747" t="s">
        <v>2355</v>
      </c>
      <c r="F47" s="747" t="s">
        <v>366</v>
      </c>
      <c r="G47" s="747" t="s">
        <v>2365</v>
      </c>
      <c r="H47" s="1840" t="s">
        <v>2366</v>
      </c>
      <c r="J47" s="747" t="s">
        <v>2365</v>
      </c>
      <c r="L47" s="1630"/>
      <c r="M47" s="747">
        <v>100</v>
      </c>
      <c r="N47" s="747">
        <v>175.72</v>
      </c>
      <c r="O47" s="747">
        <v>175.73</v>
      </c>
      <c r="P47" s="747">
        <v>100</v>
      </c>
      <c r="Q47" s="1631">
        <v>46084.785821759258</v>
      </c>
      <c r="R47" s="747">
        <v>175.73</v>
      </c>
      <c r="T47" s="1628">
        <v>-1.77193963107883</v>
      </c>
      <c r="U47" s="747">
        <v>4.0068659999999996</v>
      </c>
      <c r="V47" s="747">
        <v>14.676324999999999</v>
      </c>
      <c r="W47" s="747">
        <v>15.2631918046518</v>
      </c>
      <c r="Y47" s="747" t="s">
        <v>2133</v>
      </c>
      <c r="AA47" s="1631"/>
      <c r="AB47" s="747">
        <v>0.53160200000000002</v>
      </c>
      <c r="AC47" s="1627">
        <v>46013</v>
      </c>
      <c r="AD47" s="747">
        <v>1</v>
      </c>
      <c r="AG47" s="1628">
        <v>3.7938425934673465E-5</v>
      </c>
    </row>
    <row r="48" spans="1:33" x14ac:dyDescent="0.2">
      <c r="A48" s="747" t="s">
        <v>992</v>
      </c>
      <c r="B48" s="747" t="s">
        <v>2313</v>
      </c>
      <c r="C48" s="747" t="s">
        <v>2314</v>
      </c>
      <c r="D48" s="747" t="s">
        <v>2097</v>
      </c>
      <c r="E48" s="747" t="s">
        <v>2292</v>
      </c>
      <c r="F48" s="747" t="s">
        <v>366</v>
      </c>
      <c r="G48" s="747" t="s">
        <v>2315</v>
      </c>
      <c r="H48" s="1840" t="s">
        <v>2316</v>
      </c>
      <c r="I48" s="747">
        <v>0.75</v>
      </c>
      <c r="J48" s="747" t="s">
        <v>2317</v>
      </c>
      <c r="K48" s="1627">
        <v>46161</v>
      </c>
      <c r="L48" s="1630">
        <v>3.8847006400000001</v>
      </c>
      <c r="M48" s="747">
        <v>500000</v>
      </c>
      <c r="N48" s="747">
        <v>99.365000000000009</v>
      </c>
      <c r="O48" s="747">
        <v>99.394000000000005</v>
      </c>
      <c r="P48" s="747">
        <v>500000</v>
      </c>
      <c r="Q48" s="1631">
        <v>46084.752152777779</v>
      </c>
      <c r="R48" s="747">
        <v>99.359000000000009</v>
      </c>
      <c r="S48" s="747">
        <v>0.21666666700000001</v>
      </c>
      <c r="T48" s="1628">
        <v>0</v>
      </c>
      <c r="U48" s="747">
        <v>0.23100978513066001</v>
      </c>
      <c r="V48" s="747">
        <v>0.71053538486489998</v>
      </c>
      <c r="W48" s="747">
        <v>-0.90017194295540004</v>
      </c>
      <c r="X48" s="747" t="s">
        <v>2315</v>
      </c>
      <c r="Y48" s="747" t="s">
        <v>2318</v>
      </c>
      <c r="AA48" s="1631">
        <v>46084.916666666664</v>
      </c>
      <c r="AC48" s="1627"/>
      <c r="AE48" s="747" t="s">
        <v>2103</v>
      </c>
      <c r="AF48" s="747">
        <v>5000</v>
      </c>
      <c r="AG48" s="1628">
        <v>1.9454991882569912E-4</v>
      </c>
    </row>
    <row r="49" spans="1:33" x14ac:dyDescent="0.2">
      <c r="A49" s="747" t="s">
        <v>4348</v>
      </c>
      <c r="B49" s="747" t="s">
        <v>4356</v>
      </c>
      <c r="C49" s="747" t="s">
        <v>2391</v>
      </c>
      <c r="D49" s="747" t="s">
        <v>2139</v>
      </c>
      <c r="E49" s="747" t="s">
        <v>2098</v>
      </c>
      <c r="F49" s="747" t="s">
        <v>381</v>
      </c>
      <c r="G49" s="747" t="s">
        <v>2392</v>
      </c>
      <c r="H49" s="1840" t="s">
        <v>2393</v>
      </c>
      <c r="J49" s="747" t="s">
        <v>2392</v>
      </c>
      <c r="L49" s="1630"/>
      <c r="M49" s="747">
        <v>3415</v>
      </c>
      <c r="N49" s="747">
        <v>29.29</v>
      </c>
      <c r="O49" s="747">
        <v>29.5</v>
      </c>
      <c r="P49" s="747">
        <v>3390</v>
      </c>
      <c r="Q49" s="1631">
        <v>46084.781388888892</v>
      </c>
      <c r="R49" s="747">
        <v>29.295000000000002</v>
      </c>
      <c r="T49" s="1628">
        <v>-0.66247664345168</v>
      </c>
      <c r="U49" s="747">
        <v>-8.6556169429097505</v>
      </c>
      <c r="V49" s="747">
        <v>-10.818100089901098</v>
      </c>
      <c r="W49" s="747">
        <v>-14.5653761869979</v>
      </c>
      <c r="Y49" s="747" t="s">
        <v>2133</v>
      </c>
      <c r="AA49" s="1631"/>
      <c r="AB49" s="747">
        <v>0.19862099999999999</v>
      </c>
      <c r="AC49" s="1627">
        <v>46037</v>
      </c>
      <c r="AD49" s="747">
        <v>1</v>
      </c>
      <c r="AG49" s="1628">
        <v>4.7683923705722263E-3</v>
      </c>
    </row>
    <row r="50" spans="1:33" x14ac:dyDescent="0.2">
      <c r="A50" s="747" t="s">
        <v>993</v>
      </c>
      <c r="B50" s="747" t="s">
        <v>2324</v>
      </c>
      <c r="C50" s="747" t="s">
        <v>2325</v>
      </c>
      <c r="D50" s="747" t="s">
        <v>2097</v>
      </c>
      <c r="E50" s="747" t="s">
        <v>2292</v>
      </c>
      <c r="F50" s="747" t="s">
        <v>366</v>
      </c>
      <c r="G50" s="747" t="s">
        <v>2326</v>
      </c>
      <c r="H50" s="1840" t="s">
        <v>2327</v>
      </c>
      <c r="I50" s="747">
        <v>1.2</v>
      </c>
      <c r="J50" s="747" t="s">
        <v>2328</v>
      </c>
      <c r="K50" s="1627">
        <v>46176</v>
      </c>
      <c r="L50" s="1630">
        <v>4.0962759140000005</v>
      </c>
      <c r="M50" s="747">
        <v>500000</v>
      </c>
      <c r="N50" s="747">
        <v>99.296999999999997</v>
      </c>
      <c r="O50" s="747">
        <v>99.361000000000004</v>
      </c>
      <c r="P50" s="747">
        <v>500000</v>
      </c>
      <c r="Q50" s="1631">
        <v>46084.750543981485</v>
      </c>
      <c r="R50" s="747">
        <v>99.299000000000007</v>
      </c>
      <c r="S50" s="747">
        <v>0.30000000000000004</v>
      </c>
      <c r="T50" s="1628">
        <v>3.0212697389699998E-3</v>
      </c>
      <c r="U50" s="747">
        <v>0.19070297758988999</v>
      </c>
      <c r="V50" s="747">
        <v>0.64259796071436004</v>
      </c>
      <c r="X50" s="747" t="s">
        <v>2326</v>
      </c>
      <c r="Y50" s="747" t="s">
        <v>2102</v>
      </c>
      <c r="AA50" s="1631">
        <v>46084.916666666664</v>
      </c>
      <c r="AC50" s="1627"/>
      <c r="AE50" s="747" t="s">
        <v>2103</v>
      </c>
      <c r="AF50" s="747">
        <v>1000</v>
      </c>
      <c r="AG50" s="1628">
        <v>4.2959507308155368E-4</v>
      </c>
    </row>
    <row r="51" spans="1:33" x14ac:dyDescent="0.2">
      <c r="A51" s="747" t="s">
        <v>4420</v>
      </c>
      <c r="B51" s="747" t="s">
        <v>4421</v>
      </c>
      <c r="C51" s="747" t="s">
        <v>4422</v>
      </c>
      <c r="D51" s="747" t="s">
        <v>2120</v>
      </c>
      <c r="F51" s="747" t="s">
        <v>369</v>
      </c>
      <c r="G51" s="747" t="s">
        <v>4423</v>
      </c>
      <c r="H51" s="1840" t="s">
        <v>4424</v>
      </c>
      <c r="J51" s="747" t="s">
        <v>4425</v>
      </c>
      <c r="L51" s="1630"/>
      <c r="M51" s="747">
        <v>1000</v>
      </c>
      <c r="N51" s="747">
        <v>49.5</v>
      </c>
      <c r="O51" s="747">
        <v>48.300000000000004</v>
      </c>
      <c r="P51" s="747">
        <v>15</v>
      </c>
      <c r="Q51" s="1631">
        <v>46084.730081018519</v>
      </c>
      <c r="R51" s="747">
        <v>48.660000000000004</v>
      </c>
      <c r="T51" s="1628">
        <v>-1.7366720516962899</v>
      </c>
      <c r="U51" s="747">
        <v>11.965024999999999</v>
      </c>
      <c r="V51" s="747">
        <v>20.744416999999999</v>
      </c>
      <c r="W51" s="747">
        <v>16.7373880245168</v>
      </c>
      <c r="Y51" s="747" t="s">
        <v>3147</v>
      </c>
      <c r="Z51" s="747">
        <v>7.0283600000000002</v>
      </c>
      <c r="AA51" s="1631"/>
      <c r="AC51" s="1627"/>
      <c r="AD51" s="747">
        <v>1</v>
      </c>
      <c r="AG51" s="1628">
        <v>-1.6293279022403198E-2</v>
      </c>
    </row>
    <row r="52" spans="1:33" x14ac:dyDescent="0.2">
      <c r="A52" s="747" t="s">
        <v>994</v>
      </c>
      <c r="B52" s="747" t="s">
        <v>2329</v>
      </c>
      <c r="C52" s="747" t="s">
        <v>2330</v>
      </c>
      <c r="D52" s="747" t="s">
        <v>2097</v>
      </c>
      <c r="E52" s="747" t="s">
        <v>2331</v>
      </c>
      <c r="F52" s="747" t="s">
        <v>369</v>
      </c>
      <c r="G52" s="747" t="s">
        <v>2332</v>
      </c>
      <c r="H52" s="1840" t="s">
        <v>2333</v>
      </c>
      <c r="I52" s="747">
        <v>0.2</v>
      </c>
      <c r="J52" s="747" t="s">
        <v>2334</v>
      </c>
      <c r="K52" s="1627">
        <v>46185</v>
      </c>
      <c r="L52" s="1630">
        <v>0.27388140799999999</v>
      </c>
      <c r="M52" s="747">
        <v>100000</v>
      </c>
      <c r="N52" s="747">
        <v>99.98</v>
      </c>
      <c r="O52" s="747">
        <v>100.03</v>
      </c>
      <c r="P52" s="747">
        <v>135000</v>
      </c>
      <c r="Q52" s="1631">
        <v>46084.708333333336</v>
      </c>
      <c r="R52" s="747">
        <v>99.98</v>
      </c>
      <c r="S52" s="747">
        <v>0.14499999999999999</v>
      </c>
      <c r="T52" s="1628">
        <v>0</v>
      </c>
      <c r="U52" s="747">
        <v>3.0015007503759999E-2</v>
      </c>
      <c r="V52" s="747">
        <v>7.0063056751089994E-2</v>
      </c>
      <c r="W52" s="747">
        <v>6.0048038430750003E-2</v>
      </c>
      <c r="X52" s="747" t="s">
        <v>2332</v>
      </c>
      <c r="Y52" s="747" t="s">
        <v>2102</v>
      </c>
      <c r="AA52" s="1631">
        <v>46084.916666666664</v>
      </c>
      <c r="AC52" s="1627"/>
      <c r="AE52" s="747" t="s">
        <v>2103</v>
      </c>
      <c r="AF52" s="747">
        <v>5000</v>
      </c>
      <c r="AG52" s="1628">
        <v>3.3334444481480821E-4</v>
      </c>
    </row>
    <row r="53" spans="1:33" x14ac:dyDescent="0.2">
      <c r="A53" s="747" t="s">
        <v>1007</v>
      </c>
      <c r="B53" s="747" t="s">
        <v>2381</v>
      </c>
      <c r="C53" s="747" t="s">
        <v>2382</v>
      </c>
      <c r="D53" s="747" t="s">
        <v>2097</v>
      </c>
      <c r="E53" s="747" t="s">
        <v>2159</v>
      </c>
      <c r="F53" s="747" t="s">
        <v>369</v>
      </c>
      <c r="G53" s="747" t="s">
        <v>2383</v>
      </c>
      <c r="H53" s="1840" t="s">
        <v>2384</v>
      </c>
      <c r="I53" s="747">
        <v>0.4</v>
      </c>
      <c r="J53" s="747" t="s">
        <v>2385</v>
      </c>
      <c r="K53" s="1627">
        <v>46559</v>
      </c>
      <c r="L53" s="1630">
        <v>0.39211367000000003</v>
      </c>
      <c r="M53" s="747">
        <v>50000</v>
      </c>
      <c r="N53" s="747">
        <v>99.850000000000009</v>
      </c>
      <c r="O53" s="747">
        <v>99.960000000000008</v>
      </c>
      <c r="P53" s="747">
        <v>250000</v>
      </c>
      <c r="Q53" s="1631">
        <v>46084.642997685187</v>
      </c>
      <c r="R53" s="747">
        <v>99.76</v>
      </c>
      <c r="S53" s="747">
        <v>0.28000000000000003</v>
      </c>
      <c r="T53" s="1628">
        <v>-0.24997500249974999</v>
      </c>
      <c r="U53" s="747">
        <v>-6.0107999999999995E-2</v>
      </c>
      <c r="V53" s="747">
        <v>0.110386</v>
      </c>
      <c r="W53" s="747">
        <v>0.421729089266</v>
      </c>
      <c r="X53" s="747" t="s">
        <v>2383</v>
      </c>
      <c r="Y53" s="747" t="s">
        <v>2113</v>
      </c>
      <c r="AA53" s="1631">
        <v>46084.916666666664</v>
      </c>
      <c r="AC53" s="1627"/>
      <c r="AE53" s="747" t="s">
        <v>2103</v>
      </c>
      <c r="AF53" s="747">
        <v>5000</v>
      </c>
      <c r="AG53" s="1628">
        <v>7.3416538743909378E-4</v>
      </c>
    </row>
    <row r="54" spans="1:33" x14ac:dyDescent="0.2">
      <c r="A54" s="747" t="s">
        <v>995</v>
      </c>
      <c r="B54" s="747" t="s">
        <v>2338</v>
      </c>
      <c r="C54" s="747" t="s">
        <v>2339</v>
      </c>
      <c r="D54" s="747" t="s">
        <v>2097</v>
      </c>
      <c r="E54" s="747" t="s">
        <v>2159</v>
      </c>
      <c r="F54" s="747" t="s">
        <v>369</v>
      </c>
      <c r="G54" s="747" t="s">
        <v>2340</v>
      </c>
      <c r="H54" s="1840" t="s">
        <v>2341</v>
      </c>
      <c r="I54" s="747">
        <v>0.01</v>
      </c>
      <c r="J54" s="747" t="s">
        <v>2342</v>
      </c>
      <c r="K54" s="1627">
        <v>46231</v>
      </c>
      <c r="L54" s="1630">
        <v>0.13593395900000002</v>
      </c>
      <c r="M54" s="747">
        <v>100000</v>
      </c>
      <c r="N54" s="747">
        <v>99.9</v>
      </c>
      <c r="O54" s="747">
        <v>100</v>
      </c>
      <c r="P54" s="747">
        <v>100000</v>
      </c>
      <c r="Q54" s="1631">
        <v>46084.708333333336</v>
      </c>
      <c r="R54" s="747">
        <v>99.94</v>
      </c>
      <c r="S54" s="747">
        <v>5.9722220000000001E-3</v>
      </c>
      <c r="T54" s="1628">
        <v>-1.0005002501259999E-2</v>
      </c>
      <c r="U54" s="747">
        <v>1.0006003602170001E-2</v>
      </c>
      <c r="V54" s="747">
        <v>4.0036032429200001E-2</v>
      </c>
      <c r="W54" s="747">
        <v>4.0036032429200001E-2</v>
      </c>
      <c r="X54" s="747" t="s">
        <v>2340</v>
      </c>
      <c r="Y54" s="747" t="s">
        <v>2102</v>
      </c>
      <c r="AA54" s="1631">
        <v>46084.916666666664</v>
      </c>
      <c r="AC54" s="1627"/>
      <c r="AE54" s="747" t="s">
        <v>2103</v>
      </c>
      <c r="AF54" s="747">
        <v>5000</v>
      </c>
      <c r="AG54" s="1628">
        <v>6.6711140760503215E-4</v>
      </c>
    </row>
    <row r="55" spans="1:33" x14ac:dyDescent="0.2">
      <c r="A55" s="747" t="s">
        <v>4334</v>
      </c>
      <c r="B55" s="747" t="s">
        <v>4339</v>
      </c>
      <c r="C55" s="747" t="s">
        <v>2801</v>
      </c>
      <c r="D55" s="747" t="s">
        <v>2139</v>
      </c>
      <c r="E55" s="747" t="s">
        <v>2098</v>
      </c>
      <c r="F55" s="747" t="s">
        <v>381</v>
      </c>
      <c r="G55" s="747" t="s">
        <v>2802</v>
      </c>
      <c r="H55" s="1840" t="s">
        <v>2803</v>
      </c>
      <c r="J55" s="747" t="s">
        <v>2802</v>
      </c>
      <c r="L55" s="1630"/>
      <c r="M55" s="747">
        <v>1110</v>
      </c>
      <c r="N55" s="747">
        <v>90.16</v>
      </c>
      <c r="O55" s="747">
        <v>90.42</v>
      </c>
      <c r="P55" s="747">
        <v>1106</v>
      </c>
      <c r="Q55" s="1631">
        <v>46084.781331018516</v>
      </c>
      <c r="R55" s="747">
        <v>90.18</v>
      </c>
      <c r="T55" s="1628">
        <v>-3.4620362381363199</v>
      </c>
      <c r="U55" s="747">
        <v>-0.74295899999999993</v>
      </c>
      <c r="V55" s="747">
        <v>2.602017</v>
      </c>
      <c r="W55" s="747">
        <v>4.3909029497860796</v>
      </c>
      <c r="Y55" s="747" t="s">
        <v>2133</v>
      </c>
      <c r="AA55" s="1631"/>
      <c r="AB55" s="747">
        <v>0.23013799999999998</v>
      </c>
      <c r="AC55" s="1627">
        <v>46037</v>
      </c>
      <c r="AD55" s="747">
        <v>1</v>
      </c>
      <c r="AG55" s="1628">
        <v>1.9206618896358506E-3</v>
      </c>
    </row>
    <row r="56" spans="1:33" x14ac:dyDescent="0.2">
      <c r="A56" s="747" t="s">
        <v>996</v>
      </c>
      <c r="B56" s="747" t="s">
        <v>2347</v>
      </c>
      <c r="C56" s="747" t="s">
        <v>2348</v>
      </c>
      <c r="D56" s="747" t="s">
        <v>2097</v>
      </c>
      <c r="E56" s="747" t="s">
        <v>2349</v>
      </c>
      <c r="F56" s="747" t="s">
        <v>369</v>
      </c>
      <c r="G56" s="747" t="s">
        <v>2350</v>
      </c>
      <c r="H56" s="1840" t="s">
        <v>2351</v>
      </c>
      <c r="I56" s="747">
        <v>0.55600000000000005</v>
      </c>
      <c r="J56" s="747" t="s">
        <v>2352</v>
      </c>
      <c r="K56" s="1627">
        <v>46268</v>
      </c>
      <c r="L56" s="1630">
        <v>0.31205176500000004</v>
      </c>
      <c r="M56" s="747">
        <v>100000</v>
      </c>
      <c r="N56" s="747">
        <v>100.12</v>
      </c>
      <c r="O56" s="747">
        <v>100.15</v>
      </c>
      <c r="P56" s="747">
        <v>300000</v>
      </c>
      <c r="Q56" s="1631">
        <v>46084.708333333336</v>
      </c>
      <c r="R56" s="747">
        <v>100.12</v>
      </c>
      <c r="S56" s="747">
        <v>0.27800000000000002</v>
      </c>
      <c r="T56" s="1628">
        <v>-2.9955067398900002E-2</v>
      </c>
      <c r="U56" s="747">
        <v>9.9980003999199998E-2</v>
      </c>
      <c r="V56" s="747">
        <v>0.12</v>
      </c>
      <c r="W56" s="747">
        <v>0.28036447381597002</v>
      </c>
      <c r="X56" s="747" t="s">
        <v>2350</v>
      </c>
      <c r="Y56" s="747" t="s">
        <v>2261</v>
      </c>
      <c r="AA56" s="1631">
        <v>46084.916666666664</v>
      </c>
      <c r="AC56" s="1627"/>
      <c r="AE56" s="747" t="s">
        <v>2103</v>
      </c>
      <c r="AF56" s="747">
        <v>5000</v>
      </c>
      <c r="AG56" s="1628">
        <v>1.9974033756117805E-4</v>
      </c>
    </row>
    <row r="57" spans="1:33" x14ac:dyDescent="0.2">
      <c r="A57" s="747" t="s">
        <v>1008</v>
      </c>
      <c r="B57" s="747" t="s">
        <v>2398</v>
      </c>
      <c r="C57" s="747" t="s">
        <v>2399</v>
      </c>
      <c r="D57" s="747" t="s">
        <v>2097</v>
      </c>
      <c r="E57" s="747" t="s">
        <v>2159</v>
      </c>
      <c r="F57" s="747" t="s">
        <v>369</v>
      </c>
      <c r="G57" s="747" t="s">
        <v>2400</v>
      </c>
      <c r="H57" s="1840" t="s">
        <v>2401</v>
      </c>
      <c r="I57" s="747">
        <v>0.125</v>
      </c>
      <c r="J57" s="747" t="s">
        <v>2371</v>
      </c>
      <c r="K57" s="1627">
        <v>46625</v>
      </c>
      <c r="L57" s="1630">
        <v>0.42482878400000001</v>
      </c>
      <c r="M57" s="747">
        <v>100000</v>
      </c>
      <c r="N57" s="747">
        <v>99.320000000000007</v>
      </c>
      <c r="O57" s="747">
        <v>99.570000000000007</v>
      </c>
      <c r="P57" s="747">
        <v>60000</v>
      </c>
      <c r="Q57" s="1631">
        <v>46084.563206018516</v>
      </c>
      <c r="R57" s="747">
        <v>99.47</v>
      </c>
      <c r="S57" s="747">
        <v>6.4930556E-2</v>
      </c>
      <c r="T57" s="1628">
        <v>-8.0361627322959997E-2</v>
      </c>
      <c r="U57" s="747">
        <v>6.03015075377E-2</v>
      </c>
      <c r="V57" s="747">
        <v>0.12078499999999999</v>
      </c>
      <c r="W57" s="747">
        <v>0.25176233635446998</v>
      </c>
      <c r="X57" s="747" t="s">
        <v>2400</v>
      </c>
      <c r="Y57" s="747" t="s">
        <v>2113</v>
      </c>
      <c r="AA57" s="1631">
        <v>46084.916666666664</v>
      </c>
      <c r="AC57" s="1627"/>
      <c r="AE57" s="747" t="s">
        <v>2103</v>
      </c>
      <c r="AF57" s="747">
        <v>5000</v>
      </c>
      <c r="AG57" s="1628">
        <v>1.6766708024546458E-3</v>
      </c>
    </row>
    <row r="58" spans="1:33" x14ac:dyDescent="0.2">
      <c r="A58" s="747" t="s">
        <v>997</v>
      </c>
      <c r="B58" s="747" t="s">
        <v>2357</v>
      </c>
      <c r="C58" s="747" t="s">
        <v>2358</v>
      </c>
      <c r="D58" s="747" t="s">
        <v>2097</v>
      </c>
      <c r="E58" s="747" t="s">
        <v>2359</v>
      </c>
      <c r="F58" s="747" t="s">
        <v>369</v>
      </c>
      <c r="G58" s="747" t="s">
        <v>2360</v>
      </c>
      <c r="H58" s="1840" t="s">
        <v>2361</v>
      </c>
      <c r="I58" s="747">
        <v>0.2</v>
      </c>
      <c r="J58" s="747" t="s">
        <v>2362</v>
      </c>
      <c r="K58" s="1627">
        <v>46307</v>
      </c>
      <c r="L58" s="1630">
        <v>0.23304119300000001</v>
      </c>
      <c r="M58" s="747">
        <v>100000</v>
      </c>
      <c r="N58" s="747">
        <v>99.98</v>
      </c>
      <c r="O58" s="747">
        <v>100.07000000000001</v>
      </c>
      <c r="P58" s="747">
        <v>125000</v>
      </c>
      <c r="Q58" s="1631">
        <v>46084.604768518519</v>
      </c>
      <c r="R58" s="747">
        <v>99.97</v>
      </c>
      <c r="S58" s="747">
        <v>7.8333333000000005E-2</v>
      </c>
      <c r="T58" s="1628">
        <v>-2.0002000200040001E-2</v>
      </c>
      <c r="U58" s="747">
        <v>-1.000100010002E-2</v>
      </c>
      <c r="V58" s="747">
        <v>0</v>
      </c>
      <c r="W58" s="747">
        <v>3.001200480193E-2</v>
      </c>
      <c r="X58" s="747" t="s">
        <v>2360</v>
      </c>
      <c r="Y58" s="747" t="s">
        <v>2102</v>
      </c>
      <c r="AA58" s="1631">
        <v>46084.916666666664</v>
      </c>
      <c r="AC58" s="1627"/>
      <c r="AE58" s="747" t="s">
        <v>2103</v>
      </c>
      <c r="AF58" s="747">
        <v>5000</v>
      </c>
      <c r="AG58" s="1628">
        <v>5.9994000599942273E-4</v>
      </c>
    </row>
    <row r="59" spans="1:33" x14ac:dyDescent="0.2">
      <c r="A59" s="747" t="s">
        <v>1430</v>
      </c>
      <c r="B59" s="747" t="s">
        <v>2405</v>
      </c>
      <c r="C59" s="747" t="s">
        <v>2406</v>
      </c>
      <c r="D59" s="747" t="s">
        <v>2139</v>
      </c>
      <c r="E59" s="747" t="s">
        <v>2109</v>
      </c>
      <c r="F59" s="747" t="s">
        <v>366</v>
      </c>
      <c r="G59" s="747" t="s">
        <v>4450</v>
      </c>
      <c r="H59" s="1840" t="s">
        <v>2407</v>
      </c>
      <c r="J59" s="747" t="s">
        <v>4450</v>
      </c>
      <c r="L59" s="1630"/>
      <c r="M59" s="747">
        <v>8800</v>
      </c>
      <c r="N59" s="747">
        <v>34</v>
      </c>
      <c r="O59" s="747">
        <v>47.400000000000006</v>
      </c>
      <c r="P59" s="747">
        <v>4869</v>
      </c>
      <c r="Q59" s="1631">
        <v>46084.732847222222</v>
      </c>
      <c r="R59" s="747">
        <v>47.237500000000004</v>
      </c>
      <c r="T59" s="1628">
        <v>-1.8951194184839</v>
      </c>
      <c r="U59" s="747">
        <v>1.1509639999999999</v>
      </c>
      <c r="V59" s="747">
        <v>13.089537999999999</v>
      </c>
      <c r="W59" s="747">
        <v>14.275542897828501</v>
      </c>
      <c r="Y59" s="747" t="s">
        <v>2133</v>
      </c>
      <c r="AA59" s="1631"/>
      <c r="AC59" s="1627"/>
      <c r="AD59" s="747">
        <v>1</v>
      </c>
      <c r="AG59" s="1628">
        <v>0.23223570190641257</v>
      </c>
    </row>
    <row r="60" spans="1:33" x14ac:dyDescent="0.2">
      <c r="A60" s="747" t="s">
        <v>998</v>
      </c>
      <c r="B60" s="747" t="s">
        <v>2367</v>
      </c>
      <c r="C60" s="747" t="s">
        <v>2368</v>
      </c>
      <c r="D60" s="747" t="s">
        <v>2097</v>
      </c>
      <c r="E60" s="747" t="s">
        <v>2159</v>
      </c>
      <c r="F60" s="747" t="s">
        <v>369</v>
      </c>
      <c r="G60" s="747" t="s">
        <v>2369</v>
      </c>
      <c r="H60" s="1840" t="s">
        <v>2370</v>
      </c>
      <c r="I60" s="747">
        <v>0.375</v>
      </c>
      <c r="J60" s="747" t="s">
        <v>2371</v>
      </c>
      <c r="K60" s="1627">
        <v>46314</v>
      </c>
      <c r="L60" s="1630">
        <v>0.26194554800000003</v>
      </c>
      <c r="M60" s="747">
        <v>100000</v>
      </c>
      <c r="N60" s="747">
        <v>100.06</v>
      </c>
      <c r="O60" s="747">
        <v>100.15</v>
      </c>
      <c r="P60" s="747">
        <v>100000</v>
      </c>
      <c r="Q60" s="1631">
        <v>46084.404756944445</v>
      </c>
      <c r="R60" s="747">
        <v>100.05</v>
      </c>
      <c r="S60" s="747">
        <v>0.139583333</v>
      </c>
      <c r="T60" s="1628">
        <v>9.99600159936E-3</v>
      </c>
      <c r="U60" s="747">
        <v>3.9995999999999997E-2</v>
      </c>
      <c r="V60" s="747">
        <v>0.110066</v>
      </c>
      <c r="W60" s="747">
        <v>5.0005000500050002E-2</v>
      </c>
      <c r="X60" s="747" t="s">
        <v>2369</v>
      </c>
      <c r="Y60" s="747" t="s">
        <v>2113</v>
      </c>
      <c r="AA60" s="1631">
        <v>46084.916666666664</v>
      </c>
      <c r="AC60" s="1627"/>
      <c r="AE60" s="747" t="s">
        <v>2103</v>
      </c>
      <c r="AF60" s="747">
        <v>5000</v>
      </c>
      <c r="AG60" s="1628">
        <v>5.9946048556301602E-4</v>
      </c>
    </row>
    <row r="61" spans="1:33" x14ac:dyDescent="0.2">
      <c r="A61" s="747" t="s">
        <v>2008</v>
      </c>
      <c r="B61" s="747" t="s">
        <v>2425</v>
      </c>
      <c r="C61" s="747" t="s">
        <v>2426</v>
      </c>
      <c r="D61" s="747" t="s">
        <v>2139</v>
      </c>
      <c r="E61" s="747" t="s">
        <v>2355</v>
      </c>
      <c r="F61" s="747" t="s">
        <v>366</v>
      </c>
      <c r="G61" s="747" t="s">
        <v>2427</v>
      </c>
      <c r="H61" s="1840" t="s">
        <v>2428</v>
      </c>
      <c r="J61" s="747" t="s">
        <v>2427</v>
      </c>
      <c r="L61" s="1630"/>
      <c r="M61" s="747">
        <v>320</v>
      </c>
      <c r="N61" s="747">
        <v>337.36</v>
      </c>
      <c r="O61" s="747">
        <v>337.40000000000003</v>
      </c>
      <c r="P61" s="747">
        <v>40</v>
      </c>
      <c r="Q61" s="1631">
        <v>46084.785937499997</v>
      </c>
      <c r="R61" s="747">
        <v>337.37</v>
      </c>
      <c r="T61" s="1628">
        <v>-4.1727027410879201</v>
      </c>
      <c r="U61" s="747">
        <v>-2.3926629999999998</v>
      </c>
      <c r="V61" s="747">
        <v>8.0690629999999999</v>
      </c>
      <c r="W61" s="747">
        <v>16.901876141457802</v>
      </c>
      <c r="Y61" s="747" t="s">
        <v>2133</v>
      </c>
      <c r="AA61" s="1631"/>
      <c r="AB61" s="747">
        <v>0.43627199999999999</v>
      </c>
      <c r="AC61" s="1627">
        <v>46007</v>
      </c>
      <c r="AD61" s="747">
        <v>1</v>
      </c>
      <c r="AG61" s="1628">
        <v>7.9042010828795915E-5</v>
      </c>
    </row>
    <row r="62" spans="1:33" x14ac:dyDescent="0.2">
      <c r="A62" s="747" t="s">
        <v>999</v>
      </c>
      <c r="B62" s="747" t="s">
        <v>2376</v>
      </c>
      <c r="C62" s="747" t="s">
        <v>2377</v>
      </c>
      <c r="D62" s="747" t="s">
        <v>2097</v>
      </c>
      <c r="E62" s="747" t="s">
        <v>2098</v>
      </c>
      <c r="F62" s="747" t="s">
        <v>381</v>
      </c>
      <c r="G62" s="747" t="s">
        <v>2378</v>
      </c>
      <c r="H62" s="1840" t="s">
        <v>2379</v>
      </c>
      <c r="I62" s="747">
        <v>0.01</v>
      </c>
      <c r="J62" s="747" t="s">
        <v>2380</v>
      </c>
      <c r="K62" s="1627">
        <v>46321</v>
      </c>
      <c r="L62" s="1630">
        <v>2.1898465160000002</v>
      </c>
      <c r="M62" s="747">
        <v>1000000</v>
      </c>
      <c r="N62" s="747">
        <v>98.606999999999999</v>
      </c>
      <c r="O62" s="747">
        <v>98.608000000000004</v>
      </c>
      <c r="P62" s="747">
        <v>500000</v>
      </c>
      <c r="Q62" s="1631">
        <v>46084.754432870373</v>
      </c>
      <c r="R62" s="747">
        <v>98.606999999999999</v>
      </c>
      <c r="S62" s="747">
        <v>3.5068490000000003E-3</v>
      </c>
      <c r="T62" s="1628">
        <v>-9.1263081041700004E-3</v>
      </c>
      <c r="U62" s="747">
        <v>0.13301517997664999</v>
      </c>
      <c r="V62" s="747">
        <v>0.49526138795475999</v>
      </c>
      <c r="W62" s="747">
        <v>0.19433083043363999</v>
      </c>
      <c r="X62" s="747" t="s">
        <v>2378</v>
      </c>
      <c r="Y62" s="747" t="s">
        <v>2238</v>
      </c>
      <c r="AA62" s="1631">
        <v>46084.958333333336</v>
      </c>
      <c r="AC62" s="1627"/>
      <c r="AE62" s="747" t="s">
        <v>2103</v>
      </c>
      <c r="AF62" s="747">
        <v>1000</v>
      </c>
      <c r="AG62" s="1628">
        <v>6.7608223864673676E-6</v>
      </c>
    </row>
    <row r="63" spans="1:33" x14ac:dyDescent="0.2">
      <c r="A63" s="747" t="s">
        <v>1391</v>
      </c>
      <c r="B63" s="747" t="s">
        <v>2417</v>
      </c>
      <c r="C63" s="747" t="s">
        <v>2418</v>
      </c>
      <c r="D63" s="747" t="s">
        <v>2139</v>
      </c>
      <c r="E63" s="747" t="s">
        <v>2109</v>
      </c>
      <c r="F63" s="747" t="s">
        <v>381</v>
      </c>
      <c r="G63" s="747" t="s">
        <v>4451</v>
      </c>
      <c r="H63" s="1840" t="s">
        <v>2419</v>
      </c>
      <c r="J63" s="747" t="s">
        <v>4451</v>
      </c>
      <c r="L63" s="1630"/>
      <c r="Q63" s="1631">
        <v>46083.733159722222</v>
      </c>
      <c r="R63" s="747">
        <v>440.75</v>
      </c>
      <c r="T63" s="1628">
        <v>-1.5083798882681601</v>
      </c>
      <c r="U63" s="747">
        <v>2.6671325413463753</v>
      </c>
      <c r="V63" s="747">
        <v>11.216250315417611</v>
      </c>
      <c r="W63" s="747">
        <v>9.6938775510203996</v>
      </c>
      <c r="Y63" s="747" t="s">
        <v>2133</v>
      </c>
      <c r="AA63" s="1631"/>
      <c r="AC63" s="1627"/>
      <c r="AD63" s="747">
        <v>1</v>
      </c>
      <c r="AG63" s="1628"/>
    </row>
    <row r="64" spans="1:33" x14ac:dyDescent="0.2">
      <c r="A64" s="747" t="s">
        <v>1000</v>
      </c>
      <c r="B64" s="747" t="s">
        <v>2386</v>
      </c>
      <c r="C64" s="747" t="s">
        <v>2387</v>
      </c>
      <c r="D64" s="747" t="s">
        <v>2097</v>
      </c>
      <c r="E64" s="747" t="s">
        <v>2331</v>
      </c>
      <c r="F64" s="747" t="s">
        <v>381</v>
      </c>
      <c r="G64" s="747" t="s">
        <v>2388</v>
      </c>
      <c r="H64" s="1840" t="s">
        <v>2389</v>
      </c>
      <c r="I64" s="747">
        <v>0.25</v>
      </c>
      <c r="J64" s="747" t="s">
        <v>2390</v>
      </c>
      <c r="K64" s="1627">
        <v>46326</v>
      </c>
      <c r="L64" s="1630">
        <v>2.2029207899999999</v>
      </c>
      <c r="M64" s="747">
        <v>1000000</v>
      </c>
      <c r="N64" s="747">
        <v>98.731999999999999</v>
      </c>
      <c r="O64" s="747">
        <v>98.963999999999999</v>
      </c>
      <c r="P64" s="747">
        <v>100000</v>
      </c>
      <c r="Q64" s="1631">
        <v>46084.753472222219</v>
      </c>
      <c r="R64" s="747">
        <v>98.731999999999999</v>
      </c>
      <c r="S64" s="747">
        <v>8.4246575000000004E-2</v>
      </c>
      <c r="T64" s="1628">
        <v>-1.0128325889000001E-3</v>
      </c>
      <c r="U64" s="747">
        <v>0.13082633564561999</v>
      </c>
      <c r="V64" s="747">
        <v>0.46808380735299998</v>
      </c>
      <c r="W64" s="747">
        <v>-0.20422678317415</v>
      </c>
      <c r="X64" s="747" t="s">
        <v>2388</v>
      </c>
      <c r="Y64" s="747" t="s">
        <v>2102</v>
      </c>
      <c r="AA64" s="1631">
        <v>46084.958333333336</v>
      </c>
      <c r="AC64" s="1627"/>
      <c r="AE64" s="747" t="s">
        <v>2103</v>
      </c>
      <c r="AF64" s="747">
        <v>1000</v>
      </c>
      <c r="AG64" s="1628">
        <v>1.5653042222731951E-3</v>
      </c>
    </row>
    <row r="65" spans="1:33" x14ac:dyDescent="0.2">
      <c r="A65" s="747" t="s">
        <v>4329</v>
      </c>
      <c r="B65" s="747" t="s">
        <v>4330</v>
      </c>
      <c r="C65" s="747" t="s">
        <v>2982</v>
      </c>
      <c r="D65" s="747" t="s">
        <v>2139</v>
      </c>
      <c r="E65" s="747" t="s">
        <v>2098</v>
      </c>
      <c r="F65" s="747" t="s">
        <v>381</v>
      </c>
      <c r="G65" s="747" t="s">
        <v>2983</v>
      </c>
      <c r="H65" s="1840" t="s">
        <v>2984</v>
      </c>
      <c r="J65" s="747" t="s">
        <v>2983</v>
      </c>
      <c r="L65" s="1630"/>
      <c r="M65" s="747">
        <v>2308</v>
      </c>
      <c r="N65" s="747">
        <v>43.33</v>
      </c>
      <c r="O65" s="747">
        <v>43.45</v>
      </c>
      <c r="P65" s="747">
        <v>2302</v>
      </c>
      <c r="Q65" s="1631">
        <v>46084.781354166669</v>
      </c>
      <c r="R65" s="747">
        <v>43.34</v>
      </c>
      <c r="T65" s="1628">
        <v>-3.25831373866309</v>
      </c>
      <c r="U65" s="747">
        <v>-2.7643703378674815</v>
      </c>
      <c r="V65" s="747">
        <v>-10.955375</v>
      </c>
      <c r="W65" s="747">
        <v>-5.7613168724279804</v>
      </c>
      <c r="Y65" s="747" t="s">
        <v>2133</v>
      </c>
      <c r="AA65" s="1631"/>
      <c r="AB65" s="747">
        <v>0.33426899999999998</v>
      </c>
      <c r="AC65" s="1627">
        <v>45762</v>
      </c>
      <c r="AD65" s="747">
        <v>1</v>
      </c>
      <c r="AG65" s="1628">
        <v>1.8445930366613563E-3</v>
      </c>
    </row>
    <row r="66" spans="1:33" x14ac:dyDescent="0.2">
      <c r="A66" s="747" t="s">
        <v>1001</v>
      </c>
      <c r="B66" s="747" t="s">
        <v>2394</v>
      </c>
      <c r="C66" s="747" t="s">
        <v>2395</v>
      </c>
      <c r="D66" s="747" t="s">
        <v>2097</v>
      </c>
      <c r="E66" s="747" t="s">
        <v>2159</v>
      </c>
      <c r="F66" s="747" t="s">
        <v>369</v>
      </c>
      <c r="G66" s="747" t="s">
        <v>2396</v>
      </c>
      <c r="H66" s="1840" t="s">
        <v>2397</v>
      </c>
      <c r="I66" s="747">
        <v>0.2</v>
      </c>
      <c r="J66" s="747" t="s">
        <v>4240</v>
      </c>
      <c r="K66" s="1627">
        <v>46371</v>
      </c>
      <c r="L66" s="1630">
        <v>0.23853697300000001</v>
      </c>
      <c r="M66" s="747">
        <v>100000</v>
      </c>
      <c r="N66" s="747">
        <v>99.95</v>
      </c>
      <c r="O66" s="747">
        <v>99.98</v>
      </c>
      <c r="P66" s="747">
        <v>760000</v>
      </c>
      <c r="Q66" s="1631">
        <v>46084.711805555555</v>
      </c>
      <c r="R66" s="747">
        <v>99.98</v>
      </c>
      <c r="S66" s="747">
        <v>4.3333333000000002E-2</v>
      </c>
      <c r="T66" s="1628">
        <v>-0.02</v>
      </c>
      <c r="U66" s="747">
        <v>0</v>
      </c>
      <c r="V66" s="747">
        <v>0.16030457869952999</v>
      </c>
      <c r="W66" s="747">
        <v>0.20040080160320001</v>
      </c>
      <c r="X66" s="747" t="s">
        <v>2396</v>
      </c>
      <c r="Y66" s="747" t="s">
        <v>2102</v>
      </c>
      <c r="AA66" s="1631">
        <v>46084.958333333336</v>
      </c>
      <c r="AC66" s="1627"/>
      <c r="AE66" s="747" t="s">
        <v>2103</v>
      </c>
      <c r="AF66" s="747">
        <v>5000</v>
      </c>
      <c r="AG66" s="1628">
        <v>2.000800320128127E-4</v>
      </c>
    </row>
    <row r="67" spans="1:33" x14ac:dyDescent="0.2">
      <c r="A67" s="747" t="s">
        <v>978</v>
      </c>
      <c r="B67" s="747" t="s">
        <v>2243</v>
      </c>
      <c r="D67" s="747" t="s">
        <v>2259</v>
      </c>
      <c r="H67" s="1840"/>
      <c r="L67" s="1630"/>
      <c r="Q67" s="1631"/>
      <c r="AA67" s="1631"/>
      <c r="AC67" s="1627"/>
      <c r="AG67" s="1628"/>
    </row>
    <row r="68" spans="1:33" x14ac:dyDescent="0.2">
      <c r="A68" s="747" t="s">
        <v>1002</v>
      </c>
      <c r="B68" s="747" t="s">
        <v>2402</v>
      </c>
      <c r="C68" s="747" t="s">
        <v>2403</v>
      </c>
      <c r="D68" s="747" t="s">
        <v>2097</v>
      </c>
      <c r="E68" s="747" t="s">
        <v>2159</v>
      </c>
      <c r="F68" s="747" t="s">
        <v>369</v>
      </c>
      <c r="G68" s="747" t="s">
        <v>4365</v>
      </c>
      <c r="H68" s="1840" t="s">
        <v>2404</v>
      </c>
      <c r="I68" s="747">
        <v>0.25</v>
      </c>
      <c r="J68" s="747" t="s">
        <v>4366</v>
      </c>
      <c r="K68" s="1627">
        <v>46372</v>
      </c>
      <c r="L68" s="1630">
        <v>0.211386451</v>
      </c>
      <c r="M68" s="747">
        <v>100000</v>
      </c>
      <c r="N68" s="747">
        <v>100.01</v>
      </c>
      <c r="O68" s="747">
        <v>100.03</v>
      </c>
      <c r="P68" s="747">
        <v>125000</v>
      </c>
      <c r="Q68" s="1631">
        <v>46084.711805555555</v>
      </c>
      <c r="R68" s="747">
        <v>100.03</v>
      </c>
      <c r="S68" s="747">
        <v>5.3472222000000007E-2</v>
      </c>
      <c r="T68" s="1628">
        <v>-9.9960015993700007E-3</v>
      </c>
      <c r="U68" s="747">
        <v>9.9980003999300005E-3</v>
      </c>
      <c r="V68" s="747">
        <v>7.0021006301900002E-2</v>
      </c>
      <c r="W68" s="747">
        <v>8.0032012805130004E-2</v>
      </c>
      <c r="X68" s="747" t="s">
        <v>4365</v>
      </c>
      <c r="Y68" s="747" t="s">
        <v>2168</v>
      </c>
      <c r="AA68" s="1631">
        <v>46084.958333333336</v>
      </c>
      <c r="AC68" s="1627"/>
      <c r="AE68" s="747" t="s">
        <v>2103</v>
      </c>
      <c r="AF68" s="747">
        <v>5000</v>
      </c>
      <c r="AG68" s="1628">
        <v>1.3331111481417111E-4</v>
      </c>
    </row>
    <row r="69" spans="1:33" x14ac:dyDescent="0.2">
      <c r="A69" s="747" t="s">
        <v>4337</v>
      </c>
      <c r="B69" s="747" t="s">
        <v>4340</v>
      </c>
      <c r="C69" s="747" t="s">
        <v>2518</v>
      </c>
      <c r="D69" s="747" t="s">
        <v>2139</v>
      </c>
      <c r="E69" s="747" t="s">
        <v>2098</v>
      </c>
      <c r="F69" s="747" t="s">
        <v>381</v>
      </c>
      <c r="G69" s="747" t="s">
        <v>2519</v>
      </c>
      <c r="H69" s="1840" t="s">
        <v>2520</v>
      </c>
      <c r="J69" s="747" t="s">
        <v>2519</v>
      </c>
      <c r="L69" s="1630"/>
      <c r="M69" s="747">
        <v>857</v>
      </c>
      <c r="N69" s="747">
        <v>116.78</v>
      </c>
      <c r="O69" s="747">
        <v>117.04</v>
      </c>
      <c r="P69" s="747">
        <v>855</v>
      </c>
      <c r="Q69" s="1631">
        <v>46084.781469907408</v>
      </c>
      <c r="R69" s="747">
        <v>116.78</v>
      </c>
      <c r="T69" s="1628">
        <v>-1.56592018858394</v>
      </c>
      <c r="U69" s="747">
        <v>-1.2833500000000002</v>
      </c>
      <c r="V69" s="747">
        <v>4.5235120000000002</v>
      </c>
      <c r="W69" s="747">
        <v>4.1564363381269702</v>
      </c>
      <c r="Y69" s="747" t="s">
        <v>2133</v>
      </c>
      <c r="AA69" s="1631"/>
      <c r="AB69" s="747">
        <v>6.8600000000000008E-2</v>
      </c>
      <c r="AC69" s="1627">
        <v>46037</v>
      </c>
      <c r="AD69" s="747">
        <v>1</v>
      </c>
      <c r="AG69" s="1628">
        <v>1.4831717056474907E-3</v>
      </c>
    </row>
    <row r="70" spans="1:33" x14ac:dyDescent="0.2">
      <c r="A70" s="747" t="s">
        <v>1003</v>
      </c>
      <c r="B70" s="747" t="s">
        <v>2408</v>
      </c>
      <c r="C70" s="747" t="s">
        <v>2409</v>
      </c>
      <c r="D70" s="747" t="s">
        <v>2097</v>
      </c>
      <c r="E70" s="747" t="s">
        <v>2130</v>
      </c>
      <c r="F70" s="747" t="s">
        <v>369</v>
      </c>
      <c r="G70" s="747" t="s">
        <v>2410</v>
      </c>
      <c r="H70" s="1840" t="s">
        <v>2411</v>
      </c>
      <c r="I70" s="747">
        <v>3</v>
      </c>
      <c r="J70" s="747" t="s">
        <v>2412</v>
      </c>
      <c r="K70" s="1627">
        <v>46446</v>
      </c>
      <c r="L70" s="1630">
        <v>2.9982510330000003</v>
      </c>
      <c r="M70" s="747">
        <v>20000</v>
      </c>
      <c r="N70" s="747">
        <v>99.75</v>
      </c>
      <c r="O70" s="747">
        <v>100.2</v>
      </c>
      <c r="P70" s="747">
        <v>100000</v>
      </c>
      <c r="Q70" s="1631">
        <v>46084.468206018515</v>
      </c>
      <c r="R70" s="747">
        <v>100</v>
      </c>
      <c r="S70" s="747">
        <v>4.1666667000000004E-2</v>
      </c>
      <c r="T70" s="1628">
        <v>0</v>
      </c>
      <c r="U70" s="747">
        <v>-2.9991E-2</v>
      </c>
      <c r="V70" s="747">
        <v>0.10010000000000001</v>
      </c>
      <c r="W70" s="747">
        <v>0.10010010010010001</v>
      </c>
      <c r="X70" s="747" t="s">
        <v>2410</v>
      </c>
      <c r="Y70" s="747" t="s">
        <v>2113</v>
      </c>
      <c r="AA70" s="1631">
        <v>46080</v>
      </c>
      <c r="AC70" s="1627"/>
      <c r="AE70" s="747" t="s">
        <v>2103</v>
      </c>
      <c r="AF70" s="747">
        <v>5000</v>
      </c>
      <c r="AG70" s="1628">
        <v>3.0030030030030221E-3</v>
      </c>
    </row>
    <row r="71" spans="1:33" x14ac:dyDescent="0.2">
      <c r="A71" s="747" t="s">
        <v>1721</v>
      </c>
      <c r="B71" s="747" t="s">
        <v>1722</v>
      </c>
      <c r="C71" s="747" t="s">
        <v>2506</v>
      </c>
      <c r="D71" s="747" t="s">
        <v>2158</v>
      </c>
      <c r="E71" s="747" t="s">
        <v>2130</v>
      </c>
      <c r="F71" s="747" t="s">
        <v>369</v>
      </c>
      <c r="G71" s="747" t="s">
        <v>623</v>
      </c>
      <c r="H71" s="1840" t="s">
        <v>2507</v>
      </c>
      <c r="J71" s="747" t="s">
        <v>623</v>
      </c>
      <c r="L71" s="1630"/>
      <c r="Q71" s="1631">
        <v>46083.4065162037</v>
      </c>
      <c r="R71" s="747">
        <v>204.71</v>
      </c>
      <c r="T71" s="1628">
        <v>-1.2208067940552021</v>
      </c>
      <c r="U71" s="747">
        <v>3.36278717495582</v>
      </c>
      <c r="V71" s="747">
        <v>6.6197916666666803</v>
      </c>
      <c r="W71" s="747">
        <v>4.1516153650470597</v>
      </c>
      <c r="Y71" s="747" t="s">
        <v>2133</v>
      </c>
      <c r="AA71" s="1631"/>
      <c r="AC71" s="1627"/>
      <c r="AD71" s="747">
        <v>1</v>
      </c>
      <c r="AG71" s="1628"/>
    </row>
    <row r="72" spans="1:33" x14ac:dyDescent="0.2">
      <c r="A72" s="747" t="s">
        <v>1033</v>
      </c>
      <c r="B72" s="747" t="s">
        <v>2534</v>
      </c>
      <c r="C72" s="747" t="s">
        <v>2535</v>
      </c>
      <c r="D72" s="747" t="s">
        <v>2097</v>
      </c>
      <c r="E72" s="747" t="s">
        <v>2159</v>
      </c>
      <c r="F72" s="747" t="s">
        <v>369</v>
      </c>
      <c r="G72" s="747" t="s">
        <v>2536</v>
      </c>
      <c r="H72" s="1840" t="s">
        <v>2537</v>
      </c>
      <c r="I72" s="747">
        <v>0.2</v>
      </c>
      <c r="J72" s="747" t="s">
        <v>2525</v>
      </c>
      <c r="K72" s="1627">
        <v>47883</v>
      </c>
      <c r="L72" s="1630">
        <v>0.59346089700000004</v>
      </c>
      <c r="M72" s="747">
        <v>100000</v>
      </c>
      <c r="N72" s="747">
        <v>97.25</v>
      </c>
      <c r="O72" s="747">
        <v>97.75</v>
      </c>
      <c r="P72" s="747">
        <v>100000</v>
      </c>
      <c r="Q72" s="1631">
        <v>46084.570300925923</v>
      </c>
      <c r="R72" s="747">
        <v>97.300000000000011</v>
      </c>
      <c r="S72" s="747">
        <v>1.6111111000000001E-2</v>
      </c>
      <c r="T72" s="1628">
        <v>-0.81549439347605002</v>
      </c>
      <c r="U72" s="747">
        <v>0.71868583162218003</v>
      </c>
      <c r="V72" s="747">
        <v>0.56381342901078002</v>
      </c>
      <c r="W72" s="747">
        <v>0.92592592592594003</v>
      </c>
      <c r="X72" s="747" t="s">
        <v>2536</v>
      </c>
      <c r="Y72" s="747" t="s">
        <v>2123</v>
      </c>
      <c r="AA72" s="1631">
        <v>46056</v>
      </c>
      <c r="AC72" s="1627"/>
      <c r="AE72" s="747" t="s">
        <v>2103</v>
      </c>
      <c r="AF72" s="747">
        <v>5000</v>
      </c>
      <c r="AG72" s="1628">
        <v>3.4217279726261761E-3</v>
      </c>
    </row>
    <row r="73" spans="1:33" x14ac:dyDescent="0.2">
      <c r="A73" s="747" t="s">
        <v>1005</v>
      </c>
      <c r="B73" s="747" t="s">
        <v>2420</v>
      </c>
      <c r="C73" s="747" t="s">
        <v>2421</v>
      </c>
      <c r="D73" s="747" t="s">
        <v>2097</v>
      </c>
      <c r="E73" s="747" t="s">
        <v>2159</v>
      </c>
      <c r="F73" s="747" t="s">
        <v>369</v>
      </c>
      <c r="G73" s="747" t="s">
        <v>2422</v>
      </c>
      <c r="H73" s="1840" t="s">
        <v>2423</v>
      </c>
      <c r="I73" s="747">
        <v>1.25</v>
      </c>
      <c r="J73" s="747" t="s">
        <v>2424</v>
      </c>
      <c r="K73" s="1627">
        <v>46479</v>
      </c>
      <c r="L73" s="1630">
        <v>0.39981506900000002</v>
      </c>
      <c r="M73" s="747">
        <v>100000</v>
      </c>
      <c r="N73" s="747">
        <v>100.88</v>
      </c>
      <c r="O73" s="747">
        <v>101.05</v>
      </c>
      <c r="P73" s="747">
        <v>10000</v>
      </c>
      <c r="Q73" s="1631">
        <v>46084.577673611115</v>
      </c>
      <c r="R73" s="747">
        <v>101</v>
      </c>
      <c r="S73" s="747">
        <v>1.1493055560000001</v>
      </c>
      <c r="T73" s="1628">
        <v>-3.9588281868580003E-2</v>
      </c>
      <c r="U73" s="747">
        <v>0</v>
      </c>
      <c r="V73" s="747">
        <v>7.9270999999999994E-2</v>
      </c>
      <c r="W73" s="747">
        <v>0.18839861179969999</v>
      </c>
      <c r="X73" s="747" t="s">
        <v>2422</v>
      </c>
      <c r="Y73" s="747" t="s">
        <v>2113</v>
      </c>
      <c r="AA73" s="1631">
        <v>46084.916666666664</v>
      </c>
      <c r="AC73" s="1627"/>
      <c r="AE73" s="747" t="s">
        <v>2103</v>
      </c>
      <c r="AF73" s="747">
        <v>5000</v>
      </c>
      <c r="AG73" s="1628">
        <v>1.1228162874409807E-3</v>
      </c>
    </row>
    <row r="74" spans="1:33" x14ac:dyDescent="0.2">
      <c r="A74" s="747" t="s">
        <v>1022</v>
      </c>
      <c r="B74" s="747" t="s">
        <v>2529</v>
      </c>
      <c r="C74" s="747" t="s">
        <v>2530</v>
      </c>
      <c r="D74" s="747" t="s">
        <v>2097</v>
      </c>
      <c r="E74" s="747" t="s">
        <v>2470</v>
      </c>
      <c r="F74" s="747" t="s">
        <v>366</v>
      </c>
      <c r="G74" s="747" t="s">
        <v>2531</v>
      </c>
      <c r="H74" s="1840" t="s">
        <v>2532</v>
      </c>
      <c r="I74" s="747">
        <v>3.375</v>
      </c>
      <c r="J74" s="747" t="s">
        <v>2533</v>
      </c>
      <c r="K74" s="1627">
        <v>47270</v>
      </c>
      <c r="L74" s="1630">
        <v>3.9364946010000001</v>
      </c>
      <c r="M74" s="747">
        <v>500000</v>
      </c>
      <c r="N74" s="747">
        <v>98.23</v>
      </c>
      <c r="O74" s="747">
        <v>98.418999999999997</v>
      </c>
      <c r="P74" s="747">
        <v>500000</v>
      </c>
      <c r="Q74" s="1631">
        <v>46084.751435185186</v>
      </c>
      <c r="R74" s="747">
        <v>98.186999999999998</v>
      </c>
      <c r="S74" s="747">
        <v>0.86250000000000004</v>
      </c>
      <c r="T74" s="1628">
        <v>-0.1190185546875</v>
      </c>
      <c r="U74" s="747">
        <v>0.37268095447166</v>
      </c>
      <c r="V74" s="747">
        <v>0.69655002868147997</v>
      </c>
      <c r="W74" s="747">
        <v>-2.7214764417102999</v>
      </c>
      <c r="X74" s="747" t="s">
        <v>2531</v>
      </c>
      <c r="Y74" s="747" t="s">
        <v>2113</v>
      </c>
      <c r="AA74" s="1631">
        <v>46084.916666666664</v>
      </c>
      <c r="AC74" s="1627"/>
      <c r="AE74" s="747" t="s">
        <v>2103</v>
      </c>
      <c r="AF74" s="747">
        <v>1000</v>
      </c>
      <c r="AG74" s="1628">
        <v>1.2818817209770308E-3</v>
      </c>
    </row>
    <row r="75" spans="1:33" x14ac:dyDescent="0.2">
      <c r="A75" s="747" t="s">
        <v>1006</v>
      </c>
      <c r="B75" s="747" t="s">
        <v>2429</v>
      </c>
      <c r="C75" s="747" t="s">
        <v>2430</v>
      </c>
      <c r="D75" s="747" t="s">
        <v>2097</v>
      </c>
      <c r="E75" s="747" t="s">
        <v>2431</v>
      </c>
      <c r="F75" s="747" t="s">
        <v>369</v>
      </c>
      <c r="G75" s="747" t="s">
        <v>2432</v>
      </c>
      <c r="H75" s="1840" t="s">
        <v>2433</v>
      </c>
      <c r="I75" s="747">
        <v>0.94</v>
      </c>
      <c r="J75" s="747" t="s">
        <v>2434</v>
      </c>
      <c r="K75" s="1627">
        <v>46505</v>
      </c>
      <c r="L75" s="1630">
        <v>0.145465918</v>
      </c>
      <c r="M75" s="747">
        <v>100000</v>
      </c>
      <c r="N75" s="747">
        <v>100.86</v>
      </c>
      <c r="O75" s="747">
        <v>100.95</v>
      </c>
      <c r="P75" s="747">
        <v>100000</v>
      </c>
      <c r="Q75" s="1631">
        <v>46084.60460648148</v>
      </c>
      <c r="R75" s="747">
        <v>100.84</v>
      </c>
      <c r="S75" s="747">
        <v>0.79638888900000004</v>
      </c>
      <c r="T75" s="1628">
        <v>-8.9170712374919997E-2</v>
      </c>
      <c r="U75" s="747">
        <v>-1.9815713861099999E-2</v>
      </c>
      <c r="V75" s="747">
        <v>8.9330000000000007E-2</v>
      </c>
      <c r="W75" s="747">
        <v>5.9482502230600004E-2</v>
      </c>
      <c r="X75" s="747" t="s">
        <v>2432</v>
      </c>
      <c r="Y75" s="747" t="s">
        <v>2102</v>
      </c>
      <c r="AA75" s="1631">
        <v>46084.916666666664</v>
      </c>
      <c r="AC75" s="1627"/>
      <c r="AE75" s="747" t="s">
        <v>2103</v>
      </c>
      <c r="AF75" s="747">
        <v>5000</v>
      </c>
      <c r="AG75" s="1628">
        <v>5.9470710674994817E-4</v>
      </c>
    </row>
    <row r="76" spans="1:33" x14ac:dyDescent="0.2">
      <c r="A76" s="747" t="s">
        <v>1497</v>
      </c>
      <c r="B76" s="747" t="s">
        <v>2590</v>
      </c>
      <c r="C76" s="747" t="s">
        <v>785</v>
      </c>
      <c r="D76" s="747" t="s">
        <v>2139</v>
      </c>
      <c r="E76" s="747" t="s">
        <v>2109</v>
      </c>
      <c r="F76" s="747" t="s">
        <v>366</v>
      </c>
      <c r="G76" s="747" t="s">
        <v>2591</v>
      </c>
      <c r="H76" s="1840" t="s">
        <v>2592</v>
      </c>
      <c r="J76" s="747" t="s">
        <v>2591</v>
      </c>
      <c r="L76" s="1630"/>
      <c r="M76" s="747">
        <v>10</v>
      </c>
      <c r="N76" s="747">
        <v>125.14</v>
      </c>
      <c r="O76" s="747">
        <v>126.96000000000001</v>
      </c>
      <c r="P76" s="747">
        <v>7000</v>
      </c>
      <c r="Q76" s="1631">
        <v>46084.73300925926</v>
      </c>
      <c r="R76" s="747">
        <v>126.5</v>
      </c>
      <c r="T76" s="1628">
        <v>1.41093474426808</v>
      </c>
      <c r="U76" s="747">
        <v>5.6455649999999995</v>
      </c>
      <c r="V76" s="747">
        <v>11.532358</v>
      </c>
      <c r="W76" s="747">
        <v>8.0935875216637907</v>
      </c>
      <c r="Y76" s="747" t="s">
        <v>2133</v>
      </c>
      <c r="AA76" s="1631"/>
      <c r="AC76" s="1627"/>
      <c r="AD76" s="747">
        <v>1</v>
      </c>
      <c r="AG76" s="1628">
        <v>9.6490297953557812E-3</v>
      </c>
    </row>
    <row r="77" spans="1:33" x14ac:dyDescent="0.2">
      <c r="A77" s="747" t="s">
        <v>1596</v>
      </c>
      <c r="B77" s="747" t="s">
        <v>2597</v>
      </c>
      <c r="C77" s="747" t="s">
        <v>2598</v>
      </c>
      <c r="D77" s="747" t="s">
        <v>2139</v>
      </c>
      <c r="E77" s="747" t="s">
        <v>2159</v>
      </c>
      <c r="F77" s="747" t="s">
        <v>366</v>
      </c>
      <c r="G77" s="747" t="s">
        <v>2599</v>
      </c>
      <c r="H77" s="1840" t="s">
        <v>2600</v>
      </c>
      <c r="J77" s="747" t="s">
        <v>2599</v>
      </c>
      <c r="L77" s="1630"/>
      <c r="M77" s="747">
        <v>105</v>
      </c>
      <c r="N77" s="747">
        <v>4759.5</v>
      </c>
      <c r="O77" s="747">
        <v>4771.5</v>
      </c>
      <c r="P77" s="747">
        <v>1081</v>
      </c>
      <c r="Q77" s="1631">
        <v>46084.73300925926</v>
      </c>
      <c r="R77" s="747">
        <v>4771.5</v>
      </c>
      <c r="T77" s="1628">
        <v>-3.5085945399393399</v>
      </c>
      <c r="U77" s="747">
        <v>3.0227789999999999</v>
      </c>
      <c r="V77" s="747">
        <v>21.458572</v>
      </c>
      <c r="W77" s="747">
        <v>21.528631113295699</v>
      </c>
      <c r="Y77" s="747" t="s">
        <v>2133</v>
      </c>
      <c r="AA77" s="1631"/>
      <c r="AC77" s="1627"/>
      <c r="AD77" s="747">
        <v>1</v>
      </c>
      <c r="AG77" s="1628">
        <v>1.679437388474861E-3</v>
      </c>
    </row>
    <row r="78" spans="1:33" x14ac:dyDescent="0.2">
      <c r="A78" s="747" t="s">
        <v>1009</v>
      </c>
      <c r="B78" s="747" t="s">
        <v>2444</v>
      </c>
      <c r="C78" s="747" t="s">
        <v>2445</v>
      </c>
      <c r="D78" s="747" t="s">
        <v>2097</v>
      </c>
      <c r="E78" s="747" t="s">
        <v>2159</v>
      </c>
      <c r="F78" s="747" t="s">
        <v>369</v>
      </c>
      <c r="G78" s="747" t="s">
        <v>2446</v>
      </c>
      <c r="H78" s="1840" t="s">
        <v>2447</v>
      </c>
      <c r="I78" s="747">
        <v>1</v>
      </c>
      <c r="J78" s="747" t="s">
        <v>2448</v>
      </c>
      <c r="K78" s="1627">
        <v>46721</v>
      </c>
      <c r="L78" s="1630">
        <v>0.67986861400000009</v>
      </c>
      <c r="M78" s="747">
        <v>125000</v>
      </c>
      <c r="N78" s="747">
        <v>100.30000000000001</v>
      </c>
      <c r="O78" s="747">
        <v>100.9</v>
      </c>
      <c r="P78" s="747">
        <v>125000</v>
      </c>
      <c r="Q78" s="1631">
        <v>46084.708333333336</v>
      </c>
      <c r="R78" s="747">
        <v>100.45</v>
      </c>
      <c r="S78" s="747">
        <v>0.258333333</v>
      </c>
      <c r="T78" s="1628">
        <v>-9.9453008453499997E-2</v>
      </c>
      <c r="U78" s="747">
        <v>0</v>
      </c>
      <c r="V78" s="747">
        <v>-9.9354197714870002E-2</v>
      </c>
      <c r="W78" s="747">
        <v>0.14940239043824</v>
      </c>
      <c r="X78" s="747" t="s">
        <v>2446</v>
      </c>
      <c r="Y78" s="747" t="s">
        <v>2102</v>
      </c>
      <c r="AA78" s="1631">
        <v>46084.958333333336</v>
      </c>
      <c r="AC78" s="1627"/>
      <c r="AE78" s="747" t="s">
        <v>2103</v>
      </c>
      <c r="AF78" s="747">
        <v>5000</v>
      </c>
      <c r="AG78" s="1628">
        <v>3.9800995024875246E-3</v>
      </c>
    </row>
    <row r="79" spans="1:33" x14ac:dyDescent="0.2">
      <c r="A79" s="747" t="s">
        <v>1079</v>
      </c>
      <c r="B79" s="747" t="s">
        <v>2610</v>
      </c>
      <c r="C79" s="747" t="s">
        <v>2611</v>
      </c>
      <c r="D79" s="747" t="s">
        <v>2139</v>
      </c>
      <c r="E79" s="747" t="s">
        <v>2130</v>
      </c>
      <c r="F79" s="747" t="s">
        <v>381</v>
      </c>
      <c r="G79" s="747" t="s">
        <v>2612</v>
      </c>
      <c r="H79" s="1840" t="s">
        <v>2613</v>
      </c>
      <c r="J79" s="747" t="s">
        <v>2612</v>
      </c>
      <c r="L79" s="1630"/>
      <c r="Q79" s="1631">
        <v>46083.733252314814</v>
      </c>
      <c r="R79" s="747">
        <v>675.30000000000007</v>
      </c>
      <c r="T79" s="1628">
        <v>-0.99692127254067997</v>
      </c>
      <c r="U79" s="747">
        <v>-2.7365692063949298</v>
      </c>
      <c r="V79" s="747">
        <v>7.1394574012375047</v>
      </c>
      <c r="W79" s="747">
        <v>3.41500765696785</v>
      </c>
      <c r="Y79" s="747" t="s">
        <v>2133</v>
      </c>
      <c r="AA79" s="1631"/>
      <c r="AC79" s="1627"/>
      <c r="AD79" s="747">
        <v>1</v>
      </c>
      <c r="AG79" s="1628"/>
    </row>
    <row r="80" spans="1:33" x14ac:dyDescent="0.2">
      <c r="A80" s="747" t="s">
        <v>1010</v>
      </c>
      <c r="B80" s="747" t="s">
        <v>2449</v>
      </c>
      <c r="C80" s="747" t="s">
        <v>2450</v>
      </c>
      <c r="D80" s="747" t="s">
        <v>2097</v>
      </c>
      <c r="E80" s="747" t="s">
        <v>2451</v>
      </c>
      <c r="F80" s="747" t="s">
        <v>381</v>
      </c>
      <c r="G80" s="747" t="s">
        <v>2452</v>
      </c>
      <c r="H80" s="1840" t="s">
        <v>2453</v>
      </c>
      <c r="I80" s="747">
        <v>1.125</v>
      </c>
      <c r="J80" s="747" t="s">
        <v>2454</v>
      </c>
      <c r="K80" s="1627">
        <v>46762</v>
      </c>
      <c r="L80" s="1630">
        <v>2.4906762200000001</v>
      </c>
      <c r="M80" s="747">
        <v>3000000</v>
      </c>
      <c r="N80" s="747">
        <v>97.442000000000007</v>
      </c>
      <c r="O80" s="747">
        <v>97.515000000000001</v>
      </c>
      <c r="P80" s="747">
        <v>3000000</v>
      </c>
      <c r="Q80" s="1631">
        <v>46084.754687499997</v>
      </c>
      <c r="R80" s="747">
        <v>97.442000000000007</v>
      </c>
      <c r="S80" s="747">
        <v>0.16027397300000001</v>
      </c>
      <c r="T80" s="1628">
        <v>-0.11685595965393999</v>
      </c>
      <c r="U80" s="747">
        <v>7.2831717700160004E-2</v>
      </c>
      <c r="V80" s="747">
        <v>0.33322363008063</v>
      </c>
      <c r="W80" s="747">
        <v>0.26307946849726999</v>
      </c>
      <c r="X80" s="747" t="s">
        <v>2452</v>
      </c>
      <c r="Y80" s="747" t="s">
        <v>2113</v>
      </c>
      <c r="AA80" s="1631">
        <v>46031</v>
      </c>
      <c r="AC80" s="1627"/>
      <c r="AE80" s="747" t="s">
        <v>2103</v>
      </c>
      <c r="AF80" s="747">
        <v>1000</v>
      </c>
      <c r="AG80" s="1628">
        <v>4.9931771312482806E-4</v>
      </c>
    </row>
    <row r="81" spans="1:33" x14ac:dyDescent="0.2">
      <c r="A81" s="747" t="s">
        <v>4353</v>
      </c>
      <c r="B81" s="747" t="s">
        <v>4357</v>
      </c>
      <c r="C81" s="747" t="s">
        <v>3029</v>
      </c>
      <c r="D81" s="747" t="s">
        <v>2139</v>
      </c>
      <c r="E81" s="747" t="s">
        <v>2098</v>
      </c>
      <c r="F81" s="747" t="s">
        <v>381</v>
      </c>
      <c r="G81" s="747" t="s">
        <v>824</v>
      </c>
      <c r="H81" s="1840" t="s">
        <v>3030</v>
      </c>
      <c r="J81" s="747" t="s">
        <v>824</v>
      </c>
      <c r="L81" s="1630"/>
      <c r="M81" s="747">
        <v>3465</v>
      </c>
      <c r="N81" s="747">
        <v>28.865000000000002</v>
      </c>
      <c r="O81" s="747">
        <v>28.935000000000002</v>
      </c>
      <c r="P81" s="747">
        <v>3457</v>
      </c>
      <c r="Q81" s="1631">
        <v>46084.781388888892</v>
      </c>
      <c r="R81" s="747">
        <v>28.844999999999999</v>
      </c>
      <c r="T81" s="1628">
        <v>0.39403803323624997</v>
      </c>
      <c r="U81" s="747">
        <v>12.802768166089958</v>
      </c>
      <c r="V81" s="747">
        <v>23.458868083315799</v>
      </c>
      <c r="W81" s="747">
        <v>18.7918102574499</v>
      </c>
      <c r="Y81" s="747" t="s">
        <v>2133</v>
      </c>
      <c r="AA81" s="1631"/>
      <c r="AB81" s="747">
        <v>0.131995</v>
      </c>
      <c r="AC81" s="1627">
        <v>46037</v>
      </c>
      <c r="AD81" s="747">
        <v>1</v>
      </c>
      <c r="AG81" s="1628">
        <v>1.6154156810707964E-3</v>
      </c>
    </row>
    <row r="82" spans="1:33" x14ac:dyDescent="0.2">
      <c r="A82" s="747" t="s">
        <v>1011</v>
      </c>
      <c r="B82" s="747" t="s">
        <v>2459</v>
      </c>
      <c r="C82" s="747" t="s">
        <v>2460</v>
      </c>
      <c r="D82" s="747" t="s">
        <v>2097</v>
      </c>
      <c r="E82" s="747" t="s">
        <v>2098</v>
      </c>
      <c r="F82" s="747" t="s">
        <v>478</v>
      </c>
      <c r="G82" s="747" t="s">
        <v>2461</v>
      </c>
      <c r="H82" s="1840" t="s">
        <v>2462</v>
      </c>
      <c r="I82" s="747">
        <v>3.8</v>
      </c>
      <c r="J82" s="747" t="s">
        <v>2463</v>
      </c>
      <c r="K82" s="1627">
        <v>46897</v>
      </c>
      <c r="L82" s="1630">
        <v>4.4629446250000004</v>
      </c>
      <c r="M82" s="747">
        <v>6000000</v>
      </c>
      <c r="N82" s="747">
        <v>98.397000000000006</v>
      </c>
      <c r="O82" s="747">
        <v>98.429000000000002</v>
      </c>
      <c r="P82" s="747">
        <v>1000000</v>
      </c>
      <c r="Q82" s="1631">
        <v>46084.751701388886</v>
      </c>
      <c r="R82" s="747">
        <v>98.397000000000006</v>
      </c>
      <c r="S82" s="747">
        <v>1.0392265190000001</v>
      </c>
      <c r="T82" s="1628">
        <v>-0.20891859274058999</v>
      </c>
      <c r="U82" s="747">
        <v>2.8404767943200002E-2</v>
      </c>
      <c r="V82" s="747">
        <v>-0.17009041115307</v>
      </c>
      <c r="W82" s="747">
        <v>-0.13362758397277999</v>
      </c>
      <c r="X82" s="747" t="s">
        <v>2461</v>
      </c>
      <c r="Y82" s="747" t="s">
        <v>2102</v>
      </c>
      <c r="AA82" s="1631">
        <v>46084.916666666664</v>
      </c>
      <c r="AC82" s="1627"/>
      <c r="AE82" s="747" t="s">
        <v>2103</v>
      </c>
      <c r="AF82" s="747">
        <v>1000</v>
      </c>
      <c r="AG82" s="1628">
        <v>2.1678527756981315E-4</v>
      </c>
    </row>
    <row r="83" spans="1:33" x14ac:dyDescent="0.2">
      <c r="A83" s="747" t="s">
        <v>1012</v>
      </c>
      <c r="B83" s="747" t="s">
        <v>2468</v>
      </c>
      <c r="C83" s="747" t="s">
        <v>2469</v>
      </c>
      <c r="D83" s="747" t="s">
        <v>2097</v>
      </c>
      <c r="E83" s="747" t="s">
        <v>2470</v>
      </c>
      <c r="F83" s="747" t="s">
        <v>369</v>
      </c>
      <c r="G83" s="747" t="s">
        <v>2471</v>
      </c>
      <c r="H83" s="1840" t="s">
        <v>2472</v>
      </c>
      <c r="I83" s="747">
        <v>0.15</v>
      </c>
      <c r="J83" s="747" t="s">
        <v>2473</v>
      </c>
      <c r="K83" s="1627">
        <v>46933</v>
      </c>
      <c r="L83" s="1630">
        <v>0.52003759999999999</v>
      </c>
      <c r="M83" s="747">
        <v>100000</v>
      </c>
      <c r="N83" s="747">
        <v>99</v>
      </c>
      <c r="O83" s="747">
        <v>99.350000000000009</v>
      </c>
      <c r="P83" s="747">
        <v>250000</v>
      </c>
      <c r="Q83" s="1631">
        <v>46084.497442129628</v>
      </c>
      <c r="R83" s="747">
        <v>98.9</v>
      </c>
      <c r="S83" s="747">
        <v>0.101666667</v>
      </c>
      <c r="T83" s="1628">
        <v>-0.45294413688979002</v>
      </c>
      <c r="U83" s="747">
        <v>5.045408678103E-2</v>
      </c>
      <c r="V83" s="747">
        <v>0.20171457387797001</v>
      </c>
      <c r="W83" s="747">
        <v>0.60759493670886999</v>
      </c>
      <c r="X83" s="747" t="s">
        <v>2471</v>
      </c>
      <c r="Y83" s="747" t="s">
        <v>2102</v>
      </c>
      <c r="AA83" s="1631">
        <v>46084.916666666664</v>
      </c>
      <c r="AC83" s="1627"/>
      <c r="AE83" s="747" t="s">
        <v>2103</v>
      </c>
      <c r="AF83" s="747">
        <v>50000</v>
      </c>
      <c r="AG83" s="1628">
        <v>2.3541281318312326E-3</v>
      </c>
    </row>
    <row r="84" spans="1:33" x14ac:dyDescent="0.2">
      <c r="A84" s="747" t="s">
        <v>1602</v>
      </c>
      <c r="B84" s="747" t="s">
        <v>2622</v>
      </c>
      <c r="C84" s="747" t="s">
        <v>2623</v>
      </c>
      <c r="D84" s="747" t="s">
        <v>2139</v>
      </c>
      <c r="E84" s="747" t="s">
        <v>2159</v>
      </c>
      <c r="F84" s="747" t="s">
        <v>369</v>
      </c>
      <c r="G84" s="747" t="s">
        <v>2624</v>
      </c>
      <c r="H84" s="1840" t="s">
        <v>2625</v>
      </c>
      <c r="J84" s="747" t="s">
        <v>2624</v>
      </c>
      <c r="L84" s="1630"/>
      <c r="M84" s="747">
        <v>20</v>
      </c>
      <c r="N84" s="747">
        <v>452</v>
      </c>
      <c r="O84" s="747">
        <v>500</v>
      </c>
      <c r="P84" s="747">
        <v>25</v>
      </c>
      <c r="Q84" s="1631">
        <v>46084.73300925926</v>
      </c>
      <c r="R84" s="747">
        <v>471.75</v>
      </c>
      <c r="T84" s="1628">
        <v>-9.1740469772814794</v>
      </c>
      <c r="U84" s="747">
        <v>-7.0443349999999993</v>
      </c>
      <c r="V84" s="747">
        <v>19.053628</v>
      </c>
      <c r="W84" s="747">
        <v>1.8631104138066199</v>
      </c>
      <c r="Y84" s="747" t="s">
        <v>2133</v>
      </c>
      <c r="AA84" s="1631"/>
      <c r="AC84" s="1627"/>
      <c r="AD84" s="747">
        <v>1</v>
      </c>
      <c r="AG84" s="1628">
        <v>6.8376068376068383E-2</v>
      </c>
    </row>
    <row r="85" spans="1:33" x14ac:dyDescent="0.2">
      <c r="A85" s="747" t="s">
        <v>1013</v>
      </c>
      <c r="B85" s="747" t="s">
        <v>2477</v>
      </c>
      <c r="C85" s="747" t="s">
        <v>2478</v>
      </c>
      <c r="D85" s="747" t="s">
        <v>2097</v>
      </c>
      <c r="E85" s="747" t="s">
        <v>2479</v>
      </c>
      <c r="F85" s="747" t="s">
        <v>369</v>
      </c>
      <c r="G85" s="747" t="s">
        <v>2480</v>
      </c>
      <c r="H85" s="1840" t="s">
        <v>2481</v>
      </c>
      <c r="I85" s="747">
        <v>0.39500000000000002</v>
      </c>
      <c r="J85" s="747" t="s">
        <v>2482</v>
      </c>
      <c r="K85" s="1627">
        <v>46954</v>
      </c>
      <c r="L85" s="1630">
        <v>0.45855725600000002</v>
      </c>
      <c r="M85" s="747">
        <v>250000</v>
      </c>
      <c r="N85" s="747">
        <v>99.4</v>
      </c>
      <c r="O85" s="747">
        <v>99.800000000000011</v>
      </c>
      <c r="P85" s="747">
        <v>125000</v>
      </c>
      <c r="Q85" s="1631">
        <v>46084.464618055557</v>
      </c>
      <c r="R85" s="747">
        <v>99.600000000000009</v>
      </c>
      <c r="S85" s="747">
        <v>0.24468055600000002</v>
      </c>
      <c r="T85" s="1628">
        <v>-0.25037556334501998</v>
      </c>
      <c r="U85" s="747">
        <v>0.1504513540622</v>
      </c>
      <c r="V85" s="747">
        <v>0.15083000000000002</v>
      </c>
      <c r="W85" s="747">
        <v>0.55387713997985999</v>
      </c>
      <c r="X85" s="747" t="s">
        <v>2480</v>
      </c>
      <c r="Y85" s="747" t="s">
        <v>2113</v>
      </c>
      <c r="AA85" s="1631">
        <v>46084.916666666664</v>
      </c>
      <c r="AC85" s="1627"/>
      <c r="AE85" s="747" t="s">
        <v>2103</v>
      </c>
      <c r="AF85" s="747">
        <v>5000</v>
      </c>
      <c r="AG85" s="1628">
        <v>2.6791694574682229E-3</v>
      </c>
    </row>
    <row r="86" spans="1:33" x14ac:dyDescent="0.2">
      <c r="A86" s="747" t="s">
        <v>4414</v>
      </c>
      <c r="B86" s="747" t="s">
        <v>4415</v>
      </c>
      <c r="C86" s="747" t="s">
        <v>4416</v>
      </c>
      <c r="D86" s="747" t="s">
        <v>2120</v>
      </c>
      <c r="F86" s="747" t="s">
        <v>369</v>
      </c>
      <c r="G86" s="747" t="s">
        <v>4417</v>
      </c>
      <c r="H86" s="1840" t="s">
        <v>4418</v>
      </c>
      <c r="J86" s="747" t="s">
        <v>4419</v>
      </c>
      <c r="L86" s="1630"/>
      <c r="M86" s="747">
        <v>5</v>
      </c>
      <c r="N86" s="747">
        <v>178</v>
      </c>
      <c r="Q86" s="1631">
        <v>46084.731238425928</v>
      </c>
      <c r="R86" s="747">
        <v>180.20000000000002</v>
      </c>
      <c r="T86" s="1628">
        <v>-6.1458333333333304</v>
      </c>
      <c r="U86" s="747">
        <v>15.070243</v>
      </c>
      <c r="V86" s="747">
        <v>18.086500999999998</v>
      </c>
      <c r="W86" s="747">
        <v>32.596685082873002</v>
      </c>
      <c r="Y86" s="747" t="s">
        <v>2312</v>
      </c>
      <c r="Z86" s="747">
        <v>1.054384</v>
      </c>
      <c r="AA86" s="1631"/>
      <c r="AB86" s="747">
        <v>1.9000000000000001</v>
      </c>
      <c r="AC86" s="1627">
        <v>45751</v>
      </c>
      <c r="AD86" s="747">
        <v>1</v>
      </c>
      <c r="AG86" s="1628"/>
    </row>
    <row r="87" spans="1:33" x14ac:dyDescent="0.2">
      <c r="A87" s="747" t="s">
        <v>1014</v>
      </c>
      <c r="B87" s="747" t="s">
        <v>2483</v>
      </c>
      <c r="C87" s="747" t="s">
        <v>2484</v>
      </c>
      <c r="D87" s="747" t="s">
        <v>2097</v>
      </c>
      <c r="E87" s="747" t="s">
        <v>2159</v>
      </c>
      <c r="F87" s="747" t="s">
        <v>369</v>
      </c>
      <c r="G87" s="747" t="s">
        <v>2485</v>
      </c>
      <c r="H87" s="1840" t="s">
        <v>2486</v>
      </c>
      <c r="I87" s="747">
        <v>0</v>
      </c>
      <c r="J87" s="747" t="s">
        <v>2487</v>
      </c>
      <c r="K87" s="1627">
        <v>46972</v>
      </c>
      <c r="L87" s="1630">
        <v>0.311283427</v>
      </c>
      <c r="M87" s="747">
        <v>100000</v>
      </c>
      <c r="N87" s="747">
        <v>98.9</v>
      </c>
      <c r="O87" s="747">
        <v>99.300000000000011</v>
      </c>
      <c r="P87" s="747">
        <v>500000</v>
      </c>
      <c r="Q87" s="1631">
        <v>46084.711805555555</v>
      </c>
      <c r="R87" s="747">
        <v>99.300000000000011</v>
      </c>
      <c r="S87" s="747">
        <v>0</v>
      </c>
      <c r="T87" s="1628">
        <v>-0.15082956259426</v>
      </c>
      <c r="U87" s="747">
        <v>0.15136226034308001</v>
      </c>
      <c r="V87" s="747">
        <v>0.20151133501260002</v>
      </c>
      <c r="W87" s="747">
        <v>0.65789473684209998</v>
      </c>
      <c r="X87" s="747" t="s">
        <v>2485</v>
      </c>
      <c r="Y87" s="747" t="s">
        <v>2102</v>
      </c>
      <c r="AA87" s="1631"/>
      <c r="AC87" s="1627"/>
      <c r="AE87" s="747" t="s">
        <v>2103</v>
      </c>
      <c r="AF87" s="747">
        <v>5000</v>
      </c>
      <c r="AG87" s="1628">
        <v>2.6926960619320477E-3</v>
      </c>
    </row>
    <row r="88" spans="1:33" x14ac:dyDescent="0.2">
      <c r="A88" s="747" t="s">
        <v>1815</v>
      </c>
      <c r="B88" s="747" t="s">
        <v>2651</v>
      </c>
      <c r="C88" s="747" t="s">
        <v>2652</v>
      </c>
      <c r="D88" s="747" t="s">
        <v>2120</v>
      </c>
      <c r="F88" s="747" t="s">
        <v>369</v>
      </c>
      <c r="G88" s="747" t="s">
        <v>432</v>
      </c>
      <c r="H88" s="1840" t="s">
        <v>2653</v>
      </c>
      <c r="J88" s="747" t="s">
        <v>2654</v>
      </c>
      <c r="L88" s="1630"/>
      <c r="M88" s="747">
        <v>30</v>
      </c>
      <c r="N88" s="747">
        <v>275</v>
      </c>
      <c r="O88" s="747">
        <v>295</v>
      </c>
      <c r="P88" s="747">
        <v>168</v>
      </c>
      <c r="Q88" s="1631">
        <v>46084.730196759258</v>
      </c>
      <c r="R88" s="747">
        <v>278.60000000000002</v>
      </c>
      <c r="T88" s="1628">
        <v>-4.7195622435020601</v>
      </c>
      <c r="U88" s="747">
        <v>-4.6543459999999994</v>
      </c>
      <c r="V88" s="747">
        <v>27.915519</v>
      </c>
      <c r="W88" s="747">
        <v>29.955555555555602</v>
      </c>
      <c r="Y88" s="747" t="s">
        <v>2655</v>
      </c>
      <c r="Z88" s="747">
        <v>0.53840599999999994</v>
      </c>
      <c r="AA88" s="1631"/>
      <c r="AB88" s="747">
        <v>1.5</v>
      </c>
      <c r="AC88" s="1627">
        <v>45761</v>
      </c>
      <c r="AD88" s="747">
        <v>1</v>
      </c>
      <c r="AG88" s="1628">
        <v>4.7337278106508875E-2</v>
      </c>
    </row>
    <row r="89" spans="1:33" x14ac:dyDescent="0.2">
      <c r="A89" s="747" t="s">
        <v>1476</v>
      </c>
      <c r="B89" s="747" t="s">
        <v>2661</v>
      </c>
      <c r="C89" s="747" t="s">
        <v>2662</v>
      </c>
      <c r="D89" s="747" t="s">
        <v>2139</v>
      </c>
      <c r="E89" s="747" t="s">
        <v>2355</v>
      </c>
      <c r="F89" s="747" t="s">
        <v>366</v>
      </c>
      <c r="G89" s="747" t="s">
        <v>2663</v>
      </c>
      <c r="H89" s="1840" t="s">
        <v>2664</v>
      </c>
      <c r="J89" s="747" t="s">
        <v>2663</v>
      </c>
      <c r="L89" s="1630"/>
      <c r="M89" s="747">
        <v>300</v>
      </c>
      <c r="N89" s="747">
        <v>113.62</v>
      </c>
      <c r="O89" s="747">
        <v>113.65</v>
      </c>
      <c r="P89" s="747">
        <v>300</v>
      </c>
      <c r="Q89" s="1631">
        <v>46084.783078703702</v>
      </c>
      <c r="R89" s="747">
        <v>113.60000000000001</v>
      </c>
      <c r="T89" s="1628">
        <v>-1.55979202772964</v>
      </c>
      <c r="U89" s="747">
        <v>-6.0963009999999995</v>
      </c>
      <c r="V89" s="747">
        <v>-3.6961679999999997</v>
      </c>
      <c r="W89" s="747">
        <v>-3.3338917741665202</v>
      </c>
      <c r="Y89" s="747" t="s">
        <v>2133</v>
      </c>
      <c r="AA89" s="1631"/>
      <c r="AB89" s="747">
        <v>0.24084799999999998</v>
      </c>
      <c r="AC89" s="1627">
        <v>46013</v>
      </c>
      <c r="AD89" s="747">
        <v>1</v>
      </c>
      <c r="AG89" s="1628">
        <v>1.7600985655197358E-4</v>
      </c>
    </row>
    <row r="90" spans="1:33" x14ac:dyDescent="0.2">
      <c r="A90" s="747" t="s">
        <v>1016</v>
      </c>
      <c r="B90" s="747" t="s">
        <v>2493</v>
      </c>
      <c r="C90" s="747" t="s">
        <v>2494</v>
      </c>
      <c r="D90" s="747" t="s">
        <v>2097</v>
      </c>
      <c r="E90" s="747" t="s">
        <v>2098</v>
      </c>
      <c r="F90" s="747" t="s">
        <v>381</v>
      </c>
      <c r="G90" s="747" t="s">
        <v>2495</v>
      </c>
      <c r="H90" s="1840" t="s">
        <v>2496</v>
      </c>
      <c r="I90" s="747">
        <v>0</v>
      </c>
      <c r="J90" s="747" t="s">
        <v>2463</v>
      </c>
      <c r="K90" s="1627">
        <v>47011</v>
      </c>
      <c r="L90" s="1630">
        <v>2.2295916</v>
      </c>
      <c r="M90" s="747">
        <v>250000</v>
      </c>
      <c r="N90" s="747">
        <v>94.427000000000007</v>
      </c>
      <c r="O90" s="747">
        <v>94.466999999999999</v>
      </c>
      <c r="P90" s="747">
        <v>250000</v>
      </c>
      <c r="Q90" s="1631">
        <v>46084.750231481485</v>
      </c>
      <c r="R90" s="747">
        <v>94.427000000000007</v>
      </c>
      <c r="S90" s="747">
        <v>0</v>
      </c>
      <c r="T90" s="1628">
        <v>-0.14593136995716999</v>
      </c>
      <c r="U90" s="747">
        <v>0.27038490085887001</v>
      </c>
      <c r="V90" s="747">
        <v>0.83383982171608995</v>
      </c>
      <c r="W90" s="747">
        <v>0.90278897307755002</v>
      </c>
      <c r="X90" s="747" t="s">
        <v>2495</v>
      </c>
      <c r="Y90" s="747" t="s">
        <v>2102</v>
      </c>
      <c r="AA90" s="1631">
        <v>46084.916666666664</v>
      </c>
      <c r="AC90" s="1627"/>
      <c r="AE90" s="747" t="s">
        <v>2103</v>
      </c>
      <c r="AF90" s="747">
        <v>1000</v>
      </c>
      <c r="AG90" s="1628">
        <v>2.8236523236888219E-4</v>
      </c>
    </row>
    <row r="91" spans="1:33" x14ac:dyDescent="0.2">
      <c r="A91" s="747" t="s">
        <v>1885</v>
      </c>
      <c r="B91" s="747" t="s">
        <v>2669</v>
      </c>
      <c r="C91" s="747" t="s">
        <v>2670</v>
      </c>
      <c r="D91" s="747" t="s">
        <v>2120</v>
      </c>
      <c r="F91" s="747" t="s">
        <v>369</v>
      </c>
      <c r="G91" s="747" t="s">
        <v>475</v>
      </c>
      <c r="H91" s="1840" t="s">
        <v>2671</v>
      </c>
      <c r="J91" s="747" t="s">
        <v>2672</v>
      </c>
      <c r="L91" s="1630"/>
      <c r="Q91" s="1631">
        <v>46084.732407407406</v>
      </c>
      <c r="R91" s="747">
        <v>518.20000000000005</v>
      </c>
      <c r="T91" s="1628">
        <v>-2.263296869106</v>
      </c>
      <c r="U91" s="747">
        <v>-0.68992000000000009</v>
      </c>
      <c r="V91" s="747">
        <v>-4.320532</v>
      </c>
      <c r="W91" s="747">
        <v>-1.4131647452584699</v>
      </c>
      <c r="Y91" s="747" t="s">
        <v>2513</v>
      </c>
      <c r="Z91" s="747">
        <v>0.77190300000000001</v>
      </c>
      <c r="AA91" s="1631"/>
      <c r="AB91" s="747">
        <v>4</v>
      </c>
      <c r="AC91" s="1627">
        <v>45790</v>
      </c>
      <c r="AD91" s="747">
        <v>1</v>
      </c>
      <c r="AG91" s="1628"/>
    </row>
    <row r="92" spans="1:33" x14ac:dyDescent="0.2">
      <c r="A92" s="747" t="s">
        <v>1017</v>
      </c>
      <c r="B92" s="747" t="s">
        <v>2501</v>
      </c>
      <c r="C92" s="747" t="s">
        <v>2502</v>
      </c>
      <c r="D92" s="747" t="s">
        <v>2097</v>
      </c>
      <c r="E92" s="747" t="s">
        <v>2159</v>
      </c>
      <c r="F92" s="747" t="s">
        <v>369</v>
      </c>
      <c r="G92" s="747" t="s">
        <v>2503</v>
      </c>
      <c r="H92" s="1840" t="s">
        <v>2504</v>
      </c>
      <c r="I92" s="747">
        <v>0.5</v>
      </c>
      <c r="J92" s="747" t="s">
        <v>2505</v>
      </c>
      <c r="K92" s="1627">
        <v>47068</v>
      </c>
      <c r="L92" s="1630">
        <v>0.55636132500000002</v>
      </c>
      <c r="M92" s="747">
        <v>100000</v>
      </c>
      <c r="N92" s="747">
        <v>99.65</v>
      </c>
      <c r="O92" s="747">
        <v>100.25</v>
      </c>
      <c r="P92" s="747">
        <v>100000</v>
      </c>
      <c r="Q92" s="1631">
        <v>46084.708333333336</v>
      </c>
      <c r="R92" s="747">
        <v>99.65</v>
      </c>
      <c r="S92" s="747">
        <v>0.15555555600000001</v>
      </c>
      <c r="T92" s="1628">
        <v>-0.35000000000000003</v>
      </c>
      <c r="U92" s="747">
        <v>0.10025062656643</v>
      </c>
      <c r="V92" s="747">
        <v>0.30090270812438003</v>
      </c>
      <c r="W92" s="747">
        <v>0.35122930255896001</v>
      </c>
      <c r="X92" s="747" t="s">
        <v>2503</v>
      </c>
      <c r="Y92" s="747" t="s">
        <v>2102</v>
      </c>
      <c r="AA92" s="1631">
        <v>46084.958333333336</v>
      </c>
      <c r="AC92" s="1627"/>
      <c r="AE92" s="747" t="s">
        <v>2103</v>
      </c>
      <c r="AF92" s="747">
        <v>100000</v>
      </c>
      <c r="AG92" s="1628">
        <v>4.0060090135202427E-3</v>
      </c>
    </row>
    <row r="93" spans="1:33" x14ac:dyDescent="0.2">
      <c r="A93" s="747" t="s">
        <v>1040</v>
      </c>
      <c r="B93" s="747" t="s">
        <v>2640</v>
      </c>
      <c r="C93" s="747" t="s">
        <v>2641</v>
      </c>
      <c r="D93" s="747" t="s">
        <v>2097</v>
      </c>
      <c r="E93" s="747" t="s">
        <v>2159</v>
      </c>
      <c r="F93" s="747" t="s">
        <v>369</v>
      </c>
      <c r="G93" s="747" t="s">
        <v>2642</v>
      </c>
      <c r="H93" s="1840" t="s">
        <v>2643</v>
      </c>
      <c r="I93" s="747">
        <v>1.1000000000000001</v>
      </c>
      <c r="J93" s="747" t="s">
        <v>2644</v>
      </c>
      <c r="K93" s="1627">
        <v>48610</v>
      </c>
      <c r="L93" s="1630">
        <v>0.94957603600000007</v>
      </c>
      <c r="M93" s="747">
        <v>100000</v>
      </c>
      <c r="N93" s="747">
        <v>100.2</v>
      </c>
      <c r="O93" s="747">
        <v>100.7</v>
      </c>
      <c r="P93" s="747">
        <v>100000</v>
      </c>
      <c r="Q93" s="1631">
        <v>46084.706180555557</v>
      </c>
      <c r="R93" s="747">
        <v>100.35000000000001</v>
      </c>
      <c r="S93" s="747">
        <v>0.10083333300000001</v>
      </c>
      <c r="T93" s="1628">
        <v>-0.69272637308262996</v>
      </c>
      <c r="U93" s="747">
        <v>9.9750999999999992E-2</v>
      </c>
      <c r="V93" s="747">
        <v>0.803616</v>
      </c>
      <c r="W93" s="747">
        <v>1.7623363544813599</v>
      </c>
      <c r="X93" s="747" t="s">
        <v>2642</v>
      </c>
      <c r="Y93" s="747" t="s">
        <v>2168</v>
      </c>
      <c r="AA93" s="1631">
        <v>46052</v>
      </c>
      <c r="AC93" s="1627"/>
      <c r="AE93" s="747" t="s">
        <v>2103</v>
      </c>
      <c r="AF93" s="747">
        <v>5000</v>
      </c>
      <c r="AG93" s="1628">
        <v>3.3211557622052474E-3</v>
      </c>
    </row>
    <row r="94" spans="1:33" x14ac:dyDescent="0.2">
      <c r="A94" s="747" t="s">
        <v>1019</v>
      </c>
      <c r="B94" s="747" t="s">
        <v>2514</v>
      </c>
      <c r="C94" s="747" t="s">
        <v>2515</v>
      </c>
      <c r="D94" s="747" t="s">
        <v>2097</v>
      </c>
      <c r="E94" s="747" t="s">
        <v>2349</v>
      </c>
      <c r="F94" s="747" t="s">
        <v>369</v>
      </c>
      <c r="G94" s="747" t="s">
        <v>2516</v>
      </c>
      <c r="H94" s="1840" t="s">
        <v>2517</v>
      </c>
      <c r="I94" s="747">
        <v>0.79500000000000004</v>
      </c>
      <c r="J94" s="747" t="s">
        <v>2352</v>
      </c>
      <c r="K94" s="1627">
        <v>47088</v>
      </c>
      <c r="L94" s="1630">
        <v>0.92474208000000002</v>
      </c>
      <c r="M94" s="747">
        <v>5000</v>
      </c>
      <c r="N94" s="747">
        <v>99.45</v>
      </c>
      <c r="O94" s="747">
        <v>99.850000000000009</v>
      </c>
      <c r="P94" s="747">
        <v>5000</v>
      </c>
      <c r="Q94" s="1631">
        <v>46084.708333333336</v>
      </c>
      <c r="R94" s="747">
        <v>99.45</v>
      </c>
      <c r="S94" s="747">
        <v>0.20316666700000002</v>
      </c>
      <c r="T94" s="1628">
        <v>-0.15060240963856</v>
      </c>
      <c r="U94" s="747">
        <v>0.15075376884423</v>
      </c>
      <c r="V94" s="747">
        <v>-0.54917623564652995</v>
      </c>
      <c r="W94" s="747">
        <v>0.55527511357902004</v>
      </c>
      <c r="X94" s="747" t="s">
        <v>2516</v>
      </c>
      <c r="Y94" s="747" t="s">
        <v>2261</v>
      </c>
      <c r="AA94" s="1631">
        <v>46084.958333333336</v>
      </c>
      <c r="AC94" s="1627"/>
      <c r="AE94" s="747" t="s">
        <v>2103</v>
      </c>
      <c r="AF94" s="747">
        <v>5000</v>
      </c>
      <c r="AG94" s="1628">
        <v>2.6778242677824647E-3</v>
      </c>
    </row>
    <row r="95" spans="1:33" x14ac:dyDescent="0.2">
      <c r="A95" s="747" t="s">
        <v>1945</v>
      </c>
      <c r="B95" s="747" t="s">
        <v>2700</v>
      </c>
      <c r="C95" s="747" t="s">
        <v>2701</v>
      </c>
      <c r="D95" s="747" t="s">
        <v>2120</v>
      </c>
      <c r="F95" s="747" t="s">
        <v>369</v>
      </c>
      <c r="G95" s="747" t="s">
        <v>2702</v>
      </c>
      <c r="H95" s="1840" t="s">
        <v>2703</v>
      </c>
      <c r="J95" s="747" t="s">
        <v>2704</v>
      </c>
      <c r="L95" s="1630"/>
      <c r="O95" s="747">
        <v>845</v>
      </c>
      <c r="P95" s="747">
        <v>100</v>
      </c>
      <c r="Q95" s="1631">
        <v>46084.732407407406</v>
      </c>
      <c r="R95" s="747">
        <v>828</v>
      </c>
      <c r="T95" s="1628">
        <v>-4.6522339935513699</v>
      </c>
      <c r="U95" s="747">
        <v>-3.0444959999999996</v>
      </c>
      <c r="V95" s="747">
        <v>-6.0158909999999999</v>
      </c>
      <c r="W95" s="747">
        <v>-5.27923211169285</v>
      </c>
      <c r="Y95" s="747" t="s">
        <v>2168</v>
      </c>
      <c r="Z95" s="747">
        <v>4.2270529999999997</v>
      </c>
      <c r="AA95" s="1631"/>
      <c r="AB95" s="747">
        <v>35</v>
      </c>
      <c r="AC95" s="1627">
        <v>45793</v>
      </c>
      <c r="AD95" s="747">
        <v>1</v>
      </c>
      <c r="AG95" s="1628"/>
    </row>
    <row r="96" spans="1:33" x14ac:dyDescent="0.2">
      <c r="A96" s="747" t="s">
        <v>1021</v>
      </c>
      <c r="B96" s="747" t="s">
        <v>2521</v>
      </c>
      <c r="C96" s="747" t="s">
        <v>2522</v>
      </c>
      <c r="D96" s="747" t="s">
        <v>2097</v>
      </c>
      <c r="E96" s="747" t="s">
        <v>2159</v>
      </c>
      <c r="F96" s="747" t="s">
        <v>369</v>
      </c>
      <c r="G96" s="747" t="s">
        <v>2523</v>
      </c>
      <c r="H96" s="1840" t="s">
        <v>2524</v>
      </c>
      <c r="I96" s="747">
        <v>0.15</v>
      </c>
      <c r="J96" s="747" t="s">
        <v>2525</v>
      </c>
      <c r="K96" s="1627">
        <v>47151</v>
      </c>
      <c r="L96" s="1630">
        <v>0.40993934200000004</v>
      </c>
      <c r="M96" s="747">
        <v>50000</v>
      </c>
      <c r="N96" s="747">
        <v>98.75</v>
      </c>
      <c r="O96" s="747">
        <v>99.15</v>
      </c>
      <c r="P96" s="747">
        <v>100000</v>
      </c>
      <c r="Q96" s="1631">
        <v>46084.711805555555</v>
      </c>
      <c r="R96" s="747">
        <v>99.05</v>
      </c>
      <c r="S96" s="747">
        <v>1.2916667000000001E-2</v>
      </c>
      <c r="T96" s="1628">
        <v>-0.20151133501260002</v>
      </c>
      <c r="U96" s="747">
        <v>-5.0352467270900002E-2</v>
      </c>
      <c r="V96" s="747">
        <v>-0.20110608345903</v>
      </c>
      <c r="W96" s="747">
        <v>5.040322580645E-2</v>
      </c>
      <c r="X96" s="747" t="s">
        <v>2523</v>
      </c>
      <c r="Y96" s="747" t="s">
        <v>2123</v>
      </c>
      <c r="AA96" s="1631">
        <v>46054</v>
      </c>
      <c r="AC96" s="1627"/>
      <c r="AE96" s="747" t="s">
        <v>2103</v>
      </c>
      <c r="AF96" s="747">
        <v>5000</v>
      </c>
      <c r="AG96" s="1628">
        <v>2.6967807180179049E-3</v>
      </c>
    </row>
    <row r="97" spans="1:33" x14ac:dyDescent="0.2">
      <c r="A97" s="747" t="s">
        <v>1489</v>
      </c>
      <c r="B97" s="747" t="s">
        <v>2721</v>
      </c>
      <c r="C97" s="747" t="s">
        <v>2722</v>
      </c>
      <c r="D97" s="747" t="s">
        <v>2139</v>
      </c>
      <c r="E97" s="747" t="s">
        <v>2355</v>
      </c>
      <c r="F97" s="747" t="s">
        <v>366</v>
      </c>
      <c r="G97" s="747" t="s">
        <v>2723</v>
      </c>
      <c r="H97" s="1840" t="s">
        <v>2724</v>
      </c>
      <c r="J97" s="747" t="s">
        <v>2723</v>
      </c>
      <c r="L97" s="1630"/>
      <c r="M97" s="747">
        <v>100</v>
      </c>
      <c r="N97" s="747">
        <v>51.79</v>
      </c>
      <c r="O97" s="747">
        <v>51.81</v>
      </c>
      <c r="P97" s="747">
        <v>100</v>
      </c>
      <c r="Q97" s="1631">
        <v>46084.782881944448</v>
      </c>
      <c r="R97" s="747">
        <v>51.86</v>
      </c>
      <c r="T97" s="1628">
        <v>-2.64689318565798</v>
      </c>
      <c r="U97" s="747">
        <v>2.277882</v>
      </c>
      <c r="V97" s="747">
        <v>19.548178999999998</v>
      </c>
      <c r="W97" s="747">
        <v>17.4900749889723</v>
      </c>
      <c r="Y97" s="747" t="s">
        <v>2133</v>
      </c>
      <c r="AA97" s="1631"/>
      <c r="AB97" s="747">
        <v>0.23285599999999998</v>
      </c>
      <c r="AC97" s="1627">
        <v>46013</v>
      </c>
      <c r="AD97" s="747">
        <v>1</v>
      </c>
      <c r="AG97" s="1628">
        <v>2.5741682218937035E-4</v>
      </c>
    </row>
    <row r="98" spans="1:33" x14ac:dyDescent="0.2">
      <c r="A98" s="747" t="s">
        <v>4238</v>
      </c>
      <c r="B98" s="747" t="s">
        <v>4239</v>
      </c>
      <c r="C98" s="747" t="s">
        <v>4234</v>
      </c>
      <c r="D98" s="747" t="s">
        <v>2120</v>
      </c>
      <c r="F98" s="747" t="s">
        <v>381</v>
      </c>
      <c r="G98" s="747" t="s">
        <v>4235</v>
      </c>
      <c r="H98" s="1840" t="s">
        <v>4236</v>
      </c>
      <c r="J98" s="747" t="s">
        <v>4237</v>
      </c>
      <c r="L98" s="1630"/>
      <c r="M98" s="747">
        <v>440</v>
      </c>
      <c r="N98" s="747">
        <v>33.25</v>
      </c>
      <c r="O98" s="747">
        <v>33.25</v>
      </c>
      <c r="P98" s="747">
        <v>440</v>
      </c>
      <c r="Q98" s="1631">
        <v>46084.729166666664</v>
      </c>
      <c r="R98" s="747">
        <v>33.21</v>
      </c>
      <c r="T98" s="1628">
        <v>-4.4316546762589901</v>
      </c>
      <c r="U98" s="747">
        <v>3.7650367130135862</v>
      </c>
      <c r="V98" s="747">
        <v>13.170897938319994</v>
      </c>
      <c r="W98" s="747">
        <v>16.865646544476302</v>
      </c>
      <c r="Y98" s="747" t="s">
        <v>3067</v>
      </c>
      <c r="Z98" s="747">
        <v>4.2155977115326708</v>
      </c>
      <c r="AA98" s="1631"/>
      <c r="AB98" s="747">
        <v>1.4000000000000001</v>
      </c>
      <c r="AC98" s="1627">
        <v>45789</v>
      </c>
      <c r="AD98" s="747">
        <v>1</v>
      </c>
      <c r="AG98" s="1628">
        <v>0</v>
      </c>
    </row>
    <row r="99" spans="1:33" x14ac:dyDescent="0.2">
      <c r="A99" s="747" t="s">
        <v>1023</v>
      </c>
      <c r="B99" s="747" t="s">
        <v>2538</v>
      </c>
      <c r="C99" s="747" t="s">
        <v>2539</v>
      </c>
      <c r="D99" s="747" t="s">
        <v>2097</v>
      </c>
      <c r="E99" s="747" t="s">
        <v>2331</v>
      </c>
      <c r="F99" s="747" t="s">
        <v>369</v>
      </c>
      <c r="G99" s="747" t="s">
        <v>2540</v>
      </c>
      <c r="H99" s="1840" t="s">
        <v>2541</v>
      </c>
      <c r="I99" s="747">
        <v>0.21249999999999999</v>
      </c>
      <c r="J99" s="747" t="s">
        <v>2542</v>
      </c>
      <c r="K99" s="1627">
        <v>47290</v>
      </c>
      <c r="L99" s="1630">
        <v>0.61226207399999999</v>
      </c>
      <c r="M99" s="747">
        <v>100000</v>
      </c>
      <c r="N99" s="747">
        <v>98.4</v>
      </c>
      <c r="O99" s="747">
        <v>98.800000000000011</v>
      </c>
      <c r="P99" s="747">
        <v>100000</v>
      </c>
      <c r="Q99" s="1631">
        <v>46084.711805555555</v>
      </c>
      <c r="R99" s="747">
        <v>98.800000000000011</v>
      </c>
      <c r="S99" s="747">
        <v>0.14875000000000002</v>
      </c>
      <c r="T99" s="1628">
        <v>-5.0581689428429999E-2</v>
      </c>
      <c r="U99" s="747">
        <v>0.30487804878049002</v>
      </c>
      <c r="V99" s="747">
        <v>0.76452599388380005</v>
      </c>
      <c r="W99" s="747">
        <v>1.02197240674502</v>
      </c>
      <c r="X99" s="747" t="s">
        <v>2540</v>
      </c>
      <c r="Y99" s="747" t="s">
        <v>2102</v>
      </c>
      <c r="AA99" s="1631">
        <v>46084.916666666664</v>
      </c>
      <c r="AC99" s="1627"/>
      <c r="AE99" s="747" t="s">
        <v>2103</v>
      </c>
      <c r="AF99" s="747">
        <v>5000</v>
      </c>
      <c r="AG99" s="1628">
        <v>2.7063599458728394E-3</v>
      </c>
    </row>
    <row r="100" spans="1:33" x14ac:dyDescent="0.2">
      <c r="A100" s="747" t="s">
        <v>1148</v>
      </c>
      <c r="B100" s="747" t="s">
        <v>2729</v>
      </c>
      <c r="C100" s="747" t="s">
        <v>2730</v>
      </c>
      <c r="D100" s="747" t="s">
        <v>2139</v>
      </c>
      <c r="E100" s="747" t="s">
        <v>2109</v>
      </c>
      <c r="F100" s="747" t="s">
        <v>366</v>
      </c>
      <c r="G100" s="747" t="s">
        <v>2731</v>
      </c>
      <c r="H100" s="1840" t="s">
        <v>2732</v>
      </c>
      <c r="J100" s="747" t="s">
        <v>2731</v>
      </c>
      <c r="L100" s="1630"/>
      <c r="M100" s="747">
        <v>175</v>
      </c>
      <c r="N100" s="747">
        <v>233.55</v>
      </c>
      <c r="O100" s="747">
        <v>237.10000000000002</v>
      </c>
      <c r="P100" s="747">
        <v>1</v>
      </c>
      <c r="Q100" s="1631">
        <v>46084.732939814814</v>
      </c>
      <c r="R100" s="747">
        <v>235.37</v>
      </c>
      <c r="T100" s="1628">
        <v>-2.84806207949809</v>
      </c>
      <c r="U100" s="747">
        <v>0.50386399999999998</v>
      </c>
      <c r="V100" s="747">
        <v>9.1242059999999992</v>
      </c>
      <c r="W100" s="747">
        <v>10.479274020703201</v>
      </c>
      <c r="Y100" s="747" t="s">
        <v>2133</v>
      </c>
      <c r="AA100" s="1631"/>
      <c r="AC100" s="1627"/>
      <c r="AD100" s="747">
        <v>1</v>
      </c>
      <c r="AG100" s="1628">
        <v>1.0082362965066774E-2</v>
      </c>
    </row>
    <row r="101" spans="1:33" x14ac:dyDescent="0.2">
      <c r="A101" s="747" t="s">
        <v>1024</v>
      </c>
      <c r="B101" s="747" t="s">
        <v>2548</v>
      </c>
      <c r="C101" s="747" t="s">
        <v>2549</v>
      </c>
      <c r="D101" s="747" t="s">
        <v>2097</v>
      </c>
      <c r="E101" s="747" t="s">
        <v>2550</v>
      </c>
      <c r="F101" s="747" t="s">
        <v>369</v>
      </c>
      <c r="G101" s="747" t="s">
        <v>2551</v>
      </c>
      <c r="H101" s="1840" t="s">
        <v>2552</v>
      </c>
      <c r="I101" s="747">
        <v>0.125</v>
      </c>
      <c r="J101" s="747" t="s">
        <v>2553</v>
      </c>
      <c r="K101" s="1627">
        <v>47364</v>
      </c>
      <c r="L101" s="1630">
        <v>0.80973748100000009</v>
      </c>
      <c r="M101" s="747">
        <v>100000</v>
      </c>
      <c r="N101" s="747">
        <v>97.4</v>
      </c>
      <c r="O101" s="747">
        <v>97.65</v>
      </c>
      <c r="P101" s="747">
        <v>100000</v>
      </c>
      <c r="Q101" s="1631">
        <v>46084.711805555555</v>
      </c>
      <c r="R101" s="747">
        <v>97.600000000000009</v>
      </c>
      <c r="S101" s="747">
        <v>6.25E-2</v>
      </c>
      <c r="T101" s="1628">
        <v>-0.35732516590097002</v>
      </c>
      <c r="U101" s="747">
        <v>0.25667351129364002</v>
      </c>
      <c r="V101" s="747">
        <v>0.87538619979402998</v>
      </c>
      <c r="W101" s="747">
        <v>1.1357769747031501</v>
      </c>
      <c r="X101" s="747" t="s">
        <v>2551</v>
      </c>
      <c r="Y101" s="747" t="s">
        <v>2102</v>
      </c>
      <c r="AA101" s="1631">
        <v>46084.916666666664</v>
      </c>
      <c r="AC101" s="1627"/>
      <c r="AE101" s="747" t="s">
        <v>2103</v>
      </c>
      <c r="AF101" s="747">
        <v>5000</v>
      </c>
      <c r="AG101" s="1628">
        <v>1.709693964780304E-3</v>
      </c>
    </row>
    <row r="102" spans="1:33" x14ac:dyDescent="0.2">
      <c r="A102" s="747" t="s">
        <v>1134</v>
      </c>
      <c r="B102" s="747" t="s">
        <v>2744</v>
      </c>
      <c r="C102" s="747" t="s">
        <v>2745</v>
      </c>
      <c r="D102" s="747" t="s">
        <v>2139</v>
      </c>
      <c r="E102" s="747" t="s">
        <v>2109</v>
      </c>
      <c r="F102" s="747" t="s">
        <v>366</v>
      </c>
      <c r="G102" s="747" t="s">
        <v>2746</v>
      </c>
      <c r="H102" s="1840" t="s">
        <v>2747</v>
      </c>
      <c r="J102" s="747" t="s">
        <v>2746</v>
      </c>
      <c r="L102" s="1630"/>
      <c r="M102" s="747">
        <v>150</v>
      </c>
      <c r="N102" s="747">
        <v>104</v>
      </c>
      <c r="O102" s="747">
        <v>108.98</v>
      </c>
      <c r="P102" s="747">
        <v>22</v>
      </c>
      <c r="Q102" s="1631">
        <v>46084.732673611114</v>
      </c>
      <c r="R102" s="747">
        <v>108.97</v>
      </c>
      <c r="T102" s="1628">
        <v>-0.99045888232620005</v>
      </c>
      <c r="U102" s="747">
        <v>-0.62927499999999992</v>
      </c>
      <c r="V102" s="747">
        <v>1.113586</v>
      </c>
      <c r="W102" s="747">
        <v>0.71382813214972995</v>
      </c>
      <c r="Y102" s="747" t="s">
        <v>2133</v>
      </c>
      <c r="AA102" s="1631"/>
      <c r="AC102" s="1627"/>
      <c r="AD102" s="747">
        <v>1</v>
      </c>
      <c r="AG102" s="1628">
        <v>3.1421540791217138E-2</v>
      </c>
    </row>
    <row r="103" spans="1:33" x14ac:dyDescent="0.2">
      <c r="A103" s="747" t="s">
        <v>1025</v>
      </c>
      <c r="B103" s="747" t="s">
        <v>2559</v>
      </c>
      <c r="C103" s="747" t="s">
        <v>2560</v>
      </c>
      <c r="D103" s="747" t="s">
        <v>2097</v>
      </c>
      <c r="E103" s="747" t="s">
        <v>2292</v>
      </c>
      <c r="F103" s="747" t="s">
        <v>369</v>
      </c>
      <c r="G103" s="747" t="s">
        <v>2561</v>
      </c>
      <c r="H103" s="1840" t="s">
        <v>2562</v>
      </c>
      <c r="I103" s="747">
        <v>0.25</v>
      </c>
      <c r="J103" s="747" t="s">
        <v>2563</v>
      </c>
      <c r="K103" s="1627">
        <v>47406</v>
      </c>
      <c r="L103" s="1630">
        <v>0.53027242200000002</v>
      </c>
      <c r="M103" s="747">
        <v>50000</v>
      </c>
      <c r="N103" s="747">
        <v>98.5</v>
      </c>
      <c r="O103" s="747">
        <v>99.5</v>
      </c>
      <c r="P103" s="747">
        <v>100000</v>
      </c>
      <c r="Q103" s="1631">
        <v>46084.711805555555</v>
      </c>
      <c r="R103" s="747">
        <v>98.800000000000011</v>
      </c>
      <c r="S103" s="747">
        <v>9.5833333000000007E-2</v>
      </c>
      <c r="T103" s="1628">
        <v>-0.35300050428642998</v>
      </c>
      <c r="U103" s="747">
        <v>0.30395136778116</v>
      </c>
      <c r="V103" s="747">
        <v>1.0188487009678999</v>
      </c>
      <c r="W103" s="747">
        <v>1.3285641287685299</v>
      </c>
      <c r="X103" s="747" t="s">
        <v>2561</v>
      </c>
      <c r="Y103" s="747" t="s">
        <v>2102</v>
      </c>
      <c r="AA103" s="1631">
        <v>46084.916666666664</v>
      </c>
      <c r="AC103" s="1627"/>
      <c r="AE103" s="747" t="s">
        <v>2103</v>
      </c>
      <c r="AF103" s="747">
        <v>5000</v>
      </c>
      <c r="AG103" s="1628">
        <v>6.7453625632377737E-3</v>
      </c>
    </row>
    <row r="104" spans="1:33" x14ac:dyDescent="0.2">
      <c r="A104" s="747" t="s">
        <v>1729</v>
      </c>
      <c r="B104" s="747" t="s">
        <v>1730</v>
      </c>
      <c r="C104" s="747" t="s">
        <v>2752</v>
      </c>
      <c r="D104" s="747" t="s">
        <v>2158</v>
      </c>
      <c r="E104" s="747" t="s">
        <v>2159</v>
      </c>
      <c r="F104" s="747" t="s">
        <v>369</v>
      </c>
      <c r="G104" s="747" t="s">
        <v>2753</v>
      </c>
      <c r="H104" s="1840" t="s">
        <v>2754</v>
      </c>
      <c r="J104" s="747" t="s">
        <v>2753</v>
      </c>
      <c r="L104" s="1630"/>
      <c r="Q104" s="1631">
        <v>46083.343865740739</v>
      </c>
      <c r="R104" s="747">
        <v>144.67000000000002</v>
      </c>
      <c r="T104" s="1628">
        <v>-1.2086861513247622</v>
      </c>
      <c r="U104" s="747">
        <v>1.72983615779482</v>
      </c>
      <c r="V104" s="747">
        <v>5.0235934664246997</v>
      </c>
      <c r="W104" s="747">
        <v>2.8706304289354341</v>
      </c>
      <c r="Y104" s="747" t="s">
        <v>2133</v>
      </c>
      <c r="AA104" s="1631"/>
      <c r="AB104" s="747">
        <v>0.65</v>
      </c>
      <c r="AC104" s="1627">
        <v>46036</v>
      </c>
      <c r="AD104" s="747">
        <v>1</v>
      </c>
      <c r="AG104" s="1628"/>
    </row>
    <row r="105" spans="1:33" x14ac:dyDescent="0.2">
      <c r="A105" s="747" t="s">
        <v>1026</v>
      </c>
      <c r="B105" s="747" t="s">
        <v>2568</v>
      </c>
      <c r="C105" s="747" t="s">
        <v>2569</v>
      </c>
      <c r="D105" s="747" t="s">
        <v>2097</v>
      </c>
      <c r="E105" s="747" t="s">
        <v>2159</v>
      </c>
      <c r="F105" s="747" t="s">
        <v>369</v>
      </c>
      <c r="G105" s="747" t="s">
        <v>2570</v>
      </c>
      <c r="H105" s="1840" t="s">
        <v>2571</v>
      </c>
      <c r="I105" s="747">
        <v>0</v>
      </c>
      <c r="J105" s="747" t="s">
        <v>2572</v>
      </c>
      <c r="K105" s="1627">
        <v>47407</v>
      </c>
      <c r="L105" s="1630">
        <v>0.44731396200000001</v>
      </c>
      <c r="M105" s="747">
        <v>250000</v>
      </c>
      <c r="N105" s="747">
        <v>97.95</v>
      </c>
      <c r="O105" s="747">
        <v>98.55</v>
      </c>
      <c r="P105" s="747">
        <v>100000</v>
      </c>
      <c r="Q105" s="1631">
        <v>46084.711805555555</v>
      </c>
      <c r="R105" s="747">
        <v>98.5</v>
      </c>
      <c r="S105" s="747">
        <v>0</v>
      </c>
      <c r="T105" s="1628">
        <v>0</v>
      </c>
      <c r="U105" s="747">
        <v>0.25471217524197998</v>
      </c>
      <c r="V105" s="747">
        <v>0.35659704533877001</v>
      </c>
      <c r="W105" s="747">
        <v>0.81883316274309004</v>
      </c>
      <c r="X105" s="747" t="s">
        <v>2570</v>
      </c>
      <c r="Y105" s="747" t="s">
        <v>2102</v>
      </c>
      <c r="AA105" s="1631"/>
      <c r="AC105" s="1627"/>
      <c r="AE105" s="747" t="s">
        <v>2103</v>
      </c>
      <c r="AF105" s="747">
        <v>5000</v>
      </c>
      <c r="AG105" s="1628">
        <v>4.0753948038715869E-3</v>
      </c>
    </row>
    <row r="106" spans="1:33" x14ac:dyDescent="0.2">
      <c r="A106" s="747" t="s">
        <v>1289</v>
      </c>
      <c r="B106" s="747" t="s">
        <v>2758</v>
      </c>
      <c r="C106" s="747" t="s">
        <v>2759</v>
      </c>
      <c r="D106" s="747" t="s">
        <v>2139</v>
      </c>
      <c r="E106" s="747" t="s">
        <v>2109</v>
      </c>
      <c r="F106" s="747" t="s">
        <v>369</v>
      </c>
      <c r="G106" s="747" t="s">
        <v>2760</v>
      </c>
      <c r="H106" s="1840" t="s">
        <v>2761</v>
      </c>
      <c r="J106" s="747" t="s">
        <v>2760</v>
      </c>
      <c r="L106" s="1630"/>
      <c r="M106" s="747">
        <v>20544</v>
      </c>
      <c r="N106" s="747">
        <v>4.6471</v>
      </c>
      <c r="O106" s="747">
        <v>4.74</v>
      </c>
      <c r="P106" s="747">
        <v>6350</v>
      </c>
      <c r="Q106" s="1631">
        <v>46084.718078703707</v>
      </c>
      <c r="R106" s="747">
        <v>4.6543000000000001</v>
      </c>
      <c r="T106" s="1628">
        <v>-0.16516516516516999</v>
      </c>
      <c r="U106" s="747">
        <v>0</v>
      </c>
      <c r="V106" s="747">
        <v>-6.4415E-2</v>
      </c>
      <c r="W106" s="747">
        <v>-3.2164683177880002E-2</v>
      </c>
      <c r="Y106" s="747" t="s">
        <v>2133</v>
      </c>
      <c r="AA106" s="1631"/>
      <c r="AC106" s="1627"/>
      <c r="AD106" s="747">
        <v>1</v>
      </c>
      <c r="AG106" s="1628">
        <v>1.3239087372276326E-2</v>
      </c>
    </row>
    <row r="107" spans="1:33" x14ac:dyDescent="0.2">
      <c r="A107" s="747" t="s">
        <v>1027</v>
      </c>
      <c r="B107" s="747" t="s">
        <v>2576</v>
      </c>
      <c r="C107" s="747" t="s">
        <v>2577</v>
      </c>
      <c r="D107" s="747" t="s">
        <v>2097</v>
      </c>
      <c r="E107" s="747" t="s">
        <v>2130</v>
      </c>
      <c r="F107" s="747" t="s">
        <v>381</v>
      </c>
      <c r="G107" s="747" t="s">
        <v>2578</v>
      </c>
      <c r="H107" s="1840" t="s">
        <v>2579</v>
      </c>
      <c r="I107" s="747">
        <v>0.05</v>
      </c>
      <c r="J107" s="747" t="s">
        <v>2580</v>
      </c>
      <c r="K107" s="1627">
        <v>47408</v>
      </c>
      <c r="L107" s="1630">
        <v>2.4005690990000002</v>
      </c>
      <c r="M107" s="747">
        <v>100000</v>
      </c>
      <c r="N107" s="747">
        <v>91.747</v>
      </c>
      <c r="O107" s="747">
        <v>92.372</v>
      </c>
      <c r="P107" s="747">
        <v>0</v>
      </c>
      <c r="Q107" s="1631">
        <v>46084.754351851851</v>
      </c>
      <c r="R107" s="747">
        <v>91.747</v>
      </c>
      <c r="S107" s="747">
        <v>1.8767123E-2</v>
      </c>
      <c r="T107" s="1628">
        <v>-0.21426085443314</v>
      </c>
      <c r="U107" s="747">
        <v>0.44462894785715001</v>
      </c>
      <c r="V107" s="747">
        <v>1.2576815488645601</v>
      </c>
      <c r="W107" s="747">
        <v>-0.36013087683085998</v>
      </c>
      <c r="X107" s="747" t="s">
        <v>2578</v>
      </c>
      <c r="Y107" s="747" t="s">
        <v>2261</v>
      </c>
      <c r="AA107" s="1631">
        <v>46084.916666666664</v>
      </c>
      <c r="AC107" s="1627"/>
      <c r="AE107" s="747" t="s">
        <v>2103</v>
      </c>
      <c r="AF107" s="747">
        <v>1000</v>
      </c>
      <c r="AG107" s="1628">
        <v>4.5311854306076139E-3</v>
      </c>
    </row>
    <row r="108" spans="1:33" x14ac:dyDescent="0.2">
      <c r="A108" s="747" t="s">
        <v>1086</v>
      </c>
      <c r="B108" s="747" t="s">
        <v>2740</v>
      </c>
      <c r="C108" s="747" t="s">
        <v>2741</v>
      </c>
      <c r="D108" s="747" t="s">
        <v>2139</v>
      </c>
      <c r="E108" s="747" t="s">
        <v>2130</v>
      </c>
      <c r="F108" s="747" t="s">
        <v>381</v>
      </c>
      <c r="G108" s="747" t="s">
        <v>2742</v>
      </c>
      <c r="H108" s="1840" t="s">
        <v>2743</v>
      </c>
      <c r="J108" s="747" t="s">
        <v>2742</v>
      </c>
      <c r="L108" s="1630"/>
      <c r="Q108" s="1631">
        <v>46083.746527777781</v>
      </c>
      <c r="R108" s="747">
        <v>107.24000000000001</v>
      </c>
      <c r="T108" s="1628">
        <v>-0.26041666666666002</v>
      </c>
      <c r="U108" s="747">
        <v>-0.28823802882379179</v>
      </c>
      <c r="V108" s="747">
        <v>-3.221730890713828</v>
      </c>
      <c r="W108" s="747">
        <v>0.22429906542056999</v>
      </c>
      <c r="Y108" s="747" t="s">
        <v>2133</v>
      </c>
      <c r="AA108" s="1631"/>
      <c r="AB108" s="747">
        <v>4.3600000000000003</v>
      </c>
      <c r="AC108" s="1627">
        <v>46000</v>
      </c>
      <c r="AD108" s="747">
        <v>1</v>
      </c>
      <c r="AG108" s="1628"/>
    </row>
    <row r="109" spans="1:33" x14ac:dyDescent="0.2">
      <c r="A109" s="747" t="s">
        <v>4317</v>
      </c>
      <c r="B109" s="747" t="s">
        <v>4318</v>
      </c>
      <c r="C109" s="747" t="s">
        <v>4319</v>
      </c>
      <c r="D109" s="747" t="s">
        <v>2097</v>
      </c>
      <c r="E109" s="747" t="s">
        <v>2331</v>
      </c>
      <c r="F109" s="747" t="s">
        <v>369</v>
      </c>
      <c r="G109" s="747" t="s">
        <v>4320</v>
      </c>
      <c r="H109" s="1840" t="s">
        <v>4321</v>
      </c>
      <c r="I109" s="747">
        <v>0.41</v>
      </c>
      <c r="J109" s="747" t="s">
        <v>2542</v>
      </c>
      <c r="K109" s="1627">
        <v>47501</v>
      </c>
      <c r="L109" s="1630">
        <v>0.61983966400000001</v>
      </c>
      <c r="M109" s="747">
        <v>250000</v>
      </c>
      <c r="N109" s="747">
        <v>98.4</v>
      </c>
      <c r="O109" s="747">
        <v>98.95</v>
      </c>
      <c r="P109" s="747">
        <v>300000</v>
      </c>
      <c r="Q109" s="1631">
        <v>46084.711805555555</v>
      </c>
      <c r="R109" s="747">
        <v>98.9</v>
      </c>
      <c r="S109" s="747">
        <v>5.1250000000000004E-2</v>
      </c>
      <c r="T109" s="1628">
        <v>-0.30241935483870003</v>
      </c>
      <c r="U109" s="747">
        <v>0.60851926977687998</v>
      </c>
      <c r="V109" s="747">
        <v>0.91556459816887004</v>
      </c>
      <c r="W109" s="747">
        <v>1.17287098419175</v>
      </c>
      <c r="X109" s="747" t="s">
        <v>4320</v>
      </c>
      <c r="Y109" s="747" t="s">
        <v>2102</v>
      </c>
      <c r="AA109" s="1631">
        <v>46039</v>
      </c>
      <c r="AC109" s="1627"/>
      <c r="AE109" s="747" t="s">
        <v>2103</v>
      </c>
      <c r="AF109" s="747">
        <v>5000</v>
      </c>
      <c r="AG109" s="1628">
        <v>3.7193575655113924E-3</v>
      </c>
    </row>
    <row r="110" spans="1:33" x14ac:dyDescent="0.2">
      <c r="A110" s="747" t="s">
        <v>1660</v>
      </c>
      <c r="B110" s="747" t="s">
        <v>1661</v>
      </c>
      <c r="C110" s="747" t="s">
        <v>2790</v>
      </c>
      <c r="D110" s="747" t="s">
        <v>2158</v>
      </c>
      <c r="E110" s="747" t="s">
        <v>2130</v>
      </c>
      <c r="F110" s="747" t="s">
        <v>369</v>
      </c>
      <c r="G110" s="747" t="s">
        <v>2791</v>
      </c>
      <c r="H110" s="1840" t="s">
        <v>2792</v>
      </c>
      <c r="J110" s="747" t="s">
        <v>2791</v>
      </c>
      <c r="L110" s="1630"/>
      <c r="Q110" s="1631">
        <v>46083.052152777775</v>
      </c>
      <c r="R110" s="747">
        <v>12.600000000000001</v>
      </c>
      <c r="T110" s="1628">
        <v>-0.47393364928908943</v>
      </c>
      <c r="U110" s="747">
        <v>-1.02120974076983</v>
      </c>
      <c r="V110" s="747">
        <v>-0.47393364928908999</v>
      </c>
      <c r="W110" s="747">
        <v>-0.55248618784529213</v>
      </c>
      <c r="Y110" s="747" t="s">
        <v>2133</v>
      </c>
      <c r="AA110" s="1631"/>
      <c r="AC110" s="1627"/>
      <c r="AD110" s="747">
        <v>1</v>
      </c>
      <c r="AG110" s="1628"/>
    </row>
    <row r="111" spans="1:33" x14ac:dyDescent="0.2">
      <c r="A111" s="747" t="s">
        <v>1028</v>
      </c>
      <c r="B111" s="747" t="s">
        <v>2586</v>
      </c>
      <c r="C111" s="747" t="s">
        <v>2587</v>
      </c>
      <c r="D111" s="747" t="s">
        <v>2097</v>
      </c>
      <c r="E111" s="747" t="s">
        <v>2098</v>
      </c>
      <c r="F111" s="747" t="s">
        <v>381</v>
      </c>
      <c r="G111" s="747" t="s">
        <v>2588</v>
      </c>
      <c r="H111" s="1840" t="s">
        <v>2589</v>
      </c>
      <c r="I111" s="747">
        <v>0.375</v>
      </c>
      <c r="J111" s="747" t="s">
        <v>4307</v>
      </c>
      <c r="K111" s="1627">
        <v>47526</v>
      </c>
      <c r="L111" s="1630">
        <v>3.0508417100000003</v>
      </c>
      <c r="M111" s="747">
        <v>250000</v>
      </c>
      <c r="N111" s="747">
        <v>89.847000000000008</v>
      </c>
      <c r="O111" s="747">
        <v>90.079000000000008</v>
      </c>
      <c r="P111" s="747">
        <v>250000</v>
      </c>
      <c r="Q111" s="1631">
        <v>46084.788113425922</v>
      </c>
      <c r="R111" s="747">
        <v>89.847000000000008</v>
      </c>
      <c r="S111" s="747">
        <v>1.9520548000000002E-2</v>
      </c>
      <c r="T111" s="1628">
        <v>-0.39135254988912999</v>
      </c>
      <c r="U111" s="747">
        <v>-1.04223806911685</v>
      </c>
      <c r="V111" s="747">
        <v>1.2404590816132699</v>
      </c>
      <c r="W111" s="747">
        <v>1.6152008345204301</v>
      </c>
      <c r="X111" s="747" t="s">
        <v>2588</v>
      </c>
      <c r="Y111" s="747" t="s">
        <v>2113</v>
      </c>
      <c r="AA111" s="1631">
        <v>46064</v>
      </c>
      <c r="AC111" s="1627"/>
      <c r="AE111" s="747" t="s">
        <v>2103</v>
      </c>
      <c r="AF111" s="747">
        <v>1000</v>
      </c>
      <c r="AG111" s="1628">
        <v>1.7199645627990888E-3</v>
      </c>
    </row>
    <row r="112" spans="1:33" x14ac:dyDescent="0.2">
      <c r="A112" s="747" t="s">
        <v>1983</v>
      </c>
      <c r="B112" s="747" t="s">
        <v>2807</v>
      </c>
      <c r="C112" s="747" t="s">
        <v>2808</v>
      </c>
      <c r="D112" s="747" t="s">
        <v>2120</v>
      </c>
      <c r="F112" s="747" t="s">
        <v>369</v>
      </c>
      <c r="G112" s="747" t="s">
        <v>2809</v>
      </c>
      <c r="H112" s="1840" t="s">
        <v>2810</v>
      </c>
      <c r="J112" s="747" t="s">
        <v>2811</v>
      </c>
      <c r="L112" s="1630"/>
      <c r="M112" s="747">
        <v>6</v>
      </c>
      <c r="N112" s="747">
        <v>78</v>
      </c>
      <c r="O112" s="747">
        <v>83.4</v>
      </c>
      <c r="P112" s="747">
        <v>1140</v>
      </c>
      <c r="Q112" s="1631">
        <v>46084.730081018519</v>
      </c>
      <c r="R112" s="747">
        <v>78.400000000000006</v>
      </c>
      <c r="T112" s="1628">
        <v>-2.6086956521739002</v>
      </c>
      <c r="U112" s="747">
        <v>-7.2189350000000001</v>
      </c>
      <c r="V112" s="747">
        <v>5.802969</v>
      </c>
      <c r="W112" s="747">
        <v>-1.58924205378975</v>
      </c>
      <c r="Y112" s="747" t="s">
        <v>2203</v>
      </c>
      <c r="Z112" s="747">
        <v>1.785714</v>
      </c>
      <c r="AA112" s="1631"/>
      <c r="AB112" s="747">
        <v>1</v>
      </c>
      <c r="AC112" s="1627">
        <v>45754</v>
      </c>
      <c r="AD112" s="747">
        <v>1</v>
      </c>
      <c r="AG112" s="1628">
        <v>4.5112781954887264E-2</v>
      </c>
    </row>
    <row r="113" spans="1:103" x14ac:dyDescent="0.2">
      <c r="A113" s="747" t="s">
        <v>1029</v>
      </c>
      <c r="B113" s="747" t="s">
        <v>2593</v>
      </c>
      <c r="C113" s="747" t="s">
        <v>2594</v>
      </c>
      <c r="D113" s="747" t="s">
        <v>2097</v>
      </c>
      <c r="E113" s="747" t="s">
        <v>2550</v>
      </c>
      <c r="F113" s="747" t="s">
        <v>369</v>
      </c>
      <c r="G113" s="747" t="s">
        <v>2595</v>
      </c>
      <c r="H113" s="1840" t="s">
        <v>2596</v>
      </c>
      <c r="I113" s="747">
        <v>0.125</v>
      </c>
      <c r="J113" s="747" t="s">
        <v>2553</v>
      </c>
      <c r="K113" s="1627">
        <v>47569</v>
      </c>
      <c r="L113" s="1630">
        <v>0.82898350100000007</v>
      </c>
      <c r="M113" s="747">
        <v>100000</v>
      </c>
      <c r="N113" s="747">
        <v>96.600000000000009</v>
      </c>
      <c r="O113" s="747">
        <v>97</v>
      </c>
      <c r="P113" s="747">
        <v>125000</v>
      </c>
      <c r="Q113" s="1631">
        <v>46084.528773148151</v>
      </c>
      <c r="R113" s="747">
        <v>96.55</v>
      </c>
      <c r="S113" s="747">
        <v>0.116666667</v>
      </c>
      <c r="T113" s="1628">
        <v>-0.66872427983540006</v>
      </c>
      <c r="U113" s="747">
        <v>0.30959752321981998</v>
      </c>
      <c r="V113" s="747">
        <v>0.51706308169597004</v>
      </c>
      <c r="W113" s="747">
        <v>1.03950103950104</v>
      </c>
      <c r="X113" s="747" t="s">
        <v>2595</v>
      </c>
      <c r="Y113" s="747" t="s">
        <v>2102</v>
      </c>
      <c r="AA113" s="1631">
        <v>46084.958333333336</v>
      </c>
      <c r="AC113" s="1627"/>
      <c r="AE113" s="747" t="s">
        <v>2103</v>
      </c>
      <c r="AF113" s="747">
        <v>5000</v>
      </c>
      <c r="AG113" s="1628">
        <v>2.7567195037904303E-3</v>
      </c>
    </row>
    <row r="114" spans="1:103" x14ac:dyDescent="0.2">
      <c r="A114" s="747" t="s">
        <v>1331</v>
      </c>
      <c r="B114" s="747" t="s">
        <v>2812</v>
      </c>
      <c r="C114" s="747" t="s">
        <v>2813</v>
      </c>
      <c r="D114" s="747" t="s">
        <v>2139</v>
      </c>
      <c r="E114" s="747" t="s">
        <v>2130</v>
      </c>
      <c r="F114" s="747" t="s">
        <v>381</v>
      </c>
      <c r="G114" s="747" t="s">
        <v>2814</v>
      </c>
      <c r="H114" s="1840" t="s">
        <v>2815</v>
      </c>
      <c r="J114" s="747" t="s">
        <v>2814</v>
      </c>
      <c r="L114" s="1630"/>
      <c r="Q114" s="1631">
        <v>46083.733287037037</v>
      </c>
      <c r="R114" s="747">
        <v>89.09</v>
      </c>
      <c r="T114" s="1628">
        <v>-1.40548915449314</v>
      </c>
      <c r="U114" s="747">
        <v>4.4431418522860398</v>
      </c>
      <c r="V114" s="747">
        <v>12.54421424962103</v>
      </c>
      <c r="W114" s="747">
        <v>11.7115987460816</v>
      </c>
      <c r="Y114" s="747" t="s">
        <v>2133</v>
      </c>
      <c r="AA114" s="1631"/>
      <c r="AC114" s="1627"/>
      <c r="AD114" s="747">
        <v>1</v>
      </c>
      <c r="AG114" s="1628"/>
    </row>
    <row r="115" spans="1:103" x14ac:dyDescent="0.2">
      <c r="A115" s="747" t="s">
        <v>1030</v>
      </c>
      <c r="B115" s="747" t="s">
        <v>2601</v>
      </c>
      <c r="C115" s="747" t="s">
        <v>2602</v>
      </c>
      <c r="D115" s="747" t="s">
        <v>2097</v>
      </c>
      <c r="E115" s="747" t="s">
        <v>2603</v>
      </c>
      <c r="F115" s="747" t="s">
        <v>369</v>
      </c>
      <c r="G115" s="747" t="s">
        <v>2604</v>
      </c>
      <c r="H115" s="1840" t="s">
        <v>2605</v>
      </c>
      <c r="I115" s="747">
        <v>1.04</v>
      </c>
      <c r="J115" s="747" t="s">
        <v>2606</v>
      </c>
      <c r="K115" s="1627">
        <v>47687</v>
      </c>
      <c r="L115" s="1630">
        <v>0.8762684850000001</v>
      </c>
      <c r="M115" s="747">
        <v>5000</v>
      </c>
      <c r="N115" s="747">
        <v>100.45</v>
      </c>
      <c r="O115" s="747">
        <v>100.95</v>
      </c>
      <c r="P115" s="747">
        <v>35000</v>
      </c>
      <c r="Q115" s="1631">
        <v>46084.708333333336</v>
      </c>
      <c r="R115" s="747">
        <v>100.45</v>
      </c>
      <c r="S115" s="747">
        <v>0.63555555600000002</v>
      </c>
      <c r="T115" s="1628">
        <v>-0.44598612487611999</v>
      </c>
      <c r="U115" s="747">
        <v>0.29880478087650003</v>
      </c>
      <c r="V115" s="747">
        <v>0.19860973187687</v>
      </c>
      <c r="W115" s="747">
        <v>1.1528822055137999</v>
      </c>
      <c r="X115" s="747" t="s">
        <v>2604</v>
      </c>
      <c r="Y115" s="747" t="s">
        <v>2318</v>
      </c>
      <c r="AA115" s="1631">
        <v>46084.916666666664</v>
      </c>
      <c r="AC115" s="1627"/>
      <c r="AE115" s="747" t="s">
        <v>2103</v>
      </c>
      <c r="AF115" s="747">
        <v>5000</v>
      </c>
      <c r="AG115" s="1628">
        <v>3.3129037601457674E-3</v>
      </c>
    </row>
    <row r="116" spans="1:103" x14ac:dyDescent="0.2">
      <c r="A116" s="747" t="s">
        <v>1797</v>
      </c>
      <c r="B116" s="747" t="s">
        <v>2820</v>
      </c>
      <c r="C116" s="747" t="s">
        <v>2821</v>
      </c>
      <c r="D116" s="747" t="s">
        <v>2120</v>
      </c>
      <c r="F116" s="747" t="s">
        <v>369</v>
      </c>
      <c r="G116" s="747" t="s">
        <v>2822</v>
      </c>
      <c r="H116" s="1840" t="s">
        <v>2823</v>
      </c>
      <c r="J116" s="747" t="s">
        <v>2824</v>
      </c>
      <c r="L116" s="1630"/>
      <c r="M116" s="747">
        <v>1</v>
      </c>
      <c r="N116" s="747">
        <v>220</v>
      </c>
      <c r="O116" s="747">
        <v>216</v>
      </c>
      <c r="P116" s="747">
        <v>120</v>
      </c>
      <c r="Q116" s="1631">
        <v>46084.730081018519</v>
      </c>
      <c r="R116" s="747">
        <v>211</v>
      </c>
      <c r="T116" s="1628">
        <v>-1.1709601873536399</v>
      </c>
      <c r="U116" s="747">
        <v>-3.8724369999999997</v>
      </c>
      <c r="V116" s="747">
        <v>-4.5248869999999997</v>
      </c>
      <c r="W116" s="747">
        <v>-4.4742729306487696</v>
      </c>
      <c r="Y116" s="747" t="s">
        <v>2307</v>
      </c>
      <c r="Z116" s="747">
        <v>3.317536</v>
      </c>
      <c r="AA116" s="1631"/>
      <c r="AB116" s="747">
        <v>7</v>
      </c>
      <c r="AC116" s="1627">
        <v>45757</v>
      </c>
      <c r="AD116" s="747">
        <v>1</v>
      </c>
      <c r="AG116" s="1628">
        <v>-1.2195121951219513E-2</v>
      </c>
    </row>
    <row r="117" spans="1:103" x14ac:dyDescent="0.2">
      <c r="A117" s="747" t="s">
        <v>1032</v>
      </c>
      <c r="B117" s="747" t="s">
        <v>2191</v>
      </c>
      <c r="C117" s="747" t="s">
        <v>2192</v>
      </c>
      <c r="D117" s="747" t="s">
        <v>2097</v>
      </c>
      <c r="E117" s="747" t="s">
        <v>2098</v>
      </c>
      <c r="F117" s="747" t="s">
        <v>381</v>
      </c>
      <c r="G117" s="747" t="s">
        <v>4231</v>
      </c>
      <c r="H117" s="1840" t="s">
        <v>2193</v>
      </c>
      <c r="I117" s="747">
        <v>0.01</v>
      </c>
      <c r="J117" s="747" t="s">
        <v>4232</v>
      </c>
      <c r="K117" s="1627">
        <v>47875</v>
      </c>
      <c r="L117" s="1630">
        <v>2.6126180650000004</v>
      </c>
      <c r="M117" s="747">
        <v>1000000</v>
      </c>
      <c r="N117" s="747">
        <v>87.84</v>
      </c>
      <c r="O117" s="747">
        <v>88.134</v>
      </c>
      <c r="P117" s="747">
        <v>500000</v>
      </c>
      <c r="Q117" s="1631">
        <v>46084.753483796296</v>
      </c>
      <c r="R117" s="747">
        <v>87.84</v>
      </c>
      <c r="S117" s="747">
        <v>9.5890400000000001E-4</v>
      </c>
      <c r="T117" s="1628">
        <v>-0.38218583077220003</v>
      </c>
      <c r="U117" s="747">
        <v>0.87516588111473004</v>
      </c>
      <c r="V117" s="747">
        <v>1.77048347818059</v>
      </c>
      <c r="W117" s="747">
        <v>0.57504312823462</v>
      </c>
      <c r="X117" s="747" t="s">
        <v>4231</v>
      </c>
      <c r="Y117" s="747" t="s">
        <v>2102</v>
      </c>
      <c r="AA117" s="1631">
        <v>46048</v>
      </c>
      <c r="AC117" s="1627"/>
      <c r="AE117" s="747" t="s">
        <v>2103</v>
      </c>
      <c r="AF117" s="747">
        <v>1000</v>
      </c>
      <c r="AG117" s="1628">
        <v>2.2288430485114278E-3</v>
      </c>
    </row>
    <row r="118" spans="1:103" x14ac:dyDescent="0.2">
      <c r="A118" s="747" t="s">
        <v>1978</v>
      </c>
      <c r="B118" s="747" t="s">
        <v>2825</v>
      </c>
      <c r="C118" s="747" t="s">
        <v>2826</v>
      </c>
      <c r="D118" s="747" t="s">
        <v>2120</v>
      </c>
      <c r="F118" s="747" t="s">
        <v>369</v>
      </c>
      <c r="G118" s="747" t="s">
        <v>437</v>
      </c>
      <c r="H118" s="1840" t="s">
        <v>2827</v>
      </c>
      <c r="J118" s="747" t="s">
        <v>2828</v>
      </c>
      <c r="L118" s="1630"/>
      <c r="M118" s="747">
        <v>500</v>
      </c>
      <c r="N118" s="747">
        <v>139.6</v>
      </c>
      <c r="O118" s="747">
        <v>147</v>
      </c>
      <c r="P118" s="747">
        <v>78</v>
      </c>
      <c r="Q118" s="1631">
        <v>46084.731238425928</v>
      </c>
      <c r="R118" s="747">
        <v>142.4</v>
      </c>
      <c r="T118" s="1628">
        <v>-1.52143845089903</v>
      </c>
      <c r="U118" s="747">
        <v>-4.301075</v>
      </c>
      <c r="V118" s="747">
        <v>-4.5576409999999994</v>
      </c>
      <c r="W118" s="747">
        <v>-3.2128514056225002</v>
      </c>
      <c r="Y118" s="747" t="s">
        <v>2113</v>
      </c>
      <c r="Z118" s="747">
        <v>2.0716289999999997</v>
      </c>
      <c r="AA118" s="1631"/>
      <c r="AB118" s="747">
        <v>2.73</v>
      </c>
      <c r="AC118" s="1627">
        <v>45758</v>
      </c>
      <c r="AD118" s="747">
        <v>1</v>
      </c>
      <c r="AG118" s="1628">
        <v>3.4725480994838132E-2</v>
      </c>
    </row>
    <row r="119" spans="1:103" x14ac:dyDescent="0.2">
      <c r="A119" s="747" t="s">
        <v>1874</v>
      </c>
      <c r="B119" s="747" t="s">
        <v>2837</v>
      </c>
      <c r="C119" s="747" t="s">
        <v>2838</v>
      </c>
      <c r="D119" s="747" t="s">
        <v>2120</v>
      </c>
      <c r="F119" s="747" t="s">
        <v>369</v>
      </c>
      <c r="G119" s="747" t="s">
        <v>608</v>
      </c>
      <c r="H119" s="1840" t="s">
        <v>2839</v>
      </c>
      <c r="J119" s="747" t="s">
        <v>2840</v>
      </c>
      <c r="L119" s="1630"/>
      <c r="M119" s="747">
        <v>200</v>
      </c>
      <c r="N119" s="747">
        <v>50.5</v>
      </c>
      <c r="O119" s="747">
        <v>54</v>
      </c>
      <c r="P119" s="747">
        <v>35</v>
      </c>
      <c r="Q119" s="1631">
        <v>46084.730081018519</v>
      </c>
      <c r="R119" s="747">
        <v>51.400000000000006</v>
      </c>
      <c r="T119" s="1628">
        <v>-3.7453183520599298</v>
      </c>
      <c r="U119" s="747">
        <v>-5.1660519999999996</v>
      </c>
      <c r="V119" s="747">
        <v>-0.58027099999999998</v>
      </c>
      <c r="W119" s="747">
        <v>3.8910505836575902</v>
      </c>
      <c r="Y119" s="747" t="s">
        <v>2655</v>
      </c>
      <c r="Z119" s="747">
        <v>2.2373539999999998</v>
      </c>
      <c r="AA119" s="1631"/>
      <c r="AB119" s="747">
        <v>1.1500000000000001</v>
      </c>
      <c r="AC119" s="1627">
        <v>45835</v>
      </c>
      <c r="AD119" s="747">
        <v>1</v>
      </c>
      <c r="AG119" s="1628">
        <v>4.5161290322580643E-2</v>
      </c>
    </row>
    <row r="120" spans="1:103" x14ac:dyDescent="0.2">
      <c r="A120" s="747" t="s">
        <v>1034</v>
      </c>
      <c r="B120" s="747" t="s">
        <v>2614</v>
      </c>
      <c r="C120" s="747" t="s">
        <v>2615</v>
      </c>
      <c r="D120" s="747" t="s">
        <v>2097</v>
      </c>
      <c r="E120" s="747" t="s">
        <v>2159</v>
      </c>
      <c r="F120" s="747" t="s">
        <v>369</v>
      </c>
      <c r="G120" s="747" t="s">
        <v>2616</v>
      </c>
      <c r="H120" s="1840" t="s">
        <v>2617</v>
      </c>
      <c r="I120" s="747">
        <v>0.875</v>
      </c>
      <c r="J120" s="747" t="s">
        <v>2487</v>
      </c>
      <c r="K120" s="1627">
        <v>47982</v>
      </c>
      <c r="L120" s="1630">
        <v>1.0239368390000001</v>
      </c>
      <c r="M120" s="747">
        <v>100000</v>
      </c>
      <c r="N120" s="747">
        <v>99</v>
      </c>
      <c r="O120" s="747">
        <v>99.75</v>
      </c>
      <c r="P120" s="747">
        <v>50000</v>
      </c>
      <c r="Q120" s="1631">
        <v>46084.708333333336</v>
      </c>
      <c r="R120" s="747">
        <v>99.05</v>
      </c>
      <c r="S120" s="747">
        <v>0.70243055600000004</v>
      </c>
      <c r="T120" s="1628">
        <v>-0.55220883534137999</v>
      </c>
      <c r="U120" s="747">
        <v>-0.20110608345903</v>
      </c>
      <c r="V120" s="747">
        <v>5.040322580645E-2</v>
      </c>
      <c r="W120" s="747">
        <v>0.60606060606061996</v>
      </c>
      <c r="X120" s="747" t="s">
        <v>2616</v>
      </c>
      <c r="Y120" s="747" t="s">
        <v>2102</v>
      </c>
      <c r="AA120" s="1631">
        <v>46084.916666666664</v>
      </c>
      <c r="AC120" s="1627"/>
      <c r="AE120" s="747" t="s">
        <v>2103</v>
      </c>
      <c r="AF120" s="747">
        <v>5000</v>
      </c>
      <c r="AG120" s="1628">
        <v>5.0377833753148613E-3</v>
      </c>
    </row>
    <row r="121" spans="1:103" x14ac:dyDescent="0.2">
      <c r="A121" s="747" t="s">
        <v>1127</v>
      </c>
      <c r="B121" s="747" t="s">
        <v>2804</v>
      </c>
      <c r="C121" s="747" t="s">
        <v>2805</v>
      </c>
      <c r="D121" s="747" t="s">
        <v>2139</v>
      </c>
      <c r="E121" s="747" t="s">
        <v>2109</v>
      </c>
      <c r="F121" s="747" t="s">
        <v>369</v>
      </c>
      <c r="G121" s="747" t="s">
        <v>2173</v>
      </c>
      <c r="H121" s="1840" t="s">
        <v>2806</v>
      </c>
      <c r="J121" s="747" t="s">
        <v>2173</v>
      </c>
      <c r="L121" s="1630"/>
      <c r="M121" s="747">
        <v>11</v>
      </c>
      <c r="N121" s="747">
        <v>385.5</v>
      </c>
      <c r="O121" s="747">
        <v>399</v>
      </c>
      <c r="P121" s="747">
        <v>4</v>
      </c>
      <c r="Q121" s="1631">
        <v>46084.73300925926</v>
      </c>
      <c r="R121" s="747">
        <v>392.75</v>
      </c>
      <c r="T121" s="1628">
        <v>-1.1203423967774599</v>
      </c>
      <c r="U121" s="747">
        <v>-3.8438000000000003</v>
      </c>
      <c r="V121" s="747">
        <v>-5.2358549999999999</v>
      </c>
      <c r="W121" s="747">
        <v>-3.39292229113462</v>
      </c>
      <c r="Y121" s="747" t="s">
        <v>2133</v>
      </c>
      <c r="AA121" s="1631"/>
      <c r="AC121" s="1627"/>
      <c r="AD121" s="747">
        <v>1</v>
      </c>
      <c r="AG121" s="1628">
        <v>2.3076923076923078E-2</v>
      </c>
    </row>
    <row r="122" spans="1:103" x14ac:dyDescent="0.2">
      <c r="A122" s="747" t="s">
        <v>1035</v>
      </c>
      <c r="B122" s="747" t="s">
        <v>2618</v>
      </c>
      <c r="C122" s="747" t="s">
        <v>2619</v>
      </c>
      <c r="D122" s="747" t="s">
        <v>2097</v>
      </c>
      <c r="E122" s="747" t="s">
        <v>2159</v>
      </c>
      <c r="F122" s="747" t="s">
        <v>369</v>
      </c>
      <c r="G122" s="747" t="s">
        <v>2620</v>
      </c>
      <c r="H122" s="1840" t="s">
        <v>2621</v>
      </c>
      <c r="I122" s="747">
        <v>1</v>
      </c>
      <c r="J122" s="747" t="s">
        <v>2572</v>
      </c>
      <c r="K122" s="1627">
        <v>48057</v>
      </c>
      <c r="L122" s="1630">
        <v>1.0380589850000002</v>
      </c>
      <c r="M122" s="747">
        <v>10000</v>
      </c>
      <c r="N122" s="747">
        <v>99.7</v>
      </c>
      <c r="O122" s="747">
        <v>100.10000000000001</v>
      </c>
      <c r="P122" s="747">
        <v>50000</v>
      </c>
      <c r="Q122" s="1631">
        <v>46084.396157407406</v>
      </c>
      <c r="R122" s="747">
        <v>99.7</v>
      </c>
      <c r="S122" s="747">
        <v>0.59722222200000008</v>
      </c>
      <c r="T122" s="1628">
        <v>-0.30000000000000004</v>
      </c>
      <c r="U122" s="747">
        <v>0.60483870967743003</v>
      </c>
      <c r="V122" s="747">
        <v>0.65425264217413004</v>
      </c>
      <c r="W122" s="747">
        <v>1.0611419909045001</v>
      </c>
      <c r="X122" s="747" t="s">
        <v>2620</v>
      </c>
      <c r="Y122" s="747" t="s">
        <v>2102</v>
      </c>
      <c r="AA122" s="1631">
        <v>46084.916666666664</v>
      </c>
      <c r="AC122" s="1627"/>
      <c r="AE122" s="747" t="s">
        <v>2103</v>
      </c>
      <c r="AF122" s="747">
        <v>5000</v>
      </c>
      <c r="AG122" s="1628">
        <v>2.6711185308848462E-3</v>
      </c>
    </row>
    <row r="123" spans="1:103" x14ac:dyDescent="0.2">
      <c r="A123" s="747" t="s">
        <v>1612</v>
      </c>
      <c r="B123" s="747" t="s">
        <v>2859</v>
      </c>
      <c r="C123" s="747" t="s">
        <v>2860</v>
      </c>
      <c r="D123" s="747" t="s">
        <v>2158</v>
      </c>
      <c r="E123" s="747" t="s">
        <v>2130</v>
      </c>
      <c r="F123" s="747" t="s">
        <v>381</v>
      </c>
      <c r="G123" s="747" t="s">
        <v>2861</v>
      </c>
      <c r="H123" s="1840" t="s">
        <v>2862</v>
      </c>
      <c r="J123" s="747" t="s">
        <v>2861</v>
      </c>
      <c r="L123" s="1630"/>
      <c r="Q123" s="1631">
        <v>46084.76048611111</v>
      </c>
      <c r="R123" s="747">
        <v>12.664</v>
      </c>
      <c r="T123" s="1628">
        <v>-4.6083851820605952</v>
      </c>
      <c r="U123" s="747">
        <v>4.2179220473368204</v>
      </c>
      <c r="V123" s="747">
        <v>10.2970988003058</v>
      </c>
      <c r="W123" s="747">
        <v>3.697031729785051</v>
      </c>
      <c r="Y123" s="747" t="s">
        <v>2133</v>
      </c>
      <c r="AA123" s="1631"/>
      <c r="AC123" s="1627"/>
      <c r="AD123" s="747">
        <v>1</v>
      </c>
      <c r="AG123" s="1628"/>
    </row>
    <row r="124" spans="1:103" x14ac:dyDescent="0.2">
      <c r="A124" s="747" t="s">
        <v>1036</v>
      </c>
      <c r="B124" s="747" t="s">
        <v>2626</v>
      </c>
      <c r="C124" s="747" t="s">
        <v>2627</v>
      </c>
      <c r="D124" s="747" t="s">
        <v>2097</v>
      </c>
      <c r="E124" s="747" t="s">
        <v>2159</v>
      </c>
      <c r="F124" s="747" t="s">
        <v>369</v>
      </c>
      <c r="G124" s="747" t="s">
        <v>2628</v>
      </c>
      <c r="H124" s="1840" t="s">
        <v>2629</v>
      </c>
      <c r="I124" s="747">
        <v>0.85</v>
      </c>
      <c r="J124" s="747" t="s">
        <v>2630</v>
      </c>
      <c r="K124" s="1627">
        <v>48234</v>
      </c>
      <c r="L124" s="1630">
        <v>0.89377875500000004</v>
      </c>
      <c r="M124" s="747">
        <v>100000</v>
      </c>
      <c r="N124" s="747">
        <v>97.75</v>
      </c>
      <c r="O124" s="747">
        <v>99.5</v>
      </c>
      <c r="P124" s="747">
        <v>100000</v>
      </c>
      <c r="Q124" s="1631">
        <v>46084.711805555555</v>
      </c>
      <c r="R124" s="747">
        <v>99.5</v>
      </c>
      <c r="S124" s="747">
        <v>9.9166667E-2</v>
      </c>
      <c r="T124" s="1628">
        <v>-0.30060120240483001</v>
      </c>
      <c r="U124" s="747">
        <v>0.75757575757576001</v>
      </c>
      <c r="V124" s="747">
        <v>0.85901970692270002</v>
      </c>
      <c r="W124" s="747">
        <v>1.2683916793506</v>
      </c>
      <c r="X124" s="747" t="s">
        <v>2628</v>
      </c>
      <c r="Y124" s="747" t="s">
        <v>2102</v>
      </c>
      <c r="AA124" s="1631">
        <v>46042</v>
      </c>
      <c r="AC124" s="1627"/>
      <c r="AE124" s="747" t="s">
        <v>2103</v>
      </c>
      <c r="AF124" s="747">
        <v>5000</v>
      </c>
      <c r="AG124" s="1628">
        <v>1.1864406779661017E-2</v>
      </c>
    </row>
    <row r="125" spans="1:103" x14ac:dyDescent="0.2">
      <c r="A125" s="747" t="s">
        <v>1607</v>
      </c>
      <c r="B125" s="747" t="s">
        <v>2874</v>
      </c>
      <c r="C125" s="747" t="s">
        <v>2875</v>
      </c>
      <c r="D125" s="747" t="s">
        <v>2139</v>
      </c>
      <c r="E125" s="747" t="s">
        <v>2159</v>
      </c>
      <c r="F125" s="747" t="s">
        <v>366</v>
      </c>
      <c r="G125" s="747" t="s">
        <v>2876</v>
      </c>
      <c r="H125" s="1840" t="s">
        <v>2877</v>
      </c>
      <c r="J125" s="747" t="s">
        <v>2876</v>
      </c>
      <c r="L125" s="1630"/>
      <c r="M125" s="747">
        <v>907</v>
      </c>
      <c r="N125" s="747">
        <v>742.80000000000007</v>
      </c>
      <c r="O125" s="747">
        <v>745.6</v>
      </c>
      <c r="P125" s="747">
        <v>42</v>
      </c>
      <c r="Q125" s="1631">
        <v>46084.73300925926</v>
      </c>
      <c r="R125" s="747">
        <v>742.80000000000007</v>
      </c>
      <c r="T125" s="1628">
        <v>-5.6761904761904702</v>
      </c>
      <c r="U125" s="747">
        <v>-6.2949409999999997</v>
      </c>
      <c r="V125" s="747">
        <v>37.073260999999995</v>
      </c>
      <c r="W125" s="747">
        <v>14.997079439252401</v>
      </c>
      <c r="Y125" s="747" t="s">
        <v>2133</v>
      </c>
      <c r="AA125" s="1631"/>
      <c r="AC125" s="1627"/>
      <c r="AD125" s="747">
        <v>1</v>
      </c>
      <c r="AG125" s="1628">
        <v>2.5098601649336271E-3</v>
      </c>
    </row>
    <row r="126" spans="1:103" x14ac:dyDescent="0.2">
      <c r="A126" s="747" t="s">
        <v>1039</v>
      </c>
      <c r="B126" s="747" t="s">
        <v>2635</v>
      </c>
      <c r="C126" s="747" t="s">
        <v>2636</v>
      </c>
      <c r="D126" s="747" t="s">
        <v>2097</v>
      </c>
      <c r="E126" s="747" t="s">
        <v>2355</v>
      </c>
      <c r="F126" s="747" t="s">
        <v>381</v>
      </c>
      <c r="G126" s="747" t="s">
        <v>2637</v>
      </c>
      <c r="H126" s="1840" t="s">
        <v>2638</v>
      </c>
      <c r="I126" s="747">
        <v>0.75</v>
      </c>
      <c r="J126" s="747" t="s">
        <v>2639</v>
      </c>
      <c r="K126" s="1627">
        <v>48296</v>
      </c>
      <c r="L126" s="1630">
        <v>3.328563656</v>
      </c>
      <c r="Q126" s="1631">
        <v>46083.427175925928</v>
      </c>
      <c r="R126" s="747">
        <v>86.079000000000008</v>
      </c>
      <c r="S126" s="747">
        <v>0.70890410999999998</v>
      </c>
      <c r="T126" s="1628">
        <v>15.010951504320142</v>
      </c>
      <c r="U126" s="747">
        <v>0.20838183934808999</v>
      </c>
      <c r="V126" s="747">
        <v>0.1442615321971</v>
      </c>
      <c r="W126" s="747">
        <v>0.25770176877123002</v>
      </c>
      <c r="X126" s="747" t="s">
        <v>2637</v>
      </c>
      <c r="Y126" s="747" t="s">
        <v>2102</v>
      </c>
      <c r="AA126" s="1631">
        <v>46084.958333333336</v>
      </c>
      <c r="AC126" s="1627"/>
      <c r="AE126" s="747" t="s">
        <v>2103</v>
      </c>
      <c r="AF126" s="747">
        <v>1000</v>
      </c>
      <c r="AG126" s="1628"/>
    </row>
    <row r="127" spans="1:103" x14ac:dyDescent="0.2">
      <c r="A127" s="747" t="s">
        <v>1288</v>
      </c>
      <c r="B127" s="747" t="s">
        <v>2882</v>
      </c>
      <c r="C127" s="747" t="s">
        <v>768</v>
      </c>
      <c r="D127" s="747" t="s">
        <v>2139</v>
      </c>
      <c r="E127" s="747" t="s">
        <v>2355</v>
      </c>
      <c r="F127" s="747" t="s">
        <v>366</v>
      </c>
      <c r="G127" s="747" t="s">
        <v>410</v>
      </c>
      <c r="H127" s="1840" t="s">
        <v>2883</v>
      </c>
      <c r="J127" s="747" t="s">
        <v>410</v>
      </c>
      <c r="L127" s="1630"/>
      <c r="M127" s="747">
        <v>100</v>
      </c>
      <c r="N127" s="747">
        <v>96.38</v>
      </c>
      <c r="O127" s="747">
        <v>96.47</v>
      </c>
      <c r="P127" s="747">
        <v>200</v>
      </c>
      <c r="Q127" s="1631">
        <v>46084.766064814816</v>
      </c>
      <c r="R127" s="747">
        <v>96.11</v>
      </c>
      <c r="T127" s="1628">
        <v>-2.4087601617348202</v>
      </c>
      <c r="U127" s="747">
        <v>10.306438999999999</v>
      </c>
      <c r="V127" s="747">
        <v>9.4977409999999995</v>
      </c>
      <c r="W127" s="747">
        <v>15.861411764705901</v>
      </c>
      <c r="Y127" s="747" t="s">
        <v>2133</v>
      </c>
      <c r="AA127" s="1631"/>
      <c r="AB127" s="747">
        <v>0.39866000000000001</v>
      </c>
      <c r="AC127" s="1627">
        <v>46007</v>
      </c>
      <c r="AD127" s="747">
        <v>1</v>
      </c>
      <c r="AG127" s="1628">
        <v>6.2234208069704671E-4</v>
      </c>
      <c r="CY127" s="1632"/>
    </row>
    <row r="128" spans="1:103" x14ac:dyDescent="0.2">
      <c r="A128" s="747" t="s">
        <v>1498</v>
      </c>
      <c r="B128" s="747" t="s">
        <v>2884</v>
      </c>
      <c r="C128" s="747" t="s">
        <v>2885</v>
      </c>
      <c r="D128" s="747" t="s">
        <v>2139</v>
      </c>
      <c r="E128" s="747" t="s">
        <v>2109</v>
      </c>
      <c r="F128" s="747" t="s">
        <v>381</v>
      </c>
      <c r="G128" s="747" t="s">
        <v>2886</v>
      </c>
      <c r="H128" s="1840" t="s">
        <v>2887</v>
      </c>
      <c r="J128" s="747" t="s">
        <v>2886</v>
      </c>
      <c r="L128" s="1630"/>
      <c r="M128" s="747">
        <v>1000</v>
      </c>
      <c r="N128" s="747">
        <v>49.175000000000004</v>
      </c>
      <c r="O128" s="747">
        <v>54.35</v>
      </c>
      <c r="P128" s="747">
        <v>1000</v>
      </c>
      <c r="Q128" s="1631">
        <v>46084.729166666664</v>
      </c>
      <c r="R128" s="747">
        <v>51.762500000000003</v>
      </c>
      <c r="T128" s="1628">
        <v>0.94663810259143</v>
      </c>
      <c r="U128" s="747">
        <v>-1.774132010682945</v>
      </c>
      <c r="V128" s="747">
        <v>-2.1660649819494595</v>
      </c>
      <c r="W128" s="747">
        <v>-29.589456717549997</v>
      </c>
      <c r="Y128" s="747" t="s">
        <v>2133</v>
      </c>
      <c r="AA128" s="1631"/>
      <c r="AC128" s="1627"/>
      <c r="AD128" s="747">
        <v>1</v>
      </c>
      <c r="AG128" s="1628">
        <v>6.7779960707269105E-2</v>
      </c>
    </row>
    <row r="129" spans="1:33" x14ac:dyDescent="0.2">
      <c r="A129" s="747" t="s">
        <v>1041</v>
      </c>
      <c r="B129" s="747" t="s">
        <v>2645</v>
      </c>
      <c r="C129" s="747" t="s">
        <v>2646</v>
      </c>
      <c r="D129" s="747" t="s">
        <v>2097</v>
      </c>
      <c r="E129" s="747" t="s">
        <v>2331</v>
      </c>
      <c r="F129" s="747" t="s">
        <v>369</v>
      </c>
      <c r="G129" s="747" t="s">
        <v>2647</v>
      </c>
      <c r="H129" s="1840" t="s">
        <v>2648</v>
      </c>
      <c r="I129" s="747">
        <v>0.92</v>
      </c>
      <c r="J129" s="747" t="s">
        <v>2649</v>
      </c>
      <c r="K129" s="1627">
        <v>49121</v>
      </c>
      <c r="L129" s="1630">
        <v>0.95132103800000001</v>
      </c>
      <c r="M129" s="747">
        <v>100000</v>
      </c>
      <c r="N129" s="747">
        <v>98.75</v>
      </c>
      <c r="O129" s="747">
        <v>99.300000000000011</v>
      </c>
      <c r="P129" s="747">
        <v>5000</v>
      </c>
      <c r="Q129" s="1631">
        <v>46084.601736111108</v>
      </c>
      <c r="R129" s="747">
        <v>99</v>
      </c>
      <c r="S129" s="747">
        <v>0.631222222</v>
      </c>
      <c r="T129" s="1628">
        <v>-0.90090090090090003</v>
      </c>
      <c r="U129" s="747">
        <v>0.35479000000000005</v>
      </c>
      <c r="V129" s="747">
        <v>1.5243902439024399</v>
      </c>
      <c r="W129" s="747">
        <v>2.7777777777777901</v>
      </c>
      <c r="X129" s="747" t="s">
        <v>2647</v>
      </c>
      <c r="Y129" s="747" t="s">
        <v>2650</v>
      </c>
      <c r="AA129" s="1631">
        <v>46084.916666666664</v>
      </c>
      <c r="AC129" s="1627"/>
      <c r="AE129" s="747" t="s">
        <v>2103</v>
      </c>
      <c r="AF129" s="747">
        <v>5000</v>
      </c>
      <c r="AG129" s="1628">
        <v>3.7061994609165184E-3</v>
      </c>
    </row>
    <row r="130" spans="1:33" x14ac:dyDescent="0.2">
      <c r="A130" s="747" t="s">
        <v>1042</v>
      </c>
      <c r="B130" s="747" t="s">
        <v>2656</v>
      </c>
      <c r="C130" s="747" t="s">
        <v>2657</v>
      </c>
      <c r="D130" s="747" t="s">
        <v>2097</v>
      </c>
      <c r="E130" s="747" t="s">
        <v>2098</v>
      </c>
      <c r="F130" s="747" t="s">
        <v>381</v>
      </c>
      <c r="G130" s="747" t="s">
        <v>2658</v>
      </c>
      <c r="H130" s="1840" t="s">
        <v>2659</v>
      </c>
      <c r="I130" s="747">
        <v>1.125</v>
      </c>
      <c r="J130" s="747" t="s">
        <v>2660</v>
      </c>
      <c r="K130" s="1627">
        <v>49164</v>
      </c>
      <c r="L130" s="1630">
        <v>3.3486405780000004</v>
      </c>
      <c r="M130" s="747">
        <v>1000000</v>
      </c>
      <c r="N130" s="747">
        <v>83.393000000000001</v>
      </c>
      <c r="O130" s="747">
        <v>83.722999999999999</v>
      </c>
      <c r="P130" s="747">
        <v>1000000</v>
      </c>
      <c r="Q130" s="1631">
        <v>46084.754837962966</v>
      </c>
      <c r="R130" s="747">
        <v>83.393000000000001</v>
      </c>
      <c r="S130" s="747">
        <v>0.63801369900000005</v>
      </c>
      <c r="T130" s="1628">
        <v>-0.60429082240763998</v>
      </c>
      <c r="U130" s="747">
        <v>0.24853032547914</v>
      </c>
      <c r="V130" s="747">
        <v>2.1440829999999997</v>
      </c>
      <c r="W130" s="747">
        <v>2.4875621890547501</v>
      </c>
      <c r="X130" s="747" t="s">
        <v>2658</v>
      </c>
      <c r="Y130" s="747" t="s">
        <v>2547</v>
      </c>
      <c r="AA130" s="1631">
        <v>46084.916666666664</v>
      </c>
      <c r="AC130" s="1627"/>
      <c r="AE130" s="747" t="s">
        <v>2103</v>
      </c>
      <c r="AF130" s="747">
        <v>1000</v>
      </c>
      <c r="AG130" s="1628">
        <v>2.6346358813455666E-3</v>
      </c>
    </row>
    <row r="131" spans="1:33" x14ac:dyDescent="0.2">
      <c r="A131" s="747" t="s">
        <v>1092</v>
      </c>
      <c r="B131" s="747" t="s">
        <v>2748</v>
      </c>
      <c r="C131" s="747" t="s">
        <v>2749</v>
      </c>
      <c r="D131" s="747" t="s">
        <v>2139</v>
      </c>
      <c r="E131" s="747" t="s">
        <v>2130</v>
      </c>
      <c r="F131" s="747" t="s">
        <v>381</v>
      </c>
      <c r="G131" s="747" t="s">
        <v>2750</v>
      </c>
      <c r="H131" s="1840" t="s">
        <v>2751</v>
      </c>
      <c r="J131" s="747" t="s">
        <v>2750</v>
      </c>
      <c r="L131" s="1630"/>
      <c r="Q131" s="1631">
        <v>46083.733275462961</v>
      </c>
      <c r="R131" s="747">
        <v>39.22</v>
      </c>
      <c r="T131" s="1628">
        <v>-1.4820396885204901</v>
      </c>
      <c r="U131" s="747">
        <v>-1.1094301563288067</v>
      </c>
      <c r="V131" s="747">
        <v>13.664686277351096</v>
      </c>
      <c r="W131" s="747">
        <v>6.3881730638817302</v>
      </c>
      <c r="Y131" s="747" t="s">
        <v>2133</v>
      </c>
      <c r="AA131" s="1631"/>
      <c r="AC131" s="1627"/>
      <c r="AD131" s="747">
        <v>1</v>
      </c>
      <c r="AG131" s="1628"/>
    </row>
    <row r="132" spans="1:33" x14ac:dyDescent="0.2">
      <c r="A132" s="747" t="s">
        <v>1043</v>
      </c>
      <c r="B132" s="747" t="s">
        <v>2665</v>
      </c>
      <c r="C132" s="747" t="s">
        <v>2666</v>
      </c>
      <c r="D132" s="747" t="s">
        <v>2097</v>
      </c>
      <c r="E132" s="747" t="s">
        <v>2159</v>
      </c>
      <c r="F132" s="747" t="s">
        <v>369</v>
      </c>
      <c r="G132" s="747" t="s">
        <v>2667</v>
      </c>
      <c r="H132" s="1840" t="s">
        <v>2668</v>
      </c>
      <c r="I132" s="747">
        <v>2.1</v>
      </c>
      <c r="J132" s="747" t="s">
        <v>2306</v>
      </c>
      <c r="K132" s="1627">
        <v>49331</v>
      </c>
      <c r="L132" s="1630">
        <v>1.583016945</v>
      </c>
      <c r="M132" s="747">
        <v>50000</v>
      </c>
      <c r="N132" s="747">
        <v>103</v>
      </c>
      <c r="O132" s="747">
        <v>104.4</v>
      </c>
      <c r="P132" s="747">
        <v>100000</v>
      </c>
      <c r="Q132" s="1631">
        <v>46084.663310185184</v>
      </c>
      <c r="R132" s="747">
        <v>103.65</v>
      </c>
      <c r="S132" s="747">
        <v>0.23916666700000003</v>
      </c>
      <c r="T132" s="1628">
        <v>-0.57553956834532005</v>
      </c>
      <c r="U132" s="747">
        <v>1.0726469999999999</v>
      </c>
      <c r="V132" s="747">
        <v>2.6237619999999997</v>
      </c>
      <c r="W132" s="747">
        <v>3.7313432835821003</v>
      </c>
      <c r="X132" s="747" t="s">
        <v>2667</v>
      </c>
      <c r="Y132" s="747" t="s">
        <v>2307</v>
      </c>
      <c r="AA132" s="1631">
        <v>46043</v>
      </c>
      <c r="AC132" s="1627"/>
      <c r="AE132" s="747" t="s">
        <v>2103</v>
      </c>
      <c r="AF132" s="747">
        <v>5000</v>
      </c>
      <c r="AG132" s="1628">
        <v>9.0206185567010683E-3</v>
      </c>
    </row>
    <row r="133" spans="1:33" x14ac:dyDescent="0.2">
      <c r="A133" s="747" t="s">
        <v>1713</v>
      </c>
      <c r="B133" s="747" t="s">
        <v>1714</v>
      </c>
      <c r="C133" s="747" t="s">
        <v>2907</v>
      </c>
      <c r="D133" s="747" t="s">
        <v>2158</v>
      </c>
      <c r="E133" s="747" t="s">
        <v>2130</v>
      </c>
      <c r="F133" s="747" t="s">
        <v>369</v>
      </c>
      <c r="G133" s="747" t="s">
        <v>2908</v>
      </c>
      <c r="H133" s="1840" t="s">
        <v>2909</v>
      </c>
      <c r="J133" s="747" t="s">
        <v>2908</v>
      </c>
      <c r="L133" s="1630"/>
      <c r="Q133" s="1631">
        <v>46083.657824074071</v>
      </c>
      <c r="R133" s="747">
        <v>123.21000000000001</v>
      </c>
      <c r="T133" s="1628">
        <v>-2.9307492318600792</v>
      </c>
      <c r="U133" s="747">
        <v>0.62066149448756003</v>
      </c>
      <c r="V133" s="747">
        <v>14.146748193440901</v>
      </c>
      <c r="W133" s="747">
        <v>9.3159435719989343</v>
      </c>
      <c r="Y133" s="747" t="s">
        <v>2133</v>
      </c>
      <c r="AA133" s="1631"/>
      <c r="AC133" s="1627"/>
      <c r="AD133" s="747">
        <v>1</v>
      </c>
      <c r="AG133" s="1628"/>
    </row>
    <row r="134" spans="1:33" x14ac:dyDescent="0.2">
      <c r="A134" s="747" t="s">
        <v>1044</v>
      </c>
      <c r="B134" s="747" t="s">
        <v>2673</v>
      </c>
      <c r="C134" s="747" t="s">
        <v>2674</v>
      </c>
      <c r="D134" s="747" t="s">
        <v>2097</v>
      </c>
      <c r="E134" s="747" t="s">
        <v>2098</v>
      </c>
      <c r="F134" s="747" t="s">
        <v>381</v>
      </c>
      <c r="G134" s="747" t="s">
        <v>2675</v>
      </c>
      <c r="H134" s="1840" t="s">
        <v>2676</v>
      </c>
      <c r="I134" s="747">
        <v>0.1</v>
      </c>
      <c r="J134" s="747" t="s">
        <v>2554</v>
      </c>
      <c r="K134" s="1627">
        <v>49499</v>
      </c>
      <c r="L134" s="1630">
        <v>2.9823646320000003</v>
      </c>
      <c r="Q134" s="1631">
        <v>46083.381284722222</v>
      </c>
      <c r="R134" s="747">
        <v>76.790000000000006</v>
      </c>
      <c r="S134" s="747">
        <v>6.4931506999999999E-2</v>
      </c>
      <c r="T134" s="1628">
        <v>0.42406573018817012</v>
      </c>
      <c r="U134" s="747">
        <v>1.92460844173083</v>
      </c>
      <c r="V134" s="747">
        <v>2.9218603404369499</v>
      </c>
      <c r="W134" s="747">
        <v>1.92333557498318</v>
      </c>
      <c r="X134" s="747" t="s">
        <v>2675</v>
      </c>
      <c r="Y134" s="747" t="s">
        <v>2102</v>
      </c>
      <c r="AA134" s="1631">
        <v>46084.916666666664</v>
      </c>
      <c r="AC134" s="1627"/>
      <c r="AE134" s="747" t="s">
        <v>2103</v>
      </c>
      <c r="AF134" s="747">
        <v>1000</v>
      </c>
      <c r="AG134" s="1628"/>
    </row>
    <row r="135" spans="1:33" x14ac:dyDescent="0.2">
      <c r="A135" s="747" t="s">
        <v>1247</v>
      </c>
      <c r="B135" s="747" t="s">
        <v>2915</v>
      </c>
      <c r="C135" s="747" t="s">
        <v>2916</v>
      </c>
      <c r="D135" s="747" t="s">
        <v>2139</v>
      </c>
      <c r="E135" s="747" t="s">
        <v>2109</v>
      </c>
      <c r="F135" s="747" t="s">
        <v>381</v>
      </c>
      <c r="G135" s="747" t="s">
        <v>2917</v>
      </c>
      <c r="H135" s="1840" t="s">
        <v>844</v>
      </c>
      <c r="J135" s="747" t="s">
        <v>2917</v>
      </c>
      <c r="L135" s="1630"/>
      <c r="M135" s="747">
        <v>265</v>
      </c>
      <c r="N135" s="747">
        <v>135</v>
      </c>
      <c r="O135" s="747">
        <v>150</v>
      </c>
      <c r="P135" s="747">
        <v>2</v>
      </c>
      <c r="Q135" s="1631">
        <v>46084.73296296296</v>
      </c>
      <c r="R135" s="747">
        <v>140.09</v>
      </c>
      <c r="T135" s="1628">
        <v>-1.1222473178995001</v>
      </c>
      <c r="U135" s="747">
        <v>-2.3626990000000001</v>
      </c>
      <c r="V135" s="747">
        <v>-1.6221909999999999</v>
      </c>
      <c r="W135" s="747">
        <v>-0.78431372549020006</v>
      </c>
      <c r="Y135" s="747" t="s">
        <v>2133</v>
      </c>
      <c r="AA135" s="1631"/>
      <c r="AC135" s="1627"/>
      <c r="AD135" s="747">
        <v>1</v>
      </c>
      <c r="AG135" s="1628">
        <v>7.1428571428571425E-2</v>
      </c>
    </row>
    <row r="136" spans="1:33" x14ac:dyDescent="0.2">
      <c r="A136" s="747" t="s">
        <v>1045</v>
      </c>
      <c r="B136" s="747" t="s">
        <v>2677</v>
      </c>
      <c r="C136" s="747" t="s">
        <v>2678</v>
      </c>
      <c r="D136" s="747" t="s">
        <v>2097</v>
      </c>
      <c r="E136" s="747" t="s">
        <v>2679</v>
      </c>
      <c r="F136" s="747" t="s">
        <v>381</v>
      </c>
      <c r="G136" s="747" t="s">
        <v>2680</v>
      </c>
      <c r="H136" s="1840" t="s">
        <v>2681</v>
      </c>
      <c r="J136" s="747" t="s">
        <v>2682</v>
      </c>
      <c r="K136" s="1627">
        <v>52154</v>
      </c>
      <c r="L136" s="1630"/>
      <c r="Q136" s="1631">
        <v>45791.419085648151</v>
      </c>
      <c r="R136" s="747">
        <v>0.26</v>
      </c>
      <c r="S136" s="747">
        <v>0</v>
      </c>
      <c r="T136" s="1628">
        <v>2.9629629629629655</v>
      </c>
      <c r="W136" s="747">
        <v>6.9230769230769296</v>
      </c>
      <c r="X136" s="747" t="s">
        <v>2680</v>
      </c>
      <c r="Y136" s="747" t="s">
        <v>2318</v>
      </c>
      <c r="AA136" s="1631">
        <v>46084.916666666664</v>
      </c>
      <c r="AC136" s="1627"/>
      <c r="AE136" s="747" t="s">
        <v>2103</v>
      </c>
      <c r="AF136" s="747">
        <v>100</v>
      </c>
      <c r="AG136" s="1628"/>
    </row>
    <row r="137" spans="1:33" x14ac:dyDescent="0.2">
      <c r="A137" s="747" t="s">
        <v>1447</v>
      </c>
      <c r="B137" s="747" t="s">
        <v>2956</v>
      </c>
      <c r="C137" s="747" t="s">
        <v>2957</v>
      </c>
      <c r="D137" s="747" t="s">
        <v>2139</v>
      </c>
      <c r="E137" s="747" t="s">
        <v>2109</v>
      </c>
      <c r="F137" s="747" t="s">
        <v>366</v>
      </c>
      <c r="G137" s="747" t="s">
        <v>4452</v>
      </c>
      <c r="H137" s="1840" t="s">
        <v>2958</v>
      </c>
      <c r="J137" s="747" t="s">
        <v>4452</v>
      </c>
      <c r="L137" s="1630"/>
      <c r="M137" s="747">
        <v>85</v>
      </c>
      <c r="N137" s="747">
        <v>46.8125</v>
      </c>
      <c r="O137" s="747">
        <v>49.370000000000005</v>
      </c>
      <c r="P137" s="747">
        <v>48</v>
      </c>
      <c r="Q137" s="1631">
        <v>46084.732835648145</v>
      </c>
      <c r="R137" s="747">
        <v>48.0075</v>
      </c>
      <c r="T137" s="1628">
        <v>-1.8602749527265401</v>
      </c>
      <c r="U137" s="747">
        <v>-0.135212</v>
      </c>
      <c r="V137" s="747">
        <v>3.1365810000000001</v>
      </c>
      <c r="W137" s="747">
        <v>1.6863713134987699</v>
      </c>
      <c r="Y137" s="747" t="s">
        <v>2133</v>
      </c>
      <c r="AA137" s="1631"/>
      <c r="AC137" s="1627"/>
      <c r="AD137" s="747">
        <v>1</v>
      </c>
      <c r="AG137" s="1628">
        <v>3.5770481485366684E-2</v>
      </c>
    </row>
    <row r="138" spans="1:33" x14ac:dyDescent="0.2">
      <c r="A138" s="747" t="s">
        <v>1049</v>
      </c>
      <c r="B138" s="747" t="s">
        <v>2683</v>
      </c>
      <c r="C138" s="747" t="s">
        <v>2684</v>
      </c>
      <c r="D138" s="747" t="s">
        <v>2097</v>
      </c>
      <c r="E138" s="747" t="s">
        <v>2451</v>
      </c>
      <c r="F138" s="747" t="s">
        <v>381</v>
      </c>
      <c r="G138" s="747" t="s">
        <v>2685</v>
      </c>
      <c r="H138" s="1840" t="s">
        <v>2686</v>
      </c>
      <c r="I138" s="747">
        <v>3.5</v>
      </c>
      <c r="J138" s="747" t="s">
        <v>2687</v>
      </c>
      <c r="L138" s="1630"/>
      <c r="M138" s="747">
        <v>50000</v>
      </c>
      <c r="N138" s="747">
        <v>96.15</v>
      </c>
      <c r="O138" s="747">
        <v>96.635000000000005</v>
      </c>
      <c r="P138" s="747">
        <v>200000</v>
      </c>
      <c r="Q138" s="1631">
        <v>46084.752754629626</v>
      </c>
      <c r="R138" s="747">
        <v>96.15</v>
      </c>
      <c r="S138" s="747">
        <v>3.336986301</v>
      </c>
      <c r="T138" s="1628">
        <v>-0.46171684127707002</v>
      </c>
      <c r="U138" s="747">
        <v>-1.633486</v>
      </c>
      <c r="V138" s="747">
        <v>-0.15544000000000002</v>
      </c>
      <c r="W138" s="747">
        <v>0.4249144989118</v>
      </c>
      <c r="X138" s="747" t="s">
        <v>2685</v>
      </c>
      <c r="Y138" s="747" t="s">
        <v>2113</v>
      </c>
      <c r="AA138" s="1631">
        <v>46084.958333333336</v>
      </c>
      <c r="AC138" s="1627"/>
      <c r="AE138" s="747" t="s">
        <v>2103</v>
      </c>
      <c r="AF138" s="747">
        <v>1000</v>
      </c>
      <c r="AG138" s="1628">
        <v>3.3571564538737047E-3</v>
      </c>
    </row>
    <row r="139" spans="1:33" x14ac:dyDescent="0.2">
      <c r="A139" s="747" t="s">
        <v>1375</v>
      </c>
      <c r="B139" s="747" t="s">
        <v>2963</v>
      </c>
      <c r="C139" s="747" t="s">
        <v>2964</v>
      </c>
      <c r="D139" s="747" t="s">
        <v>2139</v>
      </c>
      <c r="E139" s="747" t="s">
        <v>2109</v>
      </c>
      <c r="F139" s="747" t="s">
        <v>381</v>
      </c>
      <c r="G139" s="747" t="s">
        <v>4453</v>
      </c>
      <c r="H139" s="1840" t="s">
        <v>2965</v>
      </c>
      <c r="J139" s="747" t="s">
        <v>4453</v>
      </c>
      <c r="L139" s="1630"/>
      <c r="M139" s="747">
        <v>3269</v>
      </c>
      <c r="N139" s="747">
        <v>255.60000000000002</v>
      </c>
      <c r="O139" s="747">
        <v>258.5</v>
      </c>
      <c r="P139" s="747">
        <v>3269</v>
      </c>
      <c r="Q139" s="1631">
        <v>46084.732789351852</v>
      </c>
      <c r="R139" s="747">
        <v>256.92500000000001</v>
      </c>
      <c r="T139" s="1628">
        <v>-0.25218234723569</v>
      </c>
      <c r="U139" s="747">
        <v>14.198654999999999</v>
      </c>
      <c r="V139" s="747">
        <v>19.756097560975601</v>
      </c>
      <c r="W139" s="747">
        <v>21.1231203007519</v>
      </c>
      <c r="Y139" s="747" t="s">
        <v>2133</v>
      </c>
      <c r="AA139" s="1631"/>
      <c r="AC139" s="1627"/>
      <c r="AD139" s="747">
        <v>1</v>
      </c>
      <c r="AG139" s="1628">
        <v>7.5354034039235469E-3</v>
      </c>
    </row>
    <row r="140" spans="1:33" x14ac:dyDescent="0.2">
      <c r="A140" s="747" t="s">
        <v>1052</v>
      </c>
      <c r="B140" s="747" t="s">
        <v>1053</v>
      </c>
      <c r="C140" s="747" t="s">
        <v>2691</v>
      </c>
      <c r="D140" s="747" t="s">
        <v>2344</v>
      </c>
      <c r="F140" s="747" t="s">
        <v>369</v>
      </c>
      <c r="G140" s="747" t="s">
        <v>2692</v>
      </c>
      <c r="H140" s="1840" t="s">
        <v>2693</v>
      </c>
      <c r="L140" s="1630"/>
      <c r="N140" s="747">
        <v>127921</v>
      </c>
      <c r="O140" s="747">
        <v>128421</v>
      </c>
      <c r="Q140" s="1631">
        <v>46084.796261574076</v>
      </c>
      <c r="R140" s="747">
        <v>128171</v>
      </c>
      <c r="T140" s="1628">
        <v>-3.8902511266581201</v>
      </c>
      <c r="U140" s="747">
        <v>14.131299905003999</v>
      </c>
      <c r="V140" s="747">
        <v>22.6921449206028</v>
      </c>
      <c r="W140" s="747">
        <v>16.573138</v>
      </c>
      <c r="X140" s="747" t="s">
        <v>2692</v>
      </c>
      <c r="Y140" s="747" t="s">
        <v>2694</v>
      </c>
      <c r="AA140" s="1631"/>
      <c r="AC140" s="1627"/>
      <c r="AD140" s="747">
        <v>1</v>
      </c>
      <c r="AG140" s="1628">
        <v>2.6023843044997827E-3</v>
      </c>
    </row>
    <row r="141" spans="1:33" x14ac:dyDescent="0.2">
      <c r="A141" s="747" t="s">
        <v>4287</v>
      </c>
      <c r="B141" s="747" t="s">
        <v>4288</v>
      </c>
      <c r="C141" s="747" t="s">
        <v>4289</v>
      </c>
      <c r="D141" s="747" t="s">
        <v>2139</v>
      </c>
      <c r="E141" s="747" t="s">
        <v>2355</v>
      </c>
      <c r="F141" s="747" t="s">
        <v>366</v>
      </c>
      <c r="G141" s="747" t="s">
        <v>4427</v>
      </c>
      <c r="H141" s="1840" t="s">
        <v>4290</v>
      </c>
      <c r="J141" s="747" t="s">
        <v>4427</v>
      </c>
      <c r="L141" s="1630"/>
      <c r="M141" s="747">
        <v>700</v>
      </c>
      <c r="N141" s="747">
        <v>83.38</v>
      </c>
      <c r="O141" s="747">
        <v>83.51</v>
      </c>
      <c r="P141" s="747">
        <v>100</v>
      </c>
      <c r="Q141" s="1631">
        <v>46084.775416666664</v>
      </c>
      <c r="R141" s="747">
        <v>83.55</v>
      </c>
      <c r="T141" s="1628">
        <v>-3.0517521466697799</v>
      </c>
      <c r="U141" s="747">
        <v>6.5552859999999997</v>
      </c>
      <c r="V141" s="747">
        <v>24.995511999999998</v>
      </c>
      <c r="W141" s="747">
        <v>27.0529264337315</v>
      </c>
      <c r="Y141" s="747" t="s">
        <v>2133</v>
      </c>
      <c r="AA141" s="1631"/>
      <c r="AB141" s="747">
        <v>0.69967699999999999</v>
      </c>
      <c r="AC141" s="1627">
        <v>46009</v>
      </c>
      <c r="AD141" s="747">
        <v>1</v>
      </c>
      <c r="AG141" s="1628">
        <v>1.0388780117473902E-3</v>
      </c>
    </row>
    <row r="142" spans="1:33" x14ac:dyDescent="0.2">
      <c r="A142" s="747" t="s">
        <v>1055</v>
      </c>
      <c r="B142" s="747" t="s">
        <v>2695</v>
      </c>
      <c r="C142" s="747" t="s">
        <v>2696</v>
      </c>
      <c r="D142" s="747" t="s">
        <v>2344</v>
      </c>
      <c r="F142" s="747" t="s">
        <v>369</v>
      </c>
      <c r="G142" s="747" t="s">
        <v>792</v>
      </c>
      <c r="H142" s="1840" t="s">
        <v>2697</v>
      </c>
      <c r="L142" s="1630"/>
      <c r="Q142" s="1631">
        <v>46084.708333333336</v>
      </c>
      <c r="R142" s="747">
        <v>3991.9100000000003</v>
      </c>
      <c r="T142" s="1628">
        <v>-3.90919310306646</v>
      </c>
      <c r="U142" s="747">
        <v>14.532461767925</v>
      </c>
      <c r="V142" s="747">
        <v>22.882040269409302</v>
      </c>
      <c r="W142" s="747">
        <v>16.274754818433117</v>
      </c>
      <c r="X142" s="747" t="s">
        <v>792</v>
      </c>
      <c r="Y142" s="747" t="s">
        <v>2694</v>
      </c>
      <c r="AA142" s="1631"/>
      <c r="AC142" s="1627"/>
      <c r="AD142" s="747">
        <v>1</v>
      </c>
      <c r="AG142" s="1628"/>
    </row>
    <row r="143" spans="1:33" x14ac:dyDescent="0.2">
      <c r="A143" s="747" t="s">
        <v>1313</v>
      </c>
      <c r="B143" s="747" t="s">
        <v>2970</v>
      </c>
      <c r="C143" s="747" t="s">
        <v>2971</v>
      </c>
      <c r="D143" s="747" t="s">
        <v>2139</v>
      </c>
      <c r="E143" s="747" t="s">
        <v>2355</v>
      </c>
      <c r="F143" s="747" t="s">
        <v>366</v>
      </c>
      <c r="G143" s="747" t="s">
        <v>2972</v>
      </c>
      <c r="H143" s="1840" t="s">
        <v>2973</v>
      </c>
      <c r="J143" s="747" t="s">
        <v>2972</v>
      </c>
      <c r="L143" s="1630"/>
      <c r="M143" s="747">
        <v>7700</v>
      </c>
      <c r="N143" s="747">
        <v>29.57</v>
      </c>
      <c r="O143" s="747">
        <v>29.580000000000002</v>
      </c>
      <c r="P143" s="747">
        <v>16600</v>
      </c>
      <c r="Q143" s="1631">
        <v>46084.785914351851</v>
      </c>
      <c r="R143" s="747">
        <v>29.574999999999999</v>
      </c>
      <c r="T143" s="1628">
        <v>-3.5073409461664</v>
      </c>
      <c r="U143" s="747">
        <v>-14.076118999999998</v>
      </c>
      <c r="V143" s="747">
        <v>-20.196977999999998</v>
      </c>
      <c r="W143" s="747">
        <v>-9.9853157121879494</v>
      </c>
      <c r="Y143" s="747" t="s">
        <v>2133</v>
      </c>
      <c r="AA143" s="1631"/>
      <c r="AB143" s="747">
        <v>2.096231</v>
      </c>
      <c r="AC143" s="1627">
        <v>46013</v>
      </c>
      <c r="AD143" s="747">
        <v>1</v>
      </c>
      <c r="AG143" s="1628">
        <v>2.2542831379624806E-4</v>
      </c>
    </row>
    <row r="144" spans="1:33" x14ac:dyDescent="0.2">
      <c r="A144" s="747" t="s">
        <v>1056</v>
      </c>
      <c r="B144" s="747" t="s">
        <v>1057</v>
      </c>
      <c r="C144" s="747" t="s">
        <v>2698</v>
      </c>
      <c r="D144" s="747" t="s">
        <v>2344</v>
      </c>
      <c r="F144" s="747" t="s">
        <v>369</v>
      </c>
      <c r="G144" s="747" t="s">
        <v>595</v>
      </c>
      <c r="H144" s="1840" t="s">
        <v>2699</v>
      </c>
      <c r="L144" s="1630"/>
      <c r="Q144" s="1631">
        <v>46084.708333333336</v>
      </c>
      <c r="R144" s="747">
        <v>12834.300000000001</v>
      </c>
      <c r="T144" s="1628">
        <v>-3.9089874517085499</v>
      </c>
      <c r="U144" s="747">
        <v>14.532186559421</v>
      </c>
      <c r="V144" s="747">
        <v>22.881878317830999</v>
      </c>
      <c r="W144" s="747">
        <v>16.274834887070906</v>
      </c>
      <c r="X144" s="747" t="s">
        <v>595</v>
      </c>
      <c r="Y144" s="747" t="s">
        <v>2694</v>
      </c>
      <c r="AA144" s="1631"/>
      <c r="AC144" s="1627"/>
      <c r="AD144" s="747">
        <v>100</v>
      </c>
      <c r="AG144" s="1628"/>
    </row>
    <row r="145" spans="1:33" x14ac:dyDescent="0.2">
      <c r="A145" s="747" t="s">
        <v>1228</v>
      </c>
      <c r="B145" s="747" t="s">
        <v>2934</v>
      </c>
      <c r="C145" s="747" t="s">
        <v>2935</v>
      </c>
      <c r="D145" s="747" t="s">
        <v>2139</v>
      </c>
      <c r="E145" s="747" t="s">
        <v>2109</v>
      </c>
      <c r="F145" s="747" t="s">
        <v>366</v>
      </c>
      <c r="G145" s="747" t="s">
        <v>2936</v>
      </c>
      <c r="H145" s="1840" t="s">
        <v>2937</v>
      </c>
      <c r="J145" s="747" t="s">
        <v>2936</v>
      </c>
      <c r="L145" s="1630"/>
      <c r="M145" s="747">
        <v>75</v>
      </c>
      <c r="N145" s="747">
        <v>1383</v>
      </c>
      <c r="O145" s="747">
        <v>1500</v>
      </c>
      <c r="P145" s="747">
        <v>10</v>
      </c>
      <c r="Q145" s="1631">
        <v>46084.732743055552</v>
      </c>
      <c r="R145" s="747">
        <v>1410</v>
      </c>
      <c r="T145" s="1628">
        <v>-1.12201963534362</v>
      </c>
      <c r="U145" s="747">
        <v>-3.2656419999999997</v>
      </c>
      <c r="V145" s="747">
        <v>-4.2639870000000002</v>
      </c>
      <c r="W145" s="747">
        <v>-2.2082018927444902</v>
      </c>
      <c r="Y145" s="747" t="s">
        <v>2133</v>
      </c>
      <c r="AA145" s="1631"/>
      <c r="AC145" s="1627"/>
      <c r="AD145" s="747">
        <v>1</v>
      </c>
      <c r="AG145" s="1628">
        <v>5.4852320675105488E-2</v>
      </c>
    </row>
    <row r="146" spans="1:33" x14ac:dyDescent="0.2">
      <c r="A146" s="747" t="s">
        <v>1059</v>
      </c>
      <c r="B146" s="747" t="s">
        <v>1060</v>
      </c>
      <c r="C146" s="747" t="s">
        <v>2705</v>
      </c>
      <c r="D146" s="747" t="s">
        <v>2344</v>
      </c>
      <c r="F146" s="747" t="s">
        <v>369</v>
      </c>
      <c r="G146" s="747" t="s">
        <v>2706</v>
      </c>
      <c r="H146" s="1840" t="s">
        <v>2707</v>
      </c>
      <c r="L146" s="1630"/>
      <c r="N146" s="747">
        <v>395.20000000000005</v>
      </c>
      <c r="O146" s="747">
        <v>405.5</v>
      </c>
      <c r="Q146" s="1631">
        <v>46084.708333333336</v>
      </c>
      <c r="R146" s="747">
        <v>395.20000000000005</v>
      </c>
      <c r="T146" s="1628">
        <v>-3.9144176999756799</v>
      </c>
      <c r="U146" s="747">
        <v>14.760044642857201</v>
      </c>
      <c r="V146" s="747">
        <v>22.849462365591499</v>
      </c>
      <c r="W146" s="747">
        <v>16.269491026772581</v>
      </c>
      <c r="X146" s="747" t="s">
        <v>2706</v>
      </c>
      <c r="Y146" s="747" t="s">
        <v>2102</v>
      </c>
      <c r="AA146" s="1631"/>
      <c r="AC146" s="1627"/>
      <c r="AD146" s="747">
        <v>1</v>
      </c>
      <c r="AG146" s="1628">
        <v>1.7225520528472205E-2</v>
      </c>
    </row>
    <row r="147" spans="1:33" x14ac:dyDescent="0.2">
      <c r="A147" s="747" t="s">
        <v>979</v>
      </c>
      <c r="B147" s="747" t="s">
        <v>2249</v>
      </c>
      <c r="D147" s="747" t="s">
        <v>2259</v>
      </c>
      <c r="H147" s="1840"/>
      <c r="L147" s="1630"/>
      <c r="Q147" s="1631"/>
      <c r="AA147" s="1631"/>
      <c r="AC147" s="1627"/>
      <c r="AG147" s="1628"/>
    </row>
    <row r="148" spans="1:33" x14ac:dyDescent="0.2">
      <c r="A148" s="747" t="s">
        <v>1064</v>
      </c>
      <c r="B148" s="747" t="s">
        <v>2710</v>
      </c>
      <c r="C148" s="747" t="s">
        <v>2711</v>
      </c>
      <c r="D148" s="747" t="s">
        <v>2344</v>
      </c>
      <c r="F148" s="747" t="s">
        <v>369</v>
      </c>
      <c r="G148" s="747" t="s">
        <v>2712</v>
      </c>
      <c r="H148" s="1840" t="s">
        <v>2713</v>
      </c>
      <c r="L148" s="1630"/>
      <c r="N148" s="747">
        <v>3947</v>
      </c>
      <c r="O148" s="747">
        <v>4049</v>
      </c>
      <c r="Q148" s="1631">
        <v>46084.796342592592</v>
      </c>
      <c r="R148" s="747">
        <v>3998</v>
      </c>
      <c r="T148" s="1628">
        <v>-3.90578055522173</v>
      </c>
      <c r="W148" s="747">
        <v>16.559767000000001</v>
      </c>
      <c r="X148" s="747" t="s">
        <v>2712</v>
      </c>
      <c r="Y148" s="747" t="s">
        <v>2102</v>
      </c>
      <c r="AA148" s="1631"/>
      <c r="AC148" s="1627"/>
      <c r="AD148" s="747">
        <v>1</v>
      </c>
      <c r="AG148" s="1628">
        <v>1.7081135393117307E-2</v>
      </c>
    </row>
    <row r="149" spans="1:33" x14ac:dyDescent="0.2">
      <c r="A149" s="747" t="s">
        <v>1530</v>
      </c>
      <c r="B149" s="747" t="s">
        <v>1531</v>
      </c>
      <c r="C149" s="747" t="s">
        <v>2989</v>
      </c>
      <c r="D149" s="747" t="s">
        <v>2139</v>
      </c>
      <c r="E149" s="747" t="s">
        <v>2130</v>
      </c>
      <c r="F149" s="747" t="s">
        <v>369</v>
      </c>
      <c r="G149" s="747" t="s">
        <v>2990</v>
      </c>
      <c r="H149" s="1840" t="s">
        <v>2991</v>
      </c>
      <c r="J149" s="747" t="s">
        <v>2990</v>
      </c>
      <c r="L149" s="1630"/>
      <c r="M149" s="747">
        <v>1400</v>
      </c>
      <c r="N149" s="747">
        <v>35.1</v>
      </c>
      <c r="O149" s="747">
        <v>38</v>
      </c>
      <c r="P149" s="747">
        <v>500</v>
      </c>
      <c r="Q149" s="1631">
        <v>46084.73300925926</v>
      </c>
      <c r="R149" s="747">
        <v>36.805</v>
      </c>
      <c r="T149" s="1628">
        <v>-5.0438596491228003</v>
      </c>
      <c r="U149" s="747">
        <v>-1.154827</v>
      </c>
      <c r="V149" s="747">
        <v>5.9289109999999994</v>
      </c>
      <c r="W149" s="747">
        <v>11.092003439380999</v>
      </c>
      <c r="Y149" s="747" t="s">
        <v>2133</v>
      </c>
      <c r="AA149" s="1631"/>
      <c r="AC149" s="1627"/>
      <c r="AD149" s="747">
        <v>1</v>
      </c>
      <c r="AG149" s="1628">
        <v>5.3604436229205146E-2</v>
      </c>
    </row>
    <row r="150" spans="1:33" x14ac:dyDescent="0.2">
      <c r="A150" s="747" t="s">
        <v>1068</v>
      </c>
      <c r="B150" s="747" t="s">
        <v>2717</v>
      </c>
      <c r="C150" s="747" t="s">
        <v>2718</v>
      </c>
      <c r="D150" s="747" t="s">
        <v>2344</v>
      </c>
      <c r="F150" s="747" t="s">
        <v>366</v>
      </c>
      <c r="G150" s="747" t="s">
        <v>2719</v>
      </c>
      <c r="H150" s="1840" t="s">
        <v>2720</v>
      </c>
      <c r="L150" s="1630"/>
      <c r="N150" s="747">
        <v>5093</v>
      </c>
      <c r="O150" s="747">
        <v>5322</v>
      </c>
      <c r="Q150" s="1631">
        <v>46084.796342592592</v>
      </c>
      <c r="R150" s="747">
        <v>5207.5</v>
      </c>
      <c r="T150" s="1628">
        <v>-4.5895932576035197</v>
      </c>
      <c r="W150" s="747">
        <v>18.177692</v>
      </c>
      <c r="X150" s="747" t="s">
        <v>2719</v>
      </c>
      <c r="Y150" s="747" t="s">
        <v>2102</v>
      </c>
      <c r="AA150" s="1631"/>
      <c r="AC150" s="1627"/>
      <c r="AD150" s="747">
        <v>1</v>
      </c>
      <c r="AG150" s="1628">
        <v>2.953314418364715E-2</v>
      </c>
    </row>
    <row r="151" spans="1:33" x14ac:dyDescent="0.2">
      <c r="A151" s="747" t="s">
        <v>4269</v>
      </c>
      <c r="B151" s="747" t="s">
        <v>4270</v>
      </c>
      <c r="C151" s="747" t="s">
        <v>4271</v>
      </c>
      <c r="D151" s="747" t="s">
        <v>2120</v>
      </c>
      <c r="F151" s="747" t="s">
        <v>369</v>
      </c>
      <c r="G151" s="747" t="s">
        <v>4272</v>
      </c>
      <c r="H151" s="1840" t="s">
        <v>4273</v>
      </c>
      <c r="J151" s="747" t="s">
        <v>4274</v>
      </c>
      <c r="L151" s="1630"/>
      <c r="M151" s="747">
        <v>150</v>
      </c>
      <c r="N151" s="747">
        <v>141.5</v>
      </c>
      <c r="O151" s="747">
        <v>148</v>
      </c>
      <c r="P151" s="747">
        <v>1</v>
      </c>
      <c r="Q151" s="1631">
        <v>46084.731238425928</v>
      </c>
      <c r="R151" s="747">
        <v>143.80000000000001</v>
      </c>
      <c r="T151" s="1628">
        <v>-2.5745257452574499</v>
      </c>
      <c r="U151" s="747">
        <v>-1.304049</v>
      </c>
      <c r="V151" s="747">
        <v>-13.111782</v>
      </c>
      <c r="W151" s="747">
        <v>-8.9450956199876792</v>
      </c>
      <c r="Y151" s="747" t="s">
        <v>2585</v>
      </c>
      <c r="Z151" s="747">
        <v>0.104312</v>
      </c>
      <c r="AA151" s="1631"/>
      <c r="AB151" s="747">
        <v>0.15</v>
      </c>
      <c r="AC151" s="1627">
        <v>45772</v>
      </c>
      <c r="AD151" s="747">
        <v>1</v>
      </c>
      <c r="AG151" s="1628">
        <v>3.0162412993039442E-2</v>
      </c>
    </row>
    <row r="152" spans="1:33" x14ac:dyDescent="0.2">
      <c r="A152" s="747" t="s">
        <v>1070</v>
      </c>
      <c r="B152" s="747" t="s">
        <v>1071</v>
      </c>
      <c r="C152" s="747" t="s">
        <v>2343</v>
      </c>
      <c r="D152" s="747" t="s">
        <v>2344</v>
      </c>
      <c r="F152" s="747" t="s">
        <v>369</v>
      </c>
      <c r="G152" s="747" t="s">
        <v>2345</v>
      </c>
      <c r="H152" s="1840" t="s">
        <v>2346</v>
      </c>
      <c r="L152" s="1630"/>
      <c r="N152" s="747">
        <v>728</v>
      </c>
      <c r="O152" s="747">
        <v>751</v>
      </c>
      <c r="Q152" s="1631">
        <v>46084.796226851853</v>
      </c>
      <c r="R152" s="747">
        <v>739.5</v>
      </c>
      <c r="T152" s="1628">
        <v>-3.96103896103897</v>
      </c>
      <c r="U152" s="747">
        <v>14.1586360266865</v>
      </c>
      <c r="V152" s="747">
        <v>20.595144870791</v>
      </c>
      <c r="W152" s="747">
        <v>14.473683999999999</v>
      </c>
      <c r="X152" s="747" t="s">
        <v>2345</v>
      </c>
      <c r="Y152" s="747" t="s">
        <v>2102</v>
      </c>
      <c r="AA152" s="1631"/>
      <c r="AC152" s="1627"/>
      <c r="AD152" s="747">
        <v>1</v>
      </c>
      <c r="AG152" s="1628">
        <v>2.084277299501586E-2</v>
      </c>
    </row>
    <row r="153" spans="1:33" x14ac:dyDescent="0.2">
      <c r="A153" s="747" t="s">
        <v>1073</v>
      </c>
      <c r="B153" s="747" t="s">
        <v>2178</v>
      </c>
      <c r="C153" s="747" t="s">
        <v>836</v>
      </c>
      <c r="D153" s="747" t="s">
        <v>2139</v>
      </c>
      <c r="E153" s="747" t="s">
        <v>2130</v>
      </c>
      <c r="F153" s="747" t="s">
        <v>381</v>
      </c>
      <c r="G153" s="747" t="s">
        <v>2179</v>
      </c>
      <c r="H153" s="1840" t="s">
        <v>2180</v>
      </c>
      <c r="J153" s="747" t="s">
        <v>2179</v>
      </c>
      <c r="L153" s="1630"/>
      <c r="M153" s="747">
        <v>900</v>
      </c>
      <c r="N153" s="747">
        <v>127.31</v>
      </c>
      <c r="O153" s="747">
        <v>127.56</v>
      </c>
      <c r="P153" s="747">
        <v>900</v>
      </c>
      <c r="Q153" s="1631">
        <v>46084.736481481479</v>
      </c>
      <c r="R153" s="747">
        <v>127.56</v>
      </c>
      <c r="T153" s="1628">
        <v>0.23512814483894001</v>
      </c>
      <c r="U153" s="747">
        <v>1.3404507710557592</v>
      </c>
      <c r="V153" s="747">
        <v>2.0628409860220644</v>
      </c>
      <c r="W153" s="747">
        <v>1.5967588179218299</v>
      </c>
      <c r="Y153" s="747" t="s">
        <v>2133</v>
      </c>
      <c r="AA153" s="1631"/>
      <c r="AC153" s="1627"/>
      <c r="AD153" s="747">
        <v>1</v>
      </c>
      <c r="AG153" s="1628">
        <v>1.3082840546339422E-3</v>
      </c>
    </row>
    <row r="154" spans="1:33" x14ac:dyDescent="0.2">
      <c r="A154" s="747" t="s">
        <v>1074</v>
      </c>
      <c r="B154" s="747" t="s">
        <v>2607</v>
      </c>
      <c r="C154" s="747" t="s">
        <v>2608</v>
      </c>
      <c r="D154" s="747" t="s">
        <v>2139</v>
      </c>
      <c r="E154" s="747" t="s">
        <v>2130</v>
      </c>
      <c r="F154" s="747" t="s">
        <v>381</v>
      </c>
      <c r="G154" s="747" t="s">
        <v>4292</v>
      </c>
      <c r="H154" s="1840" t="s">
        <v>2609</v>
      </c>
      <c r="J154" s="747" t="s">
        <v>4292</v>
      </c>
      <c r="L154" s="1630"/>
      <c r="Q154" s="1631">
        <v>46083.746527777781</v>
      </c>
      <c r="R154" s="747">
        <v>236.44</v>
      </c>
      <c r="T154" s="1628">
        <v>-0.54681584924709004</v>
      </c>
      <c r="U154" s="747">
        <v>1.0556909005428041</v>
      </c>
      <c r="V154" s="747">
        <v>2.0633687300353971</v>
      </c>
      <c r="W154" s="747">
        <v>1.7164981716498</v>
      </c>
      <c r="Y154" s="747" t="s">
        <v>2133</v>
      </c>
      <c r="AA154" s="1631"/>
      <c r="AC154" s="1627"/>
      <c r="AD154" s="747">
        <v>1</v>
      </c>
      <c r="AG154" s="1628"/>
    </row>
    <row r="155" spans="1:33" x14ac:dyDescent="0.2">
      <c r="A155" s="747" t="s">
        <v>1993</v>
      </c>
      <c r="B155" s="747" t="s">
        <v>2998</v>
      </c>
      <c r="C155" s="747" t="s">
        <v>2999</v>
      </c>
      <c r="D155" s="747" t="s">
        <v>2139</v>
      </c>
      <c r="E155" s="747" t="s">
        <v>2130</v>
      </c>
      <c r="F155" s="747" t="s">
        <v>366</v>
      </c>
      <c r="G155" s="747" t="s">
        <v>3000</v>
      </c>
      <c r="H155" s="1840" t="s">
        <v>3001</v>
      </c>
      <c r="J155" s="747" t="s">
        <v>3000</v>
      </c>
      <c r="L155" s="1630"/>
      <c r="M155" s="747">
        <v>762</v>
      </c>
      <c r="N155" s="747">
        <v>85.44</v>
      </c>
      <c r="O155" s="747">
        <v>86.77</v>
      </c>
      <c r="P155" s="747">
        <v>762</v>
      </c>
      <c r="Q155" s="1631">
        <v>46084.73269675926</v>
      </c>
      <c r="R155" s="747">
        <v>86.364999999999995</v>
      </c>
      <c r="T155" s="1628">
        <v>-4.4256534153305598</v>
      </c>
      <c r="U155" s="747">
        <v>-1.6721269999999999</v>
      </c>
      <c r="V155" s="747">
        <v>13.632113694446177</v>
      </c>
      <c r="W155" s="747">
        <v>11.634179232560999</v>
      </c>
      <c r="Y155" s="747" t="s">
        <v>2133</v>
      </c>
      <c r="AA155" s="1631"/>
      <c r="AC155" s="1627"/>
      <c r="AD155" s="747">
        <v>1</v>
      </c>
      <c r="AG155" s="1628">
        <v>1.0324083058412563E-2</v>
      </c>
    </row>
    <row r="156" spans="1:33" x14ac:dyDescent="0.2">
      <c r="A156" s="747" t="s">
        <v>1084</v>
      </c>
      <c r="B156" s="747" t="s">
        <v>2733</v>
      </c>
      <c r="C156" s="747" t="s">
        <v>2734</v>
      </c>
      <c r="D156" s="747" t="s">
        <v>2139</v>
      </c>
      <c r="E156" s="747" t="s">
        <v>2130</v>
      </c>
      <c r="F156" s="747" t="s">
        <v>381</v>
      </c>
      <c r="G156" s="747" t="s">
        <v>4291</v>
      </c>
      <c r="H156" s="1840" t="s">
        <v>2735</v>
      </c>
      <c r="J156" s="747" t="s">
        <v>4291</v>
      </c>
      <c r="L156" s="1630"/>
      <c r="Q156" s="1631">
        <v>46083.733402777776</v>
      </c>
      <c r="R156" s="747">
        <v>300.90000000000003</v>
      </c>
      <c r="T156" s="1628">
        <v>-1.60235448005232</v>
      </c>
      <c r="U156" s="747">
        <v>1.0579345088161325</v>
      </c>
      <c r="V156" s="747">
        <v>8.0043072505384103</v>
      </c>
      <c r="W156" s="747">
        <v>5.3940455341506297</v>
      </c>
      <c r="Y156" s="747" t="s">
        <v>2133</v>
      </c>
      <c r="AA156" s="1631"/>
      <c r="AC156" s="1627"/>
      <c r="AD156" s="747">
        <v>1</v>
      </c>
      <c r="AG156" s="1628"/>
    </row>
    <row r="157" spans="1:33" x14ac:dyDescent="0.2">
      <c r="A157" s="747" t="s">
        <v>1836</v>
      </c>
      <c r="B157" s="747" t="s">
        <v>3005</v>
      </c>
      <c r="C157" s="747" t="s">
        <v>3006</v>
      </c>
      <c r="D157" s="747" t="s">
        <v>2120</v>
      </c>
      <c r="F157" s="747" t="s">
        <v>3007</v>
      </c>
      <c r="G157" s="747" t="s">
        <v>3008</v>
      </c>
      <c r="H157" s="1840" t="s">
        <v>3009</v>
      </c>
      <c r="J157" s="747" t="s">
        <v>3010</v>
      </c>
      <c r="L157" s="1630"/>
      <c r="M157" s="747">
        <v>3785</v>
      </c>
      <c r="N157" s="747">
        <v>308.8</v>
      </c>
      <c r="O157" s="747">
        <v>308.8</v>
      </c>
      <c r="P157" s="747">
        <v>35666</v>
      </c>
      <c r="Q157" s="1631">
        <v>46084.680555555555</v>
      </c>
      <c r="R157" s="747">
        <v>308.8</v>
      </c>
      <c r="T157" s="1628">
        <v>1.4788038120276001</v>
      </c>
      <c r="U157" s="747">
        <v>22.393975426080061</v>
      </c>
      <c r="V157" s="747">
        <v>31.572219855134207</v>
      </c>
      <c r="W157" s="747">
        <v>28.072390572390599</v>
      </c>
      <c r="Y157" s="747" t="s">
        <v>3011</v>
      </c>
      <c r="Z157" s="747">
        <v>3.5731865284974096</v>
      </c>
      <c r="AA157" s="1631"/>
      <c r="AB157" s="747">
        <v>3.5300000000000002</v>
      </c>
      <c r="AC157" s="1627">
        <v>46069</v>
      </c>
      <c r="AD157" s="747">
        <v>1</v>
      </c>
      <c r="AG157" s="1628">
        <v>0</v>
      </c>
    </row>
    <row r="158" spans="1:33" x14ac:dyDescent="0.2">
      <c r="A158" s="747" t="s">
        <v>1097</v>
      </c>
      <c r="B158" s="747" t="s">
        <v>2755</v>
      </c>
      <c r="C158" s="747" t="s">
        <v>2756</v>
      </c>
      <c r="D158" s="747" t="s">
        <v>2139</v>
      </c>
      <c r="E158" s="747" t="s">
        <v>2130</v>
      </c>
      <c r="F158" s="747" t="s">
        <v>369</v>
      </c>
      <c r="G158" s="747" t="s">
        <v>4293</v>
      </c>
      <c r="H158" s="1840" t="s">
        <v>2757</v>
      </c>
      <c r="J158" s="747" t="s">
        <v>4293</v>
      </c>
      <c r="L158" s="1630"/>
      <c r="M158" s="747">
        <v>2970</v>
      </c>
      <c r="N158" s="747">
        <v>18.323</v>
      </c>
      <c r="O158" s="747">
        <v>18.394000000000002</v>
      </c>
      <c r="P158" s="747">
        <v>2970</v>
      </c>
      <c r="Q158" s="1631">
        <v>46084.728773148148</v>
      </c>
      <c r="R158" s="747">
        <v>18.323</v>
      </c>
      <c r="T158" s="1628">
        <v>0.54829618242377998</v>
      </c>
      <c r="U158" s="747">
        <v>4.7621633362293592</v>
      </c>
      <c r="V158" s="747">
        <v>8.2538435641342165</v>
      </c>
      <c r="W158" s="747">
        <v>11.059542676024501</v>
      </c>
      <c r="Y158" s="747" t="s">
        <v>2133</v>
      </c>
      <c r="AA158" s="1631"/>
      <c r="AC158" s="1627"/>
      <c r="AD158" s="747">
        <v>1</v>
      </c>
      <c r="AG158" s="1628">
        <v>2.5799418604651706E-3</v>
      </c>
    </row>
    <row r="159" spans="1:33" x14ac:dyDescent="0.2">
      <c r="A159" s="747" t="s">
        <v>1202</v>
      </c>
      <c r="B159" s="747" t="s">
        <v>2891</v>
      </c>
      <c r="C159" s="747" t="s">
        <v>2892</v>
      </c>
      <c r="D159" s="747" t="s">
        <v>2139</v>
      </c>
      <c r="E159" s="747" t="s">
        <v>2109</v>
      </c>
      <c r="F159" s="747" t="s">
        <v>366</v>
      </c>
      <c r="G159" s="747" t="s">
        <v>2893</v>
      </c>
      <c r="H159" s="1840" t="s">
        <v>2894</v>
      </c>
      <c r="J159" s="747" t="s">
        <v>2893</v>
      </c>
      <c r="L159" s="1630"/>
      <c r="M159" s="747">
        <v>10</v>
      </c>
      <c r="N159" s="747">
        <v>71.5</v>
      </c>
      <c r="O159" s="747">
        <v>77.61</v>
      </c>
      <c r="P159" s="747">
        <v>40</v>
      </c>
      <c r="Q159" s="1631">
        <v>46084.732928240737</v>
      </c>
      <c r="R159" s="747">
        <v>73.17</v>
      </c>
      <c r="T159" s="1628">
        <v>-5.2079284881461296</v>
      </c>
      <c r="U159" s="747">
        <v>-0.82678200000000002</v>
      </c>
      <c r="V159" s="747">
        <v>6.3981389999999996</v>
      </c>
      <c r="W159" s="747">
        <v>11.3370835136305</v>
      </c>
      <c r="Y159" s="747" t="s">
        <v>2133</v>
      </c>
      <c r="AA159" s="1631"/>
      <c r="AC159" s="1627"/>
      <c r="AD159" s="747">
        <v>1</v>
      </c>
      <c r="AG159" s="1628">
        <v>5.5391868002357091E-2</v>
      </c>
    </row>
    <row r="160" spans="1:33" x14ac:dyDescent="0.2">
      <c r="A160" s="747" t="s">
        <v>1099</v>
      </c>
      <c r="B160" s="747" t="s">
        <v>1100</v>
      </c>
      <c r="C160" s="747" t="s">
        <v>2762</v>
      </c>
      <c r="D160" s="747" t="s">
        <v>2139</v>
      </c>
      <c r="E160" s="747" t="s">
        <v>2130</v>
      </c>
      <c r="F160" s="747" t="s">
        <v>369</v>
      </c>
      <c r="G160" s="747" t="s">
        <v>2763</v>
      </c>
      <c r="H160" s="1840" t="s">
        <v>2764</v>
      </c>
      <c r="J160" s="747" t="s">
        <v>2763</v>
      </c>
      <c r="L160" s="1630"/>
      <c r="M160" s="747">
        <v>6500</v>
      </c>
      <c r="N160" s="747">
        <v>15.296000000000001</v>
      </c>
      <c r="O160" s="747">
        <v>16</v>
      </c>
      <c r="P160" s="747">
        <v>2130</v>
      </c>
      <c r="Q160" s="1631">
        <v>46084.67696759259</v>
      </c>
      <c r="R160" s="747">
        <v>15.3565</v>
      </c>
      <c r="T160" s="1628">
        <v>-0.96414291242100003</v>
      </c>
      <c r="U160" s="747">
        <v>1.5453769932410264</v>
      </c>
      <c r="V160" s="747">
        <v>0.32338099999999997</v>
      </c>
      <c r="W160" s="747">
        <v>0.95052083333334003</v>
      </c>
      <c r="Y160" s="747" t="s">
        <v>2133</v>
      </c>
      <c r="AA160" s="1631"/>
      <c r="AC160" s="1627"/>
      <c r="AD160" s="747">
        <v>1</v>
      </c>
      <c r="AG160" s="1628">
        <v>3.0219780219780171E-2</v>
      </c>
    </row>
    <row r="161" spans="1:33" x14ac:dyDescent="0.2">
      <c r="A161" s="747" t="s">
        <v>1819</v>
      </c>
      <c r="B161" s="747" t="s">
        <v>3031</v>
      </c>
      <c r="C161" s="747" t="s">
        <v>3032</v>
      </c>
      <c r="D161" s="747" t="s">
        <v>2120</v>
      </c>
      <c r="F161" s="747" t="s">
        <v>369</v>
      </c>
      <c r="G161" s="747" t="s">
        <v>529</v>
      </c>
      <c r="H161" s="1840" t="s">
        <v>3033</v>
      </c>
      <c r="J161" s="747" t="s">
        <v>3034</v>
      </c>
      <c r="L161" s="1630"/>
      <c r="M161" s="747">
        <v>56</v>
      </c>
      <c r="N161" s="747">
        <v>17.84</v>
      </c>
      <c r="O161" s="747">
        <v>17.84</v>
      </c>
      <c r="P161" s="747">
        <v>112</v>
      </c>
      <c r="Q161" s="1631">
        <v>46084.730081018519</v>
      </c>
      <c r="R161" s="747">
        <v>18.240000000000002</v>
      </c>
      <c r="T161" s="1628">
        <v>-2.8753993610223598</v>
      </c>
      <c r="U161" s="747">
        <v>-8.3417089999999998</v>
      </c>
      <c r="V161" s="747">
        <v>-1.7241379999999999</v>
      </c>
      <c r="W161" s="747">
        <v>-1.46904512067156</v>
      </c>
      <c r="Y161" s="747" t="s">
        <v>2102</v>
      </c>
      <c r="Z161" s="747">
        <v>3.563596</v>
      </c>
      <c r="AA161" s="1631"/>
      <c r="AB161" s="747">
        <v>0.60000000000000009</v>
      </c>
      <c r="AC161" s="1627">
        <v>45741</v>
      </c>
      <c r="AD161" s="747">
        <v>1</v>
      </c>
      <c r="AG161" s="1628">
        <v>0</v>
      </c>
    </row>
    <row r="162" spans="1:33" x14ac:dyDescent="0.2">
      <c r="A162" s="747" t="s">
        <v>1105</v>
      </c>
      <c r="B162" s="747" t="s">
        <v>2771</v>
      </c>
      <c r="C162" s="747" t="s">
        <v>2772</v>
      </c>
      <c r="D162" s="747" t="s">
        <v>2139</v>
      </c>
      <c r="E162" s="747" t="s">
        <v>2130</v>
      </c>
      <c r="F162" s="747" t="s">
        <v>381</v>
      </c>
      <c r="G162" s="747" t="s">
        <v>2763</v>
      </c>
      <c r="H162" s="1840" t="s">
        <v>2773</v>
      </c>
      <c r="J162" s="747" t="s">
        <v>2763</v>
      </c>
      <c r="L162" s="1630"/>
      <c r="Q162" s="1631">
        <v>46083.733159722222</v>
      </c>
      <c r="R162" s="747">
        <v>21.138000000000002</v>
      </c>
      <c r="T162" s="1628">
        <v>-0.15095051653380001</v>
      </c>
      <c r="U162" s="747">
        <v>1.1387559808612417</v>
      </c>
      <c r="V162" s="747">
        <v>1.3375521357687323</v>
      </c>
      <c r="W162" s="747">
        <v>1.1661807580175001</v>
      </c>
      <c r="Y162" s="747" t="s">
        <v>2133</v>
      </c>
      <c r="AA162" s="1631"/>
      <c r="AC162" s="1627"/>
      <c r="AD162" s="747">
        <v>1</v>
      </c>
      <c r="AG162" s="1628"/>
    </row>
    <row r="163" spans="1:33" x14ac:dyDescent="0.2">
      <c r="A163" s="747" t="s">
        <v>1864</v>
      </c>
      <c r="B163" s="747" t="s">
        <v>3044</v>
      </c>
      <c r="C163" s="747" t="s">
        <v>3045</v>
      </c>
      <c r="D163" s="747" t="s">
        <v>2120</v>
      </c>
      <c r="F163" s="747" t="s">
        <v>369</v>
      </c>
      <c r="G163" s="747" t="s">
        <v>3046</v>
      </c>
      <c r="H163" s="1840" t="s">
        <v>3047</v>
      </c>
      <c r="J163" s="747" t="s">
        <v>3048</v>
      </c>
      <c r="L163" s="1630"/>
      <c r="M163" s="747">
        <v>30</v>
      </c>
      <c r="N163" s="747">
        <v>66.5</v>
      </c>
      <c r="Q163" s="1631">
        <v>46084.732407407406</v>
      </c>
      <c r="R163" s="747">
        <v>66.960000000000008</v>
      </c>
      <c r="T163" s="1628">
        <v>-3.0127462340672002</v>
      </c>
      <c r="U163" s="747">
        <v>-18.440925999999997</v>
      </c>
      <c r="V163" s="747">
        <v>-11.264246</v>
      </c>
      <c r="W163" s="747">
        <v>-11.2139917695474</v>
      </c>
      <c r="Y163" s="747" t="s">
        <v>3041</v>
      </c>
      <c r="Z163" s="747">
        <v>2.356328</v>
      </c>
      <c r="AA163" s="1631"/>
      <c r="AB163" s="747">
        <v>3.1</v>
      </c>
      <c r="AC163" s="1627">
        <v>45796</v>
      </c>
      <c r="AD163" s="747">
        <v>1</v>
      </c>
      <c r="AG163" s="1628"/>
    </row>
    <row r="164" spans="1:33" x14ac:dyDescent="0.2">
      <c r="A164" s="747" t="s">
        <v>1110</v>
      </c>
      <c r="B164" s="747" t="s">
        <v>2774</v>
      </c>
      <c r="C164" s="747" t="s">
        <v>2775</v>
      </c>
      <c r="D164" s="747" t="s">
        <v>2139</v>
      </c>
      <c r="E164" s="747" t="s">
        <v>2355</v>
      </c>
      <c r="F164" s="747" t="s">
        <v>366</v>
      </c>
      <c r="G164" s="747" t="s">
        <v>1111</v>
      </c>
      <c r="H164" s="1840" t="s">
        <v>2776</v>
      </c>
      <c r="J164" s="747" t="s">
        <v>1111</v>
      </c>
      <c r="L164" s="1630"/>
      <c r="M164" s="747">
        <v>300</v>
      </c>
      <c r="N164" s="747">
        <v>63.410000000000004</v>
      </c>
      <c r="O164" s="747">
        <v>63.5</v>
      </c>
      <c r="P164" s="747">
        <v>200</v>
      </c>
      <c r="Q164" s="1631">
        <v>46084.785775462966</v>
      </c>
      <c r="R164" s="747">
        <v>63.480000000000004</v>
      </c>
      <c r="T164" s="1628">
        <v>0.12618296529969</v>
      </c>
      <c r="U164" s="747">
        <v>-5.3808319999999998</v>
      </c>
      <c r="V164" s="747">
        <v>-16.076150000000002</v>
      </c>
      <c r="W164" s="747">
        <v>-11.2666200139958</v>
      </c>
      <c r="Y164" s="747" t="s">
        <v>2133</v>
      </c>
      <c r="AA164" s="1631"/>
      <c r="AB164" s="747">
        <v>0.2084</v>
      </c>
      <c r="AC164" s="1627">
        <v>46003</v>
      </c>
      <c r="AD164" s="747">
        <v>1</v>
      </c>
      <c r="AG164" s="1628">
        <v>9.4577553593943155E-4</v>
      </c>
    </row>
    <row r="165" spans="1:33" x14ac:dyDescent="0.2">
      <c r="A165" s="747" t="s">
        <v>1911</v>
      </c>
      <c r="B165" s="747" t="s">
        <v>3049</v>
      </c>
      <c r="C165" s="747" t="s">
        <v>3050</v>
      </c>
      <c r="D165" s="747" t="s">
        <v>2120</v>
      </c>
      <c r="F165" s="747" t="s">
        <v>366</v>
      </c>
      <c r="G165" s="747" t="s">
        <v>3051</v>
      </c>
      <c r="H165" s="1840" t="s">
        <v>3052</v>
      </c>
      <c r="J165" s="747" t="s">
        <v>3053</v>
      </c>
      <c r="L165" s="1630"/>
      <c r="M165" s="747">
        <v>100</v>
      </c>
      <c r="N165" s="747">
        <v>159.4</v>
      </c>
      <c r="O165" s="747">
        <v>159.43</v>
      </c>
      <c r="P165" s="747">
        <v>200</v>
      </c>
      <c r="Q165" s="1631">
        <v>46084.785879629628</v>
      </c>
      <c r="R165" s="747">
        <v>159.41499999999999</v>
      </c>
      <c r="T165" s="1628">
        <v>-2.5044339795731201</v>
      </c>
      <c r="U165" s="747">
        <v>2.6364920000000001</v>
      </c>
      <c r="V165" s="747">
        <v>14.169590999999999</v>
      </c>
      <c r="W165" s="747">
        <v>14.095317842439501</v>
      </c>
      <c r="Y165" s="747" t="s">
        <v>2256</v>
      </c>
      <c r="Z165" s="747">
        <v>2.6516949999999997</v>
      </c>
      <c r="AA165" s="1631"/>
      <c r="AB165" s="747">
        <v>1.0568</v>
      </c>
      <c r="AC165" s="1627">
        <v>46045</v>
      </c>
      <c r="AD165" s="747">
        <v>1</v>
      </c>
      <c r="AG165" s="1628">
        <v>1.2546264349790325E-4</v>
      </c>
    </row>
    <row r="166" spans="1:33" x14ac:dyDescent="0.2">
      <c r="A166" s="747" t="s">
        <v>1115</v>
      </c>
      <c r="B166" s="747" t="s">
        <v>2781</v>
      </c>
      <c r="C166" s="747" t="s">
        <v>2782</v>
      </c>
      <c r="D166" s="747" t="s">
        <v>2139</v>
      </c>
      <c r="E166" s="747" t="s">
        <v>2355</v>
      </c>
      <c r="F166" s="747" t="s">
        <v>366</v>
      </c>
      <c r="G166" s="747" t="s">
        <v>780</v>
      </c>
      <c r="H166" s="1840" t="s">
        <v>2783</v>
      </c>
      <c r="J166" s="747" t="s">
        <v>780</v>
      </c>
      <c r="L166" s="1630"/>
      <c r="M166" s="747">
        <v>800</v>
      </c>
      <c r="N166" s="747">
        <v>36.72</v>
      </c>
      <c r="O166" s="747">
        <v>36.74</v>
      </c>
      <c r="P166" s="747">
        <v>800</v>
      </c>
      <c r="Q166" s="1631">
        <v>46084.785879629628</v>
      </c>
      <c r="R166" s="747">
        <v>36.730000000000004</v>
      </c>
      <c r="T166" s="1628">
        <v>-3.82299031159988</v>
      </c>
      <c r="U166" s="747">
        <v>-0.406725</v>
      </c>
      <c r="V166" s="747">
        <v>-0.406725</v>
      </c>
      <c r="W166" s="747">
        <v>5.4098813138282997</v>
      </c>
      <c r="Y166" s="747" t="s">
        <v>2133</v>
      </c>
      <c r="AA166" s="1631"/>
      <c r="AB166" s="747">
        <v>0.15796099999999999</v>
      </c>
      <c r="AC166" s="1627">
        <v>46021</v>
      </c>
      <c r="AD166" s="747">
        <v>1</v>
      </c>
      <c r="AG166" s="1628">
        <v>3.6304229442735749E-4</v>
      </c>
    </row>
    <row r="167" spans="1:33" x14ac:dyDescent="0.2">
      <c r="A167" s="747" t="s">
        <v>4428</v>
      </c>
      <c r="B167" s="747" t="s">
        <v>4429</v>
      </c>
      <c r="C167" s="747" t="s">
        <v>4430</v>
      </c>
      <c r="D167" s="747" t="s">
        <v>2139</v>
      </c>
      <c r="E167" s="747" t="s">
        <v>2109</v>
      </c>
      <c r="F167" s="747" t="s">
        <v>366</v>
      </c>
      <c r="G167" s="747" t="s">
        <v>4298</v>
      </c>
      <c r="H167" s="1840" t="s">
        <v>4431</v>
      </c>
      <c r="J167" s="747" t="s">
        <v>4298</v>
      </c>
      <c r="L167" s="1630"/>
      <c r="M167" s="747">
        <v>463</v>
      </c>
      <c r="N167" s="747">
        <v>108</v>
      </c>
      <c r="O167" s="747">
        <v>117</v>
      </c>
      <c r="P167" s="747">
        <v>23</v>
      </c>
      <c r="Q167" s="1631">
        <v>46084.732824074075</v>
      </c>
      <c r="R167" s="747">
        <v>110.96000000000001</v>
      </c>
      <c r="T167" s="1628">
        <v>-1.33380757602704</v>
      </c>
      <c r="U167" s="747">
        <v>0.79026299999999994</v>
      </c>
      <c r="V167" s="747">
        <v>5.165387</v>
      </c>
      <c r="W167" s="747">
        <v>5.31934819254543</v>
      </c>
      <c r="Y167" s="747" t="s">
        <v>2133</v>
      </c>
      <c r="AA167" s="1631"/>
      <c r="AC167" s="1627"/>
      <c r="AD167" s="747">
        <v>1</v>
      </c>
      <c r="AG167" s="1628">
        <v>5.4054054054054057E-2</v>
      </c>
    </row>
    <row r="168" spans="1:33" x14ac:dyDescent="0.2">
      <c r="A168" s="747" t="s">
        <v>1120</v>
      </c>
      <c r="B168" s="747" t="s">
        <v>2787</v>
      </c>
      <c r="C168" s="747" t="s">
        <v>2788</v>
      </c>
      <c r="D168" s="747" t="s">
        <v>2139</v>
      </c>
      <c r="E168" s="747" t="s">
        <v>2109</v>
      </c>
      <c r="F168" s="747" t="s">
        <v>366</v>
      </c>
      <c r="G168" s="747" t="s">
        <v>779</v>
      </c>
      <c r="H168" s="1840" t="s">
        <v>2789</v>
      </c>
      <c r="J168" s="747" t="s">
        <v>779</v>
      </c>
      <c r="L168" s="1630"/>
      <c r="M168" s="747">
        <v>50968</v>
      </c>
      <c r="N168" s="747">
        <v>19.62</v>
      </c>
      <c r="O168" s="747">
        <v>21.150000000000002</v>
      </c>
      <c r="P168" s="747">
        <v>15</v>
      </c>
      <c r="Q168" s="1631">
        <v>46084.732939814814</v>
      </c>
      <c r="R168" s="747">
        <v>20.200000000000003</v>
      </c>
      <c r="T168" s="1628">
        <v>-1.4393754574286399</v>
      </c>
      <c r="U168" s="747">
        <v>-0.76148399999999994</v>
      </c>
      <c r="V168" s="747">
        <v>8.6722619999999999</v>
      </c>
      <c r="W168" s="747">
        <v>10.330534022394501</v>
      </c>
      <c r="Y168" s="747" t="s">
        <v>2133</v>
      </c>
      <c r="AA168" s="1631"/>
      <c r="AC168" s="1627"/>
      <c r="AD168" s="747">
        <v>1</v>
      </c>
      <c r="AG168" s="1628">
        <v>5.0670640834575301E-2</v>
      </c>
    </row>
    <row r="169" spans="1:33" x14ac:dyDescent="0.2">
      <c r="A169" s="747" t="s">
        <v>1753</v>
      </c>
      <c r="B169" s="747" t="s">
        <v>3058</v>
      </c>
      <c r="D169" s="747" t="s">
        <v>2259</v>
      </c>
      <c r="H169" s="1840"/>
      <c r="L169" s="1630"/>
      <c r="Q169" s="1631"/>
      <c r="AA169" s="1631"/>
      <c r="AC169" s="1627"/>
      <c r="AG169" s="1628"/>
    </row>
    <row r="170" spans="1:33" x14ac:dyDescent="0.2">
      <c r="A170" s="747" t="s">
        <v>1121</v>
      </c>
      <c r="B170" s="747" t="s">
        <v>2793</v>
      </c>
      <c r="C170" s="747" t="s">
        <v>2794</v>
      </c>
      <c r="D170" s="747" t="s">
        <v>2139</v>
      </c>
      <c r="E170" s="747" t="s">
        <v>2109</v>
      </c>
      <c r="F170" s="747" t="s">
        <v>381</v>
      </c>
      <c r="G170" s="747" t="s">
        <v>2795</v>
      </c>
      <c r="H170" s="1840" t="s">
        <v>2796</v>
      </c>
      <c r="J170" s="747" t="s">
        <v>2795</v>
      </c>
      <c r="L170" s="1630"/>
      <c r="Q170" s="1631">
        <v>46083.733356481483</v>
      </c>
      <c r="R170" s="747">
        <v>6.68</v>
      </c>
      <c r="T170" s="1628">
        <v>0.81632653061225002</v>
      </c>
      <c r="U170" s="747">
        <v>-0.35799522673031059</v>
      </c>
      <c r="V170" s="747">
        <v>-3.4682080924855523</v>
      </c>
      <c r="W170" s="747">
        <v>-2.2713950762016402</v>
      </c>
      <c r="Y170" s="747" t="s">
        <v>2133</v>
      </c>
      <c r="AA170" s="1631"/>
      <c r="AC170" s="1627"/>
      <c r="AD170" s="747">
        <v>1</v>
      </c>
      <c r="AG170" s="1628"/>
    </row>
    <row r="171" spans="1:33" x14ac:dyDescent="0.2">
      <c r="A171" s="747" t="s">
        <v>1801</v>
      </c>
      <c r="B171" s="747" t="s">
        <v>3063</v>
      </c>
      <c r="C171" s="747" t="s">
        <v>3064</v>
      </c>
      <c r="D171" s="747" t="s">
        <v>2120</v>
      </c>
      <c r="F171" s="747" t="s">
        <v>369</v>
      </c>
      <c r="G171" s="747" t="s">
        <v>819</v>
      </c>
      <c r="H171" s="1840" t="s">
        <v>3065</v>
      </c>
      <c r="J171" s="747" t="s">
        <v>3066</v>
      </c>
      <c r="L171" s="1630"/>
      <c r="M171" s="747">
        <v>500</v>
      </c>
      <c r="N171" s="747">
        <v>146</v>
      </c>
      <c r="O171" s="747">
        <v>150</v>
      </c>
      <c r="P171" s="747">
        <v>550</v>
      </c>
      <c r="Q171" s="1631">
        <v>46084.731238425928</v>
      </c>
      <c r="R171" s="747">
        <v>147.20000000000002</v>
      </c>
      <c r="T171" s="1628">
        <v>-3.7908496732026</v>
      </c>
      <c r="U171" s="747">
        <v>2.080444</v>
      </c>
      <c r="V171" s="747">
        <v>-11.961722</v>
      </c>
      <c r="W171" s="747">
        <v>-9.1448931116389698</v>
      </c>
      <c r="Y171" s="747" t="s">
        <v>3067</v>
      </c>
      <c r="Z171" s="747">
        <v>2.5135869999999998</v>
      </c>
      <c r="AA171" s="1631"/>
      <c r="AB171" s="747">
        <v>3.7</v>
      </c>
      <c r="AC171" s="1627">
        <v>45779</v>
      </c>
      <c r="AD171" s="747">
        <v>1</v>
      </c>
      <c r="AG171" s="1628">
        <v>1.8099547511312219E-2</v>
      </c>
    </row>
    <row r="172" spans="1:33" x14ac:dyDescent="0.2">
      <c r="A172" s="747" t="s">
        <v>1126</v>
      </c>
      <c r="B172" s="747" t="s">
        <v>2800</v>
      </c>
      <c r="C172" s="747" t="s">
        <v>2794</v>
      </c>
      <c r="D172" s="747" t="s">
        <v>2139</v>
      </c>
      <c r="E172" s="747" t="s">
        <v>2109</v>
      </c>
      <c r="F172" s="747" t="s">
        <v>366</v>
      </c>
      <c r="G172" s="747" t="s">
        <v>2795</v>
      </c>
      <c r="H172" s="1840" t="s">
        <v>2796</v>
      </c>
      <c r="J172" s="747" t="s">
        <v>2795</v>
      </c>
      <c r="L172" s="1630"/>
      <c r="M172" s="747">
        <v>12800</v>
      </c>
      <c r="N172" s="747">
        <v>7.6980000000000004</v>
      </c>
      <c r="O172" s="747">
        <v>7.8769999999999998</v>
      </c>
      <c r="P172" s="747">
        <v>1102</v>
      </c>
      <c r="Q172" s="1631">
        <v>46084.732893518521</v>
      </c>
      <c r="R172" s="747">
        <v>7.7015000000000002</v>
      </c>
      <c r="T172" s="1628">
        <v>-1.9735998974753299</v>
      </c>
      <c r="U172" s="747">
        <v>-1.4586095851487126</v>
      </c>
      <c r="V172" s="747">
        <v>-4.2078899999999999</v>
      </c>
      <c r="W172" s="747">
        <v>-2.1076401957094499</v>
      </c>
      <c r="Y172" s="747" t="s">
        <v>2133</v>
      </c>
      <c r="AA172" s="1631"/>
      <c r="AC172" s="1627"/>
      <c r="AD172" s="747">
        <v>1</v>
      </c>
      <c r="AG172" s="1628">
        <v>1.5382632234778445E-2</v>
      </c>
    </row>
    <row r="173" spans="1:33" x14ac:dyDescent="0.2">
      <c r="A173" s="747" t="s">
        <v>1665</v>
      </c>
      <c r="B173" s="747" t="s">
        <v>3072</v>
      </c>
      <c r="C173" s="747" t="s">
        <v>3073</v>
      </c>
      <c r="D173" s="747" t="s">
        <v>2158</v>
      </c>
      <c r="E173" s="747" t="s">
        <v>2359</v>
      </c>
      <c r="F173" s="747" t="s">
        <v>366</v>
      </c>
      <c r="G173" s="747" t="s">
        <v>3074</v>
      </c>
      <c r="H173" s="1840" t="s">
        <v>3075</v>
      </c>
      <c r="J173" s="747" t="s">
        <v>3074</v>
      </c>
      <c r="L173" s="1630"/>
      <c r="Q173" s="1631">
        <v>46083.76048611111</v>
      </c>
      <c r="R173" s="747">
        <v>2075.08</v>
      </c>
      <c r="T173" s="1628">
        <v>-1.5154175822611324</v>
      </c>
      <c r="U173" s="747">
        <v>-1.9435689274694001</v>
      </c>
      <c r="V173" s="747">
        <v>-1.9472756569279299</v>
      </c>
      <c r="W173" s="747">
        <v>-2.4244818116841564</v>
      </c>
      <c r="Y173" s="747" t="s">
        <v>2133</v>
      </c>
      <c r="AA173" s="1631"/>
      <c r="AC173" s="1627"/>
      <c r="AD173" s="747">
        <v>1</v>
      </c>
      <c r="AG173" s="1628"/>
    </row>
    <row r="174" spans="1:33" x14ac:dyDescent="0.2">
      <c r="A174" s="747" t="s">
        <v>4251</v>
      </c>
      <c r="B174" s="747" t="s">
        <v>4252</v>
      </c>
      <c r="C174" s="747" t="s">
        <v>4253</v>
      </c>
      <c r="D174" s="747" t="s">
        <v>2139</v>
      </c>
      <c r="E174" s="747" t="s">
        <v>2355</v>
      </c>
      <c r="F174" s="747" t="s">
        <v>366</v>
      </c>
      <c r="G174" s="747" t="s">
        <v>4254</v>
      </c>
      <c r="H174" s="1840" t="s">
        <v>4255</v>
      </c>
      <c r="J174" s="747" t="s">
        <v>4254</v>
      </c>
      <c r="L174" s="1630"/>
      <c r="M174" s="747">
        <v>200</v>
      </c>
      <c r="N174" s="747">
        <v>48.13</v>
      </c>
      <c r="O174" s="747">
        <v>48.14</v>
      </c>
      <c r="P174" s="747">
        <v>1100</v>
      </c>
      <c r="Q174" s="1631">
        <v>46084.785752314812</v>
      </c>
      <c r="R174" s="747">
        <v>48.134999999999998</v>
      </c>
      <c r="T174" s="1628">
        <v>-5.7470139024867901</v>
      </c>
      <c r="U174" s="747">
        <v>-11.222795999999999</v>
      </c>
      <c r="V174" s="747">
        <v>-8.9387059999999998</v>
      </c>
      <c r="W174" s="747">
        <v>-1.7884615384615401</v>
      </c>
      <c r="Y174" s="747" t="s">
        <v>2133</v>
      </c>
      <c r="AA174" s="1631"/>
      <c r="AB174" s="747">
        <v>1.12616</v>
      </c>
      <c r="AC174" s="1627">
        <v>46013</v>
      </c>
      <c r="AD174" s="747">
        <v>1</v>
      </c>
      <c r="AG174" s="1628">
        <v>1.3850415512462618E-4</v>
      </c>
    </row>
    <row r="175" spans="1:33" x14ac:dyDescent="0.2">
      <c r="A175" s="747" t="s">
        <v>4468</v>
      </c>
      <c r="B175" s="747" t="s">
        <v>4469</v>
      </c>
      <c r="C175" s="747" t="s">
        <v>4470</v>
      </c>
      <c r="D175" s="747" t="s">
        <v>2139</v>
      </c>
      <c r="E175" s="747" t="s">
        <v>2109</v>
      </c>
      <c r="F175" s="747" t="s">
        <v>366</v>
      </c>
      <c r="G175" s="747" t="s">
        <v>4471</v>
      </c>
      <c r="H175" s="1840" t="s">
        <v>4472</v>
      </c>
      <c r="J175" s="747" t="s">
        <v>4471</v>
      </c>
      <c r="L175" s="1630"/>
      <c r="M175" s="747">
        <v>6</v>
      </c>
      <c r="N175" s="747">
        <v>70</v>
      </c>
      <c r="O175" s="747">
        <v>74</v>
      </c>
      <c r="P175" s="747">
        <v>820</v>
      </c>
      <c r="Q175" s="1631">
        <v>46084.732789351852</v>
      </c>
      <c r="R175" s="747">
        <v>72.2</v>
      </c>
      <c r="T175" s="1628">
        <v>0.3753649381343</v>
      </c>
      <c r="U175" s="747">
        <v>0.641204</v>
      </c>
      <c r="V175" s="747">
        <v>19.063324999999999</v>
      </c>
      <c r="W175" s="747">
        <v>17.686518324607402</v>
      </c>
      <c r="Y175" s="747" t="s">
        <v>2133</v>
      </c>
      <c r="AA175" s="1631"/>
      <c r="AC175" s="1627"/>
      <c r="AD175" s="747">
        <v>1</v>
      </c>
      <c r="AG175" s="1628">
        <v>3.7383177570093455E-2</v>
      </c>
    </row>
    <row r="176" spans="1:33" x14ac:dyDescent="0.2">
      <c r="A176" s="747" t="s">
        <v>1850</v>
      </c>
      <c r="B176" s="747" t="s">
        <v>3084</v>
      </c>
      <c r="D176" s="747" t="s">
        <v>2259</v>
      </c>
      <c r="H176" s="1840"/>
      <c r="L176" s="1630"/>
      <c r="Q176" s="1631"/>
      <c r="AA176" s="1631"/>
      <c r="AC176" s="1627"/>
      <c r="AG176" s="1628"/>
    </row>
    <row r="177" spans="1:33" x14ac:dyDescent="0.2">
      <c r="A177" s="747" t="s">
        <v>4433</v>
      </c>
      <c r="B177" s="747" t="s">
        <v>4434</v>
      </c>
      <c r="C177" s="747" t="s">
        <v>2172</v>
      </c>
      <c r="D177" s="747" t="s">
        <v>2139</v>
      </c>
      <c r="E177" s="747" t="s">
        <v>2109</v>
      </c>
      <c r="F177" s="747" t="s">
        <v>381</v>
      </c>
      <c r="G177" s="747" t="s">
        <v>2173</v>
      </c>
      <c r="H177" s="1840" t="s">
        <v>2174</v>
      </c>
      <c r="J177" s="747" t="s">
        <v>2173</v>
      </c>
      <c r="L177" s="1630"/>
      <c r="M177" s="747">
        <v>100</v>
      </c>
      <c r="N177" s="747">
        <v>428.1</v>
      </c>
      <c r="O177" s="747">
        <v>429.35</v>
      </c>
      <c r="P177" s="747">
        <v>100</v>
      </c>
      <c r="Q177" s="1631">
        <v>46084.687754629631</v>
      </c>
      <c r="R177" s="747">
        <v>422.85</v>
      </c>
      <c r="T177" s="1628">
        <v>-2.4679967708453501</v>
      </c>
      <c r="U177" s="747">
        <v>-3.3927347498286546</v>
      </c>
      <c r="V177" s="747">
        <v>-5.6243722798794753</v>
      </c>
      <c r="W177" s="747">
        <v>-2.60586319218242</v>
      </c>
      <c r="Y177" s="747" t="s">
        <v>2133</v>
      </c>
      <c r="AA177" s="1631"/>
      <c r="AC177" s="1627"/>
      <c r="AD177" s="747">
        <v>1</v>
      </c>
      <c r="AG177" s="1628">
        <v>1.9446929329858813E-3</v>
      </c>
    </row>
    <row r="178" spans="1:33" x14ac:dyDescent="0.2">
      <c r="A178" s="747" t="s">
        <v>4284</v>
      </c>
      <c r="B178" s="747" t="s">
        <v>4285</v>
      </c>
      <c r="C178" s="747" t="s">
        <v>4280</v>
      </c>
      <c r="D178" s="747" t="s">
        <v>2120</v>
      </c>
      <c r="F178" s="747" t="s">
        <v>381</v>
      </c>
      <c r="G178" s="747" t="s">
        <v>4281</v>
      </c>
      <c r="H178" s="1840" t="s">
        <v>4282</v>
      </c>
      <c r="J178" s="747" t="s">
        <v>4283</v>
      </c>
      <c r="L178" s="1630"/>
      <c r="M178" s="747">
        <v>32</v>
      </c>
      <c r="N178" s="747">
        <v>644.40000000000009</v>
      </c>
      <c r="O178" s="747">
        <v>644.40000000000009</v>
      </c>
      <c r="P178" s="747">
        <v>32</v>
      </c>
      <c r="Q178" s="1631">
        <v>46084.729166666664</v>
      </c>
      <c r="R178" s="747">
        <v>646.20000000000005</v>
      </c>
      <c r="T178" s="1628">
        <v>-0.37002775208139999</v>
      </c>
      <c r="U178" s="747">
        <v>-9.3434343434343461</v>
      </c>
      <c r="V178" s="747">
        <v>-15.990639625585024</v>
      </c>
      <c r="W178" s="747">
        <v>-9.3374336035784307</v>
      </c>
      <c r="Y178" s="747" t="s">
        <v>3428</v>
      </c>
      <c r="AA178" s="1631"/>
      <c r="AC178" s="1627"/>
      <c r="AD178" s="747">
        <v>1</v>
      </c>
      <c r="AG178" s="1628">
        <v>0</v>
      </c>
    </row>
    <row r="179" spans="1:33" x14ac:dyDescent="0.2">
      <c r="A179" s="747" t="s">
        <v>1521</v>
      </c>
      <c r="B179" s="747" t="s">
        <v>3100</v>
      </c>
      <c r="C179" s="747" t="s">
        <v>3101</v>
      </c>
      <c r="D179" s="747" t="s">
        <v>2139</v>
      </c>
      <c r="E179" s="747" t="s">
        <v>2130</v>
      </c>
      <c r="F179" s="747" t="s">
        <v>381</v>
      </c>
      <c r="G179" s="747" t="s">
        <v>2289</v>
      </c>
      <c r="H179" s="1840" t="s">
        <v>3102</v>
      </c>
      <c r="J179" s="747" t="s">
        <v>2289</v>
      </c>
      <c r="L179" s="1630"/>
      <c r="M179" s="747">
        <v>850</v>
      </c>
      <c r="N179" s="747">
        <v>98</v>
      </c>
      <c r="O179" s="747">
        <v>98.88</v>
      </c>
      <c r="P179" s="747">
        <v>1417</v>
      </c>
      <c r="Q179" s="1631">
        <v>46084.625868055555</v>
      </c>
      <c r="R179" s="747">
        <v>98.48</v>
      </c>
      <c r="T179" s="1628">
        <v>-3.1471282454759999</v>
      </c>
      <c r="U179" s="747">
        <v>-3.432045</v>
      </c>
      <c r="V179" s="747">
        <v>3.1960600000000001</v>
      </c>
      <c r="W179" s="747">
        <v>4.0843484491759803</v>
      </c>
      <c r="Y179" s="747" t="s">
        <v>2133</v>
      </c>
      <c r="AA179" s="1631"/>
      <c r="AB179" s="747">
        <v>1.3683000000000001</v>
      </c>
      <c r="AC179" s="1627">
        <v>46062</v>
      </c>
      <c r="AD179" s="747">
        <v>1</v>
      </c>
      <c r="AG179" s="1628">
        <v>5.9685295713510274E-3</v>
      </c>
    </row>
    <row r="180" spans="1:33" x14ac:dyDescent="0.2">
      <c r="A180" s="747" t="s">
        <v>1133</v>
      </c>
      <c r="B180" s="747" t="s">
        <v>2464</v>
      </c>
      <c r="C180" s="747" t="s">
        <v>2465</v>
      </c>
      <c r="D180" s="747" t="s">
        <v>2139</v>
      </c>
      <c r="E180" s="747" t="s">
        <v>2355</v>
      </c>
      <c r="F180" s="747" t="s">
        <v>366</v>
      </c>
      <c r="G180" s="747" t="s">
        <v>2466</v>
      </c>
      <c r="H180" s="1840" t="s">
        <v>2467</v>
      </c>
      <c r="J180" s="747" t="s">
        <v>2466</v>
      </c>
      <c r="L180" s="1630"/>
      <c r="M180" s="747">
        <v>1200</v>
      </c>
      <c r="N180" s="747">
        <v>201.68</v>
      </c>
      <c r="O180" s="747">
        <v>201.69</v>
      </c>
      <c r="P180" s="747">
        <v>800</v>
      </c>
      <c r="Q180" s="1631">
        <v>46084.785914351851</v>
      </c>
      <c r="R180" s="747">
        <v>201.68</v>
      </c>
      <c r="T180" s="1628">
        <v>-1.42235690893983</v>
      </c>
      <c r="U180" s="747">
        <v>1.566198</v>
      </c>
      <c r="V180" s="747">
        <v>5.8743239999999997</v>
      </c>
      <c r="W180" s="747">
        <v>6.8020463562330402</v>
      </c>
      <c r="Y180" s="747" t="s">
        <v>2133</v>
      </c>
      <c r="AA180" s="1631"/>
      <c r="AB180" s="747">
        <v>0.76369000000000009</v>
      </c>
      <c r="AC180" s="1627">
        <v>46013</v>
      </c>
      <c r="AD180" s="747">
        <v>1</v>
      </c>
      <c r="AG180" s="1628">
        <v>3.3055119411588813E-5</v>
      </c>
    </row>
    <row r="181" spans="1:33" x14ac:dyDescent="0.2">
      <c r="A181" s="747" t="s">
        <v>1977</v>
      </c>
      <c r="B181" s="747" t="s">
        <v>3107</v>
      </c>
      <c r="C181" s="747" t="s">
        <v>3108</v>
      </c>
      <c r="D181" s="747" t="s">
        <v>2120</v>
      </c>
      <c r="F181" s="747" t="s">
        <v>381</v>
      </c>
      <c r="G181" s="747" t="s">
        <v>426</v>
      </c>
      <c r="H181" s="1840" t="s">
        <v>3109</v>
      </c>
      <c r="J181" s="747" t="s">
        <v>3110</v>
      </c>
      <c r="L181" s="1630"/>
      <c r="M181" s="747">
        <v>77</v>
      </c>
      <c r="N181" s="747">
        <v>133.25</v>
      </c>
      <c r="O181" s="747">
        <v>133.25</v>
      </c>
      <c r="P181" s="747">
        <v>77</v>
      </c>
      <c r="Q181" s="1631">
        <v>46084.729166666664</v>
      </c>
      <c r="R181" s="747">
        <v>133.1</v>
      </c>
      <c r="T181" s="1628">
        <v>-3.6554469779225598</v>
      </c>
      <c r="U181" s="747">
        <v>8.6752398448662866</v>
      </c>
      <c r="V181" s="747">
        <v>10.61707874506544</v>
      </c>
      <c r="W181" s="747">
        <v>15.269086357947501</v>
      </c>
      <c r="Y181" s="747" t="s">
        <v>3041</v>
      </c>
      <c r="Z181" s="747">
        <v>3.7565740045078893</v>
      </c>
      <c r="AA181" s="1631"/>
      <c r="AB181" s="747">
        <v>1.05</v>
      </c>
      <c r="AC181" s="1627">
        <v>45944</v>
      </c>
      <c r="AD181" s="747">
        <v>1</v>
      </c>
      <c r="AG181" s="1628">
        <v>0</v>
      </c>
    </row>
    <row r="182" spans="1:33" x14ac:dyDescent="0.2">
      <c r="A182" s="747" t="s">
        <v>4323</v>
      </c>
      <c r="B182" s="747" t="s">
        <v>4324</v>
      </c>
      <c r="C182" s="747" t="s">
        <v>4325</v>
      </c>
      <c r="D182" s="747" t="s">
        <v>2139</v>
      </c>
      <c r="E182" s="747" t="s">
        <v>2355</v>
      </c>
      <c r="F182" s="747" t="s">
        <v>366</v>
      </c>
      <c r="G182" s="747" t="s">
        <v>4326</v>
      </c>
      <c r="H182" s="1840" t="s">
        <v>4327</v>
      </c>
      <c r="J182" s="747" t="s">
        <v>4326</v>
      </c>
      <c r="L182" s="1630"/>
      <c r="M182" s="747">
        <v>81700</v>
      </c>
      <c r="N182" s="747">
        <v>37.130000000000003</v>
      </c>
      <c r="O182" s="747">
        <v>37.14</v>
      </c>
      <c r="P182" s="747">
        <v>65500</v>
      </c>
      <c r="Q182" s="1631">
        <v>46084.785543981481</v>
      </c>
      <c r="R182" s="747">
        <v>37.134999999999998</v>
      </c>
      <c r="T182" s="1628">
        <v>-0.201558720774</v>
      </c>
      <c r="U182" s="747">
        <v>-0.761625</v>
      </c>
      <c r="V182" s="747">
        <v>-0.57563599999999993</v>
      </c>
      <c r="W182" s="747">
        <v>-0.49471854526006998</v>
      </c>
      <c r="Y182" s="747" t="s">
        <v>2133</v>
      </c>
      <c r="AA182" s="1631"/>
      <c r="AB182" s="747">
        <v>0.20235699999999998</v>
      </c>
      <c r="AC182" s="1627">
        <v>46083</v>
      </c>
      <c r="AD182" s="747">
        <v>1</v>
      </c>
      <c r="AG182" s="1628">
        <v>1.795332136444885E-4</v>
      </c>
    </row>
    <row r="183" spans="1:33" x14ac:dyDescent="0.2">
      <c r="A183" s="747" t="s">
        <v>1588</v>
      </c>
      <c r="B183" s="747" t="s">
        <v>3111</v>
      </c>
      <c r="C183" s="747" t="s">
        <v>3112</v>
      </c>
      <c r="D183" s="747" t="s">
        <v>2139</v>
      </c>
      <c r="E183" s="747" t="s">
        <v>2355</v>
      </c>
      <c r="F183" s="747" t="s">
        <v>366</v>
      </c>
      <c r="G183" s="747" t="s">
        <v>3113</v>
      </c>
      <c r="H183" s="1840" t="s">
        <v>3114</v>
      </c>
      <c r="J183" s="747" t="s">
        <v>3113</v>
      </c>
      <c r="L183" s="1630"/>
      <c r="M183" s="747">
        <v>40</v>
      </c>
      <c r="N183" s="747">
        <v>392.64</v>
      </c>
      <c r="O183" s="747">
        <v>392.68</v>
      </c>
      <c r="P183" s="747">
        <v>40</v>
      </c>
      <c r="Q183" s="1631">
        <v>46084.785902777781</v>
      </c>
      <c r="R183" s="747">
        <v>392.67</v>
      </c>
      <c r="T183" s="1628">
        <v>-3.3834493959005001</v>
      </c>
      <c r="U183" s="747">
        <v>-1.2598069999999999</v>
      </c>
      <c r="V183" s="747">
        <v>6.4146339999999995</v>
      </c>
      <c r="W183" s="747">
        <v>12.845361397273301</v>
      </c>
      <c r="Y183" s="747" t="s">
        <v>2133</v>
      </c>
      <c r="AA183" s="1631"/>
      <c r="AB183" s="747">
        <v>1.1047</v>
      </c>
      <c r="AC183" s="1627">
        <v>46013</v>
      </c>
      <c r="AD183" s="747">
        <v>1</v>
      </c>
      <c r="AG183" s="1628">
        <v>6.7914020849639141E-5</v>
      </c>
    </row>
    <row r="184" spans="1:33" x14ac:dyDescent="0.2">
      <c r="A184" s="747" t="s">
        <v>4308</v>
      </c>
      <c r="B184" s="747" t="s">
        <v>4309</v>
      </c>
      <c r="C184" s="747" t="s">
        <v>2441</v>
      </c>
      <c r="D184" s="747" t="s">
        <v>2139</v>
      </c>
      <c r="E184" s="747" t="s">
        <v>2109</v>
      </c>
      <c r="F184" s="747" t="s">
        <v>366</v>
      </c>
      <c r="G184" s="747" t="s">
        <v>2442</v>
      </c>
      <c r="H184" s="1840" t="s">
        <v>2443</v>
      </c>
      <c r="J184" s="747" t="s">
        <v>2442</v>
      </c>
      <c r="L184" s="1630"/>
      <c r="Q184" s="1631">
        <v>46083.746527777781</v>
      </c>
      <c r="R184" s="747">
        <v>6.2729999999999997</v>
      </c>
      <c r="T184" s="1628">
        <v>-0.71685155001346001</v>
      </c>
      <c r="U184" s="747">
        <v>0.76460950300381003</v>
      </c>
      <c r="V184" s="747">
        <v>3.0218426671046026</v>
      </c>
      <c r="W184" s="747">
        <v>1.8308121794455701</v>
      </c>
      <c r="Y184" s="747" t="s">
        <v>2133</v>
      </c>
      <c r="AA184" s="1631"/>
      <c r="AC184" s="1627"/>
      <c r="AD184" s="747">
        <v>1</v>
      </c>
      <c r="AG184" s="1628"/>
    </row>
    <row r="185" spans="1:33" x14ac:dyDescent="0.2">
      <c r="A185" s="747" t="s">
        <v>1583</v>
      </c>
      <c r="B185" s="747" t="s">
        <v>3122</v>
      </c>
      <c r="C185" s="747" t="s">
        <v>3123</v>
      </c>
      <c r="D185" s="747" t="s">
        <v>2139</v>
      </c>
      <c r="E185" s="747" t="s">
        <v>2159</v>
      </c>
      <c r="F185" s="747" t="s">
        <v>369</v>
      </c>
      <c r="G185" s="747" t="s">
        <v>3124</v>
      </c>
      <c r="H185" s="1840" t="s">
        <v>3125</v>
      </c>
      <c r="J185" s="747" t="s">
        <v>3124</v>
      </c>
      <c r="L185" s="1630"/>
      <c r="M185" s="747">
        <v>200</v>
      </c>
      <c r="N185" s="747">
        <v>85.54</v>
      </c>
      <c r="Q185" s="1631">
        <v>46084.73300925926</v>
      </c>
      <c r="R185" s="747">
        <v>85.54</v>
      </c>
      <c r="T185" s="1628">
        <v>-2.8727148858862299</v>
      </c>
      <c r="U185" s="747">
        <v>0.28136</v>
      </c>
      <c r="V185" s="747">
        <v>4.1012529999999998</v>
      </c>
      <c r="W185" s="747">
        <v>4.4101956135151203</v>
      </c>
      <c r="Y185" s="747" t="s">
        <v>2133</v>
      </c>
      <c r="AA185" s="1631"/>
      <c r="AB185" s="747">
        <v>1.17</v>
      </c>
      <c r="AC185" s="1627">
        <v>45905</v>
      </c>
      <c r="AD185" s="747">
        <v>1</v>
      </c>
      <c r="AG185" s="1628"/>
    </row>
    <row r="186" spans="1:33" x14ac:dyDescent="0.2">
      <c r="A186" s="747" t="s">
        <v>1143</v>
      </c>
      <c r="B186" s="747" t="s">
        <v>2833</v>
      </c>
      <c r="C186" s="747" t="s">
        <v>2834</v>
      </c>
      <c r="D186" s="747" t="s">
        <v>2139</v>
      </c>
      <c r="E186" s="747" t="s">
        <v>2159</v>
      </c>
      <c r="F186" s="747" t="s">
        <v>369</v>
      </c>
      <c r="G186" s="747" t="s">
        <v>2835</v>
      </c>
      <c r="H186" s="1840" t="s">
        <v>2836</v>
      </c>
      <c r="J186" s="747" t="s">
        <v>2835</v>
      </c>
      <c r="L186" s="1630"/>
      <c r="M186" s="747">
        <v>729</v>
      </c>
      <c r="N186" s="747">
        <v>97.254000000000005</v>
      </c>
      <c r="O186" s="747">
        <v>98.05</v>
      </c>
      <c r="P186" s="747">
        <v>160</v>
      </c>
      <c r="Q186" s="1631">
        <v>46084.73300925926</v>
      </c>
      <c r="R186" s="747">
        <v>97.5</v>
      </c>
      <c r="T186" s="1628">
        <v>-0.40044130266007999</v>
      </c>
      <c r="U186" s="747">
        <v>0.35820199999999996</v>
      </c>
      <c r="V186" s="747">
        <v>5.7468999999999999E-2</v>
      </c>
      <c r="W186" s="747">
        <v>0.38146021328959001</v>
      </c>
      <c r="Y186" s="747" t="s">
        <v>2133</v>
      </c>
      <c r="AA186" s="1631"/>
      <c r="AB186" s="747">
        <v>0.57999999999999996</v>
      </c>
      <c r="AC186" s="1627">
        <v>46042</v>
      </c>
      <c r="AD186" s="747">
        <v>1</v>
      </c>
      <c r="AG186" s="1628">
        <v>5.4416560135083798E-3</v>
      </c>
    </row>
    <row r="187" spans="1:33" x14ac:dyDescent="0.2">
      <c r="A187" s="747" t="s">
        <v>1809</v>
      </c>
      <c r="B187" s="747" t="s">
        <v>3129</v>
      </c>
      <c r="C187" s="747" t="s">
        <v>3130</v>
      </c>
      <c r="D187" s="747" t="s">
        <v>2120</v>
      </c>
      <c r="F187" s="747" t="s">
        <v>369</v>
      </c>
      <c r="G187" s="747" t="s">
        <v>820</v>
      </c>
      <c r="H187" s="1840" t="s">
        <v>3131</v>
      </c>
      <c r="J187" s="747" t="s">
        <v>3132</v>
      </c>
      <c r="L187" s="1630"/>
      <c r="M187" s="747">
        <v>250</v>
      </c>
      <c r="N187" s="747">
        <v>97.300000000000011</v>
      </c>
      <c r="O187" s="747">
        <v>100.5</v>
      </c>
      <c r="P187" s="747">
        <v>30</v>
      </c>
      <c r="Q187" s="1631">
        <v>46084.730081018519</v>
      </c>
      <c r="R187" s="747">
        <v>97.15</v>
      </c>
      <c r="T187" s="1628">
        <v>-2.85</v>
      </c>
      <c r="U187" s="747">
        <v>-2.115869</v>
      </c>
      <c r="V187" s="747">
        <v>1.941238</v>
      </c>
      <c r="W187" s="747">
        <v>0.65425264217413004</v>
      </c>
      <c r="Y187" s="747" t="s">
        <v>2102</v>
      </c>
      <c r="Z187" s="747">
        <v>4.3746779999999994</v>
      </c>
      <c r="AA187" s="1631"/>
      <c r="AB187" s="747">
        <v>4.25</v>
      </c>
      <c r="AC187" s="1627">
        <v>45775</v>
      </c>
      <c r="AD187" s="747">
        <v>1</v>
      </c>
      <c r="AG187" s="1628">
        <v>2.1687563537783724E-2</v>
      </c>
    </row>
    <row r="188" spans="1:33" x14ac:dyDescent="0.2">
      <c r="A188" s="747" t="s">
        <v>1153</v>
      </c>
      <c r="B188" s="747" t="s">
        <v>2841</v>
      </c>
      <c r="C188" s="747" t="s">
        <v>2842</v>
      </c>
      <c r="D188" s="747" t="s">
        <v>2139</v>
      </c>
      <c r="E188" s="747" t="s">
        <v>2109</v>
      </c>
      <c r="F188" s="747" t="s">
        <v>366</v>
      </c>
      <c r="G188" s="747" t="s">
        <v>2843</v>
      </c>
      <c r="H188" s="1840" t="s">
        <v>2844</v>
      </c>
      <c r="J188" s="747" t="s">
        <v>2843</v>
      </c>
      <c r="L188" s="1630"/>
      <c r="M188" s="747">
        <v>13</v>
      </c>
      <c r="N188" s="747">
        <v>721</v>
      </c>
      <c r="O188" s="747">
        <v>748</v>
      </c>
      <c r="P188" s="747">
        <v>121</v>
      </c>
      <c r="Q188" s="1631">
        <v>46084.732870370368</v>
      </c>
      <c r="R188" s="747">
        <v>727.16</v>
      </c>
      <c r="T188" s="1628">
        <v>-1.1083760590771401</v>
      </c>
      <c r="U188" s="747">
        <v>-2.1806100000000002</v>
      </c>
      <c r="V188" s="747">
        <v>-1.0787789999999999</v>
      </c>
      <c r="W188" s="747">
        <v>-0.43600124571783999</v>
      </c>
      <c r="Y188" s="747" t="s">
        <v>2133</v>
      </c>
      <c r="AA188" s="1631"/>
      <c r="AC188" s="1627"/>
      <c r="AD188" s="747">
        <v>1</v>
      </c>
      <c r="AG188" s="1628">
        <v>2.4657534246575342E-2</v>
      </c>
    </row>
    <row r="189" spans="1:33" x14ac:dyDescent="0.2">
      <c r="A189" s="747" t="s">
        <v>1961</v>
      </c>
      <c r="B189" s="747" t="s">
        <v>3143</v>
      </c>
      <c r="C189" s="747" t="s">
        <v>3144</v>
      </c>
      <c r="D189" s="747" t="s">
        <v>2120</v>
      </c>
      <c r="F189" s="747" t="s">
        <v>381</v>
      </c>
      <c r="G189" s="747" t="s">
        <v>3145</v>
      </c>
      <c r="H189" s="1840" t="s">
        <v>3146</v>
      </c>
      <c r="J189" s="747" t="s">
        <v>891</v>
      </c>
      <c r="L189" s="1630"/>
      <c r="Q189" s="1631">
        <v>46083.732824074075</v>
      </c>
      <c r="R189" s="747">
        <v>3.7189999999999999</v>
      </c>
      <c r="T189" s="1628">
        <v>-3.27272727272728</v>
      </c>
      <c r="U189" s="747">
        <v>7.7971014492753596</v>
      </c>
      <c r="V189" s="747">
        <v>2.5330396475771</v>
      </c>
      <c r="W189" s="747">
        <v>6.6132264529058302</v>
      </c>
      <c r="Y189" s="747" t="s">
        <v>3147</v>
      </c>
      <c r="AA189" s="1631"/>
      <c r="AB189" s="747">
        <v>0.15</v>
      </c>
      <c r="AC189" s="1627">
        <v>46007</v>
      </c>
      <c r="AD189" s="747">
        <v>1</v>
      </c>
      <c r="AG189" s="1628"/>
    </row>
    <row r="190" spans="1:33" x14ac:dyDescent="0.2">
      <c r="A190" s="747" t="s">
        <v>1158</v>
      </c>
      <c r="B190" s="747" t="s">
        <v>2845</v>
      </c>
      <c r="C190" s="747" t="s">
        <v>2846</v>
      </c>
      <c r="D190" s="747" t="s">
        <v>2139</v>
      </c>
      <c r="E190" s="747" t="s">
        <v>2109</v>
      </c>
      <c r="F190" s="747" t="s">
        <v>366</v>
      </c>
      <c r="G190" s="747" t="s">
        <v>2847</v>
      </c>
      <c r="H190" s="1840" t="s">
        <v>2848</v>
      </c>
      <c r="J190" s="747" t="s">
        <v>2847</v>
      </c>
      <c r="L190" s="1630"/>
      <c r="M190" s="747">
        <v>700</v>
      </c>
      <c r="N190" s="747">
        <v>8.2000000000000011</v>
      </c>
      <c r="O190" s="747">
        <v>9.99</v>
      </c>
      <c r="P190" s="747">
        <v>300</v>
      </c>
      <c r="Q190" s="1631">
        <v>46084.732858796298</v>
      </c>
      <c r="R190" s="747">
        <v>9.1725000000000012</v>
      </c>
      <c r="T190" s="1628">
        <v>1.4096185737977001</v>
      </c>
      <c r="U190" s="747">
        <v>6.2862109999999998</v>
      </c>
      <c r="V190" s="747">
        <v>14.979630000000002</v>
      </c>
      <c r="W190" s="747">
        <v>12.850904553961401</v>
      </c>
      <c r="Y190" s="747" t="s">
        <v>2133</v>
      </c>
      <c r="AA190" s="1631"/>
      <c r="AC190" s="1627"/>
      <c r="AD190" s="747">
        <v>1</v>
      </c>
      <c r="AG190" s="1628">
        <v>0.13565744600227353</v>
      </c>
    </row>
    <row r="191" spans="1:33" x14ac:dyDescent="0.2">
      <c r="A191" s="747" t="s">
        <v>1163</v>
      </c>
      <c r="B191" s="747" t="s">
        <v>2849</v>
      </c>
      <c r="C191" s="747" t="s">
        <v>2850</v>
      </c>
      <c r="D191" s="747" t="s">
        <v>2139</v>
      </c>
      <c r="E191" s="747" t="s">
        <v>2109</v>
      </c>
      <c r="F191" s="747" t="s">
        <v>369</v>
      </c>
      <c r="G191" s="747" t="s">
        <v>2851</v>
      </c>
      <c r="H191" s="1840" t="s">
        <v>2852</v>
      </c>
      <c r="J191" s="747" t="s">
        <v>2851</v>
      </c>
      <c r="L191" s="1630"/>
      <c r="M191" s="747">
        <v>2432</v>
      </c>
      <c r="N191" s="747">
        <v>66.957999999999998</v>
      </c>
      <c r="O191" s="747">
        <v>67.924000000000007</v>
      </c>
      <c r="P191" s="747">
        <v>2432</v>
      </c>
      <c r="Q191" s="1631">
        <v>46084.383645833332</v>
      </c>
      <c r="R191" s="747">
        <v>68.064000000000007</v>
      </c>
      <c r="T191" s="1628">
        <v>1.527446300716</v>
      </c>
      <c r="U191" s="747">
        <v>0.86047757994402874</v>
      </c>
      <c r="V191" s="747">
        <v>-3.8925298606973642</v>
      </c>
      <c r="W191" s="747">
        <v>-3.8522215529357702</v>
      </c>
      <c r="Y191" s="747" t="s">
        <v>2133</v>
      </c>
      <c r="AA191" s="1631"/>
      <c r="AC191" s="1627"/>
      <c r="AD191" s="747">
        <v>1</v>
      </c>
      <c r="AG191" s="1628">
        <v>9.5719381688466922E-3</v>
      </c>
    </row>
    <row r="192" spans="1:33" x14ac:dyDescent="0.2">
      <c r="A192" s="747" t="s">
        <v>4351</v>
      </c>
      <c r="B192" s="747" t="s">
        <v>4358</v>
      </c>
      <c r="C192" s="747" t="s">
        <v>3025</v>
      </c>
      <c r="D192" s="747" t="s">
        <v>2139</v>
      </c>
      <c r="E192" s="747" t="s">
        <v>2098</v>
      </c>
      <c r="F192" s="747" t="s">
        <v>381</v>
      </c>
      <c r="G192" s="747" t="s">
        <v>434</v>
      </c>
      <c r="H192" s="1840" t="s">
        <v>3026</v>
      </c>
      <c r="J192" s="747" t="s">
        <v>434</v>
      </c>
      <c r="L192" s="1630"/>
      <c r="M192" s="747">
        <v>6844</v>
      </c>
      <c r="N192" s="747">
        <v>14.612</v>
      </c>
      <c r="O192" s="747">
        <v>14.686</v>
      </c>
      <c r="P192" s="747">
        <v>6810</v>
      </c>
      <c r="Q192" s="1631">
        <v>46084.782002314816</v>
      </c>
      <c r="R192" s="747">
        <v>14.614000000000001</v>
      </c>
      <c r="T192" s="1628">
        <v>1.5434169910079001</v>
      </c>
      <c r="U192" s="747">
        <v>5.7903634826711823</v>
      </c>
      <c r="V192" s="747">
        <v>12.37653397186471</v>
      </c>
      <c r="W192" s="747">
        <v>10.050909090909</v>
      </c>
      <c r="Y192" s="747" t="s">
        <v>2133</v>
      </c>
      <c r="AA192" s="1631"/>
      <c r="AB192" s="747">
        <v>4.7615999999999999E-2</v>
      </c>
      <c r="AC192" s="1627">
        <v>46037</v>
      </c>
      <c r="AD192" s="747">
        <v>1</v>
      </c>
      <c r="AG192" s="1628">
        <v>3.3705306308357938E-3</v>
      </c>
    </row>
    <row r="193" spans="1:33" x14ac:dyDescent="0.2">
      <c r="A193" s="747" t="s">
        <v>1168</v>
      </c>
      <c r="B193" s="747" t="s">
        <v>2857</v>
      </c>
      <c r="C193" s="747" t="s">
        <v>2850</v>
      </c>
      <c r="D193" s="747" t="s">
        <v>2139</v>
      </c>
      <c r="E193" s="747" t="s">
        <v>2109</v>
      </c>
      <c r="F193" s="747" t="s">
        <v>381</v>
      </c>
      <c r="G193" s="747" t="s">
        <v>2851</v>
      </c>
      <c r="H193" s="1840" t="s">
        <v>2852</v>
      </c>
      <c r="J193" s="747" t="s">
        <v>2851</v>
      </c>
      <c r="L193" s="1630"/>
      <c r="Q193" s="1631">
        <v>46083.73333333333</v>
      </c>
      <c r="R193" s="747">
        <v>74.448000000000008</v>
      </c>
      <c r="T193" s="1628">
        <v>0.20990312163616001</v>
      </c>
      <c r="U193" s="747">
        <v>1.9053876478318144</v>
      </c>
      <c r="V193" s="747">
        <v>-1.0078983059862185</v>
      </c>
      <c r="W193" s="747">
        <v>-0.84673554159122</v>
      </c>
      <c r="Y193" s="747" t="s">
        <v>2133</v>
      </c>
      <c r="AA193" s="1631"/>
      <c r="AB193" s="747">
        <v>1.4426489999999998</v>
      </c>
      <c r="AC193" s="1627">
        <v>42383</v>
      </c>
      <c r="AD193" s="747">
        <v>1</v>
      </c>
      <c r="AG193" s="1628"/>
    </row>
    <row r="194" spans="1:33" x14ac:dyDescent="0.2">
      <c r="A194" s="747" t="s">
        <v>1617</v>
      </c>
      <c r="B194" s="747" t="s">
        <v>3151</v>
      </c>
      <c r="C194" s="747" t="s">
        <v>3152</v>
      </c>
      <c r="D194" s="747" t="s">
        <v>2158</v>
      </c>
      <c r="E194" s="747" t="s">
        <v>2130</v>
      </c>
      <c r="F194" s="747" t="s">
        <v>369</v>
      </c>
      <c r="G194" s="747" t="s">
        <v>3153</v>
      </c>
      <c r="H194" s="1840" t="s">
        <v>3154</v>
      </c>
      <c r="J194" s="747" t="s">
        <v>3153</v>
      </c>
      <c r="L194" s="1630"/>
      <c r="Q194" s="1631">
        <v>46080.885474537034</v>
      </c>
      <c r="R194" s="747">
        <v>12107.97</v>
      </c>
      <c r="T194" s="1628">
        <v>0.5778171702076893</v>
      </c>
      <c r="U194" s="747">
        <v>4.2707360026868502</v>
      </c>
      <c r="V194" s="747">
        <v>8.7317915555743006</v>
      </c>
      <c r="W194" s="747">
        <v>6.9605822599409954</v>
      </c>
      <c r="Y194" s="747" t="s">
        <v>2133</v>
      </c>
      <c r="AA194" s="1631"/>
      <c r="AC194" s="1627"/>
      <c r="AD194" s="747">
        <v>1</v>
      </c>
      <c r="AG194" s="1628"/>
    </row>
    <row r="195" spans="1:33" x14ac:dyDescent="0.2">
      <c r="A195" s="747" t="s">
        <v>1170</v>
      </c>
      <c r="B195" s="747" t="s">
        <v>2858</v>
      </c>
      <c r="C195" s="747" t="s">
        <v>2850</v>
      </c>
      <c r="D195" s="747" t="s">
        <v>2139</v>
      </c>
      <c r="E195" s="747" t="s">
        <v>2109</v>
      </c>
      <c r="F195" s="747" t="s">
        <v>366</v>
      </c>
      <c r="G195" s="747" t="s">
        <v>2851</v>
      </c>
      <c r="H195" s="1840" t="s">
        <v>2852</v>
      </c>
      <c r="J195" s="747" t="s">
        <v>2851</v>
      </c>
      <c r="L195" s="1630"/>
      <c r="M195" s="747">
        <v>8200</v>
      </c>
      <c r="N195" s="747">
        <v>84.88</v>
      </c>
      <c r="O195" s="747">
        <v>86.75</v>
      </c>
      <c r="P195" s="747">
        <v>8200</v>
      </c>
      <c r="Q195" s="1631">
        <v>46084.732719907406</v>
      </c>
      <c r="R195" s="747">
        <v>85.98</v>
      </c>
      <c r="T195" s="1628">
        <v>-0.68168688619294004</v>
      </c>
      <c r="U195" s="747">
        <v>-0.32467499999999999</v>
      </c>
      <c r="V195" s="747">
        <v>-1.263496</v>
      </c>
      <c r="W195" s="747">
        <v>-1.9096730322434501</v>
      </c>
      <c r="Y195" s="747" t="s">
        <v>2133</v>
      </c>
      <c r="AA195" s="1631"/>
      <c r="AC195" s="1627"/>
      <c r="AD195" s="747">
        <v>1</v>
      </c>
      <c r="AG195" s="1628">
        <v>1.4580328252309888E-2</v>
      </c>
    </row>
    <row r="196" spans="1:33" x14ac:dyDescent="0.2">
      <c r="A196" s="747" t="s">
        <v>1723</v>
      </c>
      <c r="B196" s="747" t="s">
        <v>3155</v>
      </c>
      <c r="C196" s="747" t="s">
        <v>3156</v>
      </c>
      <c r="D196" s="747" t="s">
        <v>2158</v>
      </c>
      <c r="E196" s="747" t="s">
        <v>2130</v>
      </c>
      <c r="F196" s="747" t="s">
        <v>369</v>
      </c>
      <c r="G196" s="747" t="s">
        <v>3157</v>
      </c>
      <c r="H196" s="1840" t="s">
        <v>3158</v>
      </c>
      <c r="J196" s="747" t="s">
        <v>3157</v>
      </c>
      <c r="L196" s="1630"/>
      <c r="Q196" s="1631">
        <v>46083.881851851853</v>
      </c>
      <c r="R196" s="747">
        <v>194.74</v>
      </c>
      <c r="T196" s="1628">
        <v>-1.7209184960888197</v>
      </c>
      <c r="W196" s="747">
        <v>-0.3632642619595845</v>
      </c>
      <c r="Y196" s="747" t="s">
        <v>2133</v>
      </c>
      <c r="AA196" s="1631"/>
      <c r="AC196" s="1627"/>
      <c r="AD196" s="747">
        <v>1</v>
      </c>
      <c r="AG196" s="1628"/>
    </row>
    <row r="197" spans="1:33" x14ac:dyDescent="0.2">
      <c r="A197" s="747" t="s">
        <v>1172</v>
      </c>
      <c r="B197" s="747" t="s">
        <v>2777</v>
      </c>
      <c r="C197" s="747" t="s">
        <v>2778</v>
      </c>
      <c r="D197" s="747" t="s">
        <v>2139</v>
      </c>
      <c r="E197" s="747" t="s">
        <v>2355</v>
      </c>
      <c r="F197" s="747" t="s">
        <v>366</v>
      </c>
      <c r="G197" s="747" t="s">
        <v>2779</v>
      </c>
      <c r="H197" s="1840" t="s">
        <v>2780</v>
      </c>
      <c r="J197" s="747" t="s">
        <v>2779</v>
      </c>
      <c r="L197" s="1630"/>
      <c r="M197" s="747">
        <v>200</v>
      </c>
      <c r="N197" s="747">
        <v>41.7</v>
      </c>
      <c r="O197" s="747">
        <v>41.72</v>
      </c>
      <c r="P197" s="747">
        <v>200</v>
      </c>
      <c r="Q197" s="1631">
        <v>46084.784328703703</v>
      </c>
      <c r="R197" s="747">
        <v>41.71</v>
      </c>
      <c r="T197" s="1628">
        <v>-1.9049858889934299</v>
      </c>
      <c r="U197" s="747">
        <v>-1.835726</v>
      </c>
      <c r="V197" s="747">
        <v>-0.53654499999999994</v>
      </c>
      <c r="W197" s="747">
        <v>2.2853019004089599</v>
      </c>
      <c r="Y197" s="747" t="s">
        <v>2133</v>
      </c>
      <c r="AA197" s="1631"/>
      <c r="AB197" s="747">
        <v>1.0152800000000002</v>
      </c>
      <c r="AC197" s="1627">
        <v>46010</v>
      </c>
      <c r="AD197" s="747">
        <v>1</v>
      </c>
      <c r="AG197" s="1628">
        <v>3.1969309462909239E-4</v>
      </c>
    </row>
    <row r="198" spans="1:33" x14ac:dyDescent="0.2">
      <c r="A198" s="747" t="s">
        <v>4347</v>
      </c>
      <c r="B198" s="747" t="s">
        <v>4359</v>
      </c>
      <c r="C198" s="747" t="s">
        <v>2185</v>
      </c>
      <c r="D198" s="747" t="s">
        <v>2139</v>
      </c>
      <c r="E198" s="747" t="s">
        <v>2098</v>
      </c>
      <c r="F198" s="747" t="s">
        <v>381</v>
      </c>
      <c r="G198" s="747" t="s">
        <v>438</v>
      </c>
      <c r="H198" s="1840" t="s">
        <v>2186</v>
      </c>
      <c r="J198" s="747" t="s">
        <v>438</v>
      </c>
      <c r="L198" s="1630"/>
      <c r="M198" s="747">
        <v>2089</v>
      </c>
      <c r="N198" s="747">
        <v>47.88</v>
      </c>
      <c r="O198" s="747">
        <v>48.024999999999999</v>
      </c>
      <c r="P198" s="747">
        <v>2083</v>
      </c>
      <c r="Q198" s="1631">
        <v>46084.78193287037</v>
      </c>
      <c r="R198" s="747">
        <v>47.855000000000004</v>
      </c>
      <c r="T198" s="1628">
        <v>-4.6637309847878301</v>
      </c>
      <c r="U198" s="747">
        <v>-3.0629900000000001</v>
      </c>
      <c r="V198" s="747">
        <v>-2.527371</v>
      </c>
      <c r="W198" s="747">
        <v>-1.75024582104229</v>
      </c>
      <c r="Y198" s="747" t="s">
        <v>2133</v>
      </c>
      <c r="AA198" s="1631"/>
      <c r="AB198" s="747">
        <v>0.115854</v>
      </c>
      <c r="AC198" s="1627">
        <v>46037</v>
      </c>
      <c r="AD198" s="747">
        <v>1</v>
      </c>
      <c r="AG198" s="1628">
        <v>2.0169002329866958E-3</v>
      </c>
    </row>
    <row r="199" spans="1:33" x14ac:dyDescent="0.2">
      <c r="A199" s="747" t="s">
        <v>1176</v>
      </c>
      <c r="B199" s="747" t="s">
        <v>2413</v>
      </c>
      <c r="C199" s="747" t="s">
        <v>2414</v>
      </c>
      <c r="D199" s="747" t="s">
        <v>2139</v>
      </c>
      <c r="E199" s="747" t="s">
        <v>2109</v>
      </c>
      <c r="F199" s="747" t="s">
        <v>381</v>
      </c>
      <c r="G199" s="747" t="s">
        <v>2415</v>
      </c>
      <c r="H199" s="1840" t="s">
        <v>2416</v>
      </c>
      <c r="J199" s="747" t="s">
        <v>2415</v>
      </c>
      <c r="L199" s="1630"/>
      <c r="M199" s="747">
        <v>38</v>
      </c>
      <c r="N199" s="747">
        <v>107.9</v>
      </c>
      <c r="O199" s="747">
        <v>108.44</v>
      </c>
      <c r="P199" s="747">
        <v>1384</v>
      </c>
      <c r="Q199" s="1631">
        <v>46084.781388888892</v>
      </c>
      <c r="R199" s="747">
        <v>107.9</v>
      </c>
      <c r="T199" s="1628">
        <v>-0.32145481263776998</v>
      </c>
      <c r="U199" s="747">
        <v>0.481437</v>
      </c>
      <c r="V199" s="747">
        <v>0.18462099999999998</v>
      </c>
      <c r="W199" s="747">
        <v>0.193245605963</v>
      </c>
      <c r="Y199" s="747" t="s">
        <v>2133</v>
      </c>
      <c r="AA199" s="1631"/>
      <c r="AB199" s="747">
        <v>1.3839000000000001</v>
      </c>
      <c r="AC199" s="1627">
        <v>46037</v>
      </c>
      <c r="AD199" s="747">
        <v>1</v>
      </c>
      <c r="AG199" s="1628">
        <v>3.3308660251664939E-3</v>
      </c>
    </row>
    <row r="200" spans="1:33" x14ac:dyDescent="0.2">
      <c r="A200" s="747" t="s">
        <v>1915</v>
      </c>
      <c r="B200" s="747" t="s">
        <v>3179</v>
      </c>
      <c r="C200" s="747" t="s">
        <v>3180</v>
      </c>
      <c r="D200" s="747" t="s">
        <v>2120</v>
      </c>
      <c r="F200" s="747" t="s">
        <v>381</v>
      </c>
      <c r="G200" s="747" t="s">
        <v>412</v>
      </c>
      <c r="H200" s="1840" t="s">
        <v>3181</v>
      </c>
      <c r="J200" s="747" t="s">
        <v>3182</v>
      </c>
      <c r="L200" s="1630"/>
      <c r="Q200" s="1631">
        <v>46083.746527777781</v>
      </c>
      <c r="R200" s="747">
        <v>74.36</v>
      </c>
      <c r="T200" s="1628">
        <v>-1.4054627419782599</v>
      </c>
      <c r="U200" s="747">
        <v>-13.915258161611501</v>
      </c>
      <c r="V200" s="747">
        <v>-14.9588289112535</v>
      </c>
      <c r="W200" s="747">
        <v>-16.091175806815702</v>
      </c>
      <c r="Y200" s="747" t="s">
        <v>3183</v>
      </c>
      <c r="AA200" s="1631"/>
      <c r="AB200" s="747">
        <v>3.6</v>
      </c>
      <c r="AC200" s="1627">
        <v>45839</v>
      </c>
      <c r="AD200" s="747">
        <v>1</v>
      </c>
      <c r="AG200" s="1628"/>
    </row>
    <row r="201" spans="1:33" x14ac:dyDescent="0.2">
      <c r="A201" s="747" t="s">
        <v>1181</v>
      </c>
      <c r="B201" s="747" t="s">
        <v>2870</v>
      </c>
      <c r="C201" s="747" t="s">
        <v>2871</v>
      </c>
      <c r="D201" s="747" t="s">
        <v>2139</v>
      </c>
      <c r="E201" s="747" t="s">
        <v>2109</v>
      </c>
      <c r="F201" s="747" t="s">
        <v>366</v>
      </c>
      <c r="G201" s="747" t="s">
        <v>2872</v>
      </c>
      <c r="H201" s="1840" t="s">
        <v>2873</v>
      </c>
      <c r="J201" s="747" t="s">
        <v>2872</v>
      </c>
      <c r="L201" s="1630"/>
      <c r="M201" s="747">
        <v>6177</v>
      </c>
      <c r="N201" s="747">
        <v>10.093999999999999</v>
      </c>
      <c r="O201" s="747">
        <v>10.130000000000001</v>
      </c>
      <c r="P201" s="747">
        <v>6200</v>
      </c>
      <c r="Q201" s="1631">
        <v>46084.73300925926</v>
      </c>
      <c r="R201" s="747">
        <v>10.093999999999999</v>
      </c>
      <c r="T201" s="1628">
        <v>-3.4066985645933201</v>
      </c>
      <c r="U201" s="747">
        <v>-6.2592869999999996</v>
      </c>
      <c r="V201" s="747">
        <v>5.5195479999999995</v>
      </c>
      <c r="W201" s="747">
        <v>9.7112860892388593</v>
      </c>
      <c r="Y201" s="747" t="s">
        <v>2133</v>
      </c>
      <c r="AA201" s="1631"/>
      <c r="AB201" s="747">
        <v>8.6699999999999999E-2</v>
      </c>
      <c r="AC201" s="1627">
        <v>45974</v>
      </c>
      <c r="AD201" s="747">
        <v>1</v>
      </c>
      <c r="AG201" s="1628">
        <v>2.3748268355433316E-3</v>
      </c>
    </row>
    <row r="202" spans="1:33" x14ac:dyDescent="0.2">
      <c r="A202" s="747" t="s">
        <v>1186</v>
      </c>
      <c r="B202" s="747" t="s">
        <v>2878</v>
      </c>
      <c r="C202" s="747" t="s">
        <v>2879</v>
      </c>
      <c r="D202" s="747" t="s">
        <v>2139</v>
      </c>
      <c r="E202" s="747" t="s">
        <v>2109</v>
      </c>
      <c r="F202" s="747" t="s">
        <v>369</v>
      </c>
      <c r="G202" s="747" t="s">
        <v>2880</v>
      </c>
      <c r="H202" s="1840" t="s">
        <v>2881</v>
      </c>
      <c r="J202" s="747" t="s">
        <v>2880</v>
      </c>
      <c r="L202" s="1630"/>
      <c r="M202" s="747">
        <v>160</v>
      </c>
      <c r="N202" s="747">
        <v>69.25</v>
      </c>
      <c r="O202" s="747">
        <v>71.03</v>
      </c>
      <c r="P202" s="747">
        <v>710</v>
      </c>
      <c r="Q202" s="1631">
        <v>46084.73300925926</v>
      </c>
      <c r="R202" s="747">
        <v>69.650000000000006</v>
      </c>
      <c r="T202" s="1628">
        <v>1.4359563469280001E-2</v>
      </c>
      <c r="U202" s="747">
        <v>-0.42603099999999999</v>
      </c>
      <c r="V202" s="747">
        <v>-1.163616</v>
      </c>
      <c r="W202" s="747">
        <v>-1.98175881094472</v>
      </c>
      <c r="Y202" s="747" t="s">
        <v>2133</v>
      </c>
      <c r="AA202" s="1631"/>
      <c r="AB202" s="747">
        <v>0.93680000000000008</v>
      </c>
      <c r="AC202" s="1627">
        <v>46037</v>
      </c>
      <c r="AD202" s="747">
        <v>1</v>
      </c>
      <c r="AG202" s="1628">
        <v>1.6990407101608374E-2</v>
      </c>
    </row>
    <row r="203" spans="1:33" x14ac:dyDescent="0.2">
      <c r="A203" s="747" t="s">
        <v>1811</v>
      </c>
      <c r="B203" s="747" t="s">
        <v>3187</v>
      </c>
      <c r="C203" s="747" t="s">
        <v>3188</v>
      </c>
      <c r="D203" s="747" t="s">
        <v>2120</v>
      </c>
      <c r="F203" s="747" t="s">
        <v>366</v>
      </c>
      <c r="G203" s="747" t="s">
        <v>3189</v>
      </c>
      <c r="H203" s="1840" t="s">
        <v>3190</v>
      </c>
      <c r="J203" s="747" t="s">
        <v>3191</v>
      </c>
      <c r="L203" s="1630"/>
      <c r="M203" s="747">
        <v>100</v>
      </c>
      <c r="N203" s="747">
        <v>95.27</v>
      </c>
      <c r="O203" s="747">
        <v>95.300000000000011</v>
      </c>
      <c r="P203" s="747">
        <v>200</v>
      </c>
      <c r="Q203" s="1631">
        <v>46084.785891203705</v>
      </c>
      <c r="R203" s="747">
        <v>95.27</v>
      </c>
      <c r="T203" s="1628">
        <v>-2.0863309352518198</v>
      </c>
      <c r="U203" s="747">
        <v>2.2758989999999999</v>
      </c>
      <c r="V203" s="747">
        <v>23.759418</v>
      </c>
      <c r="W203" s="747">
        <v>23.1333839534296</v>
      </c>
      <c r="Y203" s="747" t="s">
        <v>2256</v>
      </c>
      <c r="Z203" s="747">
        <v>2.1832689999999997</v>
      </c>
      <c r="AA203" s="1631"/>
      <c r="AB203" s="747">
        <v>0.52</v>
      </c>
      <c r="AC203" s="1627">
        <v>46043</v>
      </c>
      <c r="AD203" s="747">
        <v>1</v>
      </c>
      <c r="AG203" s="1628">
        <v>2.0990764063822659E-4</v>
      </c>
    </row>
    <row r="204" spans="1:33" x14ac:dyDescent="0.2">
      <c r="A204" s="747" t="s">
        <v>1191</v>
      </c>
      <c r="B204" s="747" t="s">
        <v>2564</v>
      </c>
      <c r="C204" s="747" t="s">
        <v>2565</v>
      </c>
      <c r="D204" s="747" t="s">
        <v>2139</v>
      </c>
      <c r="E204" s="747" t="s">
        <v>2159</v>
      </c>
      <c r="F204" s="747" t="s">
        <v>366</v>
      </c>
      <c r="G204" s="747" t="s">
        <v>2566</v>
      </c>
      <c r="H204" s="1840" t="s">
        <v>2567</v>
      </c>
      <c r="J204" s="747" t="s">
        <v>2566</v>
      </c>
      <c r="L204" s="1630"/>
      <c r="M204" s="747">
        <v>36</v>
      </c>
      <c r="N204" s="747">
        <v>488.8</v>
      </c>
      <c r="O204" s="747">
        <v>489.90000000000003</v>
      </c>
      <c r="P204" s="747">
        <v>10897</v>
      </c>
      <c r="Q204" s="1631">
        <v>46084.73300925926</v>
      </c>
      <c r="R204" s="747">
        <v>489.90000000000003</v>
      </c>
      <c r="T204" s="1628">
        <v>-3.1818181818181799</v>
      </c>
      <c r="U204" s="747">
        <v>2.8985509999999999</v>
      </c>
      <c r="V204" s="747">
        <v>21.382556999999998</v>
      </c>
      <c r="W204" s="747">
        <v>21.038153330941302</v>
      </c>
      <c r="Y204" s="747" t="s">
        <v>2133</v>
      </c>
      <c r="AA204" s="1631"/>
      <c r="AC204" s="1627"/>
      <c r="AD204" s="747">
        <v>1</v>
      </c>
      <c r="AG204" s="1628">
        <v>1.4991482112436426E-3</v>
      </c>
    </row>
    <row r="205" spans="1:33" x14ac:dyDescent="0.2">
      <c r="A205" s="747" t="s">
        <v>1998</v>
      </c>
      <c r="B205" s="747" t="s">
        <v>2555</v>
      </c>
      <c r="C205" s="747" t="s">
        <v>2556</v>
      </c>
      <c r="D205" s="747" t="s">
        <v>2139</v>
      </c>
      <c r="E205" s="747" t="s">
        <v>2109</v>
      </c>
      <c r="F205" s="747" t="s">
        <v>366</v>
      </c>
      <c r="G205" s="747" t="s">
        <v>2557</v>
      </c>
      <c r="H205" s="1840" t="s">
        <v>2558</v>
      </c>
      <c r="J205" s="747" t="s">
        <v>2557</v>
      </c>
      <c r="L205" s="1630"/>
      <c r="M205" s="747">
        <v>3000</v>
      </c>
      <c r="N205" s="747">
        <v>18.2</v>
      </c>
      <c r="O205" s="747">
        <v>22.8</v>
      </c>
      <c r="P205" s="747">
        <v>168</v>
      </c>
      <c r="Q205" s="1631">
        <v>46084.732719907406</v>
      </c>
      <c r="R205" s="747">
        <v>21.02</v>
      </c>
      <c r="T205" s="1628">
        <v>-4.8007246376811796</v>
      </c>
      <c r="U205" s="747">
        <v>-6.453049</v>
      </c>
      <c r="V205" s="747">
        <v>14.146077</v>
      </c>
      <c r="W205" s="747">
        <v>17.6815456362426</v>
      </c>
      <c r="Y205" s="747" t="s">
        <v>2133</v>
      </c>
      <c r="AA205" s="1631"/>
      <c r="AB205" s="747">
        <v>0.28850000000000003</v>
      </c>
      <c r="AC205" s="1627">
        <v>45974</v>
      </c>
      <c r="AD205" s="747">
        <v>1</v>
      </c>
      <c r="AG205" s="1628">
        <v>0.15540540540540546</v>
      </c>
    </row>
    <row r="206" spans="1:33" x14ac:dyDescent="0.2">
      <c r="A206" s="747" t="s">
        <v>1845</v>
      </c>
      <c r="B206" s="747" t="s">
        <v>3205</v>
      </c>
      <c r="C206" s="747" t="s">
        <v>3206</v>
      </c>
      <c r="D206" s="747" t="s">
        <v>2120</v>
      </c>
      <c r="F206" s="747" t="s">
        <v>366</v>
      </c>
      <c r="G206" s="747" t="s">
        <v>894</v>
      </c>
      <c r="H206" s="1840" t="s">
        <v>3207</v>
      </c>
      <c r="J206" s="747" t="s">
        <v>3208</v>
      </c>
      <c r="L206" s="1630"/>
      <c r="M206" s="747">
        <v>120</v>
      </c>
      <c r="N206" s="747">
        <v>335.6</v>
      </c>
      <c r="O206" s="747">
        <v>335.81</v>
      </c>
      <c r="P206" s="747">
        <v>40</v>
      </c>
      <c r="Q206" s="1631">
        <v>46084.785821759258</v>
      </c>
      <c r="R206" s="747">
        <v>335.71</v>
      </c>
      <c r="T206" s="1628">
        <v>-2.9010238907849999</v>
      </c>
      <c r="U206" s="747">
        <v>8.3180069999999997</v>
      </c>
      <c r="V206" s="747">
        <v>17.664995999999999</v>
      </c>
      <c r="W206" s="747">
        <v>12.242314060318801</v>
      </c>
      <c r="Y206" s="747" t="s">
        <v>2655</v>
      </c>
      <c r="Z206" s="747">
        <v>0.46170799999999995</v>
      </c>
      <c r="AA206" s="1631"/>
      <c r="AB206" s="747">
        <v>0.36</v>
      </c>
      <c r="AC206" s="1627">
        <v>46020</v>
      </c>
      <c r="AD206" s="747">
        <v>1</v>
      </c>
      <c r="AG206" s="1628">
        <v>4.1707629517081168E-4</v>
      </c>
    </row>
    <row r="207" spans="1:33" x14ac:dyDescent="0.2">
      <c r="A207" s="747" t="s">
        <v>1196</v>
      </c>
      <c r="B207" s="747" t="s">
        <v>2497</v>
      </c>
      <c r="C207" s="747" t="s">
        <v>2498</v>
      </c>
      <c r="D207" s="747" t="s">
        <v>2139</v>
      </c>
      <c r="E207" s="747" t="s">
        <v>2109</v>
      </c>
      <c r="F207" s="747" t="s">
        <v>381</v>
      </c>
      <c r="G207" s="747" t="s">
        <v>2499</v>
      </c>
      <c r="H207" s="1840" t="s">
        <v>2500</v>
      </c>
      <c r="J207" s="747" t="s">
        <v>2499</v>
      </c>
      <c r="L207" s="1630"/>
      <c r="Q207" s="1631">
        <v>46083.733368055553</v>
      </c>
      <c r="R207" s="747">
        <v>109.59</v>
      </c>
      <c r="T207" s="1628">
        <v>-0.23214529564385999</v>
      </c>
      <c r="U207" s="747">
        <v>0.23781212841855401</v>
      </c>
      <c r="V207" s="747">
        <v>-0.2230618655255652</v>
      </c>
      <c r="W207" s="747">
        <v>-0.46773534353571999</v>
      </c>
      <c r="Y207" s="747" t="s">
        <v>2133</v>
      </c>
      <c r="AA207" s="1631"/>
      <c r="AB207" s="747">
        <v>1.5984</v>
      </c>
      <c r="AC207" s="1627">
        <v>46037</v>
      </c>
      <c r="AD207" s="747">
        <v>1</v>
      </c>
      <c r="AG207" s="1628"/>
    </row>
    <row r="208" spans="1:33" x14ac:dyDescent="0.2">
      <c r="A208" s="747" t="s">
        <v>1924</v>
      </c>
      <c r="B208" s="747" t="s">
        <v>3212</v>
      </c>
      <c r="C208" s="747" t="s">
        <v>3213</v>
      </c>
      <c r="D208" s="747" t="s">
        <v>2120</v>
      </c>
      <c r="F208" s="747" t="s">
        <v>369</v>
      </c>
      <c r="G208" s="747" t="s">
        <v>486</v>
      </c>
      <c r="H208" s="1840" t="s">
        <v>3214</v>
      </c>
      <c r="J208" s="747" t="s">
        <v>3215</v>
      </c>
      <c r="L208" s="1630"/>
      <c r="M208" s="747">
        <v>50</v>
      </c>
      <c r="N208" s="747">
        <v>64.760000000000005</v>
      </c>
      <c r="Q208" s="1631">
        <v>46084.731238425928</v>
      </c>
      <c r="R208" s="747">
        <v>65.44</v>
      </c>
      <c r="T208" s="1628">
        <v>-3.1952662721893699</v>
      </c>
      <c r="U208" s="747">
        <v>8.3085069999999988</v>
      </c>
      <c r="V208" s="747">
        <v>10.990501999999999</v>
      </c>
      <c r="W208" s="747">
        <v>16.874135546334802</v>
      </c>
      <c r="Y208" s="747" t="s">
        <v>2585</v>
      </c>
      <c r="Z208" s="747">
        <v>1.222494</v>
      </c>
      <c r="AA208" s="1631"/>
      <c r="AB208" s="747">
        <v>0.60000000000000009</v>
      </c>
      <c r="AC208" s="1627">
        <v>45764</v>
      </c>
      <c r="AD208" s="747">
        <v>1</v>
      </c>
      <c r="AG208" s="1628"/>
    </row>
    <row r="209" spans="1:33" x14ac:dyDescent="0.2">
      <c r="A209" s="747" t="s">
        <v>1356</v>
      </c>
      <c r="B209" s="747" t="s">
        <v>3133</v>
      </c>
      <c r="C209" s="747" t="s">
        <v>3134</v>
      </c>
      <c r="D209" s="747" t="s">
        <v>2139</v>
      </c>
      <c r="E209" s="747" t="s">
        <v>2355</v>
      </c>
      <c r="F209" s="747" t="s">
        <v>366</v>
      </c>
      <c r="G209" s="747" t="s">
        <v>395</v>
      </c>
      <c r="H209" s="1840" t="s">
        <v>3135</v>
      </c>
      <c r="J209" s="747" t="s">
        <v>395</v>
      </c>
      <c r="L209" s="1630"/>
      <c r="M209" s="747">
        <v>160</v>
      </c>
      <c r="N209" s="747">
        <v>466.38</v>
      </c>
      <c r="O209" s="747">
        <v>466.45</v>
      </c>
      <c r="P209" s="747">
        <v>5000</v>
      </c>
      <c r="Q209" s="1631">
        <v>46084.785879629628</v>
      </c>
      <c r="R209" s="747">
        <v>466.45</v>
      </c>
      <c r="T209" s="1628">
        <v>-4.8061224489796004</v>
      </c>
      <c r="U209" s="747">
        <v>2.676704</v>
      </c>
      <c r="V209" s="747">
        <v>20.405265999999997</v>
      </c>
      <c r="W209" s="747">
        <v>23.640584391007</v>
      </c>
      <c r="Y209" s="747" t="s">
        <v>2133</v>
      </c>
      <c r="AA209" s="1631"/>
      <c r="AC209" s="1627"/>
      <c r="AD209" s="747">
        <v>1</v>
      </c>
      <c r="AG209" s="1628">
        <v>1.0005646043123359E-4</v>
      </c>
    </row>
    <row r="210" spans="1:33" x14ac:dyDescent="0.2">
      <c r="A210" s="747" t="s">
        <v>1209</v>
      </c>
      <c r="B210" s="747" t="s">
        <v>2725</v>
      </c>
      <c r="C210" s="747" t="s">
        <v>2726</v>
      </c>
      <c r="D210" s="747" t="s">
        <v>2139</v>
      </c>
      <c r="E210" s="747" t="s">
        <v>2109</v>
      </c>
      <c r="F210" s="747" t="s">
        <v>366</v>
      </c>
      <c r="G210" s="747" t="s">
        <v>2727</v>
      </c>
      <c r="H210" s="1840" t="s">
        <v>2728</v>
      </c>
      <c r="J210" s="747" t="s">
        <v>2727</v>
      </c>
      <c r="L210" s="1630"/>
      <c r="M210" s="747">
        <v>7180</v>
      </c>
      <c r="N210" s="747">
        <v>8.14</v>
      </c>
      <c r="O210" s="747">
        <v>9.32</v>
      </c>
      <c r="P210" s="747">
        <v>2250</v>
      </c>
      <c r="Q210" s="1631">
        <v>46084.732766203706</v>
      </c>
      <c r="R210" s="747">
        <v>8.8680000000000003</v>
      </c>
      <c r="T210" s="1628">
        <v>-3.2511455378573002</v>
      </c>
      <c r="U210" s="747">
        <v>-8.0559879999999993</v>
      </c>
      <c r="V210" s="747">
        <v>-7.960560000000001</v>
      </c>
      <c r="W210" s="747">
        <v>-6.3164349959116999</v>
      </c>
      <c r="Y210" s="747" t="s">
        <v>2133</v>
      </c>
      <c r="AA210" s="1631"/>
      <c r="AC210" s="1627"/>
      <c r="AD210" s="747">
        <v>1</v>
      </c>
      <c r="AG210" s="1628">
        <v>9.2187499999999978E-2</v>
      </c>
    </row>
    <row r="211" spans="1:33" x14ac:dyDescent="0.2">
      <c r="A211" s="747" t="s">
        <v>1762</v>
      </c>
      <c r="B211" s="747" t="s">
        <v>3241</v>
      </c>
      <c r="D211" s="747" t="s">
        <v>2259</v>
      </c>
      <c r="H211" s="1840"/>
      <c r="L211" s="1630"/>
      <c r="Q211" s="1631"/>
      <c r="AA211" s="1631"/>
      <c r="AC211" s="1627"/>
      <c r="AG211" s="1628"/>
    </row>
    <row r="212" spans="1:33" x14ac:dyDescent="0.2">
      <c r="A212" s="747" t="s">
        <v>1210</v>
      </c>
      <c r="B212" s="747" t="s">
        <v>2903</v>
      </c>
      <c r="C212" s="747" t="s">
        <v>2904</v>
      </c>
      <c r="D212" s="747" t="s">
        <v>2139</v>
      </c>
      <c r="E212" s="747" t="s">
        <v>2109</v>
      </c>
      <c r="F212" s="747" t="s">
        <v>381</v>
      </c>
      <c r="G212" s="747" t="s">
        <v>2905</v>
      </c>
      <c r="H212" s="1840" t="s">
        <v>2906</v>
      </c>
      <c r="J212" s="747" t="s">
        <v>2905</v>
      </c>
      <c r="L212" s="1630"/>
      <c r="Q212" s="1631">
        <v>46083.746527777781</v>
      </c>
      <c r="R212" s="747">
        <v>80.239999999999995</v>
      </c>
      <c r="T212" s="1628">
        <v>0.60180541624873995</v>
      </c>
      <c r="U212" s="747">
        <v>1.608205647714317</v>
      </c>
      <c r="V212" s="747">
        <v>0.19980019980019556</v>
      </c>
      <c r="W212" s="747">
        <v>0.74074074074073004</v>
      </c>
      <c r="Y212" s="747" t="s">
        <v>2133</v>
      </c>
      <c r="AA212" s="1631"/>
      <c r="AB212" s="747">
        <v>0.80983399999999994</v>
      </c>
      <c r="AC212" s="1627">
        <v>42502</v>
      </c>
      <c r="AD212" s="747">
        <v>1</v>
      </c>
      <c r="AG212" s="1628"/>
    </row>
    <row r="213" spans="1:33" x14ac:dyDescent="0.2">
      <c r="A213" s="747" t="s">
        <v>1774</v>
      </c>
      <c r="B213" s="747" t="s">
        <v>3242</v>
      </c>
      <c r="C213" s="747" t="s">
        <v>3243</v>
      </c>
      <c r="D213" s="747" t="s">
        <v>2120</v>
      </c>
      <c r="F213" s="747" t="s">
        <v>381</v>
      </c>
      <c r="G213" s="747" t="s">
        <v>447</v>
      </c>
      <c r="H213" s="1840" t="s">
        <v>3244</v>
      </c>
      <c r="J213" s="747" t="s">
        <v>3245</v>
      </c>
      <c r="L213" s="1630"/>
      <c r="Q213" s="1631">
        <v>46083.746527777781</v>
      </c>
      <c r="R213" s="747">
        <v>175.68</v>
      </c>
      <c r="T213" s="1628">
        <v>-1.4362657091562001</v>
      </c>
      <c r="U213" s="747">
        <v>10.1856497742098</v>
      </c>
      <c r="V213" s="747">
        <v>8.7667161961367004</v>
      </c>
      <c r="W213" s="747">
        <v>9.6218644702358809</v>
      </c>
      <c r="Y213" s="747" t="s">
        <v>2513</v>
      </c>
      <c r="AA213" s="1631"/>
      <c r="AB213" s="747">
        <v>3.3000000000000003</v>
      </c>
      <c r="AC213" s="1627">
        <v>45796</v>
      </c>
      <c r="AD213" s="747">
        <v>1</v>
      </c>
      <c r="AG213" s="1628"/>
    </row>
    <row r="214" spans="1:33" x14ac:dyDescent="0.2">
      <c r="A214" s="747" t="s">
        <v>4246</v>
      </c>
      <c r="B214" s="747" t="s">
        <v>4247</v>
      </c>
      <c r="C214" s="747" t="s">
        <v>4248</v>
      </c>
      <c r="D214" s="747" t="s">
        <v>2139</v>
      </c>
      <c r="E214" s="747" t="s">
        <v>2355</v>
      </c>
      <c r="F214" s="747" t="s">
        <v>366</v>
      </c>
      <c r="G214" s="747" t="s">
        <v>4249</v>
      </c>
      <c r="H214" s="1840" t="s">
        <v>4250</v>
      </c>
      <c r="J214" s="747" t="s">
        <v>4249</v>
      </c>
      <c r="L214" s="1630"/>
      <c r="M214" s="747">
        <v>100</v>
      </c>
      <c r="N214" s="747">
        <v>35.69</v>
      </c>
      <c r="O214" s="747">
        <v>35.78</v>
      </c>
      <c r="P214" s="747">
        <v>100</v>
      </c>
      <c r="Q214" s="1631">
        <v>46084.782106481478</v>
      </c>
      <c r="R214" s="747">
        <v>35.725000000000001</v>
      </c>
      <c r="T214" s="1628">
        <v>-4.0424388933655804</v>
      </c>
      <c r="U214" s="747">
        <v>-7.2077919999999995</v>
      </c>
      <c r="V214" s="747">
        <v>5.6952660000000002</v>
      </c>
      <c r="W214" s="747">
        <v>4.9619396673245202</v>
      </c>
      <c r="Y214" s="747" t="s">
        <v>2133</v>
      </c>
      <c r="AA214" s="1631"/>
      <c r="AB214" s="747">
        <v>0.84554099999999999</v>
      </c>
      <c r="AC214" s="1627">
        <v>45824</v>
      </c>
      <c r="AD214" s="747">
        <v>1</v>
      </c>
      <c r="AG214" s="1628">
        <v>1.6797312430011835E-3</v>
      </c>
    </row>
    <row r="215" spans="1:33" x14ac:dyDescent="0.2">
      <c r="A215" s="747" t="s">
        <v>1478</v>
      </c>
      <c r="B215" s="747" t="s">
        <v>3216</v>
      </c>
      <c r="C215" s="747" t="s">
        <v>3217</v>
      </c>
      <c r="D215" s="747" t="s">
        <v>2139</v>
      </c>
      <c r="E215" s="747" t="s">
        <v>2355</v>
      </c>
      <c r="F215" s="747" t="s">
        <v>366</v>
      </c>
      <c r="G215" s="747" t="s">
        <v>3218</v>
      </c>
      <c r="H215" s="1840" t="s">
        <v>3219</v>
      </c>
      <c r="J215" s="747" t="s">
        <v>3218</v>
      </c>
      <c r="L215" s="1630"/>
      <c r="M215" s="747">
        <v>600</v>
      </c>
      <c r="N215" s="747">
        <v>87.600000000000009</v>
      </c>
      <c r="O215" s="747">
        <v>87.63</v>
      </c>
      <c r="P215" s="747">
        <v>1000</v>
      </c>
      <c r="Q215" s="1631">
        <v>46084.780347222222</v>
      </c>
      <c r="R215" s="747">
        <v>87.63</v>
      </c>
      <c r="T215" s="1628">
        <v>-1.2285843101893701</v>
      </c>
      <c r="U215" s="747">
        <v>2.0436679999999998</v>
      </c>
      <c r="V215" s="747">
        <v>12.382173999999999</v>
      </c>
      <c r="W215" s="747">
        <v>14.153371075656301</v>
      </c>
      <c r="Y215" s="747" t="s">
        <v>2133</v>
      </c>
      <c r="AA215" s="1631"/>
      <c r="AB215" s="747">
        <v>0.62697099999999995</v>
      </c>
      <c r="AC215" s="1627">
        <v>46013</v>
      </c>
      <c r="AD215" s="747">
        <v>1</v>
      </c>
      <c r="AG215" s="1628">
        <v>2.2828444241514988E-4</v>
      </c>
    </row>
    <row r="216" spans="1:33" x14ac:dyDescent="0.2">
      <c r="A216" s="747" t="s">
        <v>1215</v>
      </c>
      <c r="B216" s="747" t="s">
        <v>2239</v>
      </c>
      <c r="C216" s="747" t="s">
        <v>2240</v>
      </c>
      <c r="D216" s="747" t="s">
        <v>2139</v>
      </c>
      <c r="E216" s="747" t="s">
        <v>2098</v>
      </c>
      <c r="F216" s="747" t="s">
        <v>366</v>
      </c>
      <c r="G216" s="747" t="s">
        <v>2241</v>
      </c>
      <c r="H216" s="1840" t="s">
        <v>2242</v>
      </c>
      <c r="J216" s="747" t="s">
        <v>2241</v>
      </c>
      <c r="L216" s="1630"/>
      <c r="Q216" s="1631">
        <v>46083.733495370368</v>
      </c>
      <c r="R216" s="747">
        <v>53.44</v>
      </c>
      <c r="T216" s="1628">
        <v>-1.7827605219628899</v>
      </c>
      <c r="U216" s="747">
        <v>2.1992732836106303</v>
      </c>
      <c r="V216" s="747">
        <v>20.973401245048088</v>
      </c>
      <c r="W216" s="747">
        <v>19.995509150106702</v>
      </c>
      <c r="Y216" s="747" t="s">
        <v>2133</v>
      </c>
      <c r="AA216" s="1631"/>
      <c r="AC216" s="1627"/>
      <c r="AD216" s="747">
        <v>1</v>
      </c>
      <c r="AG216" s="1628"/>
    </row>
    <row r="217" spans="1:33" x14ac:dyDescent="0.2">
      <c r="A217" s="747" t="s">
        <v>1480</v>
      </c>
      <c r="B217" s="747" t="s">
        <v>3222</v>
      </c>
      <c r="C217" s="747" t="s">
        <v>3223</v>
      </c>
      <c r="D217" s="747" t="s">
        <v>2139</v>
      </c>
      <c r="E217" s="747" t="s">
        <v>2355</v>
      </c>
      <c r="F217" s="747" t="s">
        <v>366</v>
      </c>
      <c r="G217" s="747" t="s">
        <v>3224</v>
      </c>
      <c r="H217" s="1840" t="s">
        <v>3225</v>
      </c>
      <c r="J217" s="747" t="s">
        <v>3224</v>
      </c>
      <c r="L217" s="1630"/>
      <c r="M217" s="747">
        <v>500</v>
      </c>
      <c r="N217" s="747">
        <v>56.75</v>
      </c>
      <c r="O217" s="747">
        <v>56.76</v>
      </c>
      <c r="P217" s="747">
        <v>300</v>
      </c>
      <c r="Q217" s="1631">
        <v>46084.785868055558</v>
      </c>
      <c r="R217" s="747">
        <v>56.76</v>
      </c>
      <c r="T217" s="1628">
        <v>-0.47343503419254002</v>
      </c>
      <c r="U217" s="747">
        <v>9.8935139999999997</v>
      </c>
      <c r="V217" s="747">
        <v>24.201312999999999</v>
      </c>
      <c r="W217" s="747">
        <v>27.484072873589</v>
      </c>
      <c r="Y217" s="747" t="s">
        <v>2133</v>
      </c>
      <c r="AA217" s="1631"/>
      <c r="AB217" s="747">
        <v>0.37301499999999999</v>
      </c>
      <c r="AC217" s="1627">
        <v>46013</v>
      </c>
      <c r="AD217" s="747">
        <v>1</v>
      </c>
      <c r="AG217" s="1628">
        <v>1.1746740279570082E-4</v>
      </c>
    </row>
    <row r="218" spans="1:33" x14ac:dyDescent="0.2">
      <c r="A218" s="747" t="s">
        <v>4256</v>
      </c>
      <c r="B218" s="747" t="s">
        <v>4257</v>
      </c>
      <c r="C218" s="747" t="s">
        <v>4258</v>
      </c>
      <c r="D218" s="747" t="s">
        <v>2139</v>
      </c>
      <c r="E218" s="747" t="s">
        <v>2355</v>
      </c>
      <c r="F218" s="747" t="s">
        <v>366</v>
      </c>
      <c r="G218" s="747" t="s">
        <v>4259</v>
      </c>
      <c r="H218" s="1840" t="s">
        <v>4260</v>
      </c>
      <c r="J218" s="747" t="s">
        <v>4259</v>
      </c>
      <c r="L218" s="1630"/>
      <c r="M218" s="747">
        <v>1200</v>
      </c>
      <c r="N218" s="747">
        <v>56.92</v>
      </c>
      <c r="O218" s="747">
        <v>56.93</v>
      </c>
      <c r="P218" s="747">
        <v>2200</v>
      </c>
      <c r="Q218" s="1631">
        <v>46084.785636574074</v>
      </c>
      <c r="R218" s="747">
        <v>56.935000000000002</v>
      </c>
      <c r="T218" s="1628">
        <v>-2.1062585969738699</v>
      </c>
      <c r="U218" s="747">
        <v>3.8202039999999999</v>
      </c>
      <c r="V218" s="747">
        <v>7.2828339999999994</v>
      </c>
      <c r="W218" s="747">
        <v>7.8435008344149999</v>
      </c>
      <c r="Y218" s="747" t="s">
        <v>2133</v>
      </c>
      <c r="AA218" s="1631"/>
      <c r="AB218" s="747">
        <v>0.47491499999999998</v>
      </c>
      <c r="AC218" s="1627">
        <v>46007</v>
      </c>
      <c r="AD218" s="747">
        <v>1</v>
      </c>
      <c r="AG218" s="1628">
        <v>1.1711658956488856E-4</v>
      </c>
    </row>
    <row r="219" spans="1:33" x14ac:dyDescent="0.2">
      <c r="A219" s="747" t="s">
        <v>1485</v>
      </c>
      <c r="B219" s="747" t="s">
        <v>3237</v>
      </c>
      <c r="C219" s="747" t="s">
        <v>3238</v>
      </c>
      <c r="D219" s="747" t="s">
        <v>2139</v>
      </c>
      <c r="E219" s="747" t="s">
        <v>2355</v>
      </c>
      <c r="F219" s="747" t="s">
        <v>366</v>
      </c>
      <c r="G219" s="747" t="s">
        <v>3239</v>
      </c>
      <c r="H219" s="1840" t="s">
        <v>3240</v>
      </c>
      <c r="J219" s="747" t="s">
        <v>3239</v>
      </c>
      <c r="L219" s="1630"/>
      <c r="M219" s="747">
        <v>100</v>
      </c>
      <c r="N219" s="747">
        <v>156.22</v>
      </c>
      <c r="O219" s="747">
        <v>156.22</v>
      </c>
      <c r="P219" s="747">
        <v>100</v>
      </c>
      <c r="Q219" s="1631">
        <v>46084.785729166666</v>
      </c>
      <c r="R219" s="747">
        <v>156.24</v>
      </c>
      <c r="T219" s="1628">
        <v>-1.4724893583478</v>
      </c>
      <c r="U219" s="747">
        <v>1.250729</v>
      </c>
      <c r="V219" s="747">
        <v>4.2086309999999996</v>
      </c>
      <c r="W219" s="747">
        <v>2.3989409789487399</v>
      </c>
      <c r="Y219" s="747" t="s">
        <v>2133</v>
      </c>
      <c r="AA219" s="1631"/>
      <c r="AB219" s="747">
        <v>0.65682200000000002</v>
      </c>
      <c r="AC219" s="1627">
        <v>46013</v>
      </c>
      <c r="AD219" s="747">
        <v>1</v>
      </c>
      <c r="AG219" s="1628">
        <v>0</v>
      </c>
    </row>
    <row r="220" spans="1:33" x14ac:dyDescent="0.2">
      <c r="A220" s="747" t="s">
        <v>4310</v>
      </c>
      <c r="B220" s="747" t="s">
        <v>4311</v>
      </c>
      <c r="C220" s="747" t="s">
        <v>2435</v>
      </c>
      <c r="D220" s="747" t="s">
        <v>2139</v>
      </c>
      <c r="E220" s="747" t="s">
        <v>2109</v>
      </c>
      <c r="F220" s="747" t="s">
        <v>366</v>
      </c>
      <c r="G220" s="747" t="s">
        <v>2436</v>
      </c>
      <c r="H220" s="1840" t="s">
        <v>2437</v>
      </c>
      <c r="J220" s="747" t="s">
        <v>2436</v>
      </c>
      <c r="L220" s="1630"/>
      <c r="M220" s="747">
        <v>1815</v>
      </c>
      <c r="N220" s="747">
        <v>5.7549999999999999</v>
      </c>
      <c r="O220" s="747">
        <v>5.782</v>
      </c>
      <c r="P220" s="747">
        <v>1815</v>
      </c>
      <c r="Q220" s="1631">
        <v>46084.726840277777</v>
      </c>
      <c r="R220" s="747">
        <v>5.7910000000000004</v>
      </c>
      <c r="T220" s="1628">
        <v>-3.0145704237146198</v>
      </c>
      <c r="U220" s="747">
        <v>-7.2698159999999996</v>
      </c>
      <c r="V220" s="747">
        <v>-6.2641629999999999</v>
      </c>
      <c r="W220" s="747">
        <v>-3.4755900420303898</v>
      </c>
      <c r="Y220" s="747" t="s">
        <v>2133</v>
      </c>
      <c r="AA220" s="1631"/>
      <c r="AC220" s="1627"/>
      <c r="AD220" s="747">
        <v>1</v>
      </c>
      <c r="AG220" s="1628">
        <v>3.1228313671061918E-3</v>
      </c>
    </row>
    <row r="221" spans="1:33" x14ac:dyDescent="0.2">
      <c r="A221" s="747" t="s">
        <v>1766</v>
      </c>
      <c r="B221" s="747" t="s">
        <v>3274</v>
      </c>
      <c r="C221" s="747" t="s">
        <v>3275</v>
      </c>
      <c r="D221" s="747" t="s">
        <v>2120</v>
      </c>
      <c r="F221" s="747" t="s">
        <v>369</v>
      </c>
      <c r="G221" s="747" t="s">
        <v>3276</v>
      </c>
      <c r="H221" s="1840" t="s">
        <v>3277</v>
      </c>
      <c r="J221" s="747" t="s">
        <v>3278</v>
      </c>
      <c r="L221" s="1630"/>
      <c r="Q221" s="1631">
        <v>46084.731296296297</v>
      </c>
      <c r="R221" s="747">
        <v>67.2</v>
      </c>
      <c r="T221" s="1628">
        <v>-4.86976217440544</v>
      </c>
      <c r="U221" s="747">
        <v>-1.2345679999999999</v>
      </c>
      <c r="V221" s="747">
        <v>14.519426999999999</v>
      </c>
      <c r="W221" s="747">
        <v>19.284025667004499</v>
      </c>
      <c r="Y221" s="747" t="s">
        <v>2655</v>
      </c>
      <c r="Z221" s="747">
        <v>1.3988100000000001</v>
      </c>
      <c r="AA221" s="1631"/>
      <c r="AB221" s="747">
        <v>0.9</v>
      </c>
      <c r="AC221" s="1627">
        <v>45747</v>
      </c>
      <c r="AD221" s="747">
        <v>1</v>
      </c>
      <c r="AG221" s="1628"/>
    </row>
    <row r="222" spans="1:33" x14ac:dyDescent="0.2">
      <c r="A222" s="747" t="s">
        <v>1221</v>
      </c>
      <c r="B222" s="747" t="s">
        <v>2918</v>
      </c>
      <c r="C222" s="747" t="s">
        <v>2919</v>
      </c>
      <c r="D222" s="747" t="s">
        <v>2139</v>
      </c>
      <c r="E222" s="747" t="s">
        <v>2109</v>
      </c>
      <c r="F222" s="747" t="s">
        <v>369</v>
      </c>
      <c r="G222" s="747" t="s">
        <v>2920</v>
      </c>
      <c r="H222" s="1840" t="s">
        <v>2921</v>
      </c>
      <c r="J222" s="747" t="s">
        <v>2920</v>
      </c>
      <c r="L222" s="1630"/>
      <c r="M222" s="747">
        <v>20</v>
      </c>
      <c r="N222" s="747">
        <v>115</v>
      </c>
      <c r="O222" s="747">
        <v>124.28</v>
      </c>
      <c r="P222" s="747">
        <v>798</v>
      </c>
      <c r="Q222" s="1631">
        <v>46084.72755787037</v>
      </c>
      <c r="R222" s="747">
        <v>122.76</v>
      </c>
      <c r="T222" s="1628">
        <v>-5.2046332046332004</v>
      </c>
      <c r="U222" s="747">
        <v>-0.21134799999999998</v>
      </c>
      <c r="V222" s="747">
        <v>5.8640910000000002</v>
      </c>
      <c r="W222" s="747">
        <v>11.2160769495019</v>
      </c>
      <c r="Y222" s="747" t="s">
        <v>2133</v>
      </c>
      <c r="AA222" s="1631"/>
      <c r="AC222" s="1627"/>
      <c r="AD222" s="747">
        <v>1</v>
      </c>
      <c r="AG222" s="1628">
        <v>5.2387941740995835E-2</v>
      </c>
    </row>
    <row r="223" spans="1:33" x14ac:dyDescent="0.2">
      <c r="A223" s="747" t="s">
        <v>1889</v>
      </c>
      <c r="B223" s="747" t="s">
        <v>3279</v>
      </c>
      <c r="C223" s="747" t="s">
        <v>3280</v>
      </c>
      <c r="D223" s="747" t="s">
        <v>2120</v>
      </c>
      <c r="F223" s="747" t="s">
        <v>478</v>
      </c>
      <c r="G223" s="747" t="s">
        <v>3281</v>
      </c>
      <c r="H223" s="1840" t="s">
        <v>3282</v>
      </c>
      <c r="J223" s="747" t="s">
        <v>1890</v>
      </c>
      <c r="L223" s="1630"/>
      <c r="Q223" s="1631">
        <v>46083.257071759261</v>
      </c>
      <c r="R223" s="747">
        <v>59.7</v>
      </c>
      <c r="T223" s="1628">
        <v>-2.0990488684814799</v>
      </c>
      <c r="U223" s="747">
        <v>6.0014204545454701</v>
      </c>
      <c r="V223" s="747">
        <v>15.989897027394701</v>
      </c>
      <c r="W223" s="747">
        <v>9.7830084589922901</v>
      </c>
      <c r="Y223" s="747" t="s">
        <v>3041</v>
      </c>
      <c r="AA223" s="1631"/>
      <c r="AB223" s="747">
        <v>0.2</v>
      </c>
      <c r="AC223" s="1627">
        <v>45351</v>
      </c>
      <c r="AD223" s="747">
        <v>1</v>
      </c>
      <c r="AG223" s="1628"/>
    </row>
    <row r="224" spans="1:33" x14ac:dyDescent="0.2">
      <c r="A224" s="747" t="s">
        <v>2003</v>
      </c>
      <c r="B224" s="747" t="s">
        <v>3466</v>
      </c>
      <c r="C224" s="747" t="s">
        <v>3467</v>
      </c>
      <c r="D224" s="747" t="s">
        <v>2139</v>
      </c>
      <c r="E224" s="747" t="s">
        <v>2109</v>
      </c>
      <c r="F224" s="747" t="s">
        <v>366</v>
      </c>
      <c r="G224" s="747" t="s">
        <v>3468</v>
      </c>
      <c r="H224" s="1840" t="s">
        <v>3469</v>
      </c>
      <c r="J224" s="747" t="s">
        <v>3468</v>
      </c>
      <c r="L224" s="1630"/>
      <c r="M224" s="747">
        <v>1391</v>
      </c>
      <c r="N224" s="747">
        <v>125.92</v>
      </c>
      <c r="O224" s="747">
        <v>130.85</v>
      </c>
      <c r="P224" s="747">
        <v>38</v>
      </c>
      <c r="Q224" s="1631">
        <v>46084.73296296296</v>
      </c>
      <c r="R224" s="747">
        <v>125.93</v>
      </c>
      <c r="T224" s="1628">
        <v>-1.05188790328912</v>
      </c>
      <c r="U224" s="747">
        <v>-1.8913449999999998</v>
      </c>
      <c r="V224" s="747">
        <v>-1.036351</v>
      </c>
      <c r="W224" s="747">
        <v>-0.41432145090681999</v>
      </c>
      <c r="Y224" s="747" t="s">
        <v>2133</v>
      </c>
      <c r="AA224" s="1631"/>
      <c r="AB224" s="747">
        <v>0.20520000000000002</v>
      </c>
      <c r="AC224" s="1627">
        <v>46002</v>
      </c>
      <c r="AD224" s="747">
        <v>1</v>
      </c>
      <c r="AG224" s="1628">
        <v>2.5764979487313454E-2</v>
      </c>
    </row>
    <row r="225" spans="1:33" x14ac:dyDescent="0.2">
      <c r="A225" s="747" t="s">
        <v>1548</v>
      </c>
      <c r="B225" s="747" t="s">
        <v>3286</v>
      </c>
      <c r="C225" s="747" t="s">
        <v>3287</v>
      </c>
      <c r="D225" s="747" t="s">
        <v>2139</v>
      </c>
      <c r="E225" s="747" t="s">
        <v>2109</v>
      </c>
      <c r="F225" s="747" t="s">
        <v>381</v>
      </c>
      <c r="G225" s="747" t="s">
        <v>3288</v>
      </c>
      <c r="H225" s="1840" t="s">
        <v>3289</v>
      </c>
      <c r="J225" s="747" t="s">
        <v>3288</v>
      </c>
      <c r="L225" s="1630"/>
      <c r="M225" s="747">
        <v>5199</v>
      </c>
      <c r="N225" s="747">
        <v>23.95</v>
      </c>
      <c r="O225" s="747">
        <v>24.11</v>
      </c>
      <c r="P225" s="747">
        <v>5199</v>
      </c>
      <c r="Q225" s="1631">
        <v>46084.719236111108</v>
      </c>
      <c r="R225" s="747">
        <v>24.03</v>
      </c>
      <c r="T225" s="1628">
        <v>-2.9090909090909003</v>
      </c>
      <c r="U225" s="747">
        <v>-0.496894</v>
      </c>
      <c r="V225" s="747">
        <v>2.4515029999999998</v>
      </c>
      <c r="W225" s="747">
        <v>2.3784901758014501</v>
      </c>
      <c r="Y225" s="747" t="s">
        <v>2133</v>
      </c>
      <c r="AA225" s="1631"/>
      <c r="AC225" s="1627"/>
      <c r="AD225" s="747">
        <v>1</v>
      </c>
      <c r="AG225" s="1628">
        <v>4.4438272462158082E-3</v>
      </c>
    </row>
    <row r="226" spans="1:33" x14ac:dyDescent="0.2">
      <c r="A226" s="747" t="s">
        <v>1226</v>
      </c>
      <c r="B226" s="747" t="s">
        <v>2925</v>
      </c>
      <c r="C226" s="747" t="s">
        <v>2926</v>
      </c>
      <c r="D226" s="747" t="s">
        <v>2139</v>
      </c>
      <c r="E226" s="747" t="s">
        <v>2355</v>
      </c>
      <c r="F226" s="747" t="s">
        <v>366</v>
      </c>
      <c r="G226" s="747" t="s">
        <v>2927</v>
      </c>
      <c r="H226" s="1840" t="s">
        <v>2928</v>
      </c>
      <c r="J226" s="747" t="s">
        <v>2927</v>
      </c>
      <c r="L226" s="1630"/>
      <c r="M226" s="747">
        <v>700</v>
      </c>
      <c r="N226" s="747">
        <v>27.700000000000003</v>
      </c>
      <c r="O226" s="747">
        <v>27.71</v>
      </c>
      <c r="P226" s="747">
        <v>3400</v>
      </c>
      <c r="Q226" s="1631">
        <v>46084.785486111112</v>
      </c>
      <c r="R226" s="747">
        <v>27.700000000000003</v>
      </c>
      <c r="T226" s="1628">
        <v>-2.05091937765205</v>
      </c>
      <c r="U226" s="747">
        <v>-1.1067479999999998</v>
      </c>
      <c r="V226" s="747">
        <v>0.76391399999999998</v>
      </c>
      <c r="W226" s="747">
        <v>2.7989821882951702</v>
      </c>
      <c r="Y226" s="747" t="s">
        <v>2133</v>
      </c>
      <c r="AA226" s="1631"/>
      <c r="AB226" s="747">
        <v>0.66794799999999999</v>
      </c>
      <c r="AC226" s="1627">
        <v>46007</v>
      </c>
      <c r="AD226" s="747">
        <v>1</v>
      </c>
      <c r="AG226" s="1628">
        <v>2.4064492840808588E-4</v>
      </c>
    </row>
    <row r="227" spans="1:33" x14ac:dyDescent="0.2">
      <c r="A227" s="747" t="s">
        <v>1336</v>
      </c>
      <c r="B227" s="747" t="s">
        <v>3115</v>
      </c>
      <c r="C227" s="747" t="s">
        <v>3116</v>
      </c>
      <c r="D227" s="747" t="s">
        <v>2139</v>
      </c>
      <c r="E227" s="747" t="s">
        <v>2159</v>
      </c>
      <c r="F227" s="747" t="s">
        <v>369</v>
      </c>
      <c r="G227" s="747" t="s">
        <v>3117</v>
      </c>
      <c r="H227" s="1840" t="s">
        <v>3118</v>
      </c>
      <c r="J227" s="747" t="s">
        <v>3117</v>
      </c>
      <c r="L227" s="1630"/>
      <c r="M227" s="747">
        <v>20</v>
      </c>
      <c r="N227" s="747">
        <v>2968.5</v>
      </c>
      <c r="O227" s="747">
        <v>2976</v>
      </c>
      <c r="P227" s="747">
        <v>20</v>
      </c>
      <c r="Q227" s="1631">
        <v>46084.698599537034</v>
      </c>
      <c r="R227" s="747">
        <v>2965</v>
      </c>
      <c r="T227" s="1628">
        <v>-4.4165054803352701</v>
      </c>
      <c r="U227" s="747">
        <v>2.3119389999999997</v>
      </c>
      <c r="V227" s="747">
        <v>18.718719</v>
      </c>
      <c r="W227" s="747">
        <v>20.092915214866501</v>
      </c>
      <c r="Y227" s="747" t="s">
        <v>2133</v>
      </c>
      <c r="AA227" s="1631"/>
      <c r="AC227" s="1627"/>
      <c r="AD227" s="747">
        <v>1</v>
      </c>
      <c r="AG227" s="1628">
        <v>1.6829350387075059E-3</v>
      </c>
    </row>
    <row r="228" spans="1:33" x14ac:dyDescent="0.2">
      <c r="A228" s="747" t="s">
        <v>1227</v>
      </c>
      <c r="B228" s="747" t="s">
        <v>2929</v>
      </c>
      <c r="C228" s="747" t="s">
        <v>2930</v>
      </c>
      <c r="D228" s="747" t="s">
        <v>2139</v>
      </c>
      <c r="E228" s="747" t="s">
        <v>2355</v>
      </c>
      <c r="F228" s="747" t="s">
        <v>366</v>
      </c>
      <c r="G228" s="747" t="s">
        <v>764</v>
      </c>
      <c r="H228" s="1840" t="s">
        <v>2931</v>
      </c>
      <c r="J228" s="747" t="s">
        <v>764</v>
      </c>
      <c r="L228" s="1630"/>
      <c r="M228" s="747">
        <v>1900</v>
      </c>
      <c r="N228" s="747">
        <v>46.61</v>
      </c>
      <c r="O228" s="747">
        <v>46.62</v>
      </c>
      <c r="P228" s="747">
        <v>3800</v>
      </c>
      <c r="Q228" s="1631">
        <v>46084.785810185182</v>
      </c>
      <c r="R228" s="747">
        <v>46.615000000000002</v>
      </c>
      <c r="T228" s="1628">
        <v>-3.1275976724854599</v>
      </c>
      <c r="U228" s="747">
        <v>0.312029</v>
      </c>
      <c r="V228" s="747">
        <v>8.7103539999999988</v>
      </c>
      <c r="W228" s="747">
        <v>9.4133697135061496</v>
      </c>
      <c r="Y228" s="747" t="s">
        <v>2133</v>
      </c>
      <c r="AA228" s="1631"/>
      <c r="AB228" s="747">
        <v>0.82911299999999999</v>
      </c>
      <c r="AC228" s="1627">
        <v>46007</v>
      </c>
      <c r="AD228" s="747">
        <v>1</v>
      </c>
      <c r="AG228" s="1628">
        <v>1.430205949656466E-4</v>
      </c>
    </row>
    <row r="229" spans="1:33" x14ac:dyDescent="0.2">
      <c r="A229" s="747" t="s">
        <v>1573</v>
      </c>
      <c r="B229" s="747" t="s">
        <v>3302</v>
      </c>
      <c r="C229" s="747" t="s">
        <v>3303</v>
      </c>
      <c r="D229" s="747" t="s">
        <v>2139</v>
      </c>
      <c r="E229" s="747" t="s">
        <v>2159</v>
      </c>
      <c r="F229" s="747" t="s">
        <v>369</v>
      </c>
      <c r="G229" s="747" t="s">
        <v>3304</v>
      </c>
      <c r="H229" s="1840" t="s">
        <v>3305</v>
      </c>
      <c r="J229" s="747" t="s">
        <v>3304</v>
      </c>
      <c r="L229" s="1630"/>
      <c r="Q229" s="1631">
        <v>46084.73300925926</v>
      </c>
      <c r="R229" s="747">
        <v>136.52000000000001</v>
      </c>
      <c r="T229" s="1628">
        <v>-3.08107340621895</v>
      </c>
      <c r="U229" s="747">
        <v>0.23494899999999999</v>
      </c>
      <c r="V229" s="747">
        <v>3.6440939999999999</v>
      </c>
      <c r="W229" s="747">
        <v>4.2018050007397596</v>
      </c>
      <c r="Y229" s="747" t="s">
        <v>2133</v>
      </c>
      <c r="AA229" s="1631"/>
      <c r="AB229" s="747">
        <v>1.52</v>
      </c>
      <c r="AC229" s="1627">
        <v>45905</v>
      </c>
      <c r="AD229" s="747">
        <v>1</v>
      </c>
      <c r="AG229" s="1628"/>
    </row>
    <row r="230" spans="1:33" x14ac:dyDescent="0.2">
      <c r="A230" s="747" t="s">
        <v>1294</v>
      </c>
      <c r="B230" s="747" t="s">
        <v>3054</v>
      </c>
      <c r="C230" s="747" t="s">
        <v>3055</v>
      </c>
      <c r="D230" s="747" t="s">
        <v>2139</v>
      </c>
      <c r="E230" s="747" t="s">
        <v>2109</v>
      </c>
      <c r="F230" s="747" t="s">
        <v>366</v>
      </c>
      <c r="G230" s="747" t="s">
        <v>3056</v>
      </c>
      <c r="H230" s="1840" t="s">
        <v>3057</v>
      </c>
      <c r="J230" s="747" t="s">
        <v>3056</v>
      </c>
      <c r="L230" s="1630"/>
      <c r="M230" s="747">
        <v>39</v>
      </c>
      <c r="N230" s="747">
        <v>144.25</v>
      </c>
      <c r="O230" s="747">
        <v>145.27000000000001</v>
      </c>
      <c r="P230" s="747">
        <v>2049</v>
      </c>
      <c r="Q230" s="1631">
        <v>46084.732731481483</v>
      </c>
      <c r="R230" s="747">
        <v>144.52000000000001</v>
      </c>
      <c r="T230" s="1628">
        <v>-0.14509776825813001</v>
      </c>
      <c r="U230" s="747">
        <v>1.084144</v>
      </c>
      <c r="V230" s="747">
        <v>1.4104269999999999</v>
      </c>
      <c r="W230" s="747">
        <v>0.77287285893329005</v>
      </c>
      <c r="Y230" s="747" t="s">
        <v>2133</v>
      </c>
      <c r="AA230" s="1631"/>
      <c r="AC230" s="1627"/>
      <c r="AD230" s="747">
        <v>1</v>
      </c>
      <c r="AG230" s="1628">
        <v>4.7029531779514966E-3</v>
      </c>
    </row>
    <row r="231" spans="1:33" x14ac:dyDescent="0.2">
      <c r="A231" s="747" t="s">
        <v>1779</v>
      </c>
      <c r="B231" s="747" t="s">
        <v>3317</v>
      </c>
      <c r="C231" s="747" t="s">
        <v>3318</v>
      </c>
      <c r="D231" s="747" t="s">
        <v>2120</v>
      </c>
      <c r="F231" s="747" t="s">
        <v>366</v>
      </c>
      <c r="G231" s="747" t="s">
        <v>3319</v>
      </c>
      <c r="H231" s="1840" t="s">
        <v>3320</v>
      </c>
      <c r="J231" s="747" t="s">
        <v>3321</v>
      </c>
      <c r="L231" s="1630"/>
      <c r="M231" s="747">
        <v>100</v>
      </c>
      <c r="N231" s="747">
        <v>135.76</v>
      </c>
      <c r="O231" s="747">
        <v>135.86000000000001</v>
      </c>
      <c r="P231" s="747">
        <v>100</v>
      </c>
      <c r="Q231" s="1631">
        <v>46084.785879629628</v>
      </c>
      <c r="R231" s="747">
        <v>135.82</v>
      </c>
      <c r="T231" s="1628">
        <v>-4.72783389450057</v>
      </c>
      <c r="U231" s="747">
        <v>-17.005804999999999</v>
      </c>
      <c r="V231" s="747">
        <v>-12.913568</v>
      </c>
      <c r="W231" s="747">
        <v>-2.7425296766270999</v>
      </c>
      <c r="Y231" s="747" t="s">
        <v>3322</v>
      </c>
      <c r="Z231" s="747">
        <v>2.6947429999999999</v>
      </c>
      <c r="AA231" s="1631"/>
      <c r="AB231" s="747">
        <v>1</v>
      </c>
      <c r="AC231" s="1627">
        <v>45280</v>
      </c>
      <c r="AD231" s="747">
        <v>1</v>
      </c>
      <c r="AG231" s="1628">
        <v>4.9094211792440837E-4</v>
      </c>
    </row>
    <row r="232" spans="1:33" x14ac:dyDescent="0.2">
      <c r="A232" s="747" t="s">
        <v>1233</v>
      </c>
      <c r="B232" s="747" t="s">
        <v>2938</v>
      </c>
      <c r="C232" s="747" t="s">
        <v>2939</v>
      </c>
      <c r="D232" s="747" t="s">
        <v>2139</v>
      </c>
      <c r="E232" s="747" t="s">
        <v>2109</v>
      </c>
      <c r="F232" s="747" t="s">
        <v>381</v>
      </c>
      <c r="G232" s="747" t="s">
        <v>2940</v>
      </c>
      <c r="H232" s="1840" t="s">
        <v>2941</v>
      </c>
      <c r="J232" s="747" t="s">
        <v>2940</v>
      </c>
      <c r="L232" s="1630"/>
      <c r="Q232" s="1631">
        <v>46083.73332175926</v>
      </c>
      <c r="R232" s="747">
        <v>236.08</v>
      </c>
      <c r="T232" s="1628">
        <v>-0.19037143582367</v>
      </c>
      <c r="U232" s="747">
        <v>1.282766313441164</v>
      </c>
      <c r="V232" s="747">
        <v>2.460830693112285</v>
      </c>
      <c r="W232" s="747">
        <v>2.4713342599027199</v>
      </c>
      <c r="Y232" s="747" t="s">
        <v>2133</v>
      </c>
      <c r="AA232" s="1631"/>
      <c r="AC232" s="1627"/>
      <c r="AD232" s="747">
        <v>1</v>
      </c>
      <c r="AG232" s="1628"/>
    </row>
    <row r="233" spans="1:33" x14ac:dyDescent="0.2">
      <c r="A233" s="747" t="s">
        <v>1877</v>
      </c>
      <c r="B233" s="747" t="s">
        <v>3334</v>
      </c>
      <c r="C233" s="747" t="s">
        <v>3335</v>
      </c>
      <c r="D233" s="747" t="s">
        <v>2120</v>
      </c>
      <c r="F233" s="747" t="s">
        <v>369</v>
      </c>
      <c r="G233" s="747" t="s">
        <v>3336</v>
      </c>
      <c r="H233" s="1840" t="s">
        <v>3337</v>
      </c>
      <c r="J233" s="747" t="s">
        <v>3338</v>
      </c>
      <c r="L233" s="1630"/>
      <c r="Q233" s="1631">
        <v>46084.730081018519</v>
      </c>
      <c r="R233" s="747">
        <v>12240</v>
      </c>
      <c r="T233" s="1628">
        <v>-2.8571428571428599</v>
      </c>
      <c r="U233" s="747">
        <v>9.1882249999999992</v>
      </c>
      <c r="V233" s="747">
        <v>5.2450559999999999</v>
      </c>
      <c r="W233" s="747">
        <v>8.7144089732527998</v>
      </c>
      <c r="Y233" s="747" t="s">
        <v>2307</v>
      </c>
      <c r="Z233" s="747">
        <v>1.2254900000000002</v>
      </c>
      <c r="AA233" s="1631"/>
      <c r="AB233" s="747">
        <v>150</v>
      </c>
      <c r="AC233" s="1627">
        <v>45769</v>
      </c>
      <c r="AD233" s="747">
        <v>1</v>
      </c>
      <c r="AG233" s="1628"/>
    </row>
    <row r="234" spans="1:33" x14ac:dyDescent="0.2">
      <c r="A234" s="747" t="s">
        <v>1238</v>
      </c>
      <c r="B234" s="747" t="s">
        <v>2863</v>
      </c>
      <c r="C234" s="747" t="s">
        <v>2864</v>
      </c>
      <c r="D234" s="747" t="s">
        <v>2139</v>
      </c>
      <c r="E234" s="747" t="s">
        <v>2109</v>
      </c>
      <c r="F234" s="747" t="s">
        <v>369</v>
      </c>
      <c r="G234" s="747" t="s">
        <v>2865</v>
      </c>
      <c r="H234" s="1840" t="s">
        <v>2866</v>
      </c>
      <c r="J234" s="747" t="s">
        <v>2865</v>
      </c>
      <c r="L234" s="1630"/>
      <c r="M234" s="747">
        <v>84</v>
      </c>
      <c r="N234" s="747">
        <v>100.60000000000001</v>
      </c>
      <c r="O234" s="747">
        <v>103</v>
      </c>
      <c r="P234" s="747">
        <v>335</v>
      </c>
      <c r="Q234" s="1631">
        <v>46084.73300925926</v>
      </c>
      <c r="R234" s="747">
        <v>100.34</v>
      </c>
      <c r="T234" s="1628">
        <v>-1.08438485804416</v>
      </c>
      <c r="U234" s="747">
        <v>-2.5257429999999998</v>
      </c>
      <c r="V234" s="747">
        <v>-2.1073170000000001</v>
      </c>
      <c r="W234" s="747">
        <v>-1.4763014763014899</v>
      </c>
      <c r="Y234" s="747" t="s">
        <v>2133</v>
      </c>
      <c r="AA234" s="1631"/>
      <c r="AC234" s="1627"/>
      <c r="AD234" s="747">
        <v>1</v>
      </c>
      <c r="AG234" s="1628">
        <v>1.5779092702169567E-2</v>
      </c>
    </row>
    <row r="235" spans="1:33" x14ac:dyDescent="0.2">
      <c r="A235" s="747" t="s">
        <v>1589</v>
      </c>
      <c r="B235" s="747" t="s">
        <v>3310</v>
      </c>
      <c r="C235" s="747" t="s">
        <v>3311</v>
      </c>
      <c r="D235" s="747" t="s">
        <v>2139</v>
      </c>
      <c r="E235" s="747" t="s">
        <v>2109</v>
      </c>
      <c r="F235" s="747" t="s">
        <v>366</v>
      </c>
      <c r="G235" s="747" t="s">
        <v>825</v>
      </c>
      <c r="H235" s="1840" t="s">
        <v>3312</v>
      </c>
      <c r="J235" s="747" t="s">
        <v>825</v>
      </c>
      <c r="L235" s="1630"/>
      <c r="M235" s="747">
        <v>210</v>
      </c>
      <c r="N235" s="747">
        <v>56</v>
      </c>
      <c r="O235" s="747">
        <v>75</v>
      </c>
      <c r="P235" s="747">
        <v>40</v>
      </c>
      <c r="Q235" s="1631">
        <v>46084.732777777775</v>
      </c>
      <c r="R235" s="747">
        <v>68.52</v>
      </c>
      <c r="T235" s="1628">
        <v>-3.3022861981371801</v>
      </c>
      <c r="U235" s="747">
        <v>-3.6422439999999998</v>
      </c>
      <c r="V235" s="747">
        <v>8.6584209999999988</v>
      </c>
      <c r="W235" s="747">
        <v>13.758227644886901</v>
      </c>
      <c r="Y235" s="747" t="s">
        <v>2133</v>
      </c>
      <c r="AA235" s="1631"/>
      <c r="AC235" s="1627"/>
      <c r="AD235" s="747">
        <v>1</v>
      </c>
      <c r="AG235" s="1628">
        <v>0.20320855614973263</v>
      </c>
    </row>
    <row r="236" spans="1:33" x14ac:dyDescent="0.2">
      <c r="A236" s="747" t="s">
        <v>1243</v>
      </c>
      <c r="B236" s="747" t="s">
        <v>2945</v>
      </c>
      <c r="C236" s="747" t="s">
        <v>2946</v>
      </c>
      <c r="D236" s="747" t="s">
        <v>2139</v>
      </c>
      <c r="E236" s="747" t="s">
        <v>2109</v>
      </c>
      <c r="F236" s="747" t="s">
        <v>366</v>
      </c>
      <c r="G236" s="747" t="s">
        <v>2947</v>
      </c>
      <c r="H236" s="1840" t="s">
        <v>2948</v>
      </c>
      <c r="J236" s="747" t="s">
        <v>2947</v>
      </c>
      <c r="L236" s="1630"/>
      <c r="M236" s="747">
        <v>100</v>
      </c>
      <c r="N236" s="747">
        <v>10</v>
      </c>
      <c r="O236" s="747">
        <v>10.61</v>
      </c>
      <c r="P236" s="747">
        <v>2250</v>
      </c>
      <c r="Q236" s="1631">
        <v>46084.732847222222</v>
      </c>
      <c r="R236" s="747">
        <v>10.435</v>
      </c>
      <c r="T236" s="1628">
        <v>-1.9266917293233001</v>
      </c>
      <c r="U236" s="747">
        <v>1.114341</v>
      </c>
      <c r="V236" s="747">
        <v>13.147193999999999</v>
      </c>
      <c r="W236" s="747">
        <v>14.255033557047</v>
      </c>
      <c r="Y236" s="747" t="s">
        <v>2133</v>
      </c>
      <c r="AA236" s="1631"/>
      <c r="AC236" s="1627"/>
      <c r="AD236" s="747">
        <v>1</v>
      </c>
      <c r="AG236" s="1628">
        <v>3.9856256125449165E-2</v>
      </c>
    </row>
    <row r="237" spans="1:33" x14ac:dyDescent="0.2">
      <c r="A237" s="747" t="s">
        <v>2019</v>
      </c>
      <c r="B237" s="747" t="s">
        <v>3339</v>
      </c>
      <c r="C237" s="747" t="s">
        <v>3340</v>
      </c>
      <c r="D237" s="747" t="s">
        <v>2129</v>
      </c>
      <c r="E237" s="747" t="s">
        <v>2130</v>
      </c>
      <c r="F237" s="747" t="s">
        <v>366</v>
      </c>
      <c r="G237" s="747" t="s">
        <v>3341</v>
      </c>
      <c r="H237" s="1840" t="s">
        <v>3342</v>
      </c>
      <c r="J237" s="747" t="s">
        <v>3341</v>
      </c>
      <c r="L237" s="1630"/>
      <c r="M237" s="747">
        <v>20200</v>
      </c>
      <c r="N237" s="747">
        <v>31.310000000000002</v>
      </c>
      <c r="O237" s="747">
        <v>31.73</v>
      </c>
      <c r="P237" s="747">
        <v>20200</v>
      </c>
      <c r="Q237" s="1631">
        <v>46084.736481481479</v>
      </c>
      <c r="R237" s="747">
        <v>31.73</v>
      </c>
      <c r="T237" s="1628">
        <v>3.7096088435374202</v>
      </c>
      <c r="U237" s="747">
        <v>1.4840543100726202</v>
      </c>
      <c r="V237" s="747">
        <v>10.446735395189</v>
      </c>
      <c r="W237" s="747">
        <v>-34.384667114996702</v>
      </c>
      <c r="Y237" s="747" t="s">
        <v>2133</v>
      </c>
      <c r="AA237" s="1631"/>
      <c r="AC237" s="1627"/>
      <c r="AD237" s="747">
        <v>1</v>
      </c>
      <c r="AG237" s="1628">
        <v>8.9030206677265106E-3</v>
      </c>
    </row>
    <row r="238" spans="1:33" x14ac:dyDescent="0.2">
      <c r="A238" s="747" t="s">
        <v>1965</v>
      </c>
      <c r="B238" s="747" t="s">
        <v>3348</v>
      </c>
      <c r="C238" s="747" t="s">
        <v>3349</v>
      </c>
      <c r="D238" s="747" t="s">
        <v>2120</v>
      </c>
      <c r="F238" s="747" t="s">
        <v>366</v>
      </c>
      <c r="G238" s="747" t="s">
        <v>3350</v>
      </c>
      <c r="H238" s="1840" t="s">
        <v>3351</v>
      </c>
      <c r="J238" s="747" t="s">
        <v>896</v>
      </c>
      <c r="L238" s="1630"/>
      <c r="M238" s="747">
        <v>1700</v>
      </c>
      <c r="N238" s="747">
        <v>24.200000000000003</v>
      </c>
      <c r="O238" s="747">
        <v>24.21</v>
      </c>
      <c r="P238" s="747">
        <v>1900</v>
      </c>
      <c r="Q238" s="1631">
        <v>46084.785868055558</v>
      </c>
      <c r="R238" s="747">
        <v>24.205000000000002</v>
      </c>
      <c r="T238" s="1628">
        <v>-1.2443900448796399</v>
      </c>
      <c r="U238" s="747">
        <v>1.403435</v>
      </c>
      <c r="V238" s="747">
        <v>-0.10317799999999999</v>
      </c>
      <c r="W238" s="747">
        <v>1.07216494845362</v>
      </c>
      <c r="Y238" s="747" t="s">
        <v>2307</v>
      </c>
      <c r="Z238" s="747">
        <v>6.6102049999999997</v>
      </c>
      <c r="AA238" s="1631"/>
      <c r="AB238" s="747">
        <v>0.4</v>
      </c>
      <c r="AC238" s="1627">
        <v>45989</v>
      </c>
      <c r="AD238" s="747">
        <v>1</v>
      </c>
      <c r="AG238" s="1628">
        <v>2.7544415369778292E-4</v>
      </c>
    </row>
    <row r="239" spans="1:33" x14ac:dyDescent="0.2">
      <c r="A239" s="747" t="s">
        <v>1252</v>
      </c>
      <c r="B239" s="747" t="s">
        <v>2952</v>
      </c>
      <c r="C239" s="747" t="s">
        <v>2953</v>
      </c>
      <c r="D239" s="747" t="s">
        <v>2139</v>
      </c>
      <c r="E239" s="747" t="s">
        <v>2109</v>
      </c>
      <c r="F239" s="747" t="s">
        <v>366</v>
      </c>
      <c r="G239" s="747" t="s">
        <v>2954</v>
      </c>
      <c r="H239" s="1840" t="s">
        <v>2955</v>
      </c>
      <c r="J239" s="747" t="s">
        <v>2954</v>
      </c>
      <c r="L239" s="1630"/>
      <c r="M239" s="747">
        <v>470</v>
      </c>
      <c r="N239" s="747">
        <v>14.700000000000001</v>
      </c>
      <c r="O239" s="747">
        <v>15.600000000000001</v>
      </c>
      <c r="P239" s="747">
        <v>400</v>
      </c>
      <c r="Q239" s="1631">
        <v>46084.732824074075</v>
      </c>
      <c r="R239" s="747">
        <v>14.905000000000001</v>
      </c>
      <c r="T239" s="1628">
        <v>-0.76564580559254003</v>
      </c>
      <c r="U239" s="747">
        <v>-5.604813</v>
      </c>
      <c r="V239" s="747">
        <v>-5.694401</v>
      </c>
      <c r="W239" s="747">
        <v>-7.3411474398519596</v>
      </c>
      <c r="Y239" s="747" t="s">
        <v>2133</v>
      </c>
      <c r="AA239" s="1631"/>
      <c r="AC239" s="1627"/>
      <c r="AD239" s="747">
        <v>1</v>
      </c>
      <c r="AG239" s="1628">
        <v>4.0000000000000015E-2</v>
      </c>
    </row>
    <row r="240" spans="1:33" x14ac:dyDescent="0.2">
      <c r="A240" s="747" t="s">
        <v>1635</v>
      </c>
      <c r="B240" s="747" t="s">
        <v>3352</v>
      </c>
      <c r="C240" s="747" t="s">
        <v>3353</v>
      </c>
      <c r="D240" s="747" t="s">
        <v>2158</v>
      </c>
      <c r="E240" s="747" t="s">
        <v>2130</v>
      </c>
      <c r="F240" s="747" t="s">
        <v>381</v>
      </c>
      <c r="G240" s="747" t="s">
        <v>3354</v>
      </c>
      <c r="H240" s="1840" t="s">
        <v>3355</v>
      </c>
      <c r="J240" s="747" t="s">
        <v>3354</v>
      </c>
      <c r="L240" s="1630"/>
      <c r="Q240" s="1631">
        <v>46083.531458333331</v>
      </c>
      <c r="R240" s="747">
        <v>128.82</v>
      </c>
      <c r="T240" s="1628">
        <v>-0.49436119264638861</v>
      </c>
      <c r="U240" s="747">
        <v>1.2656237717160499</v>
      </c>
      <c r="V240" s="747">
        <v>2.2218695445167498</v>
      </c>
      <c r="W240" s="747">
        <v>1.7455177316167709</v>
      </c>
      <c r="Y240" s="747" t="s">
        <v>2133</v>
      </c>
      <c r="AA240" s="1631"/>
      <c r="AC240" s="1627"/>
      <c r="AD240" s="747">
        <v>1</v>
      </c>
      <c r="AG240" s="1628"/>
    </row>
    <row r="241" spans="1:33" x14ac:dyDescent="0.2">
      <c r="A241" s="747" t="s">
        <v>1257</v>
      </c>
      <c r="B241" s="747" t="s">
        <v>2959</v>
      </c>
      <c r="C241" s="747" t="s">
        <v>2960</v>
      </c>
      <c r="D241" s="747" t="s">
        <v>2139</v>
      </c>
      <c r="E241" s="747" t="s">
        <v>2109</v>
      </c>
      <c r="F241" s="747" t="s">
        <v>366</v>
      </c>
      <c r="G241" s="747" t="s">
        <v>2961</v>
      </c>
      <c r="H241" s="1840" t="s">
        <v>2962</v>
      </c>
      <c r="J241" s="747" t="s">
        <v>2961</v>
      </c>
      <c r="L241" s="1630"/>
      <c r="M241" s="747">
        <v>440</v>
      </c>
      <c r="N241" s="747">
        <v>11.600000000000001</v>
      </c>
      <c r="O241" s="747">
        <v>13.13</v>
      </c>
      <c r="P241" s="747">
        <v>2</v>
      </c>
      <c r="Q241" s="1631">
        <v>46084.732766203706</v>
      </c>
      <c r="R241" s="747">
        <v>12.46</v>
      </c>
      <c r="T241" s="1628">
        <v>-1.7737485218762299</v>
      </c>
      <c r="U241" s="747">
        <v>0</v>
      </c>
      <c r="V241" s="747">
        <v>3.273933</v>
      </c>
      <c r="W241" s="747">
        <v>1.764941837144</v>
      </c>
      <c r="Y241" s="747" t="s">
        <v>2133</v>
      </c>
      <c r="AA241" s="1631"/>
      <c r="AC241" s="1627"/>
      <c r="AD241" s="747">
        <v>1</v>
      </c>
      <c r="AG241" s="1628">
        <v>8.4227910817506149E-2</v>
      </c>
    </row>
    <row r="242" spans="1:33" x14ac:dyDescent="0.2">
      <c r="A242" s="747" t="s">
        <v>1262</v>
      </c>
      <c r="B242" s="747" t="s">
        <v>2829</v>
      </c>
      <c r="C242" s="747" t="s">
        <v>2830</v>
      </c>
      <c r="D242" s="747" t="s">
        <v>2139</v>
      </c>
      <c r="E242" s="747" t="s">
        <v>2109</v>
      </c>
      <c r="F242" s="747" t="s">
        <v>366</v>
      </c>
      <c r="G242" s="747" t="s">
        <v>2831</v>
      </c>
      <c r="H242" s="1840" t="s">
        <v>2832</v>
      </c>
      <c r="J242" s="747" t="s">
        <v>2831</v>
      </c>
      <c r="L242" s="1630"/>
      <c r="M242" s="747">
        <v>400</v>
      </c>
      <c r="N242" s="747">
        <v>14.4</v>
      </c>
      <c r="O242" s="747">
        <v>15.765000000000001</v>
      </c>
      <c r="P242" s="747">
        <v>45</v>
      </c>
      <c r="Q242" s="1631">
        <v>46084.732638888891</v>
      </c>
      <c r="R242" s="747">
        <v>14.76</v>
      </c>
      <c r="T242" s="1628">
        <v>-1.3698630136986401</v>
      </c>
      <c r="U242" s="747">
        <v>3.5063109999999997</v>
      </c>
      <c r="V242" s="747">
        <v>13.494810000000001</v>
      </c>
      <c r="W242" s="747">
        <v>13.521714394083</v>
      </c>
      <c r="Y242" s="747" t="s">
        <v>2133</v>
      </c>
      <c r="AA242" s="1631"/>
      <c r="AC242" s="1627"/>
      <c r="AD242" s="747">
        <v>1</v>
      </c>
      <c r="AG242" s="1628">
        <v>6.125883540895323E-2</v>
      </c>
    </row>
    <row r="243" spans="1:33" x14ac:dyDescent="0.2">
      <c r="A243" s="747" t="s">
        <v>1495</v>
      </c>
      <c r="B243" s="747" t="s">
        <v>3258</v>
      </c>
      <c r="C243" s="747" t="s">
        <v>3259</v>
      </c>
      <c r="D243" s="747" t="s">
        <v>2139</v>
      </c>
      <c r="E243" s="747" t="s">
        <v>2355</v>
      </c>
      <c r="F243" s="747" t="s">
        <v>366</v>
      </c>
      <c r="G243" s="747" t="s">
        <v>3260</v>
      </c>
      <c r="H243" s="1840" t="s">
        <v>3261</v>
      </c>
      <c r="J243" s="747" t="s">
        <v>3260</v>
      </c>
      <c r="L243" s="1630"/>
      <c r="M243" s="747">
        <v>200</v>
      </c>
      <c r="N243" s="747">
        <v>46.79</v>
      </c>
      <c r="O243" s="747">
        <v>46.800000000000004</v>
      </c>
      <c r="P243" s="747">
        <v>100</v>
      </c>
      <c r="Q243" s="1631">
        <v>46084.785891203705</v>
      </c>
      <c r="R243" s="747">
        <v>46.79</v>
      </c>
      <c r="T243" s="1628">
        <v>-1.2244036309900801</v>
      </c>
      <c r="U243" s="747">
        <v>8.1849709999999991</v>
      </c>
      <c r="V243" s="747">
        <v>9.4759010000000004</v>
      </c>
      <c r="W243" s="747">
        <v>10.962754743499699</v>
      </c>
      <c r="Y243" s="747" t="s">
        <v>2133</v>
      </c>
      <c r="AA243" s="1631"/>
      <c r="AB243" s="747">
        <v>0.31721000000000005</v>
      </c>
      <c r="AC243" s="1627">
        <v>46013</v>
      </c>
      <c r="AD243" s="747">
        <v>1</v>
      </c>
      <c r="AG243" s="1628">
        <v>1.4247043738431565E-4</v>
      </c>
    </row>
    <row r="244" spans="1:33" x14ac:dyDescent="0.2">
      <c r="A244" s="747" t="s">
        <v>1266</v>
      </c>
      <c r="B244" s="747" t="s">
        <v>2966</v>
      </c>
      <c r="C244" s="747" t="s">
        <v>2967</v>
      </c>
      <c r="D244" s="747" t="s">
        <v>2139</v>
      </c>
      <c r="E244" s="747" t="s">
        <v>2109</v>
      </c>
      <c r="F244" s="747" t="s">
        <v>366</v>
      </c>
      <c r="G244" s="747" t="s">
        <v>2968</v>
      </c>
      <c r="H244" s="1840" t="s">
        <v>2969</v>
      </c>
      <c r="J244" s="747" t="s">
        <v>2968</v>
      </c>
      <c r="L244" s="1630"/>
      <c r="M244" s="747">
        <v>13</v>
      </c>
      <c r="N244" s="747">
        <v>38.700000000000003</v>
      </c>
      <c r="O244" s="747">
        <v>42</v>
      </c>
      <c r="P244" s="747">
        <v>450</v>
      </c>
      <c r="Q244" s="1631">
        <v>46084.732638888891</v>
      </c>
      <c r="R244" s="747">
        <v>39.230000000000004</v>
      </c>
      <c r="T244" s="1628">
        <v>-0.80910240202275996</v>
      </c>
      <c r="U244" s="747">
        <v>-2.8479449999999997</v>
      </c>
      <c r="V244" s="747">
        <v>-8.6824949999999994</v>
      </c>
      <c r="W244" s="747">
        <v>-6.1461794019933498</v>
      </c>
      <c r="Y244" s="747" t="s">
        <v>2133</v>
      </c>
      <c r="AA244" s="1631"/>
      <c r="AC244" s="1627"/>
      <c r="AD244" s="747">
        <v>1</v>
      </c>
      <c r="AG244" s="1628">
        <v>5.5276381909547687E-2</v>
      </c>
    </row>
    <row r="245" spans="1:33" x14ac:dyDescent="0.2">
      <c r="A245" s="747" t="s">
        <v>1271</v>
      </c>
      <c r="B245" s="747" t="s">
        <v>2974</v>
      </c>
      <c r="C245" s="747" t="s">
        <v>2975</v>
      </c>
      <c r="D245" s="747" t="s">
        <v>2139</v>
      </c>
      <c r="E245" s="747" t="s">
        <v>2109</v>
      </c>
      <c r="F245" s="747" t="s">
        <v>366</v>
      </c>
      <c r="G245" s="747" t="s">
        <v>2976</v>
      </c>
      <c r="H245" s="1840" t="s">
        <v>2977</v>
      </c>
      <c r="J245" s="747" t="s">
        <v>2976</v>
      </c>
      <c r="L245" s="1630"/>
      <c r="M245" s="747">
        <v>7990</v>
      </c>
      <c r="N245" s="747">
        <v>11.22</v>
      </c>
      <c r="O245" s="747">
        <v>11.455</v>
      </c>
      <c r="P245" s="747">
        <v>207</v>
      </c>
      <c r="Q245" s="1631">
        <v>46084.732800925929</v>
      </c>
      <c r="R245" s="747">
        <v>11.44</v>
      </c>
      <c r="T245" s="1628">
        <v>-2.6797107613781499</v>
      </c>
      <c r="U245" s="747">
        <v>0.61565499999999995</v>
      </c>
      <c r="V245" s="747">
        <v>18.395860000000003</v>
      </c>
      <c r="W245" s="747">
        <v>15.670356703567</v>
      </c>
      <c r="Y245" s="747" t="s">
        <v>2133</v>
      </c>
      <c r="AA245" s="1631"/>
      <c r="AC245" s="1627"/>
      <c r="AD245" s="747">
        <v>1</v>
      </c>
      <c r="AG245" s="1628">
        <v>1.3866351969316973E-2</v>
      </c>
    </row>
    <row r="246" spans="1:33" x14ac:dyDescent="0.2">
      <c r="A246" s="747" t="s">
        <v>1848</v>
      </c>
      <c r="B246" s="747" t="s">
        <v>3374</v>
      </c>
      <c r="C246" s="747" t="s">
        <v>3375</v>
      </c>
      <c r="D246" s="747" t="s">
        <v>2120</v>
      </c>
      <c r="F246" s="747" t="s">
        <v>366</v>
      </c>
      <c r="G246" s="747" t="s">
        <v>895</v>
      </c>
      <c r="H246" s="1840" t="s">
        <v>3376</v>
      </c>
      <c r="J246" s="747" t="s">
        <v>3377</v>
      </c>
      <c r="L246" s="1630"/>
      <c r="M246" s="747">
        <v>40</v>
      </c>
      <c r="N246" s="747">
        <v>853.51</v>
      </c>
      <c r="O246" s="747">
        <v>855</v>
      </c>
      <c r="P246" s="747">
        <v>80</v>
      </c>
      <c r="Q246" s="1631">
        <v>46084.785798611112</v>
      </c>
      <c r="R246" s="747">
        <v>854.5</v>
      </c>
      <c r="T246" s="1628">
        <v>-3.0277582332781199</v>
      </c>
      <c r="U246" s="747">
        <v>9.5161809999999996</v>
      </c>
      <c r="V246" s="747">
        <v>36.654406000000002</v>
      </c>
      <c r="W246" s="747">
        <v>34.825649892130997</v>
      </c>
      <c r="Y246" s="747" t="s">
        <v>2655</v>
      </c>
      <c r="Z246" s="747">
        <v>0.175541</v>
      </c>
      <c r="AA246" s="1631"/>
      <c r="AB246" s="747">
        <v>0.5</v>
      </c>
      <c r="AC246" s="1627">
        <v>46027</v>
      </c>
      <c r="AD246" s="747">
        <v>1</v>
      </c>
      <c r="AG246" s="1628">
        <v>1.1631447061303262E-3</v>
      </c>
    </row>
    <row r="247" spans="1:33" x14ac:dyDescent="0.2">
      <c r="A247" s="747" t="s">
        <v>1277</v>
      </c>
      <c r="B247" s="747" t="s">
        <v>2978</v>
      </c>
      <c r="C247" s="747" t="s">
        <v>2979</v>
      </c>
      <c r="D247" s="747" t="s">
        <v>2139</v>
      </c>
      <c r="E247" s="747" t="s">
        <v>2109</v>
      </c>
      <c r="F247" s="747" t="s">
        <v>366</v>
      </c>
      <c r="G247" s="747" t="s">
        <v>2980</v>
      </c>
      <c r="H247" s="1840" t="s">
        <v>2981</v>
      </c>
      <c r="J247" s="747" t="s">
        <v>2980</v>
      </c>
      <c r="L247" s="1630"/>
      <c r="M247" s="747">
        <v>900</v>
      </c>
      <c r="N247" s="747">
        <v>10.8</v>
      </c>
      <c r="O247" s="747">
        <v>11.73</v>
      </c>
      <c r="P247" s="747">
        <v>613</v>
      </c>
      <c r="Q247" s="1631">
        <v>46084.732951388891</v>
      </c>
      <c r="R247" s="747">
        <v>11.404999999999999</v>
      </c>
      <c r="T247" s="1628">
        <v>-2.5630072618539201</v>
      </c>
      <c r="U247" s="747">
        <v>7.1898500000000007</v>
      </c>
      <c r="V247" s="747">
        <v>8.5156989999999997</v>
      </c>
      <c r="W247" s="747">
        <v>10.6855791962175</v>
      </c>
      <c r="Y247" s="747" t="s">
        <v>2133</v>
      </c>
      <c r="AA247" s="1631"/>
      <c r="AC247" s="1627"/>
      <c r="AD247" s="747">
        <v>1</v>
      </c>
      <c r="AG247" s="1628">
        <v>5.580558055805579E-2</v>
      </c>
    </row>
    <row r="248" spans="1:33" x14ac:dyDescent="0.2">
      <c r="A248" s="747" t="s">
        <v>4349</v>
      </c>
      <c r="B248" s="747" t="s">
        <v>4360</v>
      </c>
      <c r="C248" s="747" t="s">
        <v>3015</v>
      </c>
      <c r="D248" s="747" t="s">
        <v>2139</v>
      </c>
      <c r="E248" s="747" t="s">
        <v>2098</v>
      </c>
      <c r="F248" s="747" t="s">
        <v>381</v>
      </c>
      <c r="G248" s="747" t="s">
        <v>3016</v>
      </c>
      <c r="H248" s="1840" t="s">
        <v>3017</v>
      </c>
      <c r="J248" s="747" t="s">
        <v>3016</v>
      </c>
      <c r="L248" s="1630"/>
      <c r="M248" s="747">
        <v>2052</v>
      </c>
      <c r="N248" s="747">
        <v>48.74</v>
      </c>
      <c r="O248" s="747">
        <v>48.99</v>
      </c>
      <c r="P248" s="747">
        <v>2042</v>
      </c>
      <c r="Q248" s="1631">
        <v>46084.781354166669</v>
      </c>
      <c r="R248" s="747">
        <v>48.79</v>
      </c>
      <c r="T248" s="1628">
        <v>-3.0002006823198899</v>
      </c>
      <c r="U248" s="747">
        <v>11.622412241224136</v>
      </c>
      <c r="V248" s="747">
        <v>18.236300999999997</v>
      </c>
      <c r="W248" s="747">
        <v>22.042615723732602</v>
      </c>
      <c r="Y248" s="747" t="s">
        <v>2133</v>
      </c>
      <c r="AA248" s="1631"/>
      <c r="AB248" s="747">
        <v>0.397814</v>
      </c>
      <c r="AC248" s="1627">
        <v>46037</v>
      </c>
      <c r="AD248" s="747">
        <v>1</v>
      </c>
      <c r="AG248" s="1628">
        <v>3.413668327985253E-3</v>
      </c>
    </row>
    <row r="249" spans="1:33" x14ac:dyDescent="0.2">
      <c r="A249" s="747" t="s">
        <v>4286</v>
      </c>
      <c r="B249" s="747" t="s">
        <v>2455</v>
      </c>
      <c r="C249" s="747" t="s">
        <v>2456</v>
      </c>
      <c r="D249" s="747" t="s">
        <v>2139</v>
      </c>
      <c r="E249" s="747" t="s">
        <v>2109</v>
      </c>
      <c r="F249" s="747" t="s">
        <v>381</v>
      </c>
      <c r="G249" s="747" t="s">
        <v>2457</v>
      </c>
      <c r="H249" s="1840" t="s">
        <v>2458</v>
      </c>
      <c r="J249" s="747" t="s">
        <v>2457</v>
      </c>
      <c r="L249" s="1630"/>
      <c r="Q249" s="1631">
        <v>46083.733229166668</v>
      </c>
      <c r="R249" s="747">
        <v>52.900000000000006</v>
      </c>
      <c r="T249" s="1628">
        <v>-1.9825829164350499</v>
      </c>
      <c r="U249" s="747">
        <v>0.87719298245615551</v>
      </c>
      <c r="V249" s="747">
        <v>7.8161622337715437</v>
      </c>
      <c r="W249" s="747">
        <v>5.4414989037273402</v>
      </c>
      <c r="Y249" s="747" t="s">
        <v>2133</v>
      </c>
      <c r="AA249" s="1631"/>
      <c r="AB249" s="747">
        <v>0.13300000000000001</v>
      </c>
      <c r="AC249" s="1627">
        <v>46072</v>
      </c>
      <c r="AD249" s="747">
        <v>1</v>
      </c>
      <c r="AG249" s="1628"/>
    </row>
    <row r="250" spans="1:33" x14ac:dyDescent="0.2">
      <c r="A250" s="747" t="s">
        <v>1690</v>
      </c>
      <c r="B250" s="747" t="s">
        <v>3384</v>
      </c>
      <c r="C250" s="747" t="s">
        <v>3385</v>
      </c>
      <c r="D250" s="747" t="s">
        <v>2158</v>
      </c>
      <c r="E250" s="747" t="s">
        <v>2130</v>
      </c>
      <c r="F250" s="747" t="s">
        <v>366</v>
      </c>
      <c r="G250" s="747" t="s">
        <v>3386</v>
      </c>
      <c r="H250" s="1840" t="s">
        <v>3387</v>
      </c>
      <c r="J250" s="747" t="s">
        <v>3386</v>
      </c>
      <c r="L250" s="1630"/>
      <c r="Q250" s="1631">
        <v>46083.76048611111</v>
      </c>
      <c r="R250" s="747">
        <v>408.06130000000002</v>
      </c>
      <c r="T250" s="1628">
        <v>-3.1762667529723752</v>
      </c>
      <c r="U250" s="747">
        <v>0.24487519791090001</v>
      </c>
      <c r="V250" s="747">
        <v>13.813391927268601</v>
      </c>
      <c r="W250" s="747">
        <v>9.0977898717919281</v>
      </c>
      <c r="Y250" s="747" t="s">
        <v>2133</v>
      </c>
      <c r="AA250" s="1631"/>
      <c r="AC250" s="1627"/>
      <c r="AD250" s="747">
        <v>1</v>
      </c>
      <c r="AG250" s="1628"/>
    </row>
    <row r="251" spans="1:33" x14ac:dyDescent="0.2">
      <c r="A251" s="747" t="s">
        <v>4331</v>
      </c>
      <c r="B251" s="747" t="s">
        <v>4341</v>
      </c>
      <c r="C251" s="747" t="s">
        <v>2900</v>
      </c>
      <c r="D251" s="747" t="s">
        <v>2139</v>
      </c>
      <c r="E251" s="747" t="s">
        <v>2098</v>
      </c>
      <c r="F251" s="747" t="s">
        <v>381</v>
      </c>
      <c r="G251" s="747" t="s">
        <v>2901</v>
      </c>
      <c r="H251" s="1840" t="s">
        <v>2902</v>
      </c>
      <c r="J251" s="747" t="s">
        <v>2901</v>
      </c>
      <c r="L251" s="1630"/>
      <c r="M251" s="747">
        <v>2960</v>
      </c>
      <c r="N251" s="747">
        <v>33.795000000000002</v>
      </c>
      <c r="O251" s="747">
        <v>33.910000000000004</v>
      </c>
      <c r="P251" s="747">
        <v>2949</v>
      </c>
      <c r="Q251" s="1631">
        <v>46084.781331018516</v>
      </c>
      <c r="R251" s="747">
        <v>33.800000000000004</v>
      </c>
      <c r="T251" s="1628">
        <v>-5.3378762067007299</v>
      </c>
      <c r="U251" s="747">
        <v>-11.961974999999999</v>
      </c>
      <c r="V251" s="747">
        <v>0.77074199999999993</v>
      </c>
      <c r="W251" s="747">
        <v>-5.6753688989800002E-2</v>
      </c>
      <c r="Y251" s="747" t="s">
        <v>2133</v>
      </c>
      <c r="AA251" s="1631"/>
      <c r="AB251" s="747">
        <v>0.2918</v>
      </c>
      <c r="AC251" s="1627">
        <v>46037</v>
      </c>
      <c r="AD251" s="747">
        <v>1</v>
      </c>
      <c r="AG251" s="1628">
        <v>2.2660098522167878E-3</v>
      </c>
    </row>
    <row r="252" spans="1:33" x14ac:dyDescent="0.2">
      <c r="A252" s="747" t="s">
        <v>1698</v>
      </c>
      <c r="B252" s="747" t="s">
        <v>3401</v>
      </c>
      <c r="C252" s="747" t="s">
        <v>3402</v>
      </c>
      <c r="D252" s="747" t="s">
        <v>2158</v>
      </c>
      <c r="E252" s="747" t="s">
        <v>2130</v>
      </c>
      <c r="F252" s="747" t="s">
        <v>381</v>
      </c>
      <c r="G252" s="747" t="s">
        <v>3399</v>
      </c>
      <c r="H252" s="1840" t="s">
        <v>3403</v>
      </c>
      <c r="J252" s="747" t="s">
        <v>3399</v>
      </c>
      <c r="L252" s="1630"/>
      <c r="Q252" s="1631">
        <v>46083.461701388886</v>
      </c>
      <c r="R252" s="747">
        <v>105.21000000000001</v>
      </c>
      <c r="T252" s="1628">
        <v>-0.26542800265428107</v>
      </c>
      <c r="U252" s="747">
        <v>0.62165263963275996</v>
      </c>
      <c r="V252" s="747">
        <v>0.78551585400902002</v>
      </c>
      <c r="W252" s="747">
        <v>0.66979236436704892</v>
      </c>
      <c r="Y252" s="747" t="s">
        <v>2133</v>
      </c>
      <c r="AA252" s="1631"/>
      <c r="AC252" s="1627"/>
      <c r="AD252" s="747">
        <v>1</v>
      </c>
      <c r="AG252" s="1628"/>
    </row>
    <row r="253" spans="1:33" x14ac:dyDescent="0.2">
      <c r="A253" s="747" t="s">
        <v>4332</v>
      </c>
      <c r="B253" s="747" t="s">
        <v>4342</v>
      </c>
      <c r="C253" s="747" t="s">
        <v>2438</v>
      </c>
      <c r="D253" s="747" t="s">
        <v>2139</v>
      </c>
      <c r="E253" s="747" t="s">
        <v>2098</v>
      </c>
      <c r="F253" s="747" t="s">
        <v>381</v>
      </c>
      <c r="G253" s="747" t="s">
        <v>2439</v>
      </c>
      <c r="H253" s="1840" t="s">
        <v>2440</v>
      </c>
      <c r="J253" s="747" t="s">
        <v>2439</v>
      </c>
      <c r="L253" s="1630"/>
      <c r="M253" s="747">
        <v>1276</v>
      </c>
      <c r="N253" s="747">
        <v>78.430000000000007</v>
      </c>
      <c r="O253" s="747">
        <v>78.77</v>
      </c>
      <c r="P253" s="747">
        <v>1270</v>
      </c>
      <c r="Q253" s="1631">
        <v>46084.781354166669</v>
      </c>
      <c r="R253" s="747">
        <v>78.48</v>
      </c>
      <c r="T253" s="1628">
        <v>-0.38886863531415</v>
      </c>
      <c r="U253" s="747">
        <v>6.9810085134250137</v>
      </c>
      <c r="V253" s="747">
        <v>30.354293009894672</v>
      </c>
      <c r="W253" s="747">
        <v>21.221532091097401</v>
      </c>
      <c r="Y253" s="747" t="s">
        <v>2133</v>
      </c>
      <c r="AA253" s="1631"/>
      <c r="AB253" s="747">
        <v>0.13477600000000001</v>
      </c>
      <c r="AC253" s="1627">
        <v>46037</v>
      </c>
      <c r="AD253" s="747">
        <v>1</v>
      </c>
      <c r="AG253" s="1628">
        <v>2.8858804057207417E-3</v>
      </c>
    </row>
    <row r="254" spans="1:33" x14ac:dyDescent="0.2">
      <c r="A254" s="747" t="s">
        <v>1644</v>
      </c>
      <c r="B254" s="747" t="s">
        <v>3360</v>
      </c>
      <c r="C254" s="747" t="s">
        <v>3361</v>
      </c>
      <c r="D254" s="747" t="s">
        <v>2158</v>
      </c>
      <c r="E254" s="747" t="s">
        <v>2130</v>
      </c>
      <c r="F254" s="747" t="s">
        <v>366</v>
      </c>
      <c r="G254" s="747" t="s">
        <v>3362</v>
      </c>
      <c r="H254" s="1840" t="s">
        <v>3363</v>
      </c>
      <c r="J254" s="747" t="s">
        <v>3362</v>
      </c>
      <c r="L254" s="1630"/>
      <c r="Q254" s="1631">
        <v>46083.947974537034</v>
      </c>
      <c r="R254" s="747">
        <v>24.41</v>
      </c>
      <c r="T254" s="1628">
        <v>-1.1340623734305433</v>
      </c>
      <c r="U254" s="747">
        <v>6.9675723049956204</v>
      </c>
      <c r="V254" s="747">
        <v>20.722057368941702</v>
      </c>
      <c r="W254" s="747">
        <v>15.742057847321005</v>
      </c>
      <c r="Y254" s="747" t="s">
        <v>2133</v>
      </c>
      <c r="AA254" s="1631"/>
      <c r="AC254" s="1627"/>
      <c r="AD254" s="747">
        <v>1</v>
      </c>
      <c r="AG254" s="1628"/>
    </row>
    <row r="255" spans="1:33" x14ac:dyDescent="0.2">
      <c r="A255" s="747" t="s">
        <v>4333</v>
      </c>
      <c r="B255" s="747" t="s">
        <v>4343</v>
      </c>
      <c r="C255" s="747" t="s">
        <v>2992</v>
      </c>
      <c r="D255" s="747" t="s">
        <v>2139</v>
      </c>
      <c r="E255" s="747" t="s">
        <v>2098</v>
      </c>
      <c r="F255" s="747" t="s">
        <v>381</v>
      </c>
      <c r="G255" s="747" t="s">
        <v>2993</v>
      </c>
      <c r="H255" s="1840" t="s">
        <v>2994</v>
      </c>
      <c r="J255" s="747" t="s">
        <v>2993</v>
      </c>
      <c r="L255" s="1630"/>
      <c r="M255" s="747">
        <v>878</v>
      </c>
      <c r="N255" s="747">
        <v>113.92</v>
      </c>
      <c r="O255" s="747">
        <v>114.24000000000001</v>
      </c>
      <c r="P255" s="747">
        <v>876</v>
      </c>
      <c r="Q255" s="1631">
        <v>46084.781354166669</v>
      </c>
      <c r="R255" s="747">
        <v>113.94</v>
      </c>
      <c r="T255" s="1628">
        <v>-1.88679245283019</v>
      </c>
      <c r="U255" s="747">
        <v>4.7995685781053421</v>
      </c>
      <c r="V255" s="747">
        <v>8.0429948109710967</v>
      </c>
      <c r="W255" s="747">
        <v>5.9679767103348</v>
      </c>
      <c r="Y255" s="747" t="s">
        <v>2133</v>
      </c>
      <c r="AA255" s="1631"/>
      <c r="AB255" s="747">
        <v>0.11078199999999999</v>
      </c>
      <c r="AC255" s="1627">
        <v>46037</v>
      </c>
      <c r="AD255" s="747">
        <v>1</v>
      </c>
      <c r="AG255" s="1628">
        <v>1.8709073900842338E-3</v>
      </c>
    </row>
    <row r="256" spans="1:33" x14ac:dyDescent="0.2">
      <c r="A256" s="747" t="s">
        <v>1898</v>
      </c>
      <c r="B256" s="747" t="s">
        <v>3411</v>
      </c>
      <c r="C256" s="747" t="s">
        <v>3412</v>
      </c>
      <c r="D256" s="747" t="s">
        <v>2120</v>
      </c>
      <c r="F256" s="747" t="s">
        <v>3007</v>
      </c>
      <c r="G256" s="747" t="s">
        <v>3413</v>
      </c>
      <c r="H256" s="1840" t="s">
        <v>3414</v>
      </c>
      <c r="J256" s="747" t="s">
        <v>3415</v>
      </c>
      <c r="L256" s="1630"/>
      <c r="M256" s="747">
        <v>1446</v>
      </c>
      <c r="N256" s="747">
        <v>87.52</v>
      </c>
      <c r="O256" s="747">
        <v>87.52</v>
      </c>
      <c r="P256" s="747">
        <v>1446</v>
      </c>
      <c r="Q256" s="1631">
        <v>46084.680555555555</v>
      </c>
      <c r="R256" s="747">
        <v>88.16</v>
      </c>
      <c r="T256" s="1628">
        <v>-2.6071586389748198</v>
      </c>
      <c r="U256" s="747">
        <v>0.76580180592067859</v>
      </c>
      <c r="V256" s="747">
        <v>18.781999461061705</v>
      </c>
      <c r="W256" s="747">
        <v>15.6214075871759</v>
      </c>
      <c r="Y256" s="747" t="s">
        <v>3067</v>
      </c>
      <c r="Z256" s="747">
        <v>3.4029038112522692</v>
      </c>
      <c r="AA256" s="1631"/>
      <c r="AB256" s="747">
        <v>2.25</v>
      </c>
      <c r="AC256" s="1627">
        <v>45789</v>
      </c>
      <c r="AD256" s="747">
        <v>1</v>
      </c>
      <c r="AG256" s="1628">
        <v>0</v>
      </c>
    </row>
    <row r="257" spans="1:33" x14ac:dyDescent="0.2">
      <c r="A257" s="747" t="s">
        <v>4335</v>
      </c>
      <c r="B257" s="747" t="s">
        <v>4344</v>
      </c>
      <c r="C257" s="747" t="s">
        <v>2995</v>
      </c>
      <c r="D257" s="747" t="s">
        <v>2139</v>
      </c>
      <c r="E257" s="747" t="s">
        <v>2098</v>
      </c>
      <c r="F257" s="747" t="s">
        <v>381</v>
      </c>
      <c r="G257" s="747" t="s">
        <v>2996</v>
      </c>
      <c r="H257" s="1840" t="s">
        <v>2997</v>
      </c>
      <c r="J257" s="747" t="s">
        <v>2996</v>
      </c>
      <c r="L257" s="1630"/>
      <c r="M257" s="747">
        <v>1172</v>
      </c>
      <c r="N257" s="747">
        <v>85.38</v>
      </c>
      <c r="O257" s="747">
        <v>85.78</v>
      </c>
      <c r="P257" s="747">
        <v>1166</v>
      </c>
      <c r="Q257" s="1631">
        <v>46084.781354166669</v>
      </c>
      <c r="R257" s="747">
        <v>85.38</v>
      </c>
      <c r="T257" s="1628">
        <v>2.32261061433E-2</v>
      </c>
      <c r="U257" s="747">
        <v>-4.1451346893897698</v>
      </c>
      <c r="V257" s="747">
        <v>3.4531861872552638</v>
      </c>
      <c r="W257" s="747">
        <v>-4.0761777480788703</v>
      </c>
      <c r="Y257" s="747" t="s">
        <v>2133</v>
      </c>
      <c r="AA257" s="1631"/>
      <c r="AB257" s="747">
        <v>0.28270000000000001</v>
      </c>
      <c r="AC257" s="1627">
        <v>46037</v>
      </c>
      <c r="AD257" s="747">
        <v>1</v>
      </c>
      <c r="AG257" s="1628">
        <v>3.1184220784283602E-3</v>
      </c>
    </row>
    <row r="258" spans="1:33" x14ac:dyDescent="0.2">
      <c r="A258" s="747" t="s">
        <v>4336</v>
      </c>
      <c r="B258" s="747" t="s">
        <v>4345</v>
      </c>
      <c r="C258" s="747" t="s">
        <v>3002</v>
      </c>
      <c r="D258" s="747" t="s">
        <v>2139</v>
      </c>
      <c r="E258" s="747" t="s">
        <v>2098</v>
      </c>
      <c r="F258" s="747" t="s">
        <v>381</v>
      </c>
      <c r="G258" s="747" t="s">
        <v>3003</v>
      </c>
      <c r="H258" s="1840" t="s">
        <v>3004</v>
      </c>
      <c r="J258" s="747" t="s">
        <v>3003</v>
      </c>
      <c r="L258" s="1630"/>
      <c r="M258" s="747">
        <v>1551</v>
      </c>
      <c r="N258" s="747">
        <v>64.489999999999995</v>
      </c>
      <c r="O258" s="747">
        <v>64.739999999999995</v>
      </c>
      <c r="P258" s="747">
        <v>1545</v>
      </c>
      <c r="Q258" s="1631">
        <v>46084.781388888892</v>
      </c>
      <c r="R258" s="747">
        <v>64.5</v>
      </c>
      <c r="T258" s="1628">
        <v>-3.0521726056232201</v>
      </c>
      <c r="U258" s="747">
        <v>4</v>
      </c>
      <c r="V258" s="747">
        <v>6.1399179999999998</v>
      </c>
      <c r="W258" s="747">
        <v>7.5865415723067002</v>
      </c>
      <c r="Y258" s="747" t="s">
        <v>2133</v>
      </c>
      <c r="AA258" s="1631"/>
      <c r="AB258" s="747">
        <v>0.27436699999999997</v>
      </c>
      <c r="AC258" s="1627">
        <v>46037</v>
      </c>
      <c r="AD258" s="747">
        <v>1</v>
      </c>
      <c r="AG258" s="1628">
        <v>2.5810448069378488E-3</v>
      </c>
    </row>
    <row r="259" spans="1:33" x14ac:dyDescent="0.2">
      <c r="A259" s="747" t="s">
        <v>4338</v>
      </c>
      <c r="B259" s="747" t="s">
        <v>4346</v>
      </c>
      <c r="C259" s="747" t="s">
        <v>2942</v>
      </c>
      <c r="D259" s="747" t="s">
        <v>2139</v>
      </c>
      <c r="E259" s="747" t="s">
        <v>2098</v>
      </c>
      <c r="F259" s="747" t="s">
        <v>381</v>
      </c>
      <c r="G259" s="747" t="s">
        <v>2943</v>
      </c>
      <c r="H259" s="1840" t="s">
        <v>2944</v>
      </c>
      <c r="J259" s="747" t="s">
        <v>2943</v>
      </c>
      <c r="L259" s="1630"/>
      <c r="M259" s="747">
        <v>892</v>
      </c>
      <c r="N259" s="747">
        <v>112.18</v>
      </c>
      <c r="O259" s="747">
        <v>112.46000000000001</v>
      </c>
      <c r="P259" s="747">
        <v>890</v>
      </c>
      <c r="Q259" s="1631">
        <v>46084.781319444446</v>
      </c>
      <c r="R259" s="747">
        <v>112.2</v>
      </c>
      <c r="T259" s="1628">
        <v>-3.4458993797381199</v>
      </c>
      <c r="U259" s="747">
        <v>-2.0964359999999997</v>
      </c>
      <c r="V259" s="747">
        <v>10.092785457299751</v>
      </c>
      <c r="W259" s="747">
        <v>8.7094961603296497</v>
      </c>
      <c r="Y259" s="747" t="s">
        <v>2133</v>
      </c>
      <c r="AA259" s="1631"/>
      <c r="AB259" s="747">
        <v>0.11717899999999999</v>
      </c>
      <c r="AC259" s="1627">
        <v>46037</v>
      </c>
      <c r="AD259" s="747">
        <v>1</v>
      </c>
      <c r="AG259" s="1628">
        <v>1.6626091087227665E-3</v>
      </c>
    </row>
    <row r="260" spans="1:33" x14ac:dyDescent="0.2">
      <c r="A260" s="747" t="s">
        <v>1907</v>
      </c>
      <c r="B260" s="747" t="s">
        <v>3423</v>
      </c>
      <c r="C260" s="747" t="s">
        <v>3424</v>
      </c>
      <c r="D260" s="747" t="s">
        <v>2120</v>
      </c>
      <c r="F260" s="747" t="s">
        <v>366</v>
      </c>
      <c r="G260" s="747" t="s">
        <v>3425</v>
      </c>
      <c r="H260" s="1840" t="s">
        <v>3426</v>
      </c>
      <c r="J260" s="747" t="s">
        <v>3427</v>
      </c>
      <c r="L260" s="1630"/>
      <c r="Q260" s="1631">
        <v>46084.645868055559</v>
      </c>
      <c r="R260" s="747">
        <v>5.0500000000000003E-2</v>
      </c>
      <c r="T260" s="1628">
        <v>-0.19762845849801999</v>
      </c>
      <c r="U260" s="747">
        <v>12.222221999999999</v>
      </c>
      <c r="V260" s="747">
        <v>-33.324531</v>
      </c>
      <c r="W260" s="747">
        <v>25.870646766169202</v>
      </c>
      <c r="Y260" s="747" t="s">
        <v>3428</v>
      </c>
      <c r="AA260" s="1631"/>
      <c r="AC260" s="1627"/>
      <c r="AD260" s="747">
        <v>1</v>
      </c>
      <c r="AG260" s="1628"/>
    </row>
    <row r="261" spans="1:33" x14ac:dyDescent="0.2">
      <c r="A261" s="747" t="s">
        <v>1442</v>
      </c>
      <c r="B261" s="747" t="s">
        <v>3184</v>
      </c>
      <c r="C261" s="747" t="s">
        <v>3185</v>
      </c>
      <c r="D261" s="747" t="s">
        <v>2139</v>
      </c>
      <c r="E261" s="747" t="s">
        <v>2109</v>
      </c>
      <c r="F261" s="747" t="s">
        <v>366</v>
      </c>
      <c r="G261" s="747" t="s">
        <v>4454</v>
      </c>
      <c r="H261" s="1840" t="s">
        <v>3186</v>
      </c>
      <c r="J261" s="747" t="s">
        <v>4454</v>
      </c>
      <c r="L261" s="1630"/>
      <c r="M261" s="747">
        <v>100</v>
      </c>
      <c r="N261" s="747">
        <v>55</v>
      </c>
      <c r="O261" s="747">
        <v>60.8675</v>
      </c>
      <c r="P261" s="747">
        <v>3897</v>
      </c>
      <c r="Q261" s="1631">
        <v>46084.73265046296</v>
      </c>
      <c r="R261" s="747">
        <v>59.77</v>
      </c>
      <c r="T261" s="1628">
        <v>-0.9487508803911</v>
      </c>
      <c r="U261" s="747">
        <v>-5.6287989999999999</v>
      </c>
      <c r="V261" s="747">
        <v>-5.4571339999999999</v>
      </c>
      <c r="W261" s="747">
        <v>-7.2563447388138602</v>
      </c>
      <c r="Y261" s="747" t="s">
        <v>2133</v>
      </c>
      <c r="AA261" s="1631"/>
      <c r="AC261" s="1627"/>
      <c r="AD261" s="747">
        <v>1</v>
      </c>
      <c r="AG261" s="1628">
        <v>6.8678947137401788E-2</v>
      </c>
    </row>
    <row r="262" spans="1:33" x14ac:dyDescent="0.2">
      <c r="A262" s="747" t="s">
        <v>987</v>
      </c>
      <c r="B262" s="747" t="s">
        <v>2281</v>
      </c>
      <c r="D262" s="747" t="s">
        <v>2259</v>
      </c>
      <c r="H262" s="1840"/>
      <c r="L262" s="1630"/>
      <c r="Q262" s="1631"/>
      <c r="AA262" s="1631"/>
      <c r="AC262" s="1627"/>
      <c r="AG262" s="1628"/>
    </row>
    <row r="263" spans="1:33" x14ac:dyDescent="0.2">
      <c r="A263" s="747" t="s">
        <v>4350</v>
      </c>
      <c r="B263" s="747" t="s">
        <v>4361</v>
      </c>
      <c r="C263" s="747" t="s">
        <v>3022</v>
      </c>
      <c r="D263" s="747" t="s">
        <v>2139</v>
      </c>
      <c r="E263" s="747" t="s">
        <v>2098</v>
      </c>
      <c r="F263" s="747" t="s">
        <v>381</v>
      </c>
      <c r="G263" s="747" t="s">
        <v>3023</v>
      </c>
      <c r="H263" s="1840" t="s">
        <v>3024</v>
      </c>
      <c r="J263" s="747" t="s">
        <v>3023</v>
      </c>
      <c r="L263" s="1630"/>
      <c r="M263" s="747">
        <v>1029</v>
      </c>
      <c r="N263" s="747">
        <v>97.22</v>
      </c>
      <c r="O263" s="747">
        <v>97.63</v>
      </c>
      <c r="P263" s="747">
        <v>1025</v>
      </c>
      <c r="Q263" s="1631">
        <v>46084.781331018516</v>
      </c>
      <c r="R263" s="747">
        <v>97.22</v>
      </c>
      <c r="T263" s="1628">
        <v>1.45183441239946</v>
      </c>
      <c r="U263" s="747">
        <v>0.89062343640548447</v>
      </c>
      <c r="V263" s="747">
        <v>-1.2343260188087686</v>
      </c>
      <c r="W263" s="747">
        <v>-0.25077160493827999</v>
      </c>
      <c r="Y263" s="747" t="s">
        <v>2133</v>
      </c>
      <c r="AA263" s="1631"/>
      <c r="AB263" s="747">
        <v>0.54339999999999999</v>
      </c>
      <c r="AC263" s="1627">
        <v>46037</v>
      </c>
      <c r="AD263" s="747">
        <v>1</v>
      </c>
      <c r="AG263" s="1628">
        <v>2.8075461362002028E-3</v>
      </c>
    </row>
    <row r="264" spans="1:33" x14ac:dyDescent="0.2">
      <c r="A264" s="747" t="s">
        <v>981</v>
      </c>
      <c r="B264" s="747" t="s">
        <v>2260</v>
      </c>
      <c r="D264" s="747" t="s">
        <v>2259</v>
      </c>
      <c r="H264" s="1840"/>
      <c r="L264" s="1630"/>
      <c r="Q264" s="1631"/>
      <c r="AA264" s="1631"/>
      <c r="AC264" s="1627"/>
      <c r="AG264" s="1628"/>
    </row>
    <row r="265" spans="1:33" x14ac:dyDescent="0.2">
      <c r="A265" s="747" t="s">
        <v>1663</v>
      </c>
      <c r="B265" s="747" t="s">
        <v>3364</v>
      </c>
      <c r="C265" s="747" t="s">
        <v>3365</v>
      </c>
      <c r="D265" s="747" t="s">
        <v>2158</v>
      </c>
      <c r="E265" s="747" t="s">
        <v>2130</v>
      </c>
      <c r="F265" s="747" t="s">
        <v>381</v>
      </c>
      <c r="G265" s="747" t="s">
        <v>900</v>
      </c>
      <c r="H265" s="1840" t="s">
        <v>3366</v>
      </c>
      <c r="J265" s="747" t="s">
        <v>900</v>
      </c>
      <c r="L265" s="1630"/>
      <c r="Q265" s="1631">
        <v>46083.885474537034</v>
      </c>
      <c r="R265" s="747">
        <v>29.17</v>
      </c>
      <c r="T265" s="1628">
        <v>-0.17111567419574661</v>
      </c>
      <c r="U265" s="747">
        <v>5.0414115952466796</v>
      </c>
      <c r="V265" s="747">
        <v>6.8498168498168601</v>
      </c>
      <c r="W265" s="747">
        <v>6.4210142283838074</v>
      </c>
      <c r="Y265" s="747" t="s">
        <v>2133</v>
      </c>
      <c r="AA265" s="1631"/>
      <c r="AC265" s="1627"/>
      <c r="AD265" s="747">
        <v>1</v>
      </c>
      <c r="AG265" s="1628"/>
    </row>
    <row r="266" spans="1:33" x14ac:dyDescent="0.2">
      <c r="A266" s="747" t="s">
        <v>4352</v>
      </c>
      <c r="B266" s="747" t="s">
        <v>4362</v>
      </c>
      <c r="C266" s="747" t="s">
        <v>2922</v>
      </c>
      <c r="D266" s="747" t="s">
        <v>2139</v>
      </c>
      <c r="E266" s="747" t="s">
        <v>2098</v>
      </c>
      <c r="F266" s="747" t="s">
        <v>381</v>
      </c>
      <c r="G266" s="747" t="s">
        <v>2923</v>
      </c>
      <c r="H266" s="1840" t="s">
        <v>2924</v>
      </c>
      <c r="J266" s="747" t="s">
        <v>2923</v>
      </c>
      <c r="L266" s="1630"/>
      <c r="M266" s="747">
        <v>1242</v>
      </c>
      <c r="N266" s="747">
        <v>80.52</v>
      </c>
      <c r="O266" s="747">
        <v>80.69</v>
      </c>
      <c r="P266" s="747">
        <v>1240</v>
      </c>
      <c r="Q266" s="1631">
        <v>46084.781319444446</v>
      </c>
      <c r="R266" s="747">
        <v>80.53</v>
      </c>
      <c r="T266" s="1628">
        <v>-2.03302119270576</v>
      </c>
      <c r="U266" s="747">
        <v>-5.5251900000000003</v>
      </c>
      <c r="V266" s="747">
        <v>-1.875848</v>
      </c>
      <c r="W266" s="747">
        <v>1.1213555943184601</v>
      </c>
      <c r="Y266" s="747" t="s">
        <v>2133</v>
      </c>
      <c r="AA266" s="1631"/>
      <c r="AB266" s="747">
        <v>6.7979999999999999E-2</v>
      </c>
      <c r="AC266" s="1627">
        <v>46037</v>
      </c>
      <c r="AD266" s="747">
        <v>1</v>
      </c>
      <c r="AG266" s="1628">
        <v>1.4065279444007918E-3</v>
      </c>
    </row>
    <row r="267" spans="1:33" x14ac:dyDescent="0.2">
      <c r="A267" s="747" t="s">
        <v>1974</v>
      </c>
      <c r="B267" s="747" t="s">
        <v>3435</v>
      </c>
      <c r="C267" s="747" t="s">
        <v>3436</v>
      </c>
      <c r="D267" s="747" t="s">
        <v>2120</v>
      </c>
      <c r="F267" s="747" t="s">
        <v>369</v>
      </c>
      <c r="G267" s="747" t="s">
        <v>3437</v>
      </c>
      <c r="H267" s="1840" t="s">
        <v>3438</v>
      </c>
      <c r="J267" s="747" t="s">
        <v>3439</v>
      </c>
      <c r="L267" s="1630"/>
      <c r="M267" s="747">
        <v>20</v>
      </c>
      <c r="N267" s="747">
        <v>520</v>
      </c>
      <c r="O267" s="747">
        <v>526</v>
      </c>
      <c r="P267" s="747">
        <v>35</v>
      </c>
      <c r="Q267" s="1631">
        <v>46084.731215277781</v>
      </c>
      <c r="R267" s="747">
        <v>526.4</v>
      </c>
      <c r="T267" s="1628">
        <v>-2.0104244229337498</v>
      </c>
      <c r="U267" s="747">
        <v>6.2146889999999999</v>
      </c>
      <c r="V267" s="747">
        <v>35.043611999999996</v>
      </c>
      <c r="W267" s="747">
        <v>39.207048458149799</v>
      </c>
      <c r="Y267" s="747" t="s">
        <v>2203</v>
      </c>
      <c r="Z267" s="747">
        <v>1.1873100000000001</v>
      </c>
      <c r="AA267" s="1631"/>
      <c r="AB267" s="747">
        <v>6.25</v>
      </c>
      <c r="AC267" s="1627">
        <v>45779</v>
      </c>
      <c r="AD267" s="747">
        <v>1</v>
      </c>
      <c r="AG267" s="1628">
        <v>7.6628352490421452E-3</v>
      </c>
    </row>
    <row r="268" spans="1:33" x14ac:dyDescent="0.2">
      <c r="A268" s="747" t="s">
        <v>4354</v>
      </c>
      <c r="B268" s="747" t="s">
        <v>4363</v>
      </c>
      <c r="C268" s="747" t="s">
        <v>3035</v>
      </c>
      <c r="D268" s="747" t="s">
        <v>2139</v>
      </c>
      <c r="E268" s="747" t="s">
        <v>2098</v>
      </c>
      <c r="F268" s="747" t="s">
        <v>381</v>
      </c>
      <c r="G268" s="747" t="s">
        <v>3036</v>
      </c>
      <c r="H268" s="1840" t="s">
        <v>3037</v>
      </c>
      <c r="J268" s="747" t="s">
        <v>3036</v>
      </c>
      <c r="L268" s="1630"/>
      <c r="M268" s="747">
        <v>4360</v>
      </c>
      <c r="N268" s="747">
        <v>22.94</v>
      </c>
      <c r="O268" s="747">
        <v>23.04</v>
      </c>
      <c r="P268" s="747">
        <v>4341</v>
      </c>
      <c r="Q268" s="1631">
        <v>46084.781331018516</v>
      </c>
      <c r="R268" s="747">
        <v>22.945</v>
      </c>
      <c r="T268" s="1628">
        <v>-2.3896663078579201</v>
      </c>
      <c r="U268" s="747">
        <v>-5.388496468213928</v>
      </c>
      <c r="V268" s="747">
        <v>-4.0016939999999996</v>
      </c>
      <c r="W268" s="747">
        <v>-7.0442265359215499</v>
      </c>
      <c r="Y268" s="747" t="s">
        <v>2133</v>
      </c>
      <c r="AA268" s="1631"/>
      <c r="AB268" s="747">
        <v>3.73E-2</v>
      </c>
      <c r="AC268" s="1627">
        <v>46037</v>
      </c>
      <c r="AD268" s="747">
        <v>1</v>
      </c>
      <c r="AG268" s="1628">
        <v>2.901915264074227E-3</v>
      </c>
    </row>
    <row r="269" spans="1:33" x14ac:dyDescent="0.2">
      <c r="A269" s="747" t="s">
        <v>4355</v>
      </c>
      <c r="B269" s="747" t="s">
        <v>4364</v>
      </c>
      <c r="C269" s="747" t="s">
        <v>3042</v>
      </c>
      <c r="D269" s="747" t="s">
        <v>2139</v>
      </c>
      <c r="E269" s="747" t="s">
        <v>2098</v>
      </c>
      <c r="F269" s="747" t="s">
        <v>381</v>
      </c>
      <c r="G269" s="747" t="s">
        <v>416</v>
      </c>
      <c r="H269" s="1840" t="s">
        <v>3043</v>
      </c>
      <c r="J269" s="747" t="s">
        <v>416</v>
      </c>
      <c r="L269" s="1630"/>
      <c r="M269" s="747">
        <v>1778</v>
      </c>
      <c r="N269" s="747">
        <v>56.25</v>
      </c>
      <c r="O269" s="747">
        <v>56.42</v>
      </c>
      <c r="P269" s="747">
        <v>1773</v>
      </c>
      <c r="Q269" s="1631">
        <v>46084.781504629631</v>
      </c>
      <c r="R269" s="747">
        <v>56.29</v>
      </c>
      <c r="T269" s="1628">
        <v>-4.0300546448087502</v>
      </c>
      <c r="U269" s="747">
        <v>2.7046779999999999</v>
      </c>
      <c r="V269" s="747">
        <v>13.719142</v>
      </c>
      <c r="W269" s="747">
        <v>16.2366018261215</v>
      </c>
      <c r="Y269" s="747" t="s">
        <v>2133</v>
      </c>
      <c r="AA269" s="1631"/>
      <c r="AB269" s="747">
        <v>0.14164599999999999</v>
      </c>
      <c r="AC269" s="1627">
        <v>46037</v>
      </c>
      <c r="AD269" s="747">
        <v>1</v>
      </c>
      <c r="AG269" s="1628">
        <v>2.0127871181624636E-3</v>
      </c>
    </row>
    <row r="270" spans="1:33" x14ac:dyDescent="0.2">
      <c r="A270" s="747" t="s">
        <v>1287</v>
      </c>
      <c r="B270" s="747" t="s">
        <v>3027</v>
      </c>
      <c r="C270" s="747" t="s">
        <v>767</v>
      </c>
      <c r="D270" s="747" t="s">
        <v>2139</v>
      </c>
      <c r="E270" s="747" t="s">
        <v>2355</v>
      </c>
      <c r="F270" s="747" t="s">
        <v>366</v>
      </c>
      <c r="G270" s="747" t="s">
        <v>409</v>
      </c>
      <c r="H270" s="1840" t="s">
        <v>3028</v>
      </c>
      <c r="J270" s="747" t="s">
        <v>409</v>
      </c>
      <c r="L270" s="1630"/>
      <c r="M270" s="747">
        <v>100</v>
      </c>
      <c r="N270" s="747">
        <v>245.63</v>
      </c>
      <c r="O270" s="747">
        <v>245.8</v>
      </c>
      <c r="P270" s="747">
        <v>100</v>
      </c>
      <c r="Q270" s="1631">
        <v>46084.78564814815</v>
      </c>
      <c r="R270" s="747">
        <v>245.69</v>
      </c>
      <c r="T270" s="1628">
        <v>-1.95147258360604</v>
      </c>
      <c r="U270" s="747">
        <v>4.7763229999999997</v>
      </c>
      <c r="V270" s="747">
        <v>21.250554999999999</v>
      </c>
      <c r="W270" s="747">
        <v>16.717127020355001</v>
      </c>
      <c r="Y270" s="747" t="s">
        <v>2133</v>
      </c>
      <c r="AA270" s="1631"/>
      <c r="AB270" s="747">
        <v>0.749915</v>
      </c>
      <c r="AC270" s="1627">
        <v>45916</v>
      </c>
      <c r="AD270" s="747">
        <v>1</v>
      </c>
      <c r="AG270" s="1628">
        <v>4.6129216074679383E-4</v>
      </c>
    </row>
    <row r="271" spans="1:33" x14ac:dyDescent="0.2">
      <c r="A271" s="747" t="s">
        <v>1385</v>
      </c>
      <c r="B271" s="747" t="s">
        <v>3148</v>
      </c>
      <c r="C271" s="747" t="s">
        <v>3149</v>
      </c>
      <c r="D271" s="747" t="s">
        <v>2139</v>
      </c>
      <c r="E271" s="747" t="s">
        <v>2109</v>
      </c>
      <c r="F271" s="747" t="s">
        <v>381</v>
      </c>
      <c r="G271" s="747" t="s">
        <v>4455</v>
      </c>
      <c r="H271" s="1840" t="s">
        <v>3150</v>
      </c>
      <c r="J271" s="747" t="s">
        <v>4455</v>
      </c>
      <c r="L271" s="1630"/>
      <c r="M271" s="747">
        <v>100</v>
      </c>
      <c r="N271" s="747">
        <v>231.45000000000002</v>
      </c>
      <c r="O271" s="747">
        <v>231.9</v>
      </c>
      <c r="P271" s="747">
        <v>100</v>
      </c>
      <c r="Q271" s="1631">
        <v>46084.732719907406</v>
      </c>
      <c r="R271" s="747">
        <v>231.20000000000002</v>
      </c>
      <c r="T271" s="1628">
        <v>-1.99110357975006</v>
      </c>
      <c r="U271" s="747">
        <v>-1.9495659999999999</v>
      </c>
      <c r="V271" s="747">
        <v>4.8968489999999996</v>
      </c>
      <c r="W271" s="747">
        <v>5.3089449029667701</v>
      </c>
      <c r="Y271" s="747" t="s">
        <v>2133</v>
      </c>
      <c r="AA271" s="1631"/>
      <c r="AC271" s="1627"/>
      <c r="AD271" s="747">
        <v>1</v>
      </c>
      <c r="AG271" s="1628">
        <v>1.2953367875647339E-3</v>
      </c>
    </row>
    <row r="272" spans="1:33" x14ac:dyDescent="0.2">
      <c r="A272" s="747" t="s">
        <v>2013</v>
      </c>
      <c r="B272" s="747" t="s">
        <v>2226</v>
      </c>
      <c r="C272" s="747" t="s">
        <v>2227</v>
      </c>
      <c r="D272" s="747" t="s">
        <v>2139</v>
      </c>
      <c r="E272" s="747" t="s">
        <v>2109</v>
      </c>
      <c r="F272" s="747" t="s">
        <v>366</v>
      </c>
      <c r="G272" s="747" t="s">
        <v>2228</v>
      </c>
      <c r="H272" s="1840" t="s">
        <v>2229</v>
      </c>
      <c r="J272" s="747" t="s">
        <v>2228</v>
      </c>
      <c r="L272" s="1630"/>
      <c r="M272" s="747">
        <v>1</v>
      </c>
      <c r="N272" s="747">
        <v>30.78</v>
      </c>
      <c r="O272" s="747">
        <v>31.57</v>
      </c>
      <c r="P272" s="747">
        <v>75</v>
      </c>
      <c r="Q272" s="1631">
        <v>46084.732893518521</v>
      </c>
      <c r="R272" s="747">
        <v>31.55</v>
      </c>
      <c r="T272" s="1628">
        <v>-1.03513174404015</v>
      </c>
      <c r="U272" s="747">
        <v>6.3363670000000001</v>
      </c>
      <c r="V272" s="747">
        <v>9.6628429999999987</v>
      </c>
      <c r="W272" s="747">
        <v>8.8611917363838</v>
      </c>
      <c r="Y272" s="747" t="s">
        <v>2133</v>
      </c>
      <c r="AA272" s="1631"/>
      <c r="AB272" s="747">
        <v>0.24110000000000001</v>
      </c>
      <c r="AC272" s="1627">
        <v>46072</v>
      </c>
      <c r="AD272" s="747">
        <v>1</v>
      </c>
      <c r="AG272" s="1628">
        <v>1.6965532051970347E-2</v>
      </c>
    </row>
    <row r="273" spans="1:33" x14ac:dyDescent="0.2">
      <c r="A273" s="747" t="s">
        <v>1321</v>
      </c>
      <c r="B273" s="747" t="s">
        <v>3103</v>
      </c>
      <c r="C273" s="747" t="s">
        <v>3104</v>
      </c>
      <c r="D273" s="747" t="s">
        <v>2139</v>
      </c>
      <c r="E273" s="747" t="s">
        <v>2109</v>
      </c>
      <c r="F273" s="747" t="s">
        <v>366</v>
      </c>
      <c r="G273" s="747" t="s">
        <v>3105</v>
      </c>
      <c r="H273" s="1840" t="s">
        <v>3106</v>
      </c>
      <c r="J273" s="747" t="s">
        <v>3105</v>
      </c>
      <c r="L273" s="1630"/>
      <c r="M273" s="747">
        <v>430</v>
      </c>
      <c r="N273" s="747">
        <v>15.4</v>
      </c>
      <c r="O273" s="747">
        <v>16.891999999999999</v>
      </c>
      <c r="P273" s="747">
        <v>3641</v>
      </c>
      <c r="Q273" s="1631">
        <v>46084.73296296296</v>
      </c>
      <c r="R273" s="747">
        <v>16.881</v>
      </c>
      <c r="T273" s="1628">
        <v>0.97828680505846999</v>
      </c>
      <c r="U273" s="747">
        <v>7.0443910000000001</v>
      </c>
      <c r="V273" s="747">
        <v>12.853332999999999</v>
      </c>
      <c r="W273" s="747">
        <v>11.670663469224701</v>
      </c>
      <c r="Y273" s="747" t="s">
        <v>2133</v>
      </c>
      <c r="AA273" s="1631"/>
      <c r="AC273" s="1627"/>
      <c r="AD273" s="747">
        <v>1</v>
      </c>
      <c r="AG273" s="1628">
        <v>6.2568145600939318E-2</v>
      </c>
    </row>
    <row r="274" spans="1:33" x14ac:dyDescent="0.2">
      <c r="A274" s="747" t="s">
        <v>1618</v>
      </c>
      <c r="B274" s="747" t="s">
        <v>1619</v>
      </c>
      <c r="C274" s="747" t="s">
        <v>3343</v>
      </c>
      <c r="D274" s="747" t="s">
        <v>2158</v>
      </c>
      <c r="E274" s="747" t="s">
        <v>2130</v>
      </c>
      <c r="F274" s="747" t="s">
        <v>369</v>
      </c>
      <c r="G274" s="747" t="s">
        <v>3344</v>
      </c>
      <c r="H274" s="1840" t="s">
        <v>3345</v>
      </c>
      <c r="J274" s="747" t="s">
        <v>3344</v>
      </c>
      <c r="L274" s="1630"/>
      <c r="Q274" s="1631">
        <v>46083.885474537034</v>
      </c>
      <c r="R274" s="747">
        <v>7.08</v>
      </c>
      <c r="T274" s="1628">
        <v>-1.1173184357541908</v>
      </c>
      <c r="U274" s="747">
        <v>-0.1410437235543</v>
      </c>
      <c r="V274" s="747">
        <v>2.9069767441860499</v>
      </c>
      <c r="W274" s="747">
        <v>1.7241379310344842</v>
      </c>
      <c r="Y274" s="747" t="s">
        <v>2133</v>
      </c>
      <c r="AA274" s="1631"/>
      <c r="AC274" s="1627"/>
      <c r="AD274" s="747">
        <v>1</v>
      </c>
      <c r="AG274" s="1628"/>
    </row>
    <row r="275" spans="1:33" x14ac:dyDescent="0.2">
      <c r="A275" s="747" t="s">
        <v>1300</v>
      </c>
      <c r="B275" s="747" t="s">
        <v>3059</v>
      </c>
      <c r="C275" s="747" t="s">
        <v>3060</v>
      </c>
      <c r="D275" s="747" t="s">
        <v>2139</v>
      </c>
      <c r="E275" s="747" t="s">
        <v>2109</v>
      </c>
      <c r="F275" s="747" t="s">
        <v>369</v>
      </c>
      <c r="G275" s="747" t="s">
        <v>3061</v>
      </c>
      <c r="H275" s="1840" t="s">
        <v>3062</v>
      </c>
      <c r="J275" s="747" t="s">
        <v>3061</v>
      </c>
      <c r="L275" s="1630"/>
      <c r="M275" s="747">
        <v>22848</v>
      </c>
      <c r="N275" s="747">
        <v>4.1684000000000001</v>
      </c>
      <c r="O275" s="747">
        <v>4.2083000000000004</v>
      </c>
      <c r="P275" s="747">
        <v>22848</v>
      </c>
      <c r="Q275" s="1631">
        <v>46084.73300925926</v>
      </c>
      <c r="R275" s="747">
        <v>4.1833999999999998</v>
      </c>
      <c r="T275" s="1628">
        <v>-0.25274201239867</v>
      </c>
      <c r="U275" s="747">
        <v>1.6276359999999999</v>
      </c>
      <c r="V275" s="747">
        <v>0.86315000000000008</v>
      </c>
      <c r="W275" s="747">
        <v>0.74465529666106001</v>
      </c>
      <c r="Y275" s="747" t="s">
        <v>2133</v>
      </c>
      <c r="AA275" s="1631"/>
      <c r="AC275" s="1627"/>
      <c r="AD275" s="747">
        <v>1</v>
      </c>
      <c r="AG275" s="1628">
        <v>6.3610493340029595E-3</v>
      </c>
    </row>
    <row r="276" spans="1:33" x14ac:dyDescent="0.2">
      <c r="A276" s="747" t="s">
        <v>1553</v>
      </c>
      <c r="B276" s="747" t="s">
        <v>3290</v>
      </c>
      <c r="C276" s="747" t="s">
        <v>3291</v>
      </c>
      <c r="D276" s="747" t="s">
        <v>2139</v>
      </c>
      <c r="E276" s="747" t="s">
        <v>2130</v>
      </c>
      <c r="F276" s="747" t="s">
        <v>806</v>
      </c>
      <c r="G276" s="747" t="s">
        <v>3284</v>
      </c>
      <c r="H276" s="1840" t="s">
        <v>3292</v>
      </c>
      <c r="J276" s="747" t="s">
        <v>3284</v>
      </c>
      <c r="L276" s="1630"/>
      <c r="M276" s="747">
        <v>1072</v>
      </c>
      <c r="N276" s="747">
        <v>42.134999999999998</v>
      </c>
      <c r="O276" s="747">
        <v>42.675000000000004</v>
      </c>
      <c r="P276" s="747">
        <v>1072</v>
      </c>
      <c r="Q276" s="1631">
        <v>46084.732719907406</v>
      </c>
      <c r="R276" s="747">
        <v>42.405000000000001</v>
      </c>
      <c r="T276" s="1628">
        <v>-2.6827924909349599</v>
      </c>
      <c r="U276" s="747">
        <v>2.291642</v>
      </c>
      <c r="V276" s="747">
        <v>9.0383129999999987</v>
      </c>
      <c r="W276" s="747">
        <v>8.86695815115554</v>
      </c>
      <c r="Y276" s="747" t="s">
        <v>2133</v>
      </c>
      <c r="AA276" s="1631"/>
      <c r="AC276" s="1627"/>
      <c r="AD276" s="747">
        <v>1</v>
      </c>
      <c r="AG276" s="1628">
        <v>8.5076214108473162E-3</v>
      </c>
    </row>
    <row r="277" spans="1:33" x14ac:dyDescent="0.2">
      <c r="A277" s="747" t="s">
        <v>1304</v>
      </c>
      <c r="B277" s="747" t="s">
        <v>3068</v>
      </c>
      <c r="C277" s="747" t="s">
        <v>3069</v>
      </c>
      <c r="D277" s="747" t="s">
        <v>2139</v>
      </c>
      <c r="E277" s="747" t="s">
        <v>2109</v>
      </c>
      <c r="F277" s="747" t="s">
        <v>366</v>
      </c>
      <c r="G277" s="747" t="s">
        <v>3070</v>
      </c>
      <c r="H277" s="1840" t="s">
        <v>3071</v>
      </c>
      <c r="J277" s="747" t="s">
        <v>3070</v>
      </c>
      <c r="L277" s="1630"/>
      <c r="M277" s="747">
        <v>41</v>
      </c>
      <c r="N277" s="747">
        <v>250.60000000000002</v>
      </c>
      <c r="O277" s="747">
        <v>251.65</v>
      </c>
      <c r="P277" s="747">
        <v>1</v>
      </c>
      <c r="Q277" s="1631">
        <v>46084.73300925926</v>
      </c>
      <c r="R277" s="747">
        <v>251.55</v>
      </c>
      <c r="T277" s="1628">
        <v>-5.3967657013914998</v>
      </c>
      <c r="U277" s="747">
        <v>-2.082522</v>
      </c>
      <c r="V277" s="747">
        <v>7.4540789999999992</v>
      </c>
      <c r="W277" s="747">
        <v>11.3950565563469</v>
      </c>
      <c r="Y277" s="747" t="s">
        <v>2133</v>
      </c>
      <c r="AA277" s="1631"/>
      <c r="AC277" s="1627"/>
      <c r="AD277" s="747">
        <v>1</v>
      </c>
      <c r="AG277" s="1628">
        <v>2.7894002789399827E-3</v>
      </c>
    </row>
    <row r="278" spans="1:33" x14ac:dyDescent="0.2">
      <c r="A278" s="747" t="s">
        <v>1305</v>
      </c>
      <c r="B278" s="747" t="s">
        <v>3076</v>
      </c>
      <c r="C278" s="747" t="s">
        <v>3077</v>
      </c>
      <c r="D278" s="747" t="s">
        <v>2139</v>
      </c>
      <c r="E278" s="747" t="s">
        <v>2109</v>
      </c>
      <c r="F278" s="747" t="s">
        <v>369</v>
      </c>
      <c r="G278" s="747" t="s">
        <v>3078</v>
      </c>
      <c r="H278" s="1840" t="s">
        <v>3079</v>
      </c>
      <c r="J278" s="747" t="s">
        <v>3078</v>
      </c>
      <c r="L278" s="1630"/>
      <c r="M278" s="747">
        <v>906</v>
      </c>
      <c r="N278" s="747">
        <v>9.3740000000000006</v>
      </c>
      <c r="O278" s="747">
        <v>9.3849999999999998</v>
      </c>
      <c r="P278" s="747">
        <v>10906</v>
      </c>
      <c r="Q278" s="1631">
        <v>46084.73300925926</v>
      </c>
      <c r="R278" s="747">
        <v>9.35</v>
      </c>
      <c r="T278" s="1628">
        <v>-3.3192017371523002</v>
      </c>
      <c r="U278" s="747">
        <v>-2.937818</v>
      </c>
      <c r="V278" s="747">
        <v>1.763169</v>
      </c>
      <c r="W278" s="747">
        <v>3.3999786164866901</v>
      </c>
      <c r="Y278" s="747" t="s">
        <v>2133</v>
      </c>
      <c r="AA278" s="1631"/>
      <c r="AC278" s="1627"/>
      <c r="AD278" s="747">
        <v>1</v>
      </c>
      <c r="AG278" s="1628">
        <v>7.8199978672727623E-4</v>
      </c>
    </row>
    <row r="279" spans="1:33" x14ac:dyDescent="0.2">
      <c r="A279" s="747" t="s">
        <v>1591</v>
      </c>
      <c r="B279" s="747" t="s">
        <v>3323</v>
      </c>
      <c r="C279" s="747" t="s">
        <v>3324</v>
      </c>
      <c r="D279" s="747" t="s">
        <v>2139</v>
      </c>
      <c r="E279" s="747" t="s">
        <v>2130</v>
      </c>
      <c r="F279" s="747" t="s">
        <v>381</v>
      </c>
      <c r="G279" s="747" t="s">
        <v>3325</v>
      </c>
      <c r="H279" s="1840" t="s">
        <v>3326</v>
      </c>
      <c r="J279" s="747" t="s">
        <v>3325</v>
      </c>
      <c r="L279" s="1630"/>
      <c r="Q279" s="1631">
        <v>46083.733460648145</v>
      </c>
      <c r="R279" s="747">
        <v>92.037999999999997</v>
      </c>
      <c r="T279" s="1628">
        <v>-0.41962277210589999</v>
      </c>
      <c r="U279" s="747">
        <v>0.57258998623161583</v>
      </c>
      <c r="V279" s="747">
        <v>0.55281213127649376</v>
      </c>
      <c r="W279" s="747">
        <v>0.12614180078295001</v>
      </c>
      <c r="Y279" s="747" t="s">
        <v>2133</v>
      </c>
      <c r="AA279" s="1631"/>
      <c r="AB279" s="747">
        <v>0.78550000000000009</v>
      </c>
      <c r="AC279" s="1627">
        <v>46071</v>
      </c>
      <c r="AD279" s="747">
        <v>1</v>
      </c>
      <c r="AG279" s="1628"/>
    </row>
    <row r="280" spans="1:33" x14ac:dyDescent="0.2">
      <c r="A280" s="747" t="s">
        <v>1309</v>
      </c>
      <c r="B280" s="747" t="s">
        <v>2816</v>
      </c>
      <c r="C280" s="747" t="s">
        <v>2817</v>
      </c>
      <c r="D280" s="747" t="s">
        <v>2139</v>
      </c>
      <c r="E280" s="747" t="s">
        <v>2355</v>
      </c>
      <c r="F280" s="747" t="s">
        <v>366</v>
      </c>
      <c r="G280" s="747" t="s">
        <v>2818</v>
      </c>
      <c r="H280" s="1840" t="s">
        <v>2819</v>
      </c>
      <c r="J280" s="747" t="s">
        <v>2818</v>
      </c>
      <c r="L280" s="1630"/>
      <c r="M280" s="747">
        <v>100</v>
      </c>
      <c r="N280" s="747">
        <v>29.87</v>
      </c>
      <c r="O280" s="747">
        <v>30.12</v>
      </c>
      <c r="P280" s="747">
        <v>200</v>
      </c>
      <c r="Q280" s="1631">
        <v>46084.779699074075</v>
      </c>
      <c r="R280" s="747">
        <v>29.860100000000003</v>
      </c>
      <c r="T280" s="1628">
        <v>1.66870956758598</v>
      </c>
      <c r="U280" s="747">
        <v>-9.2122229999999998</v>
      </c>
      <c r="V280" s="747">
        <v>-13.549218</v>
      </c>
      <c r="W280" s="747">
        <v>-17.033898305084801</v>
      </c>
      <c r="Y280" s="747" t="s">
        <v>2133</v>
      </c>
      <c r="AA280" s="1631"/>
      <c r="AB280" s="747">
        <v>0.673203</v>
      </c>
      <c r="AC280" s="1627">
        <v>46013</v>
      </c>
      <c r="AD280" s="747">
        <v>1</v>
      </c>
      <c r="AG280" s="1628">
        <v>5.5642109948809259E-3</v>
      </c>
    </row>
    <row r="281" spans="1:33" x14ac:dyDescent="0.2">
      <c r="A281" s="747" t="s">
        <v>1807</v>
      </c>
      <c r="B281" s="747" t="s">
        <v>3453</v>
      </c>
      <c r="C281" s="747" t="s">
        <v>3454</v>
      </c>
      <c r="D281" s="747" t="s">
        <v>2120</v>
      </c>
      <c r="F281" s="747" t="s">
        <v>381</v>
      </c>
      <c r="G281" s="747" t="s">
        <v>3455</v>
      </c>
      <c r="H281" s="1840" t="s">
        <v>3456</v>
      </c>
      <c r="J281" s="747" t="s">
        <v>3457</v>
      </c>
      <c r="L281" s="1630"/>
      <c r="Q281" s="1631">
        <v>46083.739583333336</v>
      </c>
      <c r="R281" s="747">
        <v>47.5</v>
      </c>
      <c r="T281" s="1628">
        <v>-3.0216414863209602</v>
      </c>
      <c r="U281" s="747">
        <v>-2.5840853158326498</v>
      </c>
      <c r="V281" s="747">
        <v>-8.2125603864734291</v>
      </c>
      <c r="W281" s="747">
        <v>-8.6538461538461604</v>
      </c>
      <c r="Y281" s="747" t="s">
        <v>3041</v>
      </c>
      <c r="AA281" s="1631"/>
      <c r="AB281" s="747">
        <v>0.70000000000000007</v>
      </c>
      <c r="AC281" s="1627">
        <v>45796</v>
      </c>
      <c r="AD281" s="747">
        <v>1</v>
      </c>
      <c r="AG281" s="1628"/>
    </row>
    <row r="282" spans="1:33" x14ac:dyDescent="0.2">
      <c r="A282" s="747" t="s">
        <v>1948</v>
      </c>
      <c r="B282" s="747" t="s">
        <v>3470</v>
      </c>
      <c r="C282" s="747" t="s">
        <v>3471</v>
      </c>
      <c r="D282" s="747" t="s">
        <v>2120</v>
      </c>
      <c r="F282" s="747" t="s">
        <v>369</v>
      </c>
      <c r="G282" s="747" t="s">
        <v>3472</v>
      </c>
      <c r="H282" s="1840" t="s">
        <v>3473</v>
      </c>
      <c r="J282" s="747" t="s">
        <v>3474</v>
      </c>
      <c r="L282" s="1630"/>
      <c r="M282" s="747">
        <v>1958</v>
      </c>
      <c r="N282" s="747">
        <v>142.30000000000001</v>
      </c>
      <c r="O282" s="747">
        <v>145</v>
      </c>
      <c r="P282" s="747">
        <v>619</v>
      </c>
      <c r="Q282" s="1631">
        <v>46084.730081018519</v>
      </c>
      <c r="R282" s="747">
        <v>144.5</v>
      </c>
      <c r="T282" s="1628">
        <v>-0.13821700069110002</v>
      </c>
      <c r="U282" s="747">
        <v>9.5526909999999994</v>
      </c>
      <c r="V282" s="747">
        <v>22.978722999999999</v>
      </c>
      <c r="W282" s="747">
        <v>17.4512987012988</v>
      </c>
      <c r="Y282" s="747" t="s">
        <v>2123</v>
      </c>
      <c r="Z282" s="747">
        <v>2.422145</v>
      </c>
      <c r="AA282" s="1631"/>
      <c r="AB282" s="747">
        <v>3.45</v>
      </c>
      <c r="AC282" s="1627">
        <v>45737</v>
      </c>
      <c r="AD282" s="747">
        <v>1</v>
      </c>
      <c r="AG282" s="1628">
        <v>1.2569832402234584E-2</v>
      </c>
    </row>
    <row r="283" spans="1:33" x14ac:dyDescent="0.2">
      <c r="A283" s="747" t="s">
        <v>1314</v>
      </c>
      <c r="B283" s="747" t="s">
        <v>3089</v>
      </c>
      <c r="C283" s="747" t="s">
        <v>3090</v>
      </c>
      <c r="D283" s="747" t="s">
        <v>2139</v>
      </c>
      <c r="E283" s="747" t="s">
        <v>2109</v>
      </c>
      <c r="F283" s="747" t="s">
        <v>366</v>
      </c>
      <c r="G283" s="747" t="s">
        <v>3091</v>
      </c>
      <c r="H283" s="1840" t="s">
        <v>3092</v>
      </c>
      <c r="J283" s="747" t="s">
        <v>3091</v>
      </c>
      <c r="L283" s="1630"/>
      <c r="M283" s="747">
        <v>15</v>
      </c>
      <c r="N283" s="747">
        <v>21</v>
      </c>
      <c r="O283" s="747">
        <v>24.5</v>
      </c>
      <c r="P283" s="747">
        <v>100</v>
      </c>
      <c r="Q283" s="1631">
        <v>46084.732893518521</v>
      </c>
      <c r="R283" s="747">
        <v>22.28</v>
      </c>
      <c r="T283" s="1628">
        <v>-2.6861760209652799</v>
      </c>
      <c r="U283" s="747">
        <v>-14.340638</v>
      </c>
      <c r="V283" s="747">
        <v>-15.156130999999998</v>
      </c>
      <c r="W283" s="747">
        <v>-11.670524691358001</v>
      </c>
      <c r="Y283" s="747" t="s">
        <v>2133</v>
      </c>
      <c r="AA283" s="1631"/>
      <c r="AC283" s="1627"/>
      <c r="AD283" s="747">
        <v>1</v>
      </c>
      <c r="AG283" s="1628">
        <v>0.10526315789473684</v>
      </c>
    </row>
    <row r="284" spans="1:33" x14ac:dyDescent="0.2">
      <c r="A284" s="747" t="s">
        <v>1315</v>
      </c>
      <c r="B284" s="747" t="s">
        <v>3096</v>
      </c>
      <c r="C284" s="747" t="s">
        <v>3097</v>
      </c>
      <c r="D284" s="747" t="s">
        <v>2139</v>
      </c>
      <c r="E284" s="747" t="s">
        <v>2109</v>
      </c>
      <c r="F284" s="747" t="s">
        <v>366</v>
      </c>
      <c r="G284" s="747" t="s">
        <v>3098</v>
      </c>
      <c r="H284" s="1840" t="s">
        <v>3099</v>
      </c>
      <c r="J284" s="747" t="s">
        <v>3098</v>
      </c>
      <c r="L284" s="1630"/>
      <c r="M284" s="747">
        <v>529</v>
      </c>
      <c r="N284" s="747">
        <v>25.25</v>
      </c>
      <c r="O284" s="747">
        <v>29.67</v>
      </c>
      <c r="P284" s="747">
        <v>22303</v>
      </c>
      <c r="Q284" s="1631">
        <v>46084.732893518521</v>
      </c>
      <c r="R284" s="747">
        <v>29.52</v>
      </c>
      <c r="T284" s="1628">
        <v>0.33990482664853999</v>
      </c>
      <c r="U284" s="747">
        <v>4.9040509999999999</v>
      </c>
      <c r="V284" s="747">
        <v>12.671756</v>
      </c>
      <c r="W284" s="747">
        <v>11.0398188337423</v>
      </c>
      <c r="Y284" s="747" t="s">
        <v>2133</v>
      </c>
      <c r="AA284" s="1631"/>
      <c r="AC284" s="1627"/>
      <c r="AD284" s="747">
        <v>1</v>
      </c>
      <c r="AG284" s="1628">
        <v>0.11026568541848576</v>
      </c>
    </row>
    <row r="285" spans="1:33" x14ac:dyDescent="0.2">
      <c r="A285" s="747" t="s">
        <v>1881</v>
      </c>
      <c r="B285" s="747" t="s">
        <v>3480</v>
      </c>
      <c r="C285" s="747" t="s">
        <v>3481</v>
      </c>
      <c r="D285" s="747" t="s">
        <v>2120</v>
      </c>
      <c r="F285" s="747" t="s">
        <v>369</v>
      </c>
      <c r="G285" s="747" t="s">
        <v>3482</v>
      </c>
      <c r="H285" s="1840" t="s">
        <v>3483</v>
      </c>
      <c r="J285" s="747" t="s">
        <v>3484</v>
      </c>
      <c r="L285" s="1630"/>
      <c r="M285" s="747">
        <v>100</v>
      </c>
      <c r="N285" s="747">
        <v>69</v>
      </c>
      <c r="O285" s="747">
        <v>70.900000000000006</v>
      </c>
      <c r="P285" s="747">
        <v>100</v>
      </c>
      <c r="Q285" s="1631">
        <v>46084.733530092592</v>
      </c>
      <c r="R285" s="747">
        <v>70.540000000000006</v>
      </c>
      <c r="T285" s="1628">
        <v>-0.22630834512022999</v>
      </c>
      <c r="U285" s="747">
        <v>3.3099000000000003</v>
      </c>
      <c r="V285" s="747">
        <v>-26.825726</v>
      </c>
      <c r="W285" s="747">
        <v>-13.2940887907776</v>
      </c>
      <c r="Y285" s="747" t="s">
        <v>3485</v>
      </c>
      <c r="Z285" s="747">
        <v>1.7862209999999998</v>
      </c>
      <c r="AA285" s="1631"/>
      <c r="AB285" s="747">
        <v>1.26</v>
      </c>
      <c r="AC285" s="1627">
        <v>45922</v>
      </c>
      <c r="AD285" s="747">
        <v>1</v>
      </c>
      <c r="AG285" s="1628">
        <v>1.8190521780756398E-2</v>
      </c>
    </row>
    <row r="286" spans="1:33" x14ac:dyDescent="0.2">
      <c r="A286" s="747" t="s">
        <v>1681</v>
      </c>
      <c r="B286" s="747" t="s">
        <v>1682</v>
      </c>
      <c r="C286" s="747" t="s">
        <v>3388</v>
      </c>
      <c r="D286" s="747" t="s">
        <v>2158</v>
      </c>
      <c r="E286" s="747" t="s">
        <v>2109</v>
      </c>
      <c r="F286" s="747" t="s">
        <v>381</v>
      </c>
      <c r="G286" s="747" t="s">
        <v>3389</v>
      </c>
      <c r="H286" s="1840" t="s">
        <v>3390</v>
      </c>
      <c r="J286" s="747" t="s">
        <v>3389</v>
      </c>
      <c r="L286" s="1630"/>
      <c r="Q286" s="1631">
        <v>46083.125057870369</v>
      </c>
      <c r="R286" s="747">
        <v>11.94</v>
      </c>
      <c r="T286" s="1628">
        <v>-0.50000000000000422</v>
      </c>
      <c r="U286" s="747">
        <v>0.67453625632378</v>
      </c>
      <c r="V286" s="747">
        <v>1.4443500424808899</v>
      </c>
      <c r="W286" s="747">
        <v>0.84459459459459163</v>
      </c>
      <c r="Y286" s="747" t="s">
        <v>2133</v>
      </c>
      <c r="AA286" s="1631"/>
      <c r="AC286" s="1627"/>
      <c r="AD286" s="747">
        <v>1</v>
      </c>
      <c r="AG286" s="1628"/>
    </row>
    <row r="287" spans="1:33" x14ac:dyDescent="0.2">
      <c r="A287" s="747" t="s">
        <v>1326</v>
      </c>
      <c r="B287" s="747" t="s">
        <v>2714</v>
      </c>
      <c r="C287" s="747" t="s">
        <v>2715</v>
      </c>
      <c r="D287" s="747" t="s">
        <v>2139</v>
      </c>
      <c r="E287" s="747" t="s">
        <v>2331</v>
      </c>
      <c r="F287" s="747" t="s">
        <v>366</v>
      </c>
      <c r="G287" s="747" t="s">
        <v>4294</v>
      </c>
      <c r="H287" s="1840" t="s">
        <v>2716</v>
      </c>
      <c r="J287" s="747" t="s">
        <v>4294</v>
      </c>
      <c r="L287" s="1630"/>
      <c r="M287" s="747">
        <v>26103</v>
      </c>
      <c r="N287" s="747">
        <v>18.28</v>
      </c>
      <c r="O287" s="747">
        <v>19.302500000000002</v>
      </c>
      <c r="P287" s="747">
        <v>26103</v>
      </c>
      <c r="Q287" s="1631">
        <v>46084.732858796298</v>
      </c>
      <c r="R287" s="747">
        <v>18.7925</v>
      </c>
      <c r="T287" s="1628">
        <v>-5.9594305153080596</v>
      </c>
      <c r="U287" s="747">
        <v>-3.7648269999999999</v>
      </c>
      <c r="V287" s="747">
        <v>7.4420609999999998</v>
      </c>
      <c r="W287" s="747">
        <v>11.8044795041556</v>
      </c>
      <c r="Y287" s="747" t="s">
        <v>2133</v>
      </c>
      <c r="AA287" s="1631"/>
      <c r="AC287" s="1627"/>
      <c r="AD287" s="747">
        <v>1</v>
      </c>
      <c r="AG287" s="1628">
        <v>3.6607742224211259E-2</v>
      </c>
    </row>
    <row r="288" spans="1:33" x14ac:dyDescent="0.2">
      <c r="A288" s="747" t="s">
        <v>1869</v>
      </c>
      <c r="B288" s="747" t="s">
        <v>3486</v>
      </c>
      <c r="C288" s="747" t="s">
        <v>3487</v>
      </c>
      <c r="D288" s="747" t="s">
        <v>2120</v>
      </c>
      <c r="F288" s="747" t="s">
        <v>381</v>
      </c>
      <c r="G288" s="747" t="s">
        <v>429</v>
      </c>
      <c r="H288" s="1840" t="s">
        <v>3488</v>
      </c>
      <c r="J288" s="747" t="s">
        <v>3489</v>
      </c>
      <c r="L288" s="1630"/>
      <c r="M288" s="747">
        <v>194</v>
      </c>
      <c r="N288" s="747">
        <v>51.56</v>
      </c>
      <c r="O288" s="747">
        <v>51.7</v>
      </c>
      <c r="P288" s="747">
        <v>125</v>
      </c>
      <c r="Q288" s="1631">
        <v>46084.729166666664</v>
      </c>
      <c r="R288" s="747">
        <v>51.800000000000004</v>
      </c>
      <c r="T288" s="1628">
        <v>-4.14507772020725</v>
      </c>
      <c r="U288" s="747">
        <v>-5.4226766477998876</v>
      </c>
      <c r="V288" s="747">
        <v>-4.5337265020272648</v>
      </c>
      <c r="W288" s="747">
        <v>-4.38782731776364</v>
      </c>
      <c r="Y288" s="747" t="s">
        <v>2899</v>
      </c>
      <c r="Z288" s="747">
        <v>2.7027027027027026</v>
      </c>
      <c r="AA288" s="1631"/>
      <c r="AB288" s="747">
        <v>0.84</v>
      </c>
      <c r="AC288" s="1627">
        <v>45960</v>
      </c>
      <c r="AD288" s="747">
        <v>1</v>
      </c>
      <c r="AG288" s="1628">
        <v>1.8085518666838983E-3</v>
      </c>
    </row>
    <row r="289" spans="1:33" x14ac:dyDescent="0.2">
      <c r="A289" s="747" t="s">
        <v>1792</v>
      </c>
      <c r="B289" s="747" t="s">
        <v>3440</v>
      </c>
      <c r="C289" s="747" t="s">
        <v>3441</v>
      </c>
      <c r="D289" s="747" t="s">
        <v>2120</v>
      </c>
      <c r="F289" s="747" t="s">
        <v>381</v>
      </c>
      <c r="G289" s="747" t="s">
        <v>3442</v>
      </c>
      <c r="H289" s="1840" t="s">
        <v>3443</v>
      </c>
      <c r="J289" s="747" t="s">
        <v>3444</v>
      </c>
      <c r="L289" s="1630"/>
      <c r="Q289" s="1631">
        <v>46083.746527777781</v>
      </c>
      <c r="R289" s="747">
        <v>188.5</v>
      </c>
      <c r="T289" s="1628">
        <v>-0.47518479408660003</v>
      </c>
      <c r="U289" s="747">
        <v>14.520048602673201</v>
      </c>
      <c r="V289" s="747">
        <v>28.362274429690199</v>
      </c>
      <c r="W289" s="747">
        <v>40.934579439252403</v>
      </c>
      <c r="Y289" s="747" t="s">
        <v>2312</v>
      </c>
      <c r="AA289" s="1631"/>
      <c r="AB289" s="747">
        <v>2.1800000000000002</v>
      </c>
      <c r="AC289" s="1627">
        <v>45772</v>
      </c>
      <c r="AD289" s="747">
        <v>1</v>
      </c>
      <c r="AG289" s="1628"/>
    </row>
    <row r="290" spans="1:33" x14ac:dyDescent="0.2">
      <c r="A290" s="747" t="s">
        <v>1341</v>
      </c>
      <c r="B290" s="747" t="s">
        <v>2144</v>
      </c>
      <c r="C290" s="747" t="s">
        <v>2145</v>
      </c>
      <c r="D290" s="747" t="s">
        <v>2139</v>
      </c>
      <c r="E290" s="747" t="s">
        <v>2109</v>
      </c>
      <c r="F290" s="747" t="s">
        <v>381</v>
      </c>
      <c r="G290" s="747" t="s">
        <v>2146</v>
      </c>
      <c r="H290" s="1840" t="s">
        <v>2147</v>
      </c>
      <c r="J290" s="747" t="s">
        <v>2146</v>
      </c>
      <c r="L290" s="1630"/>
      <c r="Q290" s="1631">
        <v>46083.733391203707</v>
      </c>
      <c r="R290" s="747">
        <v>423</v>
      </c>
      <c r="T290" s="1628">
        <v>-1.6958996399117001</v>
      </c>
      <c r="U290" s="747">
        <v>1.1961722488038278</v>
      </c>
      <c r="V290" s="747">
        <v>7.8531361550229359</v>
      </c>
      <c r="W290" s="747">
        <v>5.4579439252336597</v>
      </c>
      <c r="Y290" s="747" t="s">
        <v>2133</v>
      </c>
      <c r="AA290" s="1631"/>
      <c r="AC290" s="1627"/>
      <c r="AD290" s="747">
        <v>1</v>
      </c>
      <c r="AG290" s="1628"/>
    </row>
    <row r="291" spans="1:33" x14ac:dyDescent="0.2">
      <c r="A291" s="747" t="s">
        <v>1346</v>
      </c>
      <c r="B291" s="747" t="s">
        <v>3119</v>
      </c>
      <c r="C291" s="747" t="s">
        <v>3120</v>
      </c>
      <c r="D291" s="747" t="s">
        <v>2139</v>
      </c>
      <c r="E291" s="747" t="s">
        <v>2109</v>
      </c>
      <c r="F291" s="747" t="s">
        <v>381</v>
      </c>
      <c r="G291" s="747" t="s">
        <v>4447</v>
      </c>
      <c r="H291" s="1840" t="s">
        <v>3121</v>
      </c>
      <c r="J291" s="747" t="s">
        <v>4447</v>
      </c>
      <c r="L291" s="1630"/>
      <c r="M291" s="747">
        <v>2965</v>
      </c>
      <c r="N291" s="747">
        <v>50.606000000000002</v>
      </c>
      <c r="O291" s="747">
        <v>50.826000000000001</v>
      </c>
      <c r="P291" s="747">
        <v>2952</v>
      </c>
      <c r="Q291" s="1631">
        <v>46084.781701388885</v>
      </c>
      <c r="R291" s="747">
        <v>50.606000000000002</v>
      </c>
      <c r="T291" s="1628">
        <v>-1.2037397740553299</v>
      </c>
      <c r="U291" s="747">
        <v>-1.0147930000000001</v>
      </c>
      <c r="V291" s="747">
        <v>-1.9495280292814494</v>
      </c>
      <c r="W291" s="747">
        <v>-1.94805194805195</v>
      </c>
      <c r="Y291" s="747" t="s">
        <v>2133</v>
      </c>
      <c r="AA291" s="1631"/>
      <c r="AB291" s="747">
        <v>1.3448</v>
      </c>
      <c r="AC291" s="1627">
        <v>46055</v>
      </c>
      <c r="AD291" s="747">
        <v>1</v>
      </c>
      <c r="AG291" s="1628">
        <v>2.8940133387705554E-3</v>
      </c>
    </row>
    <row r="292" spans="1:33" x14ac:dyDescent="0.2">
      <c r="A292" s="747" t="s">
        <v>1351</v>
      </c>
      <c r="B292" s="747" t="s">
        <v>3126</v>
      </c>
      <c r="C292" s="747" t="s">
        <v>3127</v>
      </c>
      <c r="D292" s="747" t="s">
        <v>2139</v>
      </c>
      <c r="E292" s="747" t="s">
        <v>2109</v>
      </c>
      <c r="F292" s="747" t="s">
        <v>381</v>
      </c>
      <c r="G292" s="747" t="s">
        <v>4448</v>
      </c>
      <c r="H292" s="1840" t="s">
        <v>3128</v>
      </c>
      <c r="J292" s="747" t="s">
        <v>4448</v>
      </c>
      <c r="L292" s="1630"/>
      <c r="Q292" s="1631">
        <v>46083.733275462961</v>
      </c>
      <c r="R292" s="747">
        <v>31.88</v>
      </c>
      <c r="T292" s="1628">
        <v>-2.5091799265605901</v>
      </c>
      <c r="U292" s="747">
        <v>7.1236559139784852</v>
      </c>
      <c r="V292" s="747">
        <v>12.670083053543019</v>
      </c>
      <c r="W292" s="747">
        <v>9.6729776247848598</v>
      </c>
      <c r="Y292" s="747" t="s">
        <v>2133</v>
      </c>
      <c r="AA292" s="1631"/>
      <c r="AC292" s="1627"/>
      <c r="AD292" s="747">
        <v>1</v>
      </c>
      <c r="AG292" s="1628"/>
    </row>
    <row r="293" spans="1:33" x14ac:dyDescent="0.2">
      <c r="A293" s="747" t="s">
        <v>1468</v>
      </c>
      <c r="B293" s="747" t="s">
        <v>3202</v>
      </c>
      <c r="C293" s="747" t="s">
        <v>3203</v>
      </c>
      <c r="D293" s="747" t="s">
        <v>2139</v>
      </c>
      <c r="E293" s="747" t="s">
        <v>2109</v>
      </c>
      <c r="F293" s="747" t="s">
        <v>366</v>
      </c>
      <c r="G293" s="747" t="s">
        <v>4456</v>
      </c>
      <c r="H293" s="1840" t="s">
        <v>3204</v>
      </c>
      <c r="J293" s="747" t="s">
        <v>4456</v>
      </c>
      <c r="L293" s="1630"/>
      <c r="M293" s="747">
        <v>12</v>
      </c>
      <c r="N293" s="747">
        <v>55.21</v>
      </c>
      <c r="O293" s="747">
        <v>60.454999999999998</v>
      </c>
      <c r="P293" s="747">
        <v>13781</v>
      </c>
      <c r="Q293" s="1631">
        <v>46084.732928240737</v>
      </c>
      <c r="R293" s="747">
        <v>58.056250000000006</v>
      </c>
      <c r="T293" s="1628">
        <v>-2.2017344447250999</v>
      </c>
      <c r="U293" s="747">
        <v>7.2381479999999998</v>
      </c>
      <c r="V293" s="747">
        <v>8.662706</v>
      </c>
      <c r="W293" s="747">
        <v>10.460601269501801</v>
      </c>
      <c r="Y293" s="747" t="s">
        <v>2133</v>
      </c>
      <c r="AA293" s="1631"/>
      <c r="AC293" s="1627"/>
      <c r="AD293" s="747">
        <v>1</v>
      </c>
      <c r="AG293" s="1628">
        <v>6.1389904901243568E-2</v>
      </c>
    </row>
    <row r="294" spans="1:33" x14ac:dyDescent="0.2">
      <c r="A294" s="747" t="s">
        <v>1363</v>
      </c>
      <c r="B294" s="747" t="s">
        <v>3137</v>
      </c>
      <c r="C294" s="747" t="s">
        <v>3138</v>
      </c>
      <c r="D294" s="747" t="s">
        <v>2139</v>
      </c>
      <c r="E294" s="747" t="s">
        <v>2109</v>
      </c>
      <c r="F294" s="747" t="s">
        <v>381</v>
      </c>
      <c r="G294" s="747" t="s">
        <v>4457</v>
      </c>
      <c r="H294" s="1840" t="s">
        <v>3139</v>
      </c>
      <c r="J294" s="747" t="s">
        <v>4457</v>
      </c>
      <c r="L294" s="1630"/>
      <c r="M294" s="747">
        <v>28</v>
      </c>
      <c r="N294" s="747">
        <v>152.5</v>
      </c>
      <c r="O294" s="747">
        <v>153.20000000000002</v>
      </c>
      <c r="P294" s="747">
        <v>28</v>
      </c>
      <c r="Q294" s="1631">
        <v>46084.732812499999</v>
      </c>
      <c r="R294" s="747">
        <v>152.96</v>
      </c>
      <c r="T294" s="1628">
        <v>-3.12856238125396</v>
      </c>
      <c r="U294" s="747">
        <v>-4.9111029999999998</v>
      </c>
      <c r="V294" s="747">
        <v>-11.747057</v>
      </c>
      <c r="W294" s="747">
        <v>-10.176915637977201</v>
      </c>
      <c r="Y294" s="747" t="s">
        <v>2133</v>
      </c>
      <c r="AA294" s="1631"/>
      <c r="AC294" s="1627"/>
      <c r="AD294" s="747">
        <v>1</v>
      </c>
      <c r="AG294" s="1628">
        <v>3.0554343081624488E-3</v>
      </c>
    </row>
    <row r="295" spans="1:33" x14ac:dyDescent="0.2">
      <c r="A295" s="747" t="s">
        <v>1369</v>
      </c>
      <c r="B295" s="747" t="s">
        <v>3140</v>
      </c>
      <c r="C295" s="747" t="s">
        <v>3141</v>
      </c>
      <c r="D295" s="747" t="s">
        <v>2139</v>
      </c>
      <c r="E295" s="747" t="s">
        <v>2109</v>
      </c>
      <c r="F295" s="747" t="s">
        <v>381</v>
      </c>
      <c r="G295" s="747" t="s">
        <v>4458</v>
      </c>
      <c r="H295" s="1840" t="s">
        <v>3142</v>
      </c>
      <c r="J295" s="747" t="s">
        <v>4458</v>
      </c>
      <c r="L295" s="1630"/>
      <c r="Q295" s="1631">
        <v>46083.746527777781</v>
      </c>
      <c r="R295" s="747">
        <v>246.65</v>
      </c>
      <c r="T295" s="1628">
        <v>-1.19593382499502</v>
      </c>
      <c r="U295" s="747">
        <v>6.4752859917979713</v>
      </c>
      <c r="V295" s="747">
        <v>9.8908442860325181</v>
      </c>
      <c r="W295" s="747">
        <v>8.5870755750273897</v>
      </c>
      <c r="Y295" s="747" t="s">
        <v>2133</v>
      </c>
      <c r="AA295" s="1631"/>
      <c r="AC295" s="1627"/>
      <c r="AD295" s="747">
        <v>1</v>
      </c>
      <c r="AG295" s="1628"/>
    </row>
    <row r="296" spans="1:33" x14ac:dyDescent="0.2">
      <c r="A296" s="747" t="s">
        <v>1717</v>
      </c>
      <c r="B296" s="747" t="s">
        <v>1718</v>
      </c>
      <c r="C296" s="747" t="s">
        <v>3408</v>
      </c>
      <c r="D296" s="747" t="s">
        <v>2158</v>
      </c>
      <c r="E296" s="747" t="s">
        <v>2130</v>
      </c>
      <c r="F296" s="747" t="s">
        <v>369</v>
      </c>
      <c r="G296" s="747" t="s">
        <v>3409</v>
      </c>
      <c r="H296" s="1840" t="s">
        <v>3410</v>
      </c>
      <c r="J296" s="747" t="s">
        <v>3409</v>
      </c>
      <c r="L296" s="1630"/>
      <c r="Q296" s="1631">
        <v>46083.657824074071</v>
      </c>
      <c r="R296" s="747">
        <v>758.95</v>
      </c>
      <c r="T296" s="1628">
        <v>-0.38195994014647938</v>
      </c>
      <c r="U296" s="747">
        <v>0.67519168015282005</v>
      </c>
      <c r="V296" s="747">
        <v>1.4259368150959699</v>
      </c>
      <c r="W296" s="747">
        <v>1.3934163415807279</v>
      </c>
      <c r="Y296" s="747" t="s">
        <v>2133</v>
      </c>
      <c r="AA296" s="1631"/>
      <c r="AC296" s="1627"/>
      <c r="AD296" s="747">
        <v>1</v>
      </c>
      <c r="AG296" s="1628"/>
    </row>
    <row r="297" spans="1:33" x14ac:dyDescent="0.2">
      <c r="A297" s="747" t="s">
        <v>1676</v>
      </c>
      <c r="B297" s="747" t="s">
        <v>3380</v>
      </c>
      <c r="C297" s="747" t="s">
        <v>3381</v>
      </c>
      <c r="D297" s="747" t="s">
        <v>2158</v>
      </c>
      <c r="E297" s="747" t="s">
        <v>2130</v>
      </c>
      <c r="F297" s="747" t="s">
        <v>381</v>
      </c>
      <c r="G297" s="747" t="s">
        <v>3382</v>
      </c>
      <c r="H297" s="1840" t="s">
        <v>3383</v>
      </c>
      <c r="J297" s="747" t="s">
        <v>3382</v>
      </c>
      <c r="L297" s="1630"/>
      <c r="Q297" s="1631">
        <v>46083.052152777775</v>
      </c>
      <c r="R297" s="747">
        <v>440.58</v>
      </c>
      <c r="T297" s="1628">
        <v>-0.88411959236012838</v>
      </c>
      <c r="U297" s="747">
        <v>4.7055468415799204</v>
      </c>
      <c r="V297" s="747">
        <v>15.326021516634901</v>
      </c>
      <c r="W297" s="747">
        <v>13.554473053429204</v>
      </c>
      <c r="Y297" s="747" t="s">
        <v>2133</v>
      </c>
      <c r="AA297" s="1631"/>
      <c r="AC297" s="1627"/>
      <c r="AD297" s="747">
        <v>1</v>
      </c>
      <c r="AG297" s="1628"/>
    </row>
    <row r="298" spans="1:33" x14ac:dyDescent="0.2">
      <c r="A298" s="747" t="s">
        <v>4312</v>
      </c>
      <c r="B298" s="747" t="s">
        <v>4313</v>
      </c>
      <c r="C298" s="747" t="s">
        <v>2708</v>
      </c>
      <c r="D298" s="747" t="s">
        <v>2139</v>
      </c>
      <c r="E298" s="747" t="s">
        <v>2109</v>
      </c>
      <c r="F298" s="747" t="s">
        <v>381</v>
      </c>
      <c r="G298" s="747" t="s">
        <v>4459</v>
      </c>
      <c r="H298" s="1840" t="s">
        <v>2709</v>
      </c>
      <c r="J298" s="747" t="s">
        <v>4459</v>
      </c>
      <c r="L298" s="1630"/>
      <c r="Q298" s="1631">
        <v>46083.746527777781</v>
      </c>
      <c r="R298" s="747">
        <v>135.26</v>
      </c>
      <c r="T298" s="1628">
        <v>-2.4661090279781002</v>
      </c>
      <c r="U298" s="747">
        <v>-4.342291371994353</v>
      </c>
      <c r="V298" s="747">
        <v>4.9666304516529385</v>
      </c>
      <c r="W298" s="747">
        <v>-0.79213730379934</v>
      </c>
      <c r="Y298" s="747" t="s">
        <v>2133</v>
      </c>
      <c r="AA298" s="1631"/>
      <c r="AC298" s="1627"/>
      <c r="AD298" s="747">
        <v>1</v>
      </c>
      <c r="AG298" s="1628"/>
    </row>
    <row r="299" spans="1:33" x14ac:dyDescent="0.2">
      <c r="A299" s="747" t="s">
        <v>1873</v>
      </c>
      <c r="B299" s="747" t="s">
        <v>3490</v>
      </c>
      <c r="C299" s="747" t="s">
        <v>3491</v>
      </c>
      <c r="D299" s="747" t="s">
        <v>2120</v>
      </c>
      <c r="F299" s="747" t="s">
        <v>369</v>
      </c>
      <c r="G299" s="747" t="s">
        <v>3492</v>
      </c>
      <c r="H299" s="1840" t="s">
        <v>3493</v>
      </c>
      <c r="J299" s="747" t="s">
        <v>3494</v>
      </c>
      <c r="L299" s="1630"/>
      <c r="M299" s="747">
        <v>2</v>
      </c>
      <c r="N299" s="747">
        <v>1818</v>
      </c>
      <c r="O299" s="747">
        <v>1986</v>
      </c>
      <c r="P299" s="747">
        <v>20</v>
      </c>
      <c r="Q299" s="1631">
        <v>46084.730081018519</v>
      </c>
      <c r="R299" s="747">
        <v>1848</v>
      </c>
      <c r="T299" s="1628">
        <v>-2.7368421052631602</v>
      </c>
      <c r="U299" s="747">
        <v>-2.0148459999999999</v>
      </c>
      <c r="V299" s="747">
        <v>-17.5</v>
      </c>
      <c r="W299" s="747">
        <v>-13.636363636363701</v>
      </c>
      <c r="Y299" s="747" t="s">
        <v>2203</v>
      </c>
      <c r="Z299" s="747">
        <v>1.7316019999999999</v>
      </c>
      <c r="AA299" s="1631"/>
      <c r="AB299" s="747">
        <v>32</v>
      </c>
      <c r="AC299" s="1627">
        <v>45819</v>
      </c>
      <c r="AD299" s="747">
        <v>1</v>
      </c>
      <c r="AG299" s="1628">
        <v>5.9765208110992528E-2</v>
      </c>
    </row>
    <row r="300" spans="1:33" x14ac:dyDescent="0.2">
      <c r="A300" s="747" t="s">
        <v>1397</v>
      </c>
      <c r="B300" s="747" t="s">
        <v>2688</v>
      </c>
      <c r="C300" s="747" t="s">
        <v>2689</v>
      </c>
      <c r="D300" s="747" t="s">
        <v>2139</v>
      </c>
      <c r="E300" s="747" t="s">
        <v>2109</v>
      </c>
      <c r="F300" s="747" t="s">
        <v>381</v>
      </c>
      <c r="G300" s="747" t="s">
        <v>4461</v>
      </c>
      <c r="H300" s="1840" t="s">
        <v>2690</v>
      </c>
      <c r="J300" s="747" t="s">
        <v>4461</v>
      </c>
      <c r="L300" s="1630"/>
      <c r="Q300" s="1631">
        <v>46083.746527777781</v>
      </c>
      <c r="R300" s="747">
        <v>359</v>
      </c>
      <c r="T300" s="1628">
        <v>-1.8054985638079699</v>
      </c>
      <c r="U300" s="747">
        <v>3.4135100100820868</v>
      </c>
      <c r="V300" s="747">
        <v>14.696485623003195</v>
      </c>
      <c r="W300" s="747">
        <v>9.9724264705882302</v>
      </c>
      <c r="Y300" s="747" t="s">
        <v>2133</v>
      </c>
      <c r="AA300" s="1631"/>
      <c r="AC300" s="1627"/>
      <c r="AD300" s="747">
        <v>1</v>
      </c>
      <c r="AG300" s="1628"/>
    </row>
    <row r="301" spans="1:33" x14ac:dyDescent="0.2">
      <c r="A301" s="747" t="s">
        <v>1467</v>
      </c>
      <c r="B301" s="747" t="s">
        <v>3201</v>
      </c>
      <c r="C301" s="747" t="s">
        <v>2950</v>
      </c>
      <c r="D301" s="747" t="s">
        <v>2139</v>
      </c>
      <c r="E301" s="747" t="s">
        <v>2109</v>
      </c>
      <c r="F301" s="747" t="s">
        <v>381</v>
      </c>
      <c r="G301" s="747" t="s">
        <v>4460</v>
      </c>
      <c r="H301" s="1840" t="s">
        <v>2951</v>
      </c>
      <c r="J301" s="747" t="s">
        <v>4460</v>
      </c>
      <c r="L301" s="1630"/>
      <c r="Q301" s="1631">
        <v>46083.73333333333</v>
      </c>
      <c r="R301" s="747">
        <v>124.02</v>
      </c>
      <c r="T301" s="1628">
        <v>0.79648894668399994</v>
      </c>
      <c r="U301" s="747">
        <v>-3.3660589060308608</v>
      </c>
      <c r="V301" s="747">
        <v>-7.7781082688875625</v>
      </c>
      <c r="W301" s="747">
        <v>-5.5733211512106005</v>
      </c>
      <c r="Y301" s="747" t="s">
        <v>2133</v>
      </c>
      <c r="AA301" s="1631"/>
      <c r="AC301" s="1627"/>
      <c r="AD301" s="747">
        <v>1</v>
      </c>
      <c r="AG301" s="1628"/>
    </row>
    <row r="302" spans="1:33" x14ac:dyDescent="0.2">
      <c r="A302" s="747" t="s">
        <v>1403</v>
      </c>
      <c r="B302" s="747" t="s">
        <v>2526</v>
      </c>
      <c r="C302" s="747" t="s">
        <v>2527</v>
      </c>
      <c r="D302" s="747" t="s">
        <v>2139</v>
      </c>
      <c r="E302" s="747" t="s">
        <v>2109</v>
      </c>
      <c r="F302" s="747" t="s">
        <v>381</v>
      </c>
      <c r="G302" s="747" t="s">
        <v>4462</v>
      </c>
      <c r="H302" s="1840" t="s">
        <v>2528</v>
      </c>
      <c r="J302" s="747" t="s">
        <v>4462</v>
      </c>
      <c r="L302" s="1630"/>
      <c r="Q302" s="1631">
        <v>46083.733425925922</v>
      </c>
      <c r="R302" s="747">
        <v>162.60000000000002</v>
      </c>
      <c r="T302" s="1628">
        <v>-1.2249848392965499</v>
      </c>
      <c r="U302" s="747">
        <v>0.43236565781347563</v>
      </c>
      <c r="V302" s="747">
        <v>7.3550772481183246</v>
      </c>
      <c r="W302" s="747">
        <v>10.143359480659999</v>
      </c>
      <c r="Y302" s="747" t="s">
        <v>2133</v>
      </c>
      <c r="AA302" s="1631"/>
      <c r="AC302" s="1627"/>
      <c r="AD302" s="747">
        <v>1</v>
      </c>
      <c r="AG302" s="1628"/>
    </row>
    <row r="303" spans="1:33" x14ac:dyDescent="0.2">
      <c r="A303" s="747" t="s">
        <v>1542</v>
      </c>
      <c r="B303" s="747" t="s">
        <v>1543</v>
      </c>
      <c r="C303" s="747" t="s">
        <v>3283</v>
      </c>
      <c r="D303" s="747" t="s">
        <v>2139</v>
      </c>
      <c r="E303" s="747" t="s">
        <v>2130</v>
      </c>
      <c r="F303" s="747" t="s">
        <v>369</v>
      </c>
      <c r="G303" s="747" t="s">
        <v>3284</v>
      </c>
      <c r="H303" s="1840" t="s">
        <v>3285</v>
      </c>
      <c r="J303" s="747" t="s">
        <v>3284</v>
      </c>
      <c r="L303" s="1630"/>
      <c r="M303" s="747">
        <v>140</v>
      </c>
      <c r="N303" s="747">
        <v>17.5</v>
      </c>
      <c r="O303" s="747">
        <v>19</v>
      </c>
      <c r="P303" s="747">
        <v>2623</v>
      </c>
      <c r="Q303" s="1631">
        <v>46084.73300925926</v>
      </c>
      <c r="R303" s="747">
        <v>18.338000000000001</v>
      </c>
      <c r="T303" s="1628">
        <v>-2.5403911564625798</v>
      </c>
      <c r="U303" s="747">
        <v>1.2589729999999999</v>
      </c>
      <c r="V303" s="747">
        <v>8.0740219999999994</v>
      </c>
      <c r="W303" s="747">
        <v>7.7293026451391196</v>
      </c>
      <c r="Y303" s="747" t="s">
        <v>2133</v>
      </c>
      <c r="AA303" s="1631"/>
      <c r="AC303" s="1627"/>
      <c r="AD303" s="747">
        <v>1</v>
      </c>
      <c r="AG303" s="1628">
        <v>5.5555555555555552E-2</v>
      </c>
    </row>
    <row r="304" spans="1:33" x14ac:dyDescent="0.2">
      <c r="A304" s="747" t="s">
        <v>1490</v>
      </c>
      <c r="B304" s="747" t="s">
        <v>3246</v>
      </c>
      <c r="C304" s="747" t="s">
        <v>3247</v>
      </c>
      <c r="D304" s="747" t="s">
        <v>2139</v>
      </c>
      <c r="E304" s="747" t="s">
        <v>2355</v>
      </c>
      <c r="F304" s="747" t="s">
        <v>366</v>
      </c>
      <c r="G304" s="747" t="s">
        <v>3248</v>
      </c>
      <c r="H304" s="1840" t="s">
        <v>3249</v>
      </c>
      <c r="J304" s="747" t="s">
        <v>3248</v>
      </c>
      <c r="L304" s="1630"/>
      <c r="M304" s="747">
        <v>100</v>
      </c>
      <c r="N304" s="747">
        <v>43.61</v>
      </c>
      <c r="O304" s="747">
        <v>43.62</v>
      </c>
      <c r="P304" s="747">
        <v>300</v>
      </c>
      <c r="Q304" s="1631">
        <v>46084.785034722219</v>
      </c>
      <c r="R304" s="747">
        <v>43.62</v>
      </c>
      <c r="T304" s="1628">
        <v>-0.75085324232084005</v>
      </c>
      <c r="U304" s="747">
        <v>7.0166829999999996</v>
      </c>
      <c r="V304" s="747">
        <v>7.7569169999999996</v>
      </c>
      <c r="W304" s="747">
        <v>8.8140628868531898</v>
      </c>
      <c r="Y304" s="747" t="s">
        <v>2133</v>
      </c>
      <c r="AA304" s="1631"/>
      <c r="AB304" s="747">
        <v>0.436108</v>
      </c>
      <c r="AC304" s="1627">
        <v>46013</v>
      </c>
      <c r="AD304" s="747">
        <v>1</v>
      </c>
      <c r="AG304" s="1628">
        <v>1.5285845307242449E-4</v>
      </c>
    </row>
    <row r="305" spans="1:33" x14ac:dyDescent="0.2">
      <c r="A305" s="747" t="s">
        <v>1414</v>
      </c>
      <c r="B305" s="747" t="s">
        <v>3164</v>
      </c>
      <c r="C305" s="747" t="s">
        <v>3165</v>
      </c>
      <c r="D305" s="747" t="s">
        <v>2139</v>
      </c>
      <c r="E305" s="747" t="s">
        <v>2355</v>
      </c>
      <c r="F305" s="747" t="s">
        <v>366</v>
      </c>
      <c r="G305" s="747" t="s">
        <v>3166</v>
      </c>
      <c r="H305" s="1840" t="s">
        <v>3167</v>
      </c>
      <c r="J305" s="747" t="s">
        <v>3166</v>
      </c>
      <c r="L305" s="1630"/>
      <c r="M305" s="747">
        <v>160</v>
      </c>
      <c r="N305" s="747">
        <v>678.05000000000007</v>
      </c>
      <c r="O305" s="747">
        <v>678.06000000000006</v>
      </c>
      <c r="P305" s="747">
        <v>280</v>
      </c>
      <c r="Q305" s="1631">
        <v>46084.785914351851</v>
      </c>
      <c r="R305" s="747">
        <v>678.05010000000004</v>
      </c>
      <c r="T305" s="1628">
        <v>-1.2135988810862799</v>
      </c>
      <c r="U305" s="747">
        <v>-1.6648879999999999</v>
      </c>
      <c r="V305" s="747">
        <v>-0.73054299999999994</v>
      </c>
      <c r="W305" s="747">
        <v>0.65403566400752</v>
      </c>
      <c r="Y305" s="747" t="s">
        <v>2133</v>
      </c>
      <c r="AA305" s="1631"/>
      <c r="AB305" s="747">
        <v>1.9933679999999998</v>
      </c>
      <c r="AC305" s="1627">
        <v>46010</v>
      </c>
      <c r="AD305" s="747">
        <v>1</v>
      </c>
      <c r="AG305" s="1628">
        <v>9.8320682738731494E-6</v>
      </c>
    </row>
    <row r="306" spans="1:33" x14ac:dyDescent="0.2">
      <c r="A306" s="747" t="s">
        <v>1420</v>
      </c>
      <c r="B306" s="747" t="s">
        <v>2573</v>
      </c>
      <c r="C306" s="747" t="s">
        <v>2574</v>
      </c>
      <c r="D306" s="747" t="s">
        <v>2139</v>
      </c>
      <c r="E306" s="747" t="s">
        <v>2109</v>
      </c>
      <c r="F306" s="747" t="s">
        <v>366</v>
      </c>
      <c r="G306" s="747" t="s">
        <v>4463</v>
      </c>
      <c r="H306" s="1840" t="s">
        <v>2575</v>
      </c>
      <c r="J306" s="747" t="s">
        <v>4463</v>
      </c>
      <c r="L306" s="1630"/>
      <c r="M306" s="747">
        <v>80</v>
      </c>
      <c r="N306" s="747">
        <v>49.72</v>
      </c>
      <c r="O306" s="747">
        <v>54.050000000000004</v>
      </c>
      <c r="P306" s="747">
        <v>1292</v>
      </c>
      <c r="Q306" s="1631">
        <v>46084.732789351852</v>
      </c>
      <c r="R306" s="747">
        <v>53.88</v>
      </c>
      <c r="T306" s="1628">
        <v>-0.14825796886583001</v>
      </c>
      <c r="U306" s="747">
        <v>-1.6788319999999999</v>
      </c>
      <c r="V306" s="747">
        <v>1.8140589999999999</v>
      </c>
      <c r="W306" s="747">
        <v>0.97305389221558003</v>
      </c>
      <c r="Y306" s="747" t="s">
        <v>2133</v>
      </c>
      <c r="AA306" s="1631"/>
      <c r="AC306" s="1627"/>
      <c r="AD306" s="747">
        <v>1</v>
      </c>
      <c r="AG306" s="1628">
        <v>5.6420613720763638E-2</v>
      </c>
    </row>
    <row r="307" spans="1:33" x14ac:dyDescent="0.2">
      <c r="A307" s="747" t="s">
        <v>1425</v>
      </c>
      <c r="B307" s="747" t="s">
        <v>3176</v>
      </c>
      <c r="C307" s="747" t="s">
        <v>3177</v>
      </c>
      <c r="D307" s="747" t="s">
        <v>2139</v>
      </c>
      <c r="E307" s="747" t="s">
        <v>2109</v>
      </c>
      <c r="F307" s="747" t="s">
        <v>366</v>
      </c>
      <c r="G307" s="747" t="s">
        <v>4464</v>
      </c>
      <c r="H307" s="1840" t="s">
        <v>3178</v>
      </c>
      <c r="J307" s="747" t="s">
        <v>4464</v>
      </c>
      <c r="L307" s="1630"/>
      <c r="M307" s="747">
        <v>8944</v>
      </c>
      <c r="N307" s="747">
        <v>67.827500000000001</v>
      </c>
      <c r="O307" s="747">
        <v>68.975000000000009</v>
      </c>
      <c r="P307" s="747">
        <v>8944</v>
      </c>
      <c r="Q307" s="1631">
        <v>46084.732974537037</v>
      </c>
      <c r="R307" s="747">
        <v>68.510000000000005</v>
      </c>
      <c r="T307" s="1628">
        <v>-1.5590200445434299</v>
      </c>
      <c r="U307" s="747">
        <v>-8.6320139999999999</v>
      </c>
      <c r="V307" s="747">
        <v>-4.362393</v>
      </c>
      <c r="W307" s="747">
        <v>-5.07723258430799</v>
      </c>
      <c r="Y307" s="747" t="s">
        <v>2133</v>
      </c>
      <c r="AA307" s="1631"/>
      <c r="AC307" s="1627"/>
      <c r="AD307" s="747">
        <v>1</v>
      </c>
      <c r="AG307" s="1628">
        <v>1.1215364316082764E-2</v>
      </c>
    </row>
    <row r="308" spans="1:33" x14ac:dyDescent="0.2">
      <c r="A308" s="747" t="s">
        <v>1436</v>
      </c>
      <c r="B308" s="747" t="s">
        <v>3093</v>
      </c>
      <c r="C308" s="747" t="s">
        <v>3094</v>
      </c>
      <c r="D308" s="747" t="s">
        <v>2139</v>
      </c>
      <c r="E308" s="747" t="s">
        <v>2109</v>
      </c>
      <c r="F308" s="747" t="s">
        <v>366</v>
      </c>
      <c r="G308" s="747" t="s">
        <v>4465</v>
      </c>
      <c r="H308" s="1840" t="s">
        <v>3095</v>
      </c>
      <c r="J308" s="747" t="s">
        <v>4465</v>
      </c>
      <c r="L308" s="1630"/>
      <c r="M308" s="747">
        <v>500</v>
      </c>
      <c r="N308" s="747">
        <v>45.050000000000004</v>
      </c>
      <c r="O308" s="747">
        <v>56</v>
      </c>
      <c r="P308" s="747">
        <v>3</v>
      </c>
      <c r="Q308" s="1631">
        <v>46084.732789351852</v>
      </c>
      <c r="R308" s="747">
        <v>45.577500000000001</v>
      </c>
      <c r="T308" s="1628">
        <v>0.36886148425456999</v>
      </c>
      <c r="U308" s="747">
        <v>11.123979</v>
      </c>
      <c r="V308" s="747">
        <v>25.230114</v>
      </c>
      <c r="W308" s="747">
        <v>26.0776011660999</v>
      </c>
      <c r="Y308" s="747" t="s">
        <v>2133</v>
      </c>
      <c r="AA308" s="1631"/>
      <c r="AC308" s="1627"/>
      <c r="AD308" s="747">
        <v>1</v>
      </c>
      <c r="AG308" s="1628">
        <v>0.14989733059548246</v>
      </c>
    </row>
    <row r="309" spans="1:33" x14ac:dyDescent="0.2">
      <c r="A309" s="747" t="s">
        <v>1937</v>
      </c>
      <c r="B309" s="747" t="s">
        <v>3513</v>
      </c>
      <c r="C309" s="747" t="s">
        <v>3514</v>
      </c>
      <c r="D309" s="747" t="s">
        <v>2120</v>
      </c>
      <c r="F309" s="747" t="s">
        <v>381</v>
      </c>
      <c r="G309" s="747" t="s">
        <v>3515</v>
      </c>
      <c r="H309" s="1840" t="s">
        <v>3516</v>
      </c>
      <c r="J309" s="747" t="s">
        <v>3517</v>
      </c>
      <c r="L309" s="1630"/>
      <c r="Q309" s="1631">
        <v>46083.746527777781</v>
      </c>
      <c r="R309" s="747">
        <v>267.75</v>
      </c>
      <c r="T309" s="1628">
        <v>-3.2345500542103398</v>
      </c>
      <c r="U309" s="747">
        <v>8.5766423357664205</v>
      </c>
      <c r="V309" s="747">
        <v>12.689393939394</v>
      </c>
      <c r="W309" s="747">
        <v>13.984674329501999</v>
      </c>
      <c r="Y309" s="747" t="s">
        <v>2655</v>
      </c>
      <c r="AA309" s="1631"/>
      <c r="AB309" s="747">
        <v>3.9000000000000004</v>
      </c>
      <c r="AC309" s="1627">
        <v>45790</v>
      </c>
      <c r="AD309" s="747">
        <v>1</v>
      </c>
      <c r="AG309" s="1628"/>
    </row>
    <row r="310" spans="1:33" x14ac:dyDescent="0.2">
      <c r="A310" s="747" t="s">
        <v>1452</v>
      </c>
      <c r="B310" s="747" t="s">
        <v>2137</v>
      </c>
      <c r="C310" s="747" t="s">
        <v>2138</v>
      </c>
      <c r="D310" s="747" t="s">
        <v>2139</v>
      </c>
      <c r="E310" s="747" t="s">
        <v>2109</v>
      </c>
      <c r="F310" s="747" t="s">
        <v>366</v>
      </c>
      <c r="G310" s="747" t="s">
        <v>4466</v>
      </c>
      <c r="H310" s="1840" t="s">
        <v>2140</v>
      </c>
      <c r="J310" s="747" t="s">
        <v>4466</v>
      </c>
      <c r="L310" s="1630"/>
      <c r="M310" s="747">
        <v>10</v>
      </c>
      <c r="N310" s="747">
        <v>69</v>
      </c>
      <c r="O310" s="747">
        <v>76.05</v>
      </c>
      <c r="P310" s="747">
        <v>912</v>
      </c>
      <c r="Q310" s="1631">
        <v>46084.732731481483</v>
      </c>
      <c r="R310" s="747">
        <v>75.725000000000009</v>
      </c>
      <c r="T310" s="1628">
        <v>-2.4320457796852799</v>
      </c>
      <c r="U310" s="747">
        <v>2.458345</v>
      </c>
      <c r="V310" s="747">
        <v>12.187826999999999</v>
      </c>
      <c r="W310" s="747">
        <v>13.5829824950144</v>
      </c>
      <c r="Y310" s="747" t="s">
        <v>2133</v>
      </c>
      <c r="AA310" s="1631"/>
      <c r="AC310" s="1627"/>
      <c r="AD310" s="747">
        <v>1</v>
      </c>
      <c r="AG310" s="1628">
        <v>6.587245970567622E-2</v>
      </c>
    </row>
    <row r="311" spans="1:33" x14ac:dyDescent="0.2">
      <c r="A311" s="747" t="s">
        <v>1457</v>
      </c>
      <c r="B311" s="747" t="s">
        <v>2867</v>
      </c>
      <c r="C311" s="747" t="s">
        <v>2868</v>
      </c>
      <c r="D311" s="747" t="s">
        <v>2139</v>
      </c>
      <c r="E311" s="747" t="s">
        <v>2109</v>
      </c>
      <c r="F311" s="747" t="s">
        <v>366</v>
      </c>
      <c r="G311" s="747" t="s">
        <v>4467</v>
      </c>
      <c r="H311" s="1840" t="s">
        <v>2869</v>
      </c>
      <c r="J311" s="747" t="s">
        <v>4467</v>
      </c>
      <c r="L311" s="1630"/>
      <c r="M311" s="747">
        <v>222</v>
      </c>
      <c r="N311" s="747">
        <v>51.22</v>
      </c>
      <c r="O311" s="747">
        <v>51.61</v>
      </c>
      <c r="P311" s="747">
        <v>222</v>
      </c>
      <c r="Q311" s="1631">
        <v>46084.732673611114</v>
      </c>
      <c r="R311" s="747">
        <v>51.36</v>
      </c>
      <c r="T311" s="1628">
        <v>-3.5505193578848</v>
      </c>
      <c r="U311" s="747">
        <v>-0.11734799999999999</v>
      </c>
      <c r="V311" s="747">
        <v>17.456302000000001</v>
      </c>
      <c r="W311" s="747">
        <v>15.813648293963301</v>
      </c>
      <c r="Y311" s="747" t="s">
        <v>2133</v>
      </c>
      <c r="AA311" s="1631"/>
      <c r="AC311" s="1627"/>
      <c r="AD311" s="747">
        <v>1</v>
      </c>
      <c r="AG311" s="1628">
        <v>5.0632911392405134E-3</v>
      </c>
    </row>
    <row r="312" spans="1:33" x14ac:dyDescent="0.2">
      <c r="A312" s="747" t="s">
        <v>1462</v>
      </c>
      <c r="B312" s="747" t="s">
        <v>2949</v>
      </c>
      <c r="C312" s="747" t="s">
        <v>2950</v>
      </c>
      <c r="D312" s="747" t="s">
        <v>2139</v>
      </c>
      <c r="E312" s="747" t="s">
        <v>2109</v>
      </c>
      <c r="F312" s="747" t="s">
        <v>366</v>
      </c>
      <c r="G312" s="747" t="s">
        <v>4460</v>
      </c>
      <c r="H312" s="1840" t="s">
        <v>2951</v>
      </c>
      <c r="J312" s="747" t="s">
        <v>4460</v>
      </c>
      <c r="L312" s="1630"/>
      <c r="M312" s="747">
        <v>100</v>
      </c>
      <c r="N312" s="747">
        <v>131.20000000000002</v>
      </c>
      <c r="O312" s="747">
        <v>148</v>
      </c>
      <c r="P312" s="747">
        <v>14</v>
      </c>
      <c r="Q312" s="1631">
        <v>46084.73269675926</v>
      </c>
      <c r="R312" s="747">
        <v>143.58000000000001</v>
      </c>
      <c r="T312" s="1628">
        <v>-1.1701541850220201</v>
      </c>
      <c r="U312" s="747">
        <v>-2.7499319999999998</v>
      </c>
      <c r="V312" s="747">
        <v>-8.6176169999999992</v>
      </c>
      <c r="W312" s="747">
        <v>-5.6133056133056298</v>
      </c>
      <c r="Y312" s="747" t="s">
        <v>2133</v>
      </c>
      <c r="AA312" s="1631"/>
      <c r="AC312" s="1627"/>
      <c r="AD312" s="747">
        <v>1</v>
      </c>
      <c r="AG312" s="1628">
        <v>8.1871345029239678E-2</v>
      </c>
    </row>
    <row r="313" spans="1:33" x14ac:dyDescent="0.2">
      <c r="A313" s="747" t="s">
        <v>1754</v>
      </c>
      <c r="B313" s="747" t="s">
        <v>3429</v>
      </c>
      <c r="D313" s="747" t="s">
        <v>2259</v>
      </c>
      <c r="H313" s="1840"/>
      <c r="L313" s="1630"/>
      <c r="Q313" s="1631"/>
      <c r="AA313" s="1631"/>
      <c r="AC313" s="1627"/>
      <c r="AG313" s="1628"/>
    </row>
    <row r="314" spans="1:33" x14ac:dyDescent="0.2">
      <c r="A314" s="747" t="s">
        <v>1578</v>
      </c>
      <c r="B314" s="747" t="s">
        <v>3306</v>
      </c>
      <c r="C314" s="747" t="s">
        <v>3307</v>
      </c>
      <c r="D314" s="747" t="s">
        <v>2139</v>
      </c>
      <c r="E314" s="747" t="s">
        <v>2159</v>
      </c>
      <c r="F314" s="747" t="s">
        <v>369</v>
      </c>
      <c r="G314" s="747" t="s">
        <v>3308</v>
      </c>
      <c r="H314" s="1840" t="s">
        <v>3309</v>
      </c>
      <c r="J314" s="747" t="s">
        <v>3308</v>
      </c>
      <c r="L314" s="1630"/>
      <c r="M314" s="747">
        <v>470</v>
      </c>
      <c r="N314" s="747">
        <v>305</v>
      </c>
      <c r="O314" s="747">
        <v>318.40000000000003</v>
      </c>
      <c r="P314" s="747">
        <v>61</v>
      </c>
      <c r="Q314" s="1631">
        <v>46084.73300925926</v>
      </c>
      <c r="R314" s="747">
        <v>307.10000000000002</v>
      </c>
      <c r="T314" s="1628">
        <v>-2.9546531837573</v>
      </c>
      <c r="U314" s="747">
        <v>0.54018699999999997</v>
      </c>
      <c r="V314" s="747">
        <v>3.9255500000000003</v>
      </c>
      <c r="W314" s="747">
        <v>5.0282110852970403</v>
      </c>
      <c r="Y314" s="747" t="s">
        <v>2133</v>
      </c>
      <c r="AA314" s="1631"/>
      <c r="AB314" s="747">
        <v>5.15</v>
      </c>
      <c r="AC314" s="1627">
        <v>45905</v>
      </c>
      <c r="AD314" s="747">
        <v>1</v>
      </c>
      <c r="AG314" s="1628">
        <v>2.8866867729427041E-2</v>
      </c>
    </row>
    <row r="315" spans="1:33" x14ac:dyDescent="0.2">
      <c r="A315" s="747" t="s">
        <v>1474</v>
      </c>
      <c r="B315" s="747" t="s">
        <v>3209</v>
      </c>
      <c r="C315" s="747" t="s">
        <v>1424</v>
      </c>
      <c r="D315" s="747" t="s">
        <v>2139</v>
      </c>
      <c r="E315" s="747" t="s">
        <v>2355</v>
      </c>
      <c r="F315" s="747" t="s">
        <v>366</v>
      </c>
      <c r="G315" s="747" t="s">
        <v>3210</v>
      </c>
      <c r="H315" s="1840" t="s">
        <v>3211</v>
      </c>
      <c r="J315" s="747" t="s">
        <v>3210</v>
      </c>
      <c r="L315" s="1630"/>
      <c r="M315" s="747">
        <v>100</v>
      </c>
      <c r="N315" s="747">
        <v>117.33</v>
      </c>
      <c r="O315" s="747">
        <v>117.35000000000001</v>
      </c>
      <c r="P315" s="747">
        <v>100</v>
      </c>
      <c r="Q315" s="1631">
        <v>46084.785740740743</v>
      </c>
      <c r="R315" s="747">
        <v>117.35000000000001</v>
      </c>
      <c r="T315" s="1628">
        <v>-0.50869012293344995</v>
      </c>
      <c r="U315" s="747">
        <v>-0.36508699999999999</v>
      </c>
      <c r="V315" s="747">
        <v>0.84214099999999992</v>
      </c>
      <c r="W315" s="747">
        <v>0.18686825787819999</v>
      </c>
      <c r="Y315" s="747" t="s">
        <v>2133</v>
      </c>
      <c r="AA315" s="1631"/>
      <c r="AB315" s="747">
        <v>0.37579099999999999</v>
      </c>
      <c r="AC315" s="1627">
        <v>46013</v>
      </c>
      <c r="AD315" s="747">
        <v>1</v>
      </c>
      <c r="AG315" s="1628">
        <v>1.1363313542234727E-4</v>
      </c>
    </row>
    <row r="316" spans="1:33" x14ac:dyDescent="0.2">
      <c r="A316" s="747" t="s">
        <v>2018</v>
      </c>
      <c r="B316" s="747" t="s">
        <v>3523</v>
      </c>
      <c r="C316" s="747" t="s">
        <v>2489</v>
      </c>
      <c r="D316" s="747" t="s">
        <v>2129</v>
      </c>
      <c r="E316" s="747" t="s">
        <v>2130</v>
      </c>
      <c r="F316" s="747" t="s">
        <v>381</v>
      </c>
      <c r="G316" s="747" t="s">
        <v>2490</v>
      </c>
      <c r="H316" s="1840" t="s">
        <v>2491</v>
      </c>
      <c r="J316" s="747" t="s">
        <v>2490</v>
      </c>
      <c r="L316" s="1630"/>
      <c r="Q316" s="1631">
        <v>46083.817812499998</v>
      </c>
      <c r="R316" s="747">
        <v>61.829000000000001</v>
      </c>
      <c r="T316" s="1628">
        <v>-12.5921109666234</v>
      </c>
      <c r="U316" s="747">
        <v>5.0638073714081742</v>
      </c>
      <c r="V316" s="747">
        <v>5.6978254923413543</v>
      </c>
      <c r="W316" s="747">
        <v>-8.9141765114662999</v>
      </c>
      <c r="Y316" s="747" t="s">
        <v>2133</v>
      </c>
      <c r="AA316" s="1631"/>
      <c r="AC316" s="1627"/>
      <c r="AD316" s="747">
        <v>1</v>
      </c>
      <c r="AG316" s="1628"/>
    </row>
    <row r="317" spans="1:33" x14ac:dyDescent="0.2">
      <c r="A317" s="747" t="s">
        <v>1920</v>
      </c>
      <c r="B317" s="747" t="s">
        <v>3508</v>
      </c>
      <c r="C317" s="747" t="s">
        <v>3509</v>
      </c>
      <c r="D317" s="747" t="s">
        <v>2120</v>
      </c>
      <c r="F317" s="747" t="s">
        <v>369</v>
      </c>
      <c r="G317" s="747" t="s">
        <v>3510</v>
      </c>
      <c r="H317" s="1840" t="s">
        <v>3511</v>
      </c>
      <c r="J317" s="747" t="s">
        <v>3512</v>
      </c>
      <c r="L317" s="1630"/>
      <c r="M317" s="747">
        <v>25</v>
      </c>
      <c r="N317" s="747">
        <v>355</v>
      </c>
      <c r="Q317" s="1631">
        <v>46084.734525462962</v>
      </c>
      <c r="R317" s="747">
        <v>355.40000000000003</v>
      </c>
      <c r="T317" s="1628">
        <v>-2.0666850372003398</v>
      </c>
      <c r="U317" s="747">
        <v>0.82269499999999995</v>
      </c>
      <c r="V317" s="747">
        <v>12.718045999999999</v>
      </c>
      <c r="W317" s="747">
        <v>10.5728214503352</v>
      </c>
      <c r="Y317" s="747" t="s">
        <v>2585</v>
      </c>
      <c r="Z317" s="747">
        <v>2.7574559999999999</v>
      </c>
      <c r="AA317" s="1631"/>
      <c r="AB317" s="747">
        <v>9.7000000000000011</v>
      </c>
      <c r="AC317" s="1627">
        <v>45743</v>
      </c>
      <c r="AD317" s="747">
        <v>1</v>
      </c>
      <c r="AG317" s="1628"/>
    </row>
    <row r="318" spans="1:33" x14ac:dyDescent="0.2">
      <c r="A318" s="747" t="s">
        <v>1483</v>
      </c>
      <c r="B318" s="747" t="s">
        <v>3234</v>
      </c>
      <c r="C318" s="747" t="s">
        <v>897</v>
      </c>
      <c r="D318" s="747" t="s">
        <v>2139</v>
      </c>
      <c r="E318" s="747" t="s">
        <v>2355</v>
      </c>
      <c r="F318" s="747" t="s">
        <v>366</v>
      </c>
      <c r="G318" s="747" t="s">
        <v>3235</v>
      </c>
      <c r="H318" s="1840" t="s">
        <v>3236</v>
      </c>
      <c r="J318" s="747" t="s">
        <v>3235</v>
      </c>
      <c r="L318" s="1630"/>
      <c r="M318" s="747">
        <v>500</v>
      </c>
      <c r="N318" s="747">
        <v>51.02</v>
      </c>
      <c r="O318" s="747">
        <v>51.03</v>
      </c>
      <c r="P318" s="747">
        <v>600</v>
      </c>
      <c r="Q318" s="1631">
        <v>46084.785567129627</v>
      </c>
      <c r="R318" s="747">
        <v>51.02</v>
      </c>
      <c r="T318" s="1628">
        <v>-0.55550141311763002</v>
      </c>
      <c r="U318" s="747">
        <v>-4.6711510000000001</v>
      </c>
      <c r="V318" s="747">
        <v>-4.1967889999999999</v>
      </c>
      <c r="W318" s="747">
        <v>-6.3350068461889597</v>
      </c>
      <c r="Y318" s="747" t="s">
        <v>2133</v>
      </c>
      <c r="AA318" s="1631"/>
      <c r="AB318" s="747">
        <v>0.190771</v>
      </c>
      <c r="AC318" s="1627">
        <v>46013</v>
      </c>
      <c r="AD318" s="747">
        <v>1</v>
      </c>
      <c r="AG318" s="1628">
        <v>1.3065917554057636E-4</v>
      </c>
    </row>
    <row r="319" spans="1:33" x14ac:dyDescent="0.2">
      <c r="A319" s="747" t="s">
        <v>1727</v>
      </c>
      <c r="B319" s="747" t="s">
        <v>1728</v>
      </c>
      <c r="C319" s="747" t="s">
        <v>2157</v>
      </c>
      <c r="D319" s="747" t="s">
        <v>2158</v>
      </c>
      <c r="E319" s="747" t="s">
        <v>2159</v>
      </c>
      <c r="F319" s="747" t="s">
        <v>369</v>
      </c>
      <c r="G319" s="747" t="s">
        <v>2160</v>
      </c>
      <c r="H319" s="1840" t="s">
        <v>2161</v>
      </c>
      <c r="J319" s="747" t="s">
        <v>2160</v>
      </c>
      <c r="L319" s="1630"/>
      <c r="Q319" s="1631">
        <v>46083.343865740739</v>
      </c>
      <c r="R319" s="747">
        <v>113.05</v>
      </c>
      <c r="T319" s="1628">
        <v>-0.7636938202247231</v>
      </c>
      <c r="U319" s="747">
        <v>1.4447236180904599</v>
      </c>
      <c r="V319" s="747">
        <v>3.8585209003215399</v>
      </c>
      <c r="W319" s="747">
        <v>3.4770016734509301</v>
      </c>
      <c r="Y319" s="747" t="s">
        <v>2133</v>
      </c>
      <c r="AA319" s="1631"/>
      <c r="AB319" s="747">
        <v>1.32</v>
      </c>
      <c r="AC319" s="1627">
        <v>46036</v>
      </c>
      <c r="AD319" s="747">
        <v>1</v>
      </c>
      <c r="AG319" s="1628"/>
    </row>
    <row r="320" spans="1:33" x14ac:dyDescent="0.2">
      <c r="A320" s="747" t="s">
        <v>1855</v>
      </c>
      <c r="B320" s="747" t="s">
        <v>2165</v>
      </c>
      <c r="C320" s="747" t="s">
        <v>2166</v>
      </c>
      <c r="D320" s="747" t="s">
        <v>2120</v>
      </c>
      <c r="F320" s="747" t="s">
        <v>369</v>
      </c>
      <c r="G320" s="747" t="s">
        <v>4367</v>
      </c>
      <c r="H320" s="1840" t="s">
        <v>2167</v>
      </c>
      <c r="J320" s="747" t="s">
        <v>4366</v>
      </c>
      <c r="L320" s="1630"/>
      <c r="O320" s="747">
        <v>190</v>
      </c>
      <c r="P320" s="747">
        <v>25</v>
      </c>
      <c r="Q320" s="1631">
        <v>46084.731238425928</v>
      </c>
      <c r="R320" s="747">
        <v>188.20000000000002</v>
      </c>
      <c r="T320" s="1628">
        <v>-4.7088607594936702</v>
      </c>
      <c r="U320" s="747">
        <v>-5.379588</v>
      </c>
      <c r="V320" s="747">
        <v>-4.1751529999999999</v>
      </c>
      <c r="W320" s="747">
        <v>-5.5927342256214301</v>
      </c>
      <c r="Y320" s="747" t="s">
        <v>2168</v>
      </c>
      <c r="Z320" s="747">
        <v>3.5600429999999998</v>
      </c>
      <c r="AA320" s="1631"/>
      <c r="AB320" s="747">
        <v>6.7</v>
      </c>
      <c r="AC320" s="1627">
        <v>45776</v>
      </c>
      <c r="AD320" s="747">
        <v>1</v>
      </c>
      <c r="AG320" s="1628"/>
    </row>
    <row r="321" spans="1:33" x14ac:dyDescent="0.2">
      <c r="A321" s="747" t="s">
        <v>1493</v>
      </c>
      <c r="B321" s="747" t="s">
        <v>3250</v>
      </c>
      <c r="C321" s="747" t="s">
        <v>3251</v>
      </c>
      <c r="D321" s="747" t="s">
        <v>2139</v>
      </c>
      <c r="E321" s="747" t="s">
        <v>2355</v>
      </c>
      <c r="F321" s="747" t="s">
        <v>366</v>
      </c>
      <c r="G321" s="747" t="s">
        <v>3252</v>
      </c>
      <c r="H321" s="1840" t="s">
        <v>3253</v>
      </c>
      <c r="J321" s="747" t="s">
        <v>3252</v>
      </c>
      <c r="L321" s="1630"/>
      <c r="M321" s="747">
        <v>40</v>
      </c>
      <c r="N321" s="747">
        <v>137.17000000000002</v>
      </c>
      <c r="O321" s="747">
        <v>137.41</v>
      </c>
      <c r="P321" s="747">
        <v>40</v>
      </c>
      <c r="Q321" s="1631">
        <v>46084.785266203704</v>
      </c>
      <c r="R321" s="747">
        <v>137.36000000000001</v>
      </c>
      <c r="T321" s="1628">
        <v>-1.5305208071973899</v>
      </c>
      <c r="U321" s="747">
        <v>-3.3016539999999996</v>
      </c>
      <c r="V321" s="747">
        <v>-7.1860539999999995</v>
      </c>
      <c r="W321" s="747">
        <v>-3.1150159744408898</v>
      </c>
      <c r="Y321" s="747" t="s">
        <v>2133</v>
      </c>
      <c r="AA321" s="1631"/>
      <c r="AB321" s="747">
        <v>0.21882699999999999</v>
      </c>
      <c r="AC321" s="1627">
        <v>46013</v>
      </c>
      <c r="AD321" s="747">
        <v>1</v>
      </c>
      <c r="AG321" s="1628">
        <v>1.1657559198541866E-3</v>
      </c>
    </row>
    <row r="322" spans="1:33" x14ac:dyDescent="0.2">
      <c r="A322" s="747" t="s">
        <v>1863</v>
      </c>
      <c r="B322" s="747" t="s">
        <v>2208</v>
      </c>
      <c r="C322" s="747" t="s">
        <v>2209</v>
      </c>
      <c r="D322" s="747" t="s">
        <v>2120</v>
      </c>
      <c r="F322" s="747" t="s">
        <v>381</v>
      </c>
      <c r="G322" s="747" t="s">
        <v>501</v>
      </c>
      <c r="H322" s="1840" t="s">
        <v>2210</v>
      </c>
      <c r="J322" s="747" t="s">
        <v>2211</v>
      </c>
      <c r="L322" s="1630"/>
      <c r="Q322" s="1631">
        <v>46083.746527777781</v>
      </c>
      <c r="R322" s="747">
        <v>1967</v>
      </c>
      <c r="T322" s="1628">
        <v>-4.0019521717911202</v>
      </c>
      <c r="U322" s="747">
        <v>-3.1988188976378003</v>
      </c>
      <c r="V322" s="747">
        <v>-7.7392120075046904</v>
      </c>
      <c r="W322" s="747">
        <v>-7.3044297832233802</v>
      </c>
      <c r="Y322" s="747" t="s">
        <v>2212</v>
      </c>
      <c r="AA322" s="1631"/>
      <c r="AB322" s="747">
        <v>5</v>
      </c>
      <c r="AC322" s="1627">
        <v>46069</v>
      </c>
      <c r="AD322" s="747">
        <v>1</v>
      </c>
      <c r="AG322" s="1628"/>
    </row>
    <row r="323" spans="1:33" x14ac:dyDescent="0.2">
      <c r="A323" s="747" t="s">
        <v>4440</v>
      </c>
      <c r="B323" s="747" t="s">
        <v>4441</v>
      </c>
      <c r="C323" s="747" t="s">
        <v>4442</v>
      </c>
      <c r="D323" s="747" t="s">
        <v>2139</v>
      </c>
      <c r="E323" s="747" t="s">
        <v>2355</v>
      </c>
      <c r="F323" s="747" t="s">
        <v>366</v>
      </c>
      <c r="G323" s="747" t="s">
        <v>4443</v>
      </c>
      <c r="H323" s="1840" t="s">
        <v>4444</v>
      </c>
      <c r="J323" s="747" t="s">
        <v>4443</v>
      </c>
      <c r="L323" s="1630"/>
      <c r="Q323" s="1631">
        <v>46084.78534722222</v>
      </c>
      <c r="R323" s="747">
        <v>50.185000000000002</v>
      </c>
      <c r="T323" s="1628">
        <v>-1.3562653562653599</v>
      </c>
      <c r="U323" s="747">
        <v>0.40012000000000003</v>
      </c>
      <c r="V323" s="747">
        <v>5.8197149999999995</v>
      </c>
      <c r="W323" s="747">
        <v>8.60283915038959</v>
      </c>
      <c r="Y323" s="747" t="s">
        <v>2133</v>
      </c>
      <c r="AA323" s="1631"/>
      <c r="AB323" s="747">
        <v>0.23588299999999998</v>
      </c>
      <c r="AC323" s="1627">
        <v>46013</v>
      </c>
      <c r="AD323" s="747">
        <v>1</v>
      </c>
      <c r="AG323" s="1628"/>
    </row>
    <row r="324" spans="1:33" x14ac:dyDescent="0.2">
      <c r="A324" s="747" t="s">
        <v>4241</v>
      </c>
      <c r="B324" s="747" t="s">
        <v>4242</v>
      </c>
      <c r="C324" s="747" t="s">
        <v>4243</v>
      </c>
      <c r="D324" s="747" t="s">
        <v>2139</v>
      </c>
      <c r="E324" s="747" t="s">
        <v>2355</v>
      </c>
      <c r="F324" s="747" t="s">
        <v>366</v>
      </c>
      <c r="G324" s="747" t="s">
        <v>4244</v>
      </c>
      <c r="H324" s="1840" t="s">
        <v>4245</v>
      </c>
      <c r="J324" s="747" t="s">
        <v>4244</v>
      </c>
      <c r="L324" s="1630"/>
      <c r="M324" s="747">
        <v>100</v>
      </c>
      <c r="N324" s="747">
        <v>18.05</v>
      </c>
      <c r="O324" s="747">
        <v>18.059999999999999</v>
      </c>
      <c r="P324" s="747">
        <v>1000</v>
      </c>
      <c r="Q324" s="1631">
        <v>46084.785787037035</v>
      </c>
      <c r="R324" s="747">
        <v>18.050700000000003</v>
      </c>
      <c r="T324" s="1628">
        <v>-3.10950080515296</v>
      </c>
      <c r="U324" s="747">
        <v>-2.164228</v>
      </c>
      <c r="V324" s="747">
        <v>-3.2134049999999998</v>
      </c>
      <c r="W324" s="747">
        <v>-2.35849056603776</v>
      </c>
      <c r="Y324" s="747" t="s">
        <v>2133</v>
      </c>
      <c r="AA324" s="1631"/>
      <c r="AB324" s="747">
        <v>3.7999999999999999E-2</v>
      </c>
      <c r="AC324" s="1627">
        <v>46013</v>
      </c>
      <c r="AD324" s="747">
        <v>1</v>
      </c>
      <c r="AG324" s="1628">
        <v>3.6927621861144799E-4</v>
      </c>
    </row>
    <row r="325" spans="1:33" x14ac:dyDescent="0.2">
      <c r="A325" s="747" t="s">
        <v>1764</v>
      </c>
      <c r="B325" s="747" t="s">
        <v>2258</v>
      </c>
      <c r="D325" s="747" t="s">
        <v>2259</v>
      </c>
      <c r="H325" s="1840"/>
      <c r="L325" s="1630"/>
      <c r="Q325" s="1631"/>
      <c r="AA325" s="1631"/>
      <c r="AC325" s="1627"/>
      <c r="AG325" s="1628"/>
    </row>
    <row r="326" spans="1:33" x14ac:dyDescent="0.2">
      <c r="A326" s="747" t="s">
        <v>1969</v>
      </c>
      <c r="B326" s="747" t="s">
        <v>2267</v>
      </c>
      <c r="C326" s="747" t="s">
        <v>2268</v>
      </c>
      <c r="D326" s="747" t="s">
        <v>2120</v>
      </c>
      <c r="F326" s="747" t="s">
        <v>369</v>
      </c>
      <c r="G326" s="747" t="s">
        <v>2269</v>
      </c>
      <c r="H326" s="1840" t="s">
        <v>2270</v>
      </c>
      <c r="J326" s="747" t="s">
        <v>2271</v>
      </c>
      <c r="L326" s="1630"/>
      <c r="Q326" s="1631">
        <v>46084.731215277781</v>
      </c>
      <c r="R326" s="747">
        <v>30.68</v>
      </c>
      <c r="T326" s="1628">
        <v>-3.6129437637449002</v>
      </c>
      <c r="U326" s="747">
        <v>-17.304582</v>
      </c>
      <c r="V326" s="747">
        <v>-7.7015639999999994</v>
      </c>
      <c r="W326" s="747">
        <v>-13.8798701298702</v>
      </c>
      <c r="Y326" s="747" t="s">
        <v>2102</v>
      </c>
      <c r="Z326" s="747">
        <v>2.3976989999999998</v>
      </c>
      <c r="AA326" s="1631"/>
      <c r="AB326" s="747">
        <v>0.73561599999999994</v>
      </c>
      <c r="AC326" s="1627">
        <v>45762</v>
      </c>
      <c r="AD326" s="747">
        <v>1</v>
      </c>
      <c r="AG326" s="1628"/>
    </row>
    <row r="327" spans="1:33" x14ac:dyDescent="0.2">
      <c r="A327" s="747" t="s">
        <v>1973</v>
      </c>
      <c r="B327" s="747" t="s">
        <v>2267</v>
      </c>
      <c r="C327" s="747" t="s">
        <v>2268</v>
      </c>
      <c r="D327" s="747" t="s">
        <v>2120</v>
      </c>
      <c r="F327" s="747" t="s">
        <v>369</v>
      </c>
      <c r="G327" s="747" t="s">
        <v>2269</v>
      </c>
      <c r="H327" s="1840" t="s">
        <v>2270</v>
      </c>
      <c r="J327" s="747" t="s">
        <v>2271</v>
      </c>
      <c r="L327" s="1630"/>
      <c r="Q327" s="1631">
        <v>46084.731215277781</v>
      </c>
      <c r="R327" s="747">
        <v>30.68</v>
      </c>
      <c r="T327" s="1628">
        <v>-3.6129437637449002</v>
      </c>
      <c r="U327" s="747">
        <v>-17.304582</v>
      </c>
      <c r="V327" s="747">
        <v>-7.7015639999999994</v>
      </c>
      <c r="W327" s="747">
        <v>-13.8798701298702</v>
      </c>
      <c r="Y327" s="747" t="s">
        <v>2102</v>
      </c>
      <c r="Z327" s="747">
        <v>2.3976989999999998</v>
      </c>
      <c r="AA327" s="1631"/>
      <c r="AB327" s="747">
        <v>0.73561599999999994</v>
      </c>
      <c r="AC327" s="1627">
        <v>45762</v>
      </c>
      <c r="AD327" s="747">
        <v>1</v>
      </c>
      <c r="AG327" s="1628"/>
    </row>
    <row r="328" spans="1:33" x14ac:dyDescent="0.2">
      <c r="A328" s="747" t="s">
        <v>1808</v>
      </c>
      <c r="B328" s="747" t="s">
        <v>2308</v>
      </c>
      <c r="C328" s="747" t="s">
        <v>2309</v>
      </c>
      <c r="D328" s="747" t="s">
        <v>2120</v>
      </c>
      <c r="F328" s="747" t="s">
        <v>366</v>
      </c>
      <c r="G328" s="747" t="s">
        <v>493</v>
      </c>
      <c r="H328" s="1840" t="s">
        <v>2310</v>
      </c>
      <c r="J328" s="747" t="s">
        <v>2311</v>
      </c>
      <c r="L328" s="1630"/>
      <c r="Q328" s="1631">
        <v>46084.785821759258</v>
      </c>
      <c r="R328" s="747">
        <v>12.040000000000001</v>
      </c>
      <c r="T328" s="1628">
        <v>-4.8973143759873601</v>
      </c>
      <c r="U328" s="747">
        <v>6.1728400000000008</v>
      </c>
      <c r="V328" s="747">
        <v>-3.68</v>
      </c>
      <c r="W328" s="747">
        <v>4.5417010734929901</v>
      </c>
      <c r="Y328" s="747" t="s">
        <v>2312</v>
      </c>
      <c r="Z328" s="747">
        <v>1.5261209999999998</v>
      </c>
      <c r="AA328" s="1631"/>
      <c r="AB328" s="747">
        <v>0.87045399999999995</v>
      </c>
      <c r="AC328" s="1627">
        <v>45455</v>
      </c>
      <c r="AD328" s="747">
        <v>1</v>
      </c>
      <c r="AG328" s="1628"/>
    </row>
    <row r="329" spans="1:33" x14ac:dyDescent="0.2">
      <c r="A329" s="747" t="s">
        <v>1515</v>
      </c>
      <c r="B329" s="747" t="s">
        <v>2888</v>
      </c>
      <c r="C329" s="747" t="s">
        <v>2889</v>
      </c>
      <c r="D329" s="747" t="s">
        <v>2139</v>
      </c>
      <c r="E329" s="747" t="s">
        <v>2130</v>
      </c>
      <c r="F329" s="747" t="s">
        <v>381</v>
      </c>
      <c r="G329" s="747" t="s">
        <v>2289</v>
      </c>
      <c r="H329" s="1840" t="s">
        <v>2890</v>
      </c>
      <c r="J329" s="747" t="s">
        <v>2289</v>
      </c>
      <c r="L329" s="1630"/>
      <c r="Q329" s="1631">
        <v>46083.733472222222</v>
      </c>
      <c r="R329" s="747">
        <v>19.748000000000001</v>
      </c>
      <c r="T329" s="1628">
        <v>-1.4324931370102301</v>
      </c>
      <c r="U329" s="747">
        <v>1.2717948717948775</v>
      </c>
      <c r="V329" s="747">
        <v>7.3961279095061965</v>
      </c>
      <c r="W329" s="747">
        <v>5.1208346641115803</v>
      </c>
      <c r="Y329" s="747" t="s">
        <v>2133</v>
      </c>
      <c r="AA329" s="1631"/>
      <c r="AC329" s="1627"/>
      <c r="AD329" s="747">
        <v>1</v>
      </c>
      <c r="AG329" s="1628"/>
    </row>
    <row r="330" spans="1:33" x14ac:dyDescent="0.2">
      <c r="A330" s="747" t="s">
        <v>1731</v>
      </c>
      <c r="B330" s="747" t="s">
        <v>1732</v>
      </c>
      <c r="C330" s="747" t="s">
        <v>2335</v>
      </c>
      <c r="D330" s="747" t="s">
        <v>2158</v>
      </c>
      <c r="E330" s="747" t="s">
        <v>2130</v>
      </c>
      <c r="F330" s="747" t="s">
        <v>369</v>
      </c>
      <c r="G330" s="747" t="s">
        <v>2336</v>
      </c>
      <c r="H330" s="1840" t="s">
        <v>2337</v>
      </c>
      <c r="J330" s="747" t="s">
        <v>2336</v>
      </c>
      <c r="L330" s="1630"/>
      <c r="Q330" s="1631">
        <v>46083.343865740739</v>
      </c>
      <c r="R330" s="747">
        <v>89.95</v>
      </c>
      <c r="T330" s="1628">
        <v>-5.5555555555552402E-2</v>
      </c>
      <c r="U330" s="747">
        <v>-2.0899096549472</v>
      </c>
      <c r="V330" s="747">
        <v>1.61545413465885</v>
      </c>
      <c r="W330" s="747">
        <v>0.43546225993747273</v>
      </c>
      <c r="Y330" s="747" t="s">
        <v>2133</v>
      </c>
      <c r="AA330" s="1631"/>
      <c r="AB330" s="747">
        <v>7.5984000000000007</v>
      </c>
      <c r="AC330" s="1627">
        <v>45505</v>
      </c>
      <c r="AD330" s="747">
        <v>1</v>
      </c>
      <c r="AG330" s="1628"/>
    </row>
    <row r="331" spans="1:33" x14ac:dyDescent="0.2">
      <c r="A331" s="747" t="s">
        <v>1526</v>
      </c>
      <c r="B331" s="747" t="s">
        <v>3271</v>
      </c>
      <c r="C331" s="747" t="s">
        <v>3272</v>
      </c>
      <c r="D331" s="747" t="s">
        <v>2139</v>
      </c>
      <c r="E331" s="747" t="s">
        <v>2130</v>
      </c>
      <c r="F331" s="747" t="s">
        <v>381</v>
      </c>
      <c r="G331" s="747" t="s">
        <v>2990</v>
      </c>
      <c r="H331" s="1840" t="s">
        <v>3273</v>
      </c>
      <c r="J331" s="747" t="s">
        <v>2990</v>
      </c>
      <c r="L331" s="1630"/>
      <c r="Q331" s="1631">
        <v>46083.73333333333</v>
      </c>
      <c r="R331" s="747">
        <v>39.950000000000003</v>
      </c>
      <c r="T331" s="1628">
        <v>-2.3824068417837601</v>
      </c>
      <c r="U331" s="747">
        <v>6.221749534698227</v>
      </c>
      <c r="V331" s="747">
        <v>13.478199119443273</v>
      </c>
      <c r="W331" s="747">
        <v>11.763883060568</v>
      </c>
      <c r="Y331" s="747" t="s">
        <v>2133</v>
      </c>
      <c r="AA331" s="1631"/>
      <c r="AC331" s="1627"/>
      <c r="AD331" s="747">
        <v>1</v>
      </c>
      <c r="AG331" s="1628"/>
    </row>
    <row r="332" spans="1:33" x14ac:dyDescent="0.2">
      <c r="A332" s="747" t="s">
        <v>1701</v>
      </c>
      <c r="B332" s="747" t="s">
        <v>2372</v>
      </c>
      <c r="C332" s="747" t="s">
        <v>2373</v>
      </c>
      <c r="D332" s="747" t="s">
        <v>2158</v>
      </c>
      <c r="E332" s="747" t="s">
        <v>2130</v>
      </c>
      <c r="F332" s="747" t="s">
        <v>381</v>
      </c>
      <c r="G332" s="747" t="s">
        <v>2374</v>
      </c>
      <c r="H332" s="1840" t="s">
        <v>2375</v>
      </c>
      <c r="J332" s="747" t="s">
        <v>2374</v>
      </c>
      <c r="L332" s="1630"/>
      <c r="Q332" s="1631">
        <v>46083.4065162037</v>
      </c>
      <c r="R332" s="747">
        <v>12.633800000000001</v>
      </c>
      <c r="T332" s="1628">
        <v>-1.2498339026239507</v>
      </c>
      <c r="U332" s="747">
        <v>5.8701281288495304</v>
      </c>
      <c r="V332" s="747">
        <v>12.8652724300277</v>
      </c>
      <c r="W332" s="747">
        <v>12.871322511189925</v>
      </c>
      <c r="Y332" s="747" t="s">
        <v>2133</v>
      </c>
      <c r="AA332" s="1631"/>
      <c r="AC332" s="1627"/>
      <c r="AD332" s="747">
        <v>1</v>
      </c>
      <c r="AG332" s="1628"/>
    </row>
    <row r="333" spans="1:33" x14ac:dyDescent="0.2">
      <c r="A333" s="747" t="s">
        <v>1536</v>
      </c>
      <c r="B333" s="747" t="s">
        <v>1537</v>
      </c>
      <c r="C333" s="747" t="s">
        <v>2474</v>
      </c>
      <c r="D333" s="747" t="s">
        <v>2139</v>
      </c>
      <c r="E333" s="747" t="s">
        <v>2130</v>
      </c>
      <c r="F333" s="747" t="s">
        <v>381</v>
      </c>
      <c r="G333" s="747" t="s">
        <v>2475</v>
      </c>
      <c r="H333" s="1840" t="s">
        <v>2476</v>
      </c>
      <c r="J333" s="747" t="s">
        <v>2475</v>
      </c>
      <c r="L333" s="1630"/>
      <c r="M333" s="747">
        <v>11</v>
      </c>
      <c r="N333" s="747">
        <v>18.716000000000001</v>
      </c>
      <c r="O333" s="747">
        <v>18.72</v>
      </c>
      <c r="P333" s="747">
        <v>2970</v>
      </c>
      <c r="Q333" s="1631">
        <v>46084.73300925926</v>
      </c>
      <c r="R333" s="747">
        <v>18.716000000000001</v>
      </c>
      <c r="T333" s="1628">
        <v>-2.8749351323300401</v>
      </c>
      <c r="U333" s="747">
        <v>0.235647</v>
      </c>
      <c r="V333" s="747">
        <v>4.1629559999999994</v>
      </c>
      <c r="W333" s="747">
        <v>4.3539477959493</v>
      </c>
      <c r="Y333" s="747" t="s">
        <v>2133</v>
      </c>
      <c r="AA333" s="1631"/>
      <c r="AC333" s="1627"/>
      <c r="AD333" s="747">
        <v>1</v>
      </c>
      <c r="AG333" s="1628">
        <v>1.4247043738416381E-4</v>
      </c>
    </row>
    <row r="334" spans="1:33" x14ac:dyDescent="0.2">
      <c r="A334" s="747" t="s">
        <v>1558</v>
      </c>
      <c r="B334" s="747" t="s">
        <v>3254</v>
      </c>
      <c r="C334" s="747" t="s">
        <v>3255</v>
      </c>
      <c r="D334" s="747" t="s">
        <v>2139</v>
      </c>
      <c r="E334" s="747" t="s">
        <v>2159</v>
      </c>
      <c r="F334" s="747" t="s">
        <v>366</v>
      </c>
      <c r="G334" s="747" t="s">
        <v>3256</v>
      </c>
      <c r="H334" s="1840" t="s">
        <v>3257</v>
      </c>
      <c r="J334" s="747" t="s">
        <v>3256</v>
      </c>
      <c r="L334" s="1630"/>
      <c r="M334" s="747">
        <v>19</v>
      </c>
      <c r="N334" s="747">
        <v>163.44</v>
      </c>
      <c r="O334" s="747">
        <v>163.58000000000001</v>
      </c>
      <c r="P334" s="747">
        <v>19</v>
      </c>
      <c r="Q334" s="1631">
        <v>46084.73300925926</v>
      </c>
      <c r="R334" s="747">
        <v>163.58000000000001</v>
      </c>
      <c r="T334" s="1628">
        <v>-3.4014408881540001</v>
      </c>
      <c r="U334" s="747">
        <v>2.6996479999999998</v>
      </c>
      <c r="V334" s="747">
        <v>21.350148000000001</v>
      </c>
      <c r="W334" s="747">
        <v>21.164854035489501</v>
      </c>
      <c r="Y334" s="747" t="s">
        <v>2133</v>
      </c>
      <c r="AA334" s="1631"/>
      <c r="AC334" s="1627"/>
      <c r="AD334" s="747">
        <v>1</v>
      </c>
      <c r="AG334" s="1628">
        <v>5.7089263140731059E-4</v>
      </c>
    </row>
    <row r="335" spans="1:33" x14ac:dyDescent="0.2">
      <c r="A335" s="747" t="s">
        <v>1563</v>
      </c>
      <c r="B335" s="747" t="s">
        <v>3298</v>
      </c>
      <c r="C335" s="747" t="s">
        <v>3299</v>
      </c>
      <c r="D335" s="747" t="s">
        <v>2139</v>
      </c>
      <c r="E335" s="747" t="s">
        <v>2159</v>
      </c>
      <c r="F335" s="747" t="s">
        <v>369</v>
      </c>
      <c r="G335" s="747" t="s">
        <v>3300</v>
      </c>
      <c r="H335" s="1840" t="s">
        <v>3301</v>
      </c>
      <c r="J335" s="747" t="s">
        <v>3300</v>
      </c>
      <c r="L335" s="1630"/>
      <c r="M335" s="747">
        <v>1000</v>
      </c>
      <c r="N335" s="747">
        <v>165</v>
      </c>
      <c r="O335" s="747">
        <v>177.9</v>
      </c>
      <c r="P335" s="747">
        <v>200</v>
      </c>
      <c r="Q335" s="1631">
        <v>46084.728854166664</v>
      </c>
      <c r="R335" s="747">
        <v>168.24</v>
      </c>
      <c r="T335" s="1628">
        <v>-3.3103448275862002</v>
      </c>
      <c r="U335" s="747">
        <v>2.5103580000000001</v>
      </c>
      <c r="V335" s="747">
        <v>20</v>
      </c>
      <c r="W335" s="747">
        <v>19.933829611248999</v>
      </c>
      <c r="Y335" s="747" t="s">
        <v>2133</v>
      </c>
      <c r="AA335" s="1631"/>
      <c r="AC335" s="1627"/>
      <c r="AD335" s="747">
        <v>1</v>
      </c>
      <c r="AG335" s="1628">
        <v>5.0797401063201443E-2</v>
      </c>
    </row>
    <row r="336" spans="1:33" x14ac:dyDescent="0.2">
      <c r="A336" s="747" t="s">
        <v>1568</v>
      </c>
      <c r="B336" s="747" t="s">
        <v>2853</v>
      </c>
      <c r="C336" s="747" t="s">
        <v>2854</v>
      </c>
      <c r="D336" s="747" t="s">
        <v>2139</v>
      </c>
      <c r="E336" s="747" t="s">
        <v>2159</v>
      </c>
      <c r="F336" s="747" t="s">
        <v>381</v>
      </c>
      <c r="G336" s="747" t="s">
        <v>2855</v>
      </c>
      <c r="H336" s="1840" t="s">
        <v>2856</v>
      </c>
      <c r="J336" s="747" t="s">
        <v>2855</v>
      </c>
      <c r="L336" s="1630"/>
      <c r="M336" s="747">
        <v>2548</v>
      </c>
      <c r="N336" s="747">
        <v>131.70000000000002</v>
      </c>
      <c r="O336" s="747">
        <v>132.06</v>
      </c>
      <c r="P336" s="747">
        <v>1618</v>
      </c>
      <c r="Q336" s="1631">
        <v>46084.727453703701</v>
      </c>
      <c r="R336" s="747">
        <v>132.04</v>
      </c>
      <c r="T336" s="1628">
        <v>-2.7974087161366499</v>
      </c>
      <c r="U336" s="747">
        <v>2.754864</v>
      </c>
      <c r="V336" s="747">
        <v>20.716767000000001</v>
      </c>
      <c r="W336" s="747">
        <v>19.936429454352901</v>
      </c>
      <c r="Y336" s="747" t="s">
        <v>2133</v>
      </c>
      <c r="AA336" s="1631"/>
      <c r="AC336" s="1627"/>
      <c r="AD336" s="747">
        <v>1</v>
      </c>
      <c r="AG336" s="1628">
        <v>1.8206645425579587E-3</v>
      </c>
    </row>
    <row r="337" spans="1:33" x14ac:dyDescent="0.2">
      <c r="A337" s="747" t="s">
        <v>1703</v>
      </c>
      <c r="B337" s="747" t="s">
        <v>2488</v>
      </c>
      <c r="C337" s="747" t="s">
        <v>2489</v>
      </c>
      <c r="D337" s="747" t="s">
        <v>2158</v>
      </c>
      <c r="E337" s="747" t="s">
        <v>2130</v>
      </c>
      <c r="F337" s="747" t="s">
        <v>366</v>
      </c>
      <c r="G337" s="747" t="s">
        <v>2490</v>
      </c>
      <c r="H337" s="1840" t="s">
        <v>2491</v>
      </c>
      <c r="J337" s="747" t="s">
        <v>2490</v>
      </c>
      <c r="L337" s="1630"/>
      <c r="Q337" s="1631">
        <v>46083.260474537034</v>
      </c>
      <c r="R337" s="747">
        <v>71.75</v>
      </c>
      <c r="T337" s="1628">
        <v>-1.9272826681246538</v>
      </c>
      <c r="U337" s="747">
        <v>1.9755542922114899</v>
      </c>
      <c r="V337" s="747">
        <v>5.7791537667698698</v>
      </c>
      <c r="W337" s="747">
        <v>5.0512445095168417</v>
      </c>
      <c r="Y337" s="747" t="s">
        <v>2133</v>
      </c>
      <c r="AA337" s="1631"/>
      <c r="AC337" s="1627"/>
      <c r="AD337" s="747">
        <v>1</v>
      </c>
      <c r="AG337" s="1628"/>
    </row>
    <row r="338" spans="1:33" x14ac:dyDescent="0.2">
      <c r="A338" s="747" t="s">
        <v>1755</v>
      </c>
      <c r="B338" s="747" t="s">
        <v>2492</v>
      </c>
      <c r="D338" s="747" t="s">
        <v>2259</v>
      </c>
      <c r="H338" s="1840"/>
      <c r="L338" s="1630"/>
      <c r="Q338" s="1631"/>
      <c r="AA338" s="1631"/>
      <c r="AC338" s="1627"/>
      <c r="AG338" s="1628"/>
    </row>
    <row r="339" spans="1:33" x14ac:dyDescent="0.2">
      <c r="A339" s="747" t="s">
        <v>1851</v>
      </c>
      <c r="B339" s="747" t="s">
        <v>2508</v>
      </c>
      <c r="C339" s="747" t="s">
        <v>2509</v>
      </c>
      <c r="D339" s="747" t="s">
        <v>2120</v>
      </c>
      <c r="F339" s="747" t="s">
        <v>369</v>
      </c>
      <c r="G339" s="747" t="s">
        <v>2510</v>
      </c>
      <c r="H339" s="1840" t="s">
        <v>2511</v>
      </c>
      <c r="J339" s="747" t="s">
        <v>2512</v>
      </c>
      <c r="L339" s="1630"/>
      <c r="M339" s="747">
        <v>2</v>
      </c>
      <c r="N339" s="747">
        <v>2955</v>
      </c>
      <c r="O339" s="747">
        <v>3012</v>
      </c>
      <c r="P339" s="747">
        <v>9</v>
      </c>
      <c r="Q339" s="1631">
        <v>46084.735405092593</v>
      </c>
      <c r="R339" s="747">
        <v>2961</v>
      </c>
      <c r="T339" s="1628">
        <v>-3.3300685602350701</v>
      </c>
      <c r="U339" s="747">
        <v>6.7590000000000011E-2</v>
      </c>
      <c r="V339" s="747">
        <v>-10.73259</v>
      </c>
      <c r="W339" s="747">
        <v>-2.6382708200890002</v>
      </c>
      <c r="Y339" s="747" t="s">
        <v>2513</v>
      </c>
      <c r="Z339" s="747">
        <v>2.4316109999999997</v>
      </c>
      <c r="AA339" s="1631"/>
      <c r="AB339" s="747">
        <v>70</v>
      </c>
      <c r="AC339" s="1627">
        <v>45740</v>
      </c>
      <c r="AD339" s="747">
        <v>1</v>
      </c>
      <c r="AG339" s="1628">
        <v>1.2777404169468728E-2</v>
      </c>
    </row>
    <row r="340" spans="1:33" x14ac:dyDescent="0.2">
      <c r="A340" s="747" t="s">
        <v>1803</v>
      </c>
      <c r="B340" s="747" t="s">
        <v>2543</v>
      </c>
      <c r="C340" s="747" t="s">
        <v>2544</v>
      </c>
      <c r="D340" s="747" t="s">
        <v>2120</v>
      </c>
      <c r="F340" s="747" t="s">
        <v>369</v>
      </c>
      <c r="G340" s="747" t="s">
        <v>2545</v>
      </c>
      <c r="H340" s="1840" t="s">
        <v>2546</v>
      </c>
      <c r="J340" s="747" t="s">
        <v>616</v>
      </c>
      <c r="L340" s="1630"/>
      <c r="M340" s="747">
        <v>10</v>
      </c>
      <c r="N340" s="747">
        <v>366.5</v>
      </c>
      <c r="O340" s="747">
        <v>390</v>
      </c>
      <c r="P340" s="747">
        <v>9</v>
      </c>
      <c r="Q340" s="1631">
        <v>46084.730081018519</v>
      </c>
      <c r="R340" s="747">
        <v>377</v>
      </c>
      <c r="T340" s="1628">
        <v>1.48048452220727</v>
      </c>
      <c r="U340" s="747">
        <v>3.7138929999999997</v>
      </c>
      <c r="V340" s="747">
        <v>4.8678720000000002</v>
      </c>
      <c r="W340" s="747">
        <v>0.81411126187245997</v>
      </c>
      <c r="Y340" s="747" t="s">
        <v>2547</v>
      </c>
      <c r="Z340" s="747">
        <v>2.9177719999999998</v>
      </c>
      <c r="AA340" s="1631"/>
      <c r="AB340" s="747">
        <v>11</v>
      </c>
      <c r="AC340" s="1627">
        <v>45769</v>
      </c>
      <c r="AD340" s="747">
        <v>1</v>
      </c>
      <c r="AG340" s="1628">
        <v>4.1852181656277826E-2</v>
      </c>
    </row>
    <row r="341" spans="1:33" x14ac:dyDescent="0.2">
      <c r="A341" s="747" t="s">
        <v>1590</v>
      </c>
      <c r="B341" s="747" t="s">
        <v>3313</v>
      </c>
      <c r="C341" s="747" t="s">
        <v>3314</v>
      </c>
      <c r="D341" s="747" t="s">
        <v>2139</v>
      </c>
      <c r="E341" s="747" t="s">
        <v>2355</v>
      </c>
      <c r="F341" s="747" t="s">
        <v>366</v>
      </c>
      <c r="G341" s="747" t="s">
        <v>3315</v>
      </c>
      <c r="H341" s="1840" t="s">
        <v>3316</v>
      </c>
      <c r="J341" s="747" t="s">
        <v>3315</v>
      </c>
      <c r="L341" s="1630"/>
      <c r="M341" s="747">
        <v>200</v>
      </c>
      <c r="N341" s="747">
        <v>95.22</v>
      </c>
      <c r="O341" s="747">
        <v>95.23</v>
      </c>
      <c r="P341" s="747">
        <v>1800</v>
      </c>
      <c r="Q341" s="1631">
        <v>46084.785902777781</v>
      </c>
      <c r="R341" s="747">
        <v>95.215000000000003</v>
      </c>
      <c r="T341" s="1628">
        <v>-0.74533514020640002</v>
      </c>
      <c r="U341" s="747">
        <v>6.1956280000000001</v>
      </c>
      <c r="V341" s="747">
        <v>7.1637589999999998</v>
      </c>
      <c r="W341" s="747">
        <v>8.4077296869703009</v>
      </c>
      <c r="Y341" s="747" t="s">
        <v>2133</v>
      </c>
      <c r="AA341" s="1631"/>
      <c r="AB341" s="747">
        <v>0.80049999999999999</v>
      </c>
      <c r="AC341" s="1627">
        <v>46013</v>
      </c>
      <c r="AD341" s="747">
        <v>1</v>
      </c>
      <c r="AG341" s="1628">
        <v>7.0010851682046518E-5</v>
      </c>
    </row>
    <row r="342" spans="1:33" x14ac:dyDescent="0.2">
      <c r="A342" s="747" t="s">
        <v>4296</v>
      </c>
      <c r="B342" s="747" t="s">
        <v>4297</v>
      </c>
      <c r="C342" s="747" t="s">
        <v>4295</v>
      </c>
      <c r="D342" s="747" t="s">
        <v>2139</v>
      </c>
      <c r="E342" s="747" t="s">
        <v>2109</v>
      </c>
      <c r="F342" s="747" t="s">
        <v>369</v>
      </c>
      <c r="G342" s="747" t="s">
        <v>4298</v>
      </c>
      <c r="H342" s="1840" t="s">
        <v>4299</v>
      </c>
      <c r="J342" s="747" t="s">
        <v>4298</v>
      </c>
      <c r="L342" s="1630"/>
      <c r="M342" s="747">
        <v>600</v>
      </c>
      <c r="N342" s="747">
        <v>9</v>
      </c>
      <c r="O342" s="747">
        <v>9.343</v>
      </c>
      <c r="P342" s="747">
        <v>5315</v>
      </c>
      <c r="Q342" s="1631">
        <v>46084.660092592596</v>
      </c>
      <c r="R342" s="747">
        <v>9.2000000000000011</v>
      </c>
      <c r="T342" s="1628">
        <v>-2.5217207035388798</v>
      </c>
      <c r="U342" s="747">
        <v>-0.227741</v>
      </c>
      <c r="V342" s="747">
        <v>3.650293</v>
      </c>
      <c r="W342" s="747">
        <v>5.18221330658643</v>
      </c>
      <c r="Y342" s="747" t="s">
        <v>2133</v>
      </c>
      <c r="AA342" s="1631"/>
      <c r="AC342" s="1627"/>
      <c r="AD342" s="747">
        <v>1</v>
      </c>
      <c r="AG342" s="1628">
        <v>2.5088688146874885E-2</v>
      </c>
    </row>
    <row r="343" spans="1:33" x14ac:dyDescent="0.2">
      <c r="A343" s="747" t="s">
        <v>1982</v>
      </c>
      <c r="B343" s="747" t="s">
        <v>2581</v>
      </c>
      <c r="C343" s="747" t="s">
        <v>2582</v>
      </c>
      <c r="D343" s="747" t="s">
        <v>2120</v>
      </c>
      <c r="F343" s="747" t="s">
        <v>369</v>
      </c>
      <c r="G343" s="747" t="s">
        <v>431</v>
      </c>
      <c r="H343" s="1840" t="s">
        <v>2583</v>
      </c>
      <c r="J343" s="747" t="s">
        <v>2584</v>
      </c>
      <c r="L343" s="1630"/>
      <c r="M343" s="747">
        <v>1</v>
      </c>
      <c r="N343" s="747">
        <v>284</v>
      </c>
      <c r="O343" s="747">
        <v>274</v>
      </c>
      <c r="P343" s="747">
        <v>40</v>
      </c>
      <c r="Q343" s="1631">
        <v>46084.732928240737</v>
      </c>
      <c r="R343" s="747">
        <v>269</v>
      </c>
      <c r="T343" s="1628">
        <v>-2.1818181818181901</v>
      </c>
      <c r="U343" s="747">
        <v>-11.074380000000001</v>
      </c>
      <c r="V343" s="747">
        <v>-14.33121</v>
      </c>
      <c r="W343" s="747">
        <v>-16.158536585365901</v>
      </c>
      <c r="Y343" s="747" t="s">
        <v>2585</v>
      </c>
      <c r="Z343" s="747">
        <v>0.81784400000000002</v>
      </c>
      <c r="AA343" s="1631"/>
      <c r="AB343" s="747">
        <v>2.2000000000000002</v>
      </c>
      <c r="AC343" s="1627">
        <v>45842</v>
      </c>
      <c r="AD343" s="747">
        <v>1</v>
      </c>
      <c r="AG343" s="1628">
        <v>-2.3752969121140142E-2</v>
      </c>
    </row>
    <row r="344" spans="1:33" x14ac:dyDescent="0.2">
      <c r="A344" s="747" t="s">
        <v>4435</v>
      </c>
      <c r="B344" s="747" t="s">
        <v>4436</v>
      </c>
      <c r="C344" s="747" t="s">
        <v>4437</v>
      </c>
      <c r="D344" s="747" t="s">
        <v>2139</v>
      </c>
      <c r="E344" s="747" t="s">
        <v>2109</v>
      </c>
      <c r="F344" s="747" t="s">
        <v>381</v>
      </c>
      <c r="G344" s="747" t="s">
        <v>4298</v>
      </c>
      <c r="H344" s="1840" t="s">
        <v>4438</v>
      </c>
      <c r="J344" s="747" t="s">
        <v>4298</v>
      </c>
      <c r="L344" s="1630"/>
      <c r="Q344" s="1631">
        <v>46083.733171296299</v>
      </c>
      <c r="R344" s="747">
        <v>11.566000000000001</v>
      </c>
      <c r="T344" s="1628">
        <v>-0.44758133930109001</v>
      </c>
      <c r="U344" s="747">
        <v>2.191199858632277</v>
      </c>
      <c r="V344" s="747">
        <v>6.2270389419544525</v>
      </c>
      <c r="W344" s="747">
        <v>4.7834752672585701</v>
      </c>
      <c r="Y344" s="747" t="s">
        <v>2133</v>
      </c>
      <c r="AA344" s="1631"/>
      <c r="AC344" s="1627"/>
      <c r="AD344" s="747">
        <v>1</v>
      </c>
      <c r="AG344" s="1628"/>
    </row>
    <row r="345" spans="1:33" x14ac:dyDescent="0.2">
      <c r="A345" s="747" t="s">
        <v>2024</v>
      </c>
      <c r="B345" s="747" t="s">
        <v>2631</v>
      </c>
      <c r="C345" s="747" t="s">
        <v>2632</v>
      </c>
      <c r="D345" s="747" t="s">
        <v>2129</v>
      </c>
      <c r="E345" s="747" t="s">
        <v>2159</v>
      </c>
      <c r="F345" s="747" t="s">
        <v>369</v>
      </c>
      <c r="G345" s="747" t="s">
        <v>2633</v>
      </c>
      <c r="H345" s="1840" t="s">
        <v>2634</v>
      </c>
      <c r="J345" s="747" t="s">
        <v>2633</v>
      </c>
      <c r="L345" s="1630"/>
      <c r="M345" s="747">
        <v>3000</v>
      </c>
      <c r="N345" s="747">
        <v>18</v>
      </c>
      <c r="O345" s="747">
        <v>19.700000000000003</v>
      </c>
      <c r="P345" s="747">
        <v>1500</v>
      </c>
      <c r="Q345" s="1631">
        <v>46084.447939814818</v>
      </c>
      <c r="R345" s="747">
        <v>18.776</v>
      </c>
      <c r="T345" s="1628">
        <v>-3.3659289758106001</v>
      </c>
      <c r="U345" s="747">
        <v>0.64901078195330664</v>
      </c>
      <c r="V345" s="747">
        <v>-2.0376974019358052</v>
      </c>
      <c r="W345" s="747">
        <v>-3.5732009925558499</v>
      </c>
      <c r="Y345" s="747" t="s">
        <v>2133</v>
      </c>
      <c r="AA345" s="1631"/>
      <c r="AB345" s="747">
        <v>1.23</v>
      </c>
      <c r="AC345" s="1627">
        <v>46036</v>
      </c>
      <c r="AD345" s="747">
        <v>1</v>
      </c>
      <c r="AG345" s="1628">
        <v>6.1041292639138336E-2</v>
      </c>
    </row>
    <row r="346" spans="1:33" x14ac:dyDescent="0.2">
      <c r="A346" s="747" t="s">
        <v>1597</v>
      </c>
      <c r="B346" s="747" t="s">
        <v>3331</v>
      </c>
      <c r="C346" s="747" t="s">
        <v>3332</v>
      </c>
      <c r="D346" s="747" t="s">
        <v>2139</v>
      </c>
      <c r="E346" s="747" t="s">
        <v>2159</v>
      </c>
      <c r="F346" s="747" t="s">
        <v>369</v>
      </c>
      <c r="G346" s="747" t="s">
        <v>2599</v>
      </c>
      <c r="H346" s="1840" t="s">
        <v>3333</v>
      </c>
      <c r="J346" s="747" t="s">
        <v>2599</v>
      </c>
      <c r="L346" s="1630"/>
      <c r="O346" s="747">
        <v>1099</v>
      </c>
      <c r="P346" s="747">
        <v>10</v>
      </c>
      <c r="Q346" s="1631">
        <v>46084.73300925926</v>
      </c>
      <c r="R346" s="747">
        <v>1043.2</v>
      </c>
      <c r="T346" s="1628">
        <v>-3.5502958579881798</v>
      </c>
      <c r="U346" s="747">
        <v>2.3949739999999999</v>
      </c>
      <c r="V346" s="747">
        <v>19.797886999999999</v>
      </c>
      <c r="W346" s="747">
        <v>20.057720057719997</v>
      </c>
      <c r="Y346" s="747" t="s">
        <v>2133</v>
      </c>
      <c r="AA346" s="1631"/>
      <c r="AC346" s="1627"/>
      <c r="AD346" s="747">
        <v>1</v>
      </c>
      <c r="AG346" s="1628"/>
    </row>
    <row r="347" spans="1:33" x14ac:dyDescent="0.2">
      <c r="A347" s="747" t="s">
        <v>1623</v>
      </c>
      <c r="B347" s="747" t="s">
        <v>1624</v>
      </c>
      <c r="C347" s="747" t="s">
        <v>3346</v>
      </c>
      <c r="D347" s="747" t="s">
        <v>2158</v>
      </c>
      <c r="E347" s="747" t="s">
        <v>2130</v>
      </c>
      <c r="F347" s="747" t="s">
        <v>381</v>
      </c>
      <c r="G347" s="747" t="s">
        <v>3344</v>
      </c>
      <c r="H347" s="1840" t="s">
        <v>3347</v>
      </c>
      <c r="J347" s="747" t="s">
        <v>3344</v>
      </c>
      <c r="L347" s="1630"/>
      <c r="Q347" s="1631">
        <v>46083.885474537034</v>
      </c>
      <c r="R347" s="747">
        <v>7.76</v>
      </c>
      <c r="T347" s="1628">
        <v>-1.1464968152866337</v>
      </c>
      <c r="U347" s="747">
        <v>0</v>
      </c>
      <c r="V347" s="747">
        <v>3.4666666666666699</v>
      </c>
      <c r="W347" s="747">
        <v>1.9710906701708208</v>
      </c>
      <c r="Y347" s="747" t="s">
        <v>2133</v>
      </c>
      <c r="AA347" s="1631"/>
      <c r="AC347" s="1627"/>
      <c r="AD347" s="747">
        <v>1</v>
      </c>
      <c r="AG347" s="1628"/>
    </row>
    <row r="348" spans="1:33" x14ac:dyDescent="0.2">
      <c r="A348" s="747" t="s">
        <v>4262</v>
      </c>
      <c r="B348" s="747" t="s">
        <v>4263</v>
      </c>
      <c r="C348" s="747" t="s">
        <v>4264</v>
      </c>
      <c r="D348" s="747" t="s">
        <v>2120</v>
      </c>
      <c r="F348" s="747" t="s">
        <v>369</v>
      </c>
      <c r="G348" s="747" t="s">
        <v>4265</v>
      </c>
      <c r="H348" s="1840" t="s">
        <v>4266</v>
      </c>
      <c r="J348" s="747" t="s">
        <v>4267</v>
      </c>
      <c r="L348" s="1630"/>
      <c r="M348" s="747">
        <v>1000</v>
      </c>
      <c r="N348" s="747">
        <v>142</v>
      </c>
      <c r="O348" s="747">
        <v>144</v>
      </c>
      <c r="P348" s="747">
        <v>200</v>
      </c>
      <c r="Q348" s="1631">
        <v>46084.732916666668</v>
      </c>
      <c r="R348" s="747">
        <v>142.25</v>
      </c>
      <c r="T348" s="1628">
        <v>-4.0472175379426698</v>
      </c>
      <c r="U348" s="747">
        <v>-5.7634979999999993</v>
      </c>
      <c r="V348" s="747">
        <v>-16.348133000000001</v>
      </c>
      <c r="W348" s="747">
        <v>-13.833188026736501</v>
      </c>
      <c r="Y348" s="747" t="s">
        <v>4268</v>
      </c>
      <c r="Z348" s="747">
        <v>2.1089629999999997</v>
      </c>
      <c r="AA348" s="1631"/>
      <c r="AB348" s="747">
        <v>3</v>
      </c>
      <c r="AC348" s="1627">
        <v>45917</v>
      </c>
      <c r="AD348" s="747">
        <v>1</v>
      </c>
      <c r="AG348" s="1628">
        <v>9.3457943925233638E-3</v>
      </c>
    </row>
    <row r="349" spans="1:33" x14ac:dyDescent="0.2">
      <c r="A349" s="747" t="s">
        <v>1640</v>
      </c>
      <c r="B349" s="747" t="s">
        <v>3356</v>
      </c>
      <c r="C349" s="747" t="s">
        <v>3357</v>
      </c>
      <c r="D349" s="747" t="s">
        <v>2158</v>
      </c>
      <c r="E349" s="747" t="s">
        <v>2130</v>
      </c>
      <c r="F349" s="747" t="s">
        <v>381</v>
      </c>
      <c r="G349" s="747" t="s">
        <v>3358</v>
      </c>
      <c r="H349" s="1840" t="s">
        <v>3359</v>
      </c>
      <c r="J349" s="747" t="s">
        <v>3358</v>
      </c>
      <c r="L349" s="1630"/>
      <c r="Q349" s="1631">
        <v>46083.4065162037</v>
      </c>
      <c r="R349" s="747">
        <v>1747.4795000000001</v>
      </c>
      <c r="T349" s="1628">
        <v>-0.33822665548844466</v>
      </c>
      <c r="U349" s="747">
        <v>6.5364522939106804</v>
      </c>
      <c r="V349" s="747">
        <v>12.596083118082801</v>
      </c>
      <c r="W349" s="747">
        <v>11.176255399825692</v>
      </c>
      <c r="Y349" s="747" t="s">
        <v>2133</v>
      </c>
      <c r="AA349" s="1631"/>
      <c r="AC349" s="1627"/>
      <c r="AD349" s="747">
        <v>1</v>
      </c>
      <c r="AG349" s="1628"/>
    </row>
    <row r="350" spans="1:33" x14ac:dyDescent="0.2">
      <c r="A350" s="747" t="s">
        <v>977</v>
      </c>
      <c r="B350" s="747" t="s">
        <v>2237</v>
      </c>
      <c r="D350" s="747" t="s">
        <v>2259</v>
      </c>
      <c r="H350" s="1840"/>
      <c r="L350" s="1630"/>
      <c r="Q350" s="1631"/>
      <c r="AA350" s="1631"/>
      <c r="AC350" s="1627"/>
      <c r="AG350" s="1628"/>
    </row>
    <row r="351" spans="1:33" x14ac:dyDescent="0.2">
      <c r="A351" s="747" t="s">
        <v>1649</v>
      </c>
      <c r="B351" s="747" t="s">
        <v>1650</v>
      </c>
      <c r="C351" s="747" t="s">
        <v>3220</v>
      </c>
      <c r="D351" s="747" t="s">
        <v>2158</v>
      </c>
      <c r="E351" s="747" t="s">
        <v>2130</v>
      </c>
      <c r="F351" s="747" t="s">
        <v>381</v>
      </c>
      <c r="G351" s="747" t="s">
        <v>2247</v>
      </c>
      <c r="H351" s="1840" t="s">
        <v>3221</v>
      </c>
      <c r="J351" s="747" t="s">
        <v>2247</v>
      </c>
      <c r="L351" s="1630"/>
      <c r="Q351" s="1631">
        <v>46083.947974537034</v>
      </c>
      <c r="R351" s="747">
        <v>38.08</v>
      </c>
      <c r="T351" s="1628">
        <v>-0.39236201935654114</v>
      </c>
      <c r="U351" s="747">
        <v>3.9868924085199402</v>
      </c>
      <c r="V351" s="747">
        <v>13.3333333333334</v>
      </c>
      <c r="W351" s="747">
        <v>9.4882116158711813</v>
      </c>
      <c r="Y351" s="747" t="s">
        <v>2133</v>
      </c>
      <c r="AA351" s="1631"/>
      <c r="AC351" s="1627"/>
      <c r="AD351" s="747">
        <v>1</v>
      </c>
      <c r="AG351" s="1628"/>
    </row>
    <row r="352" spans="1:33" x14ac:dyDescent="0.2">
      <c r="A352" s="747" t="s">
        <v>1844</v>
      </c>
      <c r="B352" s="747" t="s">
        <v>2736</v>
      </c>
      <c r="C352" s="747" t="s">
        <v>2737</v>
      </c>
      <c r="D352" s="747" t="s">
        <v>2120</v>
      </c>
      <c r="F352" s="747" t="s">
        <v>369</v>
      </c>
      <c r="G352" s="747" t="s">
        <v>401</v>
      </c>
      <c r="H352" s="1840" t="s">
        <v>2738</v>
      </c>
      <c r="J352" s="747" t="s">
        <v>2739</v>
      </c>
      <c r="L352" s="1630"/>
      <c r="M352" s="747">
        <v>1500</v>
      </c>
      <c r="N352" s="747">
        <v>93.2</v>
      </c>
      <c r="Q352" s="1631">
        <v>46084.730081018519</v>
      </c>
      <c r="R352" s="747">
        <v>94.800000000000011</v>
      </c>
      <c r="T352" s="1628">
        <v>-0.42016806722688999</v>
      </c>
      <c r="U352" s="747">
        <v>-2.5693729999999997</v>
      </c>
      <c r="V352" s="747">
        <v>3.1556039999999999</v>
      </c>
      <c r="W352" s="747">
        <v>-2.5588536335721601</v>
      </c>
      <c r="Y352" s="747" t="s">
        <v>2585</v>
      </c>
      <c r="Z352" s="747">
        <v>2.4261600000000003</v>
      </c>
      <c r="AA352" s="1631"/>
      <c r="AB352" s="747">
        <v>2.3000000000000003</v>
      </c>
      <c r="AC352" s="1627">
        <v>45761</v>
      </c>
      <c r="AD352" s="747">
        <v>1</v>
      </c>
      <c r="AG352" s="1628"/>
    </row>
    <row r="353" spans="1:33" x14ac:dyDescent="0.2">
      <c r="A353" s="747" t="s">
        <v>1816</v>
      </c>
      <c r="B353" s="747" t="s">
        <v>2765</v>
      </c>
      <c r="C353" s="747" t="s">
        <v>2766</v>
      </c>
      <c r="D353" s="747" t="s">
        <v>2120</v>
      </c>
      <c r="F353" s="747" t="s">
        <v>381</v>
      </c>
      <c r="G353" s="747" t="s">
        <v>2767</v>
      </c>
      <c r="H353" s="1840" t="s">
        <v>2768</v>
      </c>
      <c r="J353" s="747" t="s">
        <v>2769</v>
      </c>
      <c r="L353" s="1630"/>
      <c r="Q353" s="1631">
        <v>46083.732847222222</v>
      </c>
      <c r="R353" s="747">
        <v>70.600000000000009</v>
      </c>
      <c r="T353" s="1628">
        <v>-3.4463894967177202</v>
      </c>
      <c r="U353" s="747">
        <v>4.0070713022982005</v>
      </c>
      <c r="V353" s="747">
        <v>9.2541008975549506</v>
      </c>
      <c r="W353" s="747">
        <v>3.8846380223660999</v>
      </c>
      <c r="Y353" s="747" t="s">
        <v>2770</v>
      </c>
      <c r="AA353" s="1631"/>
      <c r="AB353" s="747">
        <v>2.5</v>
      </c>
      <c r="AC353" s="1627">
        <v>45775</v>
      </c>
      <c r="AD353" s="747">
        <v>1</v>
      </c>
      <c r="AG353" s="1628"/>
    </row>
    <row r="354" spans="1:33" x14ac:dyDescent="0.2">
      <c r="A354" s="747" t="s">
        <v>1664</v>
      </c>
      <c r="B354" s="747" t="s">
        <v>3367</v>
      </c>
      <c r="C354" s="747" t="s">
        <v>3368</v>
      </c>
      <c r="D354" s="747" t="s">
        <v>2158</v>
      </c>
      <c r="E354" s="747" t="s">
        <v>2130</v>
      </c>
      <c r="F354" s="747" t="s">
        <v>366</v>
      </c>
      <c r="G354" s="747" t="s">
        <v>569</v>
      </c>
      <c r="H354" s="1840" t="s">
        <v>3369</v>
      </c>
      <c r="J354" s="747" t="s">
        <v>569</v>
      </c>
      <c r="L354" s="1630"/>
      <c r="Q354" s="1631">
        <v>46083.885474537034</v>
      </c>
      <c r="R354" s="747">
        <v>197.89000000000001</v>
      </c>
      <c r="T354" s="1628">
        <v>-0.1765536723163813</v>
      </c>
      <c r="U354" s="747">
        <v>0.59475396502644995</v>
      </c>
      <c r="V354" s="747">
        <v>2.0051546391752701</v>
      </c>
      <c r="W354" s="747">
        <v>1.3573038311821377</v>
      </c>
      <c r="Y354" s="747" t="s">
        <v>2133</v>
      </c>
      <c r="AA354" s="1631"/>
      <c r="AC354" s="1627"/>
      <c r="AD354" s="747">
        <v>1</v>
      </c>
      <c r="AG354" s="1628"/>
    </row>
    <row r="355" spans="1:33" x14ac:dyDescent="0.2">
      <c r="A355" s="747" t="s">
        <v>1667</v>
      </c>
      <c r="B355" s="747" t="s">
        <v>1668</v>
      </c>
      <c r="C355" s="747" t="s">
        <v>2784</v>
      </c>
      <c r="D355" s="747" t="s">
        <v>2158</v>
      </c>
      <c r="E355" s="747" t="s">
        <v>2109</v>
      </c>
      <c r="F355" s="747" t="s">
        <v>369</v>
      </c>
      <c r="G355" s="747" t="s">
        <v>2785</v>
      </c>
      <c r="H355" s="1840" t="s">
        <v>2786</v>
      </c>
      <c r="J355" s="747" t="s">
        <v>2785</v>
      </c>
      <c r="L355" s="1630"/>
      <c r="Q355" s="1631">
        <v>46083.125057870369</v>
      </c>
      <c r="R355" s="747">
        <v>103.29</v>
      </c>
      <c r="T355" s="1628">
        <v>-0.17396346767178181</v>
      </c>
      <c r="U355" s="747">
        <v>-0.10638297872340001</v>
      </c>
      <c r="V355" s="747">
        <v>8.7209302325590002E-2</v>
      </c>
      <c r="W355" s="747">
        <v>0</v>
      </c>
      <c r="Y355" s="747" t="s">
        <v>2133</v>
      </c>
      <c r="AA355" s="1631"/>
      <c r="AC355" s="1627"/>
      <c r="AD355" s="747">
        <v>1</v>
      </c>
      <c r="AG355" s="1628"/>
    </row>
    <row r="356" spans="1:33" x14ac:dyDescent="0.2">
      <c r="A356" s="747" t="s">
        <v>1708</v>
      </c>
      <c r="B356" s="747" t="s">
        <v>2797</v>
      </c>
      <c r="C356" s="747" t="s">
        <v>2798</v>
      </c>
      <c r="D356" s="747" t="s">
        <v>2158</v>
      </c>
      <c r="E356" s="747" t="s">
        <v>2130</v>
      </c>
      <c r="F356" s="747" t="s">
        <v>366</v>
      </c>
      <c r="G356" s="747" t="s">
        <v>2490</v>
      </c>
      <c r="H356" s="1840" t="s">
        <v>2799</v>
      </c>
      <c r="J356" s="747" t="s">
        <v>2490</v>
      </c>
      <c r="L356" s="1630"/>
      <c r="Q356" s="1631">
        <v>46083.260474537034</v>
      </c>
      <c r="R356" s="747">
        <v>85.94</v>
      </c>
      <c r="T356" s="1628">
        <v>-1.9285632774164074</v>
      </c>
      <c r="U356" s="747">
        <v>2.0422702445974901</v>
      </c>
      <c r="V356" s="747">
        <v>6.0071543110891801</v>
      </c>
      <c r="W356" s="747">
        <v>5.2154750244857864</v>
      </c>
      <c r="Y356" s="747" t="s">
        <v>2133</v>
      </c>
      <c r="AA356" s="1631"/>
      <c r="AC356" s="1627"/>
      <c r="AD356" s="747">
        <v>1</v>
      </c>
      <c r="AG356" s="1628"/>
    </row>
    <row r="357" spans="1:33" x14ac:dyDescent="0.2">
      <c r="A357" s="747" t="s">
        <v>4403</v>
      </c>
      <c r="B357" s="747" t="s">
        <v>4398</v>
      </c>
      <c r="C357" s="747" t="s">
        <v>4399</v>
      </c>
      <c r="D357" s="747" t="s">
        <v>3228</v>
      </c>
      <c r="E357" s="747" t="s">
        <v>3229</v>
      </c>
      <c r="F357" s="747" t="s">
        <v>366</v>
      </c>
      <c r="G357" s="747" t="s">
        <v>4400</v>
      </c>
      <c r="H357" s="1840" t="s">
        <v>4401</v>
      </c>
      <c r="J357" s="747" t="s">
        <v>3232</v>
      </c>
      <c r="L357" s="1630"/>
      <c r="M357" s="747">
        <v>1100</v>
      </c>
      <c r="N357" s="747">
        <v>48</v>
      </c>
      <c r="O357" s="747">
        <v>60.5</v>
      </c>
      <c r="P357" s="747">
        <v>9650</v>
      </c>
      <c r="Q357" s="1631">
        <v>46084.732905092591</v>
      </c>
      <c r="R357" s="747">
        <v>50.81</v>
      </c>
      <c r="T357" s="1628">
        <v>-1.5310077519379901</v>
      </c>
      <c r="U357" s="747">
        <v>-4.7431570000000001</v>
      </c>
      <c r="V357" s="747">
        <v>9.2923209999999994</v>
      </c>
      <c r="W357" s="747">
        <v>3.9798488664987501</v>
      </c>
      <c r="X357" s="747" t="s">
        <v>4400</v>
      </c>
      <c r="Y357" s="747" t="s">
        <v>2113</v>
      </c>
      <c r="AA357" s="1631"/>
      <c r="AC357" s="1627"/>
      <c r="AD357" s="747">
        <v>1</v>
      </c>
      <c r="AE357" s="747" t="s">
        <v>3233</v>
      </c>
      <c r="AG357" s="1628">
        <v>0.15974440894568689</v>
      </c>
    </row>
    <row r="358" spans="1:33" x14ac:dyDescent="0.2">
      <c r="A358" s="747" t="s">
        <v>1670</v>
      </c>
      <c r="B358" s="747" t="s">
        <v>1671</v>
      </c>
      <c r="C358" s="747" t="s">
        <v>3378</v>
      </c>
      <c r="D358" s="747" t="s">
        <v>2158</v>
      </c>
      <c r="E358" s="747" t="s">
        <v>2109</v>
      </c>
      <c r="F358" s="747" t="s">
        <v>369</v>
      </c>
      <c r="G358" s="747" t="s">
        <v>2785</v>
      </c>
      <c r="H358" s="1840" t="s">
        <v>3379</v>
      </c>
      <c r="J358" s="747" t="s">
        <v>2785</v>
      </c>
      <c r="L358" s="1630"/>
      <c r="Q358" s="1631">
        <v>46083.4065162037</v>
      </c>
      <c r="R358" s="747">
        <v>111.39</v>
      </c>
      <c r="T358" s="1628">
        <v>-0.19711495385718023</v>
      </c>
      <c r="U358" s="747">
        <v>-0.11657101865136001</v>
      </c>
      <c r="V358" s="747">
        <v>6.2881782249369994E-2</v>
      </c>
      <c r="W358" s="747">
        <v>-1.7951709900364439E-2</v>
      </c>
      <c r="Y358" s="747" t="s">
        <v>2133</v>
      </c>
      <c r="AA358" s="1631"/>
      <c r="AC358" s="1627"/>
      <c r="AD358" s="747">
        <v>1</v>
      </c>
      <c r="AG358" s="1628"/>
    </row>
    <row r="359" spans="1:33" x14ac:dyDescent="0.2">
      <c r="A359" s="747" t="s">
        <v>1687</v>
      </c>
      <c r="B359" s="747" t="s">
        <v>1688</v>
      </c>
      <c r="C359" s="747" t="s">
        <v>3391</v>
      </c>
      <c r="D359" s="747" t="s">
        <v>2158</v>
      </c>
      <c r="E359" s="747" t="s">
        <v>2109</v>
      </c>
      <c r="F359" s="747" t="s">
        <v>369</v>
      </c>
      <c r="G359" s="747" t="s">
        <v>3392</v>
      </c>
      <c r="H359" s="1840" t="s">
        <v>3393</v>
      </c>
      <c r="J359" s="747" t="s">
        <v>3392</v>
      </c>
      <c r="L359" s="1630"/>
      <c r="Q359" s="1631">
        <v>46084.76048611111</v>
      </c>
      <c r="R359" s="747">
        <v>25.922900000000002</v>
      </c>
      <c r="T359" s="1628">
        <v>-2.886117490156701</v>
      </c>
      <c r="U359" s="747">
        <v>7.9136312551039403</v>
      </c>
      <c r="V359" s="747">
        <v>12.356414972829901</v>
      </c>
      <c r="W359" s="747">
        <v>5.6813688119921855</v>
      </c>
      <c r="Y359" s="747" t="s">
        <v>2133</v>
      </c>
      <c r="AA359" s="1631"/>
      <c r="AB359" s="747">
        <v>0.25530000000000003</v>
      </c>
      <c r="AC359" s="1627">
        <v>45663</v>
      </c>
      <c r="AD359" s="747">
        <v>1</v>
      </c>
      <c r="AG359" s="1628"/>
    </row>
    <row r="360" spans="1:33" x14ac:dyDescent="0.2">
      <c r="A360" s="747" t="s">
        <v>1692</v>
      </c>
      <c r="B360" s="747" t="s">
        <v>1693</v>
      </c>
      <c r="C360" s="747" t="s">
        <v>3394</v>
      </c>
      <c r="D360" s="747" t="s">
        <v>2158</v>
      </c>
      <c r="E360" s="747" t="s">
        <v>2130</v>
      </c>
      <c r="F360" s="747" t="s">
        <v>369</v>
      </c>
      <c r="G360" s="747" t="s">
        <v>3395</v>
      </c>
      <c r="H360" s="1840" t="s">
        <v>3396</v>
      </c>
      <c r="J360" s="747" t="s">
        <v>3395</v>
      </c>
      <c r="L360" s="1630"/>
      <c r="Q360" s="1631">
        <v>46083.531458333331</v>
      </c>
      <c r="R360" s="747">
        <v>154.46</v>
      </c>
      <c r="T360" s="1628">
        <v>-0.17449751179472747</v>
      </c>
      <c r="U360" s="747">
        <v>5.8301483448859999E-2</v>
      </c>
      <c r="V360" s="747">
        <v>0.61229807191246</v>
      </c>
      <c r="W360" s="747">
        <v>0.37691707824279475</v>
      </c>
      <c r="Y360" s="747" t="s">
        <v>2133</v>
      </c>
      <c r="AA360" s="1631"/>
      <c r="AC360" s="1627"/>
      <c r="AD360" s="747">
        <v>1</v>
      </c>
      <c r="AG360" s="1628"/>
    </row>
    <row r="361" spans="1:33" x14ac:dyDescent="0.2">
      <c r="A361" s="747" t="s">
        <v>1696</v>
      </c>
      <c r="B361" s="747" t="s">
        <v>3397</v>
      </c>
      <c r="C361" s="747" t="s">
        <v>3398</v>
      </c>
      <c r="D361" s="747" t="s">
        <v>2158</v>
      </c>
      <c r="E361" s="747" t="s">
        <v>2130</v>
      </c>
      <c r="F361" s="747" t="s">
        <v>369</v>
      </c>
      <c r="G361" s="747" t="s">
        <v>3399</v>
      </c>
      <c r="H361" s="1840" t="s">
        <v>3400</v>
      </c>
      <c r="J361" s="747" t="s">
        <v>3399</v>
      </c>
      <c r="L361" s="1630"/>
      <c r="Q361" s="1631">
        <v>46083.461701388886</v>
      </c>
      <c r="R361" s="747">
        <v>92.960000000000008</v>
      </c>
      <c r="T361" s="1628">
        <v>-0.24680759738168234</v>
      </c>
      <c r="U361" s="747">
        <v>0.46471414676321998</v>
      </c>
      <c r="V361" s="747">
        <v>0.28047464940670003</v>
      </c>
      <c r="W361" s="747">
        <v>0.32376429958991082</v>
      </c>
      <c r="Y361" s="747" t="s">
        <v>2133</v>
      </c>
      <c r="AA361" s="1631"/>
      <c r="AC361" s="1627"/>
      <c r="AD361" s="747">
        <v>1</v>
      </c>
      <c r="AG361" s="1628"/>
    </row>
    <row r="362" spans="1:33" x14ac:dyDescent="0.2">
      <c r="A362" s="747" t="s">
        <v>1699</v>
      </c>
      <c r="B362" s="747" t="s">
        <v>1700</v>
      </c>
      <c r="C362" s="747" t="s">
        <v>3012</v>
      </c>
      <c r="D362" s="747" t="s">
        <v>2158</v>
      </c>
      <c r="E362" s="747" t="s">
        <v>2130</v>
      </c>
      <c r="F362" s="747" t="s">
        <v>369</v>
      </c>
      <c r="G362" s="747" t="s">
        <v>3013</v>
      </c>
      <c r="H362" s="1840" t="s">
        <v>3014</v>
      </c>
      <c r="J362" s="747" t="s">
        <v>3013</v>
      </c>
      <c r="L362" s="1630"/>
      <c r="Q362" s="1631">
        <v>46083.76048611111</v>
      </c>
      <c r="R362" s="747">
        <v>246.87</v>
      </c>
      <c r="T362" s="1628">
        <v>-0.38334274876926344</v>
      </c>
      <c r="U362" s="747">
        <v>-0.15772870662461999</v>
      </c>
      <c r="V362" s="747">
        <v>2.0883301629311202</v>
      </c>
      <c r="W362" s="747">
        <v>1.5884119995061989</v>
      </c>
      <c r="Y362" s="747" t="s">
        <v>2133</v>
      </c>
      <c r="AA362" s="1631"/>
      <c r="AC362" s="1627"/>
      <c r="AD362" s="747">
        <v>1</v>
      </c>
      <c r="AG362" s="1628"/>
    </row>
    <row r="363" spans="1:33" x14ac:dyDescent="0.2">
      <c r="A363" s="747" t="s">
        <v>1784</v>
      </c>
      <c r="B363" s="747" t="s">
        <v>2895</v>
      </c>
      <c r="C363" s="747" t="s">
        <v>2896</v>
      </c>
      <c r="D363" s="747" t="s">
        <v>2120</v>
      </c>
      <c r="F363" s="747" t="s">
        <v>369</v>
      </c>
      <c r="G363" s="747" t="s">
        <v>513</v>
      </c>
      <c r="H363" s="1840" t="s">
        <v>2897</v>
      </c>
      <c r="J363" s="747" t="s">
        <v>2898</v>
      </c>
      <c r="L363" s="1630"/>
      <c r="M363" s="747">
        <v>1000</v>
      </c>
      <c r="N363" s="747">
        <v>44.800000000000004</v>
      </c>
      <c r="O363" s="747">
        <v>48</v>
      </c>
      <c r="P363" s="747">
        <v>350</v>
      </c>
      <c r="Q363" s="1631">
        <v>46084.733831018515</v>
      </c>
      <c r="R363" s="747">
        <v>45.44</v>
      </c>
      <c r="T363" s="1628">
        <v>-4.2158516020236005</v>
      </c>
      <c r="U363" s="747">
        <v>-4.5779079999999999</v>
      </c>
      <c r="V363" s="747">
        <v>-2.7813439999999998</v>
      </c>
      <c r="W363" s="747">
        <v>0.63640220619429999</v>
      </c>
      <c r="Y363" s="747" t="s">
        <v>2899</v>
      </c>
      <c r="Z363" s="747">
        <v>2.200704</v>
      </c>
      <c r="AA363" s="1631"/>
      <c r="AB363" s="747">
        <v>1</v>
      </c>
      <c r="AC363" s="1627">
        <v>45793</v>
      </c>
      <c r="AD363" s="747">
        <v>1</v>
      </c>
      <c r="AG363" s="1628">
        <v>4.6511627906976674E-2</v>
      </c>
    </row>
    <row r="364" spans="1:33" x14ac:dyDescent="0.2">
      <c r="A364" s="747" t="s">
        <v>1817</v>
      </c>
      <c r="B364" s="747" t="s">
        <v>1818</v>
      </c>
      <c r="C364" s="747" t="s">
        <v>2910</v>
      </c>
      <c r="D364" s="747" t="s">
        <v>2120</v>
      </c>
      <c r="F364" s="747" t="s">
        <v>381</v>
      </c>
      <c r="G364" s="747" t="s">
        <v>2911</v>
      </c>
      <c r="H364" s="1840" t="s">
        <v>2912</v>
      </c>
      <c r="J364" s="747" t="s">
        <v>2913</v>
      </c>
      <c r="L364" s="1630"/>
      <c r="M364" s="747">
        <v>23</v>
      </c>
      <c r="N364" s="747">
        <v>331</v>
      </c>
      <c r="O364" s="747">
        <v>331</v>
      </c>
      <c r="P364" s="747">
        <v>23</v>
      </c>
      <c r="Q364" s="1631">
        <v>46084.729166666664</v>
      </c>
      <c r="R364" s="747">
        <v>330.20000000000005</v>
      </c>
      <c r="T364" s="1628">
        <v>-2.6819923371647501</v>
      </c>
      <c r="U364" s="747">
        <v>4.2627091885064718</v>
      </c>
      <c r="V364" s="747">
        <v>18.606321839080461</v>
      </c>
      <c r="W364" s="747">
        <v>24.149286498353501</v>
      </c>
      <c r="Y364" s="747" t="s">
        <v>2914</v>
      </c>
      <c r="Z364" s="747">
        <v>1.4294367050272558</v>
      </c>
      <c r="AA364" s="1631"/>
      <c r="AB364" s="747">
        <v>4.72</v>
      </c>
      <c r="AC364" s="1627">
        <v>45797</v>
      </c>
      <c r="AD364" s="747">
        <v>1</v>
      </c>
      <c r="AG364" s="1628">
        <v>0</v>
      </c>
    </row>
    <row r="365" spans="1:33" x14ac:dyDescent="0.2">
      <c r="A365" s="747" t="s">
        <v>1711</v>
      </c>
      <c r="B365" s="747" t="s">
        <v>1712</v>
      </c>
      <c r="C365" s="747" t="s">
        <v>2932</v>
      </c>
      <c r="D365" s="747" t="s">
        <v>2158</v>
      </c>
      <c r="E365" s="747" t="s">
        <v>2159</v>
      </c>
      <c r="F365" s="747" t="s">
        <v>369</v>
      </c>
      <c r="G365" s="747" t="s">
        <v>2633</v>
      </c>
      <c r="H365" s="1840" t="s">
        <v>2933</v>
      </c>
      <c r="J365" s="747" t="s">
        <v>2633</v>
      </c>
      <c r="L365" s="1630"/>
      <c r="Q365" s="1631">
        <v>46083.4065162037</v>
      </c>
      <c r="R365" s="747">
        <v>96.2</v>
      </c>
      <c r="T365" s="1628">
        <v>-1.018623315155875</v>
      </c>
      <c r="U365" s="747">
        <v>1.1885978752498201</v>
      </c>
      <c r="V365" s="747">
        <v>-3.12185297079558</v>
      </c>
      <c r="W365" s="747">
        <v>1.804271042775468</v>
      </c>
      <c r="Y365" s="747" t="s">
        <v>2133</v>
      </c>
      <c r="AA365" s="1631"/>
      <c r="AB365" s="747">
        <v>7</v>
      </c>
      <c r="AC365" s="1627">
        <v>46036</v>
      </c>
      <c r="AD365" s="747">
        <v>1</v>
      </c>
      <c r="AG365" s="1628"/>
    </row>
    <row r="366" spans="1:33" x14ac:dyDescent="0.2">
      <c r="A366" s="747" t="s">
        <v>1725</v>
      </c>
      <c r="B366" s="747" t="s">
        <v>1726</v>
      </c>
      <c r="C366" s="747" t="s">
        <v>3416</v>
      </c>
      <c r="D366" s="747" t="s">
        <v>2158</v>
      </c>
      <c r="E366" s="747" t="s">
        <v>2130</v>
      </c>
      <c r="F366" s="747" t="s">
        <v>369</v>
      </c>
      <c r="G366" s="747" t="s">
        <v>3417</v>
      </c>
      <c r="H366" s="1840" t="s">
        <v>3418</v>
      </c>
      <c r="J366" s="747" t="s">
        <v>3417</v>
      </c>
      <c r="L366" s="1630"/>
      <c r="Q366" s="1631">
        <v>46083.343865740739</v>
      </c>
      <c r="R366" s="747">
        <v>131.89000000000001</v>
      </c>
      <c r="T366" s="1628">
        <v>-1.2799401197604638</v>
      </c>
      <c r="U366" s="747">
        <v>3.14381794009542</v>
      </c>
      <c r="V366" s="747">
        <v>8.8920079260237905</v>
      </c>
      <c r="W366" s="747">
        <v>6.3886424134871467</v>
      </c>
      <c r="Y366" s="747" t="s">
        <v>2133</v>
      </c>
      <c r="AA366" s="1631"/>
      <c r="AB366" s="747">
        <v>3.9382000000000001</v>
      </c>
      <c r="AC366" s="1627">
        <v>45505</v>
      </c>
      <c r="AD366" s="747">
        <v>1</v>
      </c>
      <c r="AG366" s="1628"/>
    </row>
    <row r="367" spans="1:33" x14ac:dyDescent="0.2">
      <c r="A367" s="747" t="s">
        <v>1822</v>
      </c>
      <c r="B367" s="747" t="s">
        <v>2985</v>
      </c>
      <c r="C367" s="747" t="s">
        <v>2986</v>
      </c>
      <c r="D367" s="747" t="s">
        <v>2120</v>
      </c>
      <c r="F367" s="747" t="s">
        <v>369</v>
      </c>
      <c r="G367" s="747" t="s">
        <v>2987</v>
      </c>
      <c r="H367" s="1840" t="s">
        <v>2988</v>
      </c>
      <c r="J367" s="747" t="s">
        <v>887</v>
      </c>
      <c r="L367" s="1630"/>
      <c r="M367" s="747">
        <v>1</v>
      </c>
      <c r="N367" s="747">
        <v>820</v>
      </c>
      <c r="Q367" s="1631">
        <v>46084.730081018519</v>
      </c>
      <c r="R367" s="747">
        <v>812</v>
      </c>
      <c r="T367" s="1628">
        <v>1.1207970112079799</v>
      </c>
      <c r="U367" s="747">
        <v>2.0100500000000001</v>
      </c>
      <c r="V367" s="747">
        <v>14.527503999999999</v>
      </c>
      <c r="W367" s="747">
        <v>9.2517006802720996</v>
      </c>
      <c r="Y367" s="747" t="s">
        <v>2307</v>
      </c>
      <c r="Z367" s="747">
        <v>2.1551719999999999</v>
      </c>
      <c r="AA367" s="1631"/>
      <c r="AB367" s="747">
        <v>16.5</v>
      </c>
      <c r="AC367" s="1627">
        <v>45761</v>
      </c>
      <c r="AD367" s="747">
        <v>1</v>
      </c>
      <c r="AG367" s="1628"/>
    </row>
    <row r="368" spans="1:33" x14ac:dyDescent="0.2">
      <c r="A368" s="747" t="s">
        <v>1733</v>
      </c>
      <c r="B368" s="747" t="s">
        <v>3327</v>
      </c>
      <c r="C368" s="747" t="s">
        <v>3328</v>
      </c>
      <c r="D368" s="747" t="s">
        <v>3228</v>
      </c>
      <c r="E368" s="747" t="s">
        <v>3229</v>
      </c>
      <c r="F368" s="747" t="s">
        <v>366</v>
      </c>
      <c r="G368" s="747" t="s">
        <v>3329</v>
      </c>
      <c r="H368" s="1840" t="s">
        <v>3330</v>
      </c>
      <c r="J368" s="747" t="s">
        <v>3232</v>
      </c>
      <c r="L368" s="1630"/>
      <c r="M368" s="747">
        <v>1500</v>
      </c>
      <c r="N368" s="747">
        <v>5.76</v>
      </c>
      <c r="O368" s="747">
        <v>6.2</v>
      </c>
      <c r="P368" s="747">
        <v>665</v>
      </c>
      <c r="Q368" s="1631">
        <v>46084.73265046296</v>
      </c>
      <c r="R368" s="747">
        <v>5.9637500000000001</v>
      </c>
      <c r="T368" s="1628">
        <v>-0.12560184216035999</v>
      </c>
      <c r="U368" s="747">
        <v>2.2612329999999998</v>
      </c>
      <c r="V368" s="747">
        <v>-1.2825819999999999</v>
      </c>
      <c r="W368" s="747">
        <v>1.3576580398812002</v>
      </c>
      <c r="X368" s="747" t="s">
        <v>3329</v>
      </c>
      <c r="Y368" s="747" t="s">
        <v>2113</v>
      </c>
      <c r="AA368" s="1631"/>
      <c r="AC368" s="1627"/>
      <c r="AD368" s="747">
        <v>1</v>
      </c>
      <c r="AE368" s="747" t="s">
        <v>3233</v>
      </c>
      <c r="AG368" s="1628">
        <v>4.9661399548532777E-2</v>
      </c>
    </row>
    <row r="369" spans="1:33" x14ac:dyDescent="0.2">
      <c r="A369" s="747" t="s">
        <v>1778</v>
      </c>
      <c r="B369" s="747" t="s">
        <v>3018</v>
      </c>
      <c r="C369" s="747" t="s">
        <v>3019</v>
      </c>
      <c r="D369" s="747" t="s">
        <v>2120</v>
      </c>
      <c r="F369" s="747" t="s">
        <v>381</v>
      </c>
      <c r="G369" s="747" t="s">
        <v>425</v>
      </c>
      <c r="H369" s="1840" t="s">
        <v>3020</v>
      </c>
      <c r="J369" s="747" t="s">
        <v>3021</v>
      </c>
      <c r="L369" s="1630"/>
      <c r="M369" s="747">
        <v>62</v>
      </c>
      <c r="N369" s="747">
        <v>175.42000000000002</v>
      </c>
      <c r="O369" s="747">
        <v>175.42000000000002</v>
      </c>
      <c r="P369" s="747">
        <v>62</v>
      </c>
      <c r="Q369" s="1631">
        <v>46084.729166666664</v>
      </c>
      <c r="R369" s="747">
        <v>174.92000000000002</v>
      </c>
      <c r="T369" s="1628">
        <v>-3.3591160220994398</v>
      </c>
      <c r="U369" s="747">
        <v>-8.1784776902887053</v>
      </c>
      <c r="V369" s="747">
        <v>-10.545157001125077</v>
      </c>
      <c r="W369" s="747">
        <v>-8.7931468883849995</v>
      </c>
      <c r="Y369" s="747" t="s">
        <v>2914</v>
      </c>
      <c r="Z369" s="747">
        <v>1.1433798307797849</v>
      </c>
      <c r="AA369" s="1631"/>
      <c r="AB369" s="747">
        <v>3</v>
      </c>
      <c r="AC369" s="1627">
        <v>45769</v>
      </c>
      <c r="AD369" s="747">
        <v>1</v>
      </c>
      <c r="AG369" s="1628">
        <v>0</v>
      </c>
    </row>
    <row r="370" spans="1:33" x14ac:dyDescent="0.2">
      <c r="A370" s="747" t="s">
        <v>1738</v>
      </c>
      <c r="B370" s="747" t="s">
        <v>3404</v>
      </c>
      <c r="C370" s="747" t="s">
        <v>3405</v>
      </c>
      <c r="D370" s="747" t="s">
        <v>3228</v>
      </c>
      <c r="E370" s="747" t="s">
        <v>3229</v>
      </c>
      <c r="F370" s="747" t="s">
        <v>366</v>
      </c>
      <c r="G370" s="747" t="s">
        <v>3406</v>
      </c>
      <c r="H370" s="1840" t="s">
        <v>3407</v>
      </c>
      <c r="J370" s="747" t="s">
        <v>3232</v>
      </c>
      <c r="L370" s="1630"/>
      <c r="M370" s="747">
        <v>183507</v>
      </c>
      <c r="N370" s="747">
        <v>4.1349999999999998</v>
      </c>
      <c r="O370" s="747">
        <v>4.16</v>
      </c>
      <c r="P370" s="747">
        <v>16911</v>
      </c>
      <c r="Q370" s="1631">
        <v>46084.732835648145</v>
      </c>
      <c r="R370" s="747">
        <v>4.1530000000000005</v>
      </c>
      <c r="T370" s="1628">
        <v>7.0912841670964601</v>
      </c>
      <c r="U370" s="747">
        <v>20.376811999999997</v>
      </c>
      <c r="V370" s="747">
        <v>22.688330999999998</v>
      </c>
      <c r="W370" s="747">
        <v>21.087801087801001</v>
      </c>
      <c r="X370" s="747" t="s">
        <v>3406</v>
      </c>
      <c r="Y370" s="747" t="s">
        <v>2113</v>
      </c>
      <c r="AA370" s="1631"/>
      <c r="AC370" s="1627"/>
      <c r="AD370" s="747">
        <v>1</v>
      </c>
      <c r="AE370" s="747" t="s">
        <v>3233</v>
      </c>
      <c r="AG370" s="1628">
        <v>4.0225261464200092E-3</v>
      </c>
    </row>
    <row r="371" spans="1:33" x14ac:dyDescent="0.2">
      <c r="A371" s="747" t="s">
        <v>1743</v>
      </c>
      <c r="B371" s="747" t="s">
        <v>3226</v>
      </c>
      <c r="C371" s="747" t="s">
        <v>3227</v>
      </c>
      <c r="D371" s="747" t="s">
        <v>3228</v>
      </c>
      <c r="E371" s="747" t="s">
        <v>3229</v>
      </c>
      <c r="F371" s="747" t="s">
        <v>366</v>
      </c>
      <c r="G371" s="747" t="s">
        <v>3230</v>
      </c>
      <c r="H371" s="1840" t="s">
        <v>3231</v>
      </c>
      <c r="J371" s="747" t="s">
        <v>3232</v>
      </c>
      <c r="L371" s="1630"/>
      <c r="M371" s="747">
        <v>1500</v>
      </c>
      <c r="N371" s="747">
        <v>17.77</v>
      </c>
      <c r="O371" s="747">
        <v>20.37</v>
      </c>
      <c r="P371" s="747">
        <v>116</v>
      </c>
      <c r="Q371" s="1631">
        <v>46084.732847222222</v>
      </c>
      <c r="R371" s="747">
        <v>18.46</v>
      </c>
      <c r="T371" s="1628">
        <v>-0.45834456726882</v>
      </c>
      <c r="U371" s="747">
        <v>-1.4941300000000002</v>
      </c>
      <c r="V371" s="747">
        <v>10.176067</v>
      </c>
      <c r="W371" s="747">
        <v>4.5083122006199003</v>
      </c>
      <c r="X371" s="747" t="s">
        <v>3230</v>
      </c>
      <c r="Y371" s="747" t="s">
        <v>2113</v>
      </c>
      <c r="AA371" s="1631"/>
      <c r="AC371" s="1627"/>
      <c r="AD371" s="747">
        <v>1</v>
      </c>
      <c r="AE371" s="747" t="s">
        <v>3233</v>
      </c>
      <c r="AG371" s="1628">
        <v>9.3006617778572762E-2</v>
      </c>
    </row>
    <row r="372" spans="1:33" x14ac:dyDescent="0.2">
      <c r="A372" s="747" t="s">
        <v>1748</v>
      </c>
      <c r="B372" s="747" t="s">
        <v>3293</v>
      </c>
      <c r="C372" s="747" t="s">
        <v>3294</v>
      </c>
      <c r="D372" s="747" t="s">
        <v>3228</v>
      </c>
      <c r="E372" s="747" t="s">
        <v>3229</v>
      </c>
      <c r="F372" s="747" t="s">
        <v>366</v>
      </c>
      <c r="G372" s="747" t="s">
        <v>3295</v>
      </c>
      <c r="H372" s="1840" t="s">
        <v>3296</v>
      </c>
      <c r="J372" s="747" t="s">
        <v>3297</v>
      </c>
      <c r="L372" s="1630"/>
      <c r="M372" s="747">
        <v>515</v>
      </c>
      <c r="N372" s="747">
        <v>458</v>
      </c>
      <c r="O372" s="747">
        <v>513</v>
      </c>
      <c r="P372" s="747">
        <v>5</v>
      </c>
      <c r="Q372" s="1631">
        <v>46084.732754629629</v>
      </c>
      <c r="R372" s="747">
        <v>475.11</v>
      </c>
      <c r="T372" s="1628">
        <v>-3.6991243716555902</v>
      </c>
      <c r="U372" s="747">
        <v>2.6909609999999997</v>
      </c>
      <c r="V372" s="747">
        <v>21.232457</v>
      </c>
      <c r="W372" s="747">
        <v>23.176062142518202</v>
      </c>
      <c r="X372" s="747" t="s">
        <v>3295</v>
      </c>
      <c r="Y372" s="747" t="s">
        <v>2113</v>
      </c>
      <c r="AA372" s="1631"/>
      <c r="AC372" s="1627"/>
      <c r="AD372" s="747">
        <v>1</v>
      </c>
      <c r="AE372" s="747" t="s">
        <v>3233</v>
      </c>
      <c r="AG372" s="1628">
        <v>7.6976906927921626E-2</v>
      </c>
    </row>
    <row r="373" spans="1:33" x14ac:dyDescent="0.2">
      <c r="A373" s="747" t="s">
        <v>1941</v>
      </c>
      <c r="B373" s="747" t="s">
        <v>3080</v>
      </c>
      <c r="C373" s="747" t="s">
        <v>3081</v>
      </c>
      <c r="D373" s="747" t="s">
        <v>2120</v>
      </c>
      <c r="F373" s="747" t="s">
        <v>369</v>
      </c>
      <c r="G373" s="747" t="s">
        <v>3082</v>
      </c>
      <c r="H373" s="1840" t="s">
        <v>3083</v>
      </c>
      <c r="J373" s="747" t="s">
        <v>428</v>
      </c>
      <c r="L373" s="1630"/>
      <c r="Q373" s="1631">
        <v>46084.732916666668</v>
      </c>
      <c r="R373" s="747">
        <v>151.55000000000001</v>
      </c>
      <c r="T373" s="1628">
        <v>-3.71664548919949</v>
      </c>
      <c r="U373" s="747">
        <v>0.198347</v>
      </c>
      <c r="V373" s="747">
        <v>-3.6248009999999997</v>
      </c>
      <c r="W373" s="747">
        <v>-3.1980319803198198</v>
      </c>
      <c r="Y373" s="747" t="s">
        <v>2513</v>
      </c>
      <c r="Z373" s="747">
        <v>2.4414379999999998</v>
      </c>
      <c r="AA373" s="1631"/>
      <c r="AB373" s="747">
        <v>3.6</v>
      </c>
      <c r="AC373" s="1627">
        <v>45743</v>
      </c>
      <c r="AD373" s="747">
        <v>1</v>
      </c>
      <c r="AG373" s="1628"/>
    </row>
    <row r="374" spans="1:33" x14ac:dyDescent="0.2">
      <c r="A374" s="747" t="s">
        <v>985</v>
      </c>
      <c r="B374" s="747" t="s">
        <v>2266</v>
      </c>
      <c r="D374" s="747" t="s">
        <v>2259</v>
      </c>
      <c r="H374" s="1840"/>
      <c r="L374" s="1630"/>
      <c r="Q374" s="1631"/>
      <c r="AA374" s="1631"/>
      <c r="AC374" s="1627"/>
      <c r="AG374" s="1628"/>
    </row>
    <row r="375" spans="1:33" x14ac:dyDescent="0.2">
      <c r="A375" s="747" t="s">
        <v>1933</v>
      </c>
      <c r="B375" s="747" t="s">
        <v>3085</v>
      </c>
      <c r="C375" s="747" t="s">
        <v>3086</v>
      </c>
      <c r="D375" s="747" t="s">
        <v>2120</v>
      </c>
      <c r="F375" s="747" t="s">
        <v>369</v>
      </c>
      <c r="G375" s="747" t="s">
        <v>3087</v>
      </c>
      <c r="H375" s="1840" t="s">
        <v>3088</v>
      </c>
      <c r="J375" s="747" t="s">
        <v>573</v>
      </c>
      <c r="L375" s="1630"/>
      <c r="M375" s="747">
        <v>91</v>
      </c>
      <c r="N375" s="747">
        <v>270</v>
      </c>
      <c r="Q375" s="1631">
        <v>46084.730081018519</v>
      </c>
      <c r="R375" s="747">
        <v>275.5</v>
      </c>
      <c r="T375" s="1628">
        <v>-1.9572953736654899</v>
      </c>
      <c r="U375" s="747">
        <v>-6.132879</v>
      </c>
      <c r="V375" s="747">
        <v>0.91575099999999998</v>
      </c>
      <c r="W375" s="747">
        <v>-0.17761989342807</v>
      </c>
      <c r="Y375" s="747" t="s">
        <v>2650</v>
      </c>
      <c r="Z375" s="747">
        <v>2.1778580000000001</v>
      </c>
      <c r="AA375" s="1631"/>
      <c r="AB375" s="747">
        <v>6</v>
      </c>
      <c r="AC375" s="1627">
        <v>45743</v>
      </c>
      <c r="AD375" s="747">
        <v>1</v>
      </c>
      <c r="AG375" s="1628"/>
    </row>
    <row r="376" spans="1:33" x14ac:dyDescent="0.2">
      <c r="A376" s="747" t="s">
        <v>980</v>
      </c>
      <c r="B376" s="747" t="s">
        <v>2257</v>
      </c>
      <c r="D376" s="747" t="s">
        <v>2259</v>
      </c>
      <c r="H376" s="1840"/>
      <c r="L376" s="1630"/>
      <c r="Q376" s="1631"/>
      <c r="AA376" s="1631"/>
      <c r="AC376" s="1627"/>
      <c r="AG376" s="1628"/>
    </row>
    <row r="377" spans="1:33" x14ac:dyDescent="0.2">
      <c r="A377" s="747" t="s">
        <v>4275</v>
      </c>
      <c r="B377" s="747" t="s">
        <v>4276</v>
      </c>
      <c r="C377" s="747" t="s">
        <v>4277</v>
      </c>
      <c r="D377" s="747" t="s">
        <v>2120</v>
      </c>
      <c r="F377" s="747" t="s">
        <v>369</v>
      </c>
      <c r="G377" s="747" t="s">
        <v>476</v>
      </c>
      <c r="H377" s="1840" t="s">
        <v>4278</v>
      </c>
      <c r="J377" s="747" t="s">
        <v>2306</v>
      </c>
      <c r="L377" s="1630"/>
      <c r="M377" s="747">
        <v>40</v>
      </c>
      <c r="N377" s="747">
        <v>1360</v>
      </c>
      <c r="O377" s="747">
        <v>1420</v>
      </c>
      <c r="P377" s="747">
        <v>1</v>
      </c>
      <c r="Q377" s="1631">
        <v>46084.730081018519</v>
      </c>
      <c r="R377" s="747">
        <v>1392</v>
      </c>
      <c r="T377" s="1628">
        <v>-0.21505376344086999</v>
      </c>
      <c r="U377" s="747">
        <v>4.426107</v>
      </c>
      <c r="V377" s="747">
        <v>15.806987999999999</v>
      </c>
      <c r="W377" s="747">
        <v>6.8147013782542203</v>
      </c>
      <c r="Y377" s="747" t="s">
        <v>2307</v>
      </c>
      <c r="Z377" s="747">
        <v>2.0833330000000001</v>
      </c>
      <c r="AA377" s="1631"/>
      <c r="AB377" s="747">
        <v>29</v>
      </c>
      <c r="AC377" s="1627">
        <v>46034</v>
      </c>
      <c r="AD377" s="747">
        <v>1</v>
      </c>
      <c r="AG377" s="1628">
        <v>2.8985507246376812E-2</v>
      </c>
    </row>
    <row r="378" spans="1:33" x14ac:dyDescent="0.2">
      <c r="A378" s="747" t="s">
        <v>1756</v>
      </c>
      <c r="B378" s="747" t="s">
        <v>3431</v>
      </c>
      <c r="D378" s="747" t="s">
        <v>2259</v>
      </c>
      <c r="H378" s="1840"/>
      <c r="L378" s="1630"/>
      <c r="Q378" s="1631"/>
      <c r="AA378" s="1631"/>
      <c r="AC378" s="1627"/>
      <c r="AG378" s="1628"/>
    </row>
    <row r="379" spans="1:33" x14ac:dyDescent="0.2">
      <c r="A379" s="747" t="s">
        <v>1757</v>
      </c>
      <c r="B379" s="747" t="s">
        <v>3430</v>
      </c>
      <c r="D379" s="747" t="s">
        <v>2259</v>
      </c>
      <c r="H379" s="1840"/>
      <c r="L379" s="1630"/>
      <c r="Q379" s="1631"/>
      <c r="AA379" s="1631"/>
      <c r="AC379" s="1627"/>
      <c r="AG379" s="1628"/>
    </row>
    <row r="380" spans="1:33" x14ac:dyDescent="0.2">
      <c r="A380" s="747" t="s">
        <v>1760</v>
      </c>
      <c r="B380" s="747" t="s">
        <v>3432</v>
      </c>
      <c r="D380" s="747" t="s">
        <v>2259</v>
      </c>
      <c r="H380" s="1840"/>
      <c r="L380" s="1630"/>
      <c r="Q380" s="1631"/>
      <c r="AA380" s="1631"/>
      <c r="AC380" s="1627"/>
      <c r="AG380" s="1628"/>
    </row>
    <row r="381" spans="1:33" x14ac:dyDescent="0.2">
      <c r="A381" s="747" t="s">
        <v>1841</v>
      </c>
      <c r="B381" s="747" t="s">
        <v>3159</v>
      </c>
      <c r="C381" s="747" t="s">
        <v>3160</v>
      </c>
      <c r="D381" s="747" t="s">
        <v>2120</v>
      </c>
      <c r="F381" s="747" t="s">
        <v>605</v>
      </c>
      <c r="G381" s="747" t="s">
        <v>3161</v>
      </c>
      <c r="H381" s="1840" t="s">
        <v>3162</v>
      </c>
      <c r="J381" s="747" t="s">
        <v>3163</v>
      </c>
      <c r="L381" s="1630"/>
      <c r="Q381" s="1631"/>
      <c r="Y381" s="747" t="s">
        <v>3147</v>
      </c>
      <c r="AA381" s="1631"/>
      <c r="AC381" s="1627"/>
      <c r="AD381" s="747">
        <v>1</v>
      </c>
      <c r="AG381" s="1628"/>
    </row>
    <row r="382" spans="1:33" x14ac:dyDescent="0.2">
      <c r="A382" s="747" t="s">
        <v>1984</v>
      </c>
      <c r="B382" s="747" t="s">
        <v>3168</v>
      </c>
      <c r="C382" s="747" t="s">
        <v>3169</v>
      </c>
      <c r="D382" s="747" t="s">
        <v>2120</v>
      </c>
      <c r="F382" s="747" t="s">
        <v>369</v>
      </c>
      <c r="G382" s="747" t="s">
        <v>3170</v>
      </c>
      <c r="H382" s="1840" t="s">
        <v>3171</v>
      </c>
      <c r="J382" s="747" t="s">
        <v>398</v>
      </c>
      <c r="L382" s="1630"/>
      <c r="Q382" s="1631">
        <v>46084.735196759262</v>
      </c>
      <c r="R382" s="747">
        <v>536.6</v>
      </c>
      <c r="T382" s="1628">
        <v>-6.6782608695652197</v>
      </c>
      <c r="U382" s="747">
        <v>-3.5585909999999998</v>
      </c>
      <c r="V382" s="747">
        <v>-8.1793289999999992</v>
      </c>
      <c r="W382" s="747">
        <v>-4.4533067464274003</v>
      </c>
      <c r="Y382" s="747" t="s">
        <v>2168</v>
      </c>
      <c r="Z382" s="747">
        <v>5.590757</v>
      </c>
      <c r="AA382" s="1631"/>
      <c r="AB382" s="747">
        <v>28</v>
      </c>
      <c r="AC382" s="1627">
        <v>45758</v>
      </c>
      <c r="AD382" s="747">
        <v>1</v>
      </c>
      <c r="AG382" s="1628"/>
    </row>
    <row r="383" spans="1:33" x14ac:dyDescent="0.2">
      <c r="A383" s="747" t="s">
        <v>1761</v>
      </c>
      <c r="B383" s="747" t="s">
        <v>3433</v>
      </c>
      <c r="D383" s="747" t="s">
        <v>2259</v>
      </c>
      <c r="H383" s="1840"/>
      <c r="L383" s="1630"/>
      <c r="Q383" s="1631"/>
      <c r="AA383" s="1631"/>
      <c r="AC383" s="1627"/>
      <c r="AG383" s="1628"/>
    </row>
    <row r="384" spans="1:33" x14ac:dyDescent="0.2">
      <c r="A384" s="747" t="s">
        <v>875</v>
      </c>
      <c r="B384" s="747" t="s">
        <v>3434</v>
      </c>
      <c r="D384" s="747" t="s">
        <v>2259</v>
      </c>
      <c r="H384" s="1840"/>
      <c r="L384" s="1630"/>
      <c r="Q384" s="1631"/>
      <c r="AA384" s="1631"/>
      <c r="AC384" s="1627"/>
      <c r="AG384" s="1628"/>
    </row>
    <row r="385" spans="1:33" x14ac:dyDescent="0.2">
      <c r="A385" s="747" t="s">
        <v>1953</v>
      </c>
      <c r="B385" s="747" t="s">
        <v>3172</v>
      </c>
      <c r="C385" s="747" t="s">
        <v>3173</v>
      </c>
      <c r="D385" s="747" t="s">
        <v>2120</v>
      </c>
      <c r="F385" s="747" t="s">
        <v>369</v>
      </c>
      <c r="G385" s="747" t="s">
        <v>3174</v>
      </c>
      <c r="H385" s="1840" t="s">
        <v>3175</v>
      </c>
      <c r="J385" s="747" t="s">
        <v>435</v>
      </c>
      <c r="L385" s="1630"/>
      <c r="Q385" s="1631">
        <v>46084.732916666668</v>
      </c>
      <c r="R385" s="747">
        <v>715.5</v>
      </c>
      <c r="T385" s="1628">
        <v>-0.2092050209205</v>
      </c>
      <c r="U385" s="747">
        <v>12.411626</v>
      </c>
      <c r="V385" s="747">
        <v>29.737081</v>
      </c>
      <c r="W385" s="747">
        <v>24.587315377932299</v>
      </c>
      <c r="Y385" s="747" t="s">
        <v>3147</v>
      </c>
      <c r="Z385" s="747">
        <v>3.633823</v>
      </c>
      <c r="AA385" s="1631"/>
      <c r="AB385" s="747">
        <v>22</v>
      </c>
      <c r="AC385" s="1627">
        <v>45744</v>
      </c>
      <c r="AD385" s="747">
        <v>1</v>
      </c>
      <c r="AG385" s="1628"/>
    </row>
    <row r="386" spans="1:33" x14ac:dyDescent="0.2">
      <c r="A386" s="747" t="s">
        <v>1357</v>
      </c>
      <c r="B386" s="747" t="s">
        <v>3136</v>
      </c>
      <c r="D386" s="747" t="s">
        <v>2259</v>
      </c>
      <c r="H386" s="1840"/>
      <c r="L386" s="1630"/>
      <c r="Q386" s="1631"/>
      <c r="AA386" s="1631"/>
      <c r="AC386" s="1627"/>
      <c r="AG386" s="1628"/>
    </row>
    <row r="387" spans="1:33" x14ac:dyDescent="0.2">
      <c r="A387" s="747" t="s">
        <v>1770</v>
      </c>
      <c r="B387" s="747" t="s">
        <v>3192</v>
      </c>
      <c r="C387" s="747" t="s">
        <v>3193</v>
      </c>
      <c r="D387" s="747" t="s">
        <v>2120</v>
      </c>
      <c r="F387" s="747" t="s">
        <v>366</v>
      </c>
      <c r="G387" s="747" t="s">
        <v>546</v>
      </c>
      <c r="H387" s="1840" t="s">
        <v>3194</v>
      </c>
      <c r="J387" s="747" t="s">
        <v>3195</v>
      </c>
      <c r="L387" s="1630"/>
      <c r="M387" s="747">
        <v>400</v>
      </c>
      <c r="N387" s="747">
        <v>233.07</v>
      </c>
      <c r="O387" s="747">
        <v>233.20000000000002</v>
      </c>
      <c r="P387" s="747">
        <v>100</v>
      </c>
      <c r="Q387" s="1631">
        <v>46084.785763888889</v>
      </c>
      <c r="R387" s="747">
        <v>233.16</v>
      </c>
      <c r="T387" s="1628">
        <v>-0.4695637326048</v>
      </c>
      <c r="U387" s="747">
        <v>3.3235839999999999</v>
      </c>
      <c r="V387" s="747">
        <v>4.5607429999999995</v>
      </c>
      <c r="W387" s="747">
        <v>2.5252746290866002</v>
      </c>
      <c r="Y387" s="747" t="s">
        <v>2585</v>
      </c>
      <c r="Z387" s="747">
        <v>2.8907189999999998</v>
      </c>
      <c r="AA387" s="1631"/>
      <c r="AB387" s="747">
        <v>1.73</v>
      </c>
      <c r="AC387" s="1627">
        <v>46038</v>
      </c>
      <c r="AD387" s="747">
        <v>1</v>
      </c>
      <c r="AG387" s="1628">
        <v>3.7177910601431027E-4</v>
      </c>
    </row>
    <row r="388" spans="1:33" x14ac:dyDescent="0.2">
      <c r="A388" s="747" t="s">
        <v>1894</v>
      </c>
      <c r="B388" s="747" t="s">
        <v>3196</v>
      </c>
      <c r="C388" s="747" t="s">
        <v>3197</v>
      </c>
      <c r="D388" s="747" t="s">
        <v>2120</v>
      </c>
      <c r="F388" s="747" t="s">
        <v>369</v>
      </c>
      <c r="G388" s="747" t="s">
        <v>3198</v>
      </c>
      <c r="H388" s="1840" t="s">
        <v>3199</v>
      </c>
      <c r="J388" s="747" t="s">
        <v>3200</v>
      </c>
      <c r="L388" s="1630"/>
      <c r="M388" s="747">
        <v>100</v>
      </c>
      <c r="N388" s="747">
        <v>81.100000000000009</v>
      </c>
      <c r="Q388" s="1631">
        <v>46084.733611111114</v>
      </c>
      <c r="R388" s="747">
        <v>81.25</v>
      </c>
      <c r="T388" s="1628">
        <v>-2.3554861194568</v>
      </c>
      <c r="U388" s="747">
        <v>6.7954780000000001</v>
      </c>
      <c r="V388" s="747">
        <v>4.2334829999999997</v>
      </c>
      <c r="W388" s="747">
        <v>5.6769113538227298</v>
      </c>
      <c r="Y388" s="747" t="s">
        <v>2307</v>
      </c>
      <c r="Z388" s="747">
        <v>3.815385</v>
      </c>
      <c r="AA388" s="1631"/>
      <c r="AB388" s="747">
        <v>3.0500000000000003</v>
      </c>
      <c r="AC388" s="1627">
        <v>45769</v>
      </c>
      <c r="AD388" s="747">
        <v>1</v>
      </c>
      <c r="AG388" s="1628"/>
    </row>
    <row r="389" spans="1:33" x14ac:dyDescent="0.2">
      <c r="A389" s="747" t="s">
        <v>1802</v>
      </c>
      <c r="B389" s="747" t="s">
        <v>3262</v>
      </c>
      <c r="C389" s="747" t="s">
        <v>3263</v>
      </c>
      <c r="D389" s="747" t="s">
        <v>2120</v>
      </c>
      <c r="F389" s="747" t="s">
        <v>381</v>
      </c>
      <c r="G389" s="747" t="s">
        <v>3264</v>
      </c>
      <c r="H389" s="1840" t="s">
        <v>3265</v>
      </c>
      <c r="J389" s="747" t="s">
        <v>3264</v>
      </c>
      <c r="L389" s="1630"/>
      <c r="Q389" s="1631">
        <v>46083.746527777781</v>
      </c>
      <c r="R389" s="747">
        <v>52.04</v>
      </c>
      <c r="T389" s="1628">
        <v>-1.21488230827639</v>
      </c>
      <c r="U389" s="747">
        <v>11.649860544947501</v>
      </c>
      <c r="V389" s="747">
        <v>19.0574239304507</v>
      </c>
      <c r="W389" s="747">
        <v>17.339346110484801</v>
      </c>
      <c r="Y389" s="747" t="s">
        <v>3041</v>
      </c>
      <c r="AA389" s="1631"/>
      <c r="AB389" s="747">
        <v>2</v>
      </c>
      <c r="AC389" s="1627">
        <v>45782</v>
      </c>
      <c r="AD389" s="747">
        <v>1</v>
      </c>
      <c r="AG389" s="1628"/>
    </row>
    <row r="390" spans="1:33" x14ac:dyDescent="0.2">
      <c r="A390" s="747" t="s">
        <v>1826</v>
      </c>
      <c r="B390" s="747" t="s">
        <v>3266</v>
      </c>
      <c r="C390" s="747" t="s">
        <v>3267</v>
      </c>
      <c r="D390" s="747" t="s">
        <v>2120</v>
      </c>
      <c r="F390" s="747" t="s">
        <v>381</v>
      </c>
      <c r="G390" s="747" t="s">
        <v>3268</v>
      </c>
      <c r="H390" s="1840" t="s">
        <v>3269</v>
      </c>
      <c r="J390" s="747" t="s">
        <v>3270</v>
      </c>
      <c r="L390" s="1630"/>
      <c r="Q390" s="1631">
        <v>46083.739583333336</v>
      </c>
      <c r="R390" s="747">
        <v>20.37</v>
      </c>
      <c r="T390" s="1628">
        <v>3.6324786324786502</v>
      </c>
      <c r="U390" s="747">
        <v>18.292682926829301</v>
      </c>
      <c r="V390" s="747">
        <v>26.773711725167999</v>
      </c>
      <c r="W390" s="747">
        <v>26.2081784386618</v>
      </c>
      <c r="Y390" s="747" t="s">
        <v>3011</v>
      </c>
      <c r="AA390" s="1631"/>
      <c r="AB390" s="747">
        <v>0.26</v>
      </c>
      <c r="AC390" s="1627">
        <v>45985</v>
      </c>
      <c r="AD390" s="747">
        <v>1</v>
      </c>
      <c r="AG390" s="1628"/>
    </row>
    <row r="391" spans="1:33" x14ac:dyDescent="0.2">
      <c r="A391" s="747" t="s">
        <v>1810</v>
      </c>
      <c r="B391" s="747" t="s">
        <v>3419</v>
      </c>
      <c r="C391" s="747" t="s">
        <v>3420</v>
      </c>
      <c r="D391" s="747" t="s">
        <v>2120</v>
      </c>
      <c r="F391" s="747" t="s">
        <v>369</v>
      </c>
      <c r="G391" s="747" t="s">
        <v>821</v>
      </c>
      <c r="H391" s="1840" t="s">
        <v>3421</v>
      </c>
      <c r="J391" s="747" t="s">
        <v>3422</v>
      </c>
      <c r="L391" s="1630"/>
      <c r="M391" s="747">
        <v>98</v>
      </c>
      <c r="N391" s="747">
        <v>151</v>
      </c>
      <c r="O391" s="747">
        <v>161.5</v>
      </c>
      <c r="P391" s="747">
        <v>12</v>
      </c>
      <c r="Q391" s="1631">
        <v>46084.730196759258</v>
      </c>
      <c r="R391" s="747">
        <v>156.5</v>
      </c>
      <c r="T391" s="1628">
        <v>-3.6923076923077001</v>
      </c>
      <c r="U391" s="747">
        <v>28.806583999999997</v>
      </c>
      <c r="V391" s="747">
        <v>-15.176152</v>
      </c>
      <c r="W391" s="747">
        <v>27.9527559055119</v>
      </c>
      <c r="Y391" s="747" t="s">
        <v>2312</v>
      </c>
      <c r="AA391" s="1631"/>
      <c r="AB391" s="747">
        <v>1</v>
      </c>
      <c r="AC391" s="1627">
        <v>44306</v>
      </c>
      <c r="AD391" s="747">
        <v>1</v>
      </c>
      <c r="AG391" s="1628">
        <v>4.5307443365695796E-2</v>
      </c>
    </row>
    <row r="392" spans="1:33" x14ac:dyDescent="0.2">
      <c r="A392" s="747" t="s">
        <v>1830</v>
      </c>
      <c r="B392" s="747" t="s">
        <v>3370</v>
      </c>
      <c r="C392" s="747" t="s">
        <v>3371</v>
      </c>
      <c r="D392" s="747" t="s">
        <v>2120</v>
      </c>
      <c r="F392" s="747" t="s">
        <v>366</v>
      </c>
      <c r="G392" s="747" t="s">
        <v>893</v>
      </c>
      <c r="H392" s="1840" t="s">
        <v>3372</v>
      </c>
      <c r="J392" s="747" t="s">
        <v>3373</v>
      </c>
      <c r="L392" s="1630"/>
      <c r="M392" s="747">
        <v>100</v>
      </c>
      <c r="N392" s="747">
        <v>128.28</v>
      </c>
      <c r="O392" s="747">
        <v>128.33000000000001</v>
      </c>
      <c r="P392" s="747">
        <v>100</v>
      </c>
      <c r="Q392" s="1631">
        <v>46084.785868055558</v>
      </c>
      <c r="R392" s="747">
        <v>128.33750000000001</v>
      </c>
      <c r="T392" s="1628">
        <v>-0.24290711232025</v>
      </c>
      <c r="U392" s="747">
        <v>16.216155000000001</v>
      </c>
      <c r="V392" s="747">
        <v>17.321052999999999</v>
      </c>
      <c r="W392" s="747">
        <v>22.512141700790501</v>
      </c>
      <c r="Y392" s="747" t="s">
        <v>3011</v>
      </c>
      <c r="Z392" s="747">
        <v>3.1440539999999997</v>
      </c>
      <c r="AA392" s="1631"/>
      <c r="AB392" s="747">
        <v>1.02</v>
      </c>
      <c r="AC392" s="1627">
        <v>46038</v>
      </c>
      <c r="AD392" s="747">
        <v>1</v>
      </c>
      <c r="AG392" s="1628">
        <v>2.598144924524481E-4</v>
      </c>
    </row>
    <row r="393" spans="1:33" x14ac:dyDescent="0.2">
      <c r="A393" s="747" t="s">
        <v>1849</v>
      </c>
      <c r="B393" s="747" t="s">
        <v>3445</v>
      </c>
      <c r="C393" s="747" t="s">
        <v>3446</v>
      </c>
      <c r="D393" s="747" t="s">
        <v>2120</v>
      </c>
      <c r="F393" s="747" t="s">
        <v>381</v>
      </c>
      <c r="G393" s="747" t="s">
        <v>468</v>
      </c>
      <c r="H393" s="1840" t="s">
        <v>3447</v>
      </c>
      <c r="J393" s="747" t="s">
        <v>3448</v>
      </c>
      <c r="L393" s="1630"/>
      <c r="Q393" s="1631">
        <v>46083.732951388891</v>
      </c>
      <c r="R393" s="747">
        <v>64.349999999999994</v>
      </c>
      <c r="T393" s="1628">
        <v>-2.35204855842187</v>
      </c>
      <c r="U393" s="747">
        <v>4.3795620437956204</v>
      </c>
      <c r="V393" s="747">
        <v>17.319963536918902</v>
      </c>
      <c r="W393" s="747">
        <v>11.332179930795901</v>
      </c>
      <c r="Y393" s="747" t="s">
        <v>2203</v>
      </c>
      <c r="AA393" s="1631"/>
      <c r="AB393" s="747">
        <v>1.1500000000000001</v>
      </c>
      <c r="AC393" s="1627">
        <v>45779</v>
      </c>
      <c r="AD393" s="747">
        <v>1</v>
      </c>
      <c r="AG393" s="1628"/>
    </row>
    <row r="394" spans="1:33" x14ac:dyDescent="0.2">
      <c r="A394" s="747" t="s">
        <v>1868</v>
      </c>
      <c r="B394" s="747" t="s">
        <v>3449</v>
      </c>
      <c r="C394" s="747" t="s">
        <v>3450</v>
      </c>
      <c r="D394" s="747" t="s">
        <v>2120</v>
      </c>
      <c r="F394" s="747" t="s">
        <v>369</v>
      </c>
      <c r="G394" s="747" t="s">
        <v>822</v>
      </c>
      <c r="H394" s="1840" t="s">
        <v>3451</v>
      </c>
      <c r="J394" s="747" t="s">
        <v>3452</v>
      </c>
      <c r="L394" s="1630"/>
      <c r="M394" s="747">
        <v>300</v>
      </c>
      <c r="N394" s="747">
        <v>68.400000000000006</v>
      </c>
      <c r="O394" s="747">
        <v>75</v>
      </c>
      <c r="P394" s="747">
        <v>270</v>
      </c>
      <c r="Q394" s="1631">
        <v>46084.730081018519</v>
      </c>
      <c r="R394" s="747">
        <v>70.100000000000009</v>
      </c>
      <c r="T394" s="1628">
        <v>-2.7739251040221999</v>
      </c>
      <c r="U394" s="747">
        <v>-1.8207279999999999</v>
      </c>
      <c r="V394" s="747">
        <v>1.594203</v>
      </c>
      <c r="W394" s="747">
        <v>-5.7516339869281001</v>
      </c>
      <c r="Y394" s="747" t="s">
        <v>3041</v>
      </c>
      <c r="Z394" s="747">
        <v>1.2838800000000001</v>
      </c>
      <c r="AA394" s="1631"/>
      <c r="AB394" s="747">
        <v>0.9</v>
      </c>
      <c r="AC394" s="1627">
        <v>45743</v>
      </c>
      <c r="AD394" s="747">
        <v>1</v>
      </c>
      <c r="AG394" s="1628">
        <v>6.2322946175637335E-2</v>
      </c>
    </row>
    <row r="395" spans="1:33" x14ac:dyDescent="0.2">
      <c r="A395" s="747" t="s">
        <v>1888</v>
      </c>
      <c r="B395" s="747" t="s">
        <v>3495</v>
      </c>
      <c r="C395" s="747" t="s">
        <v>3496</v>
      </c>
      <c r="D395" s="747" t="s">
        <v>2120</v>
      </c>
      <c r="F395" s="747" t="s">
        <v>369</v>
      </c>
      <c r="G395" s="747" t="s">
        <v>888</v>
      </c>
      <c r="H395" s="1840" t="s">
        <v>3497</v>
      </c>
      <c r="J395" s="747" t="s">
        <v>2487</v>
      </c>
      <c r="L395" s="1630"/>
      <c r="M395" s="747">
        <v>3831</v>
      </c>
      <c r="N395" s="747">
        <v>102.80000000000001</v>
      </c>
      <c r="O395" s="747">
        <v>105</v>
      </c>
      <c r="P395" s="747">
        <v>290</v>
      </c>
      <c r="Q395" s="1631">
        <v>46084.730081018519</v>
      </c>
      <c r="R395" s="747">
        <v>104</v>
      </c>
      <c r="T395" s="1628">
        <v>-2.6217228464419602</v>
      </c>
      <c r="U395" s="747">
        <v>5.7985759999999997</v>
      </c>
      <c r="V395" s="747">
        <v>17.913831999999999</v>
      </c>
      <c r="W395" s="747">
        <v>15.210355987054999</v>
      </c>
      <c r="Y395" s="747" t="s">
        <v>2102</v>
      </c>
      <c r="Z395" s="747">
        <v>2.5961539999999999</v>
      </c>
      <c r="AA395" s="1631"/>
      <c r="AB395" s="747">
        <v>2.6</v>
      </c>
      <c r="AC395" s="1627">
        <v>45764</v>
      </c>
      <c r="AD395" s="747">
        <v>1</v>
      </c>
      <c r="AG395" s="1628">
        <v>1.4166130070830577E-2</v>
      </c>
    </row>
    <row r="396" spans="1:33" x14ac:dyDescent="0.2">
      <c r="A396" s="747" t="s">
        <v>1903</v>
      </c>
      <c r="B396" s="747" t="s">
        <v>3503</v>
      </c>
      <c r="C396" s="747" t="s">
        <v>3504</v>
      </c>
      <c r="D396" s="747" t="s">
        <v>2120</v>
      </c>
      <c r="F396" s="747" t="s">
        <v>369</v>
      </c>
      <c r="G396" s="747" t="s">
        <v>3505</v>
      </c>
      <c r="H396" s="1840" t="s">
        <v>3506</v>
      </c>
      <c r="J396" s="747" t="s">
        <v>3507</v>
      </c>
      <c r="L396" s="1630"/>
      <c r="M396" s="747">
        <v>1000</v>
      </c>
      <c r="N396" s="747">
        <v>126.02</v>
      </c>
      <c r="Q396" s="1631">
        <v>46084.735532407409</v>
      </c>
      <c r="R396" s="747">
        <v>126.4</v>
      </c>
      <c r="T396" s="1628">
        <v>-2.73930440135427</v>
      </c>
      <c r="U396" s="747">
        <v>8.1451060000000002</v>
      </c>
      <c r="V396" s="747">
        <v>18.329901</v>
      </c>
      <c r="W396" s="747">
        <v>18.5766423357665</v>
      </c>
      <c r="Y396" s="747" t="s">
        <v>2585</v>
      </c>
      <c r="Z396" s="747">
        <v>2.7689870000000001</v>
      </c>
      <c r="AA396" s="1631"/>
      <c r="AB396" s="747">
        <v>3.5</v>
      </c>
      <c r="AC396" s="1627">
        <v>45727</v>
      </c>
      <c r="AD396" s="747">
        <v>1</v>
      </c>
      <c r="AG396" s="1628"/>
    </row>
    <row r="397" spans="1:33" x14ac:dyDescent="0.2">
      <c r="A397" s="747" t="s">
        <v>1929</v>
      </c>
      <c r="B397" s="747" t="s">
        <v>3458</v>
      </c>
      <c r="C397" s="747" t="s">
        <v>3459</v>
      </c>
      <c r="D397" s="747" t="s">
        <v>2120</v>
      </c>
      <c r="F397" s="747" t="s">
        <v>381</v>
      </c>
      <c r="G397" s="747" t="s">
        <v>3460</v>
      </c>
      <c r="H397" s="1840" t="s">
        <v>3461</v>
      </c>
      <c r="J397" s="747" t="s">
        <v>404</v>
      </c>
      <c r="L397" s="1630"/>
      <c r="M397" s="747">
        <v>109</v>
      </c>
      <c r="N397" s="747">
        <v>165.48</v>
      </c>
      <c r="O397" s="747">
        <v>165.48</v>
      </c>
      <c r="P397" s="747">
        <v>109</v>
      </c>
      <c r="Q397" s="1631">
        <v>46084.729166666664</v>
      </c>
      <c r="R397" s="747">
        <v>165.04</v>
      </c>
      <c r="T397" s="1628">
        <v>-1.2800574231367501</v>
      </c>
      <c r="U397" s="747">
        <v>-0.92448072997960173</v>
      </c>
      <c r="V397" s="747">
        <v>-21.297091082498817</v>
      </c>
      <c r="W397" s="747">
        <v>-20.181427548340899</v>
      </c>
      <c r="Y397" s="747" t="s">
        <v>3322</v>
      </c>
      <c r="Z397" s="747">
        <v>1.4238972370334466</v>
      </c>
      <c r="AA397" s="1631"/>
      <c r="AB397" s="747">
        <v>2.35</v>
      </c>
      <c r="AC397" s="1627">
        <v>45791</v>
      </c>
      <c r="AD397" s="747">
        <v>1</v>
      </c>
      <c r="AG397" s="1628">
        <v>0</v>
      </c>
    </row>
    <row r="398" spans="1:33" x14ac:dyDescent="0.2">
      <c r="A398" s="747" t="s">
        <v>1916</v>
      </c>
      <c r="B398" s="747" t="s">
        <v>3498</v>
      </c>
      <c r="C398" s="747" t="s">
        <v>3499</v>
      </c>
      <c r="D398" s="747" t="s">
        <v>2120</v>
      </c>
      <c r="F398" s="747" t="s">
        <v>478</v>
      </c>
      <c r="G398" s="747" t="s">
        <v>3500</v>
      </c>
      <c r="H398" s="1840" t="s">
        <v>3501</v>
      </c>
      <c r="J398" s="747" t="s">
        <v>769</v>
      </c>
      <c r="L398" s="1630"/>
      <c r="Q398" s="1631">
        <v>46083.264293981483</v>
      </c>
      <c r="R398" s="747">
        <v>169.44</v>
      </c>
      <c r="T398" s="1628">
        <v>1.26098129444809</v>
      </c>
      <c r="U398" s="747">
        <v>12.975063341779</v>
      </c>
      <c r="V398" s="747">
        <v>23.5165476016913</v>
      </c>
      <c r="W398" s="747">
        <v>15.406620351450801</v>
      </c>
      <c r="Y398" s="747" t="s">
        <v>3502</v>
      </c>
      <c r="AA398" s="1631"/>
      <c r="AB398" s="747">
        <v>3.7131779999999996</v>
      </c>
      <c r="AC398" s="1627">
        <v>45721</v>
      </c>
      <c r="AD398" s="747">
        <v>1</v>
      </c>
      <c r="AG398" s="1628"/>
    </row>
    <row r="399" spans="1:33" x14ac:dyDescent="0.2">
      <c r="A399" s="747" t="s">
        <v>1925</v>
      </c>
      <c r="B399" s="747" t="s">
        <v>3462</v>
      </c>
      <c r="C399" s="747" t="s">
        <v>3463</v>
      </c>
      <c r="D399" s="747" t="s">
        <v>2120</v>
      </c>
      <c r="F399" s="747" t="s">
        <v>381</v>
      </c>
      <c r="G399" s="747" t="s">
        <v>417</v>
      </c>
      <c r="H399" s="1840" t="s">
        <v>3464</v>
      </c>
      <c r="J399" s="747" t="s">
        <v>3465</v>
      </c>
      <c r="L399" s="1630"/>
      <c r="Q399" s="1631">
        <v>46083.746527777781</v>
      </c>
      <c r="R399" s="747">
        <v>81.45</v>
      </c>
      <c r="T399" s="1628">
        <v>-0.91240875912409003</v>
      </c>
      <c r="U399" s="747">
        <v>1.24300807955252</v>
      </c>
      <c r="V399" s="747">
        <v>-2.5717703349282401</v>
      </c>
      <c r="W399" s="747">
        <v>-1.5352998065764001</v>
      </c>
      <c r="Y399" s="747" t="s">
        <v>2585</v>
      </c>
      <c r="AA399" s="1631"/>
      <c r="AB399" s="747">
        <v>3.92</v>
      </c>
      <c r="AC399" s="1627">
        <v>45789</v>
      </c>
      <c r="AD399" s="747">
        <v>1</v>
      </c>
      <c r="AG399" s="1628"/>
    </row>
    <row r="400" spans="1:33" x14ac:dyDescent="0.2">
      <c r="A400" s="747" t="s">
        <v>1957</v>
      </c>
      <c r="B400" s="747" t="s">
        <v>3475</v>
      </c>
      <c r="C400" s="747" t="s">
        <v>3476</v>
      </c>
      <c r="D400" s="747" t="s">
        <v>2120</v>
      </c>
      <c r="F400" s="747" t="s">
        <v>369</v>
      </c>
      <c r="G400" s="747" t="s">
        <v>3477</v>
      </c>
      <c r="H400" s="1840" t="s">
        <v>3478</v>
      </c>
      <c r="J400" s="747" t="s">
        <v>3479</v>
      </c>
      <c r="L400" s="1630"/>
      <c r="M400" s="747">
        <v>1</v>
      </c>
      <c r="N400" s="747">
        <v>401</v>
      </c>
      <c r="Q400" s="1631">
        <v>46084.730787037035</v>
      </c>
      <c r="R400" s="747">
        <v>407.40000000000003</v>
      </c>
      <c r="T400" s="1628">
        <v>-3.6879432624113502</v>
      </c>
      <c r="U400" s="747">
        <v>-6.4738289999999994</v>
      </c>
      <c r="V400" s="747">
        <v>-14.734197999999999</v>
      </c>
      <c r="W400" s="747">
        <v>-13.141683778234</v>
      </c>
      <c r="Y400" s="747" t="s">
        <v>2102</v>
      </c>
      <c r="Z400" s="747">
        <v>1.4727539999999999</v>
      </c>
      <c r="AA400" s="1631"/>
      <c r="AB400" s="747">
        <v>6</v>
      </c>
      <c r="AC400" s="1627">
        <v>45789</v>
      </c>
      <c r="AD400" s="747">
        <v>1</v>
      </c>
      <c r="AG400" s="1628"/>
    </row>
    <row r="401" spans="1:33" x14ac:dyDescent="0.2">
      <c r="A401" s="747" t="s">
        <v>1949</v>
      </c>
      <c r="B401" s="747" t="s">
        <v>3518</v>
      </c>
      <c r="C401" s="747" t="s">
        <v>3519</v>
      </c>
      <c r="D401" s="747" t="s">
        <v>2120</v>
      </c>
      <c r="F401" s="747" t="s">
        <v>369</v>
      </c>
      <c r="G401" s="747" t="s">
        <v>3520</v>
      </c>
      <c r="H401" s="1840" t="s">
        <v>3521</v>
      </c>
      <c r="J401" s="747" t="s">
        <v>3522</v>
      </c>
      <c r="L401" s="1630"/>
      <c r="O401" s="747">
        <v>129.9</v>
      </c>
      <c r="P401" s="747">
        <v>200</v>
      </c>
      <c r="Q401" s="1631">
        <v>46084.735578703701</v>
      </c>
      <c r="R401" s="747">
        <v>128.5</v>
      </c>
      <c r="T401" s="1628">
        <v>-4.1044776119403004</v>
      </c>
      <c r="U401" s="747">
        <v>3.712672</v>
      </c>
      <c r="V401" s="747">
        <v>0.155885</v>
      </c>
      <c r="W401" s="747">
        <v>0.86563793752353002</v>
      </c>
      <c r="Y401" s="747" t="s">
        <v>2168</v>
      </c>
      <c r="Z401" s="747">
        <v>4.6751129999999996</v>
      </c>
      <c r="AA401" s="1631"/>
      <c r="AB401" s="747">
        <v>6.0075200000000004</v>
      </c>
      <c r="AC401" s="1627">
        <v>45762</v>
      </c>
      <c r="AD401" s="747">
        <v>1</v>
      </c>
      <c r="AG401" s="162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A283B-15F1-411B-AD35-51753DA52431}">
  <sheetPr codeName="Ordini">
    <tabColor theme="7" tint="0.79998168889431442"/>
    <pageSetUpPr fitToPage="1"/>
  </sheetPr>
  <dimension ref="A1:Q21"/>
  <sheetViews>
    <sheetView topLeftCell="E1" workbookViewId="0">
      <selection activeCell="K17" sqref="K17"/>
    </sheetView>
  </sheetViews>
  <sheetFormatPr defaultColWidth="9.140625" defaultRowHeight="12" outlineLevelCol="1" x14ac:dyDescent="0.2"/>
  <cols>
    <col min="1" max="1" width="10.85546875" style="1640" hidden="1" customWidth="1" outlineLevel="1"/>
    <col min="2" max="2" width="16.42578125" style="1640" hidden="1" customWidth="1" outlineLevel="1"/>
    <col min="3" max="3" width="25.28515625" style="1640" hidden="1" customWidth="1" outlineLevel="1"/>
    <col min="4" max="4" width="31.85546875" style="1640" hidden="1" customWidth="1" outlineLevel="1"/>
    <col min="5" max="5" width="76" style="1640" customWidth="1" collapsed="1"/>
    <col min="6" max="6" width="14.28515625" style="1640" bestFit="1" customWidth="1"/>
    <col min="7" max="7" width="11.140625" style="1640" customWidth="1"/>
    <col min="8" max="8" width="20.85546875" style="1640" hidden="1" customWidth="1" outlineLevel="1"/>
    <col min="9" max="9" width="59.42578125" style="1640" hidden="1" customWidth="1" outlineLevel="1"/>
    <col min="10" max="10" width="20.85546875" style="1640" hidden="1" customWidth="1" outlineLevel="1"/>
    <col min="11" max="11" width="9.5703125" style="1640" customWidth="1" collapsed="1"/>
    <col min="12" max="12" width="8.7109375" style="1640" hidden="1" customWidth="1" outlineLevel="1"/>
    <col min="13" max="13" width="7.140625" style="1640" customWidth="1" collapsed="1"/>
    <col min="14" max="14" width="15.28515625" style="1640" customWidth="1"/>
    <col min="15" max="15" width="9.85546875" style="1640" customWidth="1"/>
    <col min="16" max="16" width="18.7109375" style="1640" hidden="1" customWidth="1" outlineLevel="1"/>
    <col min="17" max="17" width="11.5703125" style="1640" customWidth="1" collapsed="1"/>
    <col min="18" max="16384" width="9.140625" style="1640"/>
  </cols>
  <sheetData>
    <row r="1" spans="1:17" s="1634" customFormat="1" ht="24" x14ac:dyDescent="0.2">
      <c r="A1" s="1633" t="s">
        <v>3528</v>
      </c>
      <c r="B1" s="1633" t="s">
        <v>3529</v>
      </c>
      <c r="C1" s="1633" t="s">
        <v>3530</v>
      </c>
      <c r="D1" s="1633" t="s">
        <v>344</v>
      </c>
      <c r="E1" s="1634" t="s">
        <v>3531</v>
      </c>
      <c r="F1" s="1634" t="s">
        <v>679</v>
      </c>
      <c r="G1" s="1634" t="s">
        <v>3532</v>
      </c>
      <c r="H1" s="1633" t="s">
        <v>3533</v>
      </c>
      <c r="I1" s="1633" t="s">
        <v>3534</v>
      </c>
      <c r="J1" s="1633" t="s">
        <v>3535</v>
      </c>
      <c r="K1" s="1634" t="s">
        <v>3536</v>
      </c>
      <c r="L1" s="1633" t="s">
        <v>3537</v>
      </c>
      <c r="M1" s="1634" t="s">
        <v>351</v>
      </c>
      <c r="N1" s="1634" t="s">
        <v>3538</v>
      </c>
      <c r="O1" s="1634" t="s">
        <v>3539</v>
      </c>
      <c r="P1" s="1633" t="s">
        <v>3540</v>
      </c>
      <c r="Q1" s="1634" t="s">
        <v>3541</v>
      </c>
    </row>
    <row r="2" spans="1:17" x14ac:dyDescent="0.2">
      <c r="A2" s="1635" t="s">
        <v>3542</v>
      </c>
      <c r="B2" s="1635">
        <v>288838897</v>
      </c>
      <c r="C2" s="1635">
        <v>288839010</v>
      </c>
      <c r="D2" s="1635" t="s">
        <v>3543</v>
      </c>
      <c r="E2" s="1635" t="s">
        <v>3544</v>
      </c>
      <c r="F2" s="1635" t="s">
        <v>3160</v>
      </c>
      <c r="G2" s="1635" t="s">
        <v>3545</v>
      </c>
      <c r="H2" s="1635" t="s">
        <v>3546</v>
      </c>
      <c r="I2" s="1635" t="s">
        <v>3547</v>
      </c>
      <c r="J2" s="1636">
        <v>530</v>
      </c>
      <c r="K2" s="1636">
        <v>530</v>
      </c>
      <c r="L2" s="1637"/>
      <c r="M2" s="1635"/>
      <c r="N2" s="1638">
        <v>97.545000000000002</v>
      </c>
      <c r="O2" s="1635" t="s">
        <v>605</v>
      </c>
      <c r="P2" s="1639">
        <v>44609</v>
      </c>
      <c r="Q2" s="1639">
        <v>44609</v>
      </c>
    </row>
    <row r="3" spans="1:17" x14ac:dyDescent="0.2">
      <c r="A3" s="1635" t="s">
        <v>3542</v>
      </c>
      <c r="B3" s="1635">
        <v>288837930</v>
      </c>
      <c r="C3" s="1635">
        <v>288838172</v>
      </c>
      <c r="D3" s="1635" t="s">
        <v>3543</v>
      </c>
      <c r="E3" s="1635" t="s">
        <v>3548</v>
      </c>
      <c r="F3" s="1635" t="s">
        <v>2527</v>
      </c>
      <c r="G3" s="1635" t="s">
        <v>3549</v>
      </c>
      <c r="H3" s="1635" t="s">
        <v>3550</v>
      </c>
      <c r="I3" s="1635" t="s">
        <v>3551</v>
      </c>
      <c r="J3" s="1636">
        <v>50</v>
      </c>
      <c r="K3" s="1636">
        <v>50</v>
      </c>
      <c r="L3" s="1637">
        <v>106.55</v>
      </c>
      <c r="M3" s="1635" t="s">
        <v>381</v>
      </c>
      <c r="N3" s="1641">
        <v>106.56</v>
      </c>
      <c r="O3" s="1635" t="s">
        <v>381</v>
      </c>
      <c r="P3" s="1639">
        <v>44609</v>
      </c>
      <c r="Q3" s="1639">
        <v>44609</v>
      </c>
    </row>
    <row r="4" spans="1:17" x14ac:dyDescent="0.2">
      <c r="A4" s="1635" t="s">
        <v>3542</v>
      </c>
      <c r="B4" s="1635">
        <v>290267177</v>
      </c>
      <c r="C4" s="1635">
        <v>290267182</v>
      </c>
      <c r="D4" s="1635" t="s">
        <v>3543</v>
      </c>
      <c r="E4" s="1635" t="s">
        <v>3552</v>
      </c>
      <c r="F4" s="1635" t="s">
        <v>2879</v>
      </c>
      <c r="G4" s="1635" t="s">
        <v>3549</v>
      </c>
      <c r="H4" s="1635" t="s">
        <v>3550</v>
      </c>
      <c r="I4" s="1635" t="s">
        <v>3553</v>
      </c>
      <c r="J4" s="1636">
        <v>100</v>
      </c>
      <c r="K4" s="1636">
        <v>100</v>
      </c>
      <c r="L4" s="1642">
        <v>81.099999999999994</v>
      </c>
      <c r="M4" s="1635" t="s">
        <v>369</v>
      </c>
      <c r="N4" s="1637">
        <v>81.099999999999994</v>
      </c>
      <c r="O4" s="1635" t="s">
        <v>369</v>
      </c>
      <c r="P4" s="1639">
        <v>44620</v>
      </c>
      <c r="Q4" s="1639">
        <v>44620</v>
      </c>
    </row>
    <row r="5" spans="1:17" x14ac:dyDescent="0.2">
      <c r="A5" s="1635" t="s">
        <v>3542</v>
      </c>
      <c r="B5" s="1635">
        <v>290290705</v>
      </c>
      <c r="C5" s="1635">
        <v>290290950</v>
      </c>
      <c r="D5" s="1635" t="s">
        <v>3543</v>
      </c>
      <c r="E5" s="1635" t="s">
        <v>3554</v>
      </c>
      <c r="F5" s="1635" t="s">
        <v>2441</v>
      </c>
      <c r="G5" s="1635" t="s">
        <v>3545</v>
      </c>
      <c r="H5" s="1635" t="s">
        <v>3550</v>
      </c>
      <c r="I5" s="1635" t="s">
        <v>3555</v>
      </c>
      <c r="J5" s="1636">
        <v>1400</v>
      </c>
      <c r="K5" s="1636">
        <v>1400</v>
      </c>
      <c r="L5" s="1637">
        <v>5.89</v>
      </c>
      <c r="M5" s="1635" t="s">
        <v>366</v>
      </c>
      <c r="N5" s="1642">
        <v>5.8815540000000004</v>
      </c>
      <c r="O5" s="1635" t="s">
        <v>366</v>
      </c>
      <c r="P5" s="1639">
        <v>44624</v>
      </c>
      <c r="Q5" s="1639">
        <v>44620</v>
      </c>
    </row>
    <row r="6" spans="1:17" x14ac:dyDescent="0.2">
      <c r="A6" s="1635" t="s">
        <v>3542</v>
      </c>
      <c r="B6" s="1635">
        <v>290460643</v>
      </c>
      <c r="C6" s="1635">
        <v>290460653</v>
      </c>
      <c r="D6" s="1635" t="s">
        <v>3543</v>
      </c>
      <c r="E6" s="1635" t="s">
        <v>3556</v>
      </c>
      <c r="F6" s="1635" t="s">
        <v>3267</v>
      </c>
      <c r="G6" s="1635" t="s">
        <v>3545</v>
      </c>
      <c r="H6" s="1635" t="s">
        <v>3546</v>
      </c>
      <c r="I6" s="1635" t="s">
        <v>3557</v>
      </c>
      <c r="J6" s="1636">
        <v>420</v>
      </c>
      <c r="K6" s="1636">
        <v>420</v>
      </c>
      <c r="L6" s="1637"/>
      <c r="M6" s="1635"/>
      <c r="N6" s="1641">
        <v>14.300573</v>
      </c>
      <c r="O6" s="1635" t="s">
        <v>381</v>
      </c>
      <c r="P6" s="1639">
        <v>44621</v>
      </c>
      <c r="Q6" s="1639">
        <v>44621</v>
      </c>
    </row>
    <row r="7" spans="1:17" x14ac:dyDescent="0.2">
      <c r="A7" s="1635" t="s">
        <v>3542</v>
      </c>
      <c r="B7" s="1635">
        <v>290459938</v>
      </c>
      <c r="C7" s="1635">
        <v>290459944</v>
      </c>
      <c r="D7" s="1635" t="s">
        <v>3543</v>
      </c>
      <c r="E7" s="1635" t="s">
        <v>3558</v>
      </c>
      <c r="F7" s="1635" t="s">
        <v>3559</v>
      </c>
      <c r="G7" s="1635" t="s">
        <v>3549</v>
      </c>
      <c r="H7" s="1635" t="s">
        <v>3546</v>
      </c>
      <c r="I7" s="1635" t="s">
        <v>3551</v>
      </c>
      <c r="J7" s="1636">
        <v>150</v>
      </c>
      <c r="K7" s="1636">
        <v>150</v>
      </c>
      <c r="L7" s="1637"/>
      <c r="M7" s="1635"/>
      <c r="N7" s="1638">
        <v>44.721457999999998</v>
      </c>
      <c r="O7" s="1635" t="s">
        <v>381</v>
      </c>
      <c r="P7" s="1639">
        <v>44621</v>
      </c>
      <c r="Q7" s="1639">
        <v>44621</v>
      </c>
    </row>
    <row r="8" spans="1:17" x14ac:dyDescent="0.2">
      <c r="A8" s="1635" t="s">
        <v>3542</v>
      </c>
      <c r="B8" s="1635">
        <v>290709498</v>
      </c>
      <c r="C8" s="1635">
        <v>290709507</v>
      </c>
      <c r="D8" s="1635" t="s">
        <v>3543</v>
      </c>
      <c r="E8" s="1635" t="s">
        <v>3560</v>
      </c>
      <c r="F8" s="1635" t="s">
        <v>3303</v>
      </c>
      <c r="G8" s="1635" t="s">
        <v>3549</v>
      </c>
      <c r="H8" s="1635" t="s">
        <v>3546</v>
      </c>
      <c r="I8" s="1635" t="s">
        <v>3553</v>
      </c>
      <c r="J8" s="1636">
        <v>85</v>
      </c>
      <c r="K8" s="1636">
        <v>85</v>
      </c>
      <c r="L8" s="1637"/>
      <c r="M8" s="1635"/>
      <c r="N8" s="1641">
        <v>119.12</v>
      </c>
      <c r="O8" s="1635" t="s">
        <v>369</v>
      </c>
      <c r="P8" s="1639">
        <v>44623</v>
      </c>
      <c r="Q8" s="1639">
        <v>44623</v>
      </c>
    </row>
    <row r="9" spans="1:17" x14ac:dyDescent="0.2">
      <c r="A9" s="1635" t="s">
        <v>3542</v>
      </c>
      <c r="B9" s="1635">
        <v>292479818</v>
      </c>
      <c r="C9" s="1635">
        <v>292479967</v>
      </c>
      <c r="D9" s="1635" t="s">
        <v>3543</v>
      </c>
      <c r="E9" s="1635" t="s">
        <v>3561</v>
      </c>
      <c r="F9" s="1635" t="s">
        <v>3328</v>
      </c>
      <c r="G9" s="1635" t="s">
        <v>3545</v>
      </c>
      <c r="H9" s="1635" t="s">
        <v>3550</v>
      </c>
      <c r="I9" s="1635" t="s">
        <v>3562</v>
      </c>
      <c r="J9" s="1636">
        <v>875</v>
      </c>
      <c r="K9" s="1636">
        <v>875</v>
      </c>
      <c r="L9" s="1637">
        <v>7.25</v>
      </c>
      <c r="M9" s="1635" t="s">
        <v>366</v>
      </c>
      <c r="N9" s="1643">
        <v>7.1896300000000002</v>
      </c>
      <c r="O9" s="1635" t="s">
        <v>366</v>
      </c>
      <c r="P9" s="1639">
        <v>44637</v>
      </c>
      <c r="Q9" s="1639">
        <v>44637</v>
      </c>
    </row>
    <row r="10" spans="1:17" x14ac:dyDescent="0.2">
      <c r="A10" s="1635" t="s">
        <v>3542</v>
      </c>
      <c r="B10" s="1635">
        <v>292867086</v>
      </c>
      <c r="C10" s="1635">
        <v>292867338</v>
      </c>
      <c r="D10" s="1635" t="s">
        <v>3543</v>
      </c>
      <c r="E10" s="1635" t="s">
        <v>3563</v>
      </c>
      <c r="F10" s="1635" t="s">
        <v>3227</v>
      </c>
      <c r="G10" s="1635" t="s">
        <v>3545</v>
      </c>
      <c r="H10" s="1635" t="s">
        <v>3550</v>
      </c>
      <c r="I10" s="1635" t="s">
        <v>3562</v>
      </c>
      <c r="J10" s="1636">
        <v>400</v>
      </c>
      <c r="K10" s="1636">
        <v>400</v>
      </c>
      <c r="L10" s="1637">
        <v>19.95</v>
      </c>
      <c r="M10" s="1635" t="s">
        <v>366</v>
      </c>
      <c r="N10" s="1638">
        <v>19.942672999999999</v>
      </c>
      <c r="O10" s="1635" t="s">
        <v>366</v>
      </c>
      <c r="P10" s="1639">
        <v>44642</v>
      </c>
      <c r="Q10" s="1639">
        <v>44642</v>
      </c>
    </row>
    <row r="11" spans="1:17" x14ac:dyDescent="0.2">
      <c r="A11" s="1635" t="s">
        <v>3542</v>
      </c>
      <c r="B11" s="1635">
        <v>294515656</v>
      </c>
      <c r="C11" s="1635">
        <v>294516154</v>
      </c>
      <c r="D11" s="1635" t="s">
        <v>3543</v>
      </c>
      <c r="E11" s="1635" t="s">
        <v>3564</v>
      </c>
      <c r="F11" s="1635" t="s">
        <v>3405</v>
      </c>
      <c r="G11" s="1635" t="s">
        <v>3545</v>
      </c>
      <c r="H11" s="1635" t="s">
        <v>3550</v>
      </c>
      <c r="I11" s="1635" t="s">
        <v>3562</v>
      </c>
      <c r="J11" s="1636">
        <v>1685</v>
      </c>
      <c r="K11" s="1636">
        <v>1685</v>
      </c>
      <c r="L11" s="1637">
        <v>5</v>
      </c>
      <c r="M11" s="1635" t="s">
        <v>366</v>
      </c>
      <c r="N11" s="1643">
        <v>5</v>
      </c>
      <c r="O11" s="1635" t="s">
        <v>366</v>
      </c>
      <c r="P11" s="1639">
        <v>44651</v>
      </c>
      <c r="Q11" s="1639">
        <v>44650</v>
      </c>
    </row>
    <row r="12" spans="1:17" x14ac:dyDescent="0.2">
      <c r="A12" s="1635" t="s">
        <v>3542</v>
      </c>
      <c r="B12" s="1635">
        <v>315694924</v>
      </c>
      <c r="C12" s="1635">
        <v>315694937</v>
      </c>
      <c r="D12" s="1635" t="s">
        <v>3543</v>
      </c>
      <c r="E12" s="1635" t="s">
        <v>3565</v>
      </c>
      <c r="F12" s="1635" t="s">
        <v>3566</v>
      </c>
      <c r="G12" s="1635" t="s">
        <v>3549</v>
      </c>
      <c r="H12" s="1635" t="s">
        <v>3546</v>
      </c>
      <c r="I12" s="1635" t="s">
        <v>3553</v>
      </c>
      <c r="J12" s="1636">
        <v>40</v>
      </c>
      <c r="K12" s="1636">
        <v>40</v>
      </c>
      <c r="L12" s="1637"/>
      <c r="M12" s="1635"/>
      <c r="N12" s="1642">
        <v>101.554118</v>
      </c>
      <c r="O12" s="1635" t="s">
        <v>369</v>
      </c>
      <c r="P12" s="1639">
        <v>44796</v>
      </c>
      <c r="Q12" s="1639">
        <v>44796</v>
      </c>
    </row>
    <row r="13" spans="1:17" x14ac:dyDescent="0.2">
      <c r="A13" s="1635" t="s">
        <v>3542</v>
      </c>
      <c r="B13" s="1635">
        <v>315689973</v>
      </c>
      <c r="C13" s="1635">
        <v>315689987</v>
      </c>
      <c r="D13" s="1635" t="s">
        <v>3543</v>
      </c>
      <c r="E13" s="1635" t="s">
        <v>3567</v>
      </c>
      <c r="F13" s="1635" t="s">
        <v>3568</v>
      </c>
      <c r="G13" s="1635" t="s">
        <v>3549</v>
      </c>
      <c r="H13" s="1635" t="s">
        <v>3550</v>
      </c>
      <c r="I13" s="1635" t="s">
        <v>3569</v>
      </c>
      <c r="J13" s="1636">
        <v>70</v>
      </c>
      <c r="K13" s="1636">
        <v>70</v>
      </c>
      <c r="L13" s="1637">
        <v>73.900000000000006</v>
      </c>
      <c r="M13" s="1635" t="s">
        <v>381</v>
      </c>
      <c r="N13" s="1638">
        <v>73.900000000000006</v>
      </c>
      <c r="O13" s="1635" t="s">
        <v>381</v>
      </c>
      <c r="P13" s="1639">
        <v>44804</v>
      </c>
      <c r="Q13" s="1639">
        <v>44796</v>
      </c>
    </row>
    <row r="14" spans="1:17" x14ac:dyDescent="0.2">
      <c r="A14" s="1635" t="s">
        <v>3542</v>
      </c>
      <c r="B14" s="1635">
        <v>346232617</v>
      </c>
      <c r="C14" s="1635">
        <v>346232627</v>
      </c>
      <c r="D14" s="1635" t="s">
        <v>3543</v>
      </c>
      <c r="E14" s="1635" t="s">
        <v>3570</v>
      </c>
      <c r="F14" s="1635" t="s">
        <v>3571</v>
      </c>
      <c r="G14" s="1635" t="s">
        <v>3545</v>
      </c>
      <c r="H14" s="1635" t="s">
        <v>3550</v>
      </c>
      <c r="I14" s="1635" t="s">
        <v>3553</v>
      </c>
      <c r="J14" s="1636">
        <v>10000</v>
      </c>
      <c r="K14" s="1636">
        <v>10000</v>
      </c>
      <c r="L14" s="1637">
        <v>98.1</v>
      </c>
      <c r="M14" s="1635" t="s">
        <v>652</v>
      </c>
      <c r="N14" s="1641">
        <v>98.1</v>
      </c>
      <c r="O14" s="1635" t="s">
        <v>652</v>
      </c>
      <c r="P14" s="1639">
        <v>44988</v>
      </c>
      <c r="Q14" s="1639">
        <v>44984</v>
      </c>
    </row>
    <row r="15" spans="1:17" x14ac:dyDescent="0.2">
      <c r="A15" s="1635" t="s">
        <v>3542</v>
      </c>
      <c r="B15" s="1635">
        <v>346386852</v>
      </c>
      <c r="C15" s="1635">
        <v>346387175</v>
      </c>
      <c r="D15" s="1635" t="s">
        <v>3543</v>
      </c>
      <c r="E15" s="1635" t="s">
        <v>3572</v>
      </c>
      <c r="F15" s="1635" t="s">
        <v>3573</v>
      </c>
      <c r="G15" s="1635" t="s">
        <v>3545</v>
      </c>
      <c r="H15" s="1635" t="s">
        <v>3550</v>
      </c>
      <c r="I15" s="1635" t="s">
        <v>3553</v>
      </c>
      <c r="J15" s="1636">
        <v>10000</v>
      </c>
      <c r="K15" s="1636">
        <v>10000</v>
      </c>
      <c r="L15" s="1637">
        <v>97.25</v>
      </c>
      <c r="M15" s="1635" t="s">
        <v>652</v>
      </c>
      <c r="N15" s="1638">
        <v>97.25</v>
      </c>
      <c r="O15" s="1635" t="s">
        <v>652</v>
      </c>
      <c r="P15" s="1639">
        <v>44988</v>
      </c>
      <c r="Q15" s="1639">
        <v>44985</v>
      </c>
    </row>
    <row r="16" spans="1:17" x14ac:dyDescent="0.2">
      <c r="A16" s="1635" t="s">
        <v>3542</v>
      </c>
      <c r="B16" s="1635">
        <v>346236632</v>
      </c>
      <c r="C16" s="1635">
        <v>346236707</v>
      </c>
      <c r="D16" s="1635" t="s">
        <v>3543</v>
      </c>
      <c r="E16" s="1635" t="s">
        <v>3574</v>
      </c>
      <c r="F16" s="1635" t="s">
        <v>2250</v>
      </c>
      <c r="G16" s="1635" t="s">
        <v>3545</v>
      </c>
      <c r="H16" s="1635" t="s">
        <v>3550</v>
      </c>
      <c r="I16" s="1635" t="s">
        <v>3553</v>
      </c>
      <c r="J16" s="1636">
        <v>10000</v>
      </c>
      <c r="K16" s="1636">
        <v>10000</v>
      </c>
      <c r="L16" s="1637">
        <v>94.51</v>
      </c>
      <c r="M16" s="1635" t="s">
        <v>652</v>
      </c>
      <c r="N16" s="1637">
        <v>94.5</v>
      </c>
      <c r="O16" s="1635" t="s">
        <v>652</v>
      </c>
      <c r="P16" s="1639">
        <v>44988</v>
      </c>
      <c r="Q16" s="1639">
        <v>44985</v>
      </c>
    </row>
    <row r="17" spans="1:17" x14ac:dyDescent="0.2">
      <c r="A17" s="1635" t="s">
        <v>3542</v>
      </c>
      <c r="B17" s="1635">
        <v>346566857</v>
      </c>
      <c r="C17" s="1635">
        <v>346566873</v>
      </c>
      <c r="D17" s="1635" t="s">
        <v>3543</v>
      </c>
      <c r="E17" s="1635" t="s">
        <v>3575</v>
      </c>
      <c r="F17" s="1635" t="s">
        <v>3576</v>
      </c>
      <c r="G17" s="1635" t="s">
        <v>3549</v>
      </c>
      <c r="H17" s="1635" t="s">
        <v>3546</v>
      </c>
      <c r="I17" s="1635" t="s">
        <v>3577</v>
      </c>
      <c r="J17" s="1636">
        <v>230</v>
      </c>
      <c r="K17" s="1636">
        <v>230</v>
      </c>
      <c r="L17" s="1637"/>
      <c r="M17" s="1635"/>
      <c r="N17" s="1638">
        <v>99.81</v>
      </c>
      <c r="O17" s="1635" t="s">
        <v>369</v>
      </c>
      <c r="P17" s="1639">
        <v>44988</v>
      </c>
      <c r="Q17" s="1639">
        <v>44986</v>
      </c>
    </row>
    <row r="18" spans="1:17" x14ac:dyDescent="0.2">
      <c r="A18" s="1635" t="s">
        <v>3542</v>
      </c>
      <c r="B18" s="1635">
        <v>346393707</v>
      </c>
      <c r="C18" s="1635">
        <v>346393807</v>
      </c>
      <c r="D18" s="1635" t="s">
        <v>3543</v>
      </c>
      <c r="E18" s="1635" t="s">
        <v>3578</v>
      </c>
      <c r="F18" s="1635" t="s">
        <v>2430</v>
      </c>
      <c r="G18" s="1635" t="s">
        <v>3545</v>
      </c>
      <c r="H18" s="1635" t="s">
        <v>3550</v>
      </c>
      <c r="I18" s="1635" t="s">
        <v>3553</v>
      </c>
      <c r="J18" s="1636">
        <v>10000</v>
      </c>
      <c r="K18" s="1636">
        <v>10000</v>
      </c>
      <c r="L18" s="1637">
        <v>94.85</v>
      </c>
      <c r="M18" s="1635" t="s">
        <v>652</v>
      </c>
      <c r="N18" s="1641">
        <v>94.85</v>
      </c>
      <c r="O18" s="1635" t="s">
        <v>652</v>
      </c>
      <c r="P18" s="1639">
        <v>44995</v>
      </c>
      <c r="Q18" s="1639">
        <v>44986</v>
      </c>
    </row>
    <row r="19" spans="1:17" x14ac:dyDescent="0.2">
      <c r="A19" s="1635" t="s">
        <v>3542</v>
      </c>
      <c r="B19" s="1635">
        <v>346393201</v>
      </c>
      <c r="C19" s="1635">
        <v>346393288</v>
      </c>
      <c r="D19" s="1635" t="s">
        <v>3543</v>
      </c>
      <c r="E19" s="1635" t="s">
        <v>3579</v>
      </c>
      <c r="F19" s="1635" t="s">
        <v>2244</v>
      </c>
      <c r="G19" s="1635" t="s">
        <v>3545</v>
      </c>
      <c r="H19" s="1635" t="s">
        <v>3550</v>
      </c>
      <c r="I19" s="1635" t="s">
        <v>3553</v>
      </c>
      <c r="J19" s="1636">
        <v>10000</v>
      </c>
      <c r="K19" s="1636">
        <v>10000</v>
      </c>
      <c r="L19" s="1638">
        <v>94.6</v>
      </c>
      <c r="M19" s="1635" t="s">
        <v>652</v>
      </c>
      <c r="N19" s="1644">
        <v>94.6</v>
      </c>
      <c r="O19" s="1635" t="s">
        <v>652</v>
      </c>
      <c r="P19" s="1639">
        <v>44995</v>
      </c>
      <c r="Q19" s="1639">
        <v>44991</v>
      </c>
    </row>
    <row r="20" spans="1:17" x14ac:dyDescent="0.2">
      <c r="A20" s="1635" t="s">
        <v>3542</v>
      </c>
      <c r="B20" s="1635">
        <v>346647473</v>
      </c>
      <c r="C20" s="1635">
        <v>346647568</v>
      </c>
      <c r="D20" s="1635" t="s">
        <v>3543</v>
      </c>
      <c r="E20" s="1635" t="s">
        <v>3580</v>
      </c>
      <c r="F20" s="1635" t="s">
        <v>2282</v>
      </c>
      <c r="G20" s="1635" t="s">
        <v>3545</v>
      </c>
      <c r="H20" s="1635" t="s">
        <v>3550</v>
      </c>
      <c r="I20" s="1635" t="s">
        <v>3553</v>
      </c>
      <c r="J20" s="1636">
        <v>15000</v>
      </c>
      <c r="K20" s="1636">
        <v>15000</v>
      </c>
      <c r="L20" s="1638">
        <v>94.55</v>
      </c>
      <c r="M20" s="1635" t="s">
        <v>652</v>
      </c>
      <c r="N20" s="1637">
        <v>94.5</v>
      </c>
      <c r="O20" s="1635" t="s">
        <v>652</v>
      </c>
      <c r="P20" s="1639">
        <v>44995</v>
      </c>
      <c r="Q20" s="1639">
        <v>44992</v>
      </c>
    </row>
    <row r="21" spans="1:17" x14ac:dyDescent="0.2">
      <c r="A21" s="1635" t="s">
        <v>3542</v>
      </c>
      <c r="B21" s="1635">
        <v>356084499</v>
      </c>
      <c r="C21" s="1635">
        <v>356084700</v>
      </c>
      <c r="D21" s="1635" t="s">
        <v>3543</v>
      </c>
      <c r="E21" s="1635" t="s">
        <v>3544</v>
      </c>
      <c r="F21" s="1635" t="s">
        <v>3160</v>
      </c>
      <c r="G21" s="1635" t="s">
        <v>3549</v>
      </c>
      <c r="H21" s="1635" t="s">
        <v>3546</v>
      </c>
      <c r="I21" s="1635" t="s">
        <v>3547</v>
      </c>
      <c r="J21" s="1636">
        <v>530</v>
      </c>
      <c r="K21" s="1636">
        <v>530</v>
      </c>
      <c r="L21" s="1642"/>
      <c r="M21" s="1635"/>
      <c r="N21" s="1638">
        <v>54.843319000000001</v>
      </c>
      <c r="O21" s="1635" t="s">
        <v>605</v>
      </c>
      <c r="P21" s="1639">
        <v>45041</v>
      </c>
      <c r="Q21" s="1639">
        <v>45041</v>
      </c>
    </row>
  </sheetData>
  <pageMargins left="0.7" right="0.7" top="0.75" bottom="0.75" header="0.3" footer="0.3"/>
  <pageSetup paperSize="9" scale="94"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59E0-F248-4E64-A28D-7B2840058725}">
  <sheetPr codeName="Foglio11">
    <tabColor theme="7" tint="0.79998168889431442"/>
  </sheetPr>
  <dimension ref="A1:A247"/>
  <sheetViews>
    <sheetView workbookViewId="0">
      <selection sqref="A1:A329"/>
    </sheetView>
  </sheetViews>
  <sheetFormatPr defaultRowHeight="12" x14ac:dyDescent="0.2"/>
  <cols>
    <col min="1" max="1" width="21.28515625" style="747" bestFit="1" customWidth="1"/>
    <col min="2" max="16384" width="9.140625" style="747"/>
  </cols>
  <sheetData>
    <row r="1" spans="1:1" x14ac:dyDescent="0.2">
      <c r="A1" s="747" t="s">
        <v>678</v>
      </c>
    </row>
    <row r="2" spans="1:1" x14ac:dyDescent="0.2">
      <c r="A2" s="747" t="s">
        <v>719</v>
      </c>
    </row>
    <row r="3" spans="1:1" x14ac:dyDescent="0.2">
      <c r="A3" s="747" t="s">
        <v>720</v>
      </c>
    </row>
    <row r="4" spans="1:1" x14ac:dyDescent="0.2">
      <c r="A4" s="747" t="s">
        <v>721</v>
      </c>
    </row>
    <row r="5" spans="1:1" x14ac:dyDescent="0.2">
      <c r="A5" s="747" t="s">
        <v>722</v>
      </c>
    </row>
    <row r="6" spans="1:1" x14ac:dyDescent="0.2">
      <c r="A6" s="747" t="s">
        <v>724</v>
      </c>
    </row>
    <row r="7" spans="1:1" x14ac:dyDescent="0.2">
      <c r="A7" s="747" t="s">
        <v>1670</v>
      </c>
    </row>
    <row r="8" spans="1:1" x14ac:dyDescent="0.2">
      <c r="A8" s="747" t="s">
        <v>1754</v>
      </c>
    </row>
    <row r="9" spans="1:1" x14ac:dyDescent="0.2">
      <c r="A9" s="747" t="s">
        <v>3581</v>
      </c>
    </row>
    <row r="10" spans="1:1" x14ac:dyDescent="0.2">
      <c r="A10" s="747" t="s">
        <v>1761</v>
      </c>
    </row>
    <row r="11" spans="1:1" x14ac:dyDescent="0.2">
      <c r="A11" s="747" t="s">
        <v>977</v>
      </c>
    </row>
    <row r="12" spans="1:1" x14ac:dyDescent="0.2">
      <c r="A12" s="747" t="s">
        <v>978</v>
      </c>
    </row>
    <row r="13" spans="1:1" x14ac:dyDescent="0.2">
      <c r="A13" s="747" t="s">
        <v>979</v>
      </c>
    </row>
    <row r="14" spans="1:1" x14ac:dyDescent="0.2">
      <c r="A14" s="747" t="s">
        <v>980</v>
      </c>
    </row>
    <row r="15" spans="1:1" x14ac:dyDescent="0.2">
      <c r="A15" s="747" t="s">
        <v>985</v>
      </c>
    </row>
    <row r="16" spans="1:1" x14ac:dyDescent="0.2">
      <c r="A16" s="747" t="s">
        <v>987</v>
      </c>
    </row>
    <row r="17" spans="1:1" x14ac:dyDescent="0.2">
      <c r="A17" s="747" t="s">
        <v>988</v>
      </c>
    </row>
    <row r="18" spans="1:1" x14ac:dyDescent="0.2">
      <c r="A18" s="747" t="s">
        <v>994</v>
      </c>
    </row>
    <row r="19" spans="1:1" x14ac:dyDescent="0.2">
      <c r="A19" s="747" t="s">
        <v>995</v>
      </c>
    </row>
    <row r="20" spans="1:1" x14ac:dyDescent="0.2">
      <c r="A20" s="747" t="s">
        <v>998</v>
      </c>
    </row>
    <row r="21" spans="1:1" x14ac:dyDescent="0.2">
      <c r="A21" s="747" t="s">
        <v>1001</v>
      </c>
    </row>
    <row r="22" spans="1:1" x14ac:dyDescent="0.2">
      <c r="A22" s="747" t="s">
        <v>1002</v>
      </c>
    </row>
    <row r="23" spans="1:1" x14ac:dyDescent="0.2">
      <c r="A23" s="747" t="s">
        <v>1005</v>
      </c>
    </row>
    <row r="24" spans="1:1" x14ac:dyDescent="0.2">
      <c r="A24" s="747" t="s">
        <v>1006</v>
      </c>
    </row>
    <row r="25" spans="1:1" x14ac:dyDescent="0.2">
      <c r="A25" s="747" t="s">
        <v>1007</v>
      </c>
    </row>
    <row r="26" spans="1:1" x14ac:dyDescent="0.2">
      <c r="A26" s="747" t="s">
        <v>1008</v>
      </c>
    </row>
    <row r="27" spans="1:1" x14ac:dyDescent="0.2">
      <c r="A27" s="747" t="s">
        <v>1009</v>
      </c>
    </row>
    <row r="28" spans="1:1" x14ac:dyDescent="0.2">
      <c r="A28" s="747" t="s">
        <v>1013</v>
      </c>
    </row>
    <row r="29" spans="1:1" x14ac:dyDescent="0.2">
      <c r="A29" s="747" t="s">
        <v>1014</v>
      </c>
    </row>
    <row r="30" spans="1:1" x14ac:dyDescent="0.2">
      <c r="A30" s="747" t="s">
        <v>1015</v>
      </c>
    </row>
    <row r="31" spans="1:1" x14ac:dyDescent="0.2">
      <c r="A31" s="747" t="s">
        <v>1017</v>
      </c>
    </row>
    <row r="32" spans="1:1" x14ac:dyDescent="0.2">
      <c r="A32" s="747" t="s">
        <v>1021</v>
      </c>
    </row>
    <row r="33" spans="1:1" x14ac:dyDescent="0.2">
      <c r="A33" s="747" t="s">
        <v>1024</v>
      </c>
    </row>
    <row r="34" spans="1:1" x14ac:dyDescent="0.2">
      <c r="A34" s="747" t="s">
        <v>1026</v>
      </c>
    </row>
    <row r="35" spans="1:1" x14ac:dyDescent="0.2">
      <c r="A35" s="747" t="s">
        <v>1034</v>
      </c>
    </row>
    <row r="36" spans="1:1" x14ac:dyDescent="0.2">
      <c r="A36" s="747" t="s">
        <v>1036</v>
      </c>
    </row>
    <row r="37" spans="1:1" x14ac:dyDescent="0.2">
      <c r="A37" s="747" t="s">
        <v>1143</v>
      </c>
    </row>
    <row r="38" spans="1:1" x14ac:dyDescent="0.2">
      <c r="A38" s="747" t="s">
        <v>1049</v>
      </c>
    </row>
    <row r="39" spans="1:1" x14ac:dyDescent="0.2">
      <c r="A39" s="747" t="s">
        <v>1045</v>
      </c>
    </row>
    <row r="40" spans="1:1" x14ac:dyDescent="0.2">
      <c r="A40" s="747" t="s">
        <v>1073</v>
      </c>
    </row>
    <row r="41" spans="1:1" x14ac:dyDescent="0.2">
      <c r="A41" s="747" t="s">
        <v>1635</v>
      </c>
    </row>
    <row r="42" spans="1:1" x14ac:dyDescent="0.2">
      <c r="A42" s="747" t="s">
        <v>981</v>
      </c>
    </row>
    <row r="43" spans="1:1" x14ac:dyDescent="0.2">
      <c r="A43" s="747" t="s">
        <v>992</v>
      </c>
    </row>
    <row r="44" spans="1:1" x14ac:dyDescent="0.2">
      <c r="A44" s="747" t="s">
        <v>1300</v>
      </c>
    </row>
    <row r="45" spans="1:1" x14ac:dyDescent="0.2">
      <c r="A45" s="747" t="s">
        <v>1717</v>
      </c>
    </row>
    <row r="46" spans="1:1" x14ac:dyDescent="0.2">
      <c r="A46" s="747" t="s">
        <v>1099</v>
      </c>
    </row>
    <row r="47" spans="1:1" x14ac:dyDescent="0.2">
      <c r="A47" s="747" t="s">
        <v>1186</v>
      </c>
    </row>
    <row r="48" spans="1:1" x14ac:dyDescent="0.2">
      <c r="A48" s="747" t="s">
        <v>1664</v>
      </c>
    </row>
    <row r="49" spans="1:1" x14ac:dyDescent="0.2">
      <c r="A49" s="747" t="s">
        <v>1210</v>
      </c>
    </row>
    <row r="50" spans="1:1" x14ac:dyDescent="0.2">
      <c r="A50" s="747" t="s">
        <v>1139</v>
      </c>
    </row>
    <row r="51" spans="1:1" x14ac:dyDescent="0.2">
      <c r="A51" s="747" t="s">
        <v>1163</v>
      </c>
    </row>
    <row r="52" spans="1:1" x14ac:dyDescent="0.2">
      <c r="A52" s="747" t="s">
        <v>1170</v>
      </c>
    </row>
    <row r="53" spans="1:1" x14ac:dyDescent="0.2">
      <c r="A53" s="747" t="s">
        <v>1618</v>
      </c>
    </row>
    <row r="54" spans="1:1" x14ac:dyDescent="0.2">
      <c r="A54" s="747" t="s">
        <v>1766</v>
      </c>
    </row>
    <row r="55" spans="1:1" x14ac:dyDescent="0.2">
      <c r="A55" s="747" t="s">
        <v>1819</v>
      </c>
    </row>
    <row r="56" spans="1:1" x14ac:dyDescent="0.2">
      <c r="A56" s="747" t="s">
        <v>1864</v>
      </c>
    </row>
    <row r="57" spans="1:1" x14ac:dyDescent="0.2">
      <c r="A57" s="747" t="s">
        <v>1885</v>
      </c>
    </row>
    <row r="58" spans="1:1" x14ac:dyDescent="0.2">
      <c r="A58" s="747" t="s">
        <v>1894</v>
      </c>
    </row>
    <row r="59" spans="1:1" x14ac:dyDescent="0.2">
      <c r="A59" s="747" t="s">
        <v>1903</v>
      </c>
    </row>
    <row r="60" spans="1:1" x14ac:dyDescent="0.2">
      <c r="A60" s="747" t="s">
        <v>1920</v>
      </c>
    </row>
    <row r="61" spans="1:1" x14ac:dyDescent="0.2">
      <c r="A61" s="747" t="s">
        <v>1941</v>
      </c>
    </row>
    <row r="62" spans="1:1" x14ac:dyDescent="0.2">
      <c r="A62" s="747" t="s">
        <v>1949</v>
      </c>
    </row>
    <row r="63" spans="1:1" x14ac:dyDescent="0.2">
      <c r="A63" s="747" t="s">
        <v>1984</v>
      </c>
    </row>
    <row r="64" spans="1:1" x14ac:dyDescent="0.2">
      <c r="A64" s="747" t="s">
        <v>1573</v>
      </c>
    </row>
    <row r="65" spans="1:1" x14ac:dyDescent="0.2">
      <c r="A65" s="747" t="s">
        <v>1578</v>
      </c>
    </row>
    <row r="66" spans="1:1" x14ac:dyDescent="0.2">
      <c r="A66" s="747" t="s">
        <v>1583</v>
      </c>
    </row>
    <row r="67" spans="1:1" x14ac:dyDescent="0.2">
      <c r="A67" s="747" t="s">
        <v>1774</v>
      </c>
    </row>
    <row r="68" spans="1:1" x14ac:dyDescent="0.2">
      <c r="A68" s="747" t="s">
        <v>1802</v>
      </c>
    </row>
    <row r="69" spans="1:1" x14ac:dyDescent="0.2">
      <c r="A69" s="747" t="s">
        <v>1807</v>
      </c>
    </row>
    <row r="70" spans="1:1" x14ac:dyDescent="0.2">
      <c r="A70" s="747" t="s">
        <v>1817</v>
      </c>
    </row>
    <row r="71" spans="1:1" x14ac:dyDescent="0.2">
      <c r="A71" s="747" t="s">
        <v>1849</v>
      </c>
    </row>
    <row r="72" spans="1:1" x14ac:dyDescent="0.2">
      <c r="A72" s="747" t="s">
        <v>1915</v>
      </c>
    </row>
    <row r="73" spans="1:1" x14ac:dyDescent="0.2">
      <c r="A73" s="747" t="s">
        <v>3582</v>
      </c>
    </row>
    <row r="74" spans="1:1" x14ac:dyDescent="0.2">
      <c r="A74" s="747" t="s">
        <v>3583</v>
      </c>
    </row>
    <row r="75" spans="1:1" x14ac:dyDescent="0.2">
      <c r="A75" s="747" t="s">
        <v>1363</v>
      </c>
    </row>
    <row r="76" spans="1:1" x14ac:dyDescent="0.2">
      <c r="A76" s="747" t="s">
        <v>1380</v>
      </c>
    </row>
    <row r="77" spans="1:1" x14ac:dyDescent="0.2">
      <c r="A77" s="747" t="s">
        <v>1403</v>
      </c>
    </row>
    <row r="78" spans="1:1" x14ac:dyDescent="0.2">
      <c r="A78" s="747" t="s">
        <v>1521</v>
      </c>
    </row>
    <row r="79" spans="1:1" x14ac:dyDescent="0.2">
      <c r="A79" s="747" t="s">
        <v>1282</v>
      </c>
    </row>
    <row r="80" spans="1:1" x14ac:dyDescent="0.2">
      <c r="A80" s="747" t="s">
        <v>1305</v>
      </c>
    </row>
    <row r="81" spans="1:1" x14ac:dyDescent="0.2">
      <c r="A81" s="747" t="s">
        <v>1836</v>
      </c>
    </row>
    <row r="82" spans="1:1" x14ac:dyDescent="0.2">
      <c r="A82" s="747" t="s">
        <v>1079</v>
      </c>
    </row>
    <row r="83" spans="1:1" x14ac:dyDescent="0.2">
      <c r="A83" s="747" t="s">
        <v>1649</v>
      </c>
    </row>
    <row r="84" spans="1:1" x14ac:dyDescent="0.2">
      <c r="A84" s="747" t="s">
        <v>1655</v>
      </c>
    </row>
    <row r="85" spans="1:1" x14ac:dyDescent="0.2">
      <c r="A85" s="747" t="s">
        <v>1553</v>
      </c>
    </row>
    <row r="86" spans="1:1" x14ac:dyDescent="0.2">
      <c r="A86" s="747" t="s">
        <v>1542</v>
      </c>
    </row>
    <row r="87" spans="1:1" x14ac:dyDescent="0.2">
      <c r="A87" s="747" t="s">
        <v>1907</v>
      </c>
    </row>
    <row r="88" spans="1:1" x14ac:dyDescent="0.2">
      <c r="A88" s="747" t="s">
        <v>1493</v>
      </c>
    </row>
    <row r="89" spans="1:1" x14ac:dyDescent="0.2">
      <c r="A89" s="747" t="s">
        <v>1474</v>
      </c>
    </row>
    <row r="90" spans="1:1" x14ac:dyDescent="0.2">
      <c r="A90" s="747" t="s">
        <v>1476</v>
      </c>
    </row>
    <row r="91" spans="1:1" x14ac:dyDescent="0.2">
      <c r="A91" s="747" t="s">
        <v>1483</v>
      </c>
    </row>
    <row r="92" spans="1:1" x14ac:dyDescent="0.2">
      <c r="A92" s="747" t="s">
        <v>1485</v>
      </c>
    </row>
    <row r="93" spans="1:1" x14ac:dyDescent="0.2">
      <c r="A93" s="747" t="s">
        <v>1420</v>
      </c>
    </row>
    <row r="94" spans="1:1" x14ac:dyDescent="0.2">
      <c r="A94" s="747" t="s">
        <v>1425</v>
      </c>
    </row>
    <row r="95" spans="1:1" x14ac:dyDescent="0.2">
      <c r="A95" s="747" t="s">
        <v>1442</v>
      </c>
    </row>
    <row r="96" spans="1:1" x14ac:dyDescent="0.2">
      <c r="A96" s="747" t="s">
        <v>1447</v>
      </c>
    </row>
    <row r="97" spans="1:1" x14ac:dyDescent="0.2">
      <c r="A97" s="747" t="s">
        <v>1589</v>
      </c>
    </row>
    <row r="98" spans="1:1" x14ac:dyDescent="0.2">
      <c r="A98" s="747" t="s">
        <v>1228</v>
      </c>
    </row>
    <row r="99" spans="1:1" x14ac:dyDescent="0.2">
      <c r="A99" s="747" t="s">
        <v>1204</v>
      </c>
    </row>
    <row r="100" spans="1:1" x14ac:dyDescent="0.2">
      <c r="A100" s="747" t="s">
        <v>1153</v>
      </c>
    </row>
    <row r="101" spans="1:1" x14ac:dyDescent="0.2">
      <c r="A101" s="747" t="s">
        <v>2003</v>
      </c>
    </row>
    <row r="102" spans="1:1" x14ac:dyDescent="0.2">
      <c r="A102" s="747" t="s">
        <v>1134</v>
      </c>
    </row>
    <row r="103" spans="1:1" x14ac:dyDescent="0.2">
      <c r="A103" s="747" t="s">
        <v>1503</v>
      </c>
    </row>
    <row r="104" spans="1:1" x14ac:dyDescent="0.2">
      <c r="A104" s="747" t="s">
        <v>1889</v>
      </c>
    </row>
    <row r="105" spans="1:1" x14ac:dyDescent="0.2">
      <c r="A105" s="747" t="s">
        <v>1916</v>
      </c>
    </row>
    <row r="106" spans="1:1" x14ac:dyDescent="0.2">
      <c r="A106" s="747" t="s">
        <v>1148</v>
      </c>
    </row>
    <row r="107" spans="1:1" x14ac:dyDescent="0.2">
      <c r="A107" s="747" t="s">
        <v>1097</v>
      </c>
    </row>
    <row r="108" spans="1:1" x14ac:dyDescent="0.2">
      <c r="A108" s="747" t="s">
        <v>1530</v>
      </c>
    </row>
    <row r="109" spans="1:1" x14ac:dyDescent="0.2">
      <c r="A109" s="747" t="s">
        <v>1221</v>
      </c>
    </row>
    <row r="110" spans="1:1" x14ac:dyDescent="0.2">
      <c r="A110" s="747" t="s">
        <v>1713</v>
      </c>
    </row>
    <row r="111" spans="1:1" x14ac:dyDescent="0.2">
      <c r="A111" s="747" t="s">
        <v>1779</v>
      </c>
    </row>
    <row r="112" spans="1:1" x14ac:dyDescent="0.2">
      <c r="A112" s="747" t="s">
        <v>1808</v>
      </c>
    </row>
    <row r="113" spans="1:1" x14ac:dyDescent="0.2">
      <c r="A113" s="747" t="s">
        <v>1850</v>
      </c>
    </row>
    <row r="114" spans="1:1" x14ac:dyDescent="0.2">
      <c r="A114" s="747" t="s">
        <v>1701</v>
      </c>
    </row>
    <row r="115" spans="1:1" x14ac:dyDescent="0.2">
      <c r="A115" s="747" t="s">
        <v>1326</v>
      </c>
    </row>
    <row r="116" spans="1:1" x14ac:dyDescent="0.2">
      <c r="A116" s="747" t="s">
        <v>1092</v>
      </c>
    </row>
    <row r="117" spans="1:1" x14ac:dyDescent="0.2">
      <c r="A117" s="747" t="s">
        <v>1993</v>
      </c>
    </row>
    <row r="118" spans="1:1" x14ac:dyDescent="0.2">
      <c r="A118" s="747" t="s">
        <v>1998</v>
      </c>
    </row>
    <row r="119" spans="1:1" x14ac:dyDescent="0.2">
      <c r="A119" s="747" t="s">
        <v>1703</v>
      </c>
    </row>
    <row r="120" spans="1:1" x14ac:dyDescent="0.2">
      <c r="A120" s="747" t="s">
        <v>1708</v>
      </c>
    </row>
    <row r="121" spans="1:1" x14ac:dyDescent="0.2">
      <c r="A121" s="747" t="s">
        <v>1215</v>
      </c>
    </row>
    <row r="122" spans="1:1" x14ac:dyDescent="0.2">
      <c r="A122" s="747" t="s">
        <v>1220</v>
      </c>
    </row>
    <row r="123" spans="1:1" x14ac:dyDescent="0.2">
      <c r="A123" s="747" t="s">
        <v>2019</v>
      </c>
    </row>
    <row r="124" spans="1:1" x14ac:dyDescent="0.2">
      <c r="A124" s="747" t="s">
        <v>1690</v>
      </c>
    </row>
    <row r="125" spans="1:1" x14ac:dyDescent="0.2">
      <c r="A125" s="747" t="s">
        <v>1988</v>
      </c>
    </row>
    <row r="126" spans="1:1" x14ac:dyDescent="0.2">
      <c r="A126" s="747" t="s">
        <v>1121</v>
      </c>
    </row>
    <row r="127" spans="1:1" x14ac:dyDescent="0.2">
      <c r="A127" s="747" t="s">
        <v>1126</v>
      </c>
    </row>
    <row r="128" spans="1:1" x14ac:dyDescent="0.2">
      <c r="A128" s="747" t="s">
        <v>1115</v>
      </c>
    </row>
    <row r="129" spans="1:1" x14ac:dyDescent="0.2">
      <c r="A129" s="747" t="s">
        <v>1181</v>
      </c>
    </row>
    <row r="130" spans="1:1" x14ac:dyDescent="0.2">
      <c r="A130" s="747" t="s">
        <v>2025</v>
      </c>
    </row>
    <row r="131" spans="1:1" x14ac:dyDescent="0.2">
      <c r="A131" s="747" t="s">
        <v>1351</v>
      </c>
    </row>
    <row r="132" spans="1:1" x14ac:dyDescent="0.2">
      <c r="A132" s="747" t="s">
        <v>1158</v>
      </c>
    </row>
    <row r="133" spans="1:1" x14ac:dyDescent="0.2">
      <c r="A133" s="747" t="s">
        <v>1497</v>
      </c>
    </row>
    <row r="134" spans="1:1" x14ac:dyDescent="0.2">
      <c r="A134" s="747" t="s">
        <v>1321</v>
      </c>
    </row>
    <row r="135" spans="1:1" x14ac:dyDescent="0.2">
      <c r="A135" s="747" t="s">
        <v>1563</v>
      </c>
    </row>
    <row r="136" spans="1:1" x14ac:dyDescent="0.2">
      <c r="A136" s="747" t="s">
        <v>1336</v>
      </c>
    </row>
    <row r="137" spans="1:1" x14ac:dyDescent="0.2">
      <c r="A137" s="747" t="s">
        <v>1191</v>
      </c>
    </row>
    <row r="138" spans="1:1" x14ac:dyDescent="0.2">
      <c r="A138" s="747" t="s">
        <v>1596</v>
      </c>
    </row>
    <row r="139" spans="1:1" x14ac:dyDescent="0.2">
      <c r="A139" s="747" t="s">
        <v>1597</v>
      </c>
    </row>
    <row r="140" spans="1:1" x14ac:dyDescent="0.2">
      <c r="A140" s="747" t="s">
        <v>1056</v>
      </c>
    </row>
    <row r="141" spans="1:1" x14ac:dyDescent="0.2">
      <c r="A141" s="747" t="s">
        <v>1055</v>
      </c>
    </row>
    <row r="142" spans="1:1" x14ac:dyDescent="0.2">
      <c r="A142" s="747" t="s">
        <v>1052</v>
      </c>
    </row>
    <row r="143" spans="1:1" x14ac:dyDescent="0.2">
      <c r="A143" s="747" t="s">
        <v>1059</v>
      </c>
    </row>
    <row r="144" spans="1:1" x14ac:dyDescent="0.2">
      <c r="A144" s="747" t="s">
        <v>1064</v>
      </c>
    </row>
    <row r="145" spans="1:1" x14ac:dyDescent="0.2">
      <c r="A145" s="747" t="s">
        <v>1607</v>
      </c>
    </row>
    <row r="146" spans="1:1" x14ac:dyDescent="0.2">
      <c r="A146" s="747" t="s">
        <v>1602</v>
      </c>
    </row>
    <row r="147" spans="1:1" x14ac:dyDescent="0.2">
      <c r="A147" s="747" t="s">
        <v>1068</v>
      </c>
    </row>
    <row r="148" spans="1:1" x14ac:dyDescent="0.2">
      <c r="A148" s="747" t="s">
        <v>1070</v>
      </c>
    </row>
    <row r="149" spans="1:1" x14ac:dyDescent="0.2">
      <c r="A149" s="747" t="s">
        <v>1558</v>
      </c>
    </row>
    <row r="150" spans="1:1" x14ac:dyDescent="0.2">
      <c r="A150" s="747" t="s">
        <v>1733</v>
      </c>
    </row>
    <row r="151" spans="1:1" x14ac:dyDescent="0.2">
      <c r="A151" s="747" t="s">
        <v>1309</v>
      </c>
    </row>
    <row r="152" spans="1:1" x14ac:dyDescent="0.2">
      <c r="A152" s="747" t="s">
        <v>1738</v>
      </c>
    </row>
    <row r="153" spans="1:1" x14ac:dyDescent="0.2">
      <c r="A153" s="747" t="s">
        <v>1743</v>
      </c>
    </row>
    <row r="154" spans="1:1" x14ac:dyDescent="0.2">
      <c r="A154" s="747" t="s">
        <v>1692</v>
      </c>
    </row>
    <row r="155" spans="1:1" x14ac:dyDescent="0.2">
      <c r="A155" s="747" t="s">
        <v>1346</v>
      </c>
    </row>
    <row r="156" spans="1:1" x14ac:dyDescent="0.2">
      <c r="A156" s="747" t="s">
        <v>1924</v>
      </c>
    </row>
    <row r="157" spans="1:1" x14ac:dyDescent="0.2">
      <c r="A157" s="747" t="s">
        <v>1757</v>
      </c>
    </row>
    <row r="158" spans="1:1" x14ac:dyDescent="0.2">
      <c r="A158" s="747" t="s">
        <v>1788</v>
      </c>
    </row>
    <row r="159" spans="1:1" x14ac:dyDescent="0.2">
      <c r="A159" s="747" t="s">
        <v>1937</v>
      </c>
    </row>
    <row r="160" spans="1:1" x14ac:dyDescent="0.2">
      <c r="A160" s="747" t="s">
        <v>1841</v>
      </c>
    </row>
    <row r="161" spans="1:1" x14ac:dyDescent="0.2">
      <c r="A161" s="747" t="s">
        <v>1238</v>
      </c>
    </row>
    <row r="162" spans="1:1" x14ac:dyDescent="0.2">
      <c r="A162" s="747" t="s">
        <v>832</v>
      </c>
    </row>
    <row r="163" spans="1:1" x14ac:dyDescent="0.2">
      <c r="A163" s="747" t="s">
        <v>833</v>
      </c>
    </row>
    <row r="164" spans="1:1" x14ac:dyDescent="0.2">
      <c r="A164" s="747" t="s">
        <v>834</v>
      </c>
    </row>
    <row r="165" spans="1:1" x14ac:dyDescent="0.2">
      <c r="A165" s="747" t="s">
        <v>835</v>
      </c>
    </row>
    <row r="166" spans="1:1" x14ac:dyDescent="0.2">
      <c r="A166" s="747" t="s">
        <v>986</v>
      </c>
    </row>
    <row r="167" spans="1:1" x14ac:dyDescent="0.2">
      <c r="A167" s="747" t="s">
        <v>999</v>
      </c>
    </row>
    <row r="168" spans="1:1" x14ac:dyDescent="0.2">
      <c r="A168" s="747" t="s">
        <v>1004</v>
      </c>
    </row>
    <row r="169" spans="1:1" x14ac:dyDescent="0.2">
      <c r="A169" s="747" t="s">
        <v>1010</v>
      </c>
    </row>
    <row r="170" spans="1:1" x14ac:dyDescent="0.2">
      <c r="A170" s="747" t="s">
        <v>1016</v>
      </c>
    </row>
    <row r="171" spans="1:1" x14ac:dyDescent="0.2">
      <c r="A171" s="747" t="s">
        <v>1027</v>
      </c>
    </row>
    <row r="172" spans="1:1" x14ac:dyDescent="0.2">
      <c r="A172" s="747" t="s">
        <v>1028</v>
      </c>
    </row>
    <row r="173" spans="1:1" x14ac:dyDescent="0.2">
      <c r="A173" s="747" t="s">
        <v>1233</v>
      </c>
    </row>
    <row r="174" spans="1:1" x14ac:dyDescent="0.2">
      <c r="A174" s="747" t="s">
        <v>1074</v>
      </c>
    </row>
    <row r="175" spans="1:1" x14ac:dyDescent="0.2">
      <c r="A175" s="747" t="s">
        <v>1591</v>
      </c>
    </row>
    <row r="176" spans="1:1" x14ac:dyDescent="0.2">
      <c r="A176" s="747" t="s">
        <v>1176</v>
      </c>
    </row>
    <row r="177" spans="1:1" x14ac:dyDescent="0.2">
      <c r="A177" s="747" t="s">
        <v>1681</v>
      </c>
    </row>
    <row r="178" spans="1:1" x14ac:dyDescent="0.2">
      <c r="A178" s="747" t="s">
        <v>1105</v>
      </c>
    </row>
    <row r="179" spans="1:1" x14ac:dyDescent="0.2">
      <c r="A179" s="747" t="s">
        <v>1172</v>
      </c>
    </row>
    <row r="180" spans="1:1" x14ac:dyDescent="0.2">
      <c r="A180" s="747" t="s">
        <v>1168</v>
      </c>
    </row>
    <row r="181" spans="1:1" x14ac:dyDescent="0.2">
      <c r="A181" s="747" t="s">
        <v>1536</v>
      </c>
    </row>
    <row r="182" spans="1:1" x14ac:dyDescent="0.2">
      <c r="A182" s="747" t="s">
        <v>1341</v>
      </c>
    </row>
    <row r="183" spans="1:1" x14ac:dyDescent="0.2">
      <c r="A183" s="747" t="s">
        <v>1548</v>
      </c>
    </row>
    <row r="184" spans="1:1" x14ac:dyDescent="0.2">
      <c r="A184" s="747" t="s">
        <v>1247</v>
      </c>
    </row>
    <row r="185" spans="1:1" x14ac:dyDescent="0.2">
      <c r="A185" s="747" t="s">
        <v>1487</v>
      </c>
    </row>
    <row r="186" spans="1:1" x14ac:dyDescent="0.2">
      <c r="A186" s="747" t="s">
        <v>1331</v>
      </c>
    </row>
    <row r="187" spans="1:1" x14ac:dyDescent="0.2">
      <c r="A187" s="747" t="s">
        <v>1526</v>
      </c>
    </row>
    <row r="188" spans="1:1" x14ac:dyDescent="0.2">
      <c r="A188" s="747" t="s">
        <v>1676</v>
      </c>
    </row>
    <row r="189" spans="1:1" x14ac:dyDescent="0.2">
      <c r="A189" s="747" t="s">
        <v>2018</v>
      </c>
    </row>
    <row r="190" spans="1:1" x14ac:dyDescent="0.2">
      <c r="A190" s="747" t="s">
        <v>1568</v>
      </c>
    </row>
    <row r="191" spans="1:1" x14ac:dyDescent="0.2">
      <c r="A191" s="747" t="s">
        <v>1000</v>
      </c>
    </row>
    <row r="192" spans="1:1" x14ac:dyDescent="0.2">
      <c r="A192" s="747" t="s">
        <v>1698</v>
      </c>
    </row>
    <row r="193" spans="1:1" x14ac:dyDescent="0.2">
      <c r="A193" s="747" t="s">
        <v>1863</v>
      </c>
    </row>
    <row r="194" spans="1:1" x14ac:dyDescent="0.2">
      <c r="A194" s="747" t="s">
        <v>3584</v>
      </c>
    </row>
    <row r="195" spans="1:1" x14ac:dyDescent="0.2">
      <c r="A195" s="747" t="s">
        <v>1925</v>
      </c>
    </row>
    <row r="196" spans="1:1" x14ac:dyDescent="0.2">
      <c r="A196" s="747" t="s">
        <v>1409</v>
      </c>
    </row>
    <row r="197" spans="1:1" x14ac:dyDescent="0.2">
      <c r="A197" s="747" t="s">
        <v>1462</v>
      </c>
    </row>
    <row r="198" spans="1:1" x14ac:dyDescent="0.2">
      <c r="A198" s="747" t="s">
        <v>1498</v>
      </c>
    </row>
    <row r="199" spans="1:1" x14ac:dyDescent="0.2">
      <c r="A199" s="747" t="s">
        <v>1612</v>
      </c>
    </row>
    <row r="200" spans="1:1" x14ac:dyDescent="0.2">
      <c r="A200" s="747" t="s">
        <v>1640</v>
      </c>
    </row>
    <row r="201" spans="1:1" x14ac:dyDescent="0.2">
      <c r="A201" s="747" t="s">
        <v>1644</v>
      </c>
    </row>
    <row r="202" spans="1:1" x14ac:dyDescent="0.2">
      <c r="A202" s="747" t="s">
        <v>1630</v>
      </c>
    </row>
    <row r="203" spans="1:1" x14ac:dyDescent="0.2">
      <c r="A203" s="747" t="s">
        <v>1748</v>
      </c>
    </row>
    <row r="204" spans="1:1" x14ac:dyDescent="0.2">
      <c r="A204" s="747" t="s">
        <v>1760</v>
      </c>
    </row>
    <row r="205" spans="1:1" x14ac:dyDescent="0.2">
      <c r="A205" s="747" t="s">
        <v>996</v>
      </c>
    </row>
    <row r="206" spans="1:1" x14ac:dyDescent="0.2">
      <c r="A206" s="747" t="s">
        <v>997</v>
      </c>
    </row>
    <row r="207" spans="1:1" x14ac:dyDescent="0.2">
      <c r="A207" s="747" t="s">
        <v>1012</v>
      </c>
    </row>
    <row r="208" spans="1:1" x14ac:dyDescent="0.2">
      <c r="A208" s="747" t="s">
        <v>1023</v>
      </c>
    </row>
    <row r="209" spans="1:1" x14ac:dyDescent="0.2">
      <c r="A209" s="747" t="s">
        <v>1025</v>
      </c>
    </row>
    <row r="210" spans="1:1" x14ac:dyDescent="0.2">
      <c r="A210" s="747" t="s">
        <v>875</v>
      </c>
    </row>
    <row r="211" spans="1:1" x14ac:dyDescent="0.2">
      <c r="A211" s="747" t="s">
        <v>1753</v>
      </c>
    </row>
    <row r="212" spans="1:1" x14ac:dyDescent="0.2">
      <c r="A212" s="747" t="s">
        <v>989</v>
      </c>
    </row>
    <row r="213" spans="1:1" x14ac:dyDescent="0.2">
      <c r="A213" s="747" t="s">
        <v>993</v>
      </c>
    </row>
    <row r="214" spans="1:1" x14ac:dyDescent="0.2">
      <c r="A214" s="747" t="s">
        <v>1022</v>
      </c>
    </row>
    <row r="215" spans="1:1" x14ac:dyDescent="0.2">
      <c r="A215" s="747" t="s">
        <v>1011</v>
      </c>
    </row>
    <row r="216" spans="1:1" x14ac:dyDescent="0.2">
      <c r="A216" s="747" t="s">
        <v>1784</v>
      </c>
    </row>
    <row r="217" spans="1:1" x14ac:dyDescent="0.2">
      <c r="A217" s="747" t="s">
        <v>1803</v>
      </c>
    </row>
    <row r="218" spans="1:1" x14ac:dyDescent="0.2">
      <c r="A218" s="747" t="s">
        <v>1822</v>
      </c>
    </row>
    <row r="219" spans="1:1" x14ac:dyDescent="0.2">
      <c r="A219" s="747" t="s">
        <v>1855</v>
      </c>
    </row>
    <row r="220" spans="1:1" x14ac:dyDescent="0.2">
      <c r="A220" s="747" t="s">
        <v>1874</v>
      </c>
    </row>
    <row r="221" spans="1:1" x14ac:dyDescent="0.2">
      <c r="A221" s="747" t="s">
        <v>1877</v>
      </c>
    </row>
    <row r="222" spans="1:1" x14ac:dyDescent="0.2">
      <c r="A222" s="747" t="s">
        <v>1881</v>
      </c>
    </row>
    <row r="223" spans="1:1" x14ac:dyDescent="0.2">
      <c r="A223" s="747" t="s">
        <v>1933</v>
      </c>
    </row>
    <row r="224" spans="1:1" x14ac:dyDescent="0.2">
      <c r="A224" s="747" t="s">
        <v>1945</v>
      </c>
    </row>
    <row r="225" spans="1:1" x14ac:dyDescent="0.2">
      <c r="A225" s="747" t="s">
        <v>1953</v>
      </c>
    </row>
    <row r="226" spans="1:1" x14ac:dyDescent="0.2">
      <c r="A226" s="747" t="s">
        <v>1957</v>
      </c>
    </row>
    <row r="227" spans="1:1" x14ac:dyDescent="0.2">
      <c r="A227" s="747" t="s">
        <v>1969</v>
      </c>
    </row>
    <row r="228" spans="1:1" x14ac:dyDescent="0.2">
      <c r="A228" s="747" t="s">
        <v>1978</v>
      </c>
    </row>
    <row r="229" spans="1:1" x14ac:dyDescent="0.2">
      <c r="A229" s="747" t="s">
        <v>1727</v>
      </c>
    </row>
    <row r="230" spans="1:1" x14ac:dyDescent="0.2">
      <c r="A230" s="747" t="s">
        <v>1729</v>
      </c>
    </row>
    <row r="231" spans="1:1" x14ac:dyDescent="0.2">
      <c r="A231" s="747" t="s">
        <v>1721</v>
      </c>
    </row>
    <row r="232" spans="1:1" x14ac:dyDescent="0.2">
      <c r="A232" s="747" t="s">
        <v>2024</v>
      </c>
    </row>
    <row r="233" spans="1:1" x14ac:dyDescent="0.2">
      <c r="A233" s="747" t="s">
        <v>1711</v>
      </c>
    </row>
    <row r="234" spans="1:1" x14ac:dyDescent="0.2">
      <c r="A234" s="747" t="s">
        <v>1859</v>
      </c>
    </row>
    <row r="235" spans="1:1" x14ac:dyDescent="0.2">
      <c r="A235" s="747" t="s">
        <v>1961</v>
      </c>
    </row>
    <row r="236" spans="1:1" x14ac:dyDescent="0.2">
      <c r="A236" s="747" t="s">
        <v>1725</v>
      </c>
    </row>
    <row r="237" spans="1:1" x14ac:dyDescent="0.2">
      <c r="A237" s="747" t="s">
        <v>1811</v>
      </c>
    </row>
    <row r="238" spans="1:1" x14ac:dyDescent="0.2">
      <c r="A238" s="747" t="s">
        <v>1830</v>
      </c>
    </row>
    <row r="239" spans="1:1" x14ac:dyDescent="0.2">
      <c r="A239" s="747" t="s">
        <v>1845</v>
      </c>
    </row>
    <row r="240" spans="1:1" x14ac:dyDescent="0.2">
      <c r="A240" s="747" t="s">
        <v>1848</v>
      </c>
    </row>
    <row r="241" spans="1:1" x14ac:dyDescent="0.2">
      <c r="A241" s="747" t="s">
        <v>1911</v>
      </c>
    </row>
    <row r="242" spans="1:1" x14ac:dyDescent="0.2">
      <c r="A242" s="747" t="s">
        <v>1965</v>
      </c>
    </row>
    <row r="243" spans="1:1" x14ac:dyDescent="0.2">
      <c r="A243" s="747" t="s">
        <v>1731</v>
      </c>
    </row>
    <row r="244" spans="1:1" x14ac:dyDescent="0.2">
      <c r="A244" s="747" t="s">
        <v>1798</v>
      </c>
    </row>
    <row r="245" spans="1:1" x14ac:dyDescent="0.2">
      <c r="A245" s="747" t="s">
        <v>1663</v>
      </c>
    </row>
    <row r="246" spans="1:1" x14ac:dyDescent="0.2">
      <c r="A246" s="747" t="s">
        <v>1699</v>
      </c>
    </row>
    <row r="247" spans="1:1" x14ac:dyDescent="0.2">
      <c r="A247" s="747" t="s">
        <v>1617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C94EF-4C7C-4C1A-95B3-B833D4EAC831}">
  <sheetPr codeName="Transazioni">
    <tabColor theme="0" tint="-0.14999847407452621"/>
  </sheetPr>
  <dimension ref="A1:K5"/>
  <sheetViews>
    <sheetView workbookViewId="0">
      <selection activeCell="C1" sqref="C1"/>
    </sheetView>
  </sheetViews>
  <sheetFormatPr defaultColWidth="9.28515625" defaultRowHeight="12" x14ac:dyDescent="0.2"/>
  <cols>
    <col min="1" max="1" width="19" style="712" customWidth="1"/>
    <col min="2" max="2" width="13" style="712" customWidth="1"/>
    <col min="3" max="3" width="34" style="712" customWidth="1"/>
    <col min="4" max="7" width="13" style="712" customWidth="1"/>
    <col min="8" max="9" width="10.42578125" style="712" customWidth="1"/>
    <col min="10" max="10" width="101.5703125" style="1650" customWidth="1"/>
    <col min="11" max="11" width="82.42578125" style="712" customWidth="1"/>
    <col min="12" max="12" width="15.42578125" style="712" customWidth="1"/>
    <col min="13" max="16384" width="9.28515625" style="712"/>
  </cols>
  <sheetData>
    <row r="1" spans="1:11" ht="24" x14ac:dyDescent="0.2">
      <c r="A1" s="712" t="s">
        <v>3585</v>
      </c>
      <c r="B1" s="712" t="s">
        <v>1</v>
      </c>
      <c r="C1" s="712" t="s">
        <v>347</v>
      </c>
      <c r="D1" s="712" t="s">
        <v>3586</v>
      </c>
      <c r="E1" s="712" t="s">
        <v>909</v>
      </c>
      <c r="F1" s="712" t="s">
        <v>348</v>
      </c>
      <c r="G1" s="712" t="s">
        <v>350</v>
      </c>
      <c r="H1" s="712" t="s">
        <v>3587</v>
      </c>
      <c r="I1" s="712" t="s">
        <v>831</v>
      </c>
      <c r="J1" s="1650" t="s">
        <v>3588</v>
      </c>
      <c r="K1" s="712" t="s">
        <v>361</v>
      </c>
    </row>
    <row r="2" spans="1:11" x14ac:dyDescent="0.2">
      <c r="A2" s="718" t="s">
        <v>369</v>
      </c>
      <c r="B2" s="719">
        <v>44062</v>
      </c>
      <c r="C2" s="719" t="s">
        <v>3589</v>
      </c>
      <c r="D2" s="719" t="s">
        <v>3590</v>
      </c>
      <c r="E2" s="1645" t="s">
        <v>3591</v>
      </c>
      <c r="F2" s="1645"/>
      <c r="G2" s="1647"/>
      <c r="H2" s="1647" t="e">
        <f>_xlfn.XLOOKUP(Transazioni[[#This Row],[Ticker]],#REF!,#REF!)</f>
        <v>#REF!</v>
      </c>
      <c r="I2" s="1648"/>
      <c r="J2" s="1649" t="s">
        <v>3592</v>
      </c>
      <c r="K2" s="1651"/>
    </row>
    <row r="3" spans="1:11" ht="60" x14ac:dyDescent="0.2">
      <c r="A3" s="718" t="s">
        <v>3593</v>
      </c>
      <c r="B3" s="719">
        <v>44595</v>
      </c>
      <c r="C3" s="719" t="s">
        <v>3594</v>
      </c>
      <c r="D3" s="719"/>
      <c r="E3" s="718"/>
      <c r="F3" s="1645"/>
      <c r="G3" s="1647"/>
      <c r="H3" s="1647" t="e">
        <f>_xlfn.XLOOKUP(Transazioni[[#This Row],[Ticker]],#REF!,#REF!)</f>
        <v>#REF!</v>
      </c>
      <c r="I3" s="1648"/>
      <c r="J3" s="718" t="s">
        <v>3595</v>
      </c>
      <c r="K3" s="718"/>
    </row>
    <row r="4" spans="1:11" ht="24" x14ac:dyDescent="0.2">
      <c r="A4" s="718" t="s">
        <v>3596</v>
      </c>
      <c r="B4" s="719">
        <v>44608</v>
      </c>
      <c r="C4" s="719" t="s">
        <v>3597</v>
      </c>
      <c r="D4" s="719" t="s">
        <v>3598</v>
      </c>
      <c r="E4" s="718"/>
      <c r="F4" s="1646"/>
      <c r="G4" s="1647">
        <v>12.08</v>
      </c>
      <c r="H4" s="1647"/>
      <c r="I4" s="1648"/>
      <c r="J4" s="1649" t="s">
        <v>3599</v>
      </c>
      <c r="K4" s="718"/>
    </row>
    <row r="5" spans="1:11" ht="24" x14ac:dyDescent="0.2">
      <c r="A5" s="718" t="s">
        <v>3596</v>
      </c>
      <c r="B5" s="719">
        <v>44608</v>
      </c>
      <c r="C5" s="719" t="s">
        <v>509</v>
      </c>
      <c r="D5" s="719" t="s">
        <v>3600</v>
      </c>
      <c r="E5" s="718"/>
      <c r="F5" s="1646"/>
      <c r="G5" s="1647">
        <v>19.71</v>
      </c>
      <c r="H5" s="1647" t="e">
        <f>_xlfn.XLOOKUP(Transazioni[[#This Row],[Ticker]],#REF!,#REF!)</f>
        <v>#REF!</v>
      </c>
      <c r="I5" s="1648"/>
      <c r="J5" s="1649"/>
      <c r="K5" s="718"/>
    </row>
  </sheetData>
  <hyperlinks>
    <hyperlink ref="E2" r:id="rId1" xr:uid="{37446250-7D7B-41B1-A1CD-7B6E3EB4D957}"/>
  </hyperlinks>
  <pageMargins left="0.7" right="0.7" top="0.75" bottom="0.75" header="0.3" footer="0.3"/>
  <pageSetup paperSize="9" orientation="portrait"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C19C7-2874-4DB3-ABE3-7A79DCDC0D87}">
  <sheetPr codeName="EntryLevels"/>
  <dimension ref="A1:K375"/>
  <sheetViews>
    <sheetView workbookViewId="0">
      <selection activeCell="H22" sqref="H22"/>
    </sheetView>
  </sheetViews>
  <sheetFormatPr defaultColWidth="9.28515625" defaultRowHeight="12" x14ac:dyDescent="0.2"/>
  <cols>
    <col min="1" max="1" width="8.85546875" style="34" customWidth="1"/>
    <col min="2" max="2" width="40.5703125" style="34" customWidth="1"/>
    <col min="3" max="3" width="0" style="34" hidden="1" customWidth="1"/>
    <col min="4" max="4" width="12" style="612" customWidth="1"/>
    <col min="5" max="5" width="9.28515625" style="34"/>
    <col min="6" max="6" width="9.42578125" style="612" hidden="1" customWidth="1"/>
    <col min="7" max="7" width="0" style="612" hidden="1" customWidth="1"/>
    <col min="8" max="8" width="37.5703125" style="95" customWidth="1"/>
    <col min="9" max="9" width="11.42578125" style="1660" customWidth="1"/>
    <col min="10" max="10" width="12.5703125" style="1660" customWidth="1"/>
    <col min="11" max="11" width="14" style="34" customWidth="1"/>
    <col min="12" max="16384" width="9.28515625" style="34"/>
  </cols>
  <sheetData>
    <row r="1" spans="1:11" s="1654" customFormat="1" ht="27" customHeight="1" x14ac:dyDescent="0.2">
      <c r="A1" s="1652" t="s">
        <v>3601</v>
      </c>
      <c r="B1" s="1652" t="s">
        <v>3602</v>
      </c>
      <c r="C1" s="1652" t="s">
        <v>3603</v>
      </c>
      <c r="D1" s="1652" t="s">
        <v>3604</v>
      </c>
      <c r="E1" s="1652" t="s">
        <v>3605</v>
      </c>
      <c r="F1" s="1652" t="s">
        <v>3606</v>
      </c>
      <c r="G1" s="1652" t="s">
        <v>3607</v>
      </c>
      <c r="H1" s="1652" t="s">
        <v>3608</v>
      </c>
      <c r="I1" s="1653" t="s">
        <v>3609</v>
      </c>
      <c r="J1" s="1653" t="s">
        <v>3610</v>
      </c>
      <c r="K1" s="1652" t="s">
        <v>3611</v>
      </c>
    </row>
    <row r="2" spans="1:11" x14ac:dyDescent="0.2">
      <c r="A2" s="95" t="s">
        <v>3612</v>
      </c>
      <c r="B2" s="95" t="s">
        <v>3613</v>
      </c>
      <c r="C2" s="95" t="s">
        <v>3614</v>
      </c>
      <c r="D2" s="612" t="s">
        <v>3615</v>
      </c>
      <c r="E2" s="34">
        <v>6.25</v>
      </c>
      <c r="F2" s="612" t="s">
        <v>3616</v>
      </c>
      <c r="G2" s="612" t="s">
        <v>3617</v>
      </c>
      <c r="I2" s="1655">
        <v>6.9663000000000004</v>
      </c>
      <c r="J2" s="1655">
        <v>-0.71630000000000005</v>
      </c>
      <c r="K2" s="1656">
        <f>Entry_Levels[[#This Row],[Distance to Market]]/Entry_Levels[[#This Row],[Value]]</f>
        <v>-0.114608</v>
      </c>
    </row>
    <row r="3" spans="1:11" x14ac:dyDescent="0.2">
      <c r="A3" s="95" t="s">
        <v>3612</v>
      </c>
      <c r="B3" s="95" t="s">
        <v>3618</v>
      </c>
      <c r="C3" s="95" t="s">
        <v>3614</v>
      </c>
      <c r="D3" s="612" t="s">
        <v>3619</v>
      </c>
      <c r="E3" s="34">
        <v>8.5</v>
      </c>
      <c r="F3" s="612" t="s">
        <v>3616</v>
      </c>
      <c r="G3" s="612" t="s">
        <v>3617</v>
      </c>
      <c r="I3" s="1655">
        <v>7.8559999999999999</v>
      </c>
      <c r="J3" s="1655">
        <v>0.64400000000000002</v>
      </c>
      <c r="K3" s="1657">
        <f>Entry_Levels[[#This Row],[Distance to Market]]/Entry_Levels[[#This Row],[Value]]</f>
        <v>7.5764705882352942E-2</v>
      </c>
    </row>
    <row r="4" spans="1:11" x14ac:dyDescent="0.2">
      <c r="A4" s="95" t="s">
        <v>3612</v>
      </c>
      <c r="B4" s="95" t="s">
        <v>3620</v>
      </c>
      <c r="C4" s="95" t="s">
        <v>3614</v>
      </c>
      <c r="D4" s="612" t="s">
        <v>3619</v>
      </c>
      <c r="E4" s="34">
        <v>1.2749999999999999</v>
      </c>
      <c r="F4" s="612" t="s">
        <v>3616</v>
      </c>
      <c r="G4" s="612" t="s">
        <v>3617</v>
      </c>
      <c r="I4" s="1655">
        <v>1.12941</v>
      </c>
      <c r="J4" s="1655">
        <v>0.14559</v>
      </c>
      <c r="K4" s="1657">
        <f>Entry_Levels[[#This Row],[Distance to Market]]/Entry_Levels[[#This Row],[Value]]</f>
        <v>0.11418823529411765</v>
      </c>
    </row>
    <row r="5" spans="1:11" x14ac:dyDescent="0.2">
      <c r="A5" s="95" t="s">
        <v>3612</v>
      </c>
      <c r="B5" s="95" t="s">
        <v>3621</v>
      </c>
      <c r="C5" s="95" t="s">
        <v>3614</v>
      </c>
      <c r="D5" s="612" t="s">
        <v>3619</v>
      </c>
      <c r="E5" s="34">
        <v>1.325</v>
      </c>
      <c r="F5" s="612" t="s">
        <v>3616</v>
      </c>
      <c r="G5" s="612" t="s">
        <v>3617</v>
      </c>
      <c r="I5" s="1655">
        <v>1.27149</v>
      </c>
      <c r="J5" s="1655">
        <v>5.3510000000000002E-2</v>
      </c>
      <c r="K5" s="1657">
        <f>Entry_Levels[[#This Row],[Distance to Market]]/Entry_Levels[[#This Row],[Value]]</f>
        <v>4.0384905660377363E-2</v>
      </c>
    </row>
    <row r="6" spans="1:11" x14ac:dyDescent="0.2">
      <c r="A6" s="95" t="s">
        <v>3612</v>
      </c>
      <c r="B6" s="95" t="s">
        <v>3622</v>
      </c>
      <c r="C6" s="95" t="s">
        <v>3614</v>
      </c>
      <c r="D6" s="612" t="s">
        <v>3619</v>
      </c>
      <c r="E6" s="34">
        <v>1.02</v>
      </c>
      <c r="F6" s="612" t="s">
        <v>3616</v>
      </c>
      <c r="G6" s="612" t="s">
        <v>3617</v>
      </c>
      <c r="I6" s="1655">
        <v>0.99839999999999995</v>
      </c>
      <c r="J6" s="1655">
        <v>2.1600000000000001E-2</v>
      </c>
      <c r="K6" s="1657">
        <f>Entry_Levels[[#This Row],[Distance to Market]]/Entry_Levels[[#This Row],[Value]]</f>
        <v>2.1176470588235297E-2</v>
      </c>
    </row>
    <row r="7" spans="1:11" x14ac:dyDescent="0.2">
      <c r="A7" s="95" t="s">
        <v>3612</v>
      </c>
      <c r="B7" s="95" t="s">
        <v>3623</v>
      </c>
      <c r="C7" s="95" t="s">
        <v>3614</v>
      </c>
      <c r="D7" s="612" t="s">
        <v>3619</v>
      </c>
      <c r="E7" s="34" t="s">
        <v>3624</v>
      </c>
      <c r="F7" s="612" t="s">
        <v>3616</v>
      </c>
      <c r="G7" s="612" t="s">
        <v>3617</v>
      </c>
      <c r="I7" s="1655" t="s">
        <v>3625</v>
      </c>
      <c r="J7" s="1655">
        <v>75.23</v>
      </c>
      <c r="K7" s="1657">
        <f>Entry_Levels[[#This Row],[Distance to Market]]/Entry_Levels[[#This Row],[Value]]</f>
        <v>6.541739130434783E-2</v>
      </c>
    </row>
    <row r="8" spans="1:11" x14ac:dyDescent="0.2">
      <c r="A8" s="95" t="s">
        <v>3612</v>
      </c>
      <c r="B8" s="95" t="s">
        <v>3626</v>
      </c>
      <c r="C8" s="95" t="s">
        <v>3614</v>
      </c>
      <c r="D8" s="612" t="s">
        <v>3615</v>
      </c>
      <c r="E8" s="34">
        <v>800</v>
      </c>
      <c r="F8" s="612" t="s">
        <v>3616</v>
      </c>
      <c r="G8" s="612" t="s">
        <v>3617</v>
      </c>
      <c r="I8" s="1655" t="s">
        <v>3627</v>
      </c>
      <c r="J8" s="1655">
        <v>-349.7</v>
      </c>
      <c r="K8" s="1657">
        <f>Entry_Levels[[#This Row],[Distance to Market]]/Entry_Levels[[#This Row],[Value]]</f>
        <v>-0.43712499999999999</v>
      </c>
    </row>
    <row r="9" spans="1:11" x14ac:dyDescent="0.2">
      <c r="A9" s="95" t="s">
        <v>3628</v>
      </c>
      <c r="B9" s="95" t="s">
        <v>3629</v>
      </c>
      <c r="C9" s="95" t="s">
        <v>3614</v>
      </c>
      <c r="D9" s="612" t="s">
        <v>3615</v>
      </c>
      <c r="E9" s="34">
        <v>25.85</v>
      </c>
      <c r="F9" s="612" t="s">
        <v>3616</v>
      </c>
      <c r="G9" s="612" t="s">
        <v>3617</v>
      </c>
      <c r="I9" s="1655">
        <v>27.25</v>
      </c>
      <c r="J9" s="1655">
        <v>-1.4</v>
      </c>
      <c r="K9" s="1657">
        <f>Entry_Levels[[#This Row],[Distance to Market]]/Entry_Levels[[#This Row],[Value]]</f>
        <v>-5.4158607350096706E-2</v>
      </c>
    </row>
    <row r="10" spans="1:11" x14ac:dyDescent="0.2">
      <c r="A10" s="95" t="s">
        <v>3628</v>
      </c>
      <c r="B10" s="95" t="s">
        <v>3630</v>
      </c>
      <c r="C10" s="95" t="s">
        <v>3614</v>
      </c>
      <c r="D10" s="612" t="s">
        <v>3615</v>
      </c>
      <c r="E10" s="34">
        <v>80</v>
      </c>
      <c r="F10" s="612" t="s">
        <v>3616</v>
      </c>
      <c r="G10" s="612" t="s">
        <v>3617</v>
      </c>
      <c r="I10" s="1655">
        <v>85.4</v>
      </c>
      <c r="J10" s="1655">
        <v>-5.4</v>
      </c>
      <c r="K10" s="1657">
        <f>Entry_Levels[[#This Row],[Distance to Market]]/Entry_Levels[[#This Row],[Value]]</f>
        <v>-6.7500000000000004E-2</v>
      </c>
    </row>
    <row r="11" spans="1:11" x14ac:dyDescent="0.2">
      <c r="A11" s="95" t="s">
        <v>3628</v>
      </c>
      <c r="B11" s="95" t="s">
        <v>3631</v>
      </c>
      <c r="C11" s="95" t="s">
        <v>3614</v>
      </c>
      <c r="D11" s="612" t="s">
        <v>3615</v>
      </c>
      <c r="E11" s="34" t="s">
        <v>3632</v>
      </c>
      <c r="F11" s="612" t="s">
        <v>3616</v>
      </c>
      <c r="G11" s="612" t="s">
        <v>3617</v>
      </c>
      <c r="I11" s="1655" t="s">
        <v>3633</v>
      </c>
      <c r="J11" s="1655" t="s">
        <v>3634</v>
      </c>
      <c r="K11" s="1657">
        <f>Entry_Levels[[#This Row],[Distance to Market]]/Entry_Levels[[#This Row],[Value]]</f>
        <v>-8.2314496314496305E-2</v>
      </c>
    </row>
    <row r="12" spans="1:11" x14ac:dyDescent="0.2">
      <c r="A12" s="95" t="s">
        <v>3628</v>
      </c>
      <c r="B12" s="95" t="s">
        <v>3635</v>
      </c>
      <c r="C12" s="95" t="s">
        <v>3614</v>
      </c>
      <c r="D12" s="612" t="s">
        <v>3615</v>
      </c>
      <c r="E12" s="34">
        <v>100</v>
      </c>
      <c r="F12" s="612" t="s">
        <v>3616</v>
      </c>
      <c r="G12" s="612" t="s">
        <v>3617</v>
      </c>
      <c r="I12" s="1655">
        <v>116.55</v>
      </c>
      <c r="J12" s="1655">
        <v>-16.55</v>
      </c>
      <c r="K12" s="1657">
        <f>Entry_Levels[[#This Row],[Distance to Market]]/Entry_Levels[[#This Row],[Value]]</f>
        <v>-0.16550000000000001</v>
      </c>
    </row>
    <row r="13" spans="1:11" x14ac:dyDescent="0.2">
      <c r="A13" s="95" t="s">
        <v>3628</v>
      </c>
      <c r="B13" s="95" t="s">
        <v>3636</v>
      </c>
      <c r="C13" s="95" t="s">
        <v>3614</v>
      </c>
      <c r="D13" s="612" t="s">
        <v>3619</v>
      </c>
      <c r="E13" s="34">
        <v>110</v>
      </c>
      <c r="F13" s="612" t="s">
        <v>3616</v>
      </c>
      <c r="G13" s="612" t="s">
        <v>3617</v>
      </c>
      <c r="I13" s="1655">
        <v>92.16</v>
      </c>
      <c r="J13" s="1655">
        <v>17.84</v>
      </c>
      <c r="K13" s="1657">
        <f>Entry_Levels[[#This Row],[Distance to Market]]/Entry_Levels[[#This Row],[Value]]</f>
        <v>0.16218181818181818</v>
      </c>
    </row>
    <row r="14" spans="1:11" x14ac:dyDescent="0.2">
      <c r="A14" s="95" t="s">
        <v>3628</v>
      </c>
      <c r="B14" s="95" t="s">
        <v>3637</v>
      </c>
      <c r="C14" s="95" t="s">
        <v>3614</v>
      </c>
      <c r="D14" s="612" t="s">
        <v>3615</v>
      </c>
      <c r="E14" s="34">
        <v>246</v>
      </c>
      <c r="F14" s="612" t="s">
        <v>3616</v>
      </c>
      <c r="G14" s="612" t="s">
        <v>3617</v>
      </c>
      <c r="I14" s="1655">
        <v>271.25</v>
      </c>
      <c r="J14" s="1655">
        <v>-25.25</v>
      </c>
      <c r="K14" s="1657">
        <f>Entry_Levels[[#This Row],[Distance to Market]]/Entry_Levels[[#This Row],[Value]]</f>
        <v>-0.10264227642276423</v>
      </c>
    </row>
    <row r="15" spans="1:11" x14ac:dyDescent="0.2">
      <c r="A15" s="95" t="s">
        <v>3628</v>
      </c>
      <c r="B15" s="95" t="s">
        <v>3638</v>
      </c>
      <c r="C15" s="95" t="s">
        <v>3614</v>
      </c>
      <c r="D15" s="612" t="s">
        <v>3615</v>
      </c>
      <c r="E15" s="34">
        <v>19.600000000000001</v>
      </c>
      <c r="F15" s="612" t="s">
        <v>3616</v>
      </c>
      <c r="G15" s="612" t="s">
        <v>3617</v>
      </c>
      <c r="I15" s="1655">
        <v>21.85</v>
      </c>
      <c r="J15" s="1655">
        <v>-2.25</v>
      </c>
      <c r="K15" s="1657">
        <f>Entry_Levels[[#This Row],[Distance to Market]]/Entry_Levels[[#This Row],[Value]]</f>
        <v>-0.11479591836734693</v>
      </c>
    </row>
    <row r="16" spans="1:11" x14ac:dyDescent="0.2">
      <c r="A16" s="95" t="s">
        <v>3639</v>
      </c>
      <c r="B16" s="95" t="s">
        <v>3640</v>
      </c>
      <c r="C16" s="95" t="s">
        <v>3641</v>
      </c>
      <c r="D16" s="612" t="s">
        <v>3615</v>
      </c>
      <c r="E16" s="34">
        <v>32</v>
      </c>
      <c r="F16" s="612" t="s">
        <v>3616</v>
      </c>
      <c r="G16" s="612" t="s">
        <v>3617</v>
      </c>
      <c r="I16" s="1655">
        <v>49.03</v>
      </c>
      <c r="J16" s="1655">
        <v>-17.03</v>
      </c>
      <c r="K16" s="1657">
        <f>Entry_Levels[[#This Row],[Distance to Market]]/Entry_Levels[[#This Row],[Value]]</f>
        <v>-0.53218750000000004</v>
      </c>
    </row>
    <row r="17" spans="1:11" x14ac:dyDescent="0.2">
      <c r="A17" s="95" t="s">
        <v>3639</v>
      </c>
      <c r="B17" s="95" t="s">
        <v>3642</v>
      </c>
      <c r="C17" s="95" t="s">
        <v>3641</v>
      </c>
      <c r="D17" s="612" t="s">
        <v>3615</v>
      </c>
      <c r="E17" s="34">
        <v>175</v>
      </c>
      <c r="F17" s="612" t="s">
        <v>3616</v>
      </c>
      <c r="G17" s="612" t="s">
        <v>3617</v>
      </c>
      <c r="I17" s="1655">
        <v>199.91</v>
      </c>
      <c r="J17" s="1655">
        <v>-24.91</v>
      </c>
      <c r="K17" s="1657">
        <f>Entry_Levels[[#This Row],[Distance to Market]]/Entry_Levels[[#This Row],[Value]]</f>
        <v>-0.14234285714285713</v>
      </c>
    </row>
    <row r="18" spans="1:11" x14ac:dyDescent="0.2">
      <c r="A18" s="95" t="s">
        <v>3639</v>
      </c>
      <c r="B18" s="95" t="s">
        <v>3643</v>
      </c>
      <c r="C18" s="95" t="s">
        <v>3641</v>
      </c>
      <c r="D18" s="612" t="s">
        <v>3615</v>
      </c>
      <c r="E18" s="34" t="s">
        <v>3644</v>
      </c>
      <c r="F18" s="612" t="s">
        <v>3616</v>
      </c>
      <c r="G18" s="612" t="s">
        <v>3617</v>
      </c>
      <c r="I18" s="1655" t="s">
        <v>3645</v>
      </c>
      <c r="J18" s="1655" t="s">
        <v>3646</v>
      </c>
      <c r="K18" s="1657">
        <f>Entry_Levels[[#This Row],[Distance to Market]]/Entry_Levels[[#This Row],[Value]]</f>
        <v>-0.31062068965517242</v>
      </c>
    </row>
    <row r="19" spans="1:11" x14ac:dyDescent="0.2">
      <c r="A19" s="95" t="s">
        <v>3639</v>
      </c>
      <c r="B19" s="95" t="s">
        <v>3643</v>
      </c>
      <c r="C19" s="95" t="s">
        <v>3641</v>
      </c>
      <c r="D19" s="612" t="s">
        <v>3615</v>
      </c>
      <c r="E19" s="34" t="s">
        <v>3647</v>
      </c>
      <c r="F19" s="612" t="s">
        <v>3616</v>
      </c>
      <c r="G19" s="612" t="s">
        <v>3617</v>
      </c>
      <c r="I19" s="1655" t="s">
        <v>3645</v>
      </c>
      <c r="J19" s="1655" t="s">
        <v>3648</v>
      </c>
      <c r="K19" s="1657">
        <f>Entry_Levels[[#This Row],[Distance to Market]]/Entry_Levels[[#This Row],[Value]]</f>
        <v>-0.26693333333333336</v>
      </c>
    </row>
    <row r="20" spans="1:11" x14ac:dyDescent="0.2">
      <c r="A20" s="95" t="s">
        <v>3639</v>
      </c>
      <c r="B20" s="95" t="s">
        <v>3649</v>
      </c>
      <c r="C20" s="95" t="s">
        <v>3641</v>
      </c>
      <c r="D20" s="612" t="s">
        <v>3615</v>
      </c>
      <c r="E20" s="34">
        <v>1.26</v>
      </c>
      <c r="F20" s="612" t="s">
        <v>3616</v>
      </c>
      <c r="G20" s="612" t="s">
        <v>3617</v>
      </c>
      <c r="I20" s="1655">
        <v>1.5245</v>
      </c>
      <c r="J20" s="1655">
        <v>-0.26450000000000001</v>
      </c>
      <c r="K20" s="1657">
        <f>Entry_Levels[[#This Row],[Distance to Market]]/Entry_Levels[[#This Row],[Value]]</f>
        <v>-0.20992063492063492</v>
      </c>
    </row>
    <row r="21" spans="1:11" x14ac:dyDescent="0.2">
      <c r="A21" s="95" t="s">
        <v>3639</v>
      </c>
      <c r="B21" s="95" t="s">
        <v>3650</v>
      </c>
      <c r="C21" s="95" t="s">
        <v>3641</v>
      </c>
      <c r="D21" s="612" t="s">
        <v>3615</v>
      </c>
      <c r="E21" s="34">
        <v>26</v>
      </c>
      <c r="F21" s="612" t="s">
        <v>3616</v>
      </c>
      <c r="G21" s="612" t="s">
        <v>3617</v>
      </c>
      <c r="I21" s="1655">
        <v>31.55</v>
      </c>
      <c r="J21" s="1655">
        <v>-5.55</v>
      </c>
      <c r="K21" s="1657">
        <f>Entry_Levels[[#This Row],[Distance to Market]]/Entry_Levels[[#This Row],[Value]]</f>
        <v>-0.21346153846153845</v>
      </c>
    </row>
    <row r="22" spans="1:11" x14ac:dyDescent="0.2">
      <c r="A22" s="1613" t="s">
        <v>3639</v>
      </c>
      <c r="B22" s="1613" t="s">
        <v>3651</v>
      </c>
      <c r="C22" s="1613" t="s">
        <v>3641</v>
      </c>
      <c r="D22" s="1614" t="s">
        <v>3619</v>
      </c>
      <c r="E22" s="1612">
        <v>26.2</v>
      </c>
      <c r="F22" s="1614" t="s">
        <v>3616</v>
      </c>
      <c r="G22" s="1614" t="s">
        <v>3617</v>
      </c>
      <c r="H22" s="1613"/>
      <c r="I22" s="1658">
        <v>20.05</v>
      </c>
      <c r="J22" s="1658">
        <v>42156</v>
      </c>
      <c r="K22" s="1659">
        <f>Entry_Levels[[#This Row],[Distance to Market]]/Entry_Levels[[#This Row],[Value]]</f>
        <v>1609.0076335877864</v>
      </c>
    </row>
    <row r="23" spans="1:11" x14ac:dyDescent="0.2">
      <c r="A23" s="95" t="s">
        <v>3639</v>
      </c>
      <c r="B23" s="95" t="s">
        <v>3652</v>
      </c>
      <c r="C23" s="95" t="s">
        <v>3641</v>
      </c>
      <c r="D23" s="612" t="s">
        <v>3615</v>
      </c>
      <c r="E23" s="34">
        <v>40</v>
      </c>
      <c r="F23" s="612" t="s">
        <v>3616</v>
      </c>
      <c r="G23" s="612" t="s">
        <v>3617</v>
      </c>
      <c r="I23" s="1655">
        <v>80.08</v>
      </c>
      <c r="J23" s="1655">
        <v>-40.08</v>
      </c>
      <c r="K23" s="1657">
        <f>Entry_Levels[[#This Row],[Distance to Market]]/Entry_Levels[[#This Row],[Value]]</f>
        <v>-1.002</v>
      </c>
    </row>
    <row r="24" spans="1:11" x14ac:dyDescent="0.2">
      <c r="A24" s="95" t="s">
        <v>3639</v>
      </c>
      <c r="B24" s="95" t="s">
        <v>3653</v>
      </c>
      <c r="C24" s="95" t="s">
        <v>3641</v>
      </c>
      <c r="D24" s="612" t="s">
        <v>3615</v>
      </c>
      <c r="E24" s="34">
        <v>35</v>
      </c>
      <c r="F24" s="612" t="s">
        <v>3616</v>
      </c>
      <c r="G24" s="612" t="s">
        <v>3617</v>
      </c>
      <c r="I24" s="1655">
        <v>40.14</v>
      </c>
      <c r="J24" s="1655">
        <v>-5.14</v>
      </c>
      <c r="K24" s="1657">
        <f>Entry_Levels[[#This Row],[Distance to Market]]/Entry_Levels[[#This Row],[Value]]</f>
        <v>-0.14685714285714285</v>
      </c>
    </row>
    <row r="25" spans="1:11" x14ac:dyDescent="0.2">
      <c r="A25" s="95" t="s">
        <v>3639</v>
      </c>
      <c r="B25" s="95" t="s">
        <v>3654</v>
      </c>
      <c r="C25" s="95" t="s">
        <v>3641</v>
      </c>
      <c r="D25" s="612" t="s">
        <v>3615</v>
      </c>
      <c r="E25" s="34">
        <v>25.5</v>
      </c>
      <c r="F25" s="612" t="s">
        <v>3616</v>
      </c>
      <c r="G25" s="612" t="s">
        <v>3617</v>
      </c>
      <c r="I25" s="1655">
        <v>33.840000000000003</v>
      </c>
      <c r="J25" s="1655">
        <v>-8.34</v>
      </c>
      <c r="K25" s="1657">
        <f>Entry_Levels[[#This Row],[Distance to Market]]/Entry_Levels[[#This Row],[Value]]</f>
        <v>-0.32705882352941174</v>
      </c>
    </row>
    <row r="26" spans="1:11" x14ac:dyDescent="0.2">
      <c r="A26" s="95" t="s">
        <v>3639</v>
      </c>
      <c r="B26" s="95" t="s">
        <v>3655</v>
      </c>
      <c r="C26" s="95" t="s">
        <v>3641</v>
      </c>
      <c r="D26" s="612" t="s">
        <v>3615</v>
      </c>
      <c r="E26" s="34">
        <v>30.5</v>
      </c>
      <c r="F26" s="612" t="s">
        <v>3616</v>
      </c>
      <c r="G26" s="612" t="s">
        <v>3617</v>
      </c>
      <c r="I26" s="1655">
        <v>48.39</v>
      </c>
      <c r="J26" s="1655">
        <v>-17.89</v>
      </c>
      <c r="K26" s="1657">
        <f>Entry_Levels[[#This Row],[Distance to Market]]/Entry_Levels[[#This Row],[Value]]</f>
        <v>-0.58655737704918032</v>
      </c>
    </row>
    <row r="27" spans="1:11" x14ac:dyDescent="0.2">
      <c r="A27" s="95" t="s">
        <v>3639</v>
      </c>
      <c r="B27" s="95" t="s">
        <v>3656</v>
      </c>
      <c r="C27" s="95" t="s">
        <v>3641</v>
      </c>
      <c r="D27" s="612" t="s">
        <v>3615</v>
      </c>
      <c r="E27" s="34">
        <v>225</v>
      </c>
      <c r="F27" s="612" t="s">
        <v>3616</v>
      </c>
      <c r="G27" s="612" t="s">
        <v>3617</v>
      </c>
      <c r="I27" s="1655">
        <v>230.7</v>
      </c>
      <c r="J27" s="1655">
        <v>-5.7</v>
      </c>
      <c r="K27" s="1657">
        <f>Entry_Levels[[#This Row],[Distance to Market]]/Entry_Levels[[#This Row],[Value]]</f>
        <v>-2.5333333333333333E-2</v>
      </c>
    </row>
    <row r="28" spans="1:11" x14ac:dyDescent="0.2">
      <c r="A28" s="95" t="s">
        <v>3639</v>
      </c>
      <c r="B28" s="95" t="s">
        <v>3657</v>
      </c>
      <c r="C28" s="95" t="s">
        <v>3641</v>
      </c>
      <c r="D28" s="612" t="s">
        <v>3615</v>
      </c>
      <c r="E28" s="34">
        <v>15.5</v>
      </c>
      <c r="F28" s="612" t="s">
        <v>3616</v>
      </c>
      <c r="G28" s="612" t="s">
        <v>3617</v>
      </c>
      <c r="I28" s="1655">
        <v>21</v>
      </c>
      <c r="J28" s="1655">
        <v>-5.5</v>
      </c>
      <c r="K28" s="1657">
        <f>Entry_Levels[[#This Row],[Distance to Market]]/Entry_Levels[[#This Row],[Value]]</f>
        <v>-0.35483870967741937</v>
      </c>
    </row>
    <row r="29" spans="1:11" x14ac:dyDescent="0.2">
      <c r="A29" s="95" t="s">
        <v>3639</v>
      </c>
      <c r="B29" s="95" t="s">
        <v>3658</v>
      </c>
      <c r="C29" s="95" t="s">
        <v>3641</v>
      </c>
      <c r="D29" s="612" t="s">
        <v>3615</v>
      </c>
      <c r="E29" s="34">
        <v>4.1500000000000004</v>
      </c>
      <c r="F29" s="612" t="s">
        <v>3616</v>
      </c>
      <c r="G29" s="612" t="s">
        <v>3617</v>
      </c>
      <c r="I29" s="1655">
        <v>5.0140000000000002</v>
      </c>
      <c r="J29" s="1655">
        <v>-0.86399999999999999</v>
      </c>
      <c r="K29" s="1657">
        <f>Entry_Levels[[#This Row],[Distance to Market]]/Entry_Levels[[#This Row],[Value]]</f>
        <v>-0.20819277108433734</v>
      </c>
    </row>
    <row r="30" spans="1:11" x14ac:dyDescent="0.2">
      <c r="A30" s="95" t="s">
        <v>3639</v>
      </c>
      <c r="B30" s="95" t="s">
        <v>447</v>
      </c>
      <c r="C30" s="95" t="s">
        <v>3641</v>
      </c>
      <c r="D30" s="612" t="s">
        <v>3615</v>
      </c>
      <c r="E30" s="34">
        <v>91</v>
      </c>
      <c r="F30" s="612" t="s">
        <v>3616</v>
      </c>
      <c r="G30" s="612" t="s">
        <v>3617</v>
      </c>
      <c r="I30" s="1655">
        <v>104.55</v>
      </c>
      <c r="J30" s="1655">
        <v>-13.55</v>
      </c>
      <c r="K30" s="1657">
        <f>Entry_Levels[[#This Row],[Distance to Market]]/Entry_Levels[[#This Row],[Value]]</f>
        <v>-0.1489010989010989</v>
      </c>
    </row>
    <row r="31" spans="1:11" x14ac:dyDescent="0.2">
      <c r="A31" s="95" t="s">
        <v>3639</v>
      </c>
      <c r="B31" s="95" t="s">
        <v>3021</v>
      </c>
      <c r="C31" s="95" t="s">
        <v>3641</v>
      </c>
      <c r="D31" s="612" t="s">
        <v>3615</v>
      </c>
      <c r="E31" s="34">
        <v>70</v>
      </c>
      <c r="F31" s="612" t="s">
        <v>3616</v>
      </c>
      <c r="G31" s="612" t="s">
        <v>3617</v>
      </c>
      <c r="I31" s="1655">
        <v>93.87</v>
      </c>
      <c r="J31" s="1655">
        <v>-23.87</v>
      </c>
      <c r="K31" s="1657">
        <f>Entry_Levels[[#This Row],[Distance to Market]]/Entry_Levels[[#This Row],[Value]]</f>
        <v>-0.34100000000000003</v>
      </c>
    </row>
    <row r="32" spans="1:11" x14ac:dyDescent="0.2">
      <c r="A32" s="95" t="s">
        <v>3639</v>
      </c>
      <c r="B32" s="95" t="s">
        <v>3659</v>
      </c>
      <c r="C32" s="95" t="s">
        <v>3641</v>
      </c>
      <c r="D32" s="612" t="s">
        <v>3615</v>
      </c>
      <c r="E32" s="34">
        <v>250</v>
      </c>
      <c r="F32" s="612" t="s">
        <v>3616</v>
      </c>
      <c r="G32" s="612" t="s">
        <v>3617</v>
      </c>
      <c r="I32" s="1655">
        <v>488.5</v>
      </c>
      <c r="J32" s="1655">
        <v>-238.5</v>
      </c>
      <c r="K32" s="1657">
        <f>Entry_Levels[[#This Row],[Distance to Market]]/Entry_Levels[[#This Row],[Value]]</f>
        <v>-0.95399999999999996</v>
      </c>
    </row>
    <row r="33" spans="1:11" x14ac:dyDescent="0.2">
      <c r="A33" s="95" t="s">
        <v>3639</v>
      </c>
      <c r="B33" s="95" t="s">
        <v>3660</v>
      </c>
      <c r="C33" s="95" t="s">
        <v>3641</v>
      </c>
      <c r="D33" s="612" t="s">
        <v>3615</v>
      </c>
      <c r="E33" s="34">
        <v>60.5</v>
      </c>
      <c r="F33" s="612" t="s">
        <v>3616</v>
      </c>
      <c r="G33" s="612" t="s">
        <v>3617</v>
      </c>
      <c r="I33" s="1655">
        <v>72.099999999999994</v>
      </c>
      <c r="J33" s="1655">
        <v>-11.6</v>
      </c>
      <c r="K33" s="1657">
        <f>Entry_Levels[[#This Row],[Distance to Market]]/Entry_Levels[[#This Row],[Value]]</f>
        <v>-0.19173553719008263</v>
      </c>
    </row>
    <row r="34" spans="1:11" x14ac:dyDescent="0.2">
      <c r="A34" s="95" t="s">
        <v>3639</v>
      </c>
      <c r="B34" s="95" t="s">
        <v>3661</v>
      </c>
      <c r="C34" s="95" t="s">
        <v>3641</v>
      </c>
      <c r="D34" s="612" t="s">
        <v>3615</v>
      </c>
      <c r="E34" s="34">
        <v>175</v>
      </c>
      <c r="F34" s="612" t="s">
        <v>3616</v>
      </c>
      <c r="G34" s="612" t="s">
        <v>3617</v>
      </c>
      <c r="I34" s="1655">
        <v>190.75</v>
      </c>
      <c r="J34" s="1655">
        <v>-15.75</v>
      </c>
      <c r="K34" s="1657">
        <f>Entry_Levels[[#This Row],[Distance to Market]]/Entry_Levels[[#This Row],[Value]]</f>
        <v>-0.09</v>
      </c>
    </row>
    <row r="35" spans="1:11" x14ac:dyDescent="0.2">
      <c r="A35" s="95" t="s">
        <v>3639</v>
      </c>
      <c r="B35" s="95" t="s">
        <v>3662</v>
      </c>
      <c r="C35" s="95" t="s">
        <v>3641</v>
      </c>
      <c r="D35" s="612" t="s">
        <v>3615</v>
      </c>
      <c r="E35" s="34" t="s">
        <v>3663</v>
      </c>
      <c r="F35" s="612" t="s">
        <v>3616</v>
      </c>
      <c r="G35" s="612" t="s">
        <v>3617</v>
      </c>
      <c r="I35" s="1655" t="s">
        <v>3664</v>
      </c>
      <c r="J35" s="1655">
        <v>-56.44</v>
      </c>
      <c r="K35" s="1657">
        <f>Entry_Levels[[#This Row],[Distance to Market]]/Entry_Levels[[#This Row],[Value]]</f>
        <v>-5.6439999999999997E-2</v>
      </c>
    </row>
    <row r="36" spans="1:11" x14ac:dyDescent="0.2">
      <c r="A36" s="95" t="s">
        <v>3639</v>
      </c>
      <c r="B36" s="95" t="s">
        <v>3665</v>
      </c>
      <c r="C36" s="95" t="s">
        <v>3641</v>
      </c>
      <c r="D36" s="612" t="s">
        <v>3615</v>
      </c>
      <c r="E36" s="34">
        <v>85</v>
      </c>
      <c r="F36" s="612" t="s">
        <v>3616</v>
      </c>
      <c r="G36" s="612" t="s">
        <v>3617</v>
      </c>
      <c r="I36" s="1655">
        <v>113</v>
      </c>
      <c r="J36" s="1655">
        <v>-28</v>
      </c>
      <c r="K36" s="1657">
        <f>Entry_Levels[[#This Row],[Distance to Market]]/Entry_Levels[[#This Row],[Value]]</f>
        <v>-0.32941176470588235</v>
      </c>
    </row>
    <row r="37" spans="1:11" x14ac:dyDescent="0.2">
      <c r="A37" s="95" t="s">
        <v>3639</v>
      </c>
      <c r="B37" s="95" t="s">
        <v>3665</v>
      </c>
      <c r="C37" s="95" t="s">
        <v>3641</v>
      </c>
      <c r="D37" s="612" t="s">
        <v>3615</v>
      </c>
      <c r="E37" s="34">
        <v>75</v>
      </c>
      <c r="F37" s="612" t="s">
        <v>3616</v>
      </c>
      <c r="G37" s="612" t="s">
        <v>3617</v>
      </c>
      <c r="I37" s="1655">
        <v>113</v>
      </c>
      <c r="J37" s="1655">
        <v>-38</v>
      </c>
      <c r="K37" s="1657">
        <f>Entry_Levels[[#This Row],[Distance to Market]]/Entry_Levels[[#This Row],[Value]]</f>
        <v>-0.50666666666666671</v>
      </c>
    </row>
    <row r="38" spans="1:11" x14ac:dyDescent="0.2">
      <c r="A38" s="95" t="s">
        <v>3639</v>
      </c>
      <c r="B38" s="95" t="s">
        <v>3666</v>
      </c>
      <c r="C38" s="95" t="s">
        <v>3641</v>
      </c>
      <c r="D38" s="612" t="s">
        <v>3615</v>
      </c>
      <c r="E38" s="34">
        <v>50</v>
      </c>
      <c r="F38" s="612" t="s">
        <v>3616</v>
      </c>
      <c r="G38" s="612" t="s">
        <v>3617</v>
      </c>
      <c r="I38" s="1655">
        <v>54</v>
      </c>
      <c r="J38" s="1655">
        <v>-4</v>
      </c>
      <c r="K38" s="1657">
        <f>Entry_Levels[[#This Row],[Distance to Market]]/Entry_Levels[[#This Row],[Value]]</f>
        <v>-0.08</v>
      </c>
    </row>
    <row r="39" spans="1:11" x14ac:dyDescent="0.2">
      <c r="A39" s="95" t="s">
        <v>3639</v>
      </c>
      <c r="B39" s="95" t="s">
        <v>3667</v>
      </c>
      <c r="C39" s="95" t="s">
        <v>3641</v>
      </c>
      <c r="D39" s="612" t="s">
        <v>3615</v>
      </c>
      <c r="E39" s="34">
        <v>41</v>
      </c>
      <c r="F39" s="612" t="s">
        <v>3616</v>
      </c>
      <c r="G39" s="612" t="s">
        <v>3617</v>
      </c>
      <c r="I39" s="1655"/>
      <c r="J39" s="1655"/>
      <c r="K39" s="1657">
        <f>Entry_Levels[[#This Row],[Distance to Market]]/Entry_Levels[[#This Row],[Value]]</f>
        <v>0</v>
      </c>
    </row>
    <row r="40" spans="1:11" x14ac:dyDescent="0.2">
      <c r="A40" s="95" t="s">
        <v>3639</v>
      </c>
      <c r="B40" s="95" t="s">
        <v>3668</v>
      </c>
      <c r="C40" s="95" t="s">
        <v>3641</v>
      </c>
      <c r="D40" s="612" t="s">
        <v>3615</v>
      </c>
      <c r="E40" s="34" t="s">
        <v>3669</v>
      </c>
      <c r="F40" s="612" t="s">
        <v>3616</v>
      </c>
      <c r="G40" s="612" t="s">
        <v>3617</v>
      </c>
      <c r="I40" s="1655"/>
      <c r="J40" s="1655"/>
      <c r="K40" s="1657">
        <f>Entry_Levels[[#This Row],[Distance to Market]]/Entry_Levels[[#This Row],[Value]]</f>
        <v>0</v>
      </c>
    </row>
    <row r="41" spans="1:11" x14ac:dyDescent="0.2">
      <c r="A41" s="95" t="s">
        <v>3639</v>
      </c>
      <c r="B41" s="95" t="s">
        <v>3670</v>
      </c>
      <c r="C41" s="95" t="s">
        <v>3641</v>
      </c>
      <c r="D41" s="612" t="s">
        <v>3615</v>
      </c>
      <c r="E41" s="34">
        <v>160</v>
      </c>
      <c r="F41" s="612" t="s">
        <v>3616</v>
      </c>
      <c r="G41" s="612" t="s">
        <v>3617</v>
      </c>
      <c r="I41" s="1655"/>
      <c r="J41" s="1655"/>
      <c r="K41" s="1657">
        <f>Entry_Levels[[#This Row],[Distance to Market]]/Entry_Levels[[#This Row],[Value]]</f>
        <v>0</v>
      </c>
    </row>
    <row r="42" spans="1:11" x14ac:dyDescent="0.2">
      <c r="A42" s="95" t="s">
        <v>3639</v>
      </c>
      <c r="B42" s="95" t="s">
        <v>3670</v>
      </c>
      <c r="C42" s="95" t="s">
        <v>3641</v>
      </c>
      <c r="D42" s="612" t="s">
        <v>3615</v>
      </c>
      <c r="E42" s="34">
        <v>181</v>
      </c>
      <c r="F42" s="612" t="s">
        <v>3616</v>
      </c>
      <c r="G42" s="612" t="s">
        <v>3617</v>
      </c>
      <c r="I42" s="1655"/>
      <c r="J42" s="1655"/>
      <c r="K42" s="1657">
        <f>Entry_Levels[[#This Row],[Distance to Market]]/Entry_Levels[[#This Row],[Value]]</f>
        <v>0</v>
      </c>
    </row>
    <row r="43" spans="1:11" x14ac:dyDescent="0.2">
      <c r="A43" s="95" t="s">
        <v>3639</v>
      </c>
      <c r="B43" s="95" t="s">
        <v>3670</v>
      </c>
      <c r="C43" s="95" t="s">
        <v>3641</v>
      </c>
      <c r="D43" s="612" t="s">
        <v>3615</v>
      </c>
      <c r="E43" s="34">
        <v>180</v>
      </c>
      <c r="F43" s="612" t="s">
        <v>3616</v>
      </c>
      <c r="G43" s="612" t="s">
        <v>3617</v>
      </c>
      <c r="I43" s="1655"/>
      <c r="J43" s="1655"/>
      <c r="K43" s="1657">
        <f>Entry_Levels[[#This Row],[Distance to Market]]/Entry_Levels[[#This Row],[Value]]</f>
        <v>0</v>
      </c>
    </row>
    <row r="44" spans="1:11" x14ac:dyDescent="0.2">
      <c r="A44" s="95" t="s">
        <v>3639</v>
      </c>
      <c r="B44" s="95" t="s">
        <v>3671</v>
      </c>
      <c r="C44" s="95" t="s">
        <v>3641</v>
      </c>
      <c r="D44" s="612" t="s">
        <v>3615</v>
      </c>
      <c r="E44" s="34">
        <v>180</v>
      </c>
      <c r="F44" s="612" t="s">
        <v>3616</v>
      </c>
      <c r="G44" s="612" t="s">
        <v>3617</v>
      </c>
      <c r="H44" s="95" t="s">
        <v>3672</v>
      </c>
      <c r="I44" s="1655"/>
      <c r="J44" s="1655"/>
      <c r="K44" s="1657">
        <f>Entry_Levels[[#This Row],[Distance to Market]]/Entry_Levels[[#This Row],[Value]]</f>
        <v>0</v>
      </c>
    </row>
    <row r="45" spans="1:11" x14ac:dyDescent="0.2">
      <c r="A45" s="95" t="s">
        <v>3639</v>
      </c>
      <c r="B45" s="95" t="s">
        <v>3673</v>
      </c>
      <c r="C45" s="95" t="s">
        <v>3641</v>
      </c>
      <c r="D45" s="612" t="s">
        <v>3615</v>
      </c>
      <c r="E45" s="34">
        <v>172</v>
      </c>
      <c r="F45" s="612" t="s">
        <v>3616</v>
      </c>
      <c r="G45" s="612" t="s">
        <v>3617</v>
      </c>
      <c r="I45" s="1655"/>
      <c r="J45" s="1655"/>
      <c r="K45" s="1657">
        <f>Entry_Levels[[#This Row],[Distance to Market]]/Entry_Levels[[#This Row],[Value]]</f>
        <v>0</v>
      </c>
    </row>
    <row r="46" spans="1:11" x14ac:dyDescent="0.2">
      <c r="A46" s="95" t="s">
        <v>3639</v>
      </c>
      <c r="B46" s="95" t="s">
        <v>3674</v>
      </c>
      <c r="C46" s="95" t="s">
        <v>3641</v>
      </c>
      <c r="D46" s="612" t="s">
        <v>3615</v>
      </c>
      <c r="E46" s="34">
        <v>69</v>
      </c>
      <c r="F46" s="612" t="s">
        <v>3616</v>
      </c>
      <c r="G46" s="612" t="s">
        <v>3617</v>
      </c>
      <c r="I46" s="1655"/>
      <c r="J46" s="1655"/>
      <c r="K46" s="1657">
        <f>Entry_Levels[[#This Row],[Distance to Market]]/Entry_Levels[[#This Row],[Value]]</f>
        <v>0</v>
      </c>
    </row>
    <row r="47" spans="1:11" x14ac:dyDescent="0.2">
      <c r="A47" s="95" t="s">
        <v>3639</v>
      </c>
      <c r="B47" s="95" t="s">
        <v>3674</v>
      </c>
      <c r="C47" s="95" t="s">
        <v>3641</v>
      </c>
      <c r="D47" s="612" t="s">
        <v>3615</v>
      </c>
      <c r="E47" s="34">
        <v>75</v>
      </c>
      <c r="F47" s="612" t="s">
        <v>3616</v>
      </c>
      <c r="G47" s="612" t="s">
        <v>3617</v>
      </c>
      <c r="I47" s="1655"/>
      <c r="J47" s="1655"/>
      <c r="K47" s="1657">
        <f>Entry_Levels[[#This Row],[Distance to Market]]/Entry_Levels[[#This Row],[Value]]</f>
        <v>0</v>
      </c>
    </row>
    <row r="48" spans="1:11" x14ac:dyDescent="0.2">
      <c r="A48" s="95" t="s">
        <v>3639</v>
      </c>
      <c r="B48" s="95" t="s">
        <v>3675</v>
      </c>
      <c r="C48" s="95" t="s">
        <v>3641</v>
      </c>
      <c r="D48" s="612" t="s">
        <v>3615</v>
      </c>
      <c r="E48" s="34">
        <v>135</v>
      </c>
      <c r="F48" s="612" t="s">
        <v>3616</v>
      </c>
      <c r="G48" s="612" t="s">
        <v>3617</v>
      </c>
      <c r="I48" s="1655"/>
      <c r="J48" s="1655"/>
      <c r="K48" s="1657">
        <f>Entry_Levels[[#This Row],[Distance to Market]]/Entry_Levels[[#This Row],[Value]]</f>
        <v>0</v>
      </c>
    </row>
    <row r="49" spans="1:11" x14ac:dyDescent="0.2">
      <c r="A49" s="95" t="s">
        <v>3639</v>
      </c>
      <c r="B49" s="95" t="s">
        <v>3675</v>
      </c>
      <c r="C49" s="95" t="s">
        <v>3641</v>
      </c>
      <c r="D49" s="612" t="s">
        <v>3615</v>
      </c>
      <c r="E49" s="34">
        <v>140</v>
      </c>
      <c r="F49" s="612" t="s">
        <v>3616</v>
      </c>
      <c r="G49" s="612" t="s">
        <v>3617</v>
      </c>
      <c r="I49" s="1655"/>
      <c r="J49" s="1655"/>
      <c r="K49" s="1657">
        <f>Entry_Levels[[#This Row],[Distance to Market]]/Entry_Levels[[#This Row],[Value]]</f>
        <v>0</v>
      </c>
    </row>
    <row r="50" spans="1:11" x14ac:dyDescent="0.2">
      <c r="A50" s="95" t="s">
        <v>3639</v>
      </c>
      <c r="B50" s="95" t="s">
        <v>3676</v>
      </c>
      <c r="C50" s="95" t="s">
        <v>3641</v>
      </c>
      <c r="D50" s="612" t="s">
        <v>3615</v>
      </c>
      <c r="E50" s="34">
        <v>27.5</v>
      </c>
      <c r="F50" s="612" t="s">
        <v>3616</v>
      </c>
      <c r="G50" s="612" t="s">
        <v>3617</v>
      </c>
      <c r="I50" s="1655"/>
      <c r="J50" s="1655"/>
      <c r="K50" s="1657">
        <f>Entry_Levels[[#This Row],[Distance to Market]]/Entry_Levels[[#This Row],[Value]]</f>
        <v>0</v>
      </c>
    </row>
    <row r="51" spans="1:11" x14ac:dyDescent="0.2">
      <c r="A51" s="95" t="s">
        <v>3639</v>
      </c>
      <c r="B51" s="95" t="s">
        <v>3676</v>
      </c>
      <c r="C51" s="95" t="s">
        <v>3641</v>
      </c>
      <c r="D51" s="612" t="s">
        <v>3615</v>
      </c>
      <c r="E51" s="34">
        <v>26</v>
      </c>
      <c r="F51" s="612" t="s">
        <v>3616</v>
      </c>
      <c r="G51" s="612" t="s">
        <v>3617</v>
      </c>
      <c r="I51" s="1655"/>
      <c r="J51" s="1655"/>
      <c r="K51" s="1657">
        <f>Entry_Levels[[#This Row],[Distance to Market]]/Entry_Levels[[#This Row],[Value]]</f>
        <v>0</v>
      </c>
    </row>
    <row r="52" spans="1:11" x14ac:dyDescent="0.2">
      <c r="A52" s="95" t="s">
        <v>3639</v>
      </c>
      <c r="B52" s="95" t="s">
        <v>3676</v>
      </c>
      <c r="C52" s="95" t="s">
        <v>3641</v>
      </c>
      <c r="D52" s="612" t="s">
        <v>3615</v>
      </c>
      <c r="E52" s="34">
        <v>26</v>
      </c>
      <c r="F52" s="612" t="s">
        <v>3616</v>
      </c>
      <c r="G52" s="612" t="s">
        <v>3617</v>
      </c>
      <c r="I52" s="1655"/>
      <c r="J52" s="1655"/>
      <c r="K52" s="1657">
        <f>Entry_Levels[[#This Row],[Distance to Market]]/Entry_Levels[[#This Row],[Value]]</f>
        <v>0</v>
      </c>
    </row>
    <row r="53" spans="1:11" x14ac:dyDescent="0.2">
      <c r="A53" s="95" t="s">
        <v>3639</v>
      </c>
      <c r="B53" s="95" t="s">
        <v>3676</v>
      </c>
      <c r="C53" s="95" t="s">
        <v>3641</v>
      </c>
      <c r="D53" s="612" t="s">
        <v>3615</v>
      </c>
      <c r="E53" s="34">
        <v>26</v>
      </c>
      <c r="F53" s="612" t="s">
        <v>3616</v>
      </c>
      <c r="G53" s="612" t="s">
        <v>3617</v>
      </c>
      <c r="I53" s="1655"/>
      <c r="J53" s="1655"/>
      <c r="K53" s="1657">
        <f>Entry_Levels[[#This Row],[Distance to Market]]/Entry_Levels[[#This Row],[Value]]</f>
        <v>0</v>
      </c>
    </row>
    <row r="54" spans="1:11" x14ac:dyDescent="0.2">
      <c r="A54" s="95" t="s">
        <v>3639</v>
      </c>
      <c r="B54" s="95" t="s">
        <v>3677</v>
      </c>
      <c r="C54" s="95" t="s">
        <v>3641</v>
      </c>
      <c r="D54" s="612" t="s">
        <v>3615</v>
      </c>
      <c r="E54" s="34">
        <v>10</v>
      </c>
      <c r="F54" s="612" t="s">
        <v>3616</v>
      </c>
      <c r="G54" s="612" t="s">
        <v>3617</v>
      </c>
      <c r="I54" s="1655"/>
      <c r="J54" s="1655"/>
      <c r="K54" s="1657">
        <f>Entry_Levels[[#This Row],[Distance to Market]]/Entry_Levels[[#This Row],[Value]]</f>
        <v>0</v>
      </c>
    </row>
    <row r="55" spans="1:11" x14ac:dyDescent="0.2">
      <c r="A55" s="95" t="s">
        <v>3639</v>
      </c>
      <c r="B55" s="95" t="s">
        <v>3678</v>
      </c>
      <c r="C55" s="95" t="s">
        <v>3641</v>
      </c>
      <c r="D55" s="612" t="s">
        <v>3615</v>
      </c>
      <c r="E55" s="34">
        <v>126</v>
      </c>
      <c r="F55" s="612" t="s">
        <v>3616</v>
      </c>
      <c r="G55" s="612" t="s">
        <v>3617</v>
      </c>
      <c r="I55" s="1655"/>
      <c r="J55" s="1655"/>
      <c r="K55" s="1657">
        <f>Entry_Levels[[#This Row],[Distance to Market]]/Entry_Levels[[#This Row],[Value]]</f>
        <v>0</v>
      </c>
    </row>
    <row r="56" spans="1:11" x14ac:dyDescent="0.2">
      <c r="A56" s="95" t="s">
        <v>3639</v>
      </c>
      <c r="B56" s="95" t="s">
        <v>3678</v>
      </c>
      <c r="C56" s="95" t="s">
        <v>3641</v>
      </c>
      <c r="D56" s="612" t="s">
        <v>3615</v>
      </c>
      <c r="E56" s="34">
        <v>125</v>
      </c>
      <c r="F56" s="612" t="s">
        <v>3616</v>
      </c>
      <c r="G56" s="612" t="s">
        <v>3617</v>
      </c>
      <c r="I56" s="1655"/>
      <c r="J56" s="1655"/>
      <c r="K56" s="1657">
        <f>Entry_Levels[[#This Row],[Distance to Market]]/Entry_Levels[[#This Row],[Value]]</f>
        <v>0</v>
      </c>
    </row>
    <row r="57" spans="1:11" x14ac:dyDescent="0.2">
      <c r="A57" s="95" t="s">
        <v>3639</v>
      </c>
      <c r="B57" s="95" t="s">
        <v>3679</v>
      </c>
      <c r="C57" s="95" t="s">
        <v>3641</v>
      </c>
      <c r="D57" s="612" t="s">
        <v>3615</v>
      </c>
      <c r="E57" s="34">
        <v>150</v>
      </c>
      <c r="F57" s="612" t="s">
        <v>3616</v>
      </c>
      <c r="G57" s="612" t="s">
        <v>3617</v>
      </c>
      <c r="I57" s="1655"/>
      <c r="J57" s="1655"/>
      <c r="K57" s="1657">
        <f>Entry_Levels[[#This Row],[Distance to Market]]/Entry_Levels[[#This Row],[Value]]</f>
        <v>0</v>
      </c>
    </row>
    <row r="58" spans="1:11" x14ac:dyDescent="0.2">
      <c r="A58" s="95" t="s">
        <v>3639</v>
      </c>
      <c r="B58" s="95" t="s">
        <v>3680</v>
      </c>
      <c r="C58" s="95" t="s">
        <v>3641</v>
      </c>
      <c r="D58" s="612" t="s">
        <v>3615</v>
      </c>
      <c r="E58" s="34">
        <v>10.6</v>
      </c>
      <c r="F58" s="612" t="s">
        <v>3616</v>
      </c>
      <c r="G58" s="612" t="s">
        <v>3617</v>
      </c>
      <c r="I58" s="1655"/>
      <c r="J58" s="1655"/>
      <c r="K58" s="1657">
        <f>Entry_Levels[[#This Row],[Distance to Market]]/Entry_Levels[[#This Row],[Value]]</f>
        <v>0</v>
      </c>
    </row>
    <row r="59" spans="1:11" x14ac:dyDescent="0.2">
      <c r="A59" s="95" t="s">
        <v>3639</v>
      </c>
      <c r="B59" s="95" t="s">
        <v>3681</v>
      </c>
      <c r="C59" s="95" t="s">
        <v>3641</v>
      </c>
      <c r="D59" s="612" t="s">
        <v>3615</v>
      </c>
      <c r="E59" s="34">
        <v>25</v>
      </c>
      <c r="F59" s="612" t="s">
        <v>3616</v>
      </c>
      <c r="G59" s="612" t="s">
        <v>3617</v>
      </c>
      <c r="I59" s="1655"/>
      <c r="J59" s="1655"/>
      <c r="K59" s="1657">
        <f>Entry_Levels[[#This Row],[Distance to Market]]/Entry_Levels[[#This Row],[Value]]</f>
        <v>0</v>
      </c>
    </row>
    <row r="60" spans="1:11" x14ac:dyDescent="0.2">
      <c r="A60" s="95" t="s">
        <v>3639</v>
      </c>
      <c r="B60" s="95" t="s">
        <v>3682</v>
      </c>
      <c r="C60" s="95" t="s">
        <v>3641</v>
      </c>
      <c r="D60" s="612" t="s">
        <v>3615</v>
      </c>
      <c r="E60" s="34">
        <v>96</v>
      </c>
      <c r="F60" s="612" t="s">
        <v>3616</v>
      </c>
      <c r="G60" s="612" t="s">
        <v>3617</v>
      </c>
      <c r="I60" s="1655"/>
      <c r="J60" s="1655"/>
      <c r="K60" s="1657">
        <f>Entry_Levels[[#This Row],[Distance to Market]]/Entry_Levels[[#This Row],[Value]]</f>
        <v>0</v>
      </c>
    </row>
    <row r="61" spans="1:11" x14ac:dyDescent="0.2">
      <c r="A61" s="95" t="s">
        <v>3639</v>
      </c>
      <c r="B61" s="95" t="s">
        <v>3683</v>
      </c>
      <c r="C61" s="95" t="s">
        <v>3641</v>
      </c>
      <c r="D61" s="612" t="s">
        <v>3615</v>
      </c>
      <c r="E61" s="34">
        <v>165</v>
      </c>
      <c r="F61" s="612" t="s">
        <v>3616</v>
      </c>
      <c r="G61" s="612" t="s">
        <v>3617</v>
      </c>
      <c r="I61" s="1655"/>
      <c r="J61" s="1655"/>
      <c r="K61" s="1657">
        <f>Entry_Levels[[#This Row],[Distance to Market]]/Entry_Levels[[#This Row],[Value]]</f>
        <v>0</v>
      </c>
    </row>
    <row r="62" spans="1:11" x14ac:dyDescent="0.2">
      <c r="A62" s="95" t="s">
        <v>3639</v>
      </c>
      <c r="B62" s="95" t="s">
        <v>3683</v>
      </c>
      <c r="C62" s="95" t="s">
        <v>3641</v>
      </c>
      <c r="D62" s="612" t="s">
        <v>3615</v>
      </c>
      <c r="E62" s="34">
        <v>175</v>
      </c>
      <c r="F62" s="612" t="s">
        <v>3616</v>
      </c>
      <c r="G62" s="612" t="s">
        <v>3617</v>
      </c>
      <c r="I62" s="1655"/>
      <c r="J62" s="1655"/>
      <c r="K62" s="1657">
        <f>Entry_Levels[[#This Row],[Distance to Market]]/Entry_Levels[[#This Row],[Value]]</f>
        <v>0</v>
      </c>
    </row>
    <row r="63" spans="1:11" x14ac:dyDescent="0.2">
      <c r="A63" s="95" t="s">
        <v>3639</v>
      </c>
      <c r="B63" s="95" t="s">
        <v>3684</v>
      </c>
      <c r="C63" s="95" t="s">
        <v>3641</v>
      </c>
      <c r="D63" s="612" t="s">
        <v>3615</v>
      </c>
      <c r="E63" s="34">
        <v>81</v>
      </c>
      <c r="F63" s="612" t="s">
        <v>3616</v>
      </c>
      <c r="G63" s="612" t="s">
        <v>3617</v>
      </c>
      <c r="I63" s="1655"/>
      <c r="J63" s="1655"/>
      <c r="K63" s="1657">
        <f>Entry_Levels[[#This Row],[Distance to Market]]/Entry_Levels[[#This Row],[Value]]</f>
        <v>0</v>
      </c>
    </row>
    <row r="64" spans="1:11" x14ac:dyDescent="0.2">
      <c r="A64" s="95" t="s">
        <v>3639</v>
      </c>
      <c r="B64" s="95" t="s">
        <v>3685</v>
      </c>
      <c r="C64" s="95" t="s">
        <v>3641</v>
      </c>
      <c r="D64" s="612" t="s">
        <v>3615</v>
      </c>
      <c r="E64" s="34">
        <v>100</v>
      </c>
      <c r="F64" s="612" t="s">
        <v>3616</v>
      </c>
      <c r="G64" s="612" t="s">
        <v>3617</v>
      </c>
      <c r="I64" s="1655"/>
      <c r="J64" s="1655"/>
      <c r="K64" s="1657">
        <f>Entry_Levels[[#This Row],[Distance to Market]]/Entry_Levels[[#This Row],[Value]]</f>
        <v>0</v>
      </c>
    </row>
    <row r="65" spans="1:11" x14ac:dyDescent="0.2">
      <c r="A65" s="95" t="s">
        <v>3639</v>
      </c>
      <c r="B65" s="95" t="s">
        <v>3686</v>
      </c>
      <c r="C65" s="95" t="s">
        <v>3641</v>
      </c>
      <c r="D65" s="612" t="s">
        <v>3615</v>
      </c>
      <c r="E65" s="34">
        <v>110</v>
      </c>
      <c r="F65" s="612" t="s">
        <v>3616</v>
      </c>
      <c r="G65" s="612" t="s">
        <v>3617</v>
      </c>
      <c r="I65" s="1655"/>
      <c r="J65" s="1655"/>
      <c r="K65" s="1657">
        <f>Entry_Levels[[#This Row],[Distance to Market]]/Entry_Levels[[#This Row],[Value]]</f>
        <v>0</v>
      </c>
    </row>
    <row r="66" spans="1:11" x14ac:dyDescent="0.2">
      <c r="A66" s="95" t="s">
        <v>3639</v>
      </c>
      <c r="B66" s="95" t="s">
        <v>3687</v>
      </c>
      <c r="C66" s="95" t="s">
        <v>3641</v>
      </c>
      <c r="D66" s="612" t="s">
        <v>3615</v>
      </c>
      <c r="E66" s="34">
        <v>150</v>
      </c>
      <c r="F66" s="612" t="s">
        <v>3616</v>
      </c>
      <c r="G66" s="612" t="s">
        <v>3617</v>
      </c>
      <c r="I66" s="1655"/>
      <c r="J66" s="1655"/>
      <c r="K66" s="1657">
        <f>Entry_Levels[[#This Row],[Distance to Market]]/Entry_Levels[[#This Row],[Value]]</f>
        <v>0</v>
      </c>
    </row>
    <row r="67" spans="1:11" x14ac:dyDescent="0.2">
      <c r="A67" s="95" t="s">
        <v>3639</v>
      </c>
      <c r="B67" s="95" t="s">
        <v>3688</v>
      </c>
      <c r="C67" s="95" t="s">
        <v>3641</v>
      </c>
      <c r="D67" s="612" t="s">
        <v>3619</v>
      </c>
      <c r="E67" s="34">
        <v>574</v>
      </c>
      <c r="F67" s="612" t="s">
        <v>3616</v>
      </c>
      <c r="G67" s="612" t="s">
        <v>3617</v>
      </c>
      <c r="I67" s="1655"/>
      <c r="J67" s="1655"/>
      <c r="K67" s="1657">
        <f>Entry_Levels[[#This Row],[Distance to Market]]/Entry_Levels[[#This Row],[Value]]</f>
        <v>0</v>
      </c>
    </row>
    <row r="68" spans="1:11" x14ac:dyDescent="0.2">
      <c r="A68" s="95" t="s">
        <v>3639</v>
      </c>
      <c r="B68" s="95" t="s">
        <v>3689</v>
      </c>
      <c r="C68" s="95" t="s">
        <v>3641</v>
      </c>
      <c r="D68" s="612" t="s">
        <v>3615</v>
      </c>
      <c r="E68" s="34">
        <v>8.5</v>
      </c>
      <c r="F68" s="612" t="s">
        <v>3616</v>
      </c>
      <c r="G68" s="612" t="s">
        <v>3617</v>
      </c>
      <c r="I68" s="1655"/>
      <c r="J68" s="1655"/>
      <c r="K68" s="1657">
        <f>Entry_Levels[[#This Row],[Distance to Market]]/Entry_Levels[[#This Row],[Value]]</f>
        <v>0</v>
      </c>
    </row>
    <row r="69" spans="1:11" x14ac:dyDescent="0.2">
      <c r="A69" s="95" t="s">
        <v>3639</v>
      </c>
      <c r="B69" s="95" t="s">
        <v>3690</v>
      </c>
      <c r="C69" s="95" t="s">
        <v>3641</v>
      </c>
      <c r="D69" s="612" t="s">
        <v>3615</v>
      </c>
      <c r="E69" s="34">
        <v>256</v>
      </c>
      <c r="F69" s="612" t="s">
        <v>3616</v>
      </c>
      <c r="G69" s="612" t="s">
        <v>3617</v>
      </c>
      <c r="I69" s="1655"/>
      <c r="J69" s="1655"/>
      <c r="K69" s="1657">
        <f>Entry_Levels[[#This Row],[Distance to Market]]/Entry_Levels[[#This Row],[Value]]</f>
        <v>0</v>
      </c>
    </row>
    <row r="70" spans="1:11" x14ac:dyDescent="0.2">
      <c r="A70" s="95" t="s">
        <v>3639</v>
      </c>
      <c r="B70" s="95" t="s">
        <v>3691</v>
      </c>
      <c r="C70" s="95" t="s">
        <v>3641</v>
      </c>
      <c r="D70" s="612" t="s">
        <v>3619</v>
      </c>
      <c r="E70" s="34">
        <v>7.5</v>
      </c>
      <c r="F70" s="612" t="s">
        <v>3616</v>
      </c>
      <c r="G70" s="612" t="s">
        <v>3617</v>
      </c>
      <c r="I70" s="1655"/>
      <c r="J70" s="1655"/>
      <c r="K70" s="1657">
        <f>Entry_Levels[[#This Row],[Distance to Market]]/Entry_Levels[[#This Row],[Value]]</f>
        <v>0</v>
      </c>
    </row>
    <row r="71" spans="1:11" x14ac:dyDescent="0.2">
      <c r="A71" s="95" t="s">
        <v>3639</v>
      </c>
      <c r="B71" s="95" t="s">
        <v>3692</v>
      </c>
      <c r="C71" s="95" t="s">
        <v>3641</v>
      </c>
      <c r="D71" s="612" t="s">
        <v>3615</v>
      </c>
      <c r="E71" s="34">
        <v>19</v>
      </c>
      <c r="F71" s="612" t="s">
        <v>3616</v>
      </c>
      <c r="G71" s="612" t="s">
        <v>3617</v>
      </c>
      <c r="I71" s="1655"/>
      <c r="J71" s="1655"/>
      <c r="K71" s="1657">
        <f>Entry_Levels[[#This Row],[Distance to Market]]/Entry_Levels[[#This Row],[Value]]</f>
        <v>0</v>
      </c>
    </row>
    <row r="72" spans="1:11" x14ac:dyDescent="0.2">
      <c r="A72" s="95" t="s">
        <v>3639</v>
      </c>
      <c r="B72" s="95" t="s">
        <v>3693</v>
      </c>
      <c r="C72" s="95" t="s">
        <v>3641</v>
      </c>
      <c r="D72" s="612" t="s">
        <v>3615</v>
      </c>
      <c r="E72" s="34">
        <v>3</v>
      </c>
      <c r="F72" s="612" t="s">
        <v>3616</v>
      </c>
      <c r="G72" s="612" t="s">
        <v>3617</v>
      </c>
      <c r="I72" s="1655"/>
      <c r="J72" s="1655"/>
      <c r="K72" s="1657">
        <f>Entry_Levels[[#This Row],[Distance to Market]]/Entry_Levels[[#This Row],[Value]]</f>
        <v>0</v>
      </c>
    </row>
    <row r="73" spans="1:11" x14ac:dyDescent="0.2">
      <c r="A73" s="95" t="s">
        <v>3639</v>
      </c>
      <c r="B73" s="95" t="s">
        <v>3694</v>
      </c>
      <c r="C73" s="95" t="s">
        <v>3641</v>
      </c>
      <c r="D73" s="612" t="s">
        <v>3615</v>
      </c>
      <c r="E73" s="34">
        <v>5.5</v>
      </c>
      <c r="F73" s="612" t="s">
        <v>3616</v>
      </c>
      <c r="G73" s="612" t="s">
        <v>3617</v>
      </c>
      <c r="I73" s="1655"/>
      <c r="J73" s="1655"/>
      <c r="K73" s="1657">
        <f>Entry_Levels[[#This Row],[Distance to Market]]/Entry_Levels[[#This Row],[Value]]</f>
        <v>0</v>
      </c>
    </row>
    <row r="74" spans="1:11" x14ac:dyDescent="0.2">
      <c r="A74" s="95" t="s">
        <v>3639</v>
      </c>
      <c r="B74" s="95" t="s">
        <v>3695</v>
      </c>
      <c r="C74" s="95" t="s">
        <v>3641</v>
      </c>
      <c r="D74" s="612" t="s">
        <v>3615</v>
      </c>
      <c r="E74" s="34">
        <v>62</v>
      </c>
      <c r="F74" s="612" t="s">
        <v>3616</v>
      </c>
      <c r="G74" s="612" t="s">
        <v>3617</v>
      </c>
      <c r="I74" s="1655"/>
      <c r="J74" s="1655"/>
      <c r="K74" s="1657">
        <f>Entry_Levels[[#This Row],[Distance to Market]]/Entry_Levels[[#This Row],[Value]]</f>
        <v>0</v>
      </c>
    </row>
    <row r="75" spans="1:11" x14ac:dyDescent="0.2">
      <c r="A75" s="95" t="s">
        <v>3639</v>
      </c>
      <c r="B75" s="95" t="s">
        <v>3696</v>
      </c>
      <c r="C75" s="95" t="s">
        <v>3641</v>
      </c>
      <c r="D75" s="612" t="s">
        <v>3615</v>
      </c>
      <c r="E75" s="34">
        <v>60</v>
      </c>
      <c r="F75" s="612" t="s">
        <v>3616</v>
      </c>
      <c r="G75" s="612" t="s">
        <v>3617</v>
      </c>
      <c r="I75" s="1655"/>
      <c r="J75" s="1655"/>
      <c r="K75" s="1657">
        <f>Entry_Levels[[#This Row],[Distance to Market]]/Entry_Levels[[#This Row],[Value]]</f>
        <v>0</v>
      </c>
    </row>
    <row r="76" spans="1:11" x14ac:dyDescent="0.2">
      <c r="A76" s="95" t="s">
        <v>3639</v>
      </c>
      <c r="B76" s="95" t="s">
        <v>3697</v>
      </c>
      <c r="C76" s="95" t="s">
        <v>3641</v>
      </c>
      <c r="D76" s="612" t="s">
        <v>3615</v>
      </c>
      <c r="E76" s="34">
        <v>15</v>
      </c>
      <c r="F76" s="612" t="s">
        <v>3616</v>
      </c>
      <c r="G76" s="612" t="s">
        <v>3617</v>
      </c>
      <c r="I76" s="1655"/>
      <c r="J76" s="1655"/>
      <c r="K76" s="1657">
        <f>Entry_Levels[[#This Row],[Distance to Market]]/Entry_Levels[[#This Row],[Value]]</f>
        <v>0</v>
      </c>
    </row>
    <row r="77" spans="1:11" x14ac:dyDescent="0.2">
      <c r="A77" s="95" t="s">
        <v>3639</v>
      </c>
      <c r="B77" s="95" t="s">
        <v>3698</v>
      </c>
      <c r="C77" s="95" t="s">
        <v>3641</v>
      </c>
      <c r="D77" s="612" t="s">
        <v>3615</v>
      </c>
      <c r="E77" s="34">
        <v>76</v>
      </c>
      <c r="F77" s="612" t="s">
        <v>3616</v>
      </c>
      <c r="G77" s="612" t="s">
        <v>3617</v>
      </c>
      <c r="I77" s="1655"/>
      <c r="J77" s="1655"/>
      <c r="K77" s="1657">
        <f>Entry_Levels[[#This Row],[Distance to Market]]/Entry_Levels[[#This Row],[Value]]</f>
        <v>0</v>
      </c>
    </row>
    <row r="78" spans="1:11" x14ac:dyDescent="0.2">
      <c r="A78" s="95" t="s">
        <v>3639</v>
      </c>
      <c r="B78" s="95" t="s">
        <v>3699</v>
      </c>
      <c r="C78" s="95" t="s">
        <v>3641</v>
      </c>
      <c r="D78" s="612" t="s">
        <v>3615</v>
      </c>
      <c r="E78" s="34">
        <v>160</v>
      </c>
      <c r="F78" s="612" t="s">
        <v>3616</v>
      </c>
      <c r="G78" s="612" t="s">
        <v>3617</v>
      </c>
      <c r="I78" s="1655"/>
      <c r="J78" s="1655"/>
      <c r="K78" s="1657">
        <f>Entry_Levels[[#This Row],[Distance to Market]]/Entry_Levels[[#This Row],[Value]]</f>
        <v>0</v>
      </c>
    </row>
    <row r="79" spans="1:11" x14ac:dyDescent="0.2">
      <c r="A79" s="95" t="s">
        <v>3639</v>
      </c>
      <c r="B79" s="95" t="s">
        <v>3700</v>
      </c>
      <c r="C79" s="95" t="s">
        <v>3641</v>
      </c>
      <c r="D79" s="612" t="s">
        <v>3615</v>
      </c>
      <c r="E79" s="34">
        <v>245</v>
      </c>
      <c r="F79" s="612" t="s">
        <v>3616</v>
      </c>
      <c r="G79" s="612" t="s">
        <v>3617</v>
      </c>
      <c r="I79" s="1655"/>
      <c r="J79" s="1655"/>
      <c r="K79" s="1657">
        <f>Entry_Levels[[#This Row],[Distance to Market]]/Entry_Levels[[#This Row],[Value]]</f>
        <v>0</v>
      </c>
    </row>
    <row r="80" spans="1:11" x14ac:dyDescent="0.2">
      <c r="A80" s="95" t="s">
        <v>3639</v>
      </c>
      <c r="B80" s="95" t="s">
        <v>3701</v>
      </c>
      <c r="C80" s="95" t="s">
        <v>3641</v>
      </c>
      <c r="D80" s="612" t="s">
        <v>3615</v>
      </c>
      <c r="E80" s="34">
        <v>47</v>
      </c>
      <c r="F80" s="612" t="s">
        <v>3616</v>
      </c>
      <c r="G80" s="612" t="s">
        <v>3617</v>
      </c>
      <c r="I80" s="1655"/>
      <c r="J80" s="1655"/>
      <c r="K80" s="1657">
        <f>Entry_Levels[[#This Row],[Distance to Market]]/Entry_Levels[[#This Row],[Value]]</f>
        <v>0</v>
      </c>
    </row>
    <row r="81" spans="1:11" x14ac:dyDescent="0.2">
      <c r="A81" s="95" t="s">
        <v>3639</v>
      </c>
      <c r="B81" s="95" t="s">
        <v>3702</v>
      </c>
      <c r="C81" s="95" t="s">
        <v>3641</v>
      </c>
      <c r="D81" s="612" t="s">
        <v>3615</v>
      </c>
      <c r="E81" s="34">
        <v>160</v>
      </c>
      <c r="F81" s="612" t="s">
        <v>3616</v>
      </c>
      <c r="G81" s="612" t="s">
        <v>3617</v>
      </c>
      <c r="I81" s="1655"/>
      <c r="J81" s="1655"/>
      <c r="K81" s="1657">
        <f>Entry_Levels[[#This Row],[Distance to Market]]/Entry_Levels[[#This Row],[Value]]</f>
        <v>0</v>
      </c>
    </row>
    <row r="82" spans="1:11" x14ac:dyDescent="0.2">
      <c r="A82" s="95" t="s">
        <v>3639</v>
      </c>
      <c r="B82" s="95" t="s">
        <v>3702</v>
      </c>
      <c r="C82" s="95" t="s">
        <v>3641</v>
      </c>
      <c r="D82" s="612" t="s">
        <v>3615</v>
      </c>
      <c r="E82" s="34">
        <v>270</v>
      </c>
      <c r="F82" s="612" t="s">
        <v>3616</v>
      </c>
      <c r="G82" s="612" t="s">
        <v>3617</v>
      </c>
      <c r="I82" s="1655"/>
      <c r="J82" s="1655"/>
      <c r="K82" s="1657">
        <f>Entry_Levels[[#This Row],[Distance to Market]]/Entry_Levels[[#This Row],[Value]]</f>
        <v>0</v>
      </c>
    </row>
    <row r="83" spans="1:11" x14ac:dyDescent="0.2">
      <c r="A83" s="95" t="s">
        <v>3639</v>
      </c>
      <c r="B83" s="95" t="s">
        <v>3702</v>
      </c>
      <c r="C83" s="95" t="s">
        <v>3641</v>
      </c>
      <c r="D83" s="612" t="s">
        <v>3615</v>
      </c>
      <c r="E83" s="34">
        <v>237</v>
      </c>
      <c r="F83" s="612" t="s">
        <v>3616</v>
      </c>
      <c r="G83" s="612" t="s">
        <v>3617</v>
      </c>
      <c r="I83" s="1655"/>
      <c r="J83" s="1655"/>
      <c r="K83" s="1657">
        <f>Entry_Levels[[#This Row],[Distance to Market]]/Entry_Levels[[#This Row],[Value]]</f>
        <v>0</v>
      </c>
    </row>
    <row r="84" spans="1:11" x14ac:dyDescent="0.2">
      <c r="A84" s="95" t="s">
        <v>3639</v>
      </c>
      <c r="B84" s="95" t="s">
        <v>3703</v>
      </c>
      <c r="C84" s="95" t="s">
        <v>3641</v>
      </c>
      <c r="D84" s="612" t="s">
        <v>3615</v>
      </c>
      <c r="E84" s="34">
        <v>68</v>
      </c>
      <c r="F84" s="612" t="s">
        <v>3616</v>
      </c>
      <c r="G84" s="612" t="s">
        <v>3617</v>
      </c>
      <c r="I84" s="1655"/>
      <c r="J84" s="1655"/>
      <c r="K84" s="1657">
        <f>Entry_Levels[[#This Row],[Distance to Market]]/Entry_Levels[[#This Row],[Value]]</f>
        <v>0</v>
      </c>
    </row>
    <row r="85" spans="1:11" x14ac:dyDescent="0.2">
      <c r="A85" s="95" t="s">
        <v>3639</v>
      </c>
      <c r="B85" s="95" t="s">
        <v>3704</v>
      </c>
      <c r="C85" s="95" t="s">
        <v>3641</v>
      </c>
      <c r="D85" s="612" t="s">
        <v>3615</v>
      </c>
      <c r="E85" s="34">
        <v>78</v>
      </c>
      <c r="F85" s="612" t="s">
        <v>3616</v>
      </c>
      <c r="G85" s="612" t="s">
        <v>3617</v>
      </c>
      <c r="I85" s="1655"/>
      <c r="J85" s="1655"/>
      <c r="K85" s="1657">
        <f>Entry_Levels[[#This Row],[Distance to Market]]/Entry_Levels[[#This Row],[Value]]</f>
        <v>0</v>
      </c>
    </row>
    <row r="86" spans="1:11" x14ac:dyDescent="0.2">
      <c r="A86" s="95" t="s">
        <v>3639</v>
      </c>
      <c r="B86" s="95" t="s">
        <v>3264</v>
      </c>
      <c r="C86" s="95" t="s">
        <v>3641</v>
      </c>
      <c r="D86" s="612" t="s">
        <v>3615</v>
      </c>
      <c r="E86" s="34">
        <v>30</v>
      </c>
      <c r="F86" s="612" t="s">
        <v>3616</v>
      </c>
      <c r="G86" s="612" t="s">
        <v>3617</v>
      </c>
      <c r="I86" s="1655"/>
      <c r="J86" s="1655"/>
      <c r="K86" s="1657">
        <f>Entry_Levels[[#This Row],[Distance to Market]]/Entry_Levels[[#This Row],[Value]]</f>
        <v>0</v>
      </c>
    </row>
    <row r="87" spans="1:11" x14ac:dyDescent="0.2">
      <c r="A87" s="95" t="s">
        <v>3639</v>
      </c>
      <c r="B87" s="95" t="s">
        <v>3705</v>
      </c>
      <c r="C87" s="95" t="s">
        <v>3641</v>
      </c>
      <c r="D87" s="612" t="s">
        <v>3615</v>
      </c>
      <c r="E87" s="34">
        <v>3.1</v>
      </c>
      <c r="F87" s="612" t="s">
        <v>3616</v>
      </c>
      <c r="G87" s="612" t="s">
        <v>3617</v>
      </c>
      <c r="I87" s="1655"/>
      <c r="J87" s="1655"/>
      <c r="K87" s="1657">
        <f>Entry_Levels[[#This Row],[Distance to Market]]/Entry_Levels[[#This Row],[Value]]</f>
        <v>0</v>
      </c>
    </row>
    <row r="88" spans="1:11" x14ac:dyDescent="0.2">
      <c r="A88" s="95" t="s">
        <v>3639</v>
      </c>
      <c r="B88" s="95" t="s">
        <v>3706</v>
      </c>
      <c r="C88" s="95" t="s">
        <v>3641</v>
      </c>
      <c r="D88" s="612" t="s">
        <v>3615</v>
      </c>
      <c r="E88" s="34" t="s">
        <v>3707</v>
      </c>
      <c r="F88" s="612" t="s">
        <v>3616</v>
      </c>
      <c r="G88" s="612" t="s">
        <v>3617</v>
      </c>
      <c r="I88" s="1655"/>
      <c r="J88" s="1655"/>
      <c r="K88" s="1657">
        <f>Entry_Levels[[#This Row],[Distance to Market]]/Entry_Levels[[#This Row],[Value]]</f>
        <v>0</v>
      </c>
    </row>
    <row r="89" spans="1:11" x14ac:dyDescent="0.2">
      <c r="A89" s="95" t="s">
        <v>3639</v>
      </c>
      <c r="B89" s="95" t="s">
        <v>3708</v>
      </c>
      <c r="C89" s="95" t="s">
        <v>3641</v>
      </c>
      <c r="D89" s="612" t="s">
        <v>3615</v>
      </c>
      <c r="E89" s="34">
        <v>178</v>
      </c>
      <c r="F89" s="612" t="s">
        <v>3616</v>
      </c>
      <c r="G89" s="612" t="s">
        <v>3617</v>
      </c>
      <c r="I89" s="1655"/>
      <c r="J89" s="1655"/>
      <c r="K89" s="1657">
        <f>Entry_Levels[[#This Row],[Distance to Market]]/Entry_Levels[[#This Row],[Value]]</f>
        <v>0</v>
      </c>
    </row>
    <row r="90" spans="1:11" x14ac:dyDescent="0.2">
      <c r="A90" s="95" t="s">
        <v>3639</v>
      </c>
      <c r="B90" s="95" t="s">
        <v>616</v>
      </c>
      <c r="C90" s="95" t="s">
        <v>3641</v>
      </c>
      <c r="D90" s="612" t="s">
        <v>3619</v>
      </c>
      <c r="E90" s="34">
        <v>360</v>
      </c>
      <c r="F90" s="612" t="s">
        <v>3616</v>
      </c>
      <c r="G90" s="612" t="s">
        <v>3617</v>
      </c>
      <c r="I90" s="1655"/>
      <c r="J90" s="1655"/>
      <c r="K90" s="1657">
        <f>Entry_Levels[[#This Row],[Distance to Market]]/Entry_Levels[[#This Row],[Value]]</f>
        <v>0</v>
      </c>
    </row>
    <row r="91" spans="1:11" x14ac:dyDescent="0.2">
      <c r="A91" s="95" t="s">
        <v>3639</v>
      </c>
      <c r="B91" s="95" t="s">
        <v>616</v>
      </c>
      <c r="C91" s="95" t="s">
        <v>3641</v>
      </c>
      <c r="D91" s="612" t="s">
        <v>3615</v>
      </c>
      <c r="E91" s="34">
        <v>250</v>
      </c>
      <c r="F91" s="612" t="s">
        <v>3616</v>
      </c>
      <c r="G91" s="612" t="s">
        <v>3617</v>
      </c>
      <c r="I91" s="1655"/>
      <c r="J91" s="1655"/>
      <c r="K91" s="1657">
        <f>Entry_Levels[[#This Row],[Distance to Market]]/Entry_Levels[[#This Row],[Value]]</f>
        <v>0</v>
      </c>
    </row>
    <row r="92" spans="1:11" x14ac:dyDescent="0.2">
      <c r="A92" s="95" t="s">
        <v>3639</v>
      </c>
      <c r="B92" s="95" t="s">
        <v>3709</v>
      </c>
      <c r="C92" s="95" t="s">
        <v>3641</v>
      </c>
      <c r="D92" s="612" t="s">
        <v>3615</v>
      </c>
      <c r="E92" s="34">
        <v>70</v>
      </c>
      <c r="F92" s="612" t="s">
        <v>3616</v>
      </c>
      <c r="G92" s="612" t="s">
        <v>3617</v>
      </c>
      <c r="I92" s="1655"/>
      <c r="J92" s="1655"/>
      <c r="K92" s="1657">
        <f>Entry_Levels[[#This Row],[Distance to Market]]/Entry_Levels[[#This Row],[Value]]</f>
        <v>0</v>
      </c>
    </row>
    <row r="93" spans="1:11" x14ac:dyDescent="0.2">
      <c r="A93" s="95" t="s">
        <v>3639</v>
      </c>
      <c r="B93" s="95" t="s">
        <v>3710</v>
      </c>
      <c r="C93" s="95" t="s">
        <v>3641</v>
      </c>
      <c r="D93" s="612" t="s">
        <v>3615</v>
      </c>
      <c r="E93" s="34">
        <v>15</v>
      </c>
      <c r="F93" s="612" t="s">
        <v>3616</v>
      </c>
      <c r="G93" s="612" t="s">
        <v>3617</v>
      </c>
      <c r="I93" s="1655"/>
      <c r="J93" s="1655"/>
      <c r="K93" s="1657">
        <f>Entry_Levels[[#This Row],[Distance to Market]]/Entry_Levels[[#This Row],[Value]]</f>
        <v>0</v>
      </c>
    </row>
    <row r="94" spans="1:11" x14ac:dyDescent="0.2">
      <c r="A94" s="95" t="s">
        <v>3639</v>
      </c>
      <c r="B94" s="95" t="s">
        <v>3711</v>
      </c>
      <c r="C94" s="95" t="s">
        <v>3641</v>
      </c>
      <c r="D94" s="612" t="s">
        <v>3615</v>
      </c>
      <c r="E94" s="34">
        <v>13.5</v>
      </c>
      <c r="F94" s="612" t="s">
        <v>3616</v>
      </c>
      <c r="G94" s="612" t="s">
        <v>3617</v>
      </c>
      <c r="I94" s="1655"/>
      <c r="J94" s="1655"/>
      <c r="K94" s="1657">
        <f>Entry_Levels[[#This Row],[Distance to Market]]/Entry_Levels[[#This Row],[Value]]</f>
        <v>0</v>
      </c>
    </row>
    <row r="95" spans="1:11" x14ac:dyDescent="0.2">
      <c r="A95" s="95" t="s">
        <v>3639</v>
      </c>
      <c r="B95" s="95" t="s">
        <v>3712</v>
      </c>
      <c r="C95" s="95" t="s">
        <v>3641</v>
      </c>
      <c r="D95" s="612" t="s">
        <v>3615</v>
      </c>
      <c r="E95" s="34">
        <v>5.15</v>
      </c>
      <c r="F95" s="612" t="s">
        <v>3616</v>
      </c>
      <c r="G95" s="612" t="s">
        <v>3617</v>
      </c>
      <c r="I95" s="1655"/>
      <c r="J95" s="1655"/>
      <c r="K95" s="1657">
        <f>Entry_Levels[[#This Row],[Distance to Market]]/Entry_Levels[[#This Row],[Value]]</f>
        <v>0</v>
      </c>
    </row>
    <row r="96" spans="1:11" x14ac:dyDescent="0.2">
      <c r="A96" s="95" t="s">
        <v>3639</v>
      </c>
      <c r="B96" s="95" t="s">
        <v>3713</v>
      </c>
      <c r="C96" s="95" t="s">
        <v>3641</v>
      </c>
      <c r="D96" s="612" t="s">
        <v>3615</v>
      </c>
      <c r="E96" s="34">
        <v>31.5</v>
      </c>
      <c r="F96" s="612" t="s">
        <v>3616</v>
      </c>
      <c r="G96" s="612" t="s">
        <v>3617</v>
      </c>
      <c r="I96" s="1655"/>
      <c r="J96" s="1655"/>
      <c r="K96" s="1657">
        <f>Entry_Levels[[#This Row],[Distance to Market]]/Entry_Levels[[#This Row],[Value]]</f>
        <v>0</v>
      </c>
    </row>
    <row r="97" spans="1:11" x14ac:dyDescent="0.2">
      <c r="A97" s="95" t="s">
        <v>3639</v>
      </c>
      <c r="B97" s="95" t="s">
        <v>3714</v>
      </c>
      <c r="C97" s="95" t="s">
        <v>3641</v>
      </c>
      <c r="D97" s="612" t="s">
        <v>3615</v>
      </c>
      <c r="E97" s="34" t="s">
        <v>3715</v>
      </c>
      <c r="F97" s="612" t="s">
        <v>3616</v>
      </c>
      <c r="G97" s="612" t="s">
        <v>3617</v>
      </c>
      <c r="I97" s="1655"/>
      <c r="J97" s="1655"/>
      <c r="K97" s="1657">
        <f>Entry_Levels[[#This Row],[Distance to Market]]/Entry_Levels[[#This Row],[Value]]</f>
        <v>0</v>
      </c>
    </row>
    <row r="98" spans="1:11" x14ac:dyDescent="0.2">
      <c r="A98" s="95" t="s">
        <v>3639</v>
      </c>
      <c r="B98" s="95" t="s">
        <v>3716</v>
      </c>
      <c r="C98" s="95" t="s">
        <v>3641</v>
      </c>
      <c r="D98" s="612" t="s">
        <v>3615</v>
      </c>
      <c r="E98" s="34">
        <v>82</v>
      </c>
      <c r="F98" s="612" t="s">
        <v>3616</v>
      </c>
      <c r="G98" s="612" t="s">
        <v>3617</v>
      </c>
      <c r="I98" s="1655"/>
      <c r="J98" s="1655"/>
      <c r="K98" s="1657">
        <f>Entry_Levels[[#This Row],[Distance to Market]]/Entry_Levels[[#This Row],[Value]]</f>
        <v>0</v>
      </c>
    </row>
    <row r="99" spans="1:11" x14ac:dyDescent="0.2">
      <c r="A99" s="95" t="s">
        <v>3639</v>
      </c>
      <c r="B99" s="95" t="s">
        <v>3717</v>
      </c>
      <c r="C99" s="95" t="s">
        <v>3641</v>
      </c>
      <c r="D99" s="612" t="s">
        <v>3615</v>
      </c>
      <c r="E99" s="34">
        <v>90</v>
      </c>
      <c r="F99" s="612" t="s">
        <v>3616</v>
      </c>
      <c r="G99" s="612" t="s">
        <v>3617</v>
      </c>
      <c r="I99" s="1655"/>
      <c r="J99" s="1655"/>
      <c r="K99" s="1657">
        <f>Entry_Levels[[#This Row],[Distance to Market]]/Entry_Levels[[#This Row],[Value]]</f>
        <v>0</v>
      </c>
    </row>
    <row r="100" spans="1:11" x14ac:dyDescent="0.2">
      <c r="A100" s="95" t="s">
        <v>3639</v>
      </c>
      <c r="B100" s="95" t="s">
        <v>3718</v>
      </c>
      <c r="C100" s="95" t="s">
        <v>3641</v>
      </c>
      <c r="D100" s="612" t="s">
        <v>3615</v>
      </c>
      <c r="E100" s="34">
        <v>100</v>
      </c>
      <c r="F100" s="612" t="s">
        <v>3616</v>
      </c>
      <c r="G100" s="612" t="s">
        <v>3617</v>
      </c>
      <c r="I100" s="1655"/>
      <c r="J100" s="1655"/>
      <c r="K100" s="1657">
        <f>Entry_Levels[[#This Row],[Distance to Market]]/Entry_Levels[[#This Row],[Value]]</f>
        <v>0</v>
      </c>
    </row>
    <row r="101" spans="1:11" x14ac:dyDescent="0.2">
      <c r="A101" s="95" t="s">
        <v>3639</v>
      </c>
      <c r="B101" s="95" t="s">
        <v>3719</v>
      </c>
      <c r="C101" s="95" t="s">
        <v>3641</v>
      </c>
      <c r="D101" s="612" t="s">
        <v>3615</v>
      </c>
      <c r="E101" s="34">
        <v>44</v>
      </c>
      <c r="F101" s="612" t="s">
        <v>3616</v>
      </c>
      <c r="G101" s="612" t="s">
        <v>3617</v>
      </c>
      <c r="I101" s="1655"/>
      <c r="J101" s="1655"/>
      <c r="K101" s="1657">
        <f>Entry_Levels[[#This Row],[Distance to Market]]/Entry_Levels[[#This Row],[Value]]</f>
        <v>0</v>
      </c>
    </row>
    <row r="102" spans="1:11" x14ac:dyDescent="0.2">
      <c r="A102" s="95" t="s">
        <v>3639</v>
      </c>
      <c r="B102" s="95" t="s">
        <v>3720</v>
      </c>
      <c r="C102" s="95" t="s">
        <v>3641</v>
      </c>
      <c r="D102" s="612" t="s">
        <v>3615</v>
      </c>
      <c r="E102" s="34">
        <v>100</v>
      </c>
      <c r="F102" s="612" t="s">
        <v>3616</v>
      </c>
      <c r="G102" s="612" t="s">
        <v>3617</v>
      </c>
      <c r="I102" s="1655"/>
      <c r="J102" s="1655"/>
      <c r="K102" s="1657">
        <f>Entry_Levels[[#This Row],[Distance to Market]]/Entry_Levels[[#This Row],[Value]]</f>
        <v>0</v>
      </c>
    </row>
    <row r="103" spans="1:11" x14ac:dyDescent="0.2">
      <c r="A103" s="95" t="s">
        <v>3639</v>
      </c>
      <c r="B103" s="95" t="s">
        <v>3721</v>
      </c>
      <c r="C103" s="95" t="s">
        <v>3641</v>
      </c>
      <c r="D103" s="612" t="s">
        <v>3615</v>
      </c>
      <c r="E103" s="34">
        <v>35</v>
      </c>
      <c r="F103" s="612" t="s">
        <v>3616</v>
      </c>
      <c r="G103" s="612" t="s">
        <v>3617</v>
      </c>
      <c r="I103" s="1655"/>
      <c r="J103" s="1655"/>
      <c r="K103" s="1657">
        <f>Entry_Levels[[#This Row],[Distance to Market]]/Entry_Levels[[#This Row],[Value]]</f>
        <v>0</v>
      </c>
    </row>
    <row r="104" spans="1:11" x14ac:dyDescent="0.2">
      <c r="A104" s="95" t="s">
        <v>3639</v>
      </c>
      <c r="B104" s="95" t="s">
        <v>3722</v>
      </c>
      <c r="C104" s="95" t="s">
        <v>3641</v>
      </c>
      <c r="D104" s="612" t="s">
        <v>3615</v>
      </c>
      <c r="E104" s="34">
        <v>50</v>
      </c>
      <c r="F104" s="612" t="s">
        <v>3616</v>
      </c>
      <c r="G104" s="612" t="s">
        <v>3617</v>
      </c>
      <c r="I104" s="1655"/>
      <c r="J104" s="1655"/>
      <c r="K104" s="1657">
        <f>Entry_Levels[[#This Row],[Distance to Market]]/Entry_Levels[[#This Row],[Value]]</f>
        <v>0</v>
      </c>
    </row>
    <row r="105" spans="1:11" x14ac:dyDescent="0.2">
      <c r="A105" s="95" t="s">
        <v>3639</v>
      </c>
      <c r="B105" s="95" t="s">
        <v>3723</v>
      </c>
      <c r="C105" s="95" t="s">
        <v>3641</v>
      </c>
      <c r="D105" s="612" t="s">
        <v>3615</v>
      </c>
      <c r="E105" s="34">
        <v>15.6</v>
      </c>
      <c r="F105" s="612" t="s">
        <v>3616</v>
      </c>
      <c r="G105" s="612" t="s">
        <v>3617</v>
      </c>
      <c r="I105" s="1655"/>
      <c r="J105" s="1655"/>
      <c r="K105" s="1657">
        <f>Entry_Levels[[#This Row],[Distance to Market]]/Entry_Levels[[#This Row],[Value]]</f>
        <v>0</v>
      </c>
    </row>
    <row r="106" spans="1:11" x14ac:dyDescent="0.2">
      <c r="A106" s="95" t="s">
        <v>3639</v>
      </c>
      <c r="B106" s="95" t="s">
        <v>3723</v>
      </c>
      <c r="C106" s="95" t="s">
        <v>3641</v>
      </c>
      <c r="D106" s="612" t="s">
        <v>3615</v>
      </c>
      <c r="E106" s="34">
        <v>16.5</v>
      </c>
      <c r="F106" s="612" t="s">
        <v>3616</v>
      </c>
      <c r="G106" s="612" t="s">
        <v>3617</v>
      </c>
      <c r="I106" s="1655"/>
      <c r="J106" s="1655"/>
      <c r="K106" s="1657">
        <f>Entry_Levels[[#This Row],[Distance to Market]]/Entry_Levels[[#This Row],[Value]]</f>
        <v>0</v>
      </c>
    </row>
    <row r="107" spans="1:11" x14ac:dyDescent="0.2">
      <c r="A107" s="95" t="s">
        <v>3639</v>
      </c>
      <c r="B107" s="95" t="s">
        <v>3724</v>
      </c>
      <c r="C107" s="95" t="s">
        <v>3641</v>
      </c>
      <c r="D107" s="612" t="s">
        <v>3615</v>
      </c>
      <c r="E107" s="34">
        <v>8.6999999999999993</v>
      </c>
      <c r="F107" s="612" t="s">
        <v>3616</v>
      </c>
      <c r="G107" s="612" t="s">
        <v>3617</v>
      </c>
      <c r="I107" s="1655"/>
      <c r="J107" s="1655"/>
      <c r="K107" s="1657">
        <f>Entry_Levels[[#This Row],[Distance to Market]]/Entry_Levels[[#This Row],[Value]]</f>
        <v>0</v>
      </c>
    </row>
    <row r="108" spans="1:11" x14ac:dyDescent="0.2">
      <c r="A108" s="95" t="s">
        <v>3639</v>
      </c>
      <c r="B108" s="95" t="s">
        <v>3724</v>
      </c>
      <c r="C108" s="95" t="s">
        <v>3641</v>
      </c>
      <c r="D108" s="612" t="s">
        <v>3615</v>
      </c>
      <c r="E108" s="34">
        <v>7.5</v>
      </c>
      <c r="F108" s="612" t="s">
        <v>3616</v>
      </c>
      <c r="G108" s="612" t="s">
        <v>3617</v>
      </c>
      <c r="I108" s="1655"/>
      <c r="J108" s="1655"/>
      <c r="K108" s="1657">
        <f>Entry_Levels[[#This Row],[Distance to Market]]/Entry_Levels[[#This Row],[Value]]</f>
        <v>0</v>
      </c>
    </row>
    <row r="109" spans="1:11" x14ac:dyDescent="0.2">
      <c r="A109" s="95" t="s">
        <v>3639</v>
      </c>
      <c r="B109" s="95" t="s">
        <v>3725</v>
      </c>
      <c r="C109" s="95" t="s">
        <v>3641</v>
      </c>
      <c r="D109" s="612" t="s">
        <v>3615</v>
      </c>
      <c r="E109" s="34">
        <v>41</v>
      </c>
      <c r="F109" s="612" t="s">
        <v>3616</v>
      </c>
      <c r="G109" s="612" t="s">
        <v>3617</v>
      </c>
      <c r="I109" s="1655"/>
      <c r="J109" s="1655"/>
      <c r="K109" s="1657">
        <f>Entry_Levels[[#This Row],[Distance to Market]]/Entry_Levels[[#This Row],[Value]]</f>
        <v>0</v>
      </c>
    </row>
    <row r="110" spans="1:11" x14ac:dyDescent="0.2">
      <c r="A110" s="95" t="s">
        <v>3639</v>
      </c>
      <c r="B110" s="95" t="s">
        <v>3726</v>
      </c>
      <c r="C110" s="95" t="s">
        <v>3641</v>
      </c>
      <c r="D110" s="612" t="s">
        <v>3615</v>
      </c>
      <c r="E110" s="34">
        <v>56</v>
      </c>
      <c r="F110" s="612" t="s">
        <v>3616</v>
      </c>
      <c r="G110" s="612" t="s">
        <v>3617</v>
      </c>
      <c r="I110" s="1655"/>
      <c r="J110" s="1655"/>
      <c r="K110" s="1657">
        <f>Entry_Levels[[#This Row],[Distance to Market]]/Entry_Levels[[#This Row],[Value]]</f>
        <v>0</v>
      </c>
    </row>
    <row r="111" spans="1:11" x14ac:dyDescent="0.2">
      <c r="A111" s="95" t="s">
        <v>3639</v>
      </c>
      <c r="B111" s="95" t="s">
        <v>3726</v>
      </c>
      <c r="C111" s="95" t="s">
        <v>3641</v>
      </c>
      <c r="D111" s="612" t="s">
        <v>3615</v>
      </c>
      <c r="E111" s="34">
        <v>51</v>
      </c>
      <c r="F111" s="612" t="s">
        <v>3616</v>
      </c>
      <c r="G111" s="612" t="s">
        <v>3617</v>
      </c>
      <c r="I111" s="1655"/>
      <c r="J111" s="1655"/>
      <c r="K111" s="1657">
        <f>Entry_Levels[[#This Row],[Distance to Market]]/Entry_Levels[[#This Row],[Value]]</f>
        <v>0</v>
      </c>
    </row>
    <row r="112" spans="1:11" x14ac:dyDescent="0.2">
      <c r="A112" s="95" t="s">
        <v>3639</v>
      </c>
      <c r="B112" s="95" t="s">
        <v>3727</v>
      </c>
      <c r="C112" s="95" t="s">
        <v>3641</v>
      </c>
      <c r="D112" s="612" t="s">
        <v>3615</v>
      </c>
      <c r="E112" s="34">
        <v>7</v>
      </c>
      <c r="F112" s="612" t="s">
        <v>3616</v>
      </c>
      <c r="G112" s="612" t="s">
        <v>3617</v>
      </c>
      <c r="I112" s="1655"/>
      <c r="J112" s="1655"/>
      <c r="K112" s="1657">
        <f>Entry_Levels[[#This Row],[Distance to Market]]/Entry_Levels[[#This Row],[Value]]</f>
        <v>0</v>
      </c>
    </row>
    <row r="113" spans="1:11" x14ac:dyDescent="0.2">
      <c r="A113" s="95" t="s">
        <v>3639</v>
      </c>
      <c r="B113" s="95" t="s">
        <v>3728</v>
      </c>
      <c r="C113" s="95" t="s">
        <v>3641</v>
      </c>
      <c r="D113" s="612" t="s">
        <v>3615</v>
      </c>
      <c r="E113" s="34">
        <v>60</v>
      </c>
      <c r="F113" s="612" t="s">
        <v>3616</v>
      </c>
      <c r="G113" s="612" t="s">
        <v>3617</v>
      </c>
      <c r="I113" s="1655"/>
      <c r="J113" s="1655"/>
      <c r="K113" s="1657">
        <f>Entry_Levels[[#This Row],[Distance to Market]]/Entry_Levels[[#This Row],[Value]]</f>
        <v>0</v>
      </c>
    </row>
    <row r="114" spans="1:11" x14ac:dyDescent="0.2">
      <c r="A114" s="95" t="s">
        <v>3639</v>
      </c>
      <c r="B114" s="95" t="s">
        <v>3729</v>
      </c>
      <c r="C114" s="95" t="s">
        <v>3641</v>
      </c>
      <c r="D114" s="612" t="s">
        <v>3615</v>
      </c>
      <c r="E114" s="34">
        <v>60</v>
      </c>
      <c r="F114" s="612" t="s">
        <v>3616</v>
      </c>
      <c r="G114" s="612" t="s">
        <v>3617</v>
      </c>
      <c r="I114" s="1655"/>
      <c r="J114" s="1655"/>
      <c r="K114" s="1657">
        <f>Entry_Levels[[#This Row],[Distance to Market]]/Entry_Levels[[#This Row],[Value]]</f>
        <v>0</v>
      </c>
    </row>
    <row r="115" spans="1:11" x14ac:dyDescent="0.2">
      <c r="A115" s="95" t="s">
        <v>3639</v>
      </c>
      <c r="B115" s="95" t="s">
        <v>3729</v>
      </c>
      <c r="C115" s="95" t="s">
        <v>3641</v>
      </c>
      <c r="D115" s="612" t="s">
        <v>3615</v>
      </c>
      <c r="E115" s="34">
        <v>62</v>
      </c>
      <c r="F115" s="612" t="s">
        <v>3616</v>
      </c>
      <c r="G115" s="612" t="s">
        <v>3617</v>
      </c>
      <c r="I115" s="1655"/>
      <c r="J115" s="1655"/>
      <c r="K115" s="1657">
        <f>Entry_Levels[[#This Row],[Distance to Market]]/Entry_Levels[[#This Row],[Value]]</f>
        <v>0</v>
      </c>
    </row>
    <row r="116" spans="1:11" x14ac:dyDescent="0.2">
      <c r="A116" s="95" t="s">
        <v>3639</v>
      </c>
      <c r="B116" s="95" t="s">
        <v>2769</v>
      </c>
      <c r="C116" s="95" t="s">
        <v>3641</v>
      </c>
      <c r="D116" s="612" t="s">
        <v>3619</v>
      </c>
      <c r="E116" s="34">
        <v>237</v>
      </c>
      <c r="F116" s="612" t="s">
        <v>3616</v>
      </c>
      <c r="G116" s="612" t="s">
        <v>3617</v>
      </c>
      <c r="I116" s="1655"/>
      <c r="J116" s="1655"/>
      <c r="K116" s="1657">
        <f>Entry_Levels[[#This Row],[Distance to Market]]/Entry_Levels[[#This Row],[Value]]</f>
        <v>0</v>
      </c>
    </row>
    <row r="117" spans="1:11" x14ac:dyDescent="0.2">
      <c r="A117" s="95" t="s">
        <v>3639</v>
      </c>
      <c r="B117" s="95" t="s">
        <v>2769</v>
      </c>
      <c r="C117" s="95" t="s">
        <v>3641</v>
      </c>
      <c r="D117" s="612" t="s">
        <v>3615</v>
      </c>
      <c r="E117" s="34">
        <v>108</v>
      </c>
      <c r="F117" s="612" t="s">
        <v>3616</v>
      </c>
      <c r="G117" s="612" t="s">
        <v>3617</v>
      </c>
      <c r="I117" s="1655"/>
      <c r="J117" s="1655"/>
      <c r="K117" s="1657">
        <f>Entry_Levels[[#This Row],[Distance to Market]]/Entry_Levels[[#This Row],[Value]]</f>
        <v>0</v>
      </c>
    </row>
    <row r="118" spans="1:11" x14ac:dyDescent="0.2">
      <c r="A118" s="95" t="s">
        <v>3639</v>
      </c>
      <c r="B118" s="95" t="s">
        <v>3730</v>
      </c>
      <c r="C118" s="95" t="s">
        <v>3641</v>
      </c>
      <c r="D118" s="612" t="s">
        <v>3615</v>
      </c>
      <c r="E118" s="34">
        <v>20</v>
      </c>
      <c r="F118" s="612" t="s">
        <v>3616</v>
      </c>
      <c r="G118" s="612" t="s">
        <v>3617</v>
      </c>
      <c r="I118" s="1655"/>
      <c r="J118" s="1655"/>
      <c r="K118" s="1657">
        <f>Entry_Levels[[#This Row],[Distance to Market]]/Entry_Levels[[#This Row],[Value]]</f>
        <v>0</v>
      </c>
    </row>
    <row r="119" spans="1:11" x14ac:dyDescent="0.2">
      <c r="A119" s="95" t="s">
        <v>3639</v>
      </c>
      <c r="B119" s="95" t="s">
        <v>3731</v>
      </c>
      <c r="C119" s="95" t="s">
        <v>3641</v>
      </c>
      <c r="D119" s="612" t="s">
        <v>3615</v>
      </c>
      <c r="E119" s="34">
        <v>25</v>
      </c>
      <c r="F119" s="612" t="s">
        <v>3616</v>
      </c>
      <c r="G119" s="612" t="s">
        <v>3617</v>
      </c>
      <c r="I119" s="1655"/>
      <c r="J119" s="1655"/>
      <c r="K119" s="1657">
        <f>Entry_Levels[[#This Row],[Distance to Market]]/Entry_Levels[[#This Row],[Value]]</f>
        <v>0</v>
      </c>
    </row>
    <row r="120" spans="1:11" x14ac:dyDescent="0.2">
      <c r="A120" s="95" t="s">
        <v>3639</v>
      </c>
      <c r="B120" s="95" t="s">
        <v>3732</v>
      </c>
      <c r="C120" s="95" t="s">
        <v>3641</v>
      </c>
      <c r="D120" s="612" t="s">
        <v>3615</v>
      </c>
      <c r="E120" s="34">
        <v>50</v>
      </c>
      <c r="F120" s="612" t="s">
        <v>3616</v>
      </c>
      <c r="G120" s="612" t="s">
        <v>3617</v>
      </c>
      <c r="I120" s="1655"/>
      <c r="J120" s="1655"/>
      <c r="K120" s="1657">
        <f>Entry_Levels[[#This Row],[Distance to Market]]/Entry_Levels[[#This Row],[Value]]</f>
        <v>0</v>
      </c>
    </row>
    <row r="121" spans="1:11" x14ac:dyDescent="0.2">
      <c r="A121" s="95" t="s">
        <v>3639</v>
      </c>
      <c r="B121" s="95" t="s">
        <v>3733</v>
      </c>
      <c r="C121" s="95" t="s">
        <v>3641</v>
      </c>
      <c r="D121" s="612" t="s">
        <v>3615</v>
      </c>
      <c r="E121" s="34">
        <v>105</v>
      </c>
      <c r="F121" s="612" t="s">
        <v>3616</v>
      </c>
      <c r="G121" s="612" t="s">
        <v>3617</v>
      </c>
      <c r="I121" s="1655"/>
      <c r="J121" s="1655"/>
      <c r="K121" s="1657">
        <f>Entry_Levels[[#This Row],[Distance to Market]]/Entry_Levels[[#This Row],[Value]]</f>
        <v>0</v>
      </c>
    </row>
    <row r="122" spans="1:11" x14ac:dyDescent="0.2">
      <c r="A122" s="95" t="s">
        <v>3639</v>
      </c>
      <c r="B122" s="95" t="s">
        <v>3734</v>
      </c>
      <c r="C122" s="95" t="s">
        <v>3641</v>
      </c>
      <c r="D122" s="612" t="s">
        <v>3615</v>
      </c>
      <c r="E122" s="34">
        <v>47.5</v>
      </c>
      <c r="F122" s="612" t="s">
        <v>3616</v>
      </c>
      <c r="G122" s="612" t="s">
        <v>3617</v>
      </c>
      <c r="I122" s="1655"/>
      <c r="J122" s="1655"/>
      <c r="K122" s="1657">
        <f>Entry_Levels[[#This Row],[Distance to Market]]/Entry_Levels[[#This Row],[Value]]</f>
        <v>0</v>
      </c>
    </row>
    <row r="123" spans="1:11" x14ac:dyDescent="0.2">
      <c r="A123" s="95" t="s">
        <v>3639</v>
      </c>
      <c r="B123" s="95" t="s">
        <v>3734</v>
      </c>
      <c r="C123" s="95" t="s">
        <v>3641</v>
      </c>
      <c r="D123" s="612" t="s">
        <v>3615</v>
      </c>
      <c r="E123" s="34">
        <v>36.200000000000003</v>
      </c>
      <c r="F123" s="612" t="s">
        <v>3616</v>
      </c>
      <c r="G123" s="612" t="s">
        <v>3617</v>
      </c>
      <c r="I123" s="1655"/>
      <c r="J123" s="1655"/>
      <c r="K123" s="1657">
        <f>Entry_Levels[[#This Row],[Distance to Market]]/Entry_Levels[[#This Row],[Value]]</f>
        <v>0</v>
      </c>
    </row>
    <row r="124" spans="1:11" x14ac:dyDescent="0.2">
      <c r="A124" s="95" t="s">
        <v>3639</v>
      </c>
      <c r="B124" s="95" t="s">
        <v>3734</v>
      </c>
      <c r="C124" s="95" t="s">
        <v>3641</v>
      </c>
      <c r="D124" s="612" t="s">
        <v>3615</v>
      </c>
      <c r="E124" s="34">
        <v>49</v>
      </c>
      <c r="F124" s="612" t="s">
        <v>3616</v>
      </c>
      <c r="G124" s="612" t="s">
        <v>3617</v>
      </c>
      <c r="I124" s="1655"/>
      <c r="J124" s="1655"/>
      <c r="K124" s="1657">
        <f>Entry_Levels[[#This Row],[Distance to Market]]/Entry_Levels[[#This Row],[Value]]</f>
        <v>0</v>
      </c>
    </row>
    <row r="125" spans="1:11" x14ac:dyDescent="0.2">
      <c r="A125" s="95" t="s">
        <v>3639</v>
      </c>
      <c r="B125" s="95" t="s">
        <v>3735</v>
      </c>
      <c r="C125" s="95" t="s">
        <v>3641</v>
      </c>
      <c r="D125" s="612" t="s">
        <v>3615</v>
      </c>
      <c r="E125" s="34">
        <v>82</v>
      </c>
      <c r="F125" s="612" t="s">
        <v>3616</v>
      </c>
      <c r="G125" s="612" t="s">
        <v>3617</v>
      </c>
      <c r="I125" s="1655"/>
      <c r="J125" s="1655"/>
      <c r="K125" s="1657">
        <f>Entry_Levels[[#This Row],[Distance to Market]]/Entry_Levels[[#This Row],[Value]]</f>
        <v>0</v>
      </c>
    </row>
    <row r="126" spans="1:11" x14ac:dyDescent="0.2">
      <c r="A126" s="95" t="s">
        <v>3639</v>
      </c>
      <c r="B126" s="95" t="s">
        <v>3736</v>
      </c>
      <c r="C126" s="95" t="s">
        <v>3641</v>
      </c>
      <c r="D126" s="612" t="s">
        <v>3615</v>
      </c>
      <c r="E126" s="34">
        <v>59</v>
      </c>
      <c r="F126" s="612" t="s">
        <v>3616</v>
      </c>
      <c r="G126" s="612" t="s">
        <v>3617</v>
      </c>
      <c r="I126" s="1655"/>
      <c r="J126" s="1655"/>
      <c r="K126" s="1657">
        <f>Entry_Levels[[#This Row],[Distance to Market]]/Entry_Levels[[#This Row],[Value]]</f>
        <v>0</v>
      </c>
    </row>
    <row r="127" spans="1:11" x14ac:dyDescent="0.2">
      <c r="A127" s="95" t="s">
        <v>3639</v>
      </c>
      <c r="B127" s="95" t="s">
        <v>3737</v>
      </c>
      <c r="C127" s="95" t="s">
        <v>3641</v>
      </c>
      <c r="D127" s="612" t="s">
        <v>3615</v>
      </c>
      <c r="E127" s="34">
        <v>120</v>
      </c>
      <c r="F127" s="612" t="s">
        <v>3616</v>
      </c>
      <c r="G127" s="612" t="s">
        <v>3617</v>
      </c>
      <c r="I127" s="1655"/>
      <c r="J127" s="1655"/>
      <c r="K127" s="1657">
        <f>Entry_Levels[[#This Row],[Distance to Market]]/Entry_Levels[[#This Row],[Value]]</f>
        <v>0</v>
      </c>
    </row>
    <row r="128" spans="1:11" x14ac:dyDescent="0.2">
      <c r="A128" s="95" t="s">
        <v>3639</v>
      </c>
      <c r="B128" s="95" t="s">
        <v>3738</v>
      </c>
      <c r="C128" s="95" t="s">
        <v>3641</v>
      </c>
      <c r="D128" s="612" t="s">
        <v>3615</v>
      </c>
      <c r="E128" s="34">
        <v>85</v>
      </c>
      <c r="F128" s="612" t="s">
        <v>3616</v>
      </c>
      <c r="G128" s="612" t="s">
        <v>3617</v>
      </c>
      <c r="I128" s="1655"/>
      <c r="J128" s="1655"/>
      <c r="K128" s="1657">
        <f>Entry_Levels[[#This Row],[Distance to Market]]/Entry_Levels[[#This Row],[Value]]</f>
        <v>0</v>
      </c>
    </row>
    <row r="129" spans="1:11" x14ac:dyDescent="0.2">
      <c r="A129" s="95" t="s">
        <v>3639</v>
      </c>
      <c r="B129" s="95" t="s">
        <v>3739</v>
      </c>
      <c r="C129" s="95" t="s">
        <v>3641</v>
      </c>
      <c r="D129" s="612" t="s">
        <v>3615</v>
      </c>
      <c r="E129" s="34">
        <v>15.5</v>
      </c>
      <c r="F129" s="612" t="s">
        <v>3616</v>
      </c>
      <c r="G129" s="612" t="s">
        <v>3617</v>
      </c>
      <c r="I129" s="1655"/>
      <c r="J129" s="1655"/>
      <c r="K129" s="1657">
        <f>Entry_Levels[[#This Row],[Distance to Market]]/Entry_Levels[[#This Row],[Value]]</f>
        <v>0</v>
      </c>
    </row>
    <row r="130" spans="1:11" x14ac:dyDescent="0.2">
      <c r="A130" s="95" t="s">
        <v>3639</v>
      </c>
      <c r="B130" s="95" t="s">
        <v>3739</v>
      </c>
      <c r="C130" s="95" t="s">
        <v>3641</v>
      </c>
      <c r="D130" s="612" t="s">
        <v>3619</v>
      </c>
      <c r="E130" s="34">
        <v>26</v>
      </c>
      <c r="F130" s="612" t="s">
        <v>3616</v>
      </c>
      <c r="G130" s="612" t="s">
        <v>3617</v>
      </c>
      <c r="I130" s="1655"/>
      <c r="J130" s="1655"/>
      <c r="K130" s="1657">
        <f>Entry_Levels[[#This Row],[Distance to Market]]/Entry_Levels[[#This Row],[Value]]</f>
        <v>0</v>
      </c>
    </row>
    <row r="131" spans="1:11" x14ac:dyDescent="0.2">
      <c r="A131" s="95" t="s">
        <v>3639</v>
      </c>
      <c r="B131" s="95" t="s">
        <v>3740</v>
      </c>
      <c r="C131" s="95" t="s">
        <v>3641</v>
      </c>
      <c r="D131" s="612" t="s">
        <v>3615</v>
      </c>
      <c r="E131" s="34">
        <v>126</v>
      </c>
      <c r="F131" s="612" t="s">
        <v>3616</v>
      </c>
      <c r="G131" s="612" t="s">
        <v>3617</v>
      </c>
      <c r="I131" s="1655"/>
      <c r="J131" s="1655"/>
      <c r="K131" s="1657">
        <f>Entry_Levels[[#This Row],[Distance to Market]]/Entry_Levels[[#This Row],[Value]]</f>
        <v>0</v>
      </c>
    </row>
    <row r="132" spans="1:11" x14ac:dyDescent="0.2">
      <c r="A132" s="95" t="s">
        <v>3639</v>
      </c>
      <c r="B132" s="95" t="s">
        <v>3741</v>
      </c>
      <c r="C132" s="95" t="s">
        <v>3641</v>
      </c>
      <c r="D132" s="612" t="s">
        <v>3615</v>
      </c>
      <c r="E132" s="34">
        <v>6.5</v>
      </c>
      <c r="F132" s="612" t="s">
        <v>3616</v>
      </c>
      <c r="G132" s="612" t="s">
        <v>3617</v>
      </c>
      <c r="I132" s="1655"/>
      <c r="J132" s="1655"/>
      <c r="K132" s="1657">
        <f>Entry_Levels[[#This Row],[Distance to Market]]/Entry_Levels[[#This Row],[Value]]</f>
        <v>0</v>
      </c>
    </row>
    <row r="133" spans="1:11" x14ac:dyDescent="0.2">
      <c r="A133" s="95" t="s">
        <v>3639</v>
      </c>
      <c r="B133" s="95" t="s">
        <v>3742</v>
      </c>
      <c r="C133" s="95" t="s">
        <v>3641</v>
      </c>
      <c r="D133" s="612" t="s">
        <v>3615</v>
      </c>
      <c r="E133" s="34">
        <v>490</v>
      </c>
      <c r="F133" s="612" t="s">
        <v>3616</v>
      </c>
      <c r="G133" s="612" t="s">
        <v>3617</v>
      </c>
      <c r="I133" s="1655"/>
      <c r="J133" s="1655"/>
      <c r="K133" s="1657">
        <f>Entry_Levels[[#This Row],[Distance to Market]]/Entry_Levels[[#This Row],[Value]]</f>
        <v>0</v>
      </c>
    </row>
    <row r="134" spans="1:11" x14ac:dyDescent="0.2">
      <c r="A134" s="95" t="s">
        <v>3639</v>
      </c>
      <c r="B134" s="95" t="s">
        <v>3743</v>
      </c>
      <c r="C134" s="95" t="s">
        <v>3641</v>
      </c>
      <c r="D134" s="612" t="s">
        <v>3615</v>
      </c>
      <c r="E134" s="34">
        <v>95</v>
      </c>
      <c r="F134" s="612" t="s">
        <v>3616</v>
      </c>
      <c r="G134" s="612" t="s">
        <v>3617</v>
      </c>
      <c r="I134" s="1655"/>
      <c r="J134" s="1655"/>
      <c r="K134" s="1657">
        <f>Entry_Levels[[#This Row],[Distance to Market]]/Entry_Levels[[#This Row],[Value]]</f>
        <v>0</v>
      </c>
    </row>
    <row r="135" spans="1:11" x14ac:dyDescent="0.2">
      <c r="A135" s="95" t="s">
        <v>3639</v>
      </c>
      <c r="B135" s="95" t="s">
        <v>3744</v>
      </c>
      <c r="C135" s="95" t="s">
        <v>3641</v>
      </c>
      <c r="D135" s="612" t="s">
        <v>3615</v>
      </c>
      <c r="E135" s="34">
        <v>20</v>
      </c>
      <c r="F135" s="612" t="s">
        <v>3616</v>
      </c>
      <c r="G135" s="612" t="s">
        <v>3617</v>
      </c>
      <c r="I135" s="1655"/>
      <c r="J135" s="1655"/>
      <c r="K135" s="1657">
        <f>Entry_Levels[[#This Row],[Distance to Market]]/Entry_Levels[[#This Row],[Value]]</f>
        <v>0</v>
      </c>
    </row>
    <row r="136" spans="1:11" x14ac:dyDescent="0.2">
      <c r="A136" s="95" t="s">
        <v>3639</v>
      </c>
      <c r="B136" s="95" t="s">
        <v>3745</v>
      </c>
      <c r="C136" s="95" t="s">
        <v>3641</v>
      </c>
      <c r="D136" s="612" t="s">
        <v>3615</v>
      </c>
      <c r="E136" s="34">
        <v>2.85</v>
      </c>
      <c r="F136" s="612" t="s">
        <v>3616</v>
      </c>
      <c r="G136" s="612" t="s">
        <v>3617</v>
      </c>
      <c r="I136" s="1655"/>
      <c r="J136" s="1655"/>
      <c r="K136" s="1657">
        <f>Entry_Levels[[#This Row],[Distance to Market]]/Entry_Levels[[#This Row],[Value]]</f>
        <v>0</v>
      </c>
    </row>
    <row r="137" spans="1:11" x14ac:dyDescent="0.2">
      <c r="A137" s="95" t="s">
        <v>3639</v>
      </c>
      <c r="B137" s="95" t="s">
        <v>3746</v>
      </c>
      <c r="C137" s="95" t="s">
        <v>3641</v>
      </c>
      <c r="D137" s="612" t="s">
        <v>3615</v>
      </c>
      <c r="E137" s="34">
        <v>155</v>
      </c>
      <c r="F137" s="612" t="s">
        <v>3616</v>
      </c>
      <c r="G137" s="612" t="s">
        <v>3617</v>
      </c>
      <c r="I137" s="1655"/>
      <c r="J137" s="1655"/>
      <c r="K137" s="1657">
        <f>Entry_Levels[[#This Row],[Distance to Market]]/Entry_Levels[[#This Row],[Value]]</f>
        <v>0</v>
      </c>
    </row>
    <row r="138" spans="1:11" x14ac:dyDescent="0.2">
      <c r="A138" s="95" t="s">
        <v>3639</v>
      </c>
      <c r="B138" s="95" t="s">
        <v>3747</v>
      </c>
      <c r="C138" s="95" t="s">
        <v>3641</v>
      </c>
      <c r="D138" s="612" t="s">
        <v>3615</v>
      </c>
      <c r="E138" s="34">
        <v>77</v>
      </c>
      <c r="F138" s="612" t="s">
        <v>3616</v>
      </c>
      <c r="G138" s="612" t="s">
        <v>3617</v>
      </c>
      <c r="I138" s="1655"/>
      <c r="J138" s="1655"/>
      <c r="K138" s="1657">
        <f>Entry_Levels[[#This Row],[Distance to Market]]/Entry_Levels[[#This Row],[Value]]</f>
        <v>0</v>
      </c>
    </row>
    <row r="139" spans="1:11" x14ac:dyDescent="0.2">
      <c r="A139" s="95" t="s">
        <v>3639</v>
      </c>
      <c r="B139" s="95" t="s">
        <v>3748</v>
      </c>
      <c r="C139" s="95" t="s">
        <v>3641</v>
      </c>
      <c r="D139" s="612" t="s">
        <v>3615</v>
      </c>
      <c r="E139" s="34">
        <v>17</v>
      </c>
      <c r="F139" s="612" t="s">
        <v>3616</v>
      </c>
      <c r="G139" s="612" t="s">
        <v>3617</v>
      </c>
      <c r="I139" s="1655"/>
      <c r="J139" s="1655"/>
      <c r="K139" s="1657">
        <f>Entry_Levels[[#This Row],[Distance to Market]]/Entry_Levels[[#This Row],[Value]]</f>
        <v>0</v>
      </c>
    </row>
    <row r="140" spans="1:11" x14ac:dyDescent="0.2">
      <c r="A140" s="95" t="s">
        <v>3639</v>
      </c>
      <c r="B140" s="95" t="s">
        <v>3749</v>
      </c>
      <c r="C140" s="95" t="s">
        <v>3641</v>
      </c>
      <c r="D140" s="612" t="s">
        <v>3615</v>
      </c>
      <c r="E140" s="34">
        <v>15.75</v>
      </c>
      <c r="F140" s="612" t="s">
        <v>3616</v>
      </c>
      <c r="G140" s="612" t="s">
        <v>3617</v>
      </c>
      <c r="I140" s="1655"/>
      <c r="J140" s="1655"/>
      <c r="K140" s="1657">
        <f>Entry_Levels[[#This Row],[Distance to Market]]/Entry_Levels[[#This Row],[Value]]</f>
        <v>0</v>
      </c>
    </row>
    <row r="141" spans="1:11" x14ac:dyDescent="0.2">
      <c r="A141" s="95" t="s">
        <v>3639</v>
      </c>
      <c r="B141" s="95" t="s">
        <v>3750</v>
      </c>
      <c r="C141" s="95" t="s">
        <v>3641</v>
      </c>
      <c r="D141" s="612" t="s">
        <v>3615</v>
      </c>
      <c r="E141" s="34">
        <v>10.75</v>
      </c>
      <c r="F141" s="612" t="s">
        <v>3616</v>
      </c>
      <c r="G141" s="612" t="s">
        <v>3617</v>
      </c>
      <c r="I141" s="1655"/>
      <c r="J141" s="1655"/>
      <c r="K141" s="1657">
        <f>Entry_Levels[[#This Row],[Distance to Market]]/Entry_Levels[[#This Row],[Value]]</f>
        <v>0</v>
      </c>
    </row>
    <row r="142" spans="1:11" x14ac:dyDescent="0.2">
      <c r="A142" s="95" t="s">
        <v>3639</v>
      </c>
      <c r="B142" s="95" t="s">
        <v>3751</v>
      </c>
      <c r="C142" s="95" t="s">
        <v>3641</v>
      </c>
      <c r="D142" s="612" t="s">
        <v>3615</v>
      </c>
      <c r="E142" s="34">
        <v>12.3</v>
      </c>
      <c r="F142" s="612" t="s">
        <v>3616</v>
      </c>
      <c r="G142" s="612" t="s">
        <v>3617</v>
      </c>
      <c r="I142" s="1655"/>
      <c r="J142" s="1655"/>
      <c r="K142" s="1657">
        <f>Entry_Levels[[#This Row],[Distance to Market]]/Entry_Levels[[#This Row],[Value]]</f>
        <v>0</v>
      </c>
    </row>
    <row r="143" spans="1:11" x14ac:dyDescent="0.2">
      <c r="A143" s="95" t="s">
        <v>3639</v>
      </c>
      <c r="B143" s="95" t="s">
        <v>3752</v>
      </c>
      <c r="C143" s="95" t="s">
        <v>3641</v>
      </c>
      <c r="D143" s="612" t="s">
        <v>3615</v>
      </c>
      <c r="E143" s="34">
        <v>13.5</v>
      </c>
      <c r="F143" s="612" t="s">
        <v>3616</v>
      </c>
      <c r="G143" s="612" t="s">
        <v>3617</v>
      </c>
      <c r="I143" s="1655"/>
      <c r="J143" s="1655"/>
      <c r="K143" s="1657">
        <f>Entry_Levels[[#This Row],[Distance to Market]]/Entry_Levels[[#This Row],[Value]]</f>
        <v>0</v>
      </c>
    </row>
    <row r="144" spans="1:11" x14ac:dyDescent="0.2">
      <c r="A144" s="95" t="s">
        <v>3639</v>
      </c>
      <c r="B144" s="95" t="s">
        <v>3753</v>
      </c>
      <c r="C144" s="95" t="s">
        <v>3641</v>
      </c>
      <c r="D144" s="612" t="s">
        <v>3619</v>
      </c>
      <c r="E144" s="34">
        <v>8.6</v>
      </c>
      <c r="F144" s="612" t="s">
        <v>3616</v>
      </c>
      <c r="G144" s="612" t="s">
        <v>3617</v>
      </c>
      <c r="I144" s="1655"/>
      <c r="J144" s="1655"/>
      <c r="K144" s="1657">
        <f>Entry_Levels[[#This Row],[Distance to Market]]/Entry_Levels[[#This Row],[Value]]</f>
        <v>0</v>
      </c>
    </row>
    <row r="145" spans="1:11" x14ac:dyDescent="0.2">
      <c r="A145" s="95" t="s">
        <v>3639</v>
      </c>
      <c r="B145" s="95" t="s">
        <v>3754</v>
      </c>
      <c r="C145" s="95" t="s">
        <v>3641</v>
      </c>
      <c r="D145" s="612" t="s">
        <v>3615</v>
      </c>
      <c r="E145" s="34">
        <v>39</v>
      </c>
      <c r="F145" s="612" t="s">
        <v>3616</v>
      </c>
      <c r="G145" s="612" t="s">
        <v>3617</v>
      </c>
      <c r="I145" s="1655"/>
      <c r="J145" s="1655"/>
      <c r="K145" s="1657">
        <f>Entry_Levels[[#This Row],[Distance to Market]]/Entry_Levels[[#This Row],[Value]]</f>
        <v>0</v>
      </c>
    </row>
    <row r="146" spans="1:11" x14ac:dyDescent="0.2">
      <c r="A146" s="95" t="s">
        <v>3639</v>
      </c>
      <c r="B146" s="95" t="s">
        <v>3755</v>
      </c>
      <c r="C146" s="95" t="s">
        <v>3641</v>
      </c>
      <c r="D146" s="612" t="s">
        <v>3615</v>
      </c>
      <c r="E146" s="34">
        <v>45.7</v>
      </c>
      <c r="F146" s="612" t="s">
        <v>3616</v>
      </c>
      <c r="G146" s="612" t="s">
        <v>3617</v>
      </c>
      <c r="I146" s="1655"/>
      <c r="J146" s="1655"/>
      <c r="K146" s="1657">
        <f>Entry_Levels[[#This Row],[Distance to Market]]/Entry_Levels[[#This Row],[Value]]</f>
        <v>0</v>
      </c>
    </row>
    <row r="147" spans="1:11" x14ac:dyDescent="0.2">
      <c r="A147" s="95" t="s">
        <v>3639</v>
      </c>
      <c r="B147" s="95" t="s">
        <v>3756</v>
      </c>
      <c r="C147" s="95" t="s">
        <v>3641</v>
      </c>
      <c r="D147" s="612" t="s">
        <v>3615</v>
      </c>
      <c r="E147" s="34">
        <v>80</v>
      </c>
      <c r="F147" s="612" t="s">
        <v>3616</v>
      </c>
      <c r="G147" s="612" t="s">
        <v>3617</v>
      </c>
      <c r="I147" s="1655"/>
      <c r="J147" s="1655"/>
      <c r="K147" s="1657">
        <f>Entry_Levels[[#This Row],[Distance to Market]]/Entry_Levels[[#This Row],[Value]]</f>
        <v>0</v>
      </c>
    </row>
    <row r="148" spans="1:11" x14ac:dyDescent="0.2">
      <c r="A148" s="95" t="s">
        <v>3639</v>
      </c>
      <c r="B148" s="95" t="s">
        <v>3757</v>
      </c>
      <c r="C148" s="95" t="s">
        <v>3641</v>
      </c>
      <c r="D148" s="612" t="s">
        <v>3615</v>
      </c>
      <c r="E148" s="34">
        <v>200</v>
      </c>
      <c r="F148" s="612" t="s">
        <v>3616</v>
      </c>
      <c r="G148" s="612" t="s">
        <v>3617</v>
      </c>
      <c r="I148" s="1655"/>
      <c r="J148" s="1655"/>
      <c r="K148" s="1657">
        <f>Entry_Levels[[#This Row],[Distance to Market]]/Entry_Levels[[#This Row],[Value]]</f>
        <v>0</v>
      </c>
    </row>
    <row r="149" spans="1:11" x14ac:dyDescent="0.2">
      <c r="A149" s="95" t="s">
        <v>3639</v>
      </c>
      <c r="B149" s="95" t="s">
        <v>3758</v>
      </c>
      <c r="C149" s="95" t="s">
        <v>3641</v>
      </c>
      <c r="D149" s="612" t="s">
        <v>3615</v>
      </c>
      <c r="E149" s="34">
        <v>70</v>
      </c>
      <c r="F149" s="612" t="s">
        <v>3616</v>
      </c>
      <c r="G149" s="612" t="s">
        <v>3617</v>
      </c>
      <c r="I149" s="1655"/>
      <c r="J149" s="1655"/>
      <c r="K149" s="1657">
        <f>Entry_Levels[[#This Row],[Distance to Market]]/Entry_Levels[[#This Row],[Value]]</f>
        <v>0</v>
      </c>
    </row>
    <row r="150" spans="1:11" x14ac:dyDescent="0.2">
      <c r="A150" s="95" t="s">
        <v>3639</v>
      </c>
      <c r="B150" s="95" t="s">
        <v>3758</v>
      </c>
      <c r="C150" s="95" t="s">
        <v>3641</v>
      </c>
      <c r="D150" s="612" t="s">
        <v>3615</v>
      </c>
      <c r="E150" s="34">
        <v>75</v>
      </c>
      <c r="F150" s="612" t="s">
        <v>3616</v>
      </c>
      <c r="G150" s="612" t="s">
        <v>3617</v>
      </c>
      <c r="I150" s="1655"/>
      <c r="J150" s="1655"/>
      <c r="K150" s="1657">
        <f>Entry_Levels[[#This Row],[Distance to Market]]/Entry_Levels[[#This Row],[Value]]</f>
        <v>0</v>
      </c>
    </row>
    <row r="151" spans="1:11" x14ac:dyDescent="0.2">
      <c r="A151" s="95" t="s">
        <v>3639</v>
      </c>
      <c r="B151" s="95" t="s">
        <v>3758</v>
      </c>
      <c r="C151" s="95" t="s">
        <v>3641</v>
      </c>
      <c r="D151" s="612" t="s">
        <v>3615</v>
      </c>
      <c r="E151" s="34">
        <v>75</v>
      </c>
      <c r="F151" s="612" t="s">
        <v>3616</v>
      </c>
      <c r="G151" s="612" t="s">
        <v>3617</v>
      </c>
      <c r="I151" s="1655"/>
      <c r="J151" s="1655"/>
      <c r="K151" s="1657">
        <f>Entry_Levels[[#This Row],[Distance to Market]]/Entry_Levels[[#This Row],[Value]]</f>
        <v>0</v>
      </c>
    </row>
    <row r="152" spans="1:11" x14ac:dyDescent="0.2">
      <c r="A152" s="95" t="s">
        <v>3639</v>
      </c>
      <c r="B152" s="95" t="s">
        <v>3759</v>
      </c>
      <c r="C152" s="95" t="s">
        <v>3641</v>
      </c>
      <c r="D152" s="612" t="s">
        <v>3615</v>
      </c>
      <c r="E152" s="34">
        <v>16</v>
      </c>
      <c r="F152" s="612" t="s">
        <v>3616</v>
      </c>
      <c r="G152" s="612" t="s">
        <v>3617</v>
      </c>
      <c r="I152" s="1655"/>
      <c r="J152" s="1655"/>
      <c r="K152" s="1657">
        <f>Entry_Levels[[#This Row],[Distance to Market]]/Entry_Levels[[#This Row],[Value]]</f>
        <v>0</v>
      </c>
    </row>
    <row r="153" spans="1:11" x14ac:dyDescent="0.2">
      <c r="A153" s="95" t="s">
        <v>3639</v>
      </c>
      <c r="B153" s="95" t="s">
        <v>3760</v>
      </c>
      <c r="C153" s="95" t="s">
        <v>3641</v>
      </c>
      <c r="D153" s="612" t="s">
        <v>3615</v>
      </c>
      <c r="E153" s="34">
        <v>9.1</v>
      </c>
      <c r="F153" s="612" t="s">
        <v>3616</v>
      </c>
      <c r="G153" s="612" t="s">
        <v>3617</v>
      </c>
      <c r="I153" s="1655"/>
      <c r="J153" s="1655"/>
      <c r="K153" s="1657">
        <f>Entry_Levels[[#This Row],[Distance to Market]]/Entry_Levels[[#This Row],[Value]]</f>
        <v>0</v>
      </c>
    </row>
    <row r="154" spans="1:11" x14ac:dyDescent="0.2">
      <c r="A154" s="95" t="s">
        <v>3639</v>
      </c>
      <c r="B154" s="95" t="s">
        <v>3761</v>
      </c>
      <c r="C154" s="95" t="s">
        <v>3641</v>
      </c>
      <c r="D154" s="612" t="s">
        <v>3615</v>
      </c>
      <c r="E154" s="34">
        <v>7.7</v>
      </c>
      <c r="F154" s="612" t="s">
        <v>3616</v>
      </c>
      <c r="G154" s="612" t="s">
        <v>3617</v>
      </c>
      <c r="I154" s="1655"/>
      <c r="J154" s="1655"/>
      <c r="K154" s="1657">
        <f>Entry_Levels[[#This Row],[Distance to Market]]/Entry_Levels[[#This Row],[Value]]</f>
        <v>0</v>
      </c>
    </row>
    <row r="155" spans="1:11" x14ac:dyDescent="0.2">
      <c r="A155" s="95" t="s">
        <v>3639</v>
      </c>
      <c r="B155" s="95" t="s">
        <v>3762</v>
      </c>
      <c r="C155" s="95" t="s">
        <v>3641</v>
      </c>
      <c r="D155" s="612" t="s">
        <v>3615</v>
      </c>
      <c r="E155" s="34">
        <v>7</v>
      </c>
      <c r="F155" s="612" t="s">
        <v>3616</v>
      </c>
      <c r="G155" s="612" t="s">
        <v>3617</v>
      </c>
      <c r="I155" s="1655"/>
      <c r="J155" s="1655"/>
      <c r="K155" s="1657">
        <f>Entry_Levels[[#This Row],[Distance to Market]]/Entry_Levels[[#This Row],[Value]]</f>
        <v>0</v>
      </c>
    </row>
    <row r="156" spans="1:11" x14ac:dyDescent="0.2">
      <c r="A156" s="95" t="s">
        <v>3639</v>
      </c>
      <c r="B156" s="95" t="s">
        <v>3763</v>
      </c>
      <c r="C156" s="95" t="s">
        <v>3641</v>
      </c>
      <c r="D156" s="612" t="s">
        <v>3615</v>
      </c>
      <c r="E156" s="34">
        <v>365</v>
      </c>
      <c r="F156" s="612" t="s">
        <v>3616</v>
      </c>
      <c r="G156" s="612" t="s">
        <v>3617</v>
      </c>
      <c r="I156" s="1655"/>
      <c r="J156" s="1655"/>
      <c r="K156" s="1657">
        <f>Entry_Levels[[#This Row],[Distance to Market]]/Entry_Levels[[#This Row],[Value]]</f>
        <v>0</v>
      </c>
    </row>
    <row r="157" spans="1:11" x14ac:dyDescent="0.2">
      <c r="A157" s="95" t="s">
        <v>3639</v>
      </c>
      <c r="B157" s="95" t="s">
        <v>3764</v>
      </c>
      <c r="C157" s="95" t="s">
        <v>3641</v>
      </c>
      <c r="D157" s="612" t="s">
        <v>3615</v>
      </c>
      <c r="E157" s="34">
        <v>155</v>
      </c>
      <c r="F157" s="612" t="s">
        <v>3616</v>
      </c>
      <c r="G157" s="612" t="s">
        <v>3617</v>
      </c>
      <c r="I157" s="1655"/>
      <c r="J157" s="1655"/>
      <c r="K157" s="1657">
        <f>Entry_Levels[[#This Row],[Distance to Market]]/Entry_Levels[[#This Row],[Value]]</f>
        <v>0</v>
      </c>
    </row>
    <row r="158" spans="1:11" x14ac:dyDescent="0.2">
      <c r="A158" s="95" t="s">
        <v>3639</v>
      </c>
      <c r="B158" s="95" t="s">
        <v>3765</v>
      </c>
      <c r="C158" s="95" t="s">
        <v>3641</v>
      </c>
      <c r="D158" s="612" t="s">
        <v>3615</v>
      </c>
      <c r="E158" s="34">
        <v>575</v>
      </c>
      <c r="F158" s="612" t="s">
        <v>3616</v>
      </c>
      <c r="G158" s="612" t="s">
        <v>3617</v>
      </c>
      <c r="I158" s="1655"/>
      <c r="J158" s="1655"/>
      <c r="K158" s="1657">
        <f>Entry_Levels[[#This Row],[Distance to Market]]/Entry_Levels[[#This Row],[Value]]</f>
        <v>0</v>
      </c>
    </row>
    <row r="159" spans="1:11" x14ac:dyDescent="0.2">
      <c r="A159" s="95" t="s">
        <v>3639</v>
      </c>
      <c r="B159" s="95" t="s">
        <v>3765</v>
      </c>
      <c r="C159" s="95" t="s">
        <v>3641</v>
      </c>
      <c r="D159" s="612" t="s">
        <v>3615</v>
      </c>
      <c r="E159" s="34">
        <v>765</v>
      </c>
      <c r="F159" s="612" t="s">
        <v>3616</v>
      </c>
      <c r="G159" s="612" t="s">
        <v>3617</v>
      </c>
      <c r="I159" s="1655"/>
      <c r="J159" s="1655"/>
      <c r="K159" s="1657">
        <f>Entry_Levels[[#This Row],[Distance to Market]]/Entry_Levels[[#This Row],[Value]]</f>
        <v>0</v>
      </c>
    </row>
    <row r="160" spans="1:11" x14ac:dyDescent="0.2">
      <c r="A160" s="95" t="s">
        <v>3639</v>
      </c>
      <c r="B160" s="95" t="s">
        <v>3766</v>
      </c>
      <c r="C160" s="95" t="s">
        <v>3641</v>
      </c>
      <c r="D160" s="612" t="s">
        <v>3619</v>
      </c>
      <c r="E160" s="34">
        <v>84.5</v>
      </c>
      <c r="F160" s="612" t="s">
        <v>3616</v>
      </c>
      <c r="G160" s="612" t="s">
        <v>3617</v>
      </c>
      <c r="I160" s="1655"/>
      <c r="J160" s="1655"/>
      <c r="K160" s="1657">
        <f>Entry_Levels[[#This Row],[Distance to Market]]/Entry_Levels[[#This Row],[Value]]</f>
        <v>0</v>
      </c>
    </row>
    <row r="161" spans="1:11" x14ac:dyDescent="0.2">
      <c r="A161" s="95" t="s">
        <v>3639</v>
      </c>
      <c r="B161" s="95" t="s">
        <v>3767</v>
      </c>
      <c r="C161" s="95" t="s">
        <v>3641</v>
      </c>
      <c r="D161" s="612" t="s">
        <v>3615</v>
      </c>
      <c r="E161" s="34" t="s">
        <v>3768</v>
      </c>
      <c r="F161" s="612" t="s">
        <v>3616</v>
      </c>
      <c r="G161" s="612" t="s">
        <v>3617</v>
      </c>
      <c r="I161" s="1655"/>
      <c r="J161" s="1655"/>
      <c r="K161" s="1657">
        <f>Entry_Levels[[#This Row],[Distance to Market]]/Entry_Levels[[#This Row],[Value]]</f>
        <v>0</v>
      </c>
    </row>
    <row r="162" spans="1:11" x14ac:dyDescent="0.2">
      <c r="A162" s="95" t="s">
        <v>3639</v>
      </c>
      <c r="B162" s="95" t="s">
        <v>3769</v>
      </c>
      <c r="C162" s="95" t="s">
        <v>3641</v>
      </c>
      <c r="D162" s="612" t="s">
        <v>3615</v>
      </c>
      <c r="E162" s="34">
        <v>116</v>
      </c>
      <c r="F162" s="612" t="s">
        <v>3616</v>
      </c>
      <c r="G162" s="612" t="s">
        <v>3617</v>
      </c>
      <c r="I162" s="1655"/>
      <c r="J162" s="1655"/>
      <c r="K162" s="1657">
        <f>Entry_Levels[[#This Row],[Distance to Market]]/Entry_Levels[[#This Row],[Value]]</f>
        <v>0</v>
      </c>
    </row>
    <row r="163" spans="1:11" x14ac:dyDescent="0.2">
      <c r="A163" s="95" t="s">
        <v>3639</v>
      </c>
      <c r="B163" s="95" t="s">
        <v>3770</v>
      </c>
      <c r="C163" s="95" t="s">
        <v>3641</v>
      </c>
      <c r="D163" s="612" t="s">
        <v>3619</v>
      </c>
      <c r="E163" s="34">
        <v>445</v>
      </c>
      <c r="F163" s="612" t="s">
        <v>3616</v>
      </c>
      <c r="G163" s="612" t="s">
        <v>3617</v>
      </c>
      <c r="I163" s="1655"/>
      <c r="J163" s="1655"/>
      <c r="K163" s="1657">
        <f>Entry_Levels[[#This Row],[Distance to Market]]/Entry_Levels[[#This Row],[Value]]</f>
        <v>0</v>
      </c>
    </row>
    <row r="164" spans="1:11" x14ac:dyDescent="0.2">
      <c r="A164" s="95" t="s">
        <v>3639</v>
      </c>
      <c r="B164" s="95" t="s">
        <v>3771</v>
      </c>
      <c r="C164" s="95" t="s">
        <v>3641</v>
      </c>
      <c r="D164" s="612" t="s">
        <v>3615</v>
      </c>
      <c r="E164" s="34">
        <v>175</v>
      </c>
      <c r="F164" s="612" t="s">
        <v>3616</v>
      </c>
      <c r="G164" s="612" t="s">
        <v>3617</v>
      </c>
      <c r="I164" s="1655"/>
      <c r="J164" s="1655"/>
      <c r="K164" s="1657">
        <f>Entry_Levels[[#This Row],[Distance to Market]]/Entry_Levels[[#This Row],[Value]]</f>
        <v>0</v>
      </c>
    </row>
    <row r="165" spans="1:11" x14ac:dyDescent="0.2">
      <c r="A165" s="95" t="s">
        <v>3639</v>
      </c>
      <c r="B165" s="95" t="s">
        <v>3772</v>
      </c>
      <c r="C165" s="95" t="s">
        <v>3641</v>
      </c>
      <c r="D165" s="612" t="s">
        <v>3615</v>
      </c>
      <c r="E165" s="34">
        <v>21</v>
      </c>
      <c r="F165" s="612" t="s">
        <v>3616</v>
      </c>
      <c r="G165" s="612" t="s">
        <v>3617</v>
      </c>
      <c r="I165" s="1655"/>
      <c r="J165" s="1655"/>
      <c r="K165" s="1657">
        <f>Entry_Levels[[#This Row],[Distance to Market]]/Entry_Levels[[#This Row],[Value]]</f>
        <v>0</v>
      </c>
    </row>
    <row r="166" spans="1:11" x14ac:dyDescent="0.2">
      <c r="A166" s="95" t="s">
        <v>3639</v>
      </c>
      <c r="B166" s="95" t="s">
        <v>3773</v>
      </c>
      <c r="C166" s="95" t="s">
        <v>3641</v>
      </c>
      <c r="D166" s="612" t="s">
        <v>3615</v>
      </c>
      <c r="E166" s="34">
        <v>750</v>
      </c>
      <c r="F166" s="612" t="s">
        <v>3616</v>
      </c>
      <c r="G166" s="612" t="s">
        <v>3617</v>
      </c>
      <c r="I166" s="1655"/>
      <c r="J166" s="1655"/>
      <c r="K166" s="1657">
        <f>Entry_Levels[[#This Row],[Distance to Market]]/Entry_Levels[[#This Row],[Value]]</f>
        <v>0</v>
      </c>
    </row>
    <row r="167" spans="1:11" x14ac:dyDescent="0.2">
      <c r="A167" s="95" t="s">
        <v>3639</v>
      </c>
      <c r="B167" s="95" t="s">
        <v>3774</v>
      </c>
      <c r="C167" s="95" t="s">
        <v>3641</v>
      </c>
      <c r="D167" s="612" t="s">
        <v>3615</v>
      </c>
      <c r="E167" s="34">
        <v>30</v>
      </c>
      <c r="F167" s="612" t="s">
        <v>3616</v>
      </c>
      <c r="G167" s="612" t="s">
        <v>3617</v>
      </c>
      <c r="I167" s="1655"/>
      <c r="J167" s="1655"/>
      <c r="K167" s="1657">
        <f>Entry_Levels[[#This Row],[Distance to Market]]/Entry_Levels[[#This Row],[Value]]</f>
        <v>0</v>
      </c>
    </row>
    <row r="168" spans="1:11" x14ac:dyDescent="0.2">
      <c r="A168" s="95" t="s">
        <v>3639</v>
      </c>
      <c r="B168" s="95" t="s">
        <v>3775</v>
      </c>
      <c r="C168" s="95" t="s">
        <v>3641</v>
      </c>
      <c r="D168" s="612" t="s">
        <v>3615</v>
      </c>
      <c r="E168" s="34">
        <v>32</v>
      </c>
      <c r="F168" s="612" t="s">
        <v>3616</v>
      </c>
      <c r="G168" s="612" t="s">
        <v>3617</v>
      </c>
      <c r="I168" s="1655"/>
      <c r="J168" s="1655"/>
      <c r="K168" s="1657">
        <f>Entry_Levels[[#This Row],[Distance to Market]]/Entry_Levels[[#This Row],[Value]]</f>
        <v>0</v>
      </c>
    </row>
    <row r="169" spans="1:11" x14ac:dyDescent="0.2">
      <c r="A169" s="95" t="s">
        <v>3639</v>
      </c>
      <c r="B169" s="95" t="s">
        <v>3776</v>
      </c>
      <c r="C169" s="95" t="s">
        <v>3641</v>
      </c>
      <c r="D169" s="612" t="s">
        <v>3615</v>
      </c>
      <c r="E169" s="34">
        <v>70</v>
      </c>
      <c r="F169" s="612" t="s">
        <v>3616</v>
      </c>
      <c r="G169" s="612" t="s">
        <v>3617</v>
      </c>
      <c r="I169" s="1655"/>
      <c r="J169" s="1655"/>
      <c r="K169" s="1657">
        <f>Entry_Levels[[#This Row],[Distance to Market]]/Entry_Levels[[#This Row],[Value]]</f>
        <v>0</v>
      </c>
    </row>
    <row r="170" spans="1:11" x14ac:dyDescent="0.2">
      <c r="A170" s="95" t="s">
        <v>3639</v>
      </c>
      <c r="B170" s="95" t="s">
        <v>3777</v>
      </c>
      <c r="C170" s="95" t="s">
        <v>3641</v>
      </c>
      <c r="D170" s="612" t="s">
        <v>3619</v>
      </c>
      <c r="E170" s="34">
        <v>190</v>
      </c>
      <c r="F170" s="612" t="s">
        <v>3616</v>
      </c>
      <c r="G170" s="612" t="s">
        <v>3617</v>
      </c>
      <c r="I170" s="1655"/>
      <c r="J170" s="1655"/>
      <c r="K170" s="1657">
        <f>Entry_Levels[[#This Row],[Distance to Market]]/Entry_Levels[[#This Row],[Value]]</f>
        <v>0</v>
      </c>
    </row>
    <row r="171" spans="1:11" x14ac:dyDescent="0.2">
      <c r="A171" s="95" t="s">
        <v>3639</v>
      </c>
      <c r="B171" s="95" t="s">
        <v>3778</v>
      </c>
      <c r="C171" s="95" t="s">
        <v>3641</v>
      </c>
      <c r="D171" s="612" t="s">
        <v>3615</v>
      </c>
      <c r="E171" s="34">
        <v>380</v>
      </c>
      <c r="F171" s="612" t="s">
        <v>3616</v>
      </c>
      <c r="G171" s="612" t="s">
        <v>3617</v>
      </c>
      <c r="I171" s="1655"/>
      <c r="J171" s="1655"/>
      <c r="K171" s="1657">
        <f>Entry_Levels[[#This Row],[Distance to Market]]/Entry_Levels[[#This Row],[Value]]</f>
        <v>0</v>
      </c>
    </row>
    <row r="172" spans="1:11" x14ac:dyDescent="0.2">
      <c r="A172" s="95" t="s">
        <v>3639</v>
      </c>
      <c r="B172" s="95" t="s">
        <v>3779</v>
      </c>
      <c r="C172" s="95" t="s">
        <v>3641</v>
      </c>
      <c r="D172" s="612" t="s">
        <v>3615</v>
      </c>
      <c r="E172" s="34">
        <v>160</v>
      </c>
      <c r="F172" s="612" t="s">
        <v>3616</v>
      </c>
      <c r="G172" s="612" t="s">
        <v>3617</v>
      </c>
      <c r="I172" s="1655"/>
      <c r="J172" s="1655"/>
      <c r="K172" s="1657">
        <f>Entry_Levels[[#This Row],[Distance to Market]]/Entry_Levels[[#This Row],[Value]]</f>
        <v>0</v>
      </c>
    </row>
    <row r="173" spans="1:11" x14ac:dyDescent="0.2">
      <c r="A173" s="95" t="s">
        <v>3639</v>
      </c>
      <c r="B173" s="95" t="s">
        <v>3780</v>
      </c>
      <c r="C173" s="95" t="s">
        <v>3641</v>
      </c>
      <c r="D173" s="612" t="s">
        <v>3615</v>
      </c>
      <c r="E173" s="34">
        <v>128</v>
      </c>
      <c r="F173" s="612" t="s">
        <v>3616</v>
      </c>
      <c r="G173" s="612" t="s">
        <v>3617</v>
      </c>
      <c r="I173" s="1655"/>
      <c r="J173" s="1655"/>
      <c r="K173" s="1657">
        <f>Entry_Levels[[#This Row],[Distance to Market]]/Entry_Levels[[#This Row],[Value]]</f>
        <v>0</v>
      </c>
    </row>
    <row r="174" spans="1:11" x14ac:dyDescent="0.2">
      <c r="A174" s="95" t="s">
        <v>3639</v>
      </c>
      <c r="B174" s="95" t="s">
        <v>3781</v>
      </c>
      <c r="C174" s="95" t="s">
        <v>3641</v>
      </c>
      <c r="D174" s="612" t="s">
        <v>3615</v>
      </c>
      <c r="E174" s="34">
        <v>4.7</v>
      </c>
      <c r="F174" s="612" t="s">
        <v>3616</v>
      </c>
      <c r="G174" s="612" t="s">
        <v>3617</v>
      </c>
      <c r="I174" s="1655"/>
      <c r="J174" s="1655"/>
      <c r="K174" s="1657">
        <f>Entry_Levels[[#This Row],[Distance to Market]]/Entry_Levels[[#This Row],[Value]]</f>
        <v>0</v>
      </c>
    </row>
    <row r="175" spans="1:11" x14ac:dyDescent="0.2">
      <c r="A175" s="95" t="s">
        <v>3639</v>
      </c>
      <c r="B175" s="95" t="s">
        <v>3782</v>
      </c>
      <c r="C175" s="95" t="s">
        <v>3641</v>
      </c>
      <c r="D175" s="612" t="s">
        <v>3615</v>
      </c>
      <c r="E175" s="34">
        <v>245</v>
      </c>
      <c r="F175" s="612" t="s">
        <v>3616</v>
      </c>
      <c r="G175" s="612" t="s">
        <v>3617</v>
      </c>
      <c r="I175" s="1655"/>
      <c r="J175" s="1655"/>
      <c r="K175" s="1657">
        <f>Entry_Levels[[#This Row],[Distance to Market]]/Entry_Levels[[#This Row],[Value]]</f>
        <v>0</v>
      </c>
    </row>
    <row r="176" spans="1:11" x14ac:dyDescent="0.2">
      <c r="A176" s="95" t="s">
        <v>3639</v>
      </c>
      <c r="B176" s="95" t="s">
        <v>3783</v>
      </c>
      <c r="C176" s="95" t="s">
        <v>3641</v>
      </c>
      <c r="D176" s="612" t="s">
        <v>3615</v>
      </c>
      <c r="E176" s="34">
        <v>90</v>
      </c>
      <c r="F176" s="612" t="s">
        <v>3616</v>
      </c>
      <c r="G176" s="612" t="s">
        <v>3617</v>
      </c>
      <c r="I176" s="1655"/>
      <c r="J176" s="1655"/>
      <c r="K176" s="1657">
        <f>Entry_Levels[[#This Row],[Distance to Market]]/Entry_Levels[[#This Row],[Value]]</f>
        <v>0</v>
      </c>
    </row>
    <row r="177" spans="1:11" x14ac:dyDescent="0.2">
      <c r="A177" s="95" t="s">
        <v>3639</v>
      </c>
      <c r="B177" s="95" t="s">
        <v>3784</v>
      </c>
      <c r="C177" s="95" t="s">
        <v>3641</v>
      </c>
      <c r="D177" s="612" t="s">
        <v>3615</v>
      </c>
      <c r="E177" s="34">
        <v>7.5</v>
      </c>
      <c r="F177" s="612" t="s">
        <v>3616</v>
      </c>
      <c r="G177" s="612" t="s">
        <v>3617</v>
      </c>
      <c r="I177" s="1655"/>
      <c r="J177" s="1655"/>
      <c r="K177" s="1657">
        <f>Entry_Levels[[#This Row],[Distance to Market]]/Entry_Levels[[#This Row],[Value]]</f>
        <v>0</v>
      </c>
    </row>
    <row r="178" spans="1:11" x14ac:dyDescent="0.2">
      <c r="A178" s="95" t="s">
        <v>3639</v>
      </c>
      <c r="B178" s="95" t="s">
        <v>3785</v>
      </c>
      <c r="C178" s="95" t="s">
        <v>3641</v>
      </c>
      <c r="D178" s="612" t="s">
        <v>3615</v>
      </c>
      <c r="E178" s="34">
        <v>22.6</v>
      </c>
      <c r="F178" s="612" t="s">
        <v>3616</v>
      </c>
      <c r="G178" s="612" t="s">
        <v>3617</v>
      </c>
      <c r="I178" s="1655"/>
      <c r="J178" s="1655"/>
      <c r="K178" s="1657">
        <f>Entry_Levels[[#This Row],[Distance to Market]]/Entry_Levels[[#This Row],[Value]]</f>
        <v>0</v>
      </c>
    </row>
    <row r="179" spans="1:11" x14ac:dyDescent="0.2">
      <c r="A179" s="95" t="s">
        <v>3639</v>
      </c>
      <c r="B179" s="95" t="s">
        <v>3785</v>
      </c>
      <c r="C179" s="95" t="s">
        <v>3641</v>
      </c>
      <c r="D179" s="612" t="s">
        <v>3615</v>
      </c>
      <c r="E179" s="34">
        <v>21</v>
      </c>
      <c r="F179" s="612" t="s">
        <v>3616</v>
      </c>
      <c r="G179" s="612" t="s">
        <v>3617</v>
      </c>
      <c r="I179" s="1655"/>
      <c r="J179" s="1655"/>
      <c r="K179" s="1657">
        <f>Entry_Levels[[#This Row],[Distance to Market]]/Entry_Levels[[#This Row],[Value]]</f>
        <v>0</v>
      </c>
    </row>
    <row r="180" spans="1:11" x14ac:dyDescent="0.2">
      <c r="A180" s="95" t="s">
        <v>3639</v>
      </c>
      <c r="B180" s="95" t="s">
        <v>3786</v>
      </c>
      <c r="C180" s="95" t="s">
        <v>3641</v>
      </c>
      <c r="D180" s="612" t="s">
        <v>3615</v>
      </c>
      <c r="E180" s="34">
        <v>160</v>
      </c>
      <c r="F180" s="612" t="s">
        <v>3616</v>
      </c>
      <c r="G180" s="612" t="s">
        <v>3617</v>
      </c>
      <c r="I180" s="1655"/>
      <c r="J180" s="1655"/>
      <c r="K180" s="1657">
        <f>Entry_Levels[[#This Row],[Distance to Market]]/Entry_Levels[[#This Row],[Value]]</f>
        <v>0</v>
      </c>
    </row>
    <row r="181" spans="1:11" x14ac:dyDescent="0.2">
      <c r="A181" s="95" t="s">
        <v>3639</v>
      </c>
      <c r="B181" s="95" t="s">
        <v>3787</v>
      </c>
      <c r="C181" s="95" t="s">
        <v>3641</v>
      </c>
      <c r="D181" s="612" t="s">
        <v>3615</v>
      </c>
      <c r="E181" s="34">
        <v>400</v>
      </c>
      <c r="F181" s="612" t="s">
        <v>3616</v>
      </c>
      <c r="G181" s="612" t="s">
        <v>3617</v>
      </c>
      <c r="I181" s="1655"/>
      <c r="J181" s="1655"/>
      <c r="K181" s="1657">
        <f>Entry_Levels[[#This Row],[Distance to Market]]/Entry_Levels[[#This Row],[Value]]</f>
        <v>0</v>
      </c>
    </row>
    <row r="182" spans="1:11" x14ac:dyDescent="0.2">
      <c r="A182" s="95" t="s">
        <v>3639</v>
      </c>
      <c r="B182" s="95" t="s">
        <v>3788</v>
      </c>
      <c r="C182" s="95" t="s">
        <v>3641</v>
      </c>
      <c r="D182" s="612" t="s">
        <v>3615</v>
      </c>
      <c r="E182" s="34">
        <v>14.5</v>
      </c>
      <c r="F182" s="612" t="s">
        <v>3616</v>
      </c>
      <c r="G182" s="612" t="s">
        <v>3617</v>
      </c>
      <c r="I182" s="1655"/>
      <c r="J182" s="1655"/>
      <c r="K182" s="1657">
        <f>Entry_Levels[[#This Row],[Distance to Market]]/Entry_Levels[[#This Row],[Value]]</f>
        <v>0</v>
      </c>
    </row>
    <row r="183" spans="1:11" x14ac:dyDescent="0.2">
      <c r="A183" s="95" t="s">
        <v>3639</v>
      </c>
      <c r="B183" s="95" t="s">
        <v>3789</v>
      </c>
      <c r="C183" s="95" t="s">
        <v>3641</v>
      </c>
      <c r="D183" s="612" t="s">
        <v>3615</v>
      </c>
      <c r="E183" s="34">
        <v>9.8000000000000007</v>
      </c>
      <c r="F183" s="612" t="s">
        <v>3616</v>
      </c>
      <c r="G183" s="612" t="s">
        <v>3617</v>
      </c>
      <c r="I183" s="1655"/>
      <c r="J183" s="1655"/>
      <c r="K183" s="1657">
        <f>Entry_Levels[[#This Row],[Distance to Market]]/Entry_Levels[[#This Row],[Value]]</f>
        <v>0</v>
      </c>
    </row>
    <row r="184" spans="1:11" x14ac:dyDescent="0.2">
      <c r="A184" s="95" t="s">
        <v>3639</v>
      </c>
      <c r="B184" s="95" t="s">
        <v>3790</v>
      </c>
      <c r="C184" s="95" t="s">
        <v>3641</v>
      </c>
      <c r="D184" s="612" t="s">
        <v>3615</v>
      </c>
      <c r="E184" s="34">
        <v>39</v>
      </c>
      <c r="F184" s="612" t="s">
        <v>3616</v>
      </c>
      <c r="G184" s="612" t="s">
        <v>3617</v>
      </c>
      <c r="I184" s="1655"/>
      <c r="J184" s="1655"/>
      <c r="K184" s="1657">
        <f>Entry_Levels[[#This Row],[Distance to Market]]/Entry_Levels[[#This Row],[Value]]</f>
        <v>0</v>
      </c>
    </row>
    <row r="185" spans="1:11" x14ac:dyDescent="0.2">
      <c r="A185" s="95" t="s">
        <v>3639</v>
      </c>
      <c r="B185" s="95" t="s">
        <v>3790</v>
      </c>
      <c r="C185" s="95" t="s">
        <v>3641</v>
      </c>
      <c r="D185" s="612" t="s">
        <v>3615</v>
      </c>
      <c r="E185" s="34">
        <v>38.5</v>
      </c>
      <c r="F185" s="612" t="s">
        <v>3616</v>
      </c>
      <c r="G185" s="612" t="s">
        <v>3617</v>
      </c>
      <c r="I185" s="1655"/>
      <c r="J185" s="1655"/>
      <c r="K185" s="1657">
        <f>Entry_Levels[[#This Row],[Distance to Market]]/Entry_Levels[[#This Row],[Value]]</f>
        <v>0</v>
      </c>
    </row>
    <row r="186" spans="1:11" x14ac:dyDescent="0.2">
      <c r="A186" s="95" t="s">
        <v>3639</v>
      </c>
      <c r="B186" s="95" t="s">
        <v>3791</v>
      </c>
      <c r="C186" s="95" t="s">
        <v>3641</v>
      </c>
      <c r="D186" s="612" t="s">
        <v>3619</v>
      </c>
      <c r="E186" s="34">
        <v>3.5</v>
      </c>
      <c r="F186" s="612" t="s">
        <v>3616</v>
      </c>
      <c r="G186" s="612" t="s">
        <v>3617</v>
      </c>
      <c r="I186" s="1655"/>
      <c r="J186" s="1655"/>
      <c r="K186" s="1657">
        <f>Entry_Levels[[#This Row],[Distance to Market]]/Entry_Levels[[#This Row],[Value]]</f>
        <v>0</v>
      </c>
    </row>
    <row r="187" spans="1:11" x14ac:dyDescent="0.2">
      <c r="A187" s="95" t="s">
        <v>3639</v>
      </c>
      <c r="B187" s="95" t="s">
        <v>3791</v>
      </c>
      <c r="C187" s="95" t="s">
        <v>3641</v>
      </c>
      <c r="D187" s="612" t="s">
        <v>3615</v>
      </c>
      <c r="E187" s="34">
        <v>1.6</v>
      </c>
      <c r="F187" s="612" t="s">
        <v>3616</v>
      </c>
      <c r="G187" s="612" t="s">
        <v>3617</v>
      </c>
      <c r="I187" s="1655"/>
      <c r="J187" s="1655"/>
      <c r="K187" s="1657">
        <f>Entry_Levels[[#This Row],[Distance to Market]]/Entry_Levels[[#This Row],[Value]]</f>
        <v>0</v>
      </c>
    </row>
    <row r="188" spans="1:11" x14ac:dyDescent="0.2">
      <c r="A188" s="95" t="s">
        <v>3639</v>
      </c>
      <c r="B188" s="95" t="s">
        <v>3791</v>
      </c>
      <c r="C188" s="95" t="s">
        <v>3641</v>
      </c>
      <c r="D188" s="612" t="s">
        <v>3615</v>
      </c>
      <c r="E188" s="34">
        <v>1.55</v>
      </c>
      <c r="F188" s="612" t="s">
        <v>3616</v>
      </c>
      <c r="G188" s="612" t="s">
        <v>3617</v>
      </c>
      <c r="I188" s="1655"/>
      <c r="J188" s="1655"/>
      <c r="K188" s="1657">
        <f>Entry_Levels[[#This Row],[Distance to Market]]/Entry_Levels[[#This Row],[Value]]</f>
        <v>0</v>
      </c>
    </row>
    <row r="189" spans="1:11" x14ac:dyDescent="0.2">
      <c r="A189" s="95" t="s">
        <v>3639</v>
      </c>
      <c r="B189" s="95" t="s">
        <v>3792</v>
      </c>
      <c r="C189" s="95" t="s">
        <v>3641</v>
      </c>
      <c r="D189" s="612" t="s">
        <v>3615</v>
      </c>
      <c r="E189" s="34">
        <v>260</v>
      </c>
      <c r="F189" s="612" t="s">
        <v>3616</v>
      </c>
      <c r="G189" s="612" t="s">
        <v>3617</v>
      </c>
      <c r="I189" s="1655"/>
      <c r="J189" s="1655"/>
      <c r="K189" s="1657">
        <f>Entry_Levels[[#This Row],[Distance to Market]]/Entry_Levels[[#This Row],[Value]]</f>
        <v>0</v>
      </c>
    </row>
    <row r="190" spans="1:11" x14ac:dyDescent="0.2">
      <c r="A190" s="95" t="s">
        <v>3639</v>
      </c>
      <c r="B190" s="95" t="s">
        <v>3793</v>
      </c>
      <c r="C190" s="95" t="s">
        <v>3641</v>
      </c>
      <c r="D190" s="612" t="s">
        <v>3615</v>
      </c>
      <c r="E190" s="34">
        <v>31</v>
      </c>
      <c r="F190" s="612" t="s">
        <v>3616</v>
      </c>
      <c r="G190" s="612" t="s">
        <v>3617</v>
      </c>
      <c r="I190" s="1655"/>
      <c r="J190" s="1655"/>
      <c r="K190" s="1657">
        <f>Entry_Levels[[#This Row],[Distance to Market]]/Entry_Levels[[#This Row],[Value]]</f>
        <v>0</v>
      </c>
    </row>
    <row r="191" spans="1:11" x14ac:dyDescent="0.2">
      <c r="A191" s="95" t="s">
        <v>3639</v>
      </c>
      <c r="B191" s="95" t="s">
        <v>3794</v>
      </c>
      <c r="C191" s="95" t="s">
        <v>3641</v>
      </c>
      <c r="D191" s="612" t="s">
        <v>3615</v>
      </c>
      <c r="E191" s="34">
        <v>98</v>
      </c>
      <c r="F191" s="612" t="s">
        <v>3616</v>
      </c>
      <c r="G191" s="612" t="s">
        <v>3617</v>
      </c>
      <c r="H191" s="95" t="s">
        <v>3795</v>
      </c>
      <c r="I191" s="1655"/>
      <c r="J191" s="1655"/>
      <c r="K191" s="1657">
        <f>Entry_Levels[[#This Row],[Distance to Market]]/Entry_Levels[[#This Row],[Value]]</f>
        <v>0</v>
      </c>
    </row>
    <row r="192" spans="1:11" x14ac:dyDescent="0.2">
      <c r="A192" s="95" t="s">
        <v>3639</v>
      </c>
      <c r="B192" s="95" t="s">
        <v>3796</v>
      </c>
      <c r="C192" s="95" t="s">
        <v>3641</v>
      </c>
      <c r="D192" s="612" t="s">
        <v>3615</v>
      </c>
      <c r="E192" s="34">
        <v>58</v>
      </c>
      <c r="F192" s="612" t="s">
        <v>3616</v>
      </c>
      <c r="G192" s="612" t="s">
        <v>3617</v>
      </c>
      <c r="H192" s="95" t="s">
        <v>3797</v>
      </c>
      <c r="I192" s="1655"/>
      <c r="J192" s="1655"/>
      <c r="K192" s="1657">
        <f>Entry_Levels[[#This Row],[Distance to Market]]/Entry_Levels[[#This Row],[Value]]</f>
        <v>0</v>
      </c>
    </row>
    <row r="193" spans="1:11" x14ac:dyDescent="0.2">
      <c r="A193" s="95" t="s">
        <v>3639</v>
      </c>
      <c r="B193" s="95" t="s">
        <v>3798</v>
      </c>
      <c r="C193" s="95" t="s">
        <v>3641</v>
      </c>
      <c r="D193" s="612" t="s">
        <v>3615</v>
      </c>
      <c r="E193" s="34">
        <v>55</v>
      </c>
      <c r="F193" s="612" t="s">
        <v>3616</v>
      </c>
      <c r="G193" s="612" t="s">
        <v>3617</v>
      </c>
      <c r="H193" s="95" t="s">
        <v>3797</v>
      </c>
      <c r="I193" s="1655"/>
      <c r="J193" s="1655"/>
      <c r="K193" s="1657">
        <f>Entry_Levels[[#This Row],[Distance to Market]]/Entry_Levels[[#This Row],[Value]]</f>
        <v>0</v>
      </c>
    </row>
    <row r="194" spans="1:11" x14ac:dyDescent="0.2">
      <c r="A194" s="95" t="s">
        <v>3639</v>
      </c>
      <c r="B194" s="95" t="s">
        <v>3799</v>
      </c>
      <c r="C194" s="95" t="s">
        <v>3641</v>
      </c>
      <c r="D194" s="612" t="s">
        <v>3615</v>
      </c>
      <c r="E194" s="34" t="s">
        <v>3800</v>
      </c>
      <c r="F194" s="612" t="s">
        <v>3616</v>
      </c>
      <c r="G194" s="612" t="s">
        <v>3617</v>
      </c>
      <c r="I194" s="1655"/>
      <c r="J194" s="1655"/>
      <c r="K194" s="1657">
        <f>Entry_Levels[[#This Row],[Distance to Market]]/Entry_Levels[[#This Row],[Value]]</f>
        <v>0</v>
      </c>
    </row>
    <row r="195" spans="1:11" x14ac:dyDescent="0.2">
      <c r="A195" s="95" t="s">
        <v>3639</v>
      </c>
      <c r="B195" s="95" t="s">
        <v>3801</v>
      </c>
      <c r="C195" s="95" t="s">
        <v>3641</v>
      </c>
      <c r="D195" s="612" t="s">
        <v>3615</v>
      </c>
      <c r="E195" s="34">
        <v>110</v>
      </c>
      <c r="F195" s="612" t="s">
        <v>3616</v>
      </c>
      <c r="G195" s="612" t="s">
        <v>3617</v>
      </c>
      <c r="I195" s="1655"/>
      <c r="J195" s="1655"/>
      <c r="K195" s="1657">
        <f>Entry_Levels[[#This Row],[Distance to Market]]/Entry_Levels[[#This Row],[Value]]</f>
        <v>0</v>
      </c>
    </row>
    <row r="196" spans="1:11" x14ac:dyDescent="0.2">
      <c r="A196" s="95" t="s">
        <v>3639</v>
      </c>
      <c r="B196" s="95" t="s">
        <v>3801</v>
      </c>
      <c r="C196" s="95" t="s">
        <v>3641</v>
      </c>
      <c r="D196" s="612" t="s">
        <v>3615</v>
      </c>
      <c r="E196" s="34">
        <v>123.5</v>
      </c>
      <c r="F196" s="612" t="s">
        <v>3616</v>
      </c>
      <c r="G196" s="612" t="s">
        <v>3617</v>
      </c>
      <c r="I196" s="1655"/>
      <c r="J196" s="1655"/>
      <c r="K196" s="1657">
        <f>Entry_Levels[[#This Row],[Distance to Market]]/Entry_Levels[[#This Row],[Value]]</f>
        <v>0</v>
      </c>
    </row>
    <row r="197" spans="1:11" x14ac:dyDescent="0.2">
      <c r="A197" s="95" t="s">
        <v>3639</v>
      </c>
      <c r="B197" s="95" t="s">
        <v>3801</v>
      </c>
      <c r="C197" s="95" t="s">
        <v>3641</v>
      </c>
      <c r="D197" s="612" t="s">
        <v>3615</v>
      </c>
      <c r="E197" s="34">
        <v>121.5</v>
      </c>
      <c r="F197" s="612" t="s">
        <v>3616</v>
      </c>
      <c r="G197" s="612" t="s">
        <v>3617</v>
      </c>
      <c r="I197" s="1655"/>
      <c r="J197" s="1655"/>
      <c r="K197" s="1657">
        <f>Entry_Levels[[#This Row],[Distance to Market]]/Entry_Levels[[#This Row],[Value]]</f>
        <v>0</v>
      </c>
    </row>
    <row r="198" spans="1:11" x14ac:dyDescent="0.2">
      <c r="A198" s="95" t="s">
        <v>3639</v>
      </c>
      <c r="B198" s="95" t="s">
        <v>3801</v>
      </c>
      <c r="C198" s="95" t="s">
        <v>3641</v>
      </c>
      <c r="D198" s="612" t="s">
        <v>3615</v>
      </c>
      <c r="E198" s="34">
        <v>125</v>
      </c>
      <c r="F198" s="612" t="s">
        <v>3616</v>
      </c>
      <c r="G198" s="612" t="s">
        <v>3617</v>
      </c>
      <c r="I198" s="1655"/>
      <c r="J198" s="1655"/>
      <c r="K198" s="1657">
        <f>Entry_Levels[[#This Row],[Distance to Market]]/Entry_Levels[[#This Row],[Value]]</f>
        <v>0</v>
      </c>
    </row>
    <row r="199" spans="1:11" x14ac:dyDescent="0.2">
      <c r="A199" s="95" t="s">
        <v>3639</v>
      </c>
      <c r="B199" s="95" t="s">
        <v>3802</v>
      </c>
      <c r="C199" s="95" t="s">
        <v>3641</v>
      </c>
      <c r="D199" s="612" t="s">
        <v>3615</v>
      </c>
      <c r="E199" s="34">
        <v>94</v>
      </c>
      <c r="F199" s="612" t="s">
        <v>3616</v>
      </c>
      <c r="G199" s="612" t="s">
        <v>3617</v>
      </c>
      <c r="I199" s="1655"/>
      <c r="J199" s="1655"/>
      <c r="K199" s="1657">
        <f>Entry_Levels[[#This Row],[Distance to Market]]/Entry_Levels[[#This Row],[Value]]</f>
        <v>0</v>
      </c>
    </row>
    <row r="200" spans="1:11" x14ac:dyDescent="0.2">
      <c r="A200" s="95" t="s">
        <v>3639</v>
      </c>
      <c r="B200" s="95" t="s">
        <v>3803</v>
      </c>
      <c r="C200" s="95" t="s">
        <v>3641</v>
      </c>
      <c r="D200" s="612" t="s">
        <v>3615</v>
      </c>
      <c r="E200" s="34">
        <v>56</v>
      </c>
      <c r="F200" s="612" t="s">
        <v>3616</v>
      </c>
      <c r="G200" s="612" t="s">
        <v>3617</v>
      </c>
      <c r="I200" s="1655"/>
      <c r="J200" s="1655"/>
      <c r="K200" s="1657">
        <f>Entry_Levels[[#This Row],[Distance to Market]]/Entry_Levels[[#This Row],[Value]]</f>
        <v>0</v>
      </c>
    </row>
    <row r="201" spans="1:11" x14ac:dyDescent="0.2">
      <c r="A201" s="95" t="s">
        <v>3639</v>
      </c>
      <c r="B201" s="95" t="s">
        <v>3804</v>
      </c>
      <c r="C201" s="95" t="s">
        <v>3641</v>
      </c>
      <c r="D201" s="612" t="s">
        <v>3615</v>
      </c>
      <c r="E201" s="34">
        <v>312</v>
      </c>
      <c r="F201" s="612" t="s">
        <v>3616</v>
      </c>
      <c r="G201" s="612" t="s">
        <v>3617</v>
      </c>
      <c r="I201" s="1655"/>
      <c r="J201" s="1655"/>
      <c r="K201" s="1657">
        <f>Entry_Levels[[#This Row],[Distance to Market]]/Entry_Levels[[#This Row],[Value]]</f>
        <v>0</v>
      </c>
    </row>
    <row r="202" spans="1:11" x14ac:dyDescent="0.2">
      <c r="A202" s="95" t="s">
        <v>3639</v>
      </c>
      <c r="B202" s="95" t="s">
        <v>3804</v>
      </c>
      <c r="C202" s="95" t="s">
        <v>3641</v>
      </c>
      <c r="D202" s="612" t="s">
        <v>3615</v>
      </c>
      <c r="E202" s="34">
        <v>330</v>
      </c>
      <c r="F202" s="612" t="s">
        <v>3616</v>
      </c>
      <c r="G202" s="612" t="s">
        <v>3617</v>
      </c>
      <c r="I202" s="1655"/>
      <c r="J202" s="1655"/>
      <c r="K202" s="1657">
        <f>Entry_Levels[[#This Row],[Distance to Market]]/Entry_Levels[[#This Row],[Value]]</f>
        <v>0</v>
      </c>
    </row>
    <row r="203" spans="1:11" x14ac:dyDescent="0.2">
      <c r="A203" s="95" t="s">
        <v>3639</v>
      </c>
      <c r="B203" s="95" t="s">
        <v>3805</v>
      </c>
      <c r="C203" s="95" t="s">
        <v>3641</v>
      </c>
      <c r="D203" s="612" t="s">
        <v>3615</v>
      </c>
      <c r="E203" s="34">
        <v>90</v>
      </c>
      <c r="F203" s="612" t="s">
        <v>3616</v>
      </c>
      <c r="G203" s="612" t="s">
        <v>3617</v>
      </c>
      <c r="I203" s="1655"/>
      <c r="J203" s="1655"/>
      <c r="K203" s="1657">
        <f>Entry_Levels[[#This Row],[Distance to Market]]/Entry_Levels[[#This Row],[Value]]</f>
        <v>0</v>
      </c>
    </row>
    <row r="204" spans="1:11" x14ac:dyDescent="0.2">
      <c r="A204" s="95" t="s">
        <v>3639</v>
      </c>
      <c r="B204" s="95" t="s">
        <v>3806</v>
      </c>
      <c r="C204" s="95" t="s">
        <v>3641</v>
      </c>
      <c r="D204" s="612" t="s">
        <v>3615</v>
      </c>
      <c r="E204" s="34">
        <v>195</v>
      </c>
      <c r="F204" s="612" t="s">
        <v>3616</v>
      </c>
      <c r="G204" s="612" t="s">
        <v>3617</v>
      </c>
      <c r="I204" s="1655"/>
      <c r="J204" s="1655"/>
      <c r="K204" s="1657">
        <f>Entry_Levels[[#This Row],[Distance to Market]]/Entry_Levels[[#This Row],[Value]]</f>
        <v>0</v>
      </c>
    </row>
    <row r="205" spans="1:11" x14ac:dyDescent="0.2">
      <c r="A205" s="95" t="s">
        <v>3639</v>
      </c>
      <c r="B205" s="95" t="s">
        <v>3807</v>
      </c>
      <c r="C205" s="95" t="s">
        <v>3641</v>
      </c>
      <c r="D205" s="612" t="s">
        <v>3615</v>
      </c>
      <c r="E205" s="34">
        <v>21</v>
      </c>
      <c r="F205" s="612" t="s">
        <v>3616</v>
      </c>
      <c r="G205" s="612" t="s">
        <v>3617</v>
      </c>
      <c r="I205" s="1655"/>
      <c r="J205" s="1655"/>
      <c r="K205" s="1657">
        <f>Entry_Levels[[#This Row],[Distance to Market]]/Entry_Levels[[#This Row],[Value]]</f>
        <v>0</v>
      </c>
    </row>
    <row r="206" spans="1:11" x14ac:dyDescent="0.2">
      <c r="A206" s="95" t="s">
        <v>3639</v>
      </c>
      <c r="B206" s="95" t="s">
        <v>3808</v>
      </c>
      <c r="C206" s="95" t="s">
        <v>3641</v>
      </c>
      <c r="D206" s="612" t="s">
        <v>3615</v>
      </c>
      <c r="E206" s="34">
        <v>229</v>
      </c>
      <c r="F206" s="612" t="s">
        <v>3616</v>
      </c>
      <c r="G206" s="612" t="s">
        <v>3617</v>
      </c>
      <c r="I206" s="1655"/>
      <c r="J206" s="1655"/>
      <c r="K206" s="1657">
        <f>Entry_Levels[[#This Row],[Distance to Market]]/Entry_Levels[[#This Row],[Value]]</f>
        <v>0</v>
      </c>
    </row>
    <row r="207" spans="1:11" x14ac:dyDescent="0.2">
      <c r="A207" s="95" t="s">
        <v>3639</v>
      </c>
      <c r="B207" s="95" t="s">
        <v>3808</v>
      </c>
      <c r="C207" s="95" t="s">
        <v>3641</v>
      </c>
      <c r="D207" s="612" t="s">
        <v>3615</v>
      </c>
      <c r="E207" s="34">
        <v>220</v>
      </c>
      <c r="F207" s="612" t="s">
        <v>3616</v>
      </c>
      <c r="G207" s="612" t="s">
        <v>3617</v>
      </c>
      <c r="I207" s="1655"/>
      <c r="J207" s="1655"/>
      <c r="K207" s="1657">
        <f>Entry_Levels[[#This Row],[Distance to Market]]/Entry_Levels[[#This Row],[Value]]</f>
        <v>0</v>
      </c>
    </row>
    <row r="208" spans="1:11" x14ac:dyDescent="0.2">
      <c r="A208" s="95" t="s">
        <v>3639</v>
      </c>
      <c r="B208" s="95" t="s">
        <v>3809</v>
      </c>
      <c r="C208" s="95" t="s">
        <v>3641</v>
      </c>
      <c r="D208" s="612" t="s">
        <v>3615</v>
      </c>
      <c r="E208" s="34">
        <v>20</v>
      </c>
      <c r="F208" s="612" t="s">
        <v>3616</v>
      </c>
      <c r="G208" s="612" t="s">
        <v>3617</v>
      </c>
      <c r="I208" s="1655"/>
      <c r="J208" s="1655"/>
      <c r="K208" s="1657">
        <f>Entry_Levels[[#This Row],[Distance to Market]]/Entry_Levels[[#This Row],[Value]]</f>
        <v>0</v>
      </c>
    </row>
    <row r="209" spans="1:11" x14ac:dyDescent="0.2">
      <c r="A209" s="95" t="s">
        <v>3639</v>
      </c>
      <c r="B209" s="95" t="s">
        <v>3810</v>
      </c>
      <c r="C209" s="95" t="s">
        <v>3641</v>
      </c>
      <c r="D209" s="612" t="s">
        <v>3615</v>
      </c>
      <c r="E209" s="34">
        <v>17.5</v>
      </c>
      <c r="F209" s="612" t="s">
        <v>3616</v>
      </c>
      <c r="G209" s="612" t="s">
        <v>3617</v>
      </c>
      <c r="I209" s="1655"/>
      <c r="J209" s="1655"/>
      <c r="K209" s="1657">
        <f>Entry_Levels[[#This Row],[Distance to Market]]/Entry_Levels[[#This Row],[Value]]</f>
        <v>0</v>
      </c>
    </row>
    <row r="210" spans="1:11" x14ac:dyDescent="0.2">
      <c r="A210" s="95" t="s">
        <v>3639</v>
      </c>
      <c r="B210" s="95" t="s">
        <v>3811</v>
      </c>
      <c r="C210" s="95" t="s">
        <v>3641</v>
      </c>
      <c r="D210" s="612" t="s">
        <v>3615</v>
      </c>
      <c r="E210" s="34">
        <v>22</v>
      </c>
      <c r="F210" s="612" t="s">
        <v>3616</v>
      </c>
      <c r="G210" s="612" t="s">
        <v>3617</v>
      </c>
      <c r="I210" s="1655"/>
      <c r="J210" s="1655"/>
      <c r="K210" s="1657">
        <f>Entry_Levels[[#This Row],[Distance to Market]]/Entry_Levels[[#This Row],[Value]]</f>
        <v>0</v>
      </c>
    </row>
    <row r="211" spans="1:11" x14ac:dyDescent="0.2">
      <c r="A211" s="95" t="s">
        <v>3639</v>
      </c>
      <c r="B211" s="95" t="s">
        <v>3812</v>
      </c>
      <c r="C211" s="95" t="s">
        <v>3641</v>
      </c>
      <c r="D211" s="612" t="s">
        <v>3615</v>
      </c>
      <c r="E211" s="34">
        <v>62</v>
      </c>
      <c r="F211" s="612" t="s">
        <v>3616</v>
      </c>
      <c r="G211" s="612" t="s">
        <v>3617</v>
      </c>
      <c r="I211" s="1655"/>
      <c r="J211" s="1655"/>
      <c r="K211" s="1657">
        <f>Entry_Levels[[#This Row],[Distance to Market]]/Entry_Levels[[#This Row],[Value]]</f>
        <v>0</v>
      </c>
    </row>
    <row r="212" spans="1:11" x14ac:dyDescent="0.2">
      <c r="A212" s="95" t="s">
        <v>3639</v>
      </c>
      <c r="B212" s="95" t="s">
        <v>3813</v>
      </c>
      <c r="C212" s="95" t="s">
        <v>3641</v>
      </c>
      <c r="D212" s="612" t="s">
        <v>3615</v>
      </c>
      <c r="E212" s="34">
        <v>32</v>
      </c>
      <c r="F212" s="612" t="s">
        <v>3616</v>
      </c>
      <c r="G212" s="612" t="s">
        <v>3617</v>
      </c>
      <c r="I212" s="1655"/>
      <c r="J212" s="1655"/>
      <c r="K212" s="1657">
        <f>Entry_Levels[[#This Row],[Distance to Market]]/Entry_Levels[[#This Row],[Value]]</f>
        <v>0</v>
      </c>
    </row>
    <row r="213" spans="1:11" x14ac:dyDescent="0.2">
      <c r="A213" s="95" t="s">
        <v>3639</v>
      </c>
      <c r="B213" s="95" t="s">
        <v>3814</v>
      </c>
      <c r="C213" s="95" t="s">
        <v>3641</v>
      </c>
      <c r="D213" s="612" t="s">
        <v>3615</v>
      </c>
      <c r="E213" s="34">
        <v>10</v>
      </c>
      <c r="F213" s="612" t="s">
        <v>3616</v>
      </c>
      <c r="G213" s="612" t="s">
        <v>3617</v>
      </c>
      <c r="I213" s="1655"/>
      <c r="J213" s="1655"/>
      <c r="K213" s="1657">
        <f>Entry_Levels[[#This Row],[Distance to Market]]/Entry_Levels[[#This Row],[Value]]</f>
        <v>0</v>
      </c>
    </row>
    <row r="214" spans="1:11" x14ac:dyDescent="0.2">
      <c r="A214" s="95" t="s">
        <v>3639</v>
      </c>
      <c r="B214" s="95" t="s">
        <v>3815</v>
      </c>
      <c r="C214" s="95" t="s">
        <v>3641</v>
      </c>
      <c r="D214" s="612" t="s">
        <v>3615</v>
      </c>
      <c r="E214" s="34">
        <v>2.1</v>
      </c>
      <c r="F214" s="612" t="s">
        <v>3616</v>
      </c>
      <c r="G214" s="612" t="s">
        <v>3617</v>
      </c>
      <c r="I214" s="1655"/>
      <c r="J214" s="1655"/>
      <c r="K214" s="1657">
        <f>Entry_Levels[[#This Row],[Distance to Market]]/Entry_Levels[[#This Row],[Value]]</f>
        <v>0</v>
      </c>
    </row>
    <row r="215" spans="1:11" x14ac:dyDescent="0.2">
      <c r="A215" s="95" t="s">
        <v>3639</v>
      </c>
      <c r="B215" s="95" t="s">
        <v>3816</v>
      </c>
      <c r="C215" s="95" t="s">
        <v>3641</v>
      </c>
      <c r="D215" s="612" t="s">
        <v>3615</v>
      </c>
      <c r="E215" s="34">
        <v>100</v>
      </c>
      <c r="F215" s="612" t="s">
        <v>3616</v>
      </c>
      <c r="G215" s="612" t="s">
        <v>3617</v>
      </c>
      <c r="I215" s="1655"/>
      <c r="J215" s="1655"/>
      <c r="K215" s="1657">
        <f>Entry_Levels[[#This Row],[Distance to Market]]/Entry_Levels[[#This Row],[Value]]</f>
        <v>0</v>
      </c>
    </row>
    <row r="216" spans="1:11" x14ac:dyDescent="0.2">
      <c r="A216" s="95" t="s">
        <v>3639</v>
      </c>
      <c r="B216" s="95" t="s">
        <v>3817</v>
      </c>
      <c r="C216" s="95" t="s">
        <v>3641</v>
      </c>
      <c r="D216" s="612" t="s">
        <v>3615</v>
      </c>
      <c r="E216" s="34">
        <v>12.5</v>
      </c>
      <c r="F216" s="612" t="s">
        <v>3616</v>
      </c>
      <c r="G216" s="612" t="s">
        <v>3617</v>
      </c>
      <c r="I216" s="1655"/>
      <c r="J216" s="1655"/>
      <c r="K216" s="1657">
        <f>Entry_Levels[[#This Row],[Distance to Market]]/Entry_Levels[[#This Row],[Value]]</f>
        <v>0</v>
      </c>
    </row>
    <row r="217" spans="1:11" x14ac:dyDescent="0.2">
      <c r="A217" s="95" t="s">
        <v>3639</v>
      </c>
      <c r="B217" s="95" t="s">
        <v>3818</v>
      </c>
      <c r="C217" s="95" t="s">
        <v>3641</v>
      </c>
      <c r="D217" s="612" t="s">
        <v>3615</v>
      </c>
      <c r="E217" s="34">
        <v>67</v>
      </c>
      <c r="F217" s="612" t="s">
        <v>3616</v>
      </c>
      <c r="G217" s="612" t="s">
        <v>3617</v>
      </c>
      <c r="I217" s="1655"/>
      <c r="J217" s="1655"/>
      <c r="K217" s="1657">
        <f>Entry_Levels[[#This Row],[Distance to Market]]/Entry_Levels[[#This Row],[Value]]</f>
        <v>0</v>
      </c>
    </row>
    <row r="218" spans="1:11" x14ac:dyDescent="0.2">
      <c r="A218" s="95" t="s">
        <v>3639</v>
      </c>
      <c r="B218" s="95" t="s">
        <v>3819</v>
      </c>
      <c r="C218" s="95" t="s">
        <v>3641</v>
      </c>
      <c r="D218" s="612" t="s">
        <v>3615</v>
      </c>
      <c r="E218" s="34">
        <v>51</v>
      </c>
      <c r="F218" s="612" t="s">
        <v>3616</v>
      </c>
      <c r="G218" s="612" t="s">
        <v>3617</v>
      </c>
      <c r="I218" s="1655"/>
      <c r="J218" s="1655"/>
      <c r="K218" s="1657">
        <f>Entry_Levels[[#This Row],[Distance to Market]]/Entry_Levels[[#This Row],[Value]]</f>
        <v>0</v>
      </c>
    </row>
    <row r="219" spans="1:11" x14ac:dyDescent="0.2">
      <c r="A219" s="95" t="s">
        <v>3639</v>
      </c>
      <c r="B219" s="95" t="s">
        <v>3820</v>
      </c>
      <c r="C219" s="95" t="s">
        <v>3641</v>
      </c>
      <c r="D219" s="612" t="s">
        <v>3615</v>
      </c>
      <c r="E219" s="34">
        <v>5.75</v>
      </c>
      <c r="F219" s="612" t="s">
        <v>3616</v>
      </c>
      <c r="G219" s="612" t="s">
        <v>3617</v>
      </c>
      <c r="I219" s="1655"/>
      <c r="J219" s="1655"/>
      <c r="K219" s="1657">
        <f>Entry_Levels[[#This Row],[Distance to Market]]/Entry_Levels[[#This Row],[Value]]</f>
        <v>0</v>
      </c>
    </row>
    <row r="220" spans="1:11" x14ac:dyDescent="0.2">
      <c r="A220" s="95" t="s">
        <v>3639</v>
      </c>
      <c r="B220" s="95" t="s">
        <v>3821</v>
      </c>
      <c r="C220" s="95" t="s">
        <v>3641</v>
      </c>
      <c r="D220" s="612" t="s">
        <v>3615</v>
      </c>
      <c r="E220" s="34">
        <v>38</v>
      </c>
      <c r="F220" s="612" t="s">
        <v>3616</v>
      </c>
      <c r="G220" s="612" t="s">
        <v>3617</v>
      </c>
      <c r="I220" s="1655"/>
      <c r="J220" s="1655"/>
      <c r="K220" s="1657">
        <f>Entry_Levels[[#This Row],[Distance to Market]]/Entry_Levels[[#This Row],[Value]]</f>
        <v>0</v>
      </c>
    </row>
    <row r="221" spans="1:11" x14ac:dyDescent="0.2">
      <c r="A221" s="95" t="s">
        <v>3639</v>
      </c>
      <c r="B221" s="95" t="s">
        <v>3822</v>
      </c>
      <c r="C221" s="95" t="s">
        <v>3641</v>
      </c>
      <c r="D221" s="612" t="s">
        <v>3615</v>
      </c>
      <c r="E221" s="34">
        <v>265</v>
      </c>
      <c r="F221" s="612" t="s">
        <v>3616</v>
      </c>
      <c r="G221" s="612" t="s">
        <v>3617</v>
      </c>
      <c r="I221" s="1655"/>
      <c r="J221" s="1655"/>
      <c r="K221" s="1657">
        <f>Entry_Levels[[#This Row],[Distance to Market]]/Entry_Levels[[#This Row],[Value]]</f>
        <v>0</v>
      </c>
    </row>
    <row r="222" spans="1:11" x14ac:dyDescent="0.2">
      <c r="A222" s="95" t="s">
        <v>3639</v>
      </c>
      <c r="B222" s="95" t="s">
        <v>3823</v>
      </c>
      <c r="C222" s="95" t="s">
        <v>3641</v>
      </c>
      <c r="D222" s="612" t="s">
        <v>3615</v>
      </c>
      <c r="E222" s="34">
        <v>144</v>
      </c>
      <c r="F222" s="612" t="s">
        <v>3616</v>
      </c>
      <c r="G222" s="612" t="s">
        <v>3617</v>
      </c>
      <c r="I222" s="1655"/>
      <c r="J222" s="1655"/>
      <c r="K222" s="1657">
        <f>Entry_Levels[[#This Row],[Distance to Market]]/Entry_Levels[[#This Row],[Value]]</f>
        <v>0</v>
      </c>
    </row>
    <row r="223" spans="1:11" x14ac:dyDescent="0.2">
      <c r="A223" s="95" t="s">
        <v>3639</v>
      </c>
      <c r="B223" s="95" t="s">
        <v>3824</v>
      </c>
      <c r="C223" s="95" t="s">
        <v>3641</v>
      </c>
      <c r="D223" s="612" t="s">
        <v>3615</v>
      </c>
      <c r="E223" s="34">
        <v>75</v>
      </c>
      <c r="F223" s="612" t="s">
        <v>3616</v>
      </c>
      <c r="G223" s="612" t="s">
        <v>3617</v>
      </c>
      <c r="I223" s="1655"/>
      <c r="J223" s="1655"/>
      <c r="K223" s="1657">
        <f>Entry_Levels[[#This Row],[Distance to Market]]/Entry_Levels[[#This Row],[Value]]</f>
        <v>0</v>
      </c>
    </row>
    <row r="224" spans="1:11" x14ac:dyDescent="0.2">
      <c r="A224" s="95" t="s">
        <v>3639</v>
      </c>
      <c r="B224" s="95" t="s">
        <v>3825</v>
      </c>
      <c r="C224" s="95" t="s">
        <v>3641</v>
      </c>
      <c r="D224" s="612" t="s">
        <v>3615</v>
      </c>
      <c r="E224" s="34">
        <v>100</v>
      </c>
      <c r="F224" s="612" t="s">
        <v>3616</v>
      </c>
      <c r="G224" s="612" t="s">
        <v>3617</v>
      </c>
      <c r="I224" s="1655"/>
      <c r="J224" s="1655"/>
      <c r="K224" s="1657">
        <f>Entry_Levels[[#This Row],[Distance to Market]]/Entry_Levels[[#This Row],[Value]]</f>
        <v>0</v>
      </c>
    </row>
    <row r="225" spans="1:11" x14ac:dyDescent="0.2">
      <c r="A225" s="95" t="s">
        <v>3639</v>
      </c>
      <c r="B225" s="95" t="s">
        <v>3826</v>
      </c>
      <c r="C225" s="95" t="s">
        <v>3641</v>
      </c>
      <c r="D225" s="612" t="s">
        <v>3615</v>
      </c>
      <c r="E225" s="34">
        <v>176</v>
      </c>
      <c r="F225" s="612" t="s">
        <v>3616</v>
      </c>
      <c r="G225" s="612" t="s">
        <v>3617</v>
      </c>
      <c r="I225" s="1655"/>
      <c r="J225" s="1655"/>
      <c r="K225" s="1657">
        <f>Entry_Levels[[#This Row],[Distance to Market]]/Entry_Levels[[#This Row],[Value]]</f>
        <v>0</v>
      </c>
    </row>
    <row r="226" spans="1:11" x14ac:dyDescent="0.2">
      <c r="A226" s="95" t="s">
        <v>3639</v>
      </c>
      <c r="B226" s="95" t="s">
        <v>3826</v>
      </c>
      <c r="C226" s="95" t="s">
        <v>3641</v>
      </c>
      <c r="D226" s="612" t="s">
        <v>3615</v>
      </c>
      <c r="E226" s="34">
        <v>240</v>
      </c>
      <c r="F226" s="612" t="s">
        <v>3616</v>
      </c>
      <c r="G226" s="612" t="s">
        <v>3617</v>
      </c>
      <c r="I226" s="1655"/>
      <c r="J226" s="1655"/>
      <c r="K226" s="1657">
        <f>Entry_Levels[[#This Row],[Distance to Market]]/Entry_Levels[[#This Row],[Value]]</f>
        <v>0</v>
      </c>
    </row>
    <row r="227" spans="1:11" x14ac:dyDescent="0.2">
      <c r="A227" s="95" t="s">
        <v>3639</v>
      </c>
      <c r="B227" s="95" t="s">
        <v>3827</v>
      </c>
      <c r="C227" s="95" t="s">
        <v>3641</v>
      </c>
      <c r="D227" s="612" t="s">
        <v>3615</v>
      </c>
      <c r="E227" s="34">
        <v>2.1</v>
      </c>
      <c r="F227" s="612" t="s">
        <v>3616</v>
      </c>
      <c r="G227" s="612" t="s">
        <v>3617</v>
      </c>
      <c r="I227" s="1655"/>
      <c r="J227" s="1655"/>
      <c r="K227" s="1657">
        <f>Entry_Levels[[#This Row],[Distance to Market]]/Entry_Levels[[#This Row],[Value]]</f>
        <v>0</v>
      </c>
    </row>
    <row r="228" spans="1:11" x14ac:dyDescent="0.2">
      <c r="A228" s="95" t="s">
        <v>3639</v>
      </c>
      <c r="B228" s="95" t="s">
        <v>3828</v>
      </c>
      <c r="C228" s="95" t="s">
        <v>3641</v>
      </c>
      <c r="D228" s="612" t="s">
        <v>3615</v>
      </c>
      <c r="E228" s="34">
        <v>129</v>
      </c>
      <c r="F228" s="612" t="s">
        <v>3616</v>
      </c>
      <c r="G228" s="612" t="s">
        <v>3617</v>
      </c>
      <c r="I228" s="1655"/>
      <c r="J228" s="1655"/>
      <c r="K228" s="1657">
        <f>Entry_Levels[[#This Row],[Distance to Market]]/Entry_Levels[[#This Row],[Value]]</f>
        <v>0</v>
      </c>
    </row>
    <row r="229" spans="1:11" x14ac:dyDescent="0.2">
      <c r="A229" s="95" t="s">
        <v>3639</v>
      </c>
      <c r="B229" s="95" t="s">
        <v>3829</v>
      </c>
      <c r="C229" s="95" t="s">
        <v>3641</v>
      </c>
      <c r="D229" s="612" t="s">
        <v>3615</v>
      </c>
      <c r="E229" s="34">
        <v>175</v>
      </c>
      <c r="F229" s="612" t="s">
        <v>3616</v>
      </c>
      <c r="G229" s="612" t="s">
        <v>3617</v>
      </c>
      <c r="I229" s="1655"/>
      <c r="J229" s="1655"/>
      <c r="K229" s="1657">
        <f>Entry_Levels[[#This Row],[Distance to Market]]/Entry_Levels[[#This Row],[Value]]</f>
        <v>0</v>
      </c>
    </row>
    <row r="230" spans="1:11" x14ac:dyDescent="0.2">
      <c r="A230" s="95" t="s">
        <v>3639</v>
      </c>
      <c r="B230" s="95" t="s">
        <v>3830</v>
      </c>
      <c r="C230" s="95" t="s">
        <v>3641</v>
      </c>
      <c r="D230" s="612" t="s">
        <v>3615</v>
      </c>
      <c r="E230" s="34">
        <v>130</v>
      </c>
      <c r="F230" s="612" t="s">
        <v>3616</v>
      </c>
      <c r="G230" s="612" t="s">
        <v>3617</v>
      </c>
      <c r="I230" s="1655"/>
      <c r="J230" s="1655"/>
      <c r="K230" s="1657">
        <f>Entry_Levels[[#This Row],[Distance to Market]]/Entry_Levels[[#This Row],[Value]]</f>
        <v>0</v>
      </c>
    </row>
    <row r="231" spans="1:11" x14ac:dyDescent="0.2">
      <c r="A231" s="95" t="s">
        <v>3639</v>
      </c>
      <c r="B231" s="95" t="s">
        <v>3831</v>
      </c>
      <c r="C231" s="95" t="s">
        <v>3641</v>
      </c>
      <c r="D231" s="612" t="s">
        <v>3615</v>
      </c>
      <c r="E231" s="34">
        <v>2.2000000000000002</v>
      </c>
      <c r="F231" s="612" t="s">
        <v>3616</v>
      </c>
      <c r="G231" s="612" t="s">
        <v>3617</v>
      </c>
      <c r="I231" s="1655"/>
      <c r="J231" s="1655"/>
      <c r="K231" s="1657">
        <f>Entry_Levels[[#This Row],[Distance to Market]]/Entry_Levels[[#This Row],[Value]]</f>
        <v>0</v>
      </c>
    </row>
    <row r="232" spans="1:11" x14ac:dyDescent="0.2">
      <c r="A232" s="95" t="s">
        <v>3639</v>
      </c>
      <c r="B232" s="95" t="s">
        <v>3831</v>
      </c>
      <c r="C232" s="95" t="s">
        <v>3641</v>
      </c>
      <c r="D232" s="612" t="s">
        <v>3615</v>
      </c>
      <c r="E232" s="34">
        <v>2.0499999999999998</v>
      </c>
      <c r="F232" s="612" t="s">
        <v>3616</v>
      </c>
      <c r="G232" s="612" t="s">
        <v>3617</v>
      </c>
      <c r="I232" s="1655"/>
      <c r="J232" s="1655"/>
      <c r="K232" s="1657">
        <f>Entry_Levels[[#This Row],[Distance to Market]]/Entry_Levels[[#This Row],[Value]]</f>
        <v>0</v>
      </c>
    </row>
    <row r="233" spans="1:11" x14ac:dyDescent="0.2">
      <c r="A233" s="95" t="s">
        <v>3639</v>
      </c>
      <c r="B233" s="95" t="s">
        <v>3832</v>
      </c>
      <c r="C233" s="95" t="s">
        <v>3641</v>
      </c>
      <c r="D233" s="612" t="s">
        <v>3615</v>
      </c>
      <c r="E233" s="34">
        <v>5</v>
      </c>
      <c r="F233" s="612" t="s">
        <v>3616</v>
      </c>
      <c r="G233" s="612" t="s">
        <v>3617</v>
      </c>
      <c r="I233" s="1655"/>
      <c r="J233" s="1655"/>
      <c r="K233" s="1657">
        <f>Entry_Levels[[#This Row],[Distance to Market]]/Entry_Levels[[#This Row],[Value]]</f>
        <v>0</v>
      </c>
    </row>
    <row r="234" spans="1:11" x14ac:dyDescent="0.2">
      <c r="A234" s="95" t="s">
        <v>3639</v>
      </c>
      <c r="B234" s="95" t="s">
        <v>3833</v>
      </c>
      <c r="C234" s="95" t="s">
        <v>3641</v>
      </c>
      <c r="D234" s="612" t="s">
        <v>3615</v>
      </c>
      <c r="E234" s="34">
        <v>71</v>
      </c>
      <c r="F234" s="612" t="s">
        <v>3616</v>
      </c>
      <c r="G234" s="612" t="s">
        <v>3617</v>
      </c>
      <c r="I234" s="1655"/>
      <c r="J234" s="1655"/>
      <c r="K234" s="1657">
        <f>Entry_Levels[[#This Row],[Distance to Market]]/Entry_Levels[[#This Row],[Value]]</f>
        <v>0</v>
      </c>
    </row>
    <row r="235" spans="1:11" x14ac:dyDescent="0.2">
      <c r="A235" s="95" t="s">
        <v>3639</v>
      </c>
      <c r="B235" s="95" t="s">
        <v>3834</v>
      </c>
      <c r="C235" s="95" t="s">
        <v>3641</v>
      </c>
      <c r="D235" s="612" t="s">
        <v>3615</v>
      </c>
      <c r="E235" s="34">
        <v>50</v>
      </c>
      <c r="F235" s="612" t="s">
        <v>3616</v>
      </c>
      <c r="G235" s="612" t="s">
        <v>3617</v>
      </c>
      <c r="I235" s="1655"/>
      <c r="J235" s="1655"/>
      <c r="K235" s="1657">
        <f>Entry_Levels[[#This Row],[Distance to Market]]/Entry_Levels[[#This Row],[Value]]</f>
        <v>0</v>
      </c>
    </row>
    <row r="236" spans="1:11" x14ac:dyDescent="0.2">
      <c r="A236" s="95" t="s">
        <v>3639</v>
      </c>
      <c r="B236" s="95" t="s">
        <v>3834</v>
      </c>
      <c r="C236" s="95" t="s">
        <v>3641</v>
      </c>
      <c r="D236" s="612" t="s">
        <v>3615</v>
      </c>
      <c r="E236" s="34">
        <v>52</v>
      </c>
      <c r="F236" s="612" t="s">
        <v>3616</v>
      </c>
      <c r="G236" s="612" t="s">
        <v>3617</v>
      </c>
      <c r="I236" s="1655"/>
      <c r="J236" s="1655"/>
      <c r="K236" s="1657">
        <f>Entry_Levels[[#This Row],[Distance to Market]]/Entry_Levels[[#This Row],[Value]]</f>
        <v>0</v>
      </c>
    </row>
    <row r="237" spans="1:11" x14ac:dyDescent="0.2">
      <c r="A237" s="95" t="s">
        <v>3639</v>
      </c>
      <c r="B237" s="95" t="s">
        <v>3835</v>
      </c>
      <c r="C237" s="95" t="s">
        <v>3641</v>
      </c>
      <c r="D237" s="612" t="s">
        <v>3615</v>
      </c>
      <c r="E237" s="34">
        <v>75.5</v>
      </c>
      <c r="F237" s="612" t="s">
        <v>3616</v>
      </c>
      <c r="G237" s="612" t="s">
        <v>3617</v>
      </c>
      <c r="I237" s="1655"/>
      <c r="J237" s="1655"/>
      <c r="K237" s="1657">
        <f>Entry_Levels[[#This Row],[Distance to Market]]/Entry_Levels[[#This Row],[Value]]</f>
        <v>0</v>
      </c>
    </row>
    <row r="238" spans="1:11" x14ac:dyDescent="0.2">
      <c r="A238" s="95" t="s">
        <v>3639</v>
      </c>
      <c r="B238" s="95" t="s">
        <v>3836</v>
      </c>
      <c r="C238" s="95" t="s">
        <v>3641</v>
      </c>
      <c r="D238" s="612" t="s">
        <v>3615</v>
      </c>
      <c r="E238" s="34">
        <v>9</v>
      </c>
      <c r="F238" s="612" t="s">
        <v>3616</v>
      </c>
      <c r="G238" s="612" t="s">
        <v>3617</v>
      </c>
      <c r="I238" s="1655"/>
      <c r="J238" s="1655"/>
      <c r="K238" s="1657">
        <f>Entry_Levels[[#This Row],[Distance to Market]]/Entry_Levels[[#This Row],[Value]]</f>
        <v>0</v>
      </c>
    </row>
    <row r="239" spans="1:11" x14ac:dyDescent="0.2">
      <c r="A239" s="95" t="s">
        <v>3639</v>
      </c>
      <c r="B239" s="95" t="s">
        <v>3837</v>
      </c>
      <c r="C239" s="95" t="s">
        <v>3641</v>
      </c>
      <c r="D239" s="612" t="s">
        <v>3615</v>
      </c>
      <c r="E239" s="34">
        <v>36</v>
      </c>
      <c r="F239" s="612" t="s">
        <v>3616</v>
      </c>
      <c r="G239" s="612" t="s">
        <v>3617</v>
      </c>
      <c r="I239" s="1655"/>
      <c r="J239" s="1655"/>
      <c r="K239" s="1657">
        <f>Entry_Levels[[#This Row],[Distance to Market]]/Entry_Levels[[#This Row],[Value]]</f>
        <v>0</v>
      </c>
    </row>
    <row r="240" spans="1:11" x14ac:dyDescent="0.2">
      <c r="A240" s="95" t="s">
        <v>3639</v>
      </c>
      <c r="B240" s="95" t="s">
        <v>3838</v>
      </c>
      <c r="C240" s="95" t="s">
        <v>3641</v>
      </c>
      <c r="D240" s="612" t="s">
        <v>3615</v>
      </c>
      <c r="E240" s="34">
        <v>78</v>
      </c>
      <c r="F240" s="612" t="s">
        <v>3616</v>
      </c>
      <c r="G240" s="612" t="s">
        <v>3617</v>
      </c>
      <c r="I240" s="1655"/>
      <c r="J240" s="1655"/>
      <c r="K240" s="1657">
        <f>Entry_Levels[[#This Row],[Distance to Market]]/Entry_Levels[[#This Row],[Value]]</f>
        <v>0</v>
      </c>
    </row>
    <row r="241" spans="1:11" x14ac:dyDescent="0.2">
      <c r="A241" s="95" t="s">
        <v>3639</v>
      </c>
      <c r="B241" s="95" t="s">
        <v>3838</v>
      </c>
      <c r="C241" s="95" t="s">
        <v>3641</v>
      </c>
      <c r="D241" s="612" t="s">
        <v>3615</v>
      </c>
      <c r="E241" s="34">
        <v>80</v>
      </c>
      <c r="F241" s="612" t="s">
        <v>3616</v>
      </c>
      <c r="G241" s="612" t="s">
        <v>3617</v>
      </c>
      <c r="H241" s="95" t="s">
        <v>3797</v>
      </c>
      <c r="I241" s="1655"/>
      <c r="J241" s="1655"/>
      <c r="K241" s="1657">
        <f>Entry_Levels[[#This Row],[Distance to Market]]/Entry_Levels[[#This Row],[Value]]</f>
        <v>0</v>
      </c>
    </row>
    <row r="242" spans="1:11" x14ac:dyDescent="0.2">
      <c r="A242" s="95" t="s">
        <v>3639</v>
      </c>
      <c r="B242" s="95" t="s">
        <v>3839</v>
      </c>
      <c r="C242" s="95" t="s">
        <v>3641</v>
      </c>
      <c r="D242" s="612" t="s">
        <v>3615</v>
      </c>
      <c r="E242" s="34">
        <v>65</v>
      </c>
      <c r="F242" s="612" t="s">
        <v>3616</v>
      </c>
      <c r="G242" s="612" t="s">
        <v>3617</v>
      </c>
      <c r="I242" s="1655"/>
      <c r="J242" s="1655"/>
      <c r="K242" s="1657">
        <f>Entry_Levels[[#This Row],[Distance to Market]]/Entry_Levels[[#This Row],[Value]]</f>
        <v>0</v>
      </c>
    </row>
    <row r="243" spans="1:11" x14ac:dyDescent="0.2">
      <c r="A243" s="95" t="s">
        <v>3639</v>
      </c>
      <c r="B243" s="95" t="s">
        <v>3839</v>
      </c>
      <c r="C243" s="95" t="s">
        <v>3641</v>
      </c>
      <c r="D243" s="612" t="s">
        <v>3615</v>
      </c>
      <c r="E243" s="34">
        <v>90</v>
      </c>
      <c r="F243" s="612" t="s">
        <v>3616</v>
      </c>
      <c r="G243" s="612" t="s">
        <v>3617</v>
      </c>
      <c r="I243" s="1655"/>
      <c r="J243" s="1655"/>
      <c r="K243" s="1657">
        <f>Entry_Levels[[#This Row],[Distance to Market]]/Entry_Levels[[#This Row],[Value]]</f>
        <v>0</v>
      </c>
    </row>
    <row r="244" spans="1:11" x14ac:dyDescent="0.2">
      <c r="A244" s="95" t="s">
        <v>3639</v>
      </c>
      <c r="B244" s="95" t="s">
        <v>3839</v>
      </c>
      <c r="C244" s="95" t="s">
        <v>3641</v>
      </c>
      <c r="D244" s="612" t="s">
        <v>3615</v>
      </c>
      <c r="E244" s="34">
        <v>100</v>
      </c>
      <c r="F244" s="612" t="s">
        <v>3616</v>
      </c>
      <c r="G244" s="612" t="s">
        <v>3617</v>
      </c>
      <c r="I244" s="1655"/>
      <c r="J244" s="1655"/>
      <c r="K244" s="1657">
        <f>Entry_Levels[[#This Row],[Distance to Market]]/Entry_Levels[[#This Row],[Value]]</f>
        <v>0</v>
      </c>
    </row>
    <row r="245" spans="1:11" x14ac:dyDescent="0.2">
      <c r="A245" s="95" t="s">
        <v>3639</v>
      </c>
      <c r="B245" s="95" t="s">
        <v>3840</v>
      </c>
      <c r="C245" s="95" t="s">
        <v>3641</v>
      </c>
      <c r="D245" s="612" t="s">
        <v>3615</v>
      </c>
      <c r="E245" s="34">
        <v>370</v>
      </c>
      <c r="F245" s="612" t="s">
        <v>3616</v>
      </c>
      <c r="G245" s="612" t="s">
        <v>3617</v>
      </c>
      <c r="I245" s="1655"/>
      <c r="J245" s="1655"/>
      <c r="K245" s="1657">
        <f>Entry_Levels[[#This Row],[Distance to Market]]/Entry_Levels[[#This Row],[Value]]</f>
        <v>0</v>
      </c>
    </row>
    <row r="246" spans="1:11" x14ac:dyDescent="0.2">
      <c r="A246" s="95" t="s">
        <v>3639</v>
      </c>
      <c r="B246" s="95" t="s">
        <v>3841</v>
      </c>
      <c r="C246" s="95" t="s">
        <v>3641</v>
      </c>
      <c r="D246" s="612" t="s">
        <v>3615</v>
      </c>
      <c r="E246" s="34" t="s">
        <v>3842</v>
      </c>
      <c r="F246" s="612" t="s">
        <v>3616</v>
      </c>
      <c r="G246" s="612" t="s">
        <v>3617</v>
      </c>
      <c r="I246" s="1655"/>
      <c r="J246" s="1655"/>
      <c r="K246" s="1657">
        <f>Entry_Levels[[#This Row],[Distance to Market]]/Entry_Levels[[#This Row],[Value]]</f>
        <v>0</v>
      </c>
    </row>
    <row r="247" spans="1:11" x14ac:dyDescent="0.2">
      <c r="A247" s="95" t="s">
        <v>3639</v>
      </c>
      <c r="B247" s="95" t="s">
        <v>3843</v>
      </c>
      <c r="C247" s="95" t="s">
        <v>3641</v>
      </c>
      <c r="D247" s="612" t="s">
        <v>3615</v>
      </c>
      <c r="E247" s="34">
        <v>7.5</v>
      </c>
      <c r="F247" s="612" t="s">
        <v>3616</v>
      </c>
      <c r="G247" s="612" t="s">
        <v>3617</v>
      </c>
      <c r="I247" s="1655"/>
      <c r="J247" s="1655"/>
      <c r="K247" s="1657">
        <f>Entry_Levels[[#This Row],[Distance to Market]]/Entry_Levels[[#This Row],[Value]]</f>
        <v>0</v>
      </c>
    </row>
    <row r="248" spans="1:11" x14ac:dyDescent="0.2">
      <c r="A248" s="95" t="s">
        <v>3639</v>
      </c>
      <c r="B248" s="95" t="s">
        <v>3844</v>
      </c>
      <c r="C248" s="95" t="s">
        <v>3641</v>
      </c>
      <c r="D248" s="612" t="s">
        <v>3615</v>
      </c>
      <c r="E248" s="34">
        <v>18</v>
      </c>
      <c r="F248" s="612" t="s">
        <v>3616</v>
      </c>
      <c r="G248" s="612" t="s">
        <v>3617</v>
      </c>
      <c r="I248" s="1655"/>
      <c r="J248" s="1655"/>
      <c r="K248" s="1657">
        <f>Entry_Levels[[#This Row],[Distance to Market]]/Entry_Levels[[#This Row],[Value]]</f>
        <v>0</v>
      </c>
    </row>
    <row r="249" spans="1:11" x14ac:dyDescent="0.2">
      <c r="A249" s="95" t="s">
        <v>3639</v>
      </c>
      <c r="B249" s="95" t="s">
        <v>3845</v>
      </c>
      <c r="C249" s="95" t="s">
        <v>3641</v>
      </c>
      <c r="D249" s="612" t="s">
        <v>3615</v>
      </c>
      <c r="E249" s="34">
        <v>37</v>
      </c>
      <c r="F249" s="612" t="s">
        <v>3616</v>
      </c>
      <c r="G249" s="612" t="s">
        <v>3617</v>
      </c>
      <c r="I249" s="1655"/>
      <c r="J249" s="1655"/>
      <c r="K249" s="1657">
        <f>Entry_Levels[[#This Row],[Distance to Market]]/Entry_Levels[[#This Row],[Value]]</f>
        <v>0</v>
      </c>
    </row>
    <row r="250" spans="1:11" x14ac:dyDescent="0.2">
      <c r="A250" s="95" t="s">
        <v>3639</v>
      </c>
      <c r="B250" s="95" t="s">
        <v>3846</v>
      </c>
      <c r="C250" s="95" t="s">
        <v>3641</v>
      </c>
      <c r="D250" s="612" t="s">
        <v>3615</v>
      </c>
      <c r="E250" s="34">
        <v>41</v>
      </c>
      <c r="F250" s="612" t="s">
        <v>3616</v>
      </c>
      <c r="G250" s="612" t="s">
        <v>3617</v>
      </c>
      <c r="I250" s="1655"/>
      <c r="J250" s="1655"/>
      <c r="K250" s="1657">
        <f>Entry_Levels[[#This Row],[Distance to Market]]/Entry_Levels[[#This Row],[Value]]</f>
        <v>0</v>
      </c>
    </row>
    <row r="251" spans="1:11" x14ac:dyDescent="0.2">
      <c r="A251" s="95" t="s">
        <v>3639</v>
      </c>
      <c r="B251" s="95" t="s">
        <v>3847</v>
      </c>
      <c r="C251" s="95" t="s">
        <v>3641</v>
      </c>
      <c r="D251" s="612" t="s">
        <v>3615</v>
      </c>
      <c r="E251" s="34">
        <v>157</v>
      </c>
      <c r="F251" s="612" t="s">
        <v>3616</v>
      </c>
      <c r="G251" s="612" t="s">
        <v>3617</v>
      </c>
      <c r="I251" s="1655"/>
      <c r="J251" s="1655"/>
      <c r="K251" s="1657">
        <f>Entry_Levels[[#This Row],[Distance to Market]]/Entry_Levels[[#This Row],[Value]]</f>
        <v>0</v>
      </c>
    </row>
    <row r="252" spans="1:11" x14ac:dyDescent="0.2">
      <c r="A252" s="95" t="s">
        <v>3639</v>
      </c>
      <c r="B252" s="95" t="s">
        <v>3848</v>
      </c>
      <c r="C252" s="95" t="s">
        <v>3641</v>
      </c>
      <c r="D252" s="612" t="s">
        <v>3615</v>
      </c>
      <c r="E252" s="34">
        <v>70</v>
      </c>
      <c r="F252" s="612" t="s">
        <v>3616</v>
      </c>
      <c r="G252" s="612" t="s">
        <v>3617</v>
      </c>
      <c r="I252" s="1655"/>
      <c r="J252" s="1655"/>
      <c r="K252" s="1657">
        <f>Entry_Levels[[#This Row],[Distance to Market]]/Entry_Levels[[#This Row],[Value]]</f>
        <v>0</v>
      </c>
    </row>
    <row r="253" spans="1:11" x14ac:dyDescent="0.2">
      <c r="A253" s="95" t="s">
        <v>3639</v>
      </c>
      <c r="B253" s="95" t="s">
        <v>3849</v>
      </c>
      <c r="C253" s="95" t="s">
        <v>3641</v>
      </c>
      <c r="D253" s="612" t="s">
        <v>3615</v>
      </c>
      <c r="E253" s="34">
        <v>150</v>
      </c>
      <c r="F253" s="612" t="s">
        <v>3616</v>
      </c>
      <c r="G253" s="612" t="s">
        <v>3617</v>
      </c>
      <c r="I253" s="1655"/>
      <c r="J253" s="1655"/>
      <c r="K253" s="1657">
        <f>Entry_Levels[[#This Row],[Distance to Market]]/Entry_Levels[[#This Row],[Value]]</f>
        <v>0</v>
      </c>
    </row>
    <row r="254" spans="1:11" x14ac:dyDescent="0.2">
      <c r="A254" s="95" t="s">
        <v>3639</v>
      </c>
      <c r="B254" s="95" t="s">
        <v>3850</v>
      </c>
      <c r="C254" s="95" t="s">
        <v>3641</v>
      </c>
      <c r="D254" s="612" t="s">
        <v>3615</v>
      </c>
      <c r="E254" s="34" t="s">
        <v>3851</v>
      </c>
      <c r="F254" s="612" t="s">
        <v>3616</v>
      </c>
      <c r="G254" s="612" t="s">
        <v>3617</v>
      </c>
      <c r="I254" s="1655"/>
      <c r="J254" s="1655"/>
      <c r="K254" s="1657">
        <f>Entry_Levels[[#This Row],[Distance to Market]]/Entry_Levels[[#This Row],[Value]]</f>
        <v>0</v>
      </c>
    </row>
    <row r="255" spans="1:11" x14ac:dyDescent="0.2">
      <c r="A255" s="95" t="s">
        <v>3639</v>
      </c>
      <c r="B255" s="95" t="s">
        <v>3852</v>
      </c>
      <c r="C255" s="95" t="s">
        <v>3641</v>
      </c>
      <c r="D255" s="612" t="s">
        <v>3615</v>
      </c>
      <c r="E255" s="34">
        <v>153.5</v>
      </c>
      <c r="F255" s="612" t="s">
        <v>3616</v>
      </c>
      <c r="G255" s="612" t="s">
        <v>3617</v>
      </c>
      <c r="I255" s="1655"/>
      <c r="J255" s="1655"/>
      <c r="K255" s="1657">
        <f>Entry_Levels[[#This Row],[Distance to Market]]/Entry_Levels[[#This Row],[Value]]</f>
        <v>0</v>
      </c>
    </row>
    <row r="256" spans="1:11" x14ac:dyDescent="0.2">
      <c r="A256" s="95" t="s">
        <v>3639</v>
      </c>
      <c r="B256" s="95" t="s">
        <v>3853</v>
      </c>
      <c r="C256" s="95" t="s">
        <v>3641</v>
      </c>
      <c r="D256" s="612" t="s">
        <v>3615</v>
      </c>
      <c r="E256" s="34">
        <v>60</v>
      </c>
      <c r="F256" s="612" t="s">
        <v>3616</v>
      </c>
      <c r="G256" s="612" t="s">
        <v>3617</v>
      </c>
      <c r="I256" s="1655"/>
      <c r="J256" s="1655"/>
      <c r="K256" s="1657">
        <f>Entry_Levels[[#This Row],[Distance to Market]]/Entry_Levels[[#This Row],[Value]]</f>
        <v>0</v>
      </c>
    </row>
    <row r="257" spans="1:11" x14ac:dyDescent="0.2">
      <c r="A257" s="95" t="s">
        <v>3639</v>
      </c>
      <c r="B257" s="95" t="s">
        <v>3854</v>
      </c>
      <c r="C257" s="95" t="s">
        <v>3641</v>
      </c>
      <c r="D257" s="612" t="s">
        <v>3615</v>
      </c>
      <c r="E257" s="34">
        <v>33.6</v>
      </c>
      <c r="F257" s="612" t="s">
        <v>3616</v>
      </c>
      <c r="G257" s="612" t="s">
        <v>3617</v>
      </c>
      <c r="I257" s="1655"/>
      <c r="J257" s="1655"/>
      <c r="K257" s="1657">
        <f>Entry_Levels[[#This Row],[Distance to Market]]/Entry_Levels[[#This Row],[Value]]</f>
        <v>0</v>
      </c>
    </row>
    <row r="258" spans="1:11" x14ac:dyDescent="0.2">
      <c r="A258" s="95" t="s">
        <v>3639</v>
      </c>
      <c r="B258" s="95" t="s">
        <v>3855</v>
      </c>
      <c r="C258" s="95" t="s">
        <v>3641</v>
      </c>
      <c r="D258" s="612" t="s">
        <v>3615</v>
      </c>
      <c r="E258" s="34">
        <v>30</v>
      </c>
      <c r="F258" s="612" t="s">
        <v>3616</v>
      </c>
      <c r="G258" s="612" t="s">
        <v>3617</v>
      </c>
      <c r="I258" s="1655"/>
      <c r="J258" s="1655"/>
      <c r="K258" s="1657">
        <f>Entry_Levels[[#This Row],[Distance to Market]]/Entry_Levels[[#This Row],[Value]]</f>
        <v>0</v>
      </c>
    </row>
    <row r="259" spans="1:11" x14ac:dyDescent="0.2">
      <c r="A259" s="95" t="s">
        <v>3639</v>
      </c>
      <c r="B259" s="95" t="s">
        <v>1899</v>
      </c>
      <c r="C259" s="95" t="s">
        <v>3641</v>
      </c>
      <c r="D259" s="612" t="s">
        <v>3615</v>
      </c>
      <c r="E259" s="34">
        <v>36.5</v>
      </c>
      <c r="F259" s="612" t="s">
        <v>3616</v>
      </c>
      <c r="G259" s="612" t="s">
        <v>3617</v>
      </c>
      <c r="I259" s="1655"/>
      <c r="J259" s="1655"/>
      <c r="K259" s="1657">
        <f>Entry_Levels[[#This Row],[Distance to Market]]/Entry_Levels[[#This Row],[Value]]</f>
        <v>0</v>
      </c>
    </row>
    <row r="260" spans="1:11" x14ac:dyDescent="0.2">
      <c r="A260" s="95" t="s">
        <v>3639</v>
      </c>
      <c r="B260" s="95" t="s">
        <v>1899</v>
      </c>
      <c r="C260" s="95" t="s">
        <v>3641</v>
      </c>
      <c r="D260" s="612" t="s">
        <v>3615</v>
      </c>
      <c r="E260" s="34">
        <v>35</v>
      </c>
      <c r="F260" s="612" t="s">
        <v>3616</v>
      </c>
      <c r="G260" s="612" t="s">
        <v>3617</v>
      </c>
      <c r="I260" s="1655"/>
      <c r="J260" s="1655"/>
      <c r="K260" s="1657">
        <f>Entry_Levels[[#This Row],[Distance to Market]]/Entry_Levels[[#This Row],[Value]]</f>
        <v>0</v>
      </c>
    </row>
    <row r="261" spans="1:11" x14ac:dyDescent="0.2">
      <c r="A261" s="95" t="s">
        <v>3639</v>
      </c>
      <c r="B261" s="95" t="s">
        <v>3856</v>
      </c>
      <c r="C261" s="95" t="s">
        <v>3641</v>
      </c>
      <c r="D261" s="612" t="s">
        <v>3615</v>
      </c>
      <c r="E261" s="34">
        <v>115</v>
      </c>
      <c r="F261" s="612" t="s">
        <v>3616</v>
      </c>
      <c r="G261" s="612" t="s">
        <v>3617</v>
      </c>
      <c r="I261" s="1655"/>
      <c r="J261" s="1655"/>
      <c r="K261" s="1657">
        <f>Entry_Levels[[#This Row],[Distance to Market]]/Entry_Levels[[#This Row],[Value]]</f>
        <v>0</v>
      </c>
    </row>
    <row r="262" spans="1:11" x14ac:dyDescent="0.2">
      <c r="A262" s="95" t="s">
        <v>3639</v>
      </c>
      <c r="B262" s="95" t="s">
        <v>3857</v>
      </c>
      <c r="C262" s="95" t="s">
        <v>3641</v>
      </c>
      <c r="D262" s="612" t="s">
        <v>3615</v>
      </c>
      <c r="E262" s="34">
        <v>246</v>
      </c>
      <c r="F262" s="612" t="s">
        <v>3616</v>
      </c>
      <c r="G262" s="612" t="s">
        <v>3617</v>
      </c>
      <c r="I262" s="1655"/>
      <c r="J262" s="1655"/>
      <c r="K262" s="1657">
        <f>Entry_Levels[[#This Row],[Distance to Market]]/Entry_Levels[[#This Row],[Value]]</f>
        <v>0</v>
      </c>
    </row>
    <row r="263" spans="1:11" x14ac:dyDescent="0.2">
      <c r="A263" s="95" t="s">
        <v>3639</v>
      </c>
      <c r="B263" s="95" t="s">
        <v>3858</v>
      </c>
      <c r="C263" s="95" t="s">
        <v>3641</v>
      </c>
      <c r="D263" s="612" t="s">
        <v>3615</v>
      </c>
      <c r="E263" s="34">
        <v>58</v>
      </c>
      <c r="F263" s="612" t="s">
        <v>3616</v>
      </c>
      <c r="G263" s="612" t="s">
        <v>3617</v>
      </c>
      <c r="I263" s="1655"/>
      <c r="J263" s="1655"/>
      <c r="K263" s="1657">
        <f>Entry_Levels[[#This Row],[Distance to Market]]/Entry_Levels[[#This Row],[Value]]</f>
        <v>0</v>
      </c>
    </row>
    <row r="264" spans="1:11" x14ac:dyDescent="0.2">
      <c r="A264" s="95" t="s">
        <v>3639</v>
      </c>
      <c r="B264" s="95" t="s">
        <v>3859</v>
      </c>
      <c r="C264" s="95" t="s">
        <v>3641</v>
      </c>
      <c r="D264" s="612" t="s">
        <v>3615</v>
      </c>
      <c r="E264" s="34">
        <v>50</v>
      </c>
      <c r="F264" s="612" t="s">
        <v>3616</v>
      </c>
      <c r="G264" s="612" t="s">
        <v>3617</v>
      </c>
      <c r="I264" s="1655"/>
      <c r="J264" s="1655"/>
      <c r="K264" s="1657">
        <f>Entry_Levels[[#This Row],[Distance to Market]]/Entry_Levels[[#This Row],[Value]]</f>
        <v>0</v>
      </c>
    </row>
    <row r="265" spans="1:11" x14ac:dyDescent="0.2">
      <c r="A265" s="95" t="s">
        <v>3639</v>
      </c>
      <c r="B265" s="95" t="s">
        <v>3860</v>
      </c>
      <c r="C265" s="95" t="s">
        <v>3641</v>
      </c>
      <c r="D265" s="612" t="s">
        <v>3615</v>
      </c>
      <c r="E265" s="34">
        <v>42</v>
      </c>
      <c r="F265" s="612" t="s">
        <v>3616</v>
      </c>
      <c r="G265" s="612" t="s">
        <v>3617</v>
      </c>
      <c r="I265" s="1655"/>
      <c r="J265" s="1655"/>
      <c r="K265" s="1657">
        <f>Entry_Levels[[#This Row],[Distance to Market]]/Entry_Levels[[#This Row],[Value]]</f>
        <v>0</v>
      </c>
    </row>
    <row r="266" spans="1:11" x14ac:dyDescent="0.2">
      <c r="A266" s="95" t="s">
        <v>3639</v>
      </c>
      <c r="B266" s="95" t="s">
        <v>3861</v>
      </c>
      <c r="C266" s="95" t="s">
        <v>3641</v>
      </c>
      <c r="D266" s="612" t="s">
        <v>3615</v>
      </c>
      <c r="E266" s="34">
        <v>12.6</v>
      </c>
      <c r="F266" s="612" t="s">
        <v>3616</v>
      </c>
      <c r="G266" s="612" t="s">
        <v>3617</v>
      </c>
      <c r="I266" s="1655"/>
      <c r="J266" s="1655"/>
      <c r="K266" s="1657">
        <f>Entry_Levels[[#This Row],[Distance to Market]]/Entry_Levels[[#This Row],[Value]]</f>
        <v>0</v>
      </c>
    </row>
    <row r="267" spans="1:11" x14ac:dyDescent="0.2">
      <c r="A267" s="95" t="s">
        <v>3639</v>
      </c>
      <c r="B267" s="95" t="s">
        <v>3862</v>
      </c>
      <c r="C267" s="95" t="s">
        <v>3641</v>
      </c>
      <c r="D267" s="612" t="s">
        <v>3615</v>
      </c>
      <c r="E267" s="34">
        <v>65</v>
      </c>
      <c r="F267" s="612" t="s">
        <v>3616</v>
      </c>
      <c r="G267" s="612" t="s">
        <v>3617</v>
      </c>
      <c r="I267" s="1655"/>
      <c r="J267" s="1655"/>
      <c r="K267" s="1657">
        <f>Entry_Levels[[#This Row],[Distance to Market]]/Entry_Levels[[#This Row],[Value]]</f>
        <v>0</v>
      </c>
    </row>
    <row r="268" spans="1:11" x14ac:dyDescent="0.2">
      <c r="A268" s="95" t="s">
        <v>3639</v>
      </c>
      <c r="B268" s="95" t="s">
        <v>3863</v>
      </c>
      <c r="C268" s="95" t="s">
        <v>3641</v>
      </c>
      <c r="D268" s="612" t="s">
        <v>3615</v>
      </c>
      <c r="E268" s="34">
        <v>63.5</v>
      </c>
      <c r="F268" s="612" t="s">
        <v>3616</v>
      </c>
      <c r="G268" s="612" t="s">
        <v>3617</v>
      </c>
      <c r="I268" s="1655"/>
      <c r="J268" s="1655"/>
      <c r="K268" s="1657">
        <f>Entry_Levels[[#This Row],[Distance to Market]]/Entry_Levels[[#This Row],[Value]]</f>
        <v>0</v>
      </c>
    </row>
    <row r="269" spans="1:11" x14ac:dyDescent="0.2">
      <c r="A269" s="95" t="s">
        <v>3639</v>
      </c>
      <c r="B269" s="95" t="s">
        <v>3864</v>
      </c>
      <c r="C269" s="95" t="s">
        <v>3641</v>
      </c>
      <c r="D269" s="612" t="s">
        <v>3615</v>
      </c>
      <c r="E269" s="34">
        <v>25</v>
      </c>
      <c r="F269" s="612" t="s">
        <v>3616</v>
      </c>
      <c r="G269" s="612" t="s">
        <v>3617</v>
      </c>
      <c r="I269" s="1655"/>
      <c r="J269" s="1655"/>
      <c r="K269" s="1657">
        <f>Entry_Levels[[#This Row],[Distance to Market]]/Entry_Levels[[#This Row],[Value]]</f>
        <v>0</v>
      </c>
    </row>
    <row r="270" spans="1:11" x14ac:dyDescent="0.2">
      <c r="A270" s="95" t="s">
        <v>3639</v>
      </c>
      <c r="B270" s="95" t="s">
        <v>3865</v>
      </c>
      <c r="C270" s="95" t="s">
        <v>3641</v>
      </c>
      <c r="D270" s="612" t="s">
        <v>3615</v>
      </c>
      <c r="E270" s="34">
        <v>68</v>
      </c>
      <c r="F270" s="612" t="s">
        <v>3616</v>
      </c>
      <c r="G270" s="612" t="s">
        <v>3617</v>
      </c>
      <c r="I270" s="1655"/>
      <c r="J270" s="1655"/>
      <c r="K270" s="1657">
        <f>Entry_Levels[[#This Row],[Distance to Market]]/Entry_Levels[[#This Row],[Value]]</f>
        <v>0</v>
      </c>
    </row>
    <row r="271" spans="1:11" x14ac:dyDescent="0.2">
      <c r="A271" s="95" t="s">
        <v>3639</v>
      </c>
      <c r="B271" s="95" t="s">
        <v>3865</v>
      </c>
      <c r="C271" s="95" t="s">
        <v>3641</v>
      </c>
      <c r="D271" s="612" t="s">
        <v>3615</v>
      </c>
      <c r="E271" s="34">
        <v>72.5</v>
      </c>
      <c r="F271" s="612" t="s">
        <v>3616</v>
      </c>
      <c r="G271" s="612" t="s">
        <v>3617</v>
      </c>
      <c r="I271" s="1655"/>
      <c r="J271" s="1655"/>
      <c r="K271" s="1657">
        <f>Entry_Levels[[#This Row],[Distance to Market]]/Entry_Levels[[#This Row],[Value]]</f>
        <v>0</v>
      </c>
    </row>
    <row r="272" spans="1:11" x14ac:dyDescent="0.2">
      <c r="A272" s="95" t="s">
        <v>3639</v>
      </c>
      <c r="B272" s="95" t="s">
        <v>3866</v>
      </c>
      <c r="C272" s="95" t="s">
        <v>3641</v>
      </c>
      <c r="D272" s="612" t="s">
        <v>3615</v>
      </c>
      <c r="E272" s="34">
        <v>12.5</v>
      </c>
      <c r="F272" s="612" t="s">
        <v>3616</v>
      </c>
      <c r="G272" s="612" t="s">
        <v>3617</v>
      </c>
      <c r="I272" s="1655"/>
      <c r="J272" s="1655"/>
      <c r="K272" s="1657">
        <f>Entry_Levels[[#This Row],[Distance to Market]]/Entry_Levels[[#This Row],[Value]]</f>
        <v>0</v>
      </c>
    </row>
    <row r="273" spans="1:11" x14ac:dyDescent="0.2">
      <c r="A273" s="95" t="s">
        <v>3639</v>
      </c>
      <c r="B273" s="95" t="s">
        <v>3867</v>
      </c>
      <c r="C273" s="95" t="s">
        <v>3641</v>
      </c>
      <c r="D273" s="612" t="s">
        <v>3615</v>
      </c>
      <c r="E273" s="34">
        <v>28</v>
      </c>
      <c r="F273" s="612" t="s">
        <v>3616</v>
      </c>
      <c r="G273" s="612" t="s">
        <v>3617</v>
      </c>
      <c r="I273" s="1655"/>
      <c r="J273" s="1655"/>
      <c r="K273" s="1657">
        <f>Entry_Levels[[#This Row],[Distance to Market]]/Entry_Levels[[#This Row],[Value]]</f>
        <v>0</v>
      </c>
    </row>
    <row r="274" spans="1:11" x14ac:dyDescent="0.2">
      <c r="A274" s="95" t="s">
        <v>3639</v>
      </c>
      <c r="B274" s="95" t="s">
        <v>3868</v>
      </c>
      <c r="C274" s="95" t="s">
        <v>3641</v>
      </c>
      <c r="D274" s="612" t="s">
        <v>3615</v>
      </c>
      <c r="E274" s="34">
        <v>88</v>
      </c>
      <c r="F274" s="612" t="s">
        <v>3616</v>
      </c>
      <c r="G274" s="612" t="s">
        <v>3617</v>
      </c>
      <c r="I274" s="1655"/>
      <c r="J274" s="1655"/>
      <c r="K274" s="1657">
        <f>Entry_Levels[[#This Row],[Distance to Market]]/Entry_Levels[[#This Row],[Value]]</f>
        <v>0</v>
      </c>
    </row>
    <row r="275" spans="1:11" x14ac:dyDescent="0.2">
      <c r="A275" s="95" t="s">
        <v>3639</v>
      </c>
      <c r="B275" s="95" t="s">
        <v>3868</v>
      </c>
      <c r="C275" s="95" t="s">
        <v>3641</v>
      </c>
      <c r="D275" s="612" t="s">
        <v>3615</v>
      </c>
      <c r="E275" s="34">
        <v>75</v>
      </c>
      <c r="F275" s="612" t="s">
        <v>3616</v>
      </c>
      <c r="G275" s="612" t="s">
        <v>3617</v>
      </c>
      <c r="I275" s="1655"/>
      <c r="J275" s="1655"/>
      <c r="K275" s="1657">
        <f>Entry_Levels[[#This Row],[Distance to Market]]/Entry_Levels[[#This Row],[Value]]</f>
        <v>0</v>
      </c>
    </row>
    <row r="276" spans="1:11" x14ac:dyDescent="0.2">
      <c r="A276" s="95" t="s">
        <v>3639</v>
      </c>
      <c r="B276" s="95" t="s">
        <v>3869</v>
      </c>
      <c r="C276" s="95" t="s">
        <v>3641</v>
      </c>
      <c r="D276" s="612" t="s">
        <v>3615</v>
      </c>
      <c r="E276" s="34">
        <v>5.6</v>
      </c>
      <c r="F276" s="612" t="s">
        <v>3616</v>
      </c>
      <c r="G276" s="612" t="s">
        <v>3617</v>
      </c>
      <c r="I276" s="1655"/>
      <c r="J276" s="1655"/>
      <c r="K276" s="1657">
        <f>Entry_Levels[[#This Row],[Distance to Market]]/Entry_Levels[[#This Row],[Value]]</f>
        <v>0</v>
      </c>
    </row>
    <row r="277" spans="1:11" x14ac:dyDescent="0.2">
      <c r="A277" s="95" t="s">
        <v>3639</v>
      </c>
      <c r="B277" s="95" t="s">
        <v>3870</v>
      </c>
      <c r="C277" s="95" t="s">
        <v>3641</v>
      </c>
      <c r="D277" s="612" t="s">
        <v>3615</v>
      </c>
      <c r="E277" s="34">
        <v>140</v>
      </c>
      <c r="F277" s="612" t="s">
        <v>3616</v>
      </c>
      <c r="G277" s="612" t="s">
        <v>3617</v>
      </c>
      <c r="I277" s="1655"/>
      <c r="J277" s="1655"/>
      <c r="K277" s="1657">
        <f>Entry_Levels[[#This Row],[Distance to Market]]/Entry_Levels[[#This Row],[Value]]</f>
        <v>0</v>
      </c>
    </row>
    <row r="278" spans="1:11" x14ac:dyDescent="0.2">
      <c r="A278" s="95" t="s">
        <v>3639</v>
      </c>
      <c r="B278" s="95" t="s">
        <v>3871</v>
      </c>
      <c r="C278" s="95" t="s">
        <v>3641</v>
      </c>
      <c r="D278" s="612" t="s">
        <v>3615</v>
      </c>
      <c r="E278" s="34">
        <v>70</v>
      </c>
      <c r="F278" s="612" t="s">
        <v>3616</v>
      </c>
      <c r="G278" s="612" t="s">
        <v>3617</v>
      </c>
      <c r="I278" s="1655"/>
      <c r="J278" s="1655"/>
      <c r="K278" s="1657">
        <f>Entry_Levels[[#This Row],[Distance to Market]]/Entry_Levels[[#This Row],[Value]]</f>
        <v>0</v>
      </c>
    </row>
    <row r="279" spans="1:11" x14ac:dyDescent="0.2">
      <c r="A279" s="95" t="s">
        <v>3639</v>
      </c>
      <c r="B279" s="95" t="s">
        <v>3872</v>
      </c>
      <c r="C279" s="95" t="s">
        <v>3641</v>
      </c>
      <c r="D279" s="612" t="s">
        <v>3615</v>
      </c>
      <c r="E279" s="34">
        <v>45</v>
      </c>
      <c r="F279" s="612" t="s">
        <v>3616</v>
      </c>
      <c r="G279" s="612" t="s">
        <v>3617</v>
      </c>
      <c r="I279" s="1655"/>
      <c r="J279" s="1655"/>
      <c r="K279" s="1657">
        <f>Entry_Levels[[#This Row],[Distance to Market]]/Entry_Levels[[#This Row],[Value]]</f>
        <v>0</v>
      </c>
    </row>
    <row r="280" spans="1:11" x14ac:dyDescent="0.2">
      <c r="A280" s="95" t="s">
        <v>3639</v>
      </c>
      <c r="B280" s="95" t="s">
        <v>3872</v>
      </c>
      <c r="C280" s="95" t="s">
        <v>3641</v>
      </c>
      <c r="D280" s="612" t="s">
        <v>3615</v>
      </c>
      <c r="E280" s="34">
        <v>50</v>
      </c>
      <c r="F280" s="612" t="s">
        <v>3616</v>
      </c>
      <c r="G280" s="612" t="s">
        <v>3617</v>
      </c>
      <c r="I280" s="1655"/>
      <c r="J280" s="1655"/>
      <c r="K280" s="1657">
        <f>Entry_Levels[[#This Row],[Distance to Market]]/Entry_Levels[[#This Row],[Value]]</f>
        <v>0</v>
      </c>
    </row>
    <row r="281" spans="1:11" x14ac:dyDescent="0.2">
      <c r="A281" s="95" t="s">
        <v>3639</v>
      </c>
      <c r="B281" s="95" t="s">
        <v>3873</v>
      </c>
      <c r="C281" s="95" t="s">
        <v>3641</v>
      </c>
      <c r="D281" s="612" t="s">
        <v>3615</v>
      </c>
      <c r="E281" s="34">
        <v>50</v>
      </c>
      <c r="F281" s="612" t="s">
        <v>3616</v>
      </c>
      <c r="G281" s="612" t="s">
        <v>3617</v>
      </c>
      <c r="I281" s="1655"/>
      <c r="J281" s="1655"/>
      <c r="K281" s="1657">
        <f>Entry_Levels[[#This Row],[Distance to Market]]/Entry_Levels[[#This Row],[Value]]</f>
        <v>0</v>
      </c>
    </row>
    <row r="282" spans="1:11" x14ac:dyDescent="0.2">
      <c r="A282" s="95" t="s">
        <v>3639</v>
      </c>
      <c r="B282" s="95" t="s">
        <v>3874</v>
      </c>
      <c r="C282" s="95" t="s">
        <v>3641</v>
      </c>
      <c r="D282" s="612" t="s">
        <v>3615</v>
      </c>
      <c r="E282" s="34">
        <v>37.5</v>
      </c>
      <c r="F282" s="612" t="s">
        <v>3616</v>
      </c>
      <c r="G282" s="612" t="s">
        <v>3617</v>
      </c>
      <c r="I282" s="1655"/>
      <c r="J282" s="1655"/>
      <c r="K282" s="1657">
        <f>Entry_Levels[[#This Row],[Distance to Market]]/Entry_Levels[[#This Row],[Value]]</f>
        <v>0</v>
      </c>
    </row>
    <row r="283" spans="1:11" x14ac:dyDescent="0.2">
      <c r="A283" s="95" t="s">
        <v>3639</v>
      </c>
      <c r="B283" s="95" t="s">
        <v>3875</v>
      </c>
      <c r="C283" s="95" t="s">
        <v>3641</v>
      </c>
      <c r="D283" s="612" t="s">
        <v>3615</v>
      </c>
      <c r="E283" s="34">
        <v>135</v>
      </c>
      <c r="F283" s="612" t="s">
        <v>3616</v>
      </c>
      <c r="G283" s="612" t="s">
        <v>3617</v>
      </c>
      <c r="I283" s="1655"/>
      <c r="J283" s="1655"/>
      <c r="K283" s="1657">
        <f>Entry_Levels[[#This Row],[Distance to Market]]/Entry_Levels[[#This Row],[Value]]</f>
        <v>0</v>
      </c>
    </row>
    <row r="284" spans="1:11" x14ac:dyDescent="0.2">
      <c r="A284" s="95" t="s">
        <v>3639</v>
      </c>
      <c r="B284" s="95" t="s">
        <v>3876</v>
      </c>
      <c r="C284" s="95" t="s">
        <v>3641</v>
      </c>
      <c r="D284" s="612" t="s">
        <v>3615</v>
      </c>
      <c r="E284" s="34">
        <v>16</v>
      </c>
      <c r="F284" s="612" t="s">
        <v>3616</v>
      </c>
      <c r="G284" s="612" t="s">
        <v>3617</v>
      </c>
      <c r="I284" s="1655"/>
      <c r="J284" s="1655"/>
      <c r="K284" s="1657">
        <f>Entry_Levels[[#This Row],[Distance to Market]]/Entry_Levels[[#This Row],[Value]]</f>
        <v>0</v>
      </c>
    </row>
    <row r="285" spans="1:11" x14ac:dyDescent="0.2">
      <c r="A285" s="95" t="s">
        <v>3639</v>
      </c>
      <c r="B285" s="95" t="s">
        <v>3877</v>
      </c>
      <c r="C285" s="95" t="s">
        <v>3641</v>
      </c>
      <c r="D285" s="612" t="s">
        <v>3615</v>
      </c>
      <c r="E285" s="34">
        <v>50</v>
      </c>
      <c r="F285" s="612" t="s">
        <v>3616</v>
      </c>
      <c r="G285" s="612" t="s">
        <v>3617</v>
      </c>
      <c r="I285" s="1655"/>
      <c r="J285" s="1655"/>
      <c r="K285" s="1657">
        <f>Entry_Levels[[#This Row],[Distance to Market]]/Entry_Levels[[#This Row],[Value]]</f>
        <v>0</v>
      </c>
    </row>
    <row r="286" spans="1:11" x14ac:dyDescent="0.2">
      <c r="A286" s="95" t="s">
        <v>3639</v>
      </c>
      <c r="B286" s="95" t="s">
        <v>3878</v>
      </c>
      <c r="C286" s="95" t="s">
        <v>3641</v>
      </c>
      <c r="D286" s="612" t="s">
        <v>3615</v>
      </c>
      <c r="E286" s="34">
        <v>12</v>
      </c>
      <c r="F286" s="612" t="s">
        <v>3616</v>
      </c>
      <c r="G286" s="612" t="s">
        <v>3617</v>
      </c>
      <c r="I286" s="1655"/>
      <c r="J286" s="1655"/>
      <c r="K286" s="1657">
        <f>Entry_Levels[[#This Row],[Distance to Market]]/Entry_Levels[[#This Row],[Value]]</f>
        <v>0</v>
      </c>
    </row>
    <row r="287" spans="1:11" x14ac:dyDescent="0.2">
      <c r="A287" s="95" t="s">
        <v>3639</v>
      </c>
      <c r="B287" s="95" t="s">
        <v>3879</v>
      </c>
      <c r="C287" s="95" t="s">
        <v>3641</v>
      </c>
      <c r="D287" s="612" t="s">
        <v>3615</v>
      </c>
      <c r="E287" s="34">
        <v>100</v>
      </c>
      <c r="F287" s="612" t="s">
        <v>3616</v>
      </c>
      <c r="G287" s="612" t="s">
        <v>3617</v>
      </c>
      <c r="I287" s="1655"/>
      <c r="J287" s="1655"/>
      <c r="K287" s="1657">
        <f>Entry_Levels[[#This Row],[Distance to Market]]/Entry_Levels[[#This Row],[Value]]</f>
        <v>0</v>
      </c>
    </row>
    <row r="288" spans="1:11" x14ac:dyDescent="0.2">
      <c r="A288" s="95" t="s">
        <v>3639</v>
      </c>
      <c r="B288" s="95" t="s">
        <v>3880</v>
      </c>
      <c r="C288" s="95" t="s">
        <v>3641</v>
      </c>
      <c r="D288" s="612" t="s">
        <v>3615</v>
      </c>
      <c r="E288" s="34" t="s">
        <v>3881</v>
      </c>
      <c r="F288" s="612" t="s">
        <v>3616</v>
      </c>
      <c r="G288" s="612" t="s">
        <v>3617</v>
      </c>
      <c r="I288" s="1655"/>
      <c r="J288" s="1655"/>
      <c r="K288" s="1657">
        <f>Entry_Levels[[#This Row],[Distance to Market]]/Entry_Levels[[#This Row],[Value]]</f>
        <v>0</v>
      </c>
    </row>
    <row r="289" spans="1:11" x14ac:dyDescent="0.2">
      <c r="A289" s="95" t="s">
        <v>3639</v>
      </c>
      <c r="B289" s="95" t="s">
        <v>3512</v>
      </c>
      <c r="C289" s="95" t="s">
        <v>3641</v>
      </c>
      <c r="D289" s="612" t="s">
        <v>3615</v>
      </c>
      <c r="E289" s="34">
        <v>189</v>
      </c>
      <c r="F289" s="612" t="s">
        <v>3616</v>
      </c>
      <c r="G289" s="612" t="s">
        <v>3617</v>
      </c>
      <c r="I289" s="1655"/>
      <c r="J289" s="1655"/>
      <c r="K289" s="1657">
        <f>Entry_Levels[[#This Row],[Distance to Market]]/Entry_Levels[[#This Row],[Value]]</f>
        <v>0</v>
      </c>
    </row>
    <row r="290" spans="1:11" x14ac:dyDescent="0.2">
      <c r="A290" s="95" t="s">
        <v>3639</v>
      </c>
      <c r="B290" s="95" t="s">
        <v>3882</v>
      </c>
      <c r="C290" s="95" t="s">
        <v>3641</v>
      </c>
      <c r="D290" s="612" t="s">
        <v>3615</v>
      </c>
      <c r="E290" s="34">
        <v>22</v>
      </c>
      <c r="F290" s="612" t="s">
        <v>3616</v>
      </c>
      <c r="G290" s="612" t="s">
        <v>3617</v>
      </c>
      <c r="I290" s="1655"/>
      <c r="J290" s="1655"/>
      <c r="K290" s="1657">
        <f>Entry_Levels[[#This Row],[Distance to Market]]/Entry_Levels[[#This Row],[Value]]</f>
        <v>0</v>
      </c>
    </row>
    <row r="291" spans="1:11" x14ac:dyDescent="0.2">
      <c r="A291" s="95" t="s">
        <v>3639</v>
      </c>
      <c r="B291" s="95" t="s">
        <v>3883</v>
      </c>
      <c r="C291" s="95" t="s">
        <v>3641</v>
      </c>
      <c r="D291" s="612" t="s">
        <v>3615</v>
      </c>
      <c r="E291" s="34">
        <v>25</v>
      </c>
      <c r="F291" s="612" t="s">
        <v>3616</v>
      </c>
      <c r="G291" s="612" t="s">
        <v>3617</v>
      </c>
      <c r="I291" s="1655"/>
      <c r="J291" s="1655"/>
      <c r="K291" s="1657">
        <f>Entry_Levels[[#This Row],[Distance to Market]]/Entry_Levels[[#This Row],[Value]]</f>
        <v>0</v>
      </c>
    </row>
    <row r="292" spans="1:11" x14ac:dyDescent="0.2">
      <c r="A292" s="95" t="s">
        <v>3639</v>
      </c>
      <c r="B292" s="95" t="s">
        <v>3884</v>
      </c>
      <c r="C292" s="95" t="s">
        <v>3641</v>
      </c>
      <c r="D292" s="612" t="s">
        <v>3615</v>
      </c>
      <c r="E292" s="34">
        <v>27.5</v>
      </c>
      <c r="F292" s="612" t="s">
        <v>3616</v>
      </c>
      <c r="G292" s="612" t="s">
        <v>3617</v>
      </c>
      <c r="I292" s="1655"/>
      <c r="J292" s="1655"/>
      <c r="K292" s="1657">
        <f>Entry_Levels[[#This Row],[Distance to Market]]/Entry_Levels[[#This Row],[Value]]</f>
        <v>0</v>
      </c>
    </row>
    <row r="293" spans="1:11" x14ac:dyDescent="0.2">
      <c r="A293" s="95" t="s">
        <v>3639</v>
      </c>
      <c r="B293" s="95" t="s">
        <v>3885</v>
      </c>
      <c r="C293" s="95" t="s">
        <v>3641</v>
      </c>
      <c r="D293" s="612" t="s">
        <v>3615</v>
      </c>
      <c r="E293" s="34">
        <v>71</v>
      </c>
      <c r="F293" s="612" t="s">
        <v>3616</v>
      </c>
      <c r="G293" s="612" t="s">
        <v>3617</v>
      </c>
      <c r="I293" s="1655"/>
      <c r="J293" s="1655"/>
      <c r="K293" s="1657">
        <f>Entry_Levels[[#This Row],[Distance to Market]]/Entry_Levels[[#This Row],[Value]]</f>
        <v>0</v>
      </c>
    </row>
    <row r="294" spans="1:11" x14ac:dyDescent="0.2">
      <c r="A294" s="95" t="s">
        <v>3639</v>
      </c>
      <c r="B294" s="95" t="s">
        <v>3885</v>
      </c>
      <c r="C294" s="95" t="s">
        <v>3641</v>
      </c>
      <c r="D294" s="612" t="s">
        <v>3615</v>
      </c>
      <c r="E294" s="34">
        <v>100</v>
      </c>
      <c r="F294" s="612" t="s">
        <v>3616</v>
      </c>
      <c r="G294" s="612" t="s">
        <v>3617</v>
      </c>
      <c r="I294" s="1655"/>
      <c r="J294" s="1655"/>
      <c r="K294" s="1657">
        <f>Entry_Levels[[#This Row],[Distance to Market]]/Entry_Levels[[#This Row],[Value]]</f>
        <v>0</v>
      </c>
    </row>
    <row r="295" spans="1:11" x14ac:dyDescent="0.2">
      <c r="A295" s="95" t="s">
        <v>3639</v>
      </c>
      <c r="B295" s="95" t="s">
        <v>3886</v>
      </c>
      <c r="C295" s="95" t="s">
        <v>3641</v>
      </c>
      <c r="D295" s="612" t="s">
        <v>3615</v>
      </c>
      <c r="E295" s="34">
        <v>25</v>
      </c>
      <c r="F295" s="612" t="s">
        <v>3616</v>
      </c>
      <c r="G295" s="612" t="s">
        <v>3617</v>
      </c>
      <c r="I295" s="1655"/>
      <c r="J295" s="1655"/>
      <c r="K295" s="1657">
        <f>Entry_Levels[[#This Row],[Distance to Market]]/Entry_Levels[[#This Row],[Value]]</f>
        <v>0</v>
      </c>
    </row>
    <row r="296" spans="1:11" x14ac:dyDescent="0.2">
      <c r="A296" s="95" t="s">
        <v>3639</v>
      </c>
      <c r="B296" s="95" t="s">
        <v>3886</v>
      </c>
      <c r="C296" s="95" t="s">
        <v>3641</v>
      </c>
      <c r="D296" s="612" t="s">
        <v>3615</v>
      </c>
      <c r="E296" s="34">
        <v>27</v>
      </c>
      <c r="F296" s="612" t="s">
        <v>3616</v>
      </c>
      <c r="G296" s="612" t="s">
        <v>3617</v>
      </c>
      <c r="I296" s="1655"/>
      <c r="J296" s="1655"/>
      <c r="K296" s="1657">
        <f>Entry_Levels[[#This Row],[Distance to Market]]/Entry_Levels[[#This Row],[Value]]</f>
        <v>0</v>
      </c>
    </row>
    <row r="297" spans="1:11" x14ac:dyDescent="0.2">
      <c r="A297" s="95" t="s">
        <v>3639</v>
      </c>
      <c r="B297" s="95" t="s">
        <v>3887</v>
      </c>
      <c r="C297" s="95" t="s">
        <v>3641</v>
      </c>
      <c r="D297" s="612" t="s">
        <v>3615</v>
      </c>
      <c r="E297" s="34">
        <v>2.9</v>
      </c>
      <c r="F297" s="612" t="s">
        <v>3616</v>
      </c>
      <c r="G297" s="612" t="s">
        <v>3617</v>
      </c>
      <c r="I297" s="1655"/>
      <c r="J297" s="1655"/>
      <c r="K297" s="1657">
        <f>Entry_Levels[[#This Row],[Distance to Market]]/Entry_Levels[[#This Row],[Value]]</f>
        <v>0</v>
      </c>
    </row>
    <row r="298" spans="1:11" x14ac:dyDescent="0.2">
      <c r="A298" s="95" t="s">
        <v>3639</v>
      </c>
      <c r="B298" s="95" t="s">
        <v>3888</v>
      </c>
      <c r="C298" s="95" t="s">
        <v>3641</v>
      </c>
      <c r="D298" s="612" t="s">
        <v>3615</v>
      </c>
      <c r="E298" s="34">
        <v>185</v>
      </c>
      <c r="F298" s="612" t="s">
        <v>3616</v>
      </c>
      <c r="G298" s="612" t="s">
        <v>3617</v>
      </c>
      <c r="I298" s="1655"/>
      <c r="J298" s="1655"/>
      <c r="K298" s="1657">
        <f>Entry_Levels[[#This Row],[Distance to Market]]/Entry_Levels[[#This Row],[Value]]</f>
        <v>0</v>
      </c>
    </row>
    <row r="299" spans="1:11" x14ac:dyDescent="0.2">
      <c r="A299" s="95" t="s">
        <v>3639</v>
      </c>
      <c r="B299" s="95" t="s">
        <v>3889</v>
      </c>
      <c r="C299" s="95" t="s">
        <v>3641</v>
      </c>
      <c r="D299" s="612" t="s">
        <v>3615</v>
      </c>
      <c r="E299" s="34">
        <v>128</v>
      </c>
      <c r="F299" s="612" t="s">
        <v>3616</v>
      </c>
      <c r="G299" s="612" t="s">
        <v>3617</v>
      </c>
      <c r="I299" s="1655"/>
      <c r="J299" s="1655"/>
      <c r="K299" s="1657">
        <f>Entry_Levels[[#This Row],[Distance to Market]]/Entry_Levels[[#This Row],[Value]]</f>
        <v>0</v>
      </c>
    </row>
    <row r="300" spans="1:11" x14ac:dyDescent="0.2">
      <c r="A300" s="95" t="s">
        <v>3639</v>
      </c>
      <c r="B300" s="95" t="s">
        <v>417</v>
      </c>
      <c r="C300" s="95" t="s">
        <v>3641</v>
      </c>
      <c r="D300" s="612" t="s">
        <v>3615</v>
      </c>
      <c r="E300" s="34">
        <v>63.5</v>
      </c>
      <c r="F300" s="612" t="s">
        <v>3616</v>
      </c>
      <c r="G300" s="612" t="s">
        <v>3617</v>
      </c>
      <c r="I300" s="1655"/>
      <c r="J300" s="1655"/>
      <c r="K300" s="1657">
        <f>Entry_Levels[[#This Row],[Distance to Market]]/Entry_Levels[[#This Row],[Value]]</f>
        <v>0</v>
      </c>
    </row>
    <row r="301" spans="1:11" x14ac:dyDescent="0.2">
      <c r="A301" s="95" t="s">
        <v>3639</v>
      </c>
      <c r="B301" s="95" t="s">
        <v>404</v>
      </c>
      <c r="C301" s="95" t="s">
        <v>3641</v>
      </c>
      <c r="D301" s="612" t="s">
        <v>3619</v>
      </c>
      <c r="E301" s="34">
        <v>110</v>
      </c>
      <c r="F301" s="612" t="s">
        <v>3616</v>
      </c>
      <c r="G301" s="612" t="s">
        <v>3617</v>
      </c>
      <c r="I301" s="1655"/>
      <c r="J301" s="1655"/>
      <c r="K301" s="1657">
        <f>Entry_Levels[[#This Row],[Distance to Market]]/Entry_Levels[[#This Row],[Value]]</f>
        <v>0</v>
      </c>
    </row>
    <row r="302" spans="1:11" x14ac:dyDescent="0.2">
      <c r="A302" s="95" t="s">
        <v>3639</v>
      </c>
      <c r="B302" s="95" t="s">
        <v>404</v>
      </c>
      <c r="C302" s="95" t="s">
        <v>3641</v>
      </c>
      <c r="D302" s="612" t="s">
        <v>3615</v>
      </c>
      <c r="E302" s="34">
        <v>82.5</v>
      </c>
      <c r="F302" s="612" t="s">
        <v>3616</v>
      </c>
      <c r="G302" s="612" t="s">
        <v>3617</v>
      </c>
      <c r="I302" s="1655"/>
      <c r="J302" s="1655"/>
      <c r="K302" s="1657">
        <f>Entry_Levels[[#This Row],[Distance to Market]]/Entry_Levels[[#This Row],[Value]]</f>
        <v>0</v>
      </c>
    </row>
    <row r="303" spans="1:11" x14ac:dyDescent="0.2">
      <c r="A303" s="95" t="s">
        <v>3639</v>
      </c>
      <c r="B303" s="95" t="s">
        <v>3890</v>
      </c>
      <c r="C303" s="95" t="s">
        <v>3641</v>
      </c>
      <c r="D303" s="612" t="s">
        <v>3615</v>
      </c>
      <c r="E303" s="34">
        <v>200</v>
      </c>
      <c r="F303" s="612" t="s">
        <v>3616</v>
      </c>
      <c r="G303" s="612" t="s">
        <v>3617</v>
      </c>
      <c r="I303" s="1655"/>
      <c r="J303" s="1655"/>
      <c r="K303" s="1657">
        <f>Entry_Levels[[#This Row],[Distance to Market]]/Entry_Levels[[#This Row],[Value]]</f>
        <v>0</v>
      </c>
    </row>
    <row r="304" spans="1:11" x14ac:dyDescent="0.2">
      <c r="A304" s="95" t="s">
        <v>3639</v>
      </c>
      <c r="B304" s="95" t="s">
        <v>3890</v>
      </c>
      <c r="C304" s="95" t="s">
        <v>3641</v>
      </c>
      <c r="D304" s="612" t="s">
        <v>3615</v>
      </c>
      <c r="E304" s="34">
        <v>205</v>
      </c>
      <c r="F304" s="612" t="s">
        <v>3616</v>
      </c>
      <c r="G304" s="612" t="s">
        <v>3617</v>
      </c>
      <c r="I304" s="1655"/>
      <c r="J304" s="1655"/>
      <c r="K304" s="1657">
        <f>Entry_Levels[[#This Row],[Distance to Market]]/Entry_Levels[[#This Row],[Value]]</f>
        <v>0</v>
      </c>
    </row>
    <row r="305" spans="1:11" x14ac:dyDescent="0.2">
      <c r="A305" s="95" t="s">
        <v>3639</v>
      </c>
      <c r="B305" s="95" t="s">
        <v>573</v>
      </c>
      <c r="C305" s="95" t="s">
        <v>3641</v>
      </c>
      <c r="D305" s="612" t="s">
        <v>3615</v>
      </c>
      <c r="E305" s="34">
        <v>185</v>
      </c>
      <c r="F305" s="612" t="s">
        <v>3616</v>
      </c>
      <c r="G305" s="612" t="s">
        <v>3617</v>
      </c>
      <c r="I305" s="1655"/>
      <c r="J305" s="1655"/>
      <c r="K305" s="1657">
        <f>Entry_Levels[[#This Row],[Distance to Market]]/Entry_Levels[[#This Row],[Value]]</f>
        <v>0</v>
      </c>
    </row>
    <row r="306" spans="1:11" x14ac:dyDescent="0.2">
      <c r="A306" s="95" t="s">
        <v>3639</v>
      </c>
      <c r="B306" s="95" t="s">
        <v>3891</v>
      </c>
      <c r="C306" s="95" t="s">
        <v>3641</v>
      </c>
      <c r="D306" s="612" t="s">
        <v>3615</v>
      </c>
      <c r="E306" s="34">
        <v>40</v>
      </c>
      <c r="F306" s="612" t="s">
        <v>3616</v>
      </c>
      <c r="G306" s="612" t="s">
        <v>3617</v>
      </c>
      <c r="I306" s="1655"/>
      <c r="J306" s="1655"/>
      <c r="K306" s="1657">
        <f>Entry_Levels[[#This Row],[Distance to Market]]/Entry_Levels[[#This Row],[Value]]</f>
        <v>0</v>
      </c>
    </row>
    <row r="307" spans="1:11" x14ac:dyDescent="0.2">
      <c r="A307" s="95" t="s">
        <v>3639</v>
      </c>
      <c r="B307" s="95" t="s">
        <v>3891</v>
      </c>
      <c r="C307" s="95" t="s">
        <v>3641</v>
      </c>
      <c r="D307" s="612" t="s">
        <v>3615</v>
      </c>
      <c r="E307" s="34">
        <v>36</v>
      </c>
      <c r="F307" s="612" t="s">
        <v>3616</v>
      </c>
      <c r="G307" s="612" t="s">
        <v>3617</v>
      </c>
      <c r="I307" s="1655"/>
      <c r="J307" s="1655"/>
      <c r="K307" s="1657">
        <f>Entry_Levels[[#This Row],[Distance to Market]]/Entry_Levels[[#This Row],[Value]]</f>
        <v>0</v>
      </c>
    </row>
    <row r="308" spans="1:11" x14ac:dyDescent="0.2">
      <c r="A308" s="95" t="s">
        <v>3639</v>
      </c>
      <c r="B308" s="95" t="s">
        <v>3892</v>
      </c>
      <c r="C308" s="95" t="s">
        <v>3641</v>
      </c>
      <c r="D308" s="612" t="s">
        <v>3615</v>
      </c>
      <c r="E308" s="34">
        <v>53.5</v>
      </c>
      <c r="F308" s="612" t="s">
        <v>3616</v>
      </c>
      <c r="G308" s="612" t="s">
        <v>3617</v>
      </c>
      <c r="I308" s="1655"/>
      <c r="J308" s="1655"/>
      <c r="K308" s="1657">
        <f>Entry_Levels[[#This Row],[Distance to Market]]/Entry_Levels[[#This Row],[Value]]</f>
        <v>0</v>
      </c>
    </row>
    <row r="309" spans="1:11" x14ac:dyDescent="0.2">
      <c r="A309" s="95" t="s">
        <v>3639</v>
      </c>
      <c r="B309" s="95" t="s">
        <v>3893</v>
      </c>
      <c r="C309" s="95" t="s">
        <v>3641</v>
      </c>
      <c r="D309" s="612" t="s">
        <v>3615</v>
      </c>
      <c r="E309" s="34">
        <v>36</v>
      </c>
      <c r="F309" s="612" t="s">
        <v>3616</v>
      </c>
      <c r="G309" s="612" t="s">
        <v>3617</v>
      </c>
      <c r="I309" s="1655"/>
      <c r="J309" s="1655"/>
      <c r="K309" s="1657">
        <f>Entry_Levels[[#This Row],[Distance to Market]]/Entry_Levels[[#This Row],[Value]]</f>
        <v>0</v>
      </c>
    </row>
    <row r="310" spans="1:11" x14ac:dyDescent="0.2">
      <c r="A310" s="95" t="s">
        <v>3639</v>
      </c>
      <c r="B310" s="95" t="s">
        <v>3893</v>
      </c>
      <c r="C310" s="95" t="s">
        <v>3641</v>
      </c>
      <c r="D310" s="612" t="s">
        <v>3615</v>
      </c>
      <c r="E310" s="34">
        <v>35.5</v>
      </c>
      <c r="F310" s="612" t="s">
        <v>3616</v>
      </c>
      <c r="G310" s="612" t="s">
        <v>3617</v>
      </c>
      <c r="I310" s="1655"/>
      <c r="J310" s="1655"/>
      <c r="K310" s="1657">
        <f>Entry_Levels[[#This Row],[Distance to Market]]/Entry_Levels[[#This Row],[Value]]</f>
        <v>0</v>
      </c>
    </row>
    <row r="311" spans="1:11" x14ac:dyDescent="0.2">
      <c r="A311" s="95" t="s">
        <v>3639</v>
      </c>
      <c r="B311" s="95" t="s">
        <v>3893</v>
      </c>
      <c r="C311" s="95" t="s">
        <v>3641</v>
      </c>
      <c r="D311" s="612" t="s">
        <v>3615</v>
      </c>
      <c r="E311" s="34">
        <v>32.5</v>
      </c>
      <c r="F311" s="612" t="s">
        <v>3616</v>
      </c>
      <c r="G311" s="612" t="s">
        <v>3617</v>
      </c>
      <c r="H311" s="95" t="s">
        <v>3797</v>
      </c>
      <c r="I311" s="1655"/>
      <c r="J311" s="1655"/>
      <c r="K311" s="1657">
        <f>Entry_Levels[[#This Row],[Distance to Market]]/Entry_Levels[[#This Row],[Value]]</f>
        <v>0</v>
      </c>
    </row>
    <row r="312" spans="1:11" x14ac:dyDescent="0.2">
      <c r="A312" s="95" t="s">
        <v>3639</v>
      </c>
      <c r="B312" s="95" t="s">
        <v>3894</v>
      </c>
      <c r="C312" s="95" t="s">
        <v>3641</v>
      </c>
      <c r="D312" s="612" t="s">
        <v>3615</v>
      </c>
      <c r="E312" s="34">
        <v>85</v>
      </c>
      <c r="F312" s="612" t="s">
        <v>3616</v>
      </c>
      <c r="G312" s="612" t="s">
        <v>3617</v>
      </c>
      <c r="I312" s="1655"/>
      <c r="J312" s="1655"/>
      <c r="K312" s="1657">
        <f>Entry_Levels[[#This Row],[Distance to Market]]/Entry_Levels[[#This Row],[Value]]</f>
        <v>0</v>
      </c>
    </row>
    <row r="313" spans="1:11" x14ac:dyDescent="0.2">
      <c r="A313" s="95" t="s">
        <v>3639</v>
      </c>
      <c r="B313" s="95" t="s">
        <v>3895</v>
      </c>
      <c r="C313" s="95" t="s">
        <v>3641</v>
      </c>
      <c r="D313" s="612" t="s">
        <v>3615</v>
      </c>
      <c r="E313" s="34">
        <v>143</v>
      </c>
      <c r="F313" s="612" t="s">
        <v>3616</v>
      </c>
      <c r="G313" s="612" t="s">
        <v>3617</v>
      </c>
      <c r="I313" s="1655"/>
      <c r="J313" s="1655"/>
      <c r="K313" s="1657">
        <f>Entry_Levels[[#This Row],[Distance to Market]]/Entry_Levels[[#This Row],[Value]]</f>
        <v>0</v>
      </c>
    </row>
    <row r="314" spans="1:11" x14ac:dyDescent="0.2">
      <c r="A314" s="95" t="s">
        <v>3639</v>
      </c>
      <c r="B314" s="95" t="s">
        <v>3896</v>
      </c>
      <c r="C314" s="95" t="s">
        <v>3641</v>
      </c>
      <c r="D314" s="612" t="s">
        <v>3615</v>
      </c>
      <c r="E314" s="34">
        <v>76</v>
      </c>
      <c r="F314" s="612" t="s">
        <v>3616</v>
      </c>
      <c r="G314" s="612" t="s">
        <v>3617</v>
      </c>
      <c r="I314" s="1655"/>
      <c r="J314" s="1655"/>
      <c r="K314" s="1657">
        <f>Entry_Levels[[#This Row],[Distance to Market]]/Entry_Levels[[#This Row],[Value]]</f>
        <v>0</v>
      </c>
    </row>
    <row r="315" spans="1:11" x14ac:dyDescent="0.2">
      <c r="A315" s="95" t="s">
        <v>3639</v>
      </c>
      <c r="B315" s="95" t="s">
        <v>3897</v>
      </c>
      <c r="C315" s="95" t="s">
        <v>3641</v>
      </c>
      <c r="D315" s="612" t="s">
        <v>3615</v>
      </c>
      <c r="E315" s="34">
        <v>130</v>
      </c>
      <c r="F315" s="612" t="s">
        <v>3616</v>
      </c>
      <c r="G315" s="612" t="s">
        <v>3617</v>
      </c>
      <c r="I315" s="1655"/>
      <c r="J315" s="1655"/>
      <c r="K315" s="1657">
        <f>Entry_Levels[[#This Row],[Distance to Market]]/Entry_Levels[[#This Row],[Value]]</f>
        <v>0</v>
      </c>
    </row>
    <row r="316" spans="1:11" x14ac:dyDescent="0.2">
      <c r="A316" s="95" t="s">
        <v>3639</v>
      </c>
      <c r="B316" s="95" t="s">
        <v>3897</v>
      </c>
      <c r="C316" s="95" t="s">
        <v>3641</v>
      </c>
      <c r="D316" s="612" t="s">
        <v>3615</v>
      </c>
      <c r="E316" s="34">
        <v>125</v>
      </c>
      <c r="F316" s="612" t="s">
        <v>3616</v>
      </c>
      <c r="G316" s="612" t="s">
        <v>3617</v>
      </c>
      <c r="I316" s="1655"/>
      <c r="J316" s="1655"/>
      <c r="K316" s="1657">
        <f>Entry_Levels[[#This Row],[Distance to Market]]/Entry_Levels[[#This Row],[Value]]</f>
        <v>0</v>
      </c>
    </row>
    <row r="317" spans="1:11" x14ac:dyDescent="0.2">
      <c r="A317" s="95" t="s">
        <v>3639</v>
      </c>
      <c r="B317" s="95" t="s">
        <v>3898</v>
      </c>
      <c r="C317" s="95" t="s">
        <v>3641</v>
      </c>
      <c r="D317" s="612" t="s">
        <v>3615</v>
      </c>
      <c r="E317" s="34">
        <v>3.2</v>
      </c>
      <c r="F317" s="612" t="s">
        <v>3616</v>
      </c>
      <c r="G317" s="612" t="s">
        <v>3617</v>
      </c>
      <c r="I317" s="1655"/>
      <c r="J317" s="1655"/>
      <c r="K317" s="1657">
        <f>Entry_Levels[[#This Row],[Distance to Market]]/Entry_Levels[[#This Row],[Value]]</f>
        <v>0</v>
      </c>
    </row>
    <row r="318" spans="1:11" x14ac:dyDescent="0.2">
      <c r="A318" s="95" t="s">
        <v>3639</v>
      </c>
      <c r="B318" s="95" t="s">
        <v>3899</v>
      </c>
      <c r="C318" s="95" t="s">
        <v>3641</v>
      </c>
      <c r="D318" s="612" t="s">
        <v>3615</v>
      </c>
      <c r="E318" s="34">
        <v>30</v>
      </c>
      <c r="F318" s="612" t="s">
        <v>3616</v>
      </c>
      <c r="G318" s="612" t="s">
        <v>3617</v>
      </c>
      <c r="I318" s="1655"/>
      <c r="J318" s="1655"/>
      <c r="K318" s="1657">
        <f>Entry_Levels[[#This Row],[Distance to Market]]/Entry_Levels[[#This Row],[Value]]</f>
        <v>0</v>
      </c>
    </row>
    <row r="319" spans="1:11" x14ac:dyDescent="0.2">
      <c r="A319" s="95" t="s">
        <v>3639</v>
      </c>
      <c r="B319" s="95" t="s">
        <v>3636</v>
      </c>
      <c r="C319" s="95" t="s">
        <v>3641</v>
      </c>
      <c r="D319" s="612" t="s">
        <v>3619</v>
      </c>
      <c r="E319" s="34">
        <v>100</v>
      </c>
      <c r="F319" s="612" t="s">
        <v>3616</v>
      </c>
      <c r="G319" s="612" t="s">
        <v>3617</v>
      </c>
      <c r="I319" s="1655"/>
      <c r="J319" s="1655"/>
      <c r="K319" s="1657">
        <f>Entry_Levels[[#This Row],[Distance to Market]]/Entry_Levels[[#This Row],[Value]]</f>
        <v>0</v>
      </c>
    </row>
    <row r="320" spans="1:11" x14ac:dyDescent="0.2">
      <c r="A320" s="95" t="s">
        <v>3639</v>
      </c>
      <c r="B320" s="95" t="s">
        <v>3900</v>
      </c>
      <c r="C320" s="95" t="s">
        <v>3641</v>
      </c>
      <c r="D320" s="612" t="s">
        <v>3615</v>
      </c>
      <c r="E320" s="34">
        <v>78</v>
      </c>
      <c r="F320" s="612" t="s">
        <v>3616</v>
      </c>
      <c r="G320" s="612" t="s">
        <v>3617</v>
      </c>
      <c r="I320" s="1655"/>
      <c r="J320" s="1655"/>
      <c r="K320" s="1657">
        <f>Entry_Levels[[#This Row],[Distance to Market]]/Entry_Levels[[#This Row],[Value]]</f>
        <v>0</v>
      </c>
    </row>
    <row r="321" spans="1:11" x14ac:dyDescent="0.2">
      <c r="A321" s="95" t="s">
        <v>3639</v>
      </c>
      <c r="B321" s="95" t="s">
        <v>3900</v>
      </c>
      <c r="C321" s="95" t="s">
        <v>3641</v>
      </c>
      <c r="D321" s="612" t="s">
        <v>3615</v>
      </c>
      <c r="E321" s="34">
        <v>91</v>
      </c>
      <c r="F321" s="612" t="s">
        <v>3616</v>
      </c>
      <c r="G321" s="612" t="s">
        <v>3617</v>
      </c>
      <c r="I321" s="1655"/>
      <c r="J321" s="1655"/>
      <c r="K321" s="1657">
        <f>Entry_Levels[[#This Row],[Distance to Market]]/Entry_Levels[[#This Row],[Value]]</f>
        <v>0</v>
      </c>
    </row>
    <row r="322" spans="1:11" x14ac:dyDescent="0.2">
      <c r="A322" s="95" t="s">
        <v>3639</v>
      </c>
      <c r="B322" s="95" t="s">
        <v>3901</v>
      </c>
      <c r="C322" s="95" t="s">
        <v>3641</v>
      </c>
      <c r="D322" s="612" t="s">
        <v>3615</v>
      </c>
      <c r="E322" s="34">
        <v>60</v>
      </c>
      <c r="F322" s="612" t="s">
        <v>3616</v>
      </c>
      <c r="G322" s="612" t="s">
        <v>3617</v>
      </c>
      <c r="H322" s="95" t="s">
        <v>3795</v>
      </c>
      <c r="I322" s="1655"/>
      <c r="J322" s="1655"/>
      <c r="K322" s="1657">
        <f>Entry_Levels[[#This Row],[Distance to Market]]/Entry_Levels[[#This Row],[Value]]</f>
        <v>0</v>
      </c>
    </row>
    <row r="323" spans="1:11" x14ac:dyDescent="0.2">
      <c r="A323" s="95" t="s">
        <v>3639</v>
      </c>
      <c r="B323" s="95" t="s">
        <v>3902</v>
      </c>
      <c r="C323" s="95" t="s">
        <v>3641</v>
      </c>
      <c r="D323" s="612" t="s">
        <v>3615</v>
      </c>
      <c r="E323" s="34">
        <v>35</v>
      </c>
      <c r="F323" s="612" t="s">
        <v>3616</v>
      </c>
      <c r="G323" s="612" t="s">
        <v>3617</v>
      </c>
      <c r="I323" s="1655"/>
      <c r="J323" s="1655"/>
      <c r="K323" s="1657">
        <f>Entry_Levels[[#This Row],[Distance to Market]]/Entry_Levels[[#This Row],[Value]]</f>
        <v>0</v>
      </c>
    </row>
    <row r="324" spans="1:11" x14ac:dyDescent="0.2">
      <c r="A324" s="95" t="s">
        <v>3639</v>
      </c>
      <c r="B324" s="95" t="s">
        <v>3903</v>
      </c>
      <c r="C324" s="95" t="s">
        <v>3641</v>
      </c>
      <c r="D324" s="612" t="s">
        <v>3615</v>
      </c>
      <c r="E324" s="34">
        <v>10.5</v>
      </c>
      <c r="F324" s="612" t="s">
        <v>3616</v>
      </c>
      <c r="G324" s="612" t="s">
        <v>3617</v>
      </c>
      <c r="I324" s="1655"/>
      <c r="J324" s="1655"/>
      <c r="K324" s="1657">
        <f>Entry_Levels[[#This Row],[Distance to Market]]/Entry_Levels[[#This Row],[Value]]</f>
        <v>0</v>
      </c>
    </row>
    <row r="325" spans="1:11" x14ac:dyDescent="0.2">
      <c r="A325" s="95" t="s">
        <v>3639</v>
      </c>
      <c r="B325" s="95" t="s">
        <v>3903</v>
      </c>
      <c r="C325" s="95" t="s">
        <v>3641</v>
      </c>
      <c r="D325" s="612" t="s">
        <v>3615</v>
      </c>
      <c r="E325" s="34">
        <v>8.9</v>
      </c>
      <c r="F325" s="612" t="s">
        <v>3616</v>
      </c>
      <c r="G325" s="612" t="s">
        <v>3617</v>
      </c>
      <c r="I325" s="1655"/>
      <c r="J325" s="1655"/>
      <c r="K325" s="1657">
        <f>Entry_Levels[[#This Row],[Distance to Market]]/Entry_Levels[[#This Row],[Value]]</f>
        <v>0</v>
      </c>
    </row>
    <row r="326" spans="1:11" x14ac:dyDescent="0.2">
      <c r="A326" s="95" t="s">
        <v>3639</v>
      </c>
      <c r="B326" s="95" t="s">
        <v>3903</v>
      </c>
      <c r="C326" s="95" t="s">
        <v>3641</v>
      </c>
      <c r="D326" s="612" t="s">
        <v>3615</v>
      </c>
      <c r="E326" s="34">
        <v>10</v>
      </c>
      <c r="F326" s="612" t="s">
        <v>3616</v>
      </c>
      <c r="G326" s="612" t="s">
        <v>3617</v>
      </c>
      <c r="I326" s="1655"/>
      <c r="J326" s="1655"/>
      <c r="K326" s="1657">
        <f>Entry_Levels[[#This Row],[Distance to Market]]/Entry_Levels[[#This Row],[Value]]</f>
        <v>0</v>
      </c>
    </row>
    <row r="327" spans="1:11" x14ac:dyDescent="0.2">
      <c r="A327" s="95" t="s">
        <v>3639</v>
      </c>
      <c r="B327" s="95" t="s">
        <v>3904</v>
      </c>
      <c r="C327" s="95" t="s">
        <v>3641</v>
      </c>
      <c r="D327" s="612" t="s">
        <v>3615</v>
      </c>
      <c r="E327" s="34">
        <v>40</v>
      </c>
      <c r="F327" s="612" t="s">
        <v>3616</v>
      </c>
      <c r="G327" s="612" t="s">
        <v>3617</v>
      </c>
      <c r="I327" s="1655"/>
      <c r="J327" s="1655"/>
      <c r="K327" s="1657">
        <f>Entry_Levels[[#This Row],[Distance to Market]]/Entry_Levels[[#This Row],[Value]]</f>
        <v>0</v>
      </c>
    </row>
    <row r="328" spans="1:11" x14ac:dyDescent="0.2">
      <c r="A328" s="95" t="s">
        <v>3639</v>
      </c>
      <c r="B328" s="95" t="s">
        <v>3905</v>
      </c>
      <c r="C328" s="95" t="s">
        <v>3641</v>
      </c>
      <c r="D328" s="612" t="s">
        <v>3615</v>
      </c>
      <c r="E328" s="34">
        <v>80</v>
      </c>
      <c r="F328" s="612" t="s">
        <v>3616</v>
      </c>
      <c r="G328" s="612" t="s">
        <v>3617</v>
      </c>
      <c r="I328" s="1655"/>
      <c r="J328" s="1655"/>
      <c r="K328" s="1657">
        <f>Entry_Levels[[#This Row],[Distance to Market]]/Entry_Levels[[#This Row],[Value]]</f>
        <v>0</v>
      </c>
    </row>
    <row r="329" spans="1:11" x14ac:dyDescent="0.2">
      <c r="A329" s="95" t="s">
        <v>3639</v>
      </c>
      <c r="B329" s="95" t="s">
        <v>3906</v>
      </c>
      <c r="C329" s="95" t="s">
        <v>3641</v>
      </c>
      <c r="D329" s="612" t="s">
        <v>3615</v>
      </c>
      <c r="E329" s="34">
        <v>11</v>
      </c>
      <c r="F329" s="612" t="s">
        <v>3616</v>
      </c>
      <c r="G329" s="612" t="s">
        <v>3617</v>
      </c>
      <c r="I329" s="1655"/>
      <c r="J329" s="1655"/>
      <c r="K329" s="1657">
        <f>Entry_Levels[[#This Row],[Distance to Market]]/Entry_Levels[[#This Row],[Value]]</f>
        <v>0</v>
      </c>
    </row>
    <row r="330" spans="1:11" x14ac:dyDescent="0.2">
      <c r="A330" s="95" t="s">
        <v>3639</v>
      </c>
      <c r="B330" s="95" t="s">
        <v>3907</v>
      </c>
      <c r="C330" s="95" t="s">
        <v>3641</v>
      </c>
      <c r="D330" s="612" t="s">
        <v>3615</v>
      </c>
      <c r="E330" s="34">
        <v>91</v>
      </c>
      <c r="F330" s="612" t="s">
        <v>3616</v>
      </c>
      <c r="G330" s="612" t="s">
        <v>3617</v>
      </c>
      <c r="I330" s="1655"/>
      <c r="J330" s="1655"/>
      <c r="K330" s="1657">
        <f>Entry_Levels[[#This Row],[Distance to Market]]/Entry_Levels[[#This Row],[Value]]</f>
        <v>0</v>
      </c>
    </row>
    <row r="331" spans="1:11" x14ac:dyDescent="0.2">
      <c r="A331" s="95" t="s">
        <v>3639</v>
      </c>
      <c r="B331" s="95" t="s">
        <v>3908</v>
      </c>
      <c r="C331" s="95" t="s">
        <v>3641</v>
      </c>
      <c r="D331" s="612" t="s">
        <v>3615</v>
      </c>
      <c r="E331" s="34">
        <v>75</v>
      </c>
      <c r="F331" s="612" t="s">
        <v>3616</v>
      </c>
      <c r="G331" s="612" t="s">
        <v>3617</v>
      </c>
      <c r="I331" s="1655"/>
      <c r="J331" s="1655"/>
      <c r="K331" s="1657">
        <f>Entry_Levels[[#This Row],[Distance to Market]]/Entry_Levels[[#This Row],[Value]]</f>
        <v>0</v>
      </c>
    </row>
    <row r="332" spans="1:11" x14ac:dyDescent="0.2">
      <c r="A332" s="95" t="s">
        <v>3639</v>
      </c>
      <c r="B332" s="95" t="s">
        <v>3909</v>
      </c>
      <c r="C332" s="95" t="s">
        <v>3641</v>
      </c>
      <c r="D332" s="612" t="s">
        <v>3615</v>
      </c>
      <c r="E332" s="34">
        <v>75</v>
      </c>
      <c r="F332" s="612" t="s">
        <v>3616</v>
      </c>
      <c r="G332" s="612" t="s">
        <v>3617</v>
      </c>
      <c r="I332" s="1655"/>
      <c r="J332" s="1655"/>
      <c r="K332" s="1657">
        <f>Entry_Levels[[#This Row],[Distance to Market]]/Entry_Levels[[#This Row],[Value]]</f>
        <v>0</v>
      </c>
    </row>
    <row r="333" spans="1:11" x14ac:dyDescent="0.2">
      <c r="A333" s="95" t="s">
        <v>3639</v>
      </c>
      <c r="B333" s="95" t="s">
        <v>3910</v>
      </c>
      <c r="C333" s="95" t="s">
        <v>3641</v>
      </c>
      <c r="D333" s="612" t="s">
        <v>3615</v>
      </c>
      <c r="E333" s="34">
        <v>290</v>
      </c>
      <c r="F333" s="612" t="s">
        <v>3616</v>
      </c>
      <c r="G333" s="612" t="s">
        <v>3617</v>
      </c>
      <c r="I333" s="1655"/>
      <c r="J333" s="1655"/>
      <c r="K333" s="1657">
        <f>Entry_Levels[[#This Row],[Distance to Market]]/Entry_Levels[[#This Row],[Value]]</f>
        <v>0</v>
      </c>
    </row>
    <row r="334" spans="1:11" x14ac:dyDescent="0.2">
      <c r="A334" s="95" t="s">
        <v>3639</v>
      </c>
      <c r="B334" s="95" t="s">
        <v>3911</v>
      </c>
      <c r="C334" s="95" t="s">
        <v>3641</v>
      </c>
      <c r="D334" s="612" t="s">
        <v>3615</v>
      </c>
      <c r="E334" s="34">
        <v>165</v>
      </c>
      <c r="F334" s="612" t="s">
        <v>3616</v>
      </c>
      <c r="G334" s="612" t="s">
        <v>3617</v>
      </c>
      <c r="I334" s="1655"/>
      <c r="J334" s="1655"/>
      <c r="K334" s="1657">
        <f>Entry_Levels[[#This Row],[Distance to Market]]/Entry_Levels[[#This Row],[Value]]</f>
        <v>0</v>
      </c>
    </row>
    <row r="335" spans="1:11" x14ac:dyDescent="0.2">
      <c r="A335" s="95" t="s">
        <v>3639</v>
      </c>
      <c r="B335" s="95" t="s">
        <v>3912</v>
      </c>
      <c r="C335" s="95" t="s">
        <v>3641</v>
      </c>
      <c r="D335" s="612" t="s">
        <v>3615</v>
      </c>
      <c r="E335" s="34">
        <v>265</v>
      </c>
      <c r="F335" s="612" t="s">
        <v>3616</v>
      </c>
      <c r="G335" s="612" t="s">
        <v>3617</v>
      </c>
      <c r="I335" s="1655"/>
      <c r="J335" s="1655"/>
      <c r="K335" s="1657">
        <f>Entry_Levels[[#This Row],[Distance to Market]]/Entry_Levels[[#This Row],[Value]]</f>
        <v>0</v>
      </c>
    </row>
    <row r="336" spans="1:11" x14ac:dyDescent="0.2">
      <c r="A336" s="95" t="s">
        <v>3639</v>
      </c>
      <c r="B336" s="95" t="s">
        <v>3474</v>
      </c>
      <c r="C336" s="95" t="s">
        <v>3641</v>
      </c>
      <c r="D336" s="612" t="s">
        <v>3615</v>
      </c>
      <c r="E336" s="34">
        <v>78</v>
      </c>
      <c r="F336" s="612" t="s">
        <v>3616</v>
      </c>
      <c r="G336" s="612" t="s">
        <v>3617</v>
      </c>
      <c r="I336" s="1655"/>
      <c r="J336" s="1655"/>
      <c r="K336" s="1657">
        <f>Entry_Levels[[#This Row],[Distance to Market]]/Entry_Levels[[#This Row],[Value]]</f>
        <v>0</v>
      </c>
    </row>
    <row r="337" spans="1:11" x14ac:dyDescent="0.2">
      <c r="A337" s="95" t="s">
        <v>3639</v>
      </c>
      <c r="B337" s="95" t="s">
        <v>3913</v>
      </c>
      <c r="C337" s="95" t="s">
        <v>3641</v>
      </c>
      <c r="D337" s="612" t="s">
        <v>3615</v>
      </c>
      <c r="E337" s="34">
        <v>14.5</v>
      </c>
      <c r="F337" s="612" t="s">
        <v>3616</v>
      </c>
      <c r="G337" s="612" t="s">
        <v>3617</v>
      </c>
      <c r="I337" s="1655"/>
      <c r="J337" s="1655"/>
      <c r="K337" s="1657">
        <f>Entry_Levels[[#This Row],[Distance to Market]]/Entry_Levels[[#This Row],[Value]]</f>
        <v>0</v>
      </c>
    </row>
    <row r="338" spans="1:11" x14ac:dyDescent="0.2">
      <c r="A338" s="95" t="s">
        <v>3639</v>
      </c>
      <c r="B338" s="95" t="s">
        <v>3914</v>
      </c>
      <c r="C338" s="95" t="s">
        <v>3641</v>
      </c>
      <c r="D338" s="612" t="s">
        <v>3615</v>
      </c>
      <c r="E338" s="34" t="s">
        <v>3915</v>
      </c>
      <c r="F338" s="612" t="s">
        <v>3616</v>
      </c>
      <c r="G338" s="612" t="s">
        <v>3617</v>
      </c>
      <c r="I338" s="1655"/>
      <c r="J338" s="1655"/>
      <c r="K338" s="1657">
        <f>Entry_Levels[[#This Row],[Distance to Market]]/Entry_Levels[[#This Row],[Value]]</f>
        <v>0</v>
      </c>
    </row>
    <row r="339" spans="1:11" x14ac:dyDescent="0.2">
      <c r="A339" s="95" t="s">
        <v>3639</v>
      </c>
      <c r="B339" s="95" t="s">
        <v>3916</v>
      </c>
      <c r="C339" s="95" t="s">
        <v>3641</v>
      </c>
      <c r="D339" s="612" t="s">
        <v>3615</v>
      </c>
      <c r="E339" s="34">
        <v>65</v>
      </c>
      <c r="F339" s="612" t="s">
        <v>3616</v>
      </c>
      <c r="G339" s="612" t="s">
        <v>3617</v>
      </c>
      <c r="I339" s="1655"/>
      <c r="J339" s="1655"/>
      <c r="K339" s="1657">
        <f>Entry_Levels[[#This Row],[Distance to Market]]/Entry_Levels[[#This Row],[Value]]</f>
        <v>0</v>
      </c>
    </row>
    <row r="340" spans="1:11" x14ac:dyDescent="0.2">
      <c r="A340" s="95" t="s">
        <v>3639</v>
      </c>
      <c r="B340" s="95" t="s">
        <v>3917</v>
      </c>
      <c r="C340" s="95" t="s">
        <v>3641</v>
      </c>
      <c r="D340" s="612" t="s">
        <v>3615</v>
      </c>
      <c r="E340" s="34">
        <v>15</v>
      </c>
      <c r="F340" s="612" t="s">
        <v>3616</v>
      </c>
      <c r="G340" s="612" t="s">
        <v>3617</v>
      </c>
      <c r="I340" s="1655"/>
      <c r="J340" s="1655"/>
      <c r="K340" s="1657">
        <f>Entry_Levels[[#This Row],[Distance to Market]]/Entry_Levels[[#This Row],[Value]]</f>
        <v>0</v>
      </c>
    </row>
    <row r="341" spans="1:11" x14ac:dyDescent="0.2">
      <c r="A341" s="95" t="s">
        <v>3639</v>
      </c>
      <c r="B341" s="95" t="s">
        <v>3918</v>
      </c>
      <c r="C341" s="95" t="s">
        <v>3641</v>
      </c>
      <c r="D341" s="612" t="s">
        <v>3615</v>
      </c>
      <c r="E341" s="34">
        <v>122.05</v>
      </c>
      <c r="F341" s="612" t="s">
        <v>3616</v>
      </c>
      <c r="G341" s="612" t="s">
        <v>3617</v>
      </c>
      <c r="I341" s="1655"/>
      <c r="J341" s="1655"/>
      <c r="K341" s="1657">
        <f>Entry_Levels[[#This Row],[Distance to Market]]/Entry_Levels[[#This Row],[Value]]</f>
        <v>0</v>
      </c>
    </row>
    <row r="342" spans="1:11" x14ac:dyDescent="0.2">
      <c r="A342" s="95" t="s">
        <v>3639</v>
      </c>
      <c r="B342" s="95" t="s">
        <v>3919</v>
      </c>
      <c r="C342" s="95" t="s">
        <v>3641</v>
      </c>
      <c r="D342" s="612" t="s">
        <v>3615</v>
      </c>
      <c r="E342" s="34">
        <v>4.25</v>
      </c>
      <c r="F342" s="612" t="s">
        <v>3616</v>
      </c>
      <c r="G342" s="612" t="s">
        <v>3617</v>
      </c>
      <c r="I342" s="1655"/>
      <c r="J342" s="1655"/>
      <c r="K342" s="1657">
        <f>Entry_Levels[[#This Row],[Distance to Market]]/Entry_Levels[[#This Row],[Value]]</f>
        <v>0</v>
      </c>
    </row>
    <row r="343" spans="1:11" x14ac:dyDescent="0.2">
      <c r="A343" s="95" t="s">
        <v>3639</v>
      </c>
      <c r="B343" s="95" t="s">
        <v>3920</v>
      </c>
      <c r="C343" s="95" t="s">
        <v>3641</v>
      </c>
      <c r="D343" s="612" t="s">
        <v>3615</v>
      </c>
      <c r="E343" s="34">
        <v>84</v>
      </c>
      <c r="F343" s="612" t="s">
        <v>3616</v>
      </c>
      <c r="G343" s="612" t="s">
        <v>3617</v>
      </c>
      <c r="I343" s="1655"/>
      <c r="J343" s="1655"/>
      <c r="K343" s="1657">
        <f>Entry_Levels[[#This Row],[Distance to Market]]/Entry_Levels[[#This Row],[Value]]</f>
        <v>0</v>
      </c>
    </row>
    <row r="344" spans="1:11" x14ac:dyDescent="0.2">
      <c r="A344" s="95" t="s">
        <v>3639</v>
      </c>
      <c r="B344" s="95" t="s">
        <v>3920</v>
      </c>
      <c r="C344" s="95" t="s">
        <v>3641</v>
      </c>
      <c r="D344" s="612" t="s">
        <v>3615</v>
      </c>
      <c r="E344" s="34">
        <v>85</v>
      </c>
      <c r="F344" s="612" t="s">
        <v>3616</v>
      </c>
      <c r="G344" s="612" t="s">
        <v>3617</v>
      </c>
      <c r="I344" s="1655"/>
      <c r="J344" s="1655"/>
      <c r="K344" s="1657">
        <f>Entry_Levels[[#This Row],[Distance to Market]]/Entry_Levels[[#This Row],[Value]]</f>
        <v>0</v>
      </c>
    </row>
    <row r="345" spans="1:11" x14ac:dyDescent="0.2">
      <c r="A345" s="95" t="s">
        <v>3639</v>
      </c>
      <c r="B345" s="95" t="s">
        <v>3920</v>
      </c>
      <c r="C345" s="95" t="s">
        <v>3641</v>
      </c>
      <c r="D345" s="612" t="s">
        <v>3615</v>
      </c>
      <c r="E345" s="34">
        <v>85</v>
      </c>
      <c r="F345" s="612" t="s">
        <v>3616</v>
      </c>
      <c r="G345" s="612" t="s">
        <v>3617</v>
      </c>
      <c r="I345" s="1655"/>
      <c r="J345" s="1655"/>
      <c r="K345" s="1657">
        <f>Entry_Levels[[#This Row],[Distance to Market]]/Entry_Levels[[#This Row],[Value]]</f>
        <v>0</v>
      </c>
    </row>
    <row r="346" spans="1:11" x14ac:dyDescent="0.2">
      <c r="A346" s="95" t="s">
        <v>3639</v>
      </c>
      <c r="B346" s="95" t="s">
        <v>3921</v>
      </c>
      <c r="C346" s="95" t="s">
        <v>3641</v>
      </c>
      <c r="D346" s="612" t="s">
        <v>3615</v>
      </c>
      <c r="E346" s="34">
        <v>145</v>
      </c>
      <c r="F346" s="612" t="s">
        <v>3616</v>
      </c>
      <c r="G346" s="612" t="s">
        <v>3617</v>
      </c>
      <c r="I346" s="1655"/>
      <c r="J346" s="1655"/>
      <c r="K346" s="1657">
        <f>Entry_Levels[[#This Row],[Distance to Market]]/Entry_Levels[[#This Row],[Value]]</f>
        <v>0</v>
      </c>
    </row>
    <row r="347" spans="1:11" x14ac:dyDescent="0.2">
      <c r="A347" s="95" t="s">
        <v>3639</v>
      </c>
      <c r="B347" s="95" t="s">
        <v>3922</v>
      </c>
      <c r="C347" s="95" t="s">
        <v>3641</v>
      </c>
      <c r="D347" s="612" t="s">
        <v>3615</v>
      </c>
      <c r="E347" s="34">
        <v>87</v>
      </c>
      <c r="F347" s="612" t="s">
        <v>3616</v>
      </c>
      <c r="G347" s="612" t="s">
        <v>3617</v>
      </c>
      <c r="I347" s="1655"/>
      <c r="J347" s="1655"/>
      <c r="K347" s="1657">
        <f>Entry_Levels[[#This Row],[Distance to Market]]/Entry_Levels[[#This Row],[Value]]</f>
        <v>0</v>
      </c>
    </row>
    <row r="348" spans="1:11" x14ac:dyDescent="0.2">
      <c r="A348" s="95" t="s">
        <v>3639</v>
      </c>
      <c r="B348" s="95" t="s">
        <v>3923</v>
      </c>
      <c r="C348" s="95" t="s">
        <v>3641</v>
      </c>
      <c r="D348" s="612" t="s">
        <v>3615</v>
      </c>
      <c r="E348" s="34">
        <v>200</v>
      </c>
      <c r="F348" s="612" t="s">
        <v>3616</v>
      </c>
      <c r="G348" s="612" t="s">
        <v>3617</v>
      </c>
      <c r="I348" s="1655"/>
      <c r="J348" s="1655"/>
      <c r="K348" s="1657">
        <f>Entry_Levels[[#This Row],[Distance to Market]]/Entry_Levels[[#This Row],[Value]]</f>
        <v>0</v>
      </c>
    </row>
    <row r="349" spans="1:11" x14ac:dyDescent="0.2">
      <c r="A349" s="95" t="s">
        <v>3639</v>
      </c>
      <c r="B349" s="95" t="s">
        <v>3924</v>
      </c>
      <c r="C349" s="95" t="s">
        <v>3641</v>
      </c>
      <c r="D349" s="612" t="s">
        <v>3615</v>
      </c>
      <c r="E349" s="34">
        <v>42</v>
      </c>
      <c r="F349" s="612" t="s">
        <v>3616</v>
      </c>
      <c r="G349" s="612" t="s">
        <v>3617</v>
      </c>
      <c r="I349" s="1655"/>
      <c r="J349" s="1655"/>
      <c r="K349" s="1657">
        <f>Entry_Levels[[#This Row],[Distance to Market]]/Entry_Levels[[#This Row],[Value]]</f>
        <v>0</v>
      </c>
    </row>
    <row r="350" spans="1:11" x14ac:dyDescent="0.2">
      <c r="A350" s="95" t="s">
        <v>3639</v>
      </c>
      <c r="B350" s="95" t="s">
        <v>3925</v>
      </c>
      <c r="C350" s="95" t="s">
        <v>3641</v>
      </c>
      <c r="D350" s="612" t="s">
        <v>3615</v>
      </c>
      <c r="E350" s="34">
        <v>12.6</v>
      </c>
      <c r="F350" s="612" t="s">
        <v>3616</v>
      </c>
      <c r="G350" s="612" t="s">
        <v>3617</v>
      </c>
      <c r="I350" s="1655"/>
      <c r="J350" s="1655"/>
      <c r="K350" s="1657">
        <f>Entry_Levels[[#This Row],[Distance to Market]]/Entry_Levels[[#This Row],[Value]]</f>
        <v>0</v>
      </c>
    </row>
    <row r="351" spans="1:11" x14ac:dyDescent="0.2">
      <c r="A351" s="95" t="s">
        <v>3639</v>
      </c>
      <c r="B351" s="95" t="s">
        <v>3925</v>
      </c>
      <c r="C351" s="95" t="s">
        <v>3641</v>
      </c>
      <c r="D351" s="612" t="s">
        <v>3615</v>
      </c>
      <c r="E351" s="34">
        <v>10</v>
      </c>
      <c r="F351" s="612" t="s">
        <v>3616</v>
      </c>
      <c r="G351" s="612" t="s">
        <v>3617</v>
      </c>
      <c r="I351" s="1655"/>
      <c r="J351" s="1655"/>
      <c r="K351" s="1657">
        <f>Entry_Levels[[#This Row],[Distance to Market]]/Entry_Levels[[#This Row],[Value]]</f>
        <v>0</v>
      </c>
    </row>
    <row r="352" spans="1:11" x14ac:dyDescent="0.2">
      <c r="A352" s="95" t="s">
        <v>3639</v>
      </c>
      <c r="B352" s="95" t="s">
        <v>3926</v>
      </c>
      <c r="C352" s="95" t="s">
        <v>3641</v>
      </c>
      <c r="D352" s="612" t="s">
        <v>3615</v>
      </c>
      <c r="E352" s="34">
        <v>37</v>
      </c>
      <c r="F352" s="612" t="s">
        <v>3616</v>
      </c>
      <c r="G352" s="612" t="s">
        <v>3617</v>
      </c>
      <c r="I352" s="1655"/>
      <c r="J352" s="1655"/>
      <c r="K352" s="1657">
        <f>Entry_Levels[[#This Row],[Distance to Market]]/Entry_Levels[[#This Row],[Value]]</f>
        <v>0</v>
      </c>
    </row>
    <row r="353" spans="1:11" x14ac:dyDescent="0.2">
      <c r="A353" s="95" t="s">
        <v>3639</v>
      </c>
      <c r="B353" s="95" t="s">
        <v>3927</v>
      </c>
      <c r="C353" s="95" t="s">
        <v>3641</v>
      </c>
      <c r="D353" s="612" t="s">
        <v>3615</v>
      </c>
      <c r="E353" s="34">
        <v>77</v>
      </c>
      <c r="F353" s="612" t="s">
        <v>3616</v>
      </c>
      <c r="G353" s="612" t="s">
        <v>3617</v>
      </c>
      <c r="I353" s="1655"/>
      <c r="J353" s="1655"/>
      <c r="K353" s="1657">
        <f>Entry_Levels[[#This Row],[Distance to Market]]/Entry_Levels[[#This Row],[Value]]</f>
        <v>0</v>
      </c>
    </row>
    <row r="354" spans="1:11" x14ac:dyDescent="0.2">
      <c r="A354" s="95" t="s">
        <v>3639</v>
      </c>
      <c r="B354" s="95" t="s">
        <v>3928</v>
      </c>
      <c r="C354" s="95" t="s">
        <v>3641</v>
      </c>
      <c r="D354" s="612" t="s">
        <v>3615</v>
      </c>
      <c r="E354" s="34">
        <v>2</v>
      </c>
      <c r="F354" s="612" t="s">
        <v>3616</v>
      </c>
      <c r="G354" s="612" t="s">
        <v>3617</v>
      </c>
      <c r="I354" s="1655"/>
      <c r="J354" s="1655"/>
      <c r="K354" s="1657">
        <f>Entry_Levels[[#This Row],[Distance to Market]]/Entry_Levels[[#This Row],[Value]]</f>
        <v>0</v>
      </c>
    </row>
    <row r="355" spans="1:11" x14ac:dyDescent="0.2">
      <c r="A355" s="95" t="s">
        <v>3639</v>
      </c>
      <c r="B355" s="95" t="s">
        <v>3929</v>
      </c>
      <c r="C355" s="95" t="s">
        <v>3641</v>
      </c>
      <c r="D355" s="612" t="s">
        <v>3615</v>
      </c>
      <c r="E355" s="34">
        <v>87.5</v>
      </c>
      <c r="F355" s="612" t="s">
        <v>3616</v>
      </c>
      <c r="G355" s="612" t="s">
        <v>3617</v>
      </c>
      <c r="I355" s="1655"/>
      <c r="J355" s="1655"/>
      <c r="K355" s="1657">
        <f>Entry_Levels[[#This Row],[Distance to Market]]/Entry_Levels[[#This Row],[Value]]</f>
        <v>0</v>
      </c>
    </row>
    <row r="356" spans="1:11" x14ac:dyDescent="0.2">
      <c r="A356" s="95" t="s">
        <v>3639</v>
      </c>
      <c r="B356" s="95" t="s">
        <v>3930</v>
      </c>
      <c r="C356" s="95" t="s">
        <v>3641</v>
      </c>
      <c r="D356" s="612" t="s">
        <v>3615</v>
      </c>
      <c r="E356" s="34">
        <v>97</v>
      </c>
      <c r="F356" s="612" t="s">
        <v>3616</v>
      </c>
      <c r="G356" s="612" t="s">
        <v>3617</v>
      </c>
      <c r="I356" s="1655"/>
      <c r="J356" s="1655"/>
      <c r="K356" s="1657">
        <f>Entry_Levels[[#This Row],[Distance to Market]]/Entry_Levels[[#This Row],[Value]]</f>
        <v>0</v>
      </c>
    </row>
    <row r="357" spans="1:11" x14ac:dyDescent="0.2">
      <c r="A357" s="95" t="s">
        <v>3639</v>
      </c>
      <c r="B357" s="95" t="s">
        <v>3931</v>
      </c>
      <c r="C357" s="95" t="s">
        <v>3641</v>
      </c>
      <c r="D357" s="612" t="s">
        <v>3615</v>
      </c>
      <c r="E357" s="34">
        <v>231.85</v>
      </c>
      <c r="F357" s="612" t="s">
        <v>3616</v>
      </c>
      <c r="G357" s="612" t="s">
        <v>3617</v>
      </c>
      <c r="I357" s="1655"/>
      <c r="J357" s="1655"/>
      <c r="K357" s="1657">
        <f>Entry_Levels[[#This Row],[Distance to Market]]/Entry_Levels[[#This Row],[Value]]</f>
        <v>0</v>
      </c>
    </row>
    <row r="358" spans="1:11" x14ac:dyDescent="0.2">
      <c r="A358" s="95" t="s">
        <v>3639</v>
      </c>
      <c r="B358" s="95" t="s">
        <v>3932</v>
      </c>
      <c r="C358" s="95" t="s">
        <v>3641</v>
      </c>
      <c r="D358" s="612" t="s">
        <v>3615</v>
      </c>
      <c r="E358" s="34">
        <v>46</v>
      </c>
      <c r="F358" s="612" t="s">
        <v>3616</v>
      </c>
      <c r="G358" s="612" t="s">
        <v>3617</v>
      </c>
      <c r="I358" s="1655"/>
      <c r="J358" s="1655"/>
      <c r="K358" s="1657">
        <f>Entry_Levels[[#This Row],[Distance to Market]]/Entry_Levels[[#This Row],[Value]]</f>
        <v>0</v>
      </c>
    </row>
    <row r="359" spans="1:11" x14ac:dyDescent="0.2">
      <c r="A359" s="95" t="s">
        <v>3639</v>
      </c>
      <c r="B359" s="95" t="s">
        <v>3933</v>
      </c>
      <c r="C359" s="95" t="s">
        <v>3641</v>
      </c>
      <c r="D359" s="612" t="s">
        <v>3615</v>
      </c>
      <c r="E359" s="34">
        <v>20</v>
      </c>
      <c r="F359" s="612" t="s">
        <v>3616</v>
      </c>
      <c r="G359" s="612" t="s">
        <v>3617</v>
      </c>
      <c r="I359" s="1655"/>
      <c r="J359" s="1655"/>
      <c r="K359" s="1657">
        <f>Entry_Levels[[#This Row],[Distance to Market]]/Entry_Levels[[#This Row],[Value]]</f>
        <v>0</v>
      </c>
    </row>
    <row r="360" spans="1:11" x14ac:dyDescent="0.2">
      <c r="A360" s="95" t="s">
        <v>3639</v>
      </c>
      <c r="B360" s="95" t="s">
        <v>3934</v>
      </c>
      <c r="C360" s="95" t="s">
        <v>3641</v>
      </c>
      <c r="D360" s="612" t="s">
        <v>3615</v>
      </c>
      <c r="E360" s="34">
        <v>75</v>
      </c>
      <c r="F360" s="612" t="s">
        <v>3616</v>
      </c>
      <c r="G360" s="612" t="s">
        <v>3617</v>
      </c>
      <c r="I360" s="1655"/>
      <c r="J360" s="1655"/>
      <c r="K360" s="1657">
        <f>Entry_Levels[[#This Row],[Distance to Market]]/Entry_Levels[[#This Row],[Value]]</f>
        <v>0</v>
      </c>
    </row>
    <row r="361" spans="1:11" x14ac:dyDescent="0.2">
      <c r="A361" s="95" t="s">
        <v>3639</v>
      </c>
      <c r="B361" s="95" t="s">
        <v>3935</v>
      </c>
      <c r="C361" s="95" t="s">
        <v>3641</v>
      </c>
      <c r="D361" s="612" t="s">
        <v>3615</v>
      </c>
      <c r="E361" s="34">
        <v>16</v>
      </c>
      <c r="F361" s="612" t="s">
        <v>3616</v>
      </c>
      <c r="G361" s="612" t="s">
        <v>3617</v>
      </c>
      <c r="I361" s="1655"/>
      <c r="J361" s="1655"/>
      <c r="K361" s="1657">
        <f>Entry_Levels[[#This Row],[Distance to Market]]/Entry_Levels[[#This Row],[Value]]</f>
        <v>0</v>
      </c>
    </row>
    <row r="362" spans="1:11" x14ac:dyDescent="0.2">
      <c r="A362" s="95" t="s">
        <v>3639</v>
      </c>
      <c r="B362" s="95" t="s">
        <v>3936</v>
      </c>
      <c r="C362" s="95" t="s">
        <v>3641</v>
      </c>
      <c r="D362" s="612" t="s">
        <v>3615</v>
      </c>
      <c r="E362" s="34">
        <v>105</v>
      </c>
      <c r="F362" s="612" t="s">
        <v>3616</v>
      </c>
      <c r="G362" s="612" t="s">
        <v>3617</v>
      </c>
      <c r="I362" s="1655"/>
      <c r="J362" s="1655"/>
      <c r="K362" s="1657">
        <f>Entry_Levels[[#This Row],[Distance to Market]]/Entry_Levels[[#This Row],[Value]]</f>
        <v>0</v>
      </c>
    </row>
    <row r="363" spans="1:11" x14ac:dyDescent="0.2">
      <c r="A363" s="95" t="s">
        <v>3639</v>
      </c>
      <c r="B363" s="95" t="s">
        <v>3937</v>
      </c>
      <c r="C363" s="95" t="s">
        <v>3641</v>
      </c>
      <c r="D363" s="612" t="s">
        <v>3615</v>
      </c>
      <c r="E363" s="34">
        <v>43</v>
      </c>
      <c r="F363" s="612" t="s">
        <v>3616</v>
      </c>
      <c r="G363" s="612" t="s">
        <v>3617</v>
      </c>
      <c r="I363" s="1655"/>
      <c r="J363" s="1655"/>
      <c r="K363" s="1657">
        <f>Entry_Levels[[#This Row],[Distance to Market]]/Entry_Levels[[#This Row],[Value]]</f>
        <v>0</v>
      </c>
    </row>
    <row r="364" spans="1:11" x14ac:dyDescent="0.2">
      <c r="A364" s="95" t="s">
        <v>3639</v>
      </c>
      <c r="B364" s="95" t="s">
        <v>3938</v>
      </c>
      <c r="C364" s="95" t="s">
        <v>3641</v>
      </c>
      <c r="D364" s="612" t="s">
        <v>3615</v>
      </c>
      <c r="E364" s="34">
        <v>65</v>
      </c>
      <c r="F364" s="612" t="s">
        <v>3616</v>
      </c>
      <c r="G364" s="612" t="s">
        <v>3617</v>
      </c>
      <c r="I364" s="1655"/>
      <c r="J364" s="1655"/>
      <c r="K364" s="1657">
        <f>Entry_Levels[[#This Row],[Distance to Market]]/Entry_Levels[[#This Row],[Value]]</f>
        <v>0</v>
      </c>
    </row>
    <row r="365" spans="1:11" x14ac:dyDescent="0.2">
      <c r="A365" s="95" t="s">
        <v>3639</v>
      </c>
      <c r="B365" s="95" t="s">
        <v>426</v>
      </c>
      <c r="C365" s="95" t="s">
        <v>3641</v>
      </c>
      <c r="D365" s="612" t="s">
        <v>3615</v>
      </c>
      <c r="E365" s="34">
        <v>58</v>
      </c>
      <c r="F365" s="612" t="s">
        <v>3616</v>
      </c>
      <c r="G365" s="612" t="s">
        <v>3617</v>
      </c>
      <c r="I365" s="1655"/>
      <c r="J365" s="1655"/>
      <c r="K365" s="1657">
        <f>Entry_Levels[[#This Row],[Distance to Market]]/Entry_Levels[[#This Row],[Value]]</f>
        <v>0</v>
      </c>
    </row>
    <row r="366" spans="1:11" x14ac:dyDescent="0.2">
      <c r="A366" s="95" t="s">
        <v>3639</v>
      </c>
      <c r="B366" s="95" t="s">
        <v>3939</v>
      </c>
      <c r="C366" s="95" t="s">
        <v>3641</v>
      </c>
      <c r="D366" s="612" t="s">
        <v>3615</v>
      </c>
      <c r="E366" s="34">
        <v>106</v>
      </c>
      <c r="F366" s="612" t="s">
        <v>3616</v>
      </c>
      <c r="G366" s="612" t="s">
        <v>3617</v>
      </c>
      <c r="I366" s="1655"/>
      <c r="J366" s="1655"/>
      <c r="K366" s="1657">
        <f>Entry_Levels[[#This Row],[Distance to Market]]/Entry_Levels[[#This Row],[Value]]</f>
        <v>0</v>
      </c>
    </row>
    <row r="367" spans="1:11" x14ac:dyDescent="0.2">
      <c r="A367" s="95" t="s">
        <v>3639</v>
      </c>
      <c r="B367" s="95" t="s">
        <v>3638</v>
      </c>
      <c r="C367" s="95" t="s">
        <v>3641</v>
      </c>
      <c r="D367" s="612" t="s">
        <v>3615</v>
      </c>
      <c r="E367" s="34">
        <v>20.3</v>
      </c>
      <c r="F367" s="612" t="s">
        <v>3616</v>
      </c>
      <c r="G367" s="612" t="s">
        <v>3617</v>
      </c>
      <c r="I367" s="1655"/>
      <c r="J367" s="1655"/>
      <c r="K367" s="1657">
        <f>Entry_Levels[[#This Row],[Distance to Market]]/Entry_Levels[[#This Row],[Value]]</f>
        <v>0</v>
      </c>
    </row>
    <row r="368" spans="1:11" x14ac:dyDescent="0.2">
      <c r="A368" s="95" t="s">
        <v>3639</v>
      </c>
      <c r="B368" s="95" t="s">
        <v>3940</v>
      </c>
      <c r="C368" s="95" t="s">
        <v>3641</v>
      </c>
      <c r="D368" s="612" t="s">
        <v>3615</v>
      </c>
      <c r="E368" s="34">
        <v>79</v>
      </c>
      <c r="F368" s="612" t="s">
        <v>3616</v>
      </c>
      <c r="G368" s="612" t="s">
        <v>3617</v>
      </c>
      <c r="I368" s="1655"/>
      <c r="J368" s="1655"/>
      <c r="K368" s="1657">
        <f>Entry_Levels[[#This Row],[Distance to Market]]/Entry_Levels[[#This Row],[Value]]</f>
        <v>0</v>
      </c>
    </row>
    <row r="369" spans="1:11" x14ac:dyDescent="0.2">
      <c r="A369" s="95" t="s">
        <v>3639</v>
      </c>
      <c r="B369" s="95" t="s">
        <v>3941</v>
      </c>
      <c r="C369" s="95" t="s">
        <v>3641</v>
      </c>
      <c r="D369" s="612" t="s">
        <v>3615</v>
      </c>
      <c r="E369" s="34">
        <v>56</v>
      </c>
      <c r="F369" s="612" t="s">
        <v>3616</v>
      </c>
      <c r="G369" s="612" t="s">
        <v>3617</v>
      </c>
      <c r="I369" s="1655"/>
      <c r="J369" s="1655"/>
      <c r="K369" s="1657">
        <f>Entry_Levels[[#This Row],[Distance to Market]]/Entry_Levels[[#This Row],[Value]]</f>
        <v>0</v>
      </c>
    </row>
    <row r="370" spans="1:11" x14ac:dyDescent="0.2">
      <c r="A370" s="95" t="s">
        <v>3639</v>
      </c>
      <c r="B370" s="95" t="s">
        <v>3942</v>
      </c>
      <c r="C370" s="95" t="s">
        <v>3641</v>
      </c>
      <c r="D370" s="612" t="s">
        <v>3615</v>
      </c>
      <c r="E370" s="34">
        <v>45</v>
      </c>
      <c r="F370" s="612" t="s">
        <v>3616</v>
      </c>
      <c r="G370" s="612" t="s">
        <v>3617</v>
      </c>
      <c r="I370" s="1655"/>
      <c r="J370" s="1655"/>
      <c r="K370" s="1657">
        <f>Entry_Levels[[#This Row],[Distance to Market]]/Entry_Levels[[#This Row],[Value]]</f>
        <v>0</v>
      </c>
    </row>
    <row r="371" spans="1:11" x14ac:dyDescent="0.2">
      <c r="A371" s="95" t="s">
        <v>3639</v>
      </c>
      <c r="B371" s="95" t="s">
        <v>3943</v>
      </c>
      <c r="C371" s="95" t="s">
        <v>3641</v>
      </c>
      <c r="D371" s="612" t="s">
        <v>3615</v>
      </c>
      <c r="E371" s="34">
        <v>95</v>
      </c>
      <c r="F371" s="612" t="s">
        <v>3616</v>
      </c>
      <c r="G371" s="612" t="s">
        <v>3617</v>
      </c>
      <c r="I371" s="1655"/>
      <c r="J371" s="1655"/>
      <c r="K371" s="1657">
        <f>Entry_Levels[[#This Row],[Distance to Market]]/Entry_Levels[[#This Row],[Value]]</f>
        <v>0</v>
      </c>
    </row>
    <row r="372" spans="1:11" x14ac:dyDescent="0.2">
      <c r="A372" s="95" t="s">
        <v>3639</v>
      </c>
      <c r="B372" s="95" t="s">
        <v>3944</v>
      </c>
      <c r="C372" s="95" t="s">
        <v>3641</v>
      </c>
      <c r="D372" s="612" t="s">
        <v>3615</v>
      </c>
      <c r="E372" s="34">
        <v>300</v>
      </c>
      <c r="F372" s="612" t="s">
        <v>3616</v>
      </c>
      <c r="G372" s="612" t="s">
        <v>3617</v>
      </c>
      <c r="I372" s="1655"/>
      <c r="J372" s="1655"/>
      <c r="K372" s="1657">
        <f>Entry_Levels[[#This Row],[Distance to Market]]/Entry_Levels[[#This Row],[Value]]</f>
        <v>0</v>
      </c>
    </row>
    <row r="373" spans="1:11" x14ac:dyDescent="0.2">
      <c r="A373" s="95" t="s">
        <v>3639</v>
      </c>
      <c r="B373" s="95" t="s">
        <v>2584</v>
      </c>
      <c r="C373" s="95" t="s">
        <v>3641</v>
      </c>
      <c r="D373" s="612" t="s">
        <v>3615</v>
      </c>
      <c r="E373" s="34">
        <v>90</v>
      </c>
      <c r="F373" s="612" t="s">
        <v>3616</v>
      </c>
      <c r="G373" s="612" t="s">
        <v>3617</v>
      </c>
      <c r="I373" s="1655"/>
      <c r="J373" s="1655"/>
      <c r="K373" s="1657">
        <f>Entry_Levels[[#This Row],[Distance to Market]]/Entry_Levels[[#This Row],[Value]]</f>
        <v>0</v>
      </c>
    </row>
    <row r="374" spans="1:11" x14ac:dyDescent="0.2">
      <c r="A374" s="95" t="s">
        <v>450</v>
      </c>
      <c r="B374" s="95" t="s">
        <v>3945</v>
      </c>
      <c r="C374" s="95" t="s">
        <v>3641</v>
      </c>
      <c r="D374" s="612" t="s">
        <v>3615</v>
      </c>
      <c r="E374" s="34">
        <v>42</v>
      </c>
      <c r="F374" s="612" t="s">
        <v>3616</v>
      </c>
      <c r="G374" s="612" t="s">
        <v>3617</v>
      </c>
      <c r="I374" s="1655"/>
      <c r="J374" s="1655"/>
      <c r="K374" s="1657">
        <f>Entry_Levels[[#This Row],[Distance to Market]]/Entry_Levels[[#This Row],[Value]]</f>
        <v>0</v>
      </c>
    </row>
    <row r="375" spans="1:11" x14ac:dyDescent="0.2">
      <c r="A375" s="95" t="s">
        <v>450</v>
      </c>
      <c r="B375" s="95" t="s">
        <v>3946</v>
      </c>
      <c r="C375" s="95" t="s">
        <v>3641</v>
      </c>
      <c r="D375" s="612" t="s">
        <v>3615</v>
      </c>
      <c r="E375" s="34">
        <v>45</v>
      </c>
      <c r="F375" s="612" t="s">
        <v>3616</v>
      </c>
      <c r="G375" s="612" t="s">
        <v>3617</v>
      </c>
      <c r="I375" s="1655"/>
      <c r="J375" s="1655"/>
      <c r="K375" s="1657">
        <f>Entry_Levels[[#This Row],[Distance to Market]]/Entry_Levels[[#This Row],[Value]]</f>
        <v>0</v>
      </c>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A8083-63BF-489C-ABE7-EBA2879CEDE1}">
  <sheetPr codeName="Sheet1"/>
  <dimension ref="A1:C96"/>
  <sheetViews>
    <sheetView topLeftCell="A22" workbookViewId="0">
      <selection activeCell="A67" sqref="A67"/>
    </sheetView>
  </sheetViews>
  <sheetFormatPr defaultRowHeight="12" x14ac:dyDescent="0.2"/>
  <cols>
    <col min="1" max="1" width="11.42578125" style="747" bestFit="1" customWidth="1"/>
    <col min="2" max="2" width="47.5703125" style="747" bestFit="1" customWidth="1"/>
    <col min="3" max="16384" width="9.140625" style="747"/>
  </cols>
  <sheetData>
    <row r="1" spans="1:3" x14ac:dyDescent="0.2">
      <c r="A1" s="747" t="s">
        <v>3947</v>
      </c>
      <c r="B1" s="747" t="s">
        <v>3948</v>
      </c>
      <c r="C1" s="747" t="s">
        <v>3949</v>
      </c>
    </row>
    <row r="2" spans="1:3" x14ac:dyDescent="0.2">
      <c r="A2" s="747" t="s">
        <v>3950</v>
      </c>
      <c r="B2" s="747" t="s">
        <v>3951</v>
      </c>
      <c r="C2" s="747" t="s">
        <v>3952</v>
      </c>
    </row>
    <row r="3" spans="1:3" x14ac:dyDescent="0.2">
      <c r="A3" s="747" t="s">
        <v>3953</v>
      </c>
      <c r="B3" s="747" t="s">
        <v>3954</v>
      </c>
      <c r="C3" s="747" t="s">
        <v>3955</v>
      </c>
    </row>
    <row r="4" spans="1:3" x14ac:dyDescent="0.2">
      <c r="A4" s="747" t="s">
        <v>3956</v>
      </c>
      <c r="B4" s="747" t="s">
        <v>3957</v>
      </c>
      <c r="C4" s="747" t="s">
        <v>3958</v>
      </c>
    </row>
    <row r="5" spans="1:3" x14ac:dyDescent="0.2">
      <c r="A5" s="747" t="s">
        <v>3959</v>
      </c>
      <c r="B5" s="747" t="s">
        <v>3960</v>
      </c>
      <c r="C5" s="747" t="s">
        <v>3961</v>
      </c>
    </row>
    <row r="6" spans="1:3" x14ac:dyDescent="0.2">
      <c r="A6" s="747" t="s">
        <v>3962</v>
      </c>
      <c r="B6" s="747" t="s">
        <v>3963</v>
      </c>
      <c r="C6" s="747" t="s">
        <v>3964</v>
      </c>
    </row>
    <row r="7" spans="1:3" x14ac:dyDescent="0.2">
      <c r="A7" s="747" t="s">
        <v>3965</v>
      </c>
      <c r="B7" s="747" t="s">
        <v>3966</v>
      </c>
      <c r="C7" s="747" t="s">
        <v>3967</v>
      </c>
    </row>
    <row r="8" spans="1:3" x14ac:dyDescent="0.2">
      <c r="A8" s="747" t="s">
        <v>3968</v>
      </c>
      <c r="B8" s="747" t="s">
        <v>3969</v>
      </c>
      <c r="C8" s="747" t="s">
        <v>3970</v>
      </c>
    </row>
    <row r="9" spans="1:3" x14ac:dyDescent="0.2">
      <c r="A9" s="747" t="s">
        <v>3971</v>
      </c>
      <c r="B9" s="747" t="s">
        <v>3972</v>
      </c>
      <c r="C9" s="747" t="s">
        <v>3973</v>
      </c>
    </row>
    <row r="10" spans="1:3" x14ac:dyDescent="0.2">
      <c r="A10" s="747" t="s">
        <v>3974</v>
      </c>
      <c r="B10" s="747" t="s">
        <v>3975</v>
      </c>
      <c r="C10" s="747" t="s">
        <v>3976</v>
      </c>
    </row>
    <row r="11" spans="1:3" x14ac:dyDescent="0.2">
      <c r="A11" s="747" t="s">
        <v>3977</v>
      </c>
      <c r="B11" s="747" t="s">
        <v>3978</v>
      </c>
      <c r="C11" s="747" t="s">
        <v>3979</v>
      </c>
    </row>
    <row r="12" spans="1:3" x14ac:dyDescent="0.2">
      <c r="A12" s="747" t="s">
        <v>3980</v>
      </c>
      <c r="B12" s="747" t="s">
        <v>3981</v>
      </c>
      <c r="C12" s="747" t="s">
        <v>3982</v>
      </c>
    </row>
    <row r="13" spans="1:3" x14ac:dyDescent="0.2">
      <c r="A13" s="747" t="s">
        <v>3983</v>
      </c>
      <c r="B13" s="747" t="s">
        <v>3984</v>
      </c>
      <c r="C13" s="747" t="s">
        <v>3985</v>
      </c>
    </row>
    <row r="14" spans="1:3" x14ac:dyDescent="0.2">
      <c r="A14" s="747" t="s">
        <v>3986</v>
      </c>
      <c r="B14" s="747" t="s">
        <v>3987</v>
      </c>
      <c r="C14" s="747" t="s">
        <v>3988</v>
      </c>
    </row>
    <row r="15" spans="1:3" x14ac:dyDescent="0.2">
      <c r="A15" s="747" t="s">
        <v>3989</v>
      </c>
      <c r="B15" s="747" t="s">
        <v>3990</v>
      </c>
      <c r="C15" s="747" t="s">
        <v>3991</v>
      </c>
    </row>
    <row r="16" spans="1:3" x14ac:dyDescent="0.2">
      <c r="A16" s="747" t="s">
        <v>3992</v>
      </c>
      <c r="B16" s="747" t="s">
        <v>3993</v>
      </c>
      <c r="C16" s="747" t="s">
        <v>3994</v>
      </c>
    </row>
    <row r="17" spans="1:3" x14ac:dyDescent="0.2">
      <c r="A17" s="747" t="s">
        <v>3995</v>
      </c>
      <c r="B17" s="747" t="s">
        <v>3996</v>
      </c>
      <c r="C17" s="747" t="s">
        <v>3997</v>
      </c>
    </row>
    <row r="18" spans="1:3" x14ac:dyDescent="0.2">
      <c r="A18" s="747" t="s">
        <v>3998</v>
      </c>
      <c r="B18" s="747" t="s">
        <v>3999</v>
      </c>
      <c r="C18" s="747" t="s">
        <v>4000</v>
      </c>
    </row>
    <row r="19" spans="1:3" x14ac:dyDescent="0.2">
      <c r="A19" s="747" t="s">
        <v>4001</v>
      </c>
      <c r="B19" s="747" t="s">
        <v>4002</v>
      </c>
      <c r="C19" s="747" t="s">
        <v>4003</v>
      </c>
    </row>
    <row r="20" spans="1:3" x14ac:dyDescent="0.2">
      <c r="A20" s="747" t="s">
        <v>4004</v>
      </c>
      <c r="B20" s="747" t="s">
        <v>4005</v>
      </c>
      <c r="C20" s="747" t="s">
        <v>4006</v>
      </c>
    </row>
    <row r="21" spans="1:3" x14ac:dyDescent="0.2">
      <c r="A21" s="747" t="s">
        <v>4007</v>
      </c>
      <c r="B21" s="747" t="s">
        <v>4008</v>
      </c>
      <c r="C21" s="747" t="s">
        <v>4009</v>
      </c>
    </row>
    <row r="22" spans="1:3" x14ac:dyDescent="0.2">
      <c r="A22" s="747" t="s">
        <v>4010</v>
      </c>
      <c r="B22" s="747" t="s">
        <v>4011</v>
      </c>
      <c r="C22" s="747" t="s">
        <v>4012</v>
      </c>
    </row>
    <row r="23" spans="1:3" x14ac:dyDescent="0.2">
      <c r="A23" s="747" t="s">
        <v>4013</v>
      </c>
      <c r="B23" s="747" t="s">
        <v>4014</v>
      </c>
      <c r="C23" s="747" t="s">
        <v>4015</v>
      </c>
    </row>
    <row r="24" spans="1:3" x14ac:dyDescent="0.2">
      <c r="A24" s="747" t="s">
        <v>4016</v>
      </c>
      <c r="B24" s="747" t="s">
        <v>4017</v>
      </c>
      <c r="C24" s="747" t="s">
        <v>4018</v>
      </c>
    </row>
    <row r="25" spans="1:3" x14ac:dyDescent="0.2">
      <c r="A25" s="747" t="s">
        <v>4019</v>
      </c>
      <c r="B25" s="747" t="s">
        <v>4020</v>
      </c>
      <c r="C25" s="747" t="s">
        <v>4021</v>
      </c>
    </row>
    <row r="26" spans="1:3" x14ac:dyDescent="0.2">
      <c r="A26" s="747" t="s">
        <v>4022</v>
      </c>
      <c r="B26" s="747" t="s">
        <v>4023</v>
      </c>
      <c r="C26" s="747" t="s">
        <v>4024</v>
      </c>
    </row>
    <row r="27" spans="1:3" x14ac:dyDescent="0.2">
      <c r="A27" s="747" t="s">
        <v>4025</v>
      </c>
      <c r="B27" s="747" t="s">
        <v>4026</v>
      </c>
      <c r="C27" s="747" t="s">
        <v>4027</v>
      </c>
    </row>
    <row r="28" spans="1:3" x14ac:dyDescent="0.2">
      <c r="A28" s="747" t="s">
        <v>4028</v>
      </c>
      <c r="B28" s="747" t="s">
        <v>4029</v>
      </c>
      <c r="C28" s="747" t="s">
        <v>4030</v>
      </c>
    </row>
    <row r="29" spans="1:3" x14ac:dyDescent="0.2">
      <c r="A29" s="747" t="s">
        <v>4031</v>
      </c>
      <c r="B29" s="747" t="s">
        <v>4032</v>
      </c>
      <c r="C29" s="747" t="s">
        <v>4033</v>
      </c>
    </row>
    <row r="30" spans="1:3" x14ac:dyDescent="0.2">
      <c r="A30" s="747" t="s">
        <v>4034</v>
      </c>
      <c r="B30" s="747" t="s">
        <v>4035</v>
      </c>
      <c r="C30" s="747" t="s">
        <v>4036</v>
      </c>
    </row>
    <row r="31" spans="1:3" x14ac:dyDescent="0.2">
      <c r="A31" s="747" t="s">
        <v>4037</v>
      </c>
      <c r="B31" s="747" t="s">
        <v>4038</v>
      </c>
      <c r="C31" s="747" t="s">
        <v>4039</v>
      </c>
    </row>
    <row r="32" spans="1:3" x14ac:dyDescent="0.2">
      <c r="A32" s="747" t="s">
        <v>4040</v>
      </c>
      <c r="B32" s="747" t="s">
        <v>4041</v>
      </c>
      <c r="C32" s="747" t="s">
        <v>4042</v>
      </c>
    </row>
    <row r="33" spans="1:3" x14ac:dyDescent="0.2">
      <c r="A33" s="747" t="s">
        <v>4043</v>
      </c>
      <c r="B33" s="747" t="s">
        <v>3738</v>
      </c>
      <c r="C33" s="747" t="s">
        <v>4044</v>
      </c>
    </row>
    <row r="34" spans="1:3" x14ac:dyDescent="0.2">
      <c r="A34" s="747" t="s">
        <v>4045</v>
      </c>
      <c r="B34" s="747" t="s">
        <v>4046</v>
      </c>
      <c r="C34" s="747" t="s">
        <v>4047</v>
      </c>
    </row>
    <row r="35" spans="1:3" x14ac:dyDescent="0.2">
      <c r="A35" s="747" t="s">
        <v>4048</v>
      </c>
      <c r="B35" s="747" t="s">
        <v>4049</v>
      </c>
      <c r="C35" s="747" t="s">
        <v>4050</v>
      </c>
    </row>
    <row r="36" spans="1:3" x14ac:dyDescent="0.2">
      <c r="A36" s="747" t="s">
        <v>4051</v>
      </c>
      <c r="B36" s="747" t="s">
        <v>4052</v>
      </c>
      <c r="C36" s="747" t="s">
        <v>4053</v>
      </c>
    </row>
    <row r="37" spans="1:3" x14ac:dyDescent="0.2">
      <c r="A37" s="747" t="s">
        <v>4054</v>
      </c>
      <c r="B37" s="747" t="s">
        <v>4055</v>
      </c>
      <c r="C37" s="747" t="s">
        <v>4056</v>
      </c>
    </row>
    <row r="38" spans="1:3" x14ac:dyDescent="0.2">
      <c r="A38" s="747" t="s">
        <v>4057</v>
      </c>
      <c r="B38" s="747" t="s">
        <v>4058</v>
      </c>
      <c r="C38" s="747" t="s">
        <v>4059</v>
      </c>
    </row>
    <row r="39" spans="1:3" x14ac:dyDescent="0.2">
      <c r="A39" s="747" t="s">
        <v>4060</v>
      </c>
      <c r="B39" s="747" t="s">
        <v>4061</v>
      </c>
      <c r="C39" s="747" t="s">
        <v>4062</v>
      </c>
    </row>
    <row r="40" spans="1:3" x14ac:dyDescent="0.2">
      <c r="A40" s="747" t="s">
        <v>4063</v>
      </c>
      <c r="B40" s="747" t="s">
        <v>4064</v>
      </c>
      <c r="C40" s="747" t="s">
        <v>4065</v>
      </c>
    </row>
    <row r="41" spans="1:3" x14ac:dyDescent="0.2">
      <c r="A41" s="747" t="s">
        <v>4066</v>
      </c>
      <c r="B41" s="747" t="s">
        <v>4067</v>
      </c>
      <c r="C41" s="747" t="s">
        <v>4068</v>
      </c>
    </row>
    <row r="42" spans="1:3" x14ac:dyDescent="0.2">
      <c r="A42" s="747" t="s">
        <v>4069</v>
      </c>
      <c r="B42" s="747" t="s">
        <v>3562</v>
      </c>
      <c r="C42" s="747" t="s">
        <v>4070</v>
      </c>
    </row>
    <row r="43" spans="1:3" x14ac:dyDescent="0.2">
      <c r="A43" s="747" t="s">
        <v>4071</v>
      </c>
      <c r="B43" s="747" t="s">
        <v>4072</v>
      </c>
      <c r="C43" s="747" t="s">
        <v>4073</v>
      </c>
    </row>
    <row r="44" spans="1:3" x14ac:dyDescent="0.2">
      <c r="A44" s="747" t="s">
        <v>4074</v>
      </c>
      <c r="B44" s="747" t="s">
        <v>4075</v>
      </c>
      <c r="C44" s="747" t="s">
        <v>4076</v>
      </c>
    </row>
    <row r="45" spans="1:3" x14ac:dyDescent="0.2">
      <c r="A45" s="747" t="s">
        <v>4077</v>
      </c>
      <c r="B45" s="747" t="s">
        <v>3557</v>
      </c>
      <c r="C45" s="747" t="s">
        <v>4078</v>
      </c>
    </row>
    <row r="46" spans="1:3" x14ac:dyDescent="0.2">
      <c r="A46" s="747" t="s">
        <v>4079</v>
      </c>
      <c r="B46" s="747" t="s">
        <v>4080</v>
      </c>
      <c r="C46" s="747" t="s">
        <v>4081</v>
      </c>
    </row>
    <row r="47" spans="1:3" x14ac:dyDescent="0.2">
      <c r="A47" s="747" t="s">
        <v>4082</v>
      </c>
      <c r="B47" s="747" t="s">
        <v>4083</v>
      </c>
      <c r="C47" s="747" t="s">
        <v>4084</v>
      </c>
    </row>
    <row r="48" spans="1:3" x14ac:dyDescent="0.2">
      <c r="A48" s="747" t="s">
        <v>4085</v>
      </c>
      <c r="B48" s="747" t="s">
        <v>4086</v>
      </c>
      <c r="C48" s="747" t="s">
        <v>4087</v>
      </c>
    </row>
    <row r="49" spans="1:3" x14ac:dyDescent="0.2">
      <c r="A49" s="747" t="s">
        <v>4088</v>
      </c>
      <c r="B49" s="747" t="s">
        <v>4089</v>
      </c>
      <c r="C49" s="747" t="s">
        <v>4090</v>
      </c>
    </row>
    <row r="50" spans="1:3" x14ac:dyDescent="0.2">
      <c r="A50" s="747" t="s">
        <v>4091</v>
      </c>
      <c r="B50" s="747" t="s">
        <v>4092</v>
      </c>
      <c r="C50" s="747" t="s">
        <v>4093</v>
      </c>
    </row>
    <row r="51" spans="1:3" x14ac:dyDescent="0.2">
      <c r="A51" s="747" t="s">
        <v>4094</v>
      </c>
      <c r="B51" s="747" t="s">
        <v>4095</v>
      </c>
      <c r="C51" s="747" t="s">
        <v>4096</v>
      </c>
    </row>
    <row r="52" spans="1:3" x14ac:dyDescent="0.2">
      <c r="A52" s="747" t="s">
        <v>4097</v>
      </c>
      <c r="B52" s="747" t="s">
        <v>4098</v>
      </c>
      <c r="C52" s="747" t="s">
        <v>4099</v>
      </c>
    </row>
    <row r="53" spans="1:3" x14ac:dyDescent="0.2">
      <c r="A53" s="747" t="s">
        <v>4100</v>
      </c>
      <c r="B53" s="747" t="s">
        <v>4101</v>
      </c>
      <c r="C53" s="747" t="s">
        <v>4102</v>
      </c>
    </row>
    <row r="54" spans="1:3" x14ac:dyDescent="0.2">
      <c r="A54" s="747" t="s">
        <v>4103</v>
      </c>
      <c r="B54" s="747" t="s">
        <v>4104</v>
      </c>
      <c r="C54" s="747" t="s">
        <v>4105</v>
      </c>
    </row>
    <row r="55" spans="1:3" x14ac:dyDescent="0.2">
      <c r="A55" s="747" t="s">
        <v>4106</v>
      </c>
      <c r="B55" s="747" t="s">
        <v>4107</v>
      </c>
      <c r="C55" s="747" t="s">
        <v>4108</v>
      </c>
    </row>
    <row r="56" spans="1:3" x14ac:dyDescent="0.2">
      <c r="A56" s="747" t="s">
        <v>4109</v>
      </c>
      <c r="B56" s="747" t="s">
        <v>4110</v>
      </c>
      <c r="C56" s="747" t="s">
        <v>4111</v>
      </c>
    </row>
    <row r="57" spans="1:3" x14ac:dyDescent="0.2">
      <c r="A57" s="747" t="s">
        <v>4112</v>
      </c>
      <c r="B57" s="747" t="s">
        <v>4113</v>
      </c>
      <c r="C57" s="747" t="s">
        <v>4114</v>
      </c>
    </row>
    <row r="58" spans="1:3" x14ac:dyDescent="0.2">
      <c r="A58" s="747" t="s">
        <v>4115</v>
      </c>
      <c r="B58" s="747" t="s">
        <v>4116</v>
      </c>
      <c r="C58" s="747" t="s">
        <v>4117</v>
      </c>
    </row>
    <row r="59" spans="1:3" x14ac:dyDescent="0.2">
      <c r="A59" s="747" t="s">
        <v>4118</v>
      </c>
      <c r="B59" s="747" t="s">
        <v>4119</v>
      </c>
      <c r="C59" s="747" t="s">
        <v>4120</v>
      </c>
    </row>
    <row r="60" spans="1:3" x14ac:dyDescent="0.2">
      <c r="A60" s="747" t="s">
        <v>4121</v>
      </c>
      <c r="B60" s="747" t="s">
        <v>4122</v>
      </c>
      <c r="C60" s="747" t="s">
        <v>4123</v>
      </c>
    </row>
    <row r="61" spans="1:3" x14ac:dyDescent="0.2">
      <c r="A61" s="747" t="s">
        <v>4124</v>
      </c>
      <c r="B61" s="747" t="s">
        <v>4125</v>
      </c>
      <c r="C61" s="747" t="s">
        <v>4126</v>
      </c>
    </row>
    <row r="62" spans="1:3" x14ac:dyDescent="0.2">
      <c r="A62" s="747" t="s">
        <v>4127</v>
      </c>
      <c r="B62" s="747" t="s">
        <v>4128</v>
      </c>
      <c r="C62" s="747" t="s">
        <v>4129</v>
      </c>
    </row>
    <row r="63" spans="1:3" x14ac:dyDescent="0.2">
      <c r="A63" s="747" t="s">
        <v>4130</v>
      </c>
      <c r="B63" s="747" t="s">
        <v>4131</v>
      </c>
      <c r="C63" s="747" t="s">
        <v>4132</v>
      </c>
    </row>
    <row r="64" spans="1:3" x14ac:dyDescent="0.2">
      <c r="A64" s="747" t="s">
        <v>4133</v>
      </c>
      <c r="B64" s="747" t="s">
        <v>4134</v>
      </c>
      <c r="C64" s="747" t="s">
        <v>4135</v>
      </c>
    </row>
    <row r="65" spans="1:3" x14ac:dyDescent="0.2">
      <c r="A65" s="747" t="s">
        <v>4136</v>
      </c>
      <c r="B65" s="747" t="s">
        <v>4137</v>
      </c>
      <c r="C65" s="747" t="s">
        <v>4138</v>
      </c>
    </row>
    <row r="66" spans="1:3" x14ac:dyDescent="0.2">
      <c r="A66" s="747" t="s">
        <v>4139</v>
      </c>
      <c r="B66" s="747" t="s">
        <v>3553</v>
      </c>
      <c r="C66" s="747" t="s">
        <v>4140</v>
      </c>
    </row>
    <row r="67" spans="1:3" x14ac:dyDescent="0.2">
      <c r="A67" s="747" t="s">
        <v>4141</v>
      </c>
      <c r="B67" s="747" t="s">
        <v>4142</v>
      </c>
      <c r="C67" s="747" t="s">
        <v>4143</v>
      </c>
    </row>
    <row r="68" spans="1:3" x14ac:dyDescent="0.2">
      <c r="A68" s="747" t="s">
        <v>4144</v>
      </c>
      <c r="B68" s="747" t="s">
        <v>4145</v>
      </c>
      <c r="C68" s="747" t="s">
        <v>4146</v>
      </c>
    </row>
    <row r="69" spans="1:3" x14ac:dyDescent="0.2">
      <c r="A69" s="747" t="s">
        <v>4147</v>
      </c>
      <c r="B69" s="747" t="s">
        <v>4148</v>
      </c>
      <c r="C69" s="747" t="s">
        <v>4149</v>
      </c>
    </row>
    <row r="70" spans="1:3" x14ac:dyDescent="0.2">
      <c r="A70" s="747" t="s">
        <v>4150</v>
      </c>
      <c r="B70" s="747" t="s">
        <v>4151</v>
      </c>
      <c r="C70" s="747" t="s">
        <v>4152</v>
      </c>
    </row>
    <row r="71" spans="1:3" x14ac:dyDescent="0.2">
      <c r="A71" s="747" t="s">
        <v>4153</v>
      </c>
      <c r="B71" s="747" t="s">
        <v>4154</v>
      </c>
      <c r="C71" s="747" t="s">
        <v>4155</v>
      </c>
    </row>
    <row r="72" spans="1:3" x14ac:dyDescent="0.2">
      <c r="A72" s="747" t="s">
        <v>4156</v>
      </c>
      <c r="B72" s="747" t="s">
        <v>4157</v>
      </c>
      <c r="C72" s="747" t="s">
        <v>4158</v>
      </c>
    </row>
    <row r="73" spans="1:3" x14ac:dyDescent="0.2">
      <c r="A73" s="747" t="s">
        <v>4159</v>
      </c>
      <c r="B73" s="747" t="s">
        <v>4160</v>
      </c>
      <c r="C73" s="747" t="s">
        <v>4161</v>
      </c>
    </row>
    <row r="74" spans="1:3" x14ac:dyDescent="0.2">
      <c r="A74" s="747" t="s">
        <v>4162</v>
      </c>
      <c r="B74" s="747" t="s">
        <v>4163</v>
      </c>
      <c r="C74" s="747" t="s">
        <v>4164</v>
      </c>
    </row>
    <row r="75" spans="1:3" x14ac:dyDescent="0.2">
      <c r="A75" s="747" t="s">
        <v>4165</v>
      </c>
      <c r="B75" s="747" t="s">
        <v>4166</v>
      </c>
      <c r="C75" s="747" t="s">
        <v>4167</v>
      </c>
    </row>
    <row r="76" spans="1:3" x14ac:dyDescent="0.2">
      <c r="A76" s="747" t="s">
        <v>4168</v>
      </c>
      <c r="B76" s="747" t="s">
        <v>4169</v>
      </c>
      <c r="C76" s="747" t="s">
        <v>4170</v>
      </c>
    </row>
    <row r="77" spans="1:3" x14ac:dyDescent="0.2">
      <c r="A77" s="747" t="s">
        <v>4171</v>
      </c>
      <c r="B77" s="747" t="s">
        <v>4172</v>
      </c>
      <c r="C77" s="747" t="s">
        <v>4173</v>
      </c>
    </row>
    <row r="78" spans="1:3" x14ac:dyDescent="0.2">
      <c r="A78" s="747" t="s">
        <v>4174</v>
      </c>
      <c r="B78" s="747" t="s">
        <v>4175</v>
      </c>
      <c r="C78" s="747" t="s">
        <v>4176</v>
      </c>
    </row>
    <row r="79" spans="1:3" x14ac:dyDescent="0.2">
      <c r="A79" s="747" t="s">
        <v>4177</v>
      </c>
      <c r="B79" s="747" t="s">
        <v>4178</v>
      </c>
      <c r="C79" s="747" t="s">
        <v>4179</v>
      </c>
    </row>
    <row r="80" spans="1:3" x14ac:dyDescent="0.2">
      <c r="A80" s="747" t="s">
        <v>4180</v>
      </c>
      <c r="B80" s="747" t="s">
        <v>4181</v>
      </c>
      <c r="C80" s="747" t="s">
        <v>4182</v>
      </c>
    </row>
    <row r="81" spans="1:3" x14ac:dyDescent="0.2">
      <c r="A81" s="747" t="s">
        <v>4183</v>
      </c>
      <c r="B81" s="747" t="s">
        <v>4184</v>
      </c>
      <c r="C81" s="747" t="s">
        <v>4185</v>
      </c>
    </row>
    <row r="82" spans="1:3" x14ac:dyDescent="0.2">
      <c r="A82" s="747" t="s">
        <v>4186</v>
      </c>
      <c r="B82" s="747" t="s">
        <v>4187</v>
      </c>
      <c r="C82" s="747" t="s">
        <v>4188</v>
      </c>
    </row>
    <row r="83" spans="1:3" x14ac:dyDescent="0.2">
      <c r="A83" s="747" t="s">
        <v>4189</v>
      </c>
      <c r="B83" s="747" t="s">
        <v>4190</v>
      </c>
      <c r="C83" s="747" t="s">
        <v>4191</v>
      </c>
    </row>
    <row r="84" spans="1:3" x14ac:dyDescent="0.2">
      <c r="A84" s="747" t="s">
        <v>4192</v>
      </c>
      <c r="B84" s="747" t="s">
        <v>4193</v>
      </c>
      <c r="C84" s="747" t="s">
        <v>4194</v>
      </c>
    </row>
    <row r="85" spans="1:3" x14ac:dyDescent="0.2">
      <c r="A85" s="747" t="s">
        <v>4195</v>
      </c>
      <c r="B85" s="747" t="s">
        <v>4196</v>
      </c>
      <c r="C85" s="747" t="s">
        <v>4197</v>
      </c>
    </row>
    <row r="86" spans="1:3" x14ac:dyDescent="0.2">
      <c r="A86" s="747" t="s">
        <v>4198</v>
      </c>
      <c r="B86" s="747" t="s">
        <v>4199</v>
      </c>
      <c r="C86" s="747" t="s">
        <v>4200</v>
      </c>
    </row>
    <row r="87" spans="1:3" x14ac:dyDescent="0.2">
      <c r="A87" s="747" t="s">
        <v>4201</v>
      </c>
      <c r="B87" s="747" t="s">
        <v>4202</v>
      </c>
      <c r="C87" s="747" t="s">
        <v>4203</v>
      </c>
    </row>
    <row r="88" spans="1:3" x14ac:dyDescent="0.2">
      <c r="A88" s="747" t="s">
        <v>4204</v>
      </c>
      <c r="B88" s="747" t="s">
        <v>4205</v>
      </c>
      <c r="C88" s="747" t="s">
        <v>4206</v>
      </c>
    </row>
    <row r="89" spans="1:3" x14ac:dyDescent="0.2">
      <c r="A89" s="747" t="s">
        <v>4207</v>
      </c>
      <c r="B89" s="747" t="s">
        <v>4208</v>
      </c>
      <c r="C89" s="747" t="s">
        <v>4209</v>
      </c>
    </row>
    <row r="90" spans="1:3" x14ac:dyDescent="0.2">
      <c r="A90" s="747" t="s">
        <v>4210</v>
      </c>
      <c r="B90" s="747" t="s">
        <v>4211</v>
      </c>
      <c r="C90" s="747" t="s">
        <v>4212</v>
      </c>
    </row>
    <row r="91" spans="1:3" x14ac:dyDescent="0.2">
      <c r="A91" s="747" t="s">
        <v>4213</v>
      </c>
      <c r="B91" s="747" t="s">
        <v>4214</v>
      </c>
      <c r="C91" s="747" t="s">
        <v>4215</v>
      </c>
    </row>
    <row r="92" spans="1:3" x14ac:dyDescent="0.2">
      <c r="A92" s="747" t="s">
        <v>4216</v>
      </c>
      <c r="B92" s="747" t="s">
        <v>4217</v>
      </c>
      <c r="C92" s="747" t="s">
        <v>4218</v>
      </c>
    </row>
    <row r="93" spans="1:3" x14ac:dyDescent="0.2">
      <c r="A93" s="747" t="s">
        <v>4219</v>
      </c>
      <c r="B93" s="747" t="s">
        <v>4220</v>
      </c>
      <c r="C93" s="747" t="s">
        <v>4221</v>
      </c>
    </row>
    <row r="94" spans="1:3" x14ac:dyDescent="0.2">
      <c r="A94" s="747" t="s">
        <v>4222</v>
      </c>
      <c r="B94" s="747" t="s">
        <v>4223</v>
      </c>
      <c r="C94" s="747" t="s">
        <v>4224</v>
      </c>
    </row>
    <row r="95" spans="1:3" x14ac:dyDescent="0.2">
      <c r="A95" s="747" t="s">
        <v>4225</v>
      </c>
      <c r="B95" s="747" t="s">
        <v>4226</v>
      </c>
      <c r="C95" s="747" t="s">
        <v>4227</v>
      </c>
    </row>
    <row r="96" spans="1:3" x14ac:dyDescent="0.2">
      <c r="A96" s="747" t="s">
        <v>4228</v>
      </c>
      <c r="B96" s="747" t="s">
        <v>4229</v>
      </c>
      <c r="C96" s="747" t="s">
        <v>4230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A094EF-AF79-442E-A743-3E7D1D281E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68</vt:i4>
      </vt:variant>
    </vt:vector>
  </HeadingPairs>
  <TitlesOfParts>
    <vt:vector size="82" baseType="lpstr">
      <vt:lpstr>Contatti</vt:lpstr>
      <vt:lpstr>Registro Ordini</vt:lpstr>
      <vt:lpstr>CHF M</vt:lpstr>
      <vt:lpstr>CHF MA</vt:lpstr>
      <vt:lpstr>EUR MB</vt:lpstr>
      <vt:lpstr>EUR M</vt:lpstr>
      <vt:lpstr>AGCO</vt:lpstr>
      <vt:lpstr>Valori</vt:lpstr>
      <vt:lpstr>Posizioni</vt:lpstr>
      <vt:lpstr>Ordini</vt:lpstr>
      <vt:lpstr>Porfolio_Positions</vt:lpstr>
      <vt:lpstr>Transazioni</vt:lpstr>
      <vt:lpstr>Entry Levels</vt:lpstr>
      <vt:lpstr>lukb_exchanges_tbl</vt:lpstr>
      <vt:lpstr>AGCO!clPrice</vt:lpstr>
      <vt:lpstr>'CHF M'!clPrice</vt:lpstr>
      <vt:lpstr>'CHF MA'!clPrice</vt:lpstr>
      <vt:lpstr>'EUR M'!clPrice</vt:lpstr>
      <vt:lpstr>'EUR MB'!clPrice</vt:lpstr>
      <vt:lpstr>AGCO!col_ID</vt:lpstr>
      <vt:lpstr>'CHF M'!col_ID</vt:lpstr>
      <vt:lpstr>'CHF MA'!col_ID</vt:lpstr>
      <vt:lpstr>'EUR M'!col_ID</vt:lpstr>
      <vt:lpstr>'EUR MB'!col_ID</vt:lpstr>
      <vt:lpstr>Posizioni!col_ID</vt:lpstr>
      <vt:lpstr>Valori!col_ID</vt:lpstr>
      <vt:lpstr>Descrizioni</vt:lpstr>
      <vt:lpstr>fields_types</vt:lpstr>
      <vt:lpstr>Intestazioni</vt:lpstr>
      <vt:lpstr>ISIN</vt:lpstr>
      <vt:lpstr>LUKB_ids</vt:lpstr>
      <vt:lpstr>LUKB_Name</vt:lpstr>
      <vt:lpstr>AGCO!MRif</vt:lpstr>
      <vt:lpstr>'CHF M'!MRif</vt:lpstr>
      <vt:lpstr>'CHF MA'!MRif</vt:lpstr>
      <vt:lpstr>'EUR M'!MRif</vt:lpstr>
      <vt:lpstr>'EUR MB'!MRif</vt:lpstr>
      <vt:lpstr>Origine</vt:lpstr>
      <vt:lpstr>PDescrizioni</vt:lpstr>
      <vt:lpstr>PID</vt:lpstr>
      <vt:lpstr>PIntestazioni</vt:lpstr>
      <vt:lpstr>PLabel</vt:lpstr>
      <vt:lpstr>POrigin</vt:lpstr>
      <vt:lpstr>AGCO!Posizione</vt:lpstr>
      <vt:lpstr>'CHF M'!Posizione</vt:lpstr>
      <vt:lpstr>'CHF MA'!Posizione</vt:lpstr>
      <vt:lpstr>'EUR M'!Posizione</vt:lpstr>
      <vt:lpstr>'EUR MB'!Posizione</vt:lpstr>
      <vt:lpstr>AGCO!Print_Area</vt:lpstr>
      <vt:lpstr>'CHF M'!Print_Area</vt:lpstr>
      <vt:lpstr>'CHF MA'!Print_Area</vt:lpstr>
      <vt:lpstr>'EUR M'!Print_Area</vt:lpstr>
      <vt:lpstr>'EUR MB'!Print_Area</vt:lpstr>
      <vt:lpstr>'Registro Ordini'!Print_Area</vt:lpstr>
      <vt:lpstr>'CHF M'!print_range</vt:lpstr>
      <vt:lpstr>'CHF MA'!print_range</vt:lpstr>
      <vt:lpstr>'EUR M'!print_range</vt:lpstr>
      <vt:lpstr>AGCO!Print_Titles</vt:lpstr>
      <vt:lpstr>'CHF M'!Print_Titles</vt:lpstr>
      <vt:lpstr>'CHF MA'!Print_Titles</vt:lpstr>
      <vt:lpstr>'EUR M'!Print_Titles</vt:lpstr>
      <vt:lpstr>'EUR MB'!Print_Titles</vt:lpstr>
      <vt:lpstr>'Registro Ordini'!Print_Titles</vt:lpstr>
      <vt:lpstr>AGCO!prt_title</vt:lpstr>
      <vt:lpstr>'CHF M'!prt_title</vt:lpstr>
      <vt:lpstr>'EUR M'!prt_title</vt:lpstr>
      <vt:lpstr>'EUR MB'!prt_title</vt:lpstr>
      <vt:lpstr>AGCO!rwIntestazioni</vt:lpstr>
      <vt:lpstr>'CHF M'!rwIntestazioni</vt:lpstr>
      <vt:lpstr>'CHF MA'!rwIntestazioni</vt:lpstr>
      <vt:lpstr>'EUR M'!rwIntestazioni</vt:lpstr>
      <vt:lpstr>'EUR MB'!rwIntestazioni</vt:lpstr>
      <vt:lpstr>Posizioni!rwIntestazioni</vt:lpstr>
      <vt:lpstr>'Registro Ordini'!rwIntestazioni</vt:lpstr>
      <vt:lpstr>Valori!rwIntestazioni</vt:lpstr>
      <vt:lpstr>AGCO!smo_id</vt:lpstr>
      <vt:lpstr>'CHF M'!smo_id</vt:lpstr>
      <vt:lpstr>'CHF MA'!smo_id</vt:lpstr>
      <vt:lpstr>'EUR M'!smo_id</vt:lpstr>
      <vt:lpstr>'EUR MB'!smo_id</vt:lpstr>
      <vt:lpstr>smo_ids</vt:lpstr>
      <vt:lpstr>VID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Stefano</dc:creator>
  <cp:keywords/>
  <dc:description/>
  <cp:lastModifiedBy>Stefano Morniroli</cp:lastModifiedBy>
  <cp:revision/>
  <cp:lastPrinted>2026-02-04T10:14:25Z</cp:lastPrinted>
  <dcterms:created xsi:type="dcterms:W3CDTF">2023-02-22T18:09:20Z</dcterms:created>
  <dcterms:modified xsi:type="dcterms:W3CDTF">2026-03-03T18:07:33Z</dcterms:modified>
  <cp:category/>
  <cp:contentStatus/>
</cp:coreProperties>
</file>